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1" autoFilterDateGrouping="1"/>
  </bookViews>
  <sheets>
    <sheet name="How To" sheetId="1" state="visible" r:id="rId1"/>
    <sheet name="2025Schedule" sheetId="2" state="visible" r:id="rId2"/>
    <sheet name="Schedule" sheetId="3" state="visible" r:id="rId3"/>
    <sheet name="Cube" sheetId="4" state="visible" r:id="rId4"/>
    <sheet name="Picks" sheetId="5" state="visible" r:id="rId5"/>
    <sheet name="ProjPVT" sheetId="6" state="visible" r:id="rId6"/>
    <sheet name="QB Depth" sheetId="7" state="visible" r:id="rId7"/>
    <sheet name="RB Depth" sheetId="8" state="visible" r:id="rId8"/>
    <sheet name="WR Depth" sheetId="9" state="visible" r:id="rId9"/>
    <sheet name="TE Depth" sheetId="10" state="visible" r:id="rId10"/>
    <sheet name="K Depth" sheetId="11" state="visible" r:id="rId11"/>
    <sheet name="Injury Report" sheetId="12" state="visible" r:id="rId12"/>
    <sheet name="AllPlayers" sheetId="13" state="visible" r:id="rId13"/>
    <sheet name="Odds" sheetId="14" state="visible" r:id="rId14"/>
    <sheet name="Season Pivot" sheetId="15" state="visible" r:id="rId15"/>
    <sheet name="Standings" sheetId="16" state="visible" r:id="rId16"/>
    <sheet name="Matrix" sheetId="17" state="visible" r:id="rId17"/>
    <sheet name="Pass" sheetId="18" state="visible" r:id="rId18"/>
    <sheet name="Rush" sheetId="19" state="visible" r:id="rId19"/>
    <sheet name="Rec" sheetId="20" state="visible" r:id="rId20"/>
    <sheet name="K" sheetId="21" state="visible" r:id="rId21"/>
    <sheet name="Def" sheetId="22" state="visible" r:id="rId22"/>
    <sheet name="Returns" sheetId="23" state="visible" r:id="rId23"/>
  </sheets>
  <definedNames>
    <definedName name="Slicer_Day" hidden="0" function="0" vbProcedure="0">#N/A</definedName>
    <definedName name="Slicer_Depth_String" hidden="0" function="0" vbProcedure="0">#N/A</definedName>
    <definedName name="Slicer_Did_we_think_Team_would_cover_Spread_based_on_point_projections?" hidden="0" function="0" vbProcedure="0">#N/A</definedName>
    <definedName name="Slicer_Injury_Status" hidden="0" function="0" vbProcedure="0">#N/A</definedName>
    <definedName name="Slicer_Name" hidden="0" function="0" vbProcedure="0">#N/A</definedName>
    <definedName name="Slicer_Pos" hidden="0" function="0" vbProcedure="0">#N/A</definedName>
    <definedName name="Slicer_PosString_Combo" hidden="0" function="0" vbProcedure="0">#N/A</definedName>
    <definedName name="Slicer_Team" hidden="0" function="0" vbProcedure="0">#N/A</definedName>
    <definedName name="Slicer_Team1" hidden="0" function="0" vbProcedure="0">#N/A</definedName>
    <definedName name="Slicer_Team_of_Reference" hidden="0" function="0" vbProcedure="0">#N/A</definedName>
    <definedName name="Slicer_Time" hidden="0" function="0" vbProcedure="0">#N/A</definedName>
    <definedName name="Slicer_Week" hidden="0" function="0" vbProcedure="0">#N/A</definedName>
    <definedName name="Slicer_Week1" hidden="0" function="0" vbProcedure="0">#N/A</definedName>
    <definedName name="_ARating" hidden="0" function="0" vbProcedure="0">#REF!</definedName>
    <definedName name="_AVGDE" hidden="0" function="0" vbProcedure="0">#REF!</definedName>
    <definedName name="_avgOF" hidden="0" function="0" vbProcedure="0">#REF!</definedName>
    <definedName name="_AVGST" hidden="0" function="0" vbProcedure="0">#REF!</definedName>
    <definedName name="_CurWeek" hidden="0" function="0" vbProcedure="0">Schedule!$L$1</definedName>
    <definedName name="_DFactor" hidden="0" function="0" vbProcedure="0">Picks!$J$2</definedName>
    <definedName name="_DRw" hidden="0" function="0" vbProcedure="0">'Season Pivot'!$R$4</definedName>
    <definedName name="_Mag" hidden="0" function="0" vbProcedure="0">Picks!$I$2</definedName>
    <definedName name="_MOVw" hidden="0" function="0" vbProcedure="0">'Season Pivot'!$N$4</definedName>
    <definedName name="_OffAdj" hidden="0" function="0" vbProcedure="0">Standings!$R$1</definedName>
    <definedName name="_ORw" hidden="0" function="0" vbProcedure="0">'Season Pivot'!$Q$4</definedName>
    <definedName name="_PPGw" hidden="0" function="0" vbProcedure="0">'Season Pivot'!$P$4</definedName>
    <definedName name="_ScorWeek" hidden="0" function="0" vbProcedure="0">'season pivot'!#ref!</definedName>
    <definedName name="_SetGame" hidden="0" function="0" vbProcedure="0">odds!#ref!</definedName>
    <definedName name="_SoSAdj" hidden="0" function="0" vbProcedure="0">Standings!$P$1</definedName>
    <definedName name="_Teams" hidden="0" function="0" vbProcedure="0">Matrix!$A$2:$A$33</definedName>
    <definedName name="_WinM" hidden="0" function="0" vbProcedure="0">#REF!</definedName>
    <definedName name="_WINw" hidden="0" function="0" vbProcedure="0">'Season Pivot'!$O$4</definedName>
    <definedName name="_CurWeek" localSheetId="1" hidden="0" function="0" vbProcedure="0">2025Schedule!$L$1</definedName>
    <definedName name="_xlnm._FilterDatabase" localSheetId="3" hidden="1">'Cube'!$A$1:$AL$1</definedName>
    <definedName name="_xlnm._FilterDatabase" localSheetId="12" hidden="1">'AllPlayers'!$A$1:$O$833</definedName>
    <definedName name="NFC" localSheetId="15" hidden="0" function="0" vbProcedure="0">standings!#ref!</definedName>
    <definedName name="_ARating" localSheetId="15" hidden="0" function="0" vbProcedure="0">Standings!$N$1</definedName>
    <definedName name="_xlnm._FilterDatabase" localSheetId="15" hidden="1">'Standings'!$A$2:$S$2</definedName>
    <definedName name="_xlnm._FilterDatabase" localSheetId="16" hidden="1">'Matrix'!$A$1:$X$129</definedName>
    <definedName name="_xlnm._FilterDatabase" localSheetId="17" hidden="1">'Pass'!$B$1:$V$105</definedName>
    <definedName name="_xlnm._FilterDatabase" localSheetId="18" hidden="1">'Rush'!$B$3:$U$374</definedName>
    <definedName name="_xlnm._FilterDatabase" localSheetId="20" hidden="1">'K'!$B$3:$V$3</definedName>
    <definedName name="_xlnm._FilterDatabase" localSheetId="21" hidden="1">'Def'!$A$2:$R$1088</definedName>
    <definedName name="_xlnm._FilterDatabase" localSheetId="22" hidden="1">'Returns'!$A$3:$N$3</definedName>
  </definedNames>
  <calcPr calcId="124519" fullCalcOnLoad="1" refMode="A1" iterate="0" iterateCount="100" iterateDelta="0.0001"/>
</workbook>
</file>

<file path=xl/styles.xml><?xml version="1.0" encoding="utf-8"?>
<styleSheet xmlns="http://schemas.openxmlformats.org/spreadsheetml/2006/main">
  <numFmts count="13">
    <numFmt numFmtId="164" formatCode="dd/mm/yyyy"/>
    <numFmt numFmtId="165" formatCode="h:mm\ AM/PM"/>
    <numFmt numFmtId="166" formatCode="dd/mmm"/>
    <numFmt numFmtId="167" formatCode="[$-409]h:mm\ AM/PM;@"/>
    <numFmt numFmtId="168" formatCode="#,##0.0_);[RED]\(#,##0.0\)"/>
    <numFmt numFmtId="169" formatCode="0.0"/>
    <numFmt numFmtId="170" formatCode="[$-F400]h:mm:ss\ AM/PM"/>
    <numFmt numFmtId="171" formatCode="0.000"/>
    <numFmt numFmtId="172" formatCode="dd/mm/yyyy\ h:mm"/>
    <numFmt numFmtId="173" formatCode="\$#,##0.00_);[RED]&quot;($&quot;#,##0.00\)"/>
    <numFmt numFmtId="174" formatCode="\$#,##0_);[RED]&quot;($&quot;#,##0\)"/>
    <numFmt numFmtId="175" formatCode="dd/mmm/yy"/>
    <numFmt numFmtId="176" formatCode="_(* #,##0.00_);_(* \(#,##0.00\);_(* \-??_);_(@_)"/>
  </numFmts>
  <fonts count="28">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12"/>
    </font>
    <font>
      <name val="Calibri"/>
      <charset val="1"/>
      <family val="2"/>
      <b val="1"/>
      <color rgb="FF000000"/>
      <sz val="11"/>
    </font>
    <font>
      <name val="Calibri"/>
      <charset val="1"/>
      <family val="2"/>
      <b val="1"/>
      <color rgb="FFFFFFFF"/>
      <sz val="11"/>
    </font>
    <font>
      <name val="Calibri"/>
      <charset val="1"/>
      <family val="2"/>
      <i val="1"/>
      <color rgb="FF000000"/>
      <sz val="11"/>
    </font>
    <font>
      <name val="Calibri"/>
      <charset val="1"/>
      <family val="2"/>
      <color rgb="FFFFFFFF"/>
      <sz val="8"/>
    </font>
    <font>
      <name val="Verdana"/>
      <charset val="1"/>
      <family val="2"/>
      <b val="1"/>
      <color rgb="FFFFFFFF"/>
      <sz val="11"/>
    </font>
    <font>
      <name val="Calibri"/>
      <charset val="1"/>
      <family val="2"/>
      <color rgb="FFFFFFFF"/>
      <sz val="11"/>
    </font>
    <font>
      <name val="Calibri"/>
      <charset val="1"/>
      <family val="2"/>
      <b val="1"/>
      <color rgb="FFFF0000"/>
      <sz val="14"/>
    </font>
    <font>
      <name val="Calibri"/>
      <charset val="1"/>
      <family val="2"/>
      <color rgb="FFF2F2F2"/>
      <sz val="11"/>
    </font>
    <font>
      <name val="Calibri"/>
      <charset val="1"/>
      <family val="2"/>
      <color rgb="FF000000"/>
      <sz val="10"/>
    </font>
    <font>
      <name val="Calibri"/>
      <charset val="1"/>
      <family val="2"/>
      <color rgb="FFFFFFFF"/>
      <sz val="10"/>
    </font>
    <font>
      <name val="Calibri"/>
      <charset val="1"/>
      <family val="2"/>
      <b val="1"/>
      <color rgb="FFFFFFFF"/>
      <sz val="10"/>
    </font>
    <font>
      <name val="Calibri"/>
      <charset val="1"/>
      <family val="2"/>
      <color rgb="FF000000"/>
      <sz val="9"/>
    </font>
    <font>
      <name val="Calibri"/>
      <charset val="1"/>
      <family val="2"/>
      <b val="1"/>
      <color rgb="FF000000"/>
      <sz val="9"/>
    </font>
    <font>
      <name val="Calibri"/>
      <charset val="1"/>
      <family val="2"/>
      <sz val="11"/>
    </font>
    <font>
      <name val="Calibri"/>
      <charset val="1"/>
      <family val="2"/>
      <color rgb="FF595959"/>
      <sz val="11"/>
    </font>
    <font>
      <name val="Calibri"/>
      <charset val="1"/>
      <family val="2"/>
      <color rgb="FF595959"/>
      <sz val="8"/>
    </font>
    <font>
      <name val="Calibri"/>
      <charset val="1"/>
      <family val="2"/>
      <b val="1"/>
      <color rgb="FF000000"/>
      <sz val="18"/>
    </font>
    <font>
      <name val="Verdana"/>
      <charset val="1"/>
      <family val="2"/>
      <b val="1"/>
      <color rgb="FF000000"/>
      <sz val="11"/>
    </font>
    <font>
      <name val="Verdana"/>
      <charset val="1"/>
      <family val="2"/>
      <b val="1"/>
      <color rgb="FFAA0000"/>
      <sz val="11"/>
    </font>
    <font>
      <name val="Verdana"/>
      <charset val="1"/>
      <family val="2"/>
      <b val="1"/>
      <color rgb="FFFFFFFF"/>
      <sz val="9"/>
    </font>
    <font>
      <name val="Calibri"/>
      <charset val="1"/>
      <family val="2"/>
      <color rgb="FF203864"/>
      <sz val="11"/>
    </font>
    <font>
      <name val="Calibri"/>
      <charset val="1"/>
      <family val="2"/>
      <color rgb="FFD6DCE5"/>
      <sz val="11"/>
    </font>
    <font>
      <name val="Calibri"/>
      <charset val="1"/>
      <family val="2"/>
      <i val="1"/>
      <color rgb="FFC55A11"/>
      <sz val="11"/>
    </font>
  </fonts>
  <fills count="16">
    <fill>
      <patternFill/>
    </fill>
    <fill>
      <patternFill patternType="gray125"/>
    </fill>
    <fill>
      <patternFill patternType="solid">
        <fgColor rgb="FF000000"/>
        <bgColor rgb="FF003300"/>
      </patternFill>
    </fill>
    <fill>
      <patternFill patternType="solid">
        <fgColor rgb="FF002060"/>
        <bgColor rgb="FF203864"/>
      </patternFill>
    </fill>
    <fill>
      <patternFill patternType="solid">
        <fgColor rgb="FF385724"/>
        <bgColor rgb="FF595959"/>
      </patternFill>
    </fill>
    <fill>
      <patternFill patternType="solid">
        <fgColor rgb="FFFFFF00"/>
        <bgColor rgb="FFFFD966"/>
      </patternFill>
    </fill>
    <fill>
      <patternFill patternType="solid">
        <fgColor rgb="FF7030A0"/>
        <bgColor rgb="FF800080"/>
      </patternFill>
    </fill>
    <fill>
      <patternFill patternType="solid">
        <fgColor rgb="FFA5A5A5"/>
        <bgColor rgb="FFA9D18E"/>
      </patternFill>
    </fill>
    <fill>
      <patternFill patternType="solid">
        <fgColor rgb="FF203864"/>
        <bgColor rgb="FF1F4E79"/>
      </patternFill>
    </fill>
    <fill>
      <patternFill patternType="solid">
        <fgColor rgb="FFE2F0D9"/>
        <bgColor rgb="FFEDEDED"/>
      </patternFill>
    </fill>
    <fill>
      <patternFill patternType="solid">
        <fgColor rgb="FFED7D31"/>
        <bgColor rgb="FFFF8080"/>
      </patternFill>
    </fill>
    <fill>
      <patternFill patternType="solid">
        <fgColor rgb="FFEDEDED"/>
        <bgColor rgb="FFF2F2F2"/>
      </patternFill>
    </fill>
    <fill>
      <patternFill patternType="solid">
        <fgColor rgb="FF92D050"/>
        <bgColor rgb="FFA9D18E"/>
      </patternFill>
    </fill>
    <fill>
      <patternFill patternType="solid">
        <fgColor rgb="FFC55A11"/>
        <bgColor rgb="FF9C5700"/>
      </patternFill>
    </fill>
    <fill>
      <patternFill patternType="solid">
        <fgColor rgb="FFFFF2CC"/>
        <bgColor rgb="FFF2F2F2"/>
      </patternFill>
    </fill>
    <fill>
      <patternFill patternType="solid">
        <fgColor rgb="FFB4C7E7"/>
        <bgColor rgb="FFD6DCE5"/>
      </patternFill>
    </fill>
  </fills>
  <borders count="22">
    <border>
      <left/>
      <right/>
      <top/>
      <bottom/>
      <diagonal/>
    </border>
    <border>
      <left style="thin"/>
      <right style="thin"/>
      <top style="thin"/>
      <bottom style="thin"/>
      <diagonal/>
    </border>
    <border>
      <left style="thick">
        <color rgb="FF747678"/>
      </left>
      <right/>
      <top/>
      <bottom/>
      <diagonal/>
    </border>
    <border>
      <left/>
      <right/>
      <top style="thin"/>
      <bottom/>
      <diagonal/>
    </border>
    <border>
      <left style="thin"/>
      <right style="thin"/>
      <top style="thin"/>
      <bottom/>
      <diagonal/>
    </border>
    <border>
      <left style="thin"/>
      <right style="thin"/>
      <top/>
      <bottom/>
      <diagonal/>
    </border>
    <border>
      <left style="thin"/>
      <right/>
      <top style="thin"/>
      <bottom/>
      <diagonal/>
    </border>
    <border>
      <left/>
      <right style="thin"/>
      <top style="thin"/>
      <bottom/>
      <diagonal/>
    </border>
    <border>
      <left style="thin"/>
      <right/>
      <top/>
      <bottom style="thin"/>
      <diagonal/>
    </border>
    <border>
      <left/>
      <right/>
      <top/>
      <bottom style="thin"/>
      <diagonal/>
    </border>
    <border>
      <left/>
      <right style="thin"/>
      <top/>
      <bottom style="thin"/>
      <diagonal/>
    </border>
    <border>
      <left style="medium"/>
      <right/>
      <top style="medium"/>
      <bottom/>
      <diagonal/>
    </border>
    <border>
      <left style="thin"/>
      <right style="thin"/>
      <top style="medium"/>
      <bottom style="thin"/>
      <diagonal/>
    </border>
    <border>
      <left style="medium"/>
      <right/>
      <top/>
      <bottom/>
      <diagonal/>
    </border>
    <border>
      <left style="medium"/>
      <right/>
      <top/>
      <bottom style="medium"/>
      <diagonal/>
    </border>
    <border>
      <left style="thin"/>
      <right style="thin"/>
      <top style="thin"/>
      <bottom style="medium"/>
      <diagonal/>
    </border>
    <border>
      <left style="thin"/>
      <right style="medium"/>
      <top style="thin"/>
      <bottom style="medium"/>
      <diagonal/>
    </border>
    <border>
      <left style="medium"/>
      <right style="medium"/>
      <top style="medium"/>
      <bottom/>
      <diagonal/>
    </border>
    <border>
      <left style="medium"/>
      <right style="medium"/>
      <top/>
      <bottom style="medium"/>
      <diagonal/>
    </border>
    <border>
      <left style="medium">
        <color rgb="FFED7D31"/>
      </left>
      <right/>
      <top/>
      <bottom/>
      <diagonal/>
    </border>
    <border>
      <left style="thin"/>
      <right/>
      <top/>
      <bottom/>
      <diagonal/>
    </border>
    <border>
      <left style="thin">
        <color rgb="FFFFFFFF"/>
      </left>
      <right style="thin">
        <color rgb="FFFFFFFF"/>
      </right>
      <top style="thin">
        <color rgb="FFFFFFFF"/>
      </top>
      <bottom style="thin">
        <color rgb="FFFFFFFF"/>
      </bottom>
      <diagonal/>
    </border>
  </borders>
  <cellStyleXfs count="13">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xf numFmtId="0" fontId="4" fillId="0" borderId="0" applyAlignment="1">
      <alignment horizontal="general" vertical="bottom"/>
    </xf>
    <xf numFmtId="0" fontId="0" fillId="0" borderId="0" applyAlignment="1">
      <alignment horizontal="left" vertical="bottom"/>
    </xf>
    <xf numFmtId="0" fontId="0" fillId="0" borderId="0" applyAlignment="1">
      <alignment horizontal="general" vertical="bottom"/>
    </xf>
    <xf numFmtId="0" fontId="0" fillId="0" borderId="0" applyAlignment="1">
      <alignment horizontal="general" vertical="bottom"/>
    </xf>
    <xf numFmtId="0" fontId="5" fillId="0" borderId="0" applyAlignment="1">
      <alignment horizontal="general" vertical="bottom"/>
    </xf>
    <xf numFmtId="0" fontId="5" fillId="0" borderId="0" applyAlignment="1">
      <alignment horizontal="left" vertical="bottom"/>
    </xf>
    <xf numFmtId="0" fontId="0" fillId="0" borderId="0" applyAlignment="1">
      <alignment horizontal="general" vertical="bottom"/>
    </xf>
  </cellStyleXfs>
  <cellXfs count="291">
    <xf numFmtId="0" fontId="0" fillId="0" borderId="0" applyAlignment="1" pivotButton="0" quotePrefix="0" xfId="0">
      <alignment horizontal="general" vertical="bottom"/>
    </xf>
    <xf numFmtId="0" fontId="0" fillId="0" borderId="0" applyAlignment="1" pivotButton="0" quotePrefix="0" xfId="0">
      <alignment horizontal="general" vertical="center" wrapText="1"/>
    </xf>
    <xf numFmtId="0" fontId="0" fillId="0" borderId="0" applyAlignment="1" pivotButton="0" quotePrefix="0" xfId="0">
      <alignment horizontal="general" vertical="center"/>
    </xf>
    <xf numFmtId="0" fontId="6" fillId="2" borderId="0" applyAlignment="1" pivotButton="0" quotePrefix="0" xfId="0">
      <alignment horizontal="general" vertical="center" wrapText="1"/>
    </xf>
    <xf numFmtId="0" fontId="0" fillId="0" borderId="1" applyAlignment="1" pivotButton="0" quotePrefix="0" xfId="0">
      <alignment horizontal="general" vertical="center" wrapText="1"/>
    </xf>
    <xf numFmtId="0" fontId="7" fillId="0" borderId="0" applyAlignment="1" pivotButton="0" quotePrefix="0" xfId="0">
      <alignment horizontal="general" vertical="center" wrapText="1"/>
    </xf>
    <xf numFmtId="0" fontId="0" fillId="0" borderId="0" applyAlignment="1" pivotButton="0" quotePrefix="0" xfId="0">
      <alignment horizontal="general" vertical="bottom"/>
    </xf>
    <xf numFmtId="0" fontId="0" fillId="0" borderId="0" applyAlignment="1" pivotButton="0" quotePrefix="0" xfId="0">
      <alignment horizontal="center" vertical="bottom"/>
    </xf>
    <xf numFmtId="164" fontId="0" fillId="0" borderId="0" applyAlignment="1" pivotButton="0" quotePrefix="0" xfId="0">
      <alignment horizontal="center" vertical="bottom"/>
    </xf>
    <xf numFmtId="0" fontId="8" fillId="2" borderId="0" applyAlignment="1" pivotButton="0" quotePrefix="0" xfId="0">
      <alignment horizontal="center" vertical="center" wrapText="1"/>
    </xf>
    <xf numFmtId="0" fontId="9" fillId="3" borderId="2" applyAlignment="1" pivotButton="0" quotePrefix="0" xfId="0">
      <alignment horizontal="center" vertical="center" wrapText="1"/>
    </xf>
    <xf numFmtId="0" fontId="9" fillId="3" borderId="0" applyAlignment="1" pivotButton="0" quotePrefix="0" xfId="0">
      <alignment horizontal="center" vertical="center" wrapText="1"/>
    </xf>
    <xf numFmtId="164" fontId="9" fillId="3" borderId="0" applyAlignment="1" pivotButton="0" quotePrefix="0" xfId="0">
      <alignment horizontal="center" vertical="center" wrapText="1"/>
    </xf>
    <xf numFmtId="0" fontId="0" fillId="0" borderId="0" applyAlignment="1" pivotButton="0" quotePrefix="0" xfId="0">
      <alignment horizontal="center" vertical="center" wrapText="1"/>
    </xf>
    <xf numFmtId="0" fontId="10" fillId="4" borderId="0" applyAlignment="1" pivotButton="0" quotePrefix="0" xfId="0">
      <alignment horizontal="general" vertical="bottom"/>
    </xf>
    <xf numFmtId="0" fontId="11" fillId="5" borderId="0" applyAlignment="1" pivotButton="0" quotePrefix="0" xfId="0">
      <alignment horizontal="center" vertical="bottom"/>
    </xf>
    <xf numFmtId="0" fontId="11" fillId="0" borderId="0" applyAlignment="1" pivotButton="0" quotePrefix="0" xfId="0">
      <alignment horizontal="general" vertical="bottom"/>
    </xf>
    <xf numFmtId="0" fontId="10" fillId="2" borderId="0" applyAlignment="1" pivotButton="0" quotePrefix="0" xfId="0">
      <alignment horizontal="general" vertical="bottom"/>
    </xf>
    <xf numFmtId="0" fontId="0" fillId="0" borderId="1" applyAlignment="1" pivotButton="0" quotePrefix="0" xfId="0">
      <alignment horizontal="center" vertical="bottom"/>
    </xf>
    <xf numFmtId="164" fontId="0" fillId="0" borderId="1" applyAlignment="1" pivotButton="0" quotePrefix="0" xfId="0">
      <alignment horizontal="center" vertical="bottom"/>
    </xf>
    <xf numFmtId="165" fontId="0" fillId="0" borderId="1" applyAlignment="1" pivotButton="0" quotePrefix="0" xfId="0">
      <alignment horizontal="center" vertical="bottom"/>
    </xf>
    <xf numFmtId="165" fontId="0" fillId="0" borderId="1"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general" vertical="bottom"/>
    </xf>
    <xf numFmtId="0" fontId="12" fillId="2" borderId="1" applyAlignment="1" pivotButton="0" quotePrefix="0" xfId="0">
      <alignment horizontal="center" vertical="bottom"/>
    </xf>
    <xf numFmtId="164" fontId="12" fillId="2" borderId="1" applyAlignment="1" pivotButton="0" quotePrefix="0" xfId="0">
      <alignment horizontal="center" vertical="bottom"/>
    </xf>
    <xf numFmtId="165" fontId="12" fillId="2" borderId="1" applyAlignment="1" pivotButton="0" quotePrefix="0" xfId="0">
      <alignment horizontal="center" vertical="bottom"/>
    </xf>
    <xf numFmtId="165" fontId="12" fillId="2" borderId="1" applyAlignment="1" pivotButton="0" quotePrefix="0" xfId="0">
      <alignment horizontal="general" vertical="bottom"/>
    </xf>
    <xf numFmtId="166" fontId="0" fillId="0" borderId="0" applyAlignment="1" pivotButton="0" quotePrefix="0" xfId="0">
      <alignment horizontal="general" vertical="bottom"/>
    </xf>
    <xf numFmtId="1" fontId="0" fillId="0" borderId="0" applyAlignment="1" pivotButton="0" quotePrefix="0" xfId="0">
      <alignment horizontal="general" vertical="bottom"/>
    </xf>
    <xf numFmtId="164" fontId="13" fillId="0" borderId="0" applyAlignment="1" pivotButton="0" quotePrefix="0" xfId="0">
      <alignment horizontal="general" vertical="bottom"/>
    </xf>
    <xf numFmtId="167" fontId="13" fillId="0" borderId="0" applyAlignment="1" pivotButton="0" quotePrefix="0" xfId="0">
      <alignment horizontal="center" vertical="bottom"/>
    </xf>
    <xf numFmtId="0" fontId="0" fillId="0" borderId="0" applyAlignment="1" pivotButton="0" quotePrefix="0" xfId="0">
      <alignment horizontal="right" vertical="bottom"/>
    </xf>
    <xf numFmtId="168" fontId="0" fillId="0" borderId="0" applyAlignment="1" pivotButton="0" quotePrefix="0" xfId="0">
      <alignment horizontal="right" vertical="bottom"/>
    </xf>
    <xf numFmtId="0" fontId="10" fillId="2" borderId="0" applyAlignment="1" pivotButton="0" quotePrefix="0" xfId="0">
      <alignment horizontal="center" vertical="center" wrapText="1"/>
    </xf>
    <xf numFmtId="0" fontId="14" fillId="2" borderId="0" applyAlignment="1" pivotButton="0" quotePrefix="0" xfId="0">
      <alignment horizontal="center" vertical="center" wrapText="1"/>
    </xf>
    <xf numFmtId="0" fontId="0" fillId="0" borderId="1" applyAlignment="1" pivotButton="0" quotePrefix="0" xfId="0">
      <alignment horizontal="center" vertical="center" wrapText="1"/>
    </xf>
    <xf numFmtId="164" fontId="13" fillId="0" borderId="0" applyAlignment="1" pivotButton="0" quotePrefix="0" xfId="0">
      <alignment horizontal="center" vertical="center" wrapText="1"/>
    </xf>
    <xf numFmtId="167" fontId="13" fillId="0" borderId="1" applyAlignment="1" pivotButton="0" quotePrefix="0" xfId="0">
      <alignment horizontal="center" vertical="center" wrapText="1"/>
    </xf>
    <xf numFmtId="0" fontId="15" fillId="4" borderId="1" applyAlignment="1" pivotButton="0" quotePrefix="0" xfId="0">
      <alignment horizontal="center" vertical="center" wrapText="1"/>
    </xf>
    <xf numFmtId="0" fontId="10" fillId="4" borderId="1" applyAlignment="1" pivotButton="0" quotePrefix="0" xfId="0">
      <alignment horizontal="center" vertical="center" wrapText="1"/>
    </xf>
    <xf numFmtId="0" fontId="10" fillId="6" borderId="0" applyAlignment="1" pivotButton="0" quotePrefix="0" xfId="0">
      <alignment horizontal="center" vertical="center" wrapText="1"/>
    </xf>
    <xf numFmtId="0" fontId="10" fillId="2" borderId="3" applyAlignment="1" pivotButton="0" quotePrefix="0" xfId="0">
      <alignment horizontal="center" vertical="bottom"/>
    </xf>
    <xf numFmtId="169" fontId="0" fillId="0" borderId="0" applyAlignment="1" pivotButton="0" quotePrefix="0" xfId="0">
      <alignment horizontal="center" vertical="bottom"/>
    </xf>
    <xf numFmtId="1" fontId="0" fillId="0" borderId="4" applyAlignment="1" pivotButton="0" quotePrefix="0" xfId="0">
      <alignment horizontal="general" vertical="bottom"/>
    </xf>
    <xf numFmtId="0" fontId="0" fillId="0" borderId="0" applyAlignment="1" pivotButton="0" quotePrefix="0" xfId="0">
      <alignment horizontal="center" vertical="bottom"/>
    </xf>
    <xf numFmtId="0" fontId="0" fillId="0" borderId="1" applyAlignment="1" pivotButton="0" quotePrefix="0" xfId="0">
      <alignment horizontal="general" vertical="bottom"/>
    </xf>
    <xf numFmtId="0" fontId="16" fillId="0" borderId="0" applyAlignment="1" pivotButton="0" quotePrefix="0" xfId="0">
      <alignment horizontal="general" vertical="bottom"/>
    </xf>
    <xf numFmtId="170" fontId="0" fillId="0" borderId="0" applyAlignment="1" pivotButton="0" quotePrefix="0" xfId="0">
      <alignment horizontal="general" vertical="bottom"/>
    </xf>
    <xf numFmtId="0" fontId="5" fillId="0" borderId="1" applyAlignment="1" pivotButton="0" quotePrefix="0" xfId="0">
      <alignment horizontal="center" vertical="center"/>
    </xf>
    <xf numFmtId="0" fontId="17" fillId="0" borderId="1" applyAlignment="1" pivotButton="0" quotePrefix="0" xfId="0">
      <alignment horizontal="center" vertical="bottom"/>
    </xf>
    <xf numFmtId="0" fontId="5" fillId="0" borderId="1" applyAlignment="1" pivotButton="0" quotePrefix="0" xfId="0">
      <alignment horizontal="center" vertical="bottom"/>
    </xf>
    <xf numFmtId="0" fontId="10" fillId="6" borderId="1" applyAlignment="1" pivotButton="0" quotePrefix="0" xfId="0">
      <alignment horizontal="center" vertical="bottom"/>
    </xf>
    <xf numFmtId="0" fontId="5" fillId="7" borderId="0" applyAlignment="1" pivotButton="0" quotePrefix="0" xfId="0">
      <alignment horizontal="general" vertical="bottom"/>
    </xf>
    <xf numFmtId="49" fontId="0" fillId="0" borderId="1" applyAlignment="1" pivotButton="0" quotePrefix="0" xfId="0">
      <alignment horizontal="general" vertical="bottom"/>
    </xf>
    <xf numFmtId="0" fontId="0" fillId="0" borderId="0" applyAlignment="1" pivotButton="0" quotePrefix="0" xfId="0">
      <alignment horizontal="left" vertical="bottom"/>
    </xf>
    <xf numFmtId="0" fontId="6" fillId="2" borderId="3" applyAlignment="1" pivotButton="0" quotePrefix="0" xfId="0">
      <alignment horizontal="general" vertical="bottom"/>
    </xf>
    <xf numFmtId="9" fontId="0" fillId="0" borderId="3" applyAlignment="1" pivotButton="0" quotePrefix="0" xfId="0">
      <alignment horizontal="general" vertical="bottom"/>
    </xf>
    <xf numFmtId="0" fontId="0" fillId="0" borderId="0" applyAlignment="1" pivotButton="0" quotePrefix="0" xfId="0">
      <alignment horizontal="right" vertical="bottom" wrapText="1"/>
    </xf>
    <xf numFmtId="0" fontId="12" fillId="8" borderId="0" applyAlignment="1" pivotButton="0" quotePrefix="0" xfId="0">
      <alignment horizontal="center" vertical="center" wrapText="1"/>
    </xf>
    <xf numFmtId="0" fontId="0" fillId="0" borderId="0" applyAlignment="1" pivotButton="0" quotePrefix="0" xfId="0">
      <alignment horizontal="left" vertical="bottom"/>
    </xf>
    <xf numFmtId="171" fontId="0" fillId="0" borderId="0" applyAlignment="1" pivotButton="0" quotePrefix="0" xfId="0">
      <alignment horizontal="general" vertical="bottom"/>
    </xf>
    <xf numFmtId="2" fontId="0" fillId="0" borderId="0" applyAlignment="1" pivotButton="0" quotePrefix="0" xfId="0">
      <alignment horizontal="general" vertical="bottom"/>
    </xf>
    <xf numFmtId="0" fontId="10" fillId="3" borderId="0" applyAlignment="1" pivotButton="0" quotePrefix="0" xfId="0">
      <alignment horizontal="center" vertical="bottom" wrapText="1"/>
    </xf>
    <xf numFmtId="0" fontId="0" fillId="5" borderId="0" applyAlignment="1" pivotButton="0" quotePrefix="0" xfId="0">
      <alignment horizontal="general" vertical="bottom"/>
    </xf>
    <xf numFmtId="0" fontId="18" fillId="0" borderId="0" applyAlignment="1" pivotButton="0" quotePrefix="0" xfId="0">
      <alignment horizontal="general" vertical="bottom"/>
    </xf>
    <xf numFmtId="0" fontId="10" fillId="3" borderId="0" applyAlignment="1" pivotButton="0" quotePrefix="0" xfId="0">
      <alignment horizontal="general" vertical="bottom" wrapText="1"/>
    </xf>
    <xf numFmtId="0" fontId="0" fillId="0" borderId="0" applyAlignment="1" pivotButton="0" quotePrefix="0" xfId="0">
      <alignment horizontal="general" vertical="bottom" wrapText="1"/>
    </xf>
    <xf numFmtId="0" fontId="18" fillId="3" borderId="0" applyAlignment="1" pivotButton="0" quotePrefix="0" xfId="0">
      <alignment horizontal="general" vertical="bottom" wrapText="1"/>
    </xf>
    <xf numFmtId="0" fontId="0" fillId="5" borderId="1" applyAlignment="1" pivotButton="0" quotePrefix="0" xfId="0">
      <alignment horizontal="general" vertical="bottom"/>
    </xf>
    <xf numFmtId="0" fontId="10" fillId="3" borderId="0" applyAlignment="1" pivotButton="0" quotePrefix="0" xfId="0">
      <alignment horizontal="general" vertical="bottom"/>
    </xf>
    <xf numFmtId="0" fontId="10" fillId="3" borderId="0" applyAlignment="1" pivotButton="0" quotePrefix="0" xfId="0">
      <alignment horizontal="center" vertical="bottom"/>
    </xf>
    <xf numFmtId="9" fontId="0" fillId="0" borderId="0" applyAlignment="1" pivotButton="0" quotePrefix="0" xfId="0">
      <alignment horizontal="general" vertical="bottom"/>
    </xf>
    <xf numFmtId="0" fontId="0" fillId="5" borderId="5" applyAlignment="1" pivotButton="0" quotePrefix="0" xfId="0">
      <alignment horizontal="general" vertical="bottom"/>
    </xf>
    <xf numFmtId="0" fontId="0" fillId="0" borderId="0" applyAlignment="1" pivotButton="0" quotePrefix="0" xfId="0">
      <alignment horizontal="general" vertical="bottom"/>
    </xf>
    <xf numFmtId="0" fontId="0" fillId="9" borderId="0" applyAlignment="1" pivotButton="0" quotePrefix="0" xfId="0">
      <alignment horizontal="general" vertical="bottom"/>
    </xf>
    <xf numFmtId="0" fontId="10" fillId="3" borderId="0" applyAlignment="1" pivotButton="0" quotePrefix="0" xfId="0">
      <alignment horizontal="center" vertical="center" wrapText="1"/>
    </xf>
    <xf numFmtId="0" fontId="10" fillId="3" borderId="0" applyAlignment="1" pivotButton="0" quotePrefix="0" xfId="0">
      <alignment horizontal="general" vertical="center" wrapText="1"/>
    </xf>
    <xf numFmtId="0" fontId="0" fillId="10" borderId="0" applyAlignment="1" pivotButton="0" quotePrefix="0" xfId="0">
      <alignment horizontal="center" vertical="bottom"/>
    </xf>
    <xf numFmtId="0" fontId="10" fillId="2" borderId="0" applyAlignment="1" pivotButton="0" quotePrefix="0" xfId="0">
      <alignment horizontal="center" vertical="bottom"/>
    </xf>
    <xf numFmtId="0" fontId="0" fillId="0" borderId="6" applyAlignment="1" pivotButton="0" quotePrefix="0" xfId="0">
      <alignment horizontal="center" vertical="bottom"/>
    </xf>
    <xf numFmtId="165" fontId="0" fillId="0" borderId="3" applyAlignment="1" pivotButton="0" quotePrefix="0" xfId="0">
      <alignment horizontal="general" vertical="bottom"/>
    </xf>
    <xf numFmtId="0" fontId="18" fillId="0" borderId="1" applyAlignment="1" pivotButton="0" quotePrefix="0" xfId="0">
      <alignment horizontal="center" vertical="bottom"/>
    </xf>
    <xf numFmtId="0" fontId="0" fillId="0" borderId="3" applyAlignment="1" pivotButton="0" quotePrefix="0" xfId="0">
      <alignment horizontal="center" vertical="bottom"/>
    </xf>
    <xf numFmtId="0" fontId="0" fillId="0" borderId="7" applyAlignment="1" pivotButton="0" quotePrefix="0" xfId="0">
      <alignment horizontal="center" vertical="bottom"/>
    </xf>
    <xf numFmtId="172" fontId="0" fillId="0" borderId="1" applyAlignment="1" pivotButton="0" quotePrefix="0" xfId="0">
      <alignment horizontal="general" vertical="bottom"/>
    </xf>
    <xf numFmtId="0" fontId="0" fillId="0" borderId="8" applyAlignment="1" pivotButton="0" quotePrefix="0" xfId="0">
      <alignment horizontal="center" vertical="bottom"/>
    </xf>
    <xf numFmtId="165" fontId="0" fillId="0" borderId="9" applyAlignment="1" pivotButton="0" quotePrefix="0" xfId="0">
      <alignment horizontal="general" vertical="bottom"/>
    </xf>
    <xf numFmtId="0" fontId="0" fillId="0" borderId="9" applyAlignment="1" pivotButton="0" quotePrefix="0" xfId="0">
      <alignment horizontal="center" vertical="bottom"/>
    </xf>
    <xf numFmtId="0" fontId="0" fillId="0" borderId="10" applyAlignment="1" pivotButton="0" quotePrefix="0" xfId="0">
      <alignment horizontal="center" vertical="bottom"/>
    </xf>
    <xf numFmtId="172" fontId="0" fillId="9" borderId="0" applyAlignment="1" pivotButton="0" quotePrefix="0" xfId="0">
      <alignment horizontal="general" vertical="bottom"/>
    </xf>
    <xf numFmtId="173" fontId="0" fillId="9" borderId="0" applyAlignment="1" pivotButton="0" quotePrefix="0" xfId="0">
      <alignment horizontal="general" vertical="bottom"/>
    </xf>
    <xf numFmtId="174" fontId="0" fillId="9" borderId="0" applyAlignment="1" pivotButton="0" quotePrefix="0" xfId="0">
      <alignment horizontal="general" vertical="bottom"/>
    </xf>
    <xf numFmtId="175" fontId="0" fillId="9" borderId="0" applyAlignment="1" pivotButton="0" quotePrefix="0" xfId="0">
      <alignment horizontal="general" vertical="bottom"/>
    </xf>
    <xf numFmtId="0" fontId="19" fillId="0" borderId="0" applyAlignment="1" pivotButton="0" quotePrefix="0" xfId="0">
      <alignment horizontal="general" vertical="bottom"/>
    </xf>
    <xf numFmtId="0" fontId="20" fillId="0" borderId="0" applyAlignment="1" pivotButton="0" quotePrefix="0" xfId="0">
      <alignment horizontal="general" vertical="bottom"/>
    </xf>
    <xf numFmtId="0" fontId="0" fillId="0" borderId="0" applyAlignment="1" pivotButton="0" quotePrefix="0" xfId="0">
      <alignment horizontal="center" vertical="center"/>
    </xf>
    <xf numFmtId="0" fontId="0" fillId="0" borderId="11" applyAlignment="1" pivotButton="0" quotePrefix="0" xfId="0">
      <alignment horizontal="center" vertical="bottom"/>
    </xf>
    <xf numFmtId="0" fontId="5" fillId="0" borderId="12" applyAlignment="1" pivotButton="0" quotePrefix="0" xfId="0">
      <alignment horizontal="center" vertical="bottom"/>
    </xf>
    <xf numFmtId="0" fontId="0" fillId="0" borderId="0" applyAlignment="1" pivotButton="0" quotePrefix="0" xfId="0">
      <alignment horizontal="center" vertical="center"/>
    </xf>
    <xf numFmtId="164" fontId="0" fillId="0" borderId="1" applyAlignment="1" pivotButton="0" quotePrefix="0" xfId="0">
      <alignment horizontal="center" vertical="center" wrapText="1"/>
    </xf>
    <xf numFmtId="0" fontId="0" fillId="0" borderId="13" applyAlignment="1" pivotButton="0" quotePrefix="0" xfId="0">
      <alignment horizontal="center" vertical="bottom"/>
    </xf>
    <xf numFmtId="0" fontId="10" fillId="4" borderId="14" applyAlignment="1" pivotButton="0" quotePrefix="0" xfId="0">
      <alignment horizontal="center" vertical="center"/>
    </xf>
    <xf numFmtId="0" fontId="6" fillId="4" borderId="15" applyAlignment="1" pivotButton="0" quotePrefix="0" xfId="0">
      <alignment horizontal="center" vertical="center"/>
    </xf>
    <xf numFmtId="9" fontId="10" fillId="4" borderId="16" applyAlignment="1" pivotButton="0" quotePrefix="0" xfId="0">
      <alignment horizontal="center" vertical="center"/>
    </xf>
    <xf numFmtId="0" fontId="5" fillId="11" borderId="9" applyAlignment="1" pivotButton="0" quotePrefix="0" xfId="0">
      <alignment horizontal="center" vertical="center"/>
    </xf>
    <xf numFmtId="0" fontId="5" fillId="0" borderId="17" applyAlignment="1" pivotButton="0" quotePrefix="0" xfId="0">
      <alignment horizontal="center" vertical="bottom"/>
    </xf>
    <xf numFmtId="9" fontId="21" fillId="0" borderId="18" applyAlignment="1" pivotButton="0" quotePrefix="0" xfId="0">
      <alignment horizontal="center" vertical="center"/>
    </xf>
    <xf numFmtId="0" fontId="19" fillId="0" borderId="0" applyAlignment="1" pivotButton="0" quotePrefix="0" xfId="0">
      <alignment horizontal="center" vertical="center"/>
    </xf>
    <xf numFmtId="0" fontId="20" fillId="0" borderId="0" applyAlignment="1" pivotButton="0" quotePrefix="0" xfId="0">
      <alignment horizontal="center" vertical="center"/>
    </xf>
    <xf numFmtId="0" fontId="0" fillId="12" borderId="0" applyAlignment="1" pivotButton="0" quotePrefix="0" xfId="0">
      <alignment horizontal="center" vertical="center" wrapText="1"/>
    </xf>
    <xf numFmtId="0" fontId="10" fillId="13" borderId="0" applyAlignment="1" pivotButton="0" quotePrefix="0" xfId="0">
      <alignment horizontal="center" vertical="center" wrapText="1"/>
    </xf>
    <xf numFmtId="0" fontId="15" fillId="4" borderId="19" applyAlignment="1" pivotButton="0" quotePrefix="0" xfId="0">
      <alignment horizontal="center" vertical="center" wrapText="1"/>
    </xf>
    <xf numFmtId="0" fontId="15" fillId="4" borderId="0" applyAlignment="1" pivotButton="0" quotePrefix="0" xfId="0">
      <alignment horizontal="center" vertical="center" wrapText="1"/>
    </xf>
    <xf numFmtId="0" fontId="10" fillId="4" borderId="0" applyAlignment="1" pivotButton="0" quotePrefix="0" xfId="0">
      <alignment horizontal="center" vertical="center" wrapText="1"/>
    </xf>
    <xf numFmtId="0" fontId="10" fillId="4" borderId="0" applyAlignment="1" pivotButton="0" quotePrefix="0" xfId="0">
      <alignment horizontal="right" vertical="center" wrapText="1"/>
    </xf>
    <xf numFmtId="9" fontId="0" fillId="14" borderId="1" applyAlignment="1" pivotButton="0" quotePrefix="0" xfId="0">
      <alignment horizontal="general" vertical="bottom"/>
    </xf>
    <xf numFmtId="0" fontId="0" fillId="0" borderId="0" applyAlignment="1" pivotButton="0" quotePrefix="0" xfId="0">
      <alignment horizontal="left" vertical="bottom"/>
    </xf>
    <xf numFmtId="0" fontId="0" fillId="0" borderId="0" applyAlignment="1" pivotButton="0" quotePrefix="0" xfId="0">
      <alignment horizontal="right" vertical="bottom"/>
    </xf>
    <xf numFmtId="0" fontId="0" fillId="0" borderId="1" applyAlignment="1" pivotButton="0" quotePrefix="0" xfId="0">
      <alignment horizontal="right" vertical="bottom"/>
    </xf>
    <xf numFmtId="0" fontId="18" fillId="5" borderId="0" applyAlignment="1" pivotButton="0" quotePrefix="0" xfId="0">
      <alignment horizontal="center" vertical="bottom"/>
    </xf>
    <xf numFmtId="0" fontId="22" fillId="9" borderId="1" applyAlignment="1" pivotButton="0" quotePrefix="0" xfId="0">
      <alignment horizontal="center" vertical="center" wrapText="1"/>
    </xf>
    <xf numFmtId="0" fontId="23" fillId="9" borderId="1" applyAlignment="1" pivotButton="0" quotePrefix="0" xfId="0">
      <alignment horizontal="center" vertical="center" wrapText="1"/>
    </xf>
    <xf numFmtId="0" fontId="23" fillId="5" borderId="1" applyAlignment="1" pivotButton="0" quotePrefix="0" xfId="0">
      <alignment horizontal="center" vertical="center" wrapText="1"/>
    </xf>
    <xf numFmtId="2" fontId="0" fillId="0" borderId="0" applyAlignment="1" pivotButton="0" quotePrefix="0" xfId="0">
      <alignment horizontal="center" vertical="bottom" wrapText="1"/>
    </xf>
    <xf numFmtId="0" fontId="23" fillId="5" borderId="20" applyAlignment="1" pivotButton="0" quotePrefix="0" xfId="0">
      <alignment horizontal="center" vertical="center" wrapText="1"/>
    </xf>
    <xf numFmtId="0" fontId="5" fillId="0" borderId="0" applyAlignment="1" pivotButton="0" quotePrefix="0" xfId="0">
      <alignment horizontal="center" vertical="center" wrapText="1"/>
    </xf>
    <xf numFmtId="0" fontId="0" fillId="0" borderId="0" applyAlignment="1" pivotButton="0" quotePrefix="0" xfId="0">
      <alignment horizontal="general" vertical="bottom" wrapText="1"/>
    </xf>
    <xf numFmtId="0" fontId="0" fillId="0" borderId="0" applyAlignment="1" pivotButton="0" quotePrefix="0" xfId="0">
      <alignment horizontal="general" vertical="bottom" wrapText="1"/>
    </xf>
    <xf numFmtId="176" fontId="0" fillId="0" borderId="0" applyAlignment="1" pivotButton="0" quotePrefix="0" xfId="0">
      <alignment horizontal="general" vertical="bottom"/>
    </xf>
    <xf numFmtId="0" fontId="0" fillId="0" borderId="0" applyAlignment="1" pivotButton="0" quotePrefix="0" xfId="0">
      <alignment horizontal="general" vertical="bottom"/>
    </xf>
    <xf numFmtId="0" fontId="8" fillId="2" borderId="0" applyAlignment="1" pivotButton="0" quotePrefix="0" xfId="0">
      <alignment horizontal="general" vertical="bottom"/>
    </xf>
    <xf numFmtId="0" fontId="24" fillId="3" borderId="0" applyAlignment="1" pivotButton="0" quotePrefix="0" xfId="0">
      <alignment horizontal="center" vertical="center" wrapText="1"/>
    </xf>
    <xf numFmtId="1" fontId="0" fillId="0" borderId="0" applyAlignment="1" pivotButton="0" quotePrefix="0" xfId="0">
      <alignment horizontal="center" vertical="bottom"/>
    </xf>
    <xf numFmtId="1" fontId="8" fillId="2" borderId="0" applyAlignment="1" pivotButton="0" quotePrefix="0" xfId="0">
      <alignment horizontal="center" vertical="bottom"/>
    </xf>
    <xf numFmtId="0" fontId="0" fillId="5" borderId="0" applyAlignment="1" pivotButton="0" quotePrefix="0" xfId="0">
      <alignment horizontal="center" vertical="bottom"/>
    </xf>
    <xf numFmtId="0" fontId="25" fillId="9" borderId="0" applyAlignment="1" pivotButton="0" quotePrefix="0" xfId="0">
      <alignment horizontal="general" vertical="bottom"/>
    </xf>
    <xf numFmtId="0" fontId="10" fillId="2" borderId="0" applyAlignment="1" pivotButton="0" quotePrefix="0" xfId="0">
      <alignment horizontal="general" vertical="bottom"/>
    </xf>
    <xf numFmtId="0" fontId="10" fillId="8" borderId="0" applyAlignment="1" pivotButton="0" quotePrefix="0" xfId="0">
      <alignment horizontal="general" vertical="bottom"/>
    </xf>
    <xf numFmtId="0" fontId="0" fillId="15" borderId="0" applyAlignment="1" pivotButton="0" quotePrefix="0" xfId="0">
      <alignment horizontal="general" vertical="bottom"/>
    </xf>
    <xf numFmtId="169" fontId="0" fillId="0" borderId="0" applyAlignment="1" pivotButton="0" quotePrefix="0" xfId="0">
      <alignment horizontal="general" vertical="bottom"/>
    </xf>
    <xf numFmtId="169" fontId="10" fillId="2" borderId="0" applyAlignment="1" pivotButton="0" quotePrefix="0" xfId="0">
      <alignment horizontal="general" vertical="bottom"/>
    </xf>
    <xf numFmtId="0" fontId="10" fillId="8" borderId="0" applyAlignment="1" pivotButton="0" quotePrefix="0" xfId="0">
      <alignment horizontal="center" vertical="bottom"/>
    </xf>
    <xf numFmtId="0" fontId="26" fillId="0" borderId="0" applyAlignment="1" pivotButton="0" quotePrefix="0" xfId="0">
      <alignment horizontal="general" vertical="bottom"/>
    </xf>
    <xf numFmtId="0" fontId="5" fillId="0" borderId="0" applyAlignment="1" pivotButton="0" quotePrefix="0" xfId="0">
      <alignment horizontal="general" vertical="bottom"/>
    </xf>
    <xf numFmtId="0" fontId="27" fillId="0" borderId="0" applyAlignment="1" pivotButton="0" quotePrefix="0" xfId="0">
      <alignment horizontal="right" vertical="bottom"/>
    </xf>
    <xf numFmtId="0" fontId="27" fillId="0" borderId="0" applyAlignment="1" pivotButton="0" quotePrefix="0" xfId="0">
      <alignment horizontal="general" vertical="bottom"/>
    </xf>
    <xf numFmtId="0" fontId="10" fillId="2" borderId="0" applyAlignment="1" pivotButton="0" quotePrefix="0" xfId="0">
      <alignment horizontal="general" vertical="center" wrapText="1"/>
    </xf>
    <xf numFmtId="0" fontId="26" fillId="2" borderId="0" applyAlignment="1" pivotButton="0" quotePrefix="0" xfId="0">
      <alignment horizontal="general" vertical="center" wrapText="1"/>
    </xf>
    <xf numFmtId="0" fontId="10" fillId="8" borderId="21" applyAlignment="1" pivotButton="0" quotePrefix="0" xfId="0">
      <alignment horizontal="general" vertical="center" wrapText="1"/>
    </xf>
    <xf numFmtId="0" fontId="0" fillId="0" borderId="0" applyAlignment="1" pivotButton="0" quotePrefix="0" xfId="0">
      <alignment horizontal="general" vertical="center" wrapText="1"/>
    </xf>
    <xf numFmtId="0" fontId="0" fillId="0" borderId="0" applyAlignment="1" pivotButton="0" quotePrefix="0" xfId="0">
      <alignment horizontal="general" vertical="center"/>
    </xf>
    <xf numFmtId="0" fontId="0" fillId="0" borderId="0" pivotButton="0" quotePrefix="0" xfId="0"/>
    <xf numFmtId="0" fontId="6" fillId="2" borderId="0" applyAlignment="1" pivotButton="0" quotePrefix="0" xfId="0">
      <alignment horizontal="general" vertical="center" wrapText="1"/>
    </xf>
    <xf numFmtId="0" fontId="0" fillId="0" borderId="1" applyAlignment="1" pivotButton="0" quotePrefix="0" xfId="0">
      <alignment horizontal="general" vertical="center" wrapText="1"/>
    </xf>
    <xf numFmtId="0" fontId="7" fillId="0" borderId="0" applyAlignment="1" pivotButton="0" quotePrefix="0" xfId="0">
      <alignment horizontal="general" vertical="center" wrapText="1"/>
    </xf>
    <xf numFmtId="0" fontId="0" fillId="0" borderId="0" applyAlignment="1" pivotButton="0" quotePrefix="0" xfId="0">
      <alignment horizontal="general" vertical="bottom"/>
    </xf>
    <xf numFmtId="0" fontId="0" fillId="0" borderId="0" applyAlignment="1" pivotButton="0" quotePrefix="0" xfId="0">
      <alignment horizontal="center" vertical="bottom"/>
    </xf>
    <xf numFmtId="164" fontId="0" fillId="0" borderId="0" applyAlignment="1" pivotButton="0" quotePrefix="0" xfId="0">
      <alignment horizontal="center" vertical="bottom"/>
    </xf>
    <xf numFmtId="0" fontId="8" fillId="2" borderId="0" applyAlignment="1" pivotButton="0" quotePrefix="0" xfId="0">
      <alignment horizontal="center" vertical="center" wrapText="1"/>
    </xf>
    <xf numFmtId="0" fontId="9" fillId="3" borderId="2" applyAlignment="1" pivotButton="0" quotePrefix="0" xfId="0">
      <alignment horizontal="center" vertical="center" wrapText="1"/>
    </xf>
    <xf numFmtId="0" fontId="9" fillId="3" borderId="0" applyAlignment="1" pivotButton="0" quotePrefix="0" xfId="0">
      <alignment horizontal="center" vertical="center" wrapText="1"/>
    </xf>
    <xf numFmtId="164" fontId="9" fillId="3" borderId="0" applyAlignment="1" pivotButton="0" quotePrefix="0" xfId="0">
      <alignment horizontal="center" vertical="center" wrapText="1"/>
    </xf>
    <xf numFmtId="0" fontId="0" fillId="0" borderId="0" applyAlignment="1" pivotButton="0" quotePrefix="0" xfId="0">
      <alignment horizontal="center" vertical="center" wrapText="1"/>
    </xf>
    <xf numFmtId="0" fontId="10" fillId="4" borderId="0" applyAlignment="1" pivotButton="0" quotePrefix="0" xfId="0">
      <alignment horizontal="general" vertical="bottom"/>
    </xf>
    <xf numFmtId="0" fontId="11" fillId="5" borderId="0" applyAlignment="1" pivotButton="0" quotePrefix="0" xfId="0">
      <alignment horizontal="center" vertical="bottom"/>
    </xf>
    <xf numFmtId="0" fontId="11" fillId="0" borderId="0" applyAlignment="1" pivotButton="0" quotePrefix="0" xfId="0">
      <alignment horizontal="general" vertical="bottom"/>
    </xf>
    <xf numFmtId="0" fontId="10" fillId="2" borderId="0" applyAlignment="1" pivotButton="0" quotePrefix="0" xfId="0">
      <alignment horizontal="general" vertical="bottom"/>
    </xf>
    <xf numFmtId="0" fontId="0" fillId="0" borderId="1" applyAlignment="1" pivotButton="0" quotePrefix="0" xfId="0">
      <alignment horizontal="center" vertical="bottom"/>
    </xf>
    <xf numFmtId="164" fontId="0" fillId="0" borderId="1" applyAlignment="1" pivotButton="0" quotePrefix="0" xfId="0">
      <alignment horizontal="center" vertical="bottom"/>
    </xf>
    <xf numFmtId="165" fontId="0" fillId="0" borderId="1" applyAlignment="1" pivotButton="0" quotePrefix="0" xfId="0">
      <alignment horizontal="center" vertical="bottom"/>
    </xf>
    <xf numFmtId="165" fontId="0" fillId="0" borderId="1" applyAlignment="1" pivotButton="0" quotePrefix="0" xfId="0">
      <alignment horizontal="general" vertical="bottom"/>
    </xf>
    <xf numFmtId="165" fontId="0" fillId="0" borderId="0" applyAlignment="1" pivotButton="0" quotePrefix="0" xfId="0">
      <alignment horizontal="general" vertical="bottom"/>
    </xf>
    <xf numFmtId="164" fontId="0" fillId="0" borderId="0" applyAlignment="1" pivotButton="0" quotePrefix="0" xfId="0">
      <alignment horizontal="general" vertical="bottom"/>
    </xf>
    <xf numFmtId="0" fontId="12" fillId="2" borderId="1" applyAlignment="1" pivotButton="0" quotePrefix="0" xfId="0">
      <alignment horizontal="center" vertical="bottom"/>
    </xf>
    <xf numFmtId="164" fontId="12" fillId="2" borderId="1" applyAlignment="1" pivotButton="0" quotePrefix="0" xfId="0">
      <alignment horizontal="center" vertical="bottom"/>
    </xf>
    <xf numFmtId="165" fontId="12" fillId="2" borderId="1" applyAlignment="1" pivotButton="0" quotePrefix="0" xfId="0">
      <alignment horizontal="center" vertical="bottom"/>
    </xf>
    <xf numFmtId="165" fontId="12" fillId="2" borderId="1" applyAlignment="1" pivotButton="0" quotePrefix="0" xfId="0">
      <alignment horizontal="general" vertical="bottom"/>
    </xf>
    <xf numFmtId="166" fontId="0" fillId="0" borderId="0" applyAlignment="1" pivotButton="0" quotePrefix="0" xfId="0">
      <alignment horizontal="general" vertical="bottom"/>
    </xf>
    <xf numFmtId="1" fontId="0" fillId="0" borderId="0" applyAlignment="1" pivotButton="0" quotePrefix="0" xfId="0">
      <alignment horizontal="general" vertical="bottom"/>
    </xf>
    <xf numFmtId="164" fontId="13" fillId="0" borderId="0" applyAlignment="1" pivotButton="0" quotePrefix="0" xfId="0">
      <alignment horizontal="general" vertical="bottom"/>
    </xf>
    <xf numFmtId="167" fontId="13" fillId="0" borderId="0" applyAlignment="1" pivotButton="0" quotePrefix="0" xfId="0">
      <alignment horizontal="center" vertical="bottom"/>
    </xf>
    <xf numFmtId="0" fontId="0" fillId="0" borderId="0" applyAlignment="1" pivotButton="0" quotePrefix="0" xfId="0">
      <alignment horizontal="right" vertical="bottom"/>
    </xf>
    <xf numFmtId="168" fontId="0" fillId="0" borderId="0" applyAlignment="1" pivotButton="0" quotePrefix="0" xfId="0">
      <alignment horizontal="right" vertical="bottom"/>
    </xf>
    <xf numFmtId="0" fontId="10" fillId="2" borderId="0" applyAlignment="1" pivotButton="0" quotePrefix="0" xfId="0">
      <alignment horizontal="center" vertical="center" wrapText="1"/>
    </xf>
    <xf numFmtId="0" fontId="14" fillId="2" borderId="0" applyAlignment="1" pivotButton="0" quotePrefix="0" xfId="0">
      <alignment horizontal="center" vertical="center" wrapText="1"/>
    </xf>
    <xf numFmtId="0" fontId="0" fillId="0" borderId="1" applyAlignment="1" pivotButton="0" quotePrefix="0" xfId="0">
      <alignment horizontal="center" vertical="center" wrapText="1"/>
    </xf>
    <xf numFmtId="164" fontId="13" fillId="0" borderId="0" applyAlignment="1" pivotButton="0" quotePrefix="0" xfId="0">
      <alignment horizontal="center" vertical="center" wrapText="1"/>
    </xf>
    <xf numFmtId="167" fontId="13" fillId="0" borderId="1" applyAlignment="1" pivotButton="0" quotePrefix="0" xfId="0">
      <alignment horizontal="center" vertical="center" wrapText="1"/>
    </xf>
    <xf numFmtId="0" fontId="15" fillId="4" borderId="1" applyAlignment="1" pivotButton="0" quotePrefix="0" xfId="0">
      <alignment horizontal="center" vertical="center" wrapText="1"/>
    </xf>
    <xf numFmtId="0" fontId="10" fillId="4" borderId="1" applyAlignment="1" pivotButton="0" quotePrefix="0" xfId="0">
      <alignment horizontal="center" vertical="center" wrapText="1"/>
    </xf>
    <xf numFmtId="0" fontId="10" fillId="6" borderId="0" applyAlignment="1" pivotButton="0" quotePrefix="0" xfId="0">
      <alignment horizontal="center" vertical="center" wrapText="1"/>
    </xf>
    <xf numFmtId="0" fontId="10" fillId="2" borderId="3" applyAlignment="1" pivotButton="0" quotePrefix="0" xfId="0">
      <alignment horizontal="center" vertical="bottom"/>
    </xf>
    <xf numFmtId="169" fontId="0" fillId="0" borderId="0" applyAlignment="1" pivotButton="0" quotePrefix="0" xfId="0">
      <alignment horizontal="center" vertical="bottom"/>
    </xf>
    <xf numFmtId="1" fontId="0" fillId="0" borderId="4" applyAlignment="1" pivotButton="0" quotePrefix="0" xfId="0">
      <alignment horizontal="general" vertical="bottom"/>
    </xf>
    <xf numFmtId="0" fontId="0" fillId="0" borderId="1" applyAlignment="1" pivotButton="0" quotePrefix="0" xfId="0">
      <alignment horizontal="general" vertical="bottom"/>
    </xf>
    <xf numFmtId="0" fontId="16" fillId="0" borderId="0" applyAlignment="1" pivotButton="0" quotePrefix="0" xfId="0">
      <alignment horizontal="general" vertical="bottom"/>
    </xf>
    <xf numFmtId="170" fontId="0" fillId="0" borderId="0" applyAlignment="1" pivotButton="0" quotePrefix="0" xfId="0">
      <alignment horizontal="general" vertical="bottom"/>
    </xf>
    <xf numFmtId="0" fontId="5" fillId="0" borderId="1" applyAlignment="1" pivotButton="0" quotePrefix="0" xfId="0">
      <alignment horizontal="center" vertical="center"/>
    </xf>
    <xf numFmtId="0" fontId="17" fillId="0" borderId="1" applyAlignment="1" pivotButton="0" quotePrefix="0" xfId="0">
      <alignment horizontal="center" vertical="bottom"/>
    </xf>
    <xf numFmtId="0" fontId="5" fillId="0" borderId="1" applyAlignment="1" pivotButton="0" quotePrefix="0" xfId="0">
      <alignment horizontal="center" vertical="bottom"/>
    </xf>
    <xf numFmtId="0" fontId="10" fillId="6" borderId="1" applyAlignment="1" pivotButton="0" quotePrefix="0" xfId="0">
      <alignment horizontal="center" vertical="bottom"/>
    </xf>
    <xf numFmtId="0" fontId="5" fillId="7" borderId="0" applyAlignment="1" pivotButton="0" quotePrefix="0" xfId="0">
      <alignment horizontal="general" vertical="bottom"/>
    </xf>
    <xf numFmtId="49" fontId="0" fillId="0" borderId="1" applyAlignment="1" pivotButton="0" quotePrefix="0" xfId="0">
      <alignment horizontal="general" vertical="bottom"/>
    </xf>
    <xf numFmtId="0" fontId="0" fillId="0" borderId="0" applyAlignment="1" pivotButton="0" quotePrefix="0" xfId="0">
      <alignment horizontal="left" vertical="bottom"/>
    </xf>
    <xf numFmtId="0" fontId="6" fillId="2" borderId="3" applyAlignment="1" pivotButton="0" quotePrefix="0" xfId="0">
      <alignment horizontal="general" vertical="bottom"/>
    </xf>
    <xf numFmtId="9" fontId="0" fillId="0" borderId="3" applyAlignment="1" pivotButton="0" quotePrefix="0" xfId="0">
      <alignment horizontal="general" vertical="bottom"/>
    </xf>
    <xf numFmtId="0" fontId="0" fillId="0" borderId="0" applyAlignment="1" pivotButton="0" quotePrefix="0" xfId="0">
      <alignment horizontal="right" vertical="bottom" wrapText="1"/>
    </xf>
    <xf numFmtId="0" fontId="12" fillId="8" borderId="0" applyAlignment="1" pivotButton="0" quotePrefix="0" xfId="0">
      <alignment horizontal="center" vertical="center" wrapText="1"/>
    </xf>
    <xf numFmtId="171" fontId="0" fillId="0" borderId="0" applyAlignment="1" pivotButton="0" quotePrefix="0" xfId="0">
      <alignment horizontal="general" vertical="bottom"/>
    </xf>
    <xf numFmtId="2" fontId="0" fillId="0" borderId="0" applyAlignment="1" pivotButton="0" quotePrefix="0" xfId="0">
      <alignment horizontal="general" vertical="bottom"/>
    </xf>
    <xf numFmtId="0" fontId="10" fillId="3" borderId="0" applyAlignment="1" pivotButton="0" quotePrefix="0" xfId="0">
      <alignment horizontal="center" vertical="bottom" wrapText="1"/>
    </xf>
    <xf numFmtId="0" fontId="0" fillId="5" borderId="0" applyAlignment="1" pivotButton="0" quotePrefix="0" xfId="0">
      <alignment horizontal="general" vertical="bottom"/>
    </xf>
    <xf numFmtId="0" fontId="18" fillId="0" borderId="0" applyAlignment="1" pivotButton="0" quotePrefix="0" xfId="0">
      <alignment horizontal="general" vertical="bottom"/>
    </xf>
    <xf numFmtId="0" fontId="10" fillId="3" borderId="0" applyAlignment="1" pivotButton="0" quotePrefix="0" xfId="0">
      <alignment horizontal="general" vertical="bottom" wrapText="1"/>
    </xf>
    <xf numFmtId="0" fontId="0" fillId="0" borderId="0" applyAlignment="1" pivotButton="0" quotePrefix="0" xfId="0">
      <alignment horizontal="general" vertical="bottom" wrapText="1"/>
    </xf>
    <xf numFmtId="0" fontId="18" fillId="3" borderId="0" applyAlignment="1" pivotButton="0" quotePrefix="0" xfId="0">
      <alignment horizontal="general" vertical="bottom" wrapText="1"/>
    </xf>
    <xf numFmtId="0" fontId="0" fillId="5" borderId="1" applyAlignment="1" pivotButton="0" quotePrefix="0" xfId="0">
      <alignment horizontal="general" vertical="bottom"/>
    </xf>
    <xf numFmtId="0" fontId="10" fillId="3" borderId="0" applyAlignment="1" pivotButton="0" quotePrefix="0" xfId="0">
      <alignment horizontal="general" vertical="bottom"/>
    </xf>
    <xf numFmtId="0" fontId="10" fillId="3" borderId="0" applyAlignment="1" pivotButton="0" quotePrefix="0" xfId="0">
      <alignment horizontal="center" vertical="bottom"/>
    </xf>
    <xf numFmtId="9" fontId="0" fillId="0" borderId="0" applyAlignment="1" pivotButton="0" quotePrefix="0" xfId="0">
      <alignment horizontal="general" vertical="bottom"/>
    </xf>
    <xf numFmtId="0" fontId="0" fillId="5" borderId="5" applyAlignment="1" pivotButton="0" quotePrefix="0" xfId="0">
      <alignment horizontal="general" vertical="bottom"/>
    </xf>
    <xf numFmtId="0" fontId="0" fillId="9" borderId="0" applyAlignment="1" pivotButton="0" quotePrefix="0" xfId="0">
      <alignment horizontal="general" vertical="bottom"/>
    </xf>
    <xf numFmtId="0" fontId="10" fillId="3" borderId="0" applyAlignment="1" pivotButton="0" quotePrefix="0" xfId="0">
      <alignment horizontal="center" vertical="center" wrapText="1"/>
    </xf>
    <xf numFmtId="0" fontId="10" fillId="3" borderId="0" applyAlignment="1" pivotButton="0" quotePrefix="0" xfId="0">
      <alignment horizontal="general" vertical="center" wrapText="1"/>
    </xf>
    <xf numFmtId="0" fontId="0" fillId="10" borderId="0" applyAlignment="1" pivotButton="0" quotePrefix="0" xfId="0">
      <alignment horizontal="center" vertical="bottom"/>
    </xf>
    <xf numFmtId="0" fontId="10" fillId="2" borderId="0" applyAlignment="1" pivotButton="0" quotePrefix="0" xfId="0">
      <alignment horizontal="center" vertical="bottom"/>
    </xf>
    <xf numFmtId="0" fontId="0" fillId="0" borderId="6" applyAlignment="1" pivotButton="0" quotePrefix="0" xfId="0">
      <alignment horizontal="center" vertical="bottom"/>
    </xf>
    <xf numFmtId="165" fontId="0" fillId="0" borderId="3" applyAlignment="1" pivotButton="0" quotePrefix="0" xfId="0">
      <alignment horizontal="general" vertical="bottom"/>
    </xf>
    <xf numFmtId="0" fontId="18" fillId="0" borderId="1" applyAlignment="1" pivotButton="0" quotePrefix="0" xfId="0">
      <alignment horizontal="center" vertical="bottom"/>
    </xf>
    <xf numFmtId="0" fontId="0" fillId="0" borderId="3" applyAlignment="1" pivotButton="0" quotePrefix="0" xfId="0">
      <alignment horizontal="center" vertical="bottom"/>
    </xf>
    <xf numFmtId="0" fontId="0" fillId="0" borderId="7" applyAlignment="1" pivotButton="0" quotePrefix="0" xfId="0">
      <alignment horizontal="center" vertical="bottom"/>
    </xf>
    <xf numFmtId="172" fontId="0" fillId="0" borderId="1" applyAlignment="1" pivotButton="0" quotePrefix="0" xfId="0">
      <alignment horizontal="general" vertical="bottom"/>
    </xf>
    <xf numFmtId="0" fontId="0" fillId="0" borderId="8" applyAlignment="1" pivotButton="0" quotePrefix="0" xfId="0">
      <alignment horizontal="center" vertical="bottom"/>
    </xf>
    <xf numFmtId="165" fontId="0" fillId="0" borderId="9" applyAlignment="1" pivotButton="0" quotePrefix="0" xfId="0">
      <alignment horizontal="general" vertical="bottom"/>
    </xf>
    <xf numFmtId="0" fontId="0" fillId="0" borderId="9" applyAlignment="1" pivotButton="0" quotePrefix="0" xfId="0">
      <alignment horizontal="center" vertical="bottom"/>
    </xf>
    <xf numFmtId="0" fontId="0" fillId="0" borderId="10" applyAlignment="1" pivotButton="0" quotePrefix="0" xfId="0">
      <alignment horizontal="center" vertical="bottom"/>
    </xf>
    <xf numFmtId="172" fontId="0" fillId="9" borderId="0" applyAlignment="1" pivotButton="0" quotePrefix="0" xfId="0">
      <alignment horizontal="general" vertical="bottom"/>
    </xf>
    <xf numFmtId="173" fontId="0" fillId="9" borderId="0" applyAlignment="1" pivotButton="0" quotePrefix="0" xfId="0">
      <alignment horizontal="general" vertical="bottom"/>
    </xf>
    <xf numFmtId="174" fontId="0" fillId="9" borderId="0" applyAlignment="1" pivotButton="0" quotePrefix="0" xfId="0">
      <alignment horizontal="general" vertical="bottom"/>
    </xf>
    <xf numFmtId="175" fontId="0" fillId="9" borderId="0" applyAlignment="1" pivotButton="0" quotePrefix="0" xfId="0">
      <alignment horizontal="general" vertical="bottom"/>
    </xf>
    <xf numFmtId="0" fontId="19" fillId="0" borderId="0" applyAlignment="1" pivotButton="0" quotePrefix="0" xfId="0">
      <alignment horizontal="general" vertical="bottom"/>
    </xf>
    <xf numFmtId="0" fontId="20" fillId="0" borderId="0" applyAlignment="1" pivotButton="0" quotePrefix="0" xfId="0">
      <alignment horizontal="general" vertical="bottom"/>
    </xf>
    <xf numFmtId="0" fontId="0" fillId="0" borderId="0" applyAlignment="1" pivotButton="0" quotePrefix="0" xfId="0">
      <alignment horizontal="center" vertical="center"/>
    </xf>
    <xf numFmtId="0" fontId="0" fillId="0" borderId="11" applyAlignment="1" pivotButton="0" quotePrefix="0" xfId="0">
      <alignment horizontal="center" vertical="bottom"/>
    </xf>
    <xf numFmtId="0" fontId="5" fillId="0" borderId="12" applyAlignment="1" pivotButton="0" quotePrefix="0" xfId="0">
      <alignment horizontal="center" vertical="bottom"/>
    </xf>
    <xf numFmtId="164" fontId="0" fillId="0" borderId="1" applyAlignment="1" pivotButton="0" quotePrefix="0" xfId="0">
      <alignment horizontal="center" vertical="center" wrapText="1"/>
    </xf>
    <xf numFmtId="0" fontId="0" fillId="0" borderId="13" applyAlignment="1" pivotButton="0" quotePrefix="0" xfId="0">
      <alignment horizontal="center" vertical="bottom"/>
    </xf>
    <xf numFmtId="0" fontId="10" fillId="4" borderId="14" applyAlignment="1" pivotButton="0" quotePrefix="0" xfId="0">
      <alignment horizontal="center" vertical="center"/>
    </xf>
    <xf numFmtId="0" fontId="6" fillId="4" borderId="15" applyAlignment="1" pivotButton="0" quotePrefix="0" xfId="0">
      <alignment horizontal="center" vertical="center"/>
    </xf>
    <xf numFmtId="9" fontId="10" fillId="4" borderId="16" applyAlignment="1" pivotButton="0" quotePrefix="0" xfId="0">
      <alignment horizontal="center" vertical="center"/>
    </xf>
    <xf numFmtId="0" fontId="5" fillId="11" borderId="9" applyAlignment="1" pivotButton="0" quotePrefix="0" xfId="0">
      <alignment horizontal="center" vertical="center"/>
    </xf>
    <xf numFmtId="0" fontId="0" fillId="0" borderId="9" pivotButton="0" quotePrefix="0" xfId="0"/>
    <xf numFmtId="0" fontId="5" fillId="0" borderId="17" applyAlignment="1" pivotButton="0" quotePrefix="0" xfId="0">
      <alignment horizontal="center" vertical="bottom"/>
    </xf>
    <xf numFmtId="9" fontId="21" fillId="0" borderId="18" applyAlignment="1" pivotButton="0" quotePrefix="0" xfId="0">
      <alignment horizontal="center" vertical="center"/>
    </xf>
    <xf numFmtId="0" fontId="19" fillId="0" borderId="0" applyAlignment="1" pivotButton="0" quotePrefix="0" xfId="0">
      <alignment horizontal="center" vertical="center"/>
    </xf>
    <xf numFmtId="0" fontId="20" fillId="0" borderId="0" applyAlignment="1" pivotButton="0" quotePrefix="0" xfId="0">
      <alignment horizontal="center" vertical="center"/>
    </xf>
    <xf numFmtId="0" fontId="0" fillId="12" borderId="0" applyAlignment="1" pivotButton="0" quotePrefix="0" xfId="0">
      <alignment horizontal="center" vertical="center" wrapText="1"/>
    </xf>
    <xf numFmtId="0" fontId="10" fillId="13" borderId="0" applyAlignment="1" pivotButton="0" quotePrefix="0" xfId="0">
      <alignment horizontal="center" vertical="center" wrapText="1"/>
    </xf>
    <xf numFmtId="0" fontId="15" fillId="4" borderId="19" applyAlignment="1" pivotButton="0" quotePrefix="0" xfId="0">
      <alignment horizontal="center" vertical="center" wrapText="1"/>
    </xf>
    <xf numFmtId="0" fontId="15" fillId="4" borderId="0" applyAlignment="1" pivotButton="0" quotePrefix="0" xfId="0">
      <alignment horizontal="center" vertical="center" wrapText="1"/>
    </xf>
    <xf numFmtId="0" fontId="10" fillId="4" borderId="0" applyAlignment="1" pivotButton="0" quotePrefix="0" xfId="0">
      <alignment horizontal="center" vertical="center" wrapText="1"/>
    </xf>
    <xf numFmtId="0" fontId="10" fillId="4" borderId="0" applyAlignment="1" pivotButton="0" quotePrefix="0" xfId="0">
      <alignment horizontal="right" vertical="center" wrapText="1"/>
    </xf>
    <xf numFmtId="9" fontId="0" fillId="14" borderId="1" applyAlignment="1" pivotButton="0" quotePrefix="0" xfId="0">
      <alignment horizontal="general" vertical="bottom"/>
    </xf>
    <xf numFmtId="0" fontId="0" fillId="0" borderId="1" applyAlignment="1" pivotButton="0" quotePrefix="0" xfId="0">
      <alignment horizontal="right" vertical="bottom"/>
    </xf>
    <xf numFmtId="0" fontId="18" fillId="5" borderId="0" applyAlignment="1" pivotButton="0" quotePrefix="0" xfId="0">
      <alignment horizontal="center" vertical="bottom"/>
    </xf>
    <xf numFmtId="0" fontId="22" fillId="9" borderId="1" applyAlignment="1" pivotButton="0" quotePrefix="0" xfId="0">
      <alignment horizontal="center" vertical="center" wrapText="1"/>
    </xf>
    <xf numFmtId="0" fontId="23" fillId="9" borderId="1" applyAlignment="1" pivotButton="0" quotePrefix="0" xfId="0">
      <alignment horizontal="center" vertical="center" wrapText="1"/>
    </xf>
    <xf numFmtId="0" fontId="23" fillId="5" borderId="1" applyAlignment="1" pivotButton="0" quotePrefix="0" xfId="0">
      <alignment horizontal="center" vertical="center" wrapText="1"/>
    </xf>
    <xf numFmtId="2" fontId="0" fillId="0" borderId="0" applyAlignment="1" pivotButton="0" quotePrefix="0" xfId="0">
      <alignment horizontal="center" vertical="bottom" wrapText="1"/>
    </xf>
    <xf numFmtId="0" fontId="23" fillId="5" borderId="20" applyAlignment="1" pivotButton="0" quotePrefix="0" xfId="0">
      <alignment horizontal="center" vertical="center" wrapText="1"/>
    </xf>
    <xf numFmtId="0" fontId="5" fillId="0" borderId="0" applyAlignment="1" pivotButton="0" quotePrefix="0" xfId="0">
      <alignment horizontal="center" vertical="center" wrapText="1"/>
    </xf>
    <xf numFmtId="176" fontId="0" fillId="0" borderId="0" applyAlignment="1" pivotButton="0" quotePrefix="0" xfId="0">
      <alignment horizontal="general" vertical="bottom"/>
    </xf>
    <xf numFmtId="0" fontId="8" fillId="2" borderId="0" applyAlignment="1" pivotButton="0" quotePrefix="0" xfId="0">
      <alignment horizontal="general" vertical="bottom"/>
    </xf>
    <xf numFmtId="0" fontId="24" fillId="3" borderId="0" applyAlignment="1" pivotButton="0" quotePrefix="0" xfId="0">
      <alignment horizontal="center" vertical="center" wrapText="1"/>
    </xf>
    <xf numFmtId="1" fontId="0" fillId="0" borderId="0" applyAlignment="1" pivotButton="0" quotePrefix="0" xfId="0">
      <alignment horizontal="center" vertical="bottom"/>
    </xf>
    <xf numFmtId="1" fontId="8" fillId="2" borderId="0" applyAlignment="1" pivotButton="0" quotePrefix="0" xfId="0">
      <alignment horizontal="center" vertical="bottom"/>
    </xf>
    <xf numFmtId="0" fontId="0" fillId="5" borderId="0" applyAlignment="1" pivotButton="0" quotePrefix="0" xfId="0">
      <alignment horizontal="center" vertical="bottom"/>
    </xf>
    <xf numFmtId="0" fontId="25" fillId="9" borderId="0" applyAlignment="1" pivotButton="0" quotePrefix="0" xfId="0">
      <alignment horizontal="general" vertical="bottom"/>
    </xf>
    <xf numFmtId="0" fontId="10" fillId="8" borderId="0" applyAlignment="1" pivotButton="0" quotePrefix="0" xfId="0">
      <alignment horizontal="general" vertical="bottom"/>
    </xf>
    <xf numFmtId="0" fontId="0" fillId="15" borderId="0" applyAlignment="1" pivotButton="0" quotePrefix="0" xfId="0">
      <alignment horizontal="general" vertical="bottom"/>
    </xf>
    <xf numFmtId="169" fontId="0" fillId="0" borderId="0" applyAlignment="1" pivotButton="0" quotePrefix="0" xfId="0">
      <alignment horizontal="general" vertical="bottom"/>
    </xf>
    <xf numFmtId="169" fontId="10" fillId="2" borderId="0" applyAlignment="1" pivotButton="0" quotePrefix="0" xfId="0">
      <alignment horizontal="general" vertical="bottom"/>
    </xf>
    <xf numFmtId="0" fontId="10" fillId="8" borderId="0" applyAlignment="1" pivotButton="0" quotePrefix="0" xfId="0">
      <alignment horizontal="center" vertical="bottom"/>
    </xf>
    <xf numFmtId="0" fontId="26" fillId="0" borderId="0" applyAlignment="1" pivotButton="0" quotePrefix="0" xfId="0">
      <alignment horizontal="general" vertical="bottom"/>
    </xf>
    <xf numFmtId="0" fontId="5" fillId="0" borderId="0" applyAlignment="1" pivotButton="0" quotePrefix="0" xfId="0">
      <alignment horizontal="general" vertical="bottom"/>
    </xf>
    <xf numFmtId="0" fontId="27" fillId="0" borderId="0" applyAlignment="1" pivotButton="0" quotePrefix="0" xfId="0">
      <alignment horizontal="right" vertical="bottom"/>
    </xf>
    <xf numFmtId="0" fontId="27" fillId="0" borderId="0" applyAlignment="1" pivotButton="0" quotePrefix="0" xfId="0">
      <alignment horizontal="general" vertical="bottom"/>
    </xf>
    <xf numFmtId="0" fontId="10" fillId="2" borderId="0" applyAlignment="1" pivotButton="0" quotePrefix="0" xfId="0">
      <alignment horizontal="general" vertical="center" wrapText="1"/>
    </xf>
    <xf numFmtId="0" fontId="26" fillId="2" borderId="0" applyAlignment="1" pivotButton="0" quotePrefix="0" xfId="0">
      <alignment horizontal="general" vertical="center" wrapText="1"/>
    </xf>
    <xf numFmtId="0" fontId="10" fillId="8" borderId="21" applyAlignment="1" pivotButton="0" quotePrefix="0" xfId="0">
      <alignment horizontal="general" vertical="center" wrapText="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Normal 2" xfId="6"/>
    <cellStyle name="Pivot Table Category" xfId="7"/>
    <cellStyle name="Pivot Table Corner" xfId="8"/>
    <cellStyle name="Pivot Table Field" xfId="9"/>
    <cellStyle name="Pivot Table Result" xfId="10"/>
    <cellStyle name="Pivot Table Title" xfId="11"/>
    <cellStyle name="Pivot Table Value" xfId="12"/>
  </cellStyles>
  <dxfs count="6">
    <dxf>
      <font>
        <color rgb="FF006100"/>
      </font>
      <fill>
        <patternFill>
          <bgColor rgb="FFC6EFCE"/>
        </patternFill>
      </fill>
    </dxf>
    <dxf>
      <font>
        <color rgb="FF9C0006"/>
      </font>
      <fill>
        <patternFill>
          <bgColor rgb="FFFFC7CE"/>
        </patternFill>
      </fill>
    </dxf>
    <dxf>
      <font>
        <color rgb="FF006100"/>
      </font>
      <fill>
        <patternFill>
          <bgColor rgb="FFFFE699"/>
        </patternFill>
      </fill>
    </dxf>
    <dxf>
      <font>
        <color rgb="FF9C5700"/>
      </font>
      <fill>
        <patternFill>
          <bgColor rgb="FFFFEB9C"/>
        </patternFill>
      </fill>
    </dxf>
    <dxf>
      <fill>
        <patternFill>
          <bgColor rgb="FFFF0000"/>
        </patternFill>
      </fill>
    </dxf>
    <dxf>
      <fill>
        <patternFill>
          <bgColor rgb="FFC5E0B4"/>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548235"/>
      <rgbColor rgb="FFC00000"/>
      <rgbColor rgb="FF008080"/>
      <rgbColor rgb="FFB4C7E7"/>
      <rgbColor rgb="FF747678"/>
      <rgbColor rgb="FFA9D18E"/>
      <rgbColor rgb="FF7030A0"/>
      <rgbColor rgb="FFFFF2CC"/>
      <rgbColor rgb="FFE2F0D9"/>
      <rgbColor rgb="FF660066"/>
      <rgbColor rgb="FFFF8080"/>
      <rgbColor rgb="FF0066CC"/>
      <rgbColor rgb="FFD6DCE5"/>
      <rgbColor rgb="FF000080"/>
      <rgbColor rgb="FFFF00FF"/>
      <rgbColor rgb="FFFFE699"/>
      <rgbColor rgb="FF00FFFF"/>
      <rgbColor rgb="FF800080"/>
      <rgbColor rgb="FFAA0000"/>
      <rgbColor rgb="FF008080"/>
      <rgbColor rgb="FF0000FF"/>
      <rgbColor rgb="FF00CCFF"/>
      <rgbColor rgb="FFF2F2F2"/>
      <rgbColor rgb="FFC6EFCE"/>
      <rgbColor rgb="FFFFEB9C"/>
      <rgbColor rgb="FFC5E0B4"/>
      <rgbColor rgb="FFFF9999"/>
      <rgbColor rgb="FFEDEDED"/>
      <rgbColor rgb="FFFFC7CE"/>
      <rgbColor rgb="FF3366FF"/>
      <rgbColor rgb="FF33CCCC"/>
      <rgbColor rgb="FF92D050"/>
      <rgbColor rgb="FFFFD966"/>
      <rgbColor rgb="FFFF9900"/>
      <rgbColor rgb="FFED7D31"/>
      <rgbColor rgb="FF595959"/>
      <rgbColor rgb="FFA5A5A5"/>
      <rgbColor rgb="FF002060"/>
      <rgbColor rgb="FF339966"/>
      <rgbColor rgb="FF003300"/>
      <rgbColor rgb="FF385724"/>
      <rgbColor rgb="FF9C5700"/>
      <rgbColor rgb="FFC55A11"/>
      <rgbColor rgb="FF1F4E79"/>
      <rgbColor rgb="FF203864"/>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Relationships xmlns="http://schemas.openxmlformats.org/package/2006/relationships"><Relationship Type="http://schemas.openxmlformats.org/officeDocument/2006/relationships/hyperlink" Target="https://www.rotowire.com/football/injury-report.php" TargetMode="External" Id="rId1" /></Relationships>
</file>

<file path=xl/worksheets/_rels/sheet16.xml.rels><Relationships xmlns="http://schemas.openxmlformats.org/package/2006/relationships"><Relationship Type="http://schemas.openxmlformats.org/officeDocument/2006/relationships/hyperlink" Target="https://www.pro-football-reference.com/years/2024/index.htm" TargetMode="External" Id="rId1" /></Relationships>
</file>

<file path=xl/worksheets/_rels/sheet18.xml.rels><Relationships xmlns="http://schemas.openxmlformats.org/package/2006/relationships"><Relationship Type="http://schemas.openxmlformats.org/officeDocument/2006/relationships/hyperlink" Target="https://www.rotowire.com/football/player-stats.php" TargetMode="External" Id="rId1" /></Relationships>
</file>

<file path=xl/worksheets/_rels/sheet19.xml.rels><Relationships xmlns="http://schemas.openxmlformats.org/package/2006/relationships"><Relationship Type="http://schemas.openxmlformats.org/officeDocument/2006/relationships/hyperlink" Target="https://www.rotowire.com/football/player-stats.php?view=rushing" TargetMode="External" Id="rId1" /></Relationships>
</file>

<file path=xl/worksheets/_rels/sheet20.xml.rels><Relationships xmlns="http://schemas.openxmlformats.org/package/2006/relationships"><Relationship Type="http://schemas.openxmlformats.org/officeDocument/2006/relationships/hyperlink" Target="https://www.rotowire.com/football/player-stats.php?view=receiving" TargetMode="External" Id="rId1" /></Relationships>
</file>

<file path=xl/worksheets/_rels/sheet21.xml.rels><Relationships xmlns="http://schemas.openxmlformats.org/package/2006/relationships"><Relationship Type="http://schemas.openxmlformats.org/officeDocument/2006/relationships/hyperlink" Target="https://www.rotowire.com/football/player-stats.php?view=kicking" TargetMode="External" Id="rId1" /></Relationships>
</file>

<file path=xl/worksheets/_rels/sheet22.xml.rels><Relationships xmlns="http://schemas.openxmlformats.org/package/2006/relationships"><Relationship Type="http://schemas.openxmlformats.org/officeDocument/2006/relationships/hyperlink" Target="https://www.rotowire.com/football/player-stats.php?view=defense" TargetMode="External" Id="rId1" /></Relationships>
</file>

<file path=xl/worksheets/_rels/sheet23.xml.rels><Relationships xmlns="http://schemas.openxmlformats.org/package/2006/relationships"><Relationship Type="http://schemas.openxmlformats.org/officeDocument/2006/relationships/hyperlink" Target="https://www.rotowire.com/football/player-stats.php?view=returns" TargetMode="External" Id="rId1" /></Relationships>
</file>

<file path=xl/worksheets/sheet1.xml><?xml version="1.0" encoding="utf-8"?>
<worksheet xmlns="http://schemas.openxmlformats.org/spreadsheetml/2006/main">
  <sheetPr filterMode="0">
    <tabColor rgb="FFFF9999"/>
    <outlinePr summaryBelow="1" summaryRight="1"/>
    <pageSetUpPr fitToPage="0"/>
  </sheetPr>
  <dimension ref="A1:A15"/>
  <sheetViews>
    <sheetView showFormulas="0" showGridLines="0" showRowColHeaders="1" showZeros="1" rightToLeft="0" tabSelected="0" showOutlineSymbols="1" defaultGridColor="1" view="normal" topLeftCell="A1" colorId="64" zoomScale="95" zoomScaleNormal="95" zoomScalePageLayoutView="100" workbookViewId="0">
      <selection pane="topLeft" activeCell="A21" activeCellId="0" sqref="A21"/>
    </sheetView>
  </sheetViews>
  <sheetFormatPr baseColWidth="8" defaultColWidth="9.13671875" defaultRowHeight="14.4" zeroHeight="0" outlineLevelRow="0"/>
  <cols>
    <col width="103" customWidth="1" style="150" min="1" max="1"/>
    <col width="9.130000000000001" customWidth="1" style="151" min="2" max="1024"/>
  </cols>
  <sheetData>
    <row r="1" ht="14.4" customHeight="1" s="152">
      <c r="A1" s="153" t="inlineStr">
        <is>
          <t>When rolling the file forward from week to week, follow the instructions and steps below</t>
        </is>
      </c>
    </row>
    <row r="2" ht="22.5" customHeight="1" s="152">
      <c r="A2" s="154" t="inlineStr">
        <is>
          <t>1) Update scores from previous week in Schedule sheet</t>
        </is>
      </c>
    </row>
    <row r="3" ht="31.5" customHeight="1" s="152">
      <c r="A3" s="154" t="inlineStr">
        <is>
          <t>2) Change cell L1 in schedule sheet to the new current week number</t>
        </is>
      </c>
    </row>
    <row r="4" ht="57.75" customHeight="1" s="152">
      <c r="A4" s="154" t="inlineStr">
        <is>
          <t xml:space="preserve">3) Optional - Freeze the prior week's results in the cube by copy -&gt;pasting values in the appropriate columns related to the prior week. This step is only necessary if you want to maintain historical records that are not simulations of the current week's information. </t>
        </is>
      </c>
    </row>
    <row r="5" ht="52.5" customHeight="1" s="152">
      <c r="A5" s="154" t="inlineStr">
        <is>
          <t>4) Update stats sheets from rotowire and paste them into corresponding sheets, links are found in all the sheets listed; Injury Report, Pass, Rushing, Receiving, Kicking, Defense, Returns</t>
        </is>
      </c>
    </row>
    <row r="6" ht="32.25" customHeight="1" s="152">
      <c r="A6" s="154" t="inlineStr">
        <is>
          <t>5) Update Depth Charts from Rotowire for sheets: QB, RB, WR, TE, K</t>
        </is>
      </c>
    </row>
    <row r="7" ht="48" customHeight="1" s="152">
      <c r="A7" s="154" t="inlineStr">
        <is>
          <t>6) Update Standings sheet from pro-reference, this process is a bit cumbersome and manual due to format of the table - see video tutorial for specific details</t>
        </is>
      </c>
    </row>
    <row r="8" ht="41.25" customHeight="1" s="152">
      <c r="A8" s="154" t="inlineStr">
        <is>
          <t>7) Update and paste current odds from Rotowire, don't paste over Thursday night game if it has already occurred, leave entire week's odds in the Odds sheet.</t>
        </is>
      </c>
    </row>
    <row r="9" ht="47.25" customHeight="1" s="152">
      <c r="A9" s="154" t="inlineStr">
        <is>
          <t>8)  In Season Pivot sheet, choose week of projections you need and copy area from column F to Column R and paste as values in Cube sheet in L at the desired row where that week starts. (see video)</t>
        </is>
      </c>
    </row>
    <row r="10" ht="14.4" customHeight="1" s="152">
      <c r="A10" s="154" t="inlineStr">
        <is>
          <t>9) Refresh ProjPVT sheet pivot table</t>
        </is>
      </c>
    </row>
    <row r="11" ht="30.75" customHeight="1" s="152">
      <c r="A11" s="154" t="inlineStr">
        <is>
          <t>10) Refresh Picks sheet pivot table and you should now see current week's projections in the Picks sheet.</t>
        </is>
      </c>
    </row>
    <row r="13" ht="28.8" customHeight="1" s="152">
      <c r="A13" s="150" t="inlineStr">
        <is>
          <t>*Additional work to gather all players and add them to depth charts if they do not appear (see video). Also review the Allplayers sheet to find and correct and errors that are material.</t>
        </is>
      </c>
    </row>
    <row r="15" ht="14.4" customHeight="1" s="152">
      <c r="A15" s="155" t="inlineStr">
        <is>
          <t>May all your picks be winning!</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tabColor rgb="FFFFD966"/>
    <outlinePr summaryBelow="1" summaryRight="1"/>
    <pageSetUpPr fitToPage="0"/>
  </sheetPr>
  <dimension ref="A1:U571"/>
  <sheetViews>
    <sheetView showFormulas="0" showGridLines="0"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L1" activeCellId="0" sqref="L1"/>
    </sheetView>
  </sheetViews>
  <sheetFormatPr baseColWidth="8" defaultColWidth="8.796875" defaultRowHeight="14.4" zeroHeight="0" outlineLevelRow="0"/>
  <cols>
    <col width="27.45" customWidth="1" style="156" min="1" max="1"/>
    <col width="10.12" customWidth="1" style="157" min="2" max="2"/>
    <col width="7.11" customWidth="1" style="157" min="3" max="3"/>
    <col width="17.11" customWidth="1" style="158" min="4" max="4"/>
    <col width="28.45" customWidth="1" style="157" min="5" max="5"/>
    <col width="8.56" customWidth="1" style="157" min="6" max="6"/>
    <col width="12.66" customWidth="1" style="157" min="7" max="7"/>
    <col width="28.45" customWidth="1" style="157" min="8" max="8"/>
    <col width="8.44" customWidth="1" style="156" min="9" max="9"/>
    <col width="13.43" customWidth="1" style="156" min="10" max="10"/>
    <col width="25.11" customWidth="1" style="156" min="11" max="11"/>
    <col width="10.12" customWidth="1" style="156" min="13" max="13"/>
    <col width="31.43" customWidth="1" style="156" min="14" max="14"/>
    <col width="8.33" customWidth="1" style="156" min="16" max="16"/>
    <col width="13.43" customWidth="1" style="156" min="17" max="17"/>
    <col width="4.1" customWidth="1" style="156" min="18" max="18"/>
    <col width="18.33" customWidth="1" style="156" min="19" max="19"/>
    <col width="9.66" customWidth="1" style="156" min="20" max="20"/>
  </cols>
  <sheetData>
    <row r="1" ht="27.6" customHeight="1" s="152">
      <c r="A1" s="159" t="inlineStr">
        <is>
          <t>Wk-Team Combo</t>
        </is>
      </c>
      <c r="B1" s="160" t="inlineStr">
        <is>
          <t>Week</t>
        </is>
      </c>
      <c r="C1" s="161" t="inlineStr">
        <is>
          <t>Day</t>
        </is>
      </c>
      <c r="D1" s="161" t="inlineStr">
        <is>
          <t>Date</t>
        </is>
      </c>
      <c r="E1" s="162" t="inlineStr">
        <is>
          <t>Team</t>
        </is>
      </c>
      <c r="F1" s="163" t="inlineStr">
        <is>
          <t>Team PTS</t>
        </is>
      </c>
      <c r="G1" s="161" t="inlineStr">
        <is>
          <t>Home or Away</t>
        </is>
      </c>
      <c r="H1" s="161" t="inlineStr">
        <is>
          <t>Opposing Team</t>
        </is>
      </c>
      <c r="I1" s="163" t="inlineStr">
        <is>
          <t>OPP PTS</t>
        </is>
      </c>
      <c r="J1" s="161" t="inlineStr">
        <is>
          <t>Time</t>
        </is>
      </c>
      <c r="K1" s="164" t="inlineStr">
        <is>
          <t>WinString</t>
        </is>
      </c>
      <c r="L1" s="165" t="n">
        <v>3</v>
      </c>
      <c r="M1" s="166" t="inlineStr">
        <is>
          <t xml:space="preserve"> &lt;-- Should be the Current Week Number</t>
        </is>
      </c>
      <c r="O1" s="156" t="inlineStr">
        <is>
          <t>Win Count</t>
        </is>
      </c>
    </row>
    <row r="2" ht="14.4" customHeight="1" s="152">
      <c r="A2" s="167">
        <f>B2&amp;E2</f>
        <v/>
      </c>
      <c r="B2" s="168" t="n">
        <v>1</v>
      </c>
      <c r="C2" s="168" t="inlineStr">
        <is>
          <t>Thursday</t>
        </is>
      </c>
      <c r="D2" s="169" t="inlineStr">
        <is>
          <t>2025-09-04</t>
        </is>
      </c>
      <c r="E2" s="168" t="inlineStr">
        <is>
          <t>Dallas Cowboys</t>
        </is>
      </c>
      <c r="F2" s="156" t="n">
        <v>20</v>
      </c>
      <c r="G2" s="168" t="inlineStr">
        <is>
          <t>Away</t>
        </is>
      </c>
      <c r="H2" s="170" t="inlineStr">
        <is>
          <t>Philadelphia Eagles</t>
        </is>
      </c>
      <c r="I2" s="156" t="n">
        <v>24</v>
      </c>
      <c r="J2" s="171" t="inlineStr">
        <is>
          <t>08:20 PM</t>
        </is>
      </c>
      <c r="K2" s="156">
        <f>IF(AND(F2=0,I2=0),"",IF(F2&gt;I2,B2&amp;E2,IF(F2&lt;I2,B2&amp;H2,"Tie")))</f>
        <v/>
      </c>
      <c r="L2" s="156">
        <f>IFERROR(IF(AND(B2&lt;$L$1,F2&gt;I2),"Win",IF(AND(B2&lt;$L$1,F2&lt;I2),"Loss","")),"")</f>
        <v/>
      </c>
      <c r="M2" s="156">
        <f>IF(B2&lt;_CurWeek,"In","")</f>
        <v/>
      </c>
      <c r="N2" s="156">
        <f>IF(M2="In",E2&amp;G2,"")</f>
        <v/>
      </c>
      <c r="O2" s="156">
        <f>IF(L2="Win",1,0)</f>
        <v/>
      </c>
      <c r="U2" s="172" t="n"/>
    </row>
    <row r="3" ht="14.4" customHeight="1" s="152">
      <c r="A3" s="167">
        <f>B3&amp;E3</f>
        <v/>
      </c>
      <c r="B3" s="168" t="n">
        <v>1</v>
      </c>
      <c r="C3" s="168" t="inlineStr">
        <is>
          <t>Friday</t>
        </is>
      </c>
      <c r="D3" s="169" t="inlineStr">
        <is>
          <t>2025-09-05</t>
        </is>
      </c>
      <c r="E3" s="168" t="inlineStr">
        <is>
          <t>Kansas City Chiefs</t>
        </is>
      </c>
      <c r="F3" s="156" t="n">
        <v>21</v>
      </c>
      <c r="G3" s="168" t="inlineStr">
        <is>
          <t>Away</t>
        </is>
      </c>
      <c r="H3" s="170" t="inlineStr">
        <is>
          <t>Los Angeles Chargers</t>
        </is>
      </c>
      <c r="I3" s="156" t="n">
        <v>27</v>
      </c>
      <c r="J3" s="171" t="inlineStr">
        <is>
          <t>08:00 PM</t>
        </is>
      </c>
      <c r="K3" s="156">
        <f>IF(AND(F3=0,I3=0),"",IF(F3&gt;I3,B3&amp;E3,IF(F3&lt;I3,B3&amp;H3,"Tie")))</f>
        <v/>
      </c>
      <c r="L3" s="156">
        <f>IFERROR(IF(AND(B3&lt;$L$1,F3&gt;I3),"Win",IF(AND(B3&lt;$L$1,F3&lt;I3),"Loss","")),"")</f>
        <v/>
      </c>
      <c r="M3" s="156">
        <f>IF(B3&lt;_CurWeek,"In","")</f>
        <v/>
      </c>
      <c r="N3" s="156">
        <f>IF(M3="In",E3&amp;G3,"")</f>
        <v/>
      </c>
      <c r="O3" s="156">
        <f>IF(L3="Win",1,0)</f>
        <v/>
      </c>
      <c r="U3" s="172" t="n"/>
    </row>
    <row r="4" ht="14.4" customHeight="1" s="152">
      <c r="A4" s="167">
        <f>B4&amp;E4</f>
        <v/>
      </c>
      <c r="B4" s="168" t="n">
        <v>1</v>
      </c>
      <c r="C4" s="168" t="inlineStr">
        <is>
          <t>Sunday</t>
        </is>
      </c>
      <c r="D4" s="169" t="inlineStr">
        <is>
          <t>2025-09-07</t>
        </is>
      </c>
      <c r="E4" s="168" t="inlineStr">
        <is>
          <t>Tampa Bay Buccaneers</t>
        </is>
      </c>
      <c r="F4" s="156" t="n">
        <v>23</v>
      </c>
      <c r="G4" s="168" t="inlineStr">
        <is>
          <t>Away</t>
        </is>
      </c>
      <c r="H4" s="170" t="inlineStr">
        <is>
          <t>Atlanta Falcons</t>
        </is>
      </c>
      <c r="I4" s="156" t="n">
        <v>20</v>
      </c>
      <c r="J4" s="171" t="inlineStr">
        <is>
          <t>01:00 PM</t>
        </is>
      </c>
      <c r="K4" s="156">
        <f>IF(AND(F4=0,I4=0),"",IF(F4&gt;I4,B4&amp;E4,IF(F4&lt;I4,B4&amp;H4,"Tie")))</f>
        <v/>
      </c>
      <c r="L4" s="156">
        <f>IFERROR(IF(AND(B4&lt;$L$1,F4&gt;I4),"Win",IF(AND(B4&lt;$L$1,F4&lt;I4),"Loss","")),"")</f>
        <v/>
      </c>
      <c r="M4" s="156">
        <f>IF(B4&lt;_CurWeek,"In","")</f>
        <v/>
      </c>
      <c r="N4" s="156">
        <f>IF(M4="In",E4&amp;G4,"")</f>
        <v/>
      </c>
      <c r="O4" s="156">
        <f>IF(L4="Win",1,0)</f>
        <v/>
      </c>
      <c r="U4" s="172" t="n"/>
    </row>
    <row r="5" ht="14.4" customHeight="1" s="152">
      <c r="A5" s="167">
        <f>B5&amp;E5</f>
        <v/>
      </c>
      <c r="B5" s="168" t="n">
        <v>1</v>
      </c>
      <c r="C5" s="168" t="inlineStr">
        <is>
          <t>Sunday</t>
        </is>
      </c>
      <c r="D5" s="169" t="inlineStr">
        <is>
          <t>2025-09-07</t>
        </is>
      </c>
      <c r="E5" s="168" t="inlineStr">
        <is>
          <t>Cincinnati Bengals</t>
        </is>
      </c>
      <c r="F5" s="156" t="n">
        <v>17</v>
      </c>
      <c r="G5" s="168" t="inlineStr">
        <is>
          <t>Away</t>
        </is>
      </c>
      <c r="H5" s="170" t="inlineStr">
        <is>
          <t>Cleveland Browns</t>
        </is>
      </c>
      <c r="I5" s="156" t="n">
        <v>16</v>
      </c>
      <c r="J5" s="171" t="inlineStr">
        <is>
          <t>01:00 PM</t>
        </is>
      </c>
      <c r="K5" s="156">
        <f>IF(AND(F5=0,I5=0),"",IF(F5&gt;I5,B5&amp;E5,IF(F5&lt;I5,B5&amp;H5,"Tie")))</f>
        <v/>
      </c>
      <c r="L5" s="156">
        <f>IFERROR(IF(AND(B5&lt;$L$1,F5&gt;I5),"Win",IF(AND(B5&lt;$L$1,F5&lt;I5),"Loss","")),"")</f>
        <v/>
      </c>
      <c r="M5" s="156">
        <f>IF(B5&lt;_CurWeek,"In","")</f>
        <v/>
      </c>
      <c r="N5" s="156">
        <f>IF(M5="In",E5&amp;G5,"")</f>
        <v/>
      </c>
      <c r="O5" s="156">
        <f>IF(L5="Win",1,0)</f>
        <v/>
      </c>
      <c r="U5" s="172" t="n"/>
    </row>
    <row r="6" ht="14.4" customHeight="1" s="152">
      <c r="A6" s="167">
        <f>B6&amp;E6</f>
        <v/>
      </c>
      <c r="B6" s="168" t="n">
        <v>1</v>
      </c>
      <c r="C6" s="168" t="inlineStr">
        <is>
          <t>Sunday</t>
        </is>
      </c>
      <c r="D6" s="169" t="inlineStr">
        <is>
          <t>2025-09-07</t>
        </is>
      </c>
      <c r="E6" s="168" t="inlineStr">
        <is>
          <t>Miami Dolphins</t>
        </is>
      </c>
      <c r="F6" s="156" t="n">
        <v>8</v>
      </c>
      <c r="G6" s="168" t="inlineStr">
        <is>
          <t>Away</t>
        </is>
      </c>
      <c r="H6" s="170" t="inlineStr">
        <is>
          <t>Indianapolis Colts</t>
        </is>
      </c>
      <c r="I6" s="156" t="n">
        <v>33</v>
      </c>
      <c r="J6" s="171" t="inlineStr">
        <is>
          <t>01:00 PM</t>
        </is>
      </c>
      <c r="K6" s="156">
        <f>IF(AND(F6=0,I6=0),"",IF(F6&gt;I6,B6&amp;E6,IF(F6&lt;I6,B6&amp;H6,"Tie")))</f>
        <v/>
      </c>
      <c r="L6" s="156">
        <f>IFERROR(IF(AND(B6&lt;$L$1,F6&gt;I6),"Win",IF(AND(B6&lt;$L$1,F6&lt;I6),"Loss","")),"")</f>
        <v/>
      </c>
      <c r="M6" s="156">
        <f>IF(B6&lt;_CurWeek,"In","")</f>
        <v/>
      </c>
      <c r="N6" s="156">
        <f>IF(M6="In",E6&amp;G6,"")</f>
        <v/>
      </c>
      <c r="O6" s="156">
        <f>IF(L6="Win",1,0)</f>
        <v/>
      </c>
      <c r="U6" s="172" t="n"/>
    </row>
    <row r="7" ht="14.4" customHeight="1" s="152">
      <c r="A7" s="167">
        <f>B7&amp;E7</f>
        <v/>
      </c>
      <c r="B7" s="168" t="n">
        <v>1</v>
      </c>
      <c r="C7" s="168" t="inlineStr">
        <is>
          <t>Sunday</t>
        </is>
      </c>
      <c r="D7" s="169" t="inlineStr">
        <is>
          <t>2025-09-07</t>
        </is>
      </c>
      <c r="E7" s="168" t="inlineStr">
        <is>
          <t>Carolina Panthers</t>
        </is>
      </c>
      <c r="F7" s="156" t="n">
        <v>10</v>
      </c>
      <c r="G7" s="168" t="inlineStr">
        <is>
          <t>Away</t>
        </is>
      </c>
      <c r="H7" s="170" t="inlineStr">
        <is>
          <t>Jacksonville Jaguars</t>
        </is>
      </c>
      <c r="I7" s="156" t="n">
        <v>26</v>
      </c>
      <c r="J7" s="171" t="inlineStr">
        <is>
          <t>01:00 PM</t>
        </is>
      </c>
      <c r="K7" s="156">
        <f>IF(AND(F7=0,I7=0),"",IF(F7&gt;I7,B7&amp;E7,IF(F7&lt;I7,B7&amp;H7,"Tie")))</f>
        <v/>
      </c>
      <c r="L7" s="156">
        <f>IFERROR(IF(AND(B7&lt;$L$1,F7&gt;I7),"Win",IF(AND(B7&lt;$L$1,F7&lt;I7),"Loss","")),"")</f>
        <v/>
      </c>
      <c r="M7" s="156">
        <f>IF(B7&lt;_CurWeek,"In","")</f>
        <v/>
      </c>
      <c r="N7" s="156">
        <f>IF(M7="In",E7&amp;G7,"")</f>
        <v/>
      </c>
      <c r="O7" s="156">
        <f>IF(L7="Win",1,0)</f>
        <v/>
      </c>
      <c r="U7" s="172" t="n"/>
    </row>
    <row r="8" ht="14.4" customHeight="1" s="152">
      <c r="A8" s="167">
        <f>B8&amp;E8</f>
        <v/>
      </c>
      <c r="B8" s="168" t="n">
        <v>1</v>
      </c>
      <c r="C8" s="168" t="inlineStr">
        <is>
          <t>Sunday</t>
        </is>
      </c>
      <c r="D8" s="169" t="inlineStr">
        <is>
          <t>2025-09-07</t>
        </is>
      </c>
      <c r="E8" s="168" t="inlineStr">
        <is>
          <t>Las Vegas Raiders</t>
        </is>
      </c>
      <c r="F8" s="156" t="n">
        <v>20</v>
      </c>
      <c r="G8" s="168" t="inlineStr">
        <is>
          <t>Away</t>
        </is>
      </c>
      <c r="H8" s="170" t="inlineStr">
        <is>
          <t>New England Patriots</t>
        </is>
      </c>
      <c r="I8" s="156" t="n">
        <v>13</v>
      </c>
      <c r="J8" s="171" t="inlineStr">
        <is>
          <t>01:00 PM</t>
        </is>
      </c>
      <c r="K8" s="156">
        <f>IF(AND(F8=0,I8=0),"",IF(F8&gt;I8,B8&amp;E8,IF(F8&lt;I8,B8&amp;H8,"Tie")))</f>
        <v/>
      </c>
      <c r="L8" s="156">
        <f>IFERROR(IF(AND(B8&lt;$L$1,F8&gt;I8),"Win",IF(AND(B8&lt;$L$1,F8&lt;I8),"Loss","")),"")</f>
        <v/>
      </c>
      <c r="M8" s="156">
        <f>IF(B8&lt;_CurWeek,"In","")</f>
        <v/>
      </c>
      <c r="N8" s="156">
        <f>IF(M8="In",E8&amp;G8,"")</f>
        <v/>
      </c>
      <c r="O8" s="156">
        <f>IF(L8="Win",1,0)</f>
        <v/>
      </c>
      <c r="U8" s="172" t="n"/>
    </row>
    <row r="9" ht="14.4" customHeight="1" s="152">
      <c r="A9" s="167">
        <f>B9&amp;E9</f>
        <v/>
      </c>
      <c r="B9" s="168" t="n">
        <v>1</v>
      </c>
      <c r="C9" s="168" t="inlineStr">
        <is>
          <t>Sunday</t>
        </is>
      </c>
      <c r="D9" s="169" t="inlineStr">
        <is>
          <t>2025-09-07</t>
        </is>
      </c>
      <c r="E9" s="168" t="inlineStr">
        <is>
          <t>Arizona Cardinals</t>
        </is>
      </c>
      <c r="F9" s="156" t="n">
        <v>20</v>
      </c>
      <c r="G9" s="168" t="inlineStr">
        <is>
          <t>Away</t>
        </is>
      </c>
      <c r="H9" s="170" t="inlineStr">
        <is>
          <t>New Orleans Saints</t>
        </is>
      </c>
      <c r="I9" s="156" t="n">
        <v>13</v>
      </c>
      <c r="J9" s="171" t="inlineStr">
        <is>
          <t>01:00 PM</t>
        </is>
      </c>
      <c r="K9" s="156">
        <f>IF(AND(F9=0,I9=0),"",IF(F9&gt;I9,B9&amp;E9,IF(F9&lt;I9,B9&amp;H9,"Tie")))</f>
        <v/>
      </c>
      <c r="L9" s="156">
        <f>IFERROR(IF(AND(B9&lt;$L$1,F9&gt;I9),"Win",IF(AND(B9&lt;$L$1,F9&lt;I9),"Loss","")),"")</f>
        <v/>
      </c>
      <c r="M9" s="156">
        <f>IF(B9&lt;_CurWeek,"In","")</f>
        <v/>
      </c>
      <c r="N9" s="156">
        <f>IF(M9="In",E9&amp;G9,"")</f>
        <v/>
      </c>
      <c r="O9" s="156">
        <f>IF(L9="Win",1,0)</f>
        <v/>
      </c>
      <c r="U9" s="172" t="n"/>
    </row>
    <row r="10" ht="14.4" customHeight="1" s="152">
      <c r="A10" s="167">
        <f>B10&amp;E10</f>
        <v/>
      </c>
      <c r="B10" s="168" t="n">
        <v>1</v>
      </c>
      <c r="C10" s="168" t="inlineStr">
        <is>
          <t>Sunday</t>
        </is>
      </c>
      <c r="D10" s="169" t="inlineStr">
        <is>
          <t>2025-09-07</t>
        </is>
      </c>
      <c r="E10" s="168" t="inlineStr">
        <is>
          <t>Pittsburgh Steelers</t>
        </is>
      </c>
      <c r="F10" s="156" t="n">
        <v>34</v>
      </c>
      <c r="G10" s="168" t="inlineStr">
        <is>
          <t>Away</t>
        </is>
      </c>
      <c r="H10" s="170" t="inlineStr">
        <is>
          <t>New York Jets</t>
        </is>
      </c>
      <c r="I10" s="156" t="n">
        <v>32</v>
      </c>
      <c r="J10" s="171" t="inlineStr">
        <is>
          <t>01:00 PM</t>
        </is>
      </c>
      <c r="K10" s="156">
        <f>IF(AND(F10=0,I10=0),"",IF(F10&gt;I10,B10&amp;E10,IF(F10&lt;I10,B10&amp;H10,"Tie")))</f>
        <v/>
      </c>
      <c r="L10" s="156">
        <f>IFERROR(IF(AND(B10&lt;$L$1,F10&gt;I10),"Win",IF(AND(B10&lt;$L$1,F10&lt;I10),"Loss","")),"")</f>
        <v/>
      </c>
      <c r="M10" s="156">
        <f>IF(B10&lt;_CurWeek,"In","")</f>
        <v/>
      </c>
      <c r="N10" s="156">
        <f>IF(M10="In",E10&amp;G10,"")</f>
        <v/>
      </c>
      <c r="O10" s="156">
        <f>IF(L10="Win",1,0)</f>
        <v/>
      </c>
      <c r="U10" s="172" t="n"/>
    </row>
    <row r="11" ht="14.4" customHeight="1" s="152">
      <c r="A11" s="167">
        <f>B11&amp;E11</f>
        <v/>
      </c>
      <c r="B11" s="168" t="n">
        <v>1</v>
      </c>
      <c r="C11" s="168" t="inlineStr">
        <is>
          <t>Sunday</t>
        </is>
      </c>
      <c r="D11" s="169" t="inlineStr">
        <is>
          <t>2025-09-07</t>
        </is>
      </c>
      <c r="E11" s="168" t="inlineStr">
        <is>
          <t>New York Giants</t>
        </is>
      </c>
      <c r="F11" s="156" t="n">
        <v>6</v>
      </c>
      <c r="G11" s="168" t="inlineStr">
        <is>
          <t>Away</t>
        </is>
      </c>
      <c r="H11" s="170" t="inlineStr">
        <is>
          <t>Washington Commanders</t>
        </is>
      </c>
      <c r="I11" s="156" t="n">
        <v>21</v>
      </c>
      <c r="J11" s="171" t="inlineStr">
        <is>
          <t>01:00 PM</t>
        </is>
      </c>
      <c r="K11" s="156">
        <f>IF(AND(F11=0,I11=0),"",IF(F11&gt;I11,B11&amp;E11,IF(F11&lt;I11,B11&amp;H11,"Tie")))</f>
        <v/>
      </c>
      <c r="L11" s="156">
        <f>IFERROR(IF(AND(B11&lt;$L$1,F11&gt;I11),"Win",IF(AND(B11&lt;$L$1,F11&lt;I11),"Loss","")),"")</f>
        <v/>
      </c>
      <c r="M11" s="156">
        <f>IF(B11&lt;_CurWeek,"In","")</f>
        <v/>
      </c>
      <c r="N11" s="156">
        <f>IF(M11="In",E11&amp;G11,"")</f>
        <v/>
      </c>
      <c r="O11" s="156">
        <f>IF(L11="Win",1,0)</f>
        <v/>
      </c>
      <c r="U11" s="172" t="n"/>
    </row>
    <row r="12" ht="14.4" customHeight="1" s="152">
      <c r="A12" s="167">
        <f>B12&amp;E12</f>
        <v/>
      </c>
      <c r="B12" s="168" t="n">
        <v>1</v>
      </c>
      <c r="C12" s="168" t="inlineStr">
        <is>
          <t>Sunday</t>
        </is>
      </c>
      <c r="D12" s="169" t="inlineStr">
        <is>
          <t>2025-09-07</t>
        </is>
      </c>
      <c r="E12" s="168" t="inlineStr">
        <is>
          <t>Tennessee Titans</t>
        </is>
      </c>
      <c r="F12" s="156" t="n">
        <v>12</v>
      </c>
      <c r="G12" s="168" t="inlineStr">
        <is>
          <t>Away</t>
        </is>
      </c>
      <c r="H12" s="170" t="inlineStr">
        <is>
          <t>Denver Broncos</t>
        </is>
      </c>
      <c r="I12" s="156" t="n">
        <v>20</v>
      </c>
      <c r="J12" s="171" t="inlineStr">
        <is>
          <t>04:05 PM</t>
        </is>
      </c>
      <c r="K12" s="156">
        <f>IF(AND(F12=0,I12=0),"",IF(F12&gt;I12,B12&amp;E12,IF(F12&lt;I12,B12&amp;H12,"Tie")))</f>
        <v/>
      </c>
      <c r="L12" s="156">
        <f>IFERROR(IF(AND(B12&lt;$L$1,F12&gt;I12),"Win",IF(AND(B12&lt;$L$1,F12&lt;I12),"Loss","")),"")</f>
        <v/>
      </c>
      <c r="M12" s="156">
        <f>IF(B12&lt;_CurWeek,"In","")</f>
        <v/>
      </c>
      <c r="N12" s="156">
        <f>IF(M12="In",E12&amp;G12,"")</f>
        <v/>
      </c>
      <c r="O12" s="156">
        <f>IF(L12="Win",1,0)</f>
        <v/>
      </c>
      <c r="U12" s="172" t="n"/>
    </row>
    <row r="13" ht="14.4" customHeight="1" s="152">
      <c r="A13" s="167">
        <f>B13&amp;E13</f>
        <v/>
      </c>
      <c r="B13" s="168" t="n">
        <v>1</v>
      </c>
      <c r="C13" s="168" t="inlineStr">
        <is>
          <t>Sunday</t>
        </is>
      </c>
      <c r="D13" s="169" t="inlineStr">
        <is>
          <t>2025-09-07</t>
        </is>
      </c>
      <c r="E13" s="168" t="inlineStr">
        <is>
          <t>San Francisco 49ers</t>
        </is>
      </c>
      <c r="F13" s="156" t="n">
        <v>17</v>
      </c>
      <c r="G13" s="168" t="inlineStr">
        <is>
          <t>Away</t>
        </is>
      </c>
      <c r="H13" s="170" t="inlineStr">
        <is>
          <t>Seattle Seahawks</t>
        </is>
      </c>
      <c r="I13" s="156" t="n">
        <v>13</v>
      </c>
      <c r="J13" s="171" t="inlineStr">
        <is>
          <t>04:05 PM</t>
        </is>
      </c>
      <c r="K13" s="156">
        <f>IF(AND(F13=0,I13=0),"",IF(F13&gt;I13,B13&amp;E13,IF(F13&lt;I13,B13&amp;H13,"Tie")))</f>
        <v/>
      </c>
      <c r="L13" s="156">
        <f>IFERROR(IF(AND(B13&lt;$L$1,F13&gt;I13),"Win",IF(AND(B13&lt;$L$1,F13&lt;I13),"Loss","")),"")</f>
        <v/>
      </c>
      <c r="M13" s="156">
        <f>IF(B13&lt;_CurWeek,"In","")</f>
        <v/>
      </c>
      <c r="N13" s="156">
        <f>IF(M13="In",E13&amp;G13,"")</f>
        <v/>
      </c>
      <c r="O13" s="156">
        <f>IF(L13="Win",1,0)</f>
        <v/>
      </c>
      <c r="U13" s="172" t="n"/>
    </row>
    <row r="14" ht="14.4" customHeight="1" s="152">
      <c r="A14" s="167">
        <f>B14&amp;E14</f>
        <v/>
      </c>
      <c r="B14" s="168" t="n">
        <v>1</v>
      </c>
      <c r="C14" s="168" t="inlineStr">
        <is>
          <t>Sunday</t>
        </is>
      </c>
      <c r="D14" s="169" t="inlineStr">
        <is>
          <t>2025-09-07</t>
        </is>
      </c>
      <c r="E14" s="168" t="inlineStr">
        <is>
          <t>Detroit Lions</t>
        </is>
      </c>
      <c r="F14" s="156" t="n">
        <v>13</v>
      </c>
      <c r="G14" s="168" t="inlineStr">
        <is>
          <t>Away</t>
        </is>
      </c>
      <c r="H14" s="170" t="inlineStr">
        <is>
          <t>Green Bay Packers</t>
        </is>
      </c>
      <c r="I14" s="156" t="n">
        <v>27</v>
      </c>
      <c r="J14" s="171" t="inlineStr">
        <is>
          <t>04:25 PM</t>
        </is>
      </c>
      <c r="K14" s="156">
        <f>IF(AND(F14=0,I14=0),"",IF(F14&gt;I14,B14&amp;E14,IF(F14&lt;I14,B14&amp;H14,"Tie")))</f>
        <v/>
      </c>
      <c r="L14" s="156">
        <f>IFERROR(IF(AND(B14&lt;$L$1,F14&gt;I14),"Win",IF(AND(B14&lt;$L$1,F14&lt;I14),"Loss","")),"")</f>
        <v/>
      </c>
      <c r="M14" s="156">
        <f>IF(B14&lt;_CurWeek,"In","")</f>
        <v/>
      </c>
      <c r="N14" s="156">
        <f>IF(M14="In",E14&amp;G14,"")</f>
        <v/>
      </c>
      <c r="O14" s="156">
        <f>IF(L14="Win",1,0)</f>
        <v/>
      </c>
      <c r="U14" s="172" t="n"/>
    </row>
    <row r="15" ht="14.4" customHeight="1" s="152">
      <c r="A15" s="167">
        <f>B15&amp;E15</f>
        <v/>
      </c>
      <c r="B15" s="168" t="n">
        <v>1</v>
      </c>
      <c r="C15" s="168" t="inlineStr">
        <is>
          <t>Sunday</t>
        </is>
      </c>
      <c r="D15" s="169" t="inlineStr">
        <is>
          <t>2025-09-07</t>
        </is>
      </c>
      <c r="E15" s="168" t="inlineStr">
        <is>
          <t>Houston Texans</t>
        </is>
      </c>
      <c r="F15" s="156" t="n">
        <v>9</v>
      </c>
      <c r="G15" s="168" t="inlineStr">
        <is>
          <t>Away</t>
        </is>
      </c>
      <c r="H15" s="170" t="inlineStr">
        <is>
          <t>Los Angeles Rams</t>
        </is>
      </c>
      <c r="I15" s="156" t="n">
        <v>14</v>
      </c>
      <c r="J15" s="171" t="inlineStr">
        <is>
          <t>04:25 PM</t>
        </is>
      </c>
      <c r="K15" s="156">
        <f>IF(AND(F15=0,I15=0),"",IF(F15&gt;I15,B15&amp;E15,IF(F15&lt;I15,B15&amp;H15,"Tie")))</f>
        <v/>
      </c>
      <c r="L15" s="156">
        <f>IFERROR(IF(AND(B15&lt;$L$1,F15&gt;I15),"Win",IF(AND(B15&lt;$L$1,F15&lt;I15),"Loss","")),"")</f>
        <v/>
      </c>
      <c r="M15" s="156">
        <f>IF(B15&lt;_CurWeek,"In","")</f>
        <v/>
      </c>
      <c r="N15" s="156">
        <f>IF(M15="In",E15&amp;G15,"")</f>
        <v/>
      </c>
      <c r="O15" s="156">
        <f>IF(L15="Win",1,0)</f>
        <v/>
      </c>
      <c r="U15" s="172" t="n"/>
    </row>
    <row r="16" ht="14.4" customHeight="1" s="152">
      <c r="A16" s="167">
        <f>B16&amp;E16</f>
        <v/>
      </c>
      <c r="B16" s="168" t="n">
        <v>1</v>
      </c>
      <c r="C16" s="168" t="inlineStr">
        <is>
          <t>Sunday</t>
        </is>
      </c>
      <c r="D16" s="169" t="inlineStr">
        <is>
          <t>2025-09-07</t>
        </is>
      </c>
      <c r="E16" s="168" t="inlineStr">
        <is>
          <t>Baltimore Ravens</t>
        </is>
      </c>
      <c r="F16" s="156" t="n">
        <v>40</v>
      </c>
      <c r="G16" s="168" t="inlineStr">
        <is>
          <t>Away</t>
        </is>
      </c>
      <c r="H16" s="170" t="inlineStr">
        <is>
          <t>Buffalo Bills</t>
        </is>
      </c>
      <c r="I16" s="156" t="n">
        <v>41</v>
      </c>
      <c r="J16" s="171" t="inlineStr">
        <is>
          <t>08:20 PM</t>
        </is>
      </c>
      <c r="K16" s="156">
        <f>IF(AND(F16=0,I16=0),"",IF(F16&gt;I16,B16&amp;E16,IF(F16&lt;I16,B16&amp;H16,"Tie")))</f>
        <v/>
      </c>
      <c r="L16" s="156">
        <f>IFERROR(IF(AND(B16&lt;$L$1,F16&gt;I16),"Win",IF(AND(B16&lt;$L$1,F16&lt;I16),"Loss","")),"")</f>
        <v/>
      </c>
      <c r="M16" s="156">
        <f>IF(B16&lt;_CurWeek,"In","")</f>
        <v/>
      </c>
      <c r="N16" s="156">
        <f>IF(M16="In",E16&amp;G16,"")</f>
        <v/>
      </c>
      <c r="O16" s="156">
        <f>IF(L16="Win",1,0)</f>
        <v/>
      </c>
      <c r="U16" s="172" t="n"/>
    </row>
    <row r="17" ht="14.4" customHeight="1" s="152">
      <c r="A17" s="167">
        <f>B17&amp;E17</f>
        <v/>
      </c>
      <c r="B17" s="168" t="n">
        <v>1</v>
      </c>
      <c r="C17" s="168" t="inlineStr">
        <is>
          <t>Monday</t>
        </is>
      </c>
      <c r="D17" s="169" t="inlineStr">
        <is>
          <t>2025-09-08</t>
        </is>
      </c>
      <c r="E17" s="168" t="inlineStr">
        <is>
          <t>Minnesota Vikings</t>
        </is>
      </c>
      <c r="F17" s="156" t="n">
        <v>27</v>
      </c>
      <c r="G17" s="168" t="inlineStr">
        <is>
          <t>Away</t>
        </is>
      </c>
      <c r="H17" s="170" t="inlineStr">
        <is>
          <t>Chicago Bears</t>
        </is>
      </c>
      <c r="I17" s="156" t="n">
        <v>24</v>
      </c>
      <c r="J17" s="171" t="inlineStr">
        <is>
          <t>08:15 PM</t>
        </is>
      </c>
      <c r="K17" s="156">
        <f>IF(AND(F17=0,I17=0),"",IF(F17&gt;I17,B17&amp;E17,IF(F17&lt;I17,B17&amp;H17,"Tie")))</f>
        <v/>
      </c>
      <c r="L17" s="156">
        <f>IFERROR(IF(AND(B17&lt;$L$1,F17&gt;I17),"Win",IF(AND(B17&lt;$L$1,F17&lt;I17),"Loss","")),"")</f>
        <v/>
      </c>
      <c r="M17" s="156">
        <f>IF(B17&lt;_CurWeek,"In","")</f>
        <v/>
      </c>
      <c r="N17" s="156">
        <f>IF(M17="In",E17&amp;G17,"")</f>
        <v/>
      </c>
      <c r="O17" s="156">
        <f>IF(L17="Win",1,0)</f>
        <v/>
      </c>
      <c r="U17" s="172" t="n"/>
    </row>
    <row r="18" ht="14.4" customHeight="1" s="152">
      <c r="A18" s="167">
        <f>B18&amp;E18</f>
        <v/>
      </c>
      <c r="B18" s="168" t="n">
        <v>2</v>
      </c>
      <c r="C18" s="168" t="inlineStr">
        <is>
          <t>Thursday</t>
        </is>
      </c>
      <c r="D18" s="169" t="inlineStr">
        <is>
          <t>2025-09-11</t>
        </is>
      </c>
      <c r="E18" s="168" t="inlineStr">
        <is>
          <t>Washington Commanders</t>
        </is>
      </c>
      <c r="F18" s="156" t="n">
        <v>18</v>
      </c>
      <c r="G18" s="168" t="inlineStr">
        <is>
          <t>Away</t>
        </is>
      </c>
      <c r="H18" s="170" t="inlineStr">
        <is>
          <t>Green Bay Packers</t>
        </is>
      </c>
      <c r="I18" s="156" t="n">
        <v>27</v>
      </c>
      <c r="J18" s="171" t="inlineStr">
        <is>
          <t>08:15 PM</t>
        </is>
      </c>
      <c r="K18" s="156">
        <f>IF(AND(F18=0,I18=0),"",IF(F18&gt;I18,B18&amp;E18,IF(F18&lt;I18,B18&amp;H18,"Tie")))</f>
        <v/>
      </c>
      <c r="L18" s="156">
        <f>IFERROR(IF(AND(B18&lt;$L$1,F18&gt;I18),"Win",IF(AND(B18&lt;$L$1,F18&lt;I18),"Loss","")),"")</f>
        <v/>
      </c>
      <c r="M18" s="156">
        <f>IF(B18&lt;_CurWeek,"In","")</f>
        <v/>
      </c>
      <c r="N18" s="156">
        <f>IF(M18="In",E18&amp;G18,"")</f>
        <v/>
      </c>
      <c r="O18" s="156">
        <f>IF(L18="Win",1,0)</f>
        <v/>
      </c>
      <c r="U18" s="172" t="n"/>
    </row>
    <row r="19" ht="14.4" customHeight="1" s="152">
      <c r="A19" s="167">
        <f>B19&amp;E19</f>
        <v/>
      </c>
      <c r="B19" s="168" t="n">
        <v>2</v>
      </c>
      <c r="C19" s="168" t="inlineStr">
        <is>
          <t>Sunday</t>
        </is>
      </c>
      <c r="D19" s="169" t="inlineStr">
        <is>
          <t>2025-09-14</t>
        </is>
      </c>
      <c r="E19" s="168" t="inlineStr">
        <is>
          <t>Cleveland Browns</t>
        </is>
      </c>
      <c r="F19" s="156" t="n">
        <v>17</v>
      </c>
      <c r="G19" s="168" t="inlineStr">
        <is>
          <t>Away</t>
        </is>
      </c>
      <c r="H19" s="170" t="inlineStr">
        <is>
          <t>Baltimore Ravens</t>
        </is>
      </c>
      <c r="I19" s="156" t="n">
        <v>41</v>
      </c>
      <c r="J19" s="171" t="inlineStr">
        <is>
          <t>01:00 PM</t>
        </is>
      </c>
      <c r="K19" s="156">
        <f>IF(AND(F19=0,I19=0),"",IF(F19&gt;I19,B19&amp;E19,IF(F19&lt;I19,B19&amp;H19,"Tie")))</f>
        <v/>
      </c>
      <c r="L19" s="156">
        <f>IFERROR(IF(AND(B19&lt;$L$1,F19&gt;I19),"Win",IF(AND(B19&lt;$L$1,F19&lt;I19),"Loss","")),"")</f>
        <v/>
      </c>
      <c r="M19" s="156">
        <f>IF(B19&lt;_CurWeek,"In","")</f>
        <v/>
      </c>
      <c r="N19" s="156">
        <f>IF(M19="In",E19&amp;G19,"")</f>
        <v/>
      </c>
      <c r="O19" s="156">
        <f>IF(L19="Win",1,0)</f>
        <v/>
      </c>
      <c r="U19" s="172" t="n"/>
    </row>
    <row r="20" ht="14.4" customHeight="1" s="152">
      <c r="A20" s="167">
        <f>B20&amp;E20</f>
        <v/>
      </c>
      <c r="B20" s="168" t="n">
        <v>2</v>
      </c>
      <c r="C20" s="168" t="inlineStr">
        <is>
          <t>Sunday</t>
        </is>
      </c>
      <c r="D20" s="169" t="inlineStr">
        <is>
          <t>2025-09-14</t>
        </is>
      </c>
      <c r="E20" s="168" t="inlineStr">
        <is>
          <t>Jacksonville Jaguars</t>
        </is>
      </c>
      <c r="F20" s="156" t="n">
        <v>27</v>
      </c>
      <c r="G20" s="168" t="inlineStr">
        <is>
          <t>Away</t>
        </is>
      </c>
      <c r="H20" s="170" t="inlineStr">
        <is>
          <t>Cincinnati Bengals</t>
        </is>
      </c>
      <c r="I20" s="156" t="n">
        <v>31</v>
      </c>
      <c r="J20" s="171" t="inlineStr">
        <is>
          <t>01:00 PM</t>
        </is>
      </c>
      <c r="K20" s="156">
        <f>IF(AND(F20=0,I20=0),"",IF(F20&gt;I20,B20&amp;E20,IF(F20&lt;I20,B20&amp;H20,"Tie")))</f>
        <v/>
      </c>
      <c r="L20" s="156">
        <f>IFERROR(IF(AND(B20&lt;$L$1,F20&gt;I20),"Win",IF(AND(B20&lt;$L$1,F20&lt;I20),"Loss","")),"")</f>
        <v/>
      </c>
      <c r="M20" s="156">
        <f>IF(B20&lt;_CurWeek,"In","")</f>
        <v/>
      </c>
      <c r="N20" s="156">
        <f>IF(M20="In",E20&amp;G20,"")</f>
        <v/>
      </c>
      <c r="O20" s="156">
        <f>IF(L20="Win",1,0)</f>
        <v/>
      </c>
      <c r="U20" s="172" t="n"/>
    </row>
    <row r="21" ht="14.4" customHeight="1" s="152">
      <c r="A21" s="167">
        <f>B21&amp;E21</f>
        <v/>
      </c>
      <c r="B21" s="168" t="n">
        <v>2</v>
      </c>
      <c r="C21" s="168" t="inlineStr">
        <is>
          <t>Sunday</t>
        </is>
      </c>
      <c r="D21" s="169" t="inlineStr">
        <is>
          <t>2025-09-14</t>
        </is>
      </c>
      <c r="E21" s="168" t="inlineStr">
        <is>
          <t>New York Giants</t>
        </is>
      </c>
      <c r="F21" s="156" t="n">
        <v>37</v>
      </c>
      <c r="G21" s="168" t="inlineStr">
        <is>
          <t>Away</t>
        </is>
      </c>
      <c r="H21" s="170" t="inlineStr">
        <is>
          <t>Dallas Cowboys</t>
        </is>
      </c>
      <c r="I21" s="156" t="n">
        <v>40</v>
      </c>
      <c r="J21" s="171" t="inlineStr">
        <is>
          <t>01:00 PM</t>
        </is>
      </c>
      <c r="K21" s="156">
        <f>IF(AND(F21=0,I21=0),"",IF(F21&gt;I21,B21&amp;E21,IF(F21&lt;I21,B21&amp;H21,"Tie")))</f>
        <v/>
      </c>
      <c r="L21" s="156">
        <f>IFERROR(IF(AND(B21&lt;$L$1,F21&gt;I21),"Win",IF(AND(B21&lt;$L$1,F21&lt;I21),"Loss","")),"")</f>
        <v/>
      </c>
      <c r="M21" s="156">
        <f>IF(B21&lt;_CurWeek,"In","")</f>
        <v/>
      </c>
      <c r="N21" s="156">
        <f>IF(M21="In",E21&amp;G21,"")</f>
        <v/>
      </c>
      <c r="O21" s="156">
        <f>IF(L21="Win",1,0)</f>
        <v/>
      </c>
      <c r="U21" s="172" t="n"/>
    </row>
    <row r="22" ht="14.4" customHeight="1" s="152">
      <c r="A22" s="167">
        <f>B22&amp;E22</f>
        <v/>
      </c>
      <c r="B22" s="168" t="n">
        <v>2</v>
      </c>
      <c r="C22" s="168" t="inlineStr">
        <is>
          <t>Sunday</t>
        </is>
      </c>
      <c r="D22" s="169" t="inlineStr">
        <is>
          <t>2025-09-14</t>
        </is>
      </c>
      <c r="E22" s="168" t="inlineStr">
        <is>
          <t>Chicago Bears</t>
        </is>
      </c>
      <c r="F22" s="156" t="n">
        <v>21</v>
      </c>
      <c r="G22" s="168" t="inlineStr">
        <is>
          <t>Away</t>
        </is>
      </c>
      <c r="H22" s="170" t="inlineStr">
        <is>
          <t>Detroit Lions</t>
        </is>
      </c>
      <c r="I22" s="156" t="n">
        <v>52</v>
      </c>
      <c r="J22" s="171" t="inlineStr">
        <is>
          <t>01:00 PM</t>
        </is>
      </c>
      <c r="K22" s="156">
        <f>IF(AND(F22=0,I22=0),"",IF(F22&gt;I22,B22&amp;E22,IF(F22&lt;I22,B22&amp;H22,"Tie")))</f>
        <v/>
      </c>
      <c r="L22" s="156">
        <f>IFERROR(IF(AND(B22&lt;$L$1,F22&gt;I22),"Win",IF(AND(B22&lt;$L$1,F22&lt;I22),"Loss","")),"")</f>
        <v/>
      </c>
      <c r="M22" s="156">
        <f>IF(B22&lt;_CurWeek,"In","")</f>
        <v/>
      </c>
      <c r="N22" s="156">
        <f>IF(M22="In",E22&amp;G22,"")</f>
        <v/>
      </c>
      <c r="O22" s="156">
        <f>IF(L22="Win",1,0)</f>
        <v/>
      </c>
      <c r="U22" s="172" t="n"/>
    </row>
    <row r="23" ht="14.4" customHeight="1" s="152">
      <c r="A23" s="167">
        <f>B23&amp;E23</f>
        <v/>
      </c>
      <c r="B23" s="168" t="n">
        <v>2</v>
      </c>
      <c r="C23" s="168" t="inlineStr">
        <is>
          <t>Sunday</t>
        </is>
      </c>
      <c r="D23" s="169" t="inlineStr">
        <is>
          <t>2025-09-14</t>
        </is>
      </c>
      <c r="E23" s="168" t="inlineStr">
        <is>
          <t>New England Patriots</t>
        </is>
      </c>
      <c r="F23" s="156" t="n">
        <v>33</v>
      </c>
      <c r="G23" s="168" t="inlineStr">
        <is>
          <t>Away</t>
        </is>
      </c>
      <c r="H23" s="170" t="inlineStr">
        <is>
          <t>Miami Dolphins</t>
        </is>
      </c>
      <c r="I23" s="156" t="n">
        <v>27</v>
      </c>
      <c r="J23" s="171" t="inlineStr">
        <is>
          <t>01:00 PM</t>
        </is>
      </c>
      <c r="K23" s="156">
        <f>IF(AND(F23=0,I23=0),"",IF(F23&gt;I23,B23&amp;E23,IF(F23&lt;I23,B23&amp;H23,"Tie")))</f>
        <v/>
      </c>
      <c r="L23" s="156">
        <f>IFERROR(IF(AND(B23&lt;$L$1,F23&gt;I23),"Win",IF(AND(B23&lt;$L$1,F23&lt;I23),"Loss","")),"")</f>
        <v/>
      </c>
      <c r="M23" s="156">
        <f>IF(B23&lt;_CurWeek,"In","")</f>
        <v/>
      </c>
      <c r="N23" s="156">
        <f>IF(M23="In",E23&amp;G23,"")</f>
        <v/>
      </c>
      <c r="O23" s="156">
        <f>IF(L23="Win",1,0)</f>
        <v/>
      </c>
      <c r="U23" s="172" t="n"/>
    </row>
    <row r="24" ht="14.4" customHeight="1" s="152">
      <c r="A24" s="167">
        <f>B24&amp;E24</f>
        <v/>
      </c>
      <c r="B24" s="168" t="n">
        <v>2</v>
      </c>
      <c r="C24" s="168" t="inlineStr">
        <is>
          <t>Sunday</t>
        </is>
      </c>
      <c r="D24" s="169" t="inlineStr">
        <is>
          <t>2025-09-14</t>
        </is>
      </c>
      <c r="E24" s="168" t="inlineStr">
        <is>
          <t>San Francisco 49ers</t>
        </is>
      </c>
      <c r="F24" s="156" t="n">
        <v>26</v>
      </c>
      <c r="G24" s="168" t="inlineStr">
        <is>
          <t>Away</t>
        </is>
      </c>
      <c r="H24" s="170" t="inlineStr">
        <is>
          <t>New Orleans Saints</t>
        </is>
      </c>
      <c r="I24" s="156" t="n">
        <v>21</v>
      </c>
      <c r="J24" s="171" t="inlineStr">
        <is>
          <t>01:00 PM</t>
        </is>
      </c>
      <c r="K24" s="156">
        <f>IF(AND(F24=0,I24=0),"",IF(F24&gt;I24,B24&amp;E24,IF(F24&lt;I24,B24&amp;H24,"Tie")))</f>
        <v/>
      </c>
      <c r="L24" s="156">
        <f>IFERROR(IF(AND(B24&lt;$L$1,F24&gt;I24),"Win",IF(AND(B24&lt;$L$1,F24&lt;I24),"Loss","")),"")</f>
        <v/>
      </c>
      <c r="M24" s="156">
        <f>IF(B24&lt;_CurWeek,"In","")</f>
        <v/>
      </c>
      <c r="N24" s="156">
        <f>IF(M24="In",E24&amp;G24,"")</f>
        <v/>
      </c>
      <c r="O24" s="156">
        <f>IF(L24="Win",1,0)</f>
        <v/>
      </c>
      <c r="U24" s="172" t="n"/>
    </row>
    <row r="25" ht="14.4" customHeight="1" s="152">
      <c r="A25" s="167">
        <f>B25&amp;E25</f>
        <v/>
      </c>
      <c r="B25" s="168" t="n">
        <v>2</v>
      </c>
      <c r="C25" s="168" t="inlineStr">
        <is>
          <t>Sunday</t>
        </is>
      </c>
      <c r="D25" s="169" t="inlineStr">
        <is>
          <t>2025-09-14</t>
        </is>
      </c>
      <c r="E25" s="168" t="inlineStr">
        <is>
          <t>Buffalo Bills</t>
        </is>
      </c>
      <c r="F25" s="156" t="n">
        <v>30</v>
      </c>
      <c r="G25" s="168" t="inlineStr">
        <is>
          <t>Away</t>
        </is>
      </c>
      <c r="H25" s="170" t="inlineStr">
        <is>
          <t>New York Jets</t>
        </is>
      </c>
      <c r="I25" s="156" t="n">
        <v>10</v>
      </c>
      <c r="J25" s="171" t="inlineStr">
        <is>
          <t>01:00 PM</t>
        </is>
      </c>
      <c r="K25" s="156">
        <f>IF(AND(F25=0,I25=0),"",IF(F25&gt;I25,B25&amp;E25,IF(F25&lt;I25,B25&amp;H25,"Tie")))</f>
        <v/>
      </c>
      <c r="L25" s="156">
        <f>IFERROR(IF(AND(B25&lt;$L$1,F25&gt;I25),"Win",IF(AND(B25&lt;$L$1,F25&lt;I25),"Loss","")),"")</f>
        <v/>
      </c>
      <c r="M25" s="156">
        <f>IF(B25&lt;_CurWeek,"In","")</f>
        <v/>
      </c>
      <c r="N25" s="156">
        <f>IF(M25="In",E25&amp;G25,"")</f>
        <v/>
      </c>
      <c r="O25" s="156">
        <f>IF(L25="Win",1,0)</f>
        <v/>
      </c>
      <c r="U25" s="172" t="n"/>
    </row>
    <row r="26" ht="14.4" customHeight="1" s="152">
      <c r="A26" s="167">
        <f>B26&amp;E26</f>
        <v/>
      </c>
      <c r="B26" s="168" t="n">
        <v>2</v>
      </c>
      <c r="C26" s="168" t="inlineStr">
        <is>
          <t>Sunday</t>
        </is>
      </c>
      <c r="D26" s="169" t="inlineStr">
        <is>
          <t>2025-09-14</t>
        </is>
      </c>
      <c r="E26" s="168" t="inlineStr">
        <is>
          <t>Seattle Seahawks</t>
        </is>
      </c>
      <c r="F26" s="156" t="n">
        <v>31</v>
      </c>
      <c r="G26" s="168" t="inlineStr">
        <is>
          <t>Away</t>
        </is>
      </c>
      <c r="H26" s="170" t="inlineStr">
        <is>
          <t>Pittsburgh Steelers</t>
        </is>
      </c>
      <c r="I26" s="156" t="n">
        <v>17</v>
      </c>
      <c r="J26" s="171" t="inlineStr">
        <is>
          <t>01:00 PM</t>
        </is>
      </c>
      <c r="K26" s="156">
        <f>IF(AND(F26=0,I26=0),"",IF(F26&gt;I26,B26&amp;E26,IF(F26&lt;I26,B26&amp;H26,"Tie")))</f>
        <v/>
      </c>
      <c r="L26" s="156">
        <f>IFERROR(IF(AND(B26&lt;$L$1,F26&gt;I26),"Win",IF(AND(B26&lt;$L$1,F26&lt;I26),"Loss","")),"")</f>
        <v/>
      </c>
      <c r="M26" s="156">
        <f>IF(B26&lt;_CurWeek,"In","")</f>
        <v/>
      </c>
      <c r="N26" s="156">
        <f>IF(M26="In",E26&amp;G26,"")</f>
        <v/>
      </c>
      <c r="O26" s="156">
        <f>IF(L26="Win",1,0)</f>
        <v/>
      </c>
      <c r="U26" s="172" t="n"/>
    </row>
    <row r="27" ht="14.4" customHeight="1" s="152">
      <c r="A27" s="167">
        <f>B27&amp;E27</f>
        <v/>
      </c>
      <c r="B27" s="168" t="n">
        <v>2</v>
      </c>
      <c r="C27" s="168" t="inlineStr">
        <is>
          <t>Sunday</t>
        </is>
      </c>
      <c r="D27" s="169" t="inlineStr">
        <is>
          <t>2025-09-14</t>
        </is>
      </c>
      <c r="E27" s="168" t="inlineStr">
        <is>
          <t>Los Angeles Rams</t>
        </is>
      </c>
      <c r="F27" s="156" t="n">
        <v>33</v>
      </c>
      <c r="G27" s="168" t="inlineStr">
        <is>
          <t>Away</t>
        </is>
      </c>
      <c r="H27" s="170" t="inlineStr">
        <is>
          <t>Tennessee Titans</t>
        </is>
      </c>
      <c r="I27" s="156" t="n">
        <v>19</v>
      </c>
      <c r="J27" s="171" t="inlineStr">
        <is>
          <t>01:00 PM</t>
        </is>
      </c>
      <c r="K27" s="156">
        <f>IF(AND(F27=0,I27=0),"",IF(F27&gt;I27,B27&amp;E27,IF(F27&lt;I27,B27&amp;H27,"Tie")))</f>
        <v/>
      </c>
      <c r="L27" s="156">
        <f>IFERROR(IF(AND(B27&lt;$L$1,F27&gt;I27),"Win",IF(AND(B27&lt;$L$1,F27&lt;I27),"Loss","")),"")</f>
        <v/>
      </c>
      <c r="M27" s="156">
        <f>IF(B27&lt;_CurWeek,"In","")</f>
        <v/>
      </c>
      <c r="N27" s="156">
        <f>IF(M27="In",E27&amp;G27,"")</f>
        <v/>
      </c>
      <c r="O27" s="156">
        <f>IF(L27="Win",1,0)</f>
        <v/>
      </c>
      <c r="U27" s="172" t="n"/>
    </row>
    <row r="28" ht="14.4" customHeight="1" s="152">
      <c r="A28" s="167">
        <f>B28&amp;E28</f>
        <v/>
      </c>
      <c r="B28" s="168" t="n">
        <v>2</v>
      </c>
      <c r="C28" s="168" t="inlineStr">
        <is>
          <t>Sunday</t>
        </is>
      </c>
      <c r="D28" s="169" t="inlineStr">
        <is>
          <t>2025-09-14</t>
        </is>
      </c>
      <c r="E28" s="168" t="inlineStr">
        <is>
          <t>Carolina Panthers</t>
        </is>
      </c>
      <c r="F28" s="156" t="n">
        <v>22</v>
      </c>
      <c r="G28" s="168" t="inlineStr">
        <is>
          <t>Away</t>
        </is>
      </c>
      <c r="H28" s="170" t="inlineStr">
        <is>
          <t>Arizona Cardinals</t>
        </is>
      </c>
      <c r="I28" s="156" t="n">
        <v>27</v>
      </c>
      <c r="J28" s="171" t="inlineStr">
        <is>
          <t>04:05 PM</t>
        </is>
      </c>
      <c r="K28" s="156">
        <f>IF(AND(F28=0,I28=0),"",IF(F28&gt;I28,B28&amp;E28,IF(F28&lt;I28,B28&amp;H28,"Tie")))</f>
        <v/>
      </c>
      <c r="L28" s="156">
        <f>IFERROR(IF(AND(B28&lt;$L$1,F28&gt;I28),"Win",IF(AND(B28&lt;$L$1,F28&lt;I28),"Loss","")),"")</f>
        <v/>
      </c>
      <c r="M28" s="156">
        <f>IF(B28&lt;_CurWeek,"In","")</f>
        <v/>
      </c>
      <c r="N28" s="156">
        <f>IF(M28="In",E28&amp;G28,"")</f>
        <v/>
      </c>
      <c r="O28" s="156">
        <f>IF(L28="Win",1,0)</f>
        <v/>
      </c>
      <c r="U28" s="172" t="n"/>
    </row>
    <row r="29" ht="14.4" customHeight="1" s="152">
      <c r="A29" s="167">
        <f>B29&amp;E29</f>
        <v/>
      </c>
      <c r="B29" s="168" t="n">
        <v>2</v>
      </c>
      <c r="C29" s="168" t="inlineStr">
        <is>
          <t>Sunday</t>
        </is>
      </c>
      <c r="D29" s="169" t="inlineStr">
        <is>
          <t>2025-09-14</t>
        </is>
      </c>
      <c r="E29" s="168" t="inlineStr">
        <is>
          <t>Denver Broncos</t>
        </is>
      </c>
      <c r="F29" s="156" t="n">
        <v>28</v>
      </c>
      <c r="G29" s="168" t="inlineStr">
        <is>
          <t>Away</t>
        </is>
      </c>
      <c r="H29" s="170" t="inlineStr">
        <is>
          <t>Indianapolis Colts</t>
        </is>
      </c>
      <c r="I29" s="156" t="n">
        <v>29</v>
      </c>
      <c r="J29" s="171" t="inlineStr">
        <is>
          <t>04:05 PM</t>
        </is>
      </c>
      <c r="K29" s="156">
        <f>IF(AND(F29=0,I29=0),"",IF(F29&gt;I29,B29&amp;E29,IF(F29&lt;I29,B29&amp;H29,"Tie")))</f>
        <v/>
      </c>
      <c r="L29" s="156">
        <f>IFERROR(IF(AND(B29&lt;$L$1,F29&gt;I29),"Win",IF(AND(B29&lt;$L$1,F29&lt;I29),"Loss","")),"")</f>
        <v/>
      </c>
      <c r="M29" s="156">
        <f>IF(B29&lt;_CurWeek,"In","")</f>
        <v/>
      </c>
      <c r="N29" s="156">
        <f>IF(M29="In",E29&amp;G29,"")</f>
        <v/>
      </c>
      <c r="O29" s="156">
        <f>IF(L29="Win",1,0)</f>
        <v/>
      </c>
      <c r="U29" s="172" t="n"/>
    </row>
    <row r="30" ht="14.4" customHeight="1" s="152">
      <c r="A30" s="167">
        <f>B30&amp;E30</f>
        <v/>
      </c>
      <c r="B30" s="168" t="n">
        <v>2</v>
      </c>
      <c r="C30" s="168" t="inlineStr">
        <is>
          <t>Sunday</t>
        </is>
      </c>
      <c r="D30" s="169" t="inlineStr">
        <is>
          <t>2025-09-14</t>
        </is>
      </c>
      <c r="E30" s="168" t="inlineStr">
        <is>
          <t>Philadelphia Eagles</t>
        </is>
      </c>
      <c r="F30" s="156" t="n">
        <v>20</v>
      </c>
      <c r="G30" s="168" t="inlineStr">
        <is>
          <t>Away</t>
        </is>
      </c>
      <c r="H30" s="170" t="inlineStr">
        <is>
          <t>Kansas City Chiefs</t>
        </is>
      </c>
      <c r="I30" s="156" t="n">
        <v>17</v>
      </c>
      <c r="J30" s="171" t="inlineStr">
        <is>
          <t>04:25 PM</t>
        </is>
      </c>
      <c r="K30" s="156">
        <f>IF(AND(F30=0,I30=0),"",IF(F30&gt;I30,B30&amp;E30,IF(F30&lt;I30,B30&amp;H30,"Tie")))</f>
        <v/>
      </c>
      <c r="L30" s="156">
        <f>IFERROR(IF(AND(B30&lt;$L$1,F30&gt;I30),"Win",IF(AND(B30&lt;$L$1,F30&lt;I30),"Loss","")),"")</f>
        <v/>
      </c>
      <c r="M30" s="156">
        <f>IF(B30&lt;_CurWeek,"In","")</f>
        <v/>
      </c>
      <c r="N30" s="156">
        <f>IF(M30="In",E30&amp;G30,"")</f>
        <v/>
      </c>
      <c r="O30" s="156">
        <f>IF(L30="Win",1,0)</f>
        <v/>
      </c>
      <c r="U30" s="172" t="n"/>
    </row>
    <row r="31" ht="14.4" customHeight="1" s="152">
      <c r="A31" s="167">
        <f>B31&amp;E31</f>
        <v/>
      </c>
      <c r="B31" s="168" t="n">
        <v>2</v>
      </c>
      <c r="C31" s="168" t="inlineStr">
        <is>
          <t>Sunday</t>
        </is>
      </c>
      <c r="D31" s="169" t="inlineStr">
        <is>
          <t>2025-09-14</t>
        </is>
      </c>
      <c r="E31" s="168" t="inlineStr">
        <is>
          <t>Atlanta Falcons</t>
        </is>
      </c>
      <c r="F31" s="156" t="n">
        <v>22</v>
      </c>
      <c r="G31" s="168" t="inlineStr">
        <is>
          <t>Away</t>
        </is>
      </c>
      <c r="H31" s="170" t="inlineStr">
        <is>
          <t>Minnesota Vikings</t>
        </is>
      </c>
      <c r="I31" s="156" t="n">
        <v>6</v>
      </c>
      <c r="J31" s="171" t="inlineStr">
        <is>
          <t>08:20 PM</t>
        </is>
      </c>
      <c r="K31" s="156">
        <f>IF(AND(F31=0,I31=0),"",IF(F31&gt;I31,B31&amp;E31,IF(F31&lt;I31,B31&amp;H31,"Tie")))</f>
        <v/>
      </c>
      <c r="L31" s="156">
        <f>IFERROR(IF(AND(B31&lt;$L$1,F31&gt;I31),"Win",IF(AND(B31&lt;$L$1,F31&lt;I31),"Loss","")),"")</f>
        <v/>
      </c>
      <c r="M31" s="156">
        <f>IF(B31&lt;_CurWeek,"In","")</f>
        <v/>
      </c>
      <c r="N31" s="156">
        <f>IF(M31="In",E31&amp;G31,"")</f>
        <v/>
      </c>
      <c r="O31" s="156">
        <f>IF(L31="Win",1,0)</f>
        <v/>
      </c>
      <c r="U31" s="172" t="n"/>
    </row>
    <row r="32" ht="14.4" customHeight="1" s="152">
      <c r="A32" s="167">
        <f>B32&amp;E32</f>
        <v/>
      </c>
      <c r="B32" s="168" t="n">
        <v>2</v>
      </c>
      <c r="C32" s="168" t="inlineStr">
        <is>
          <t>Monday</t>
        </is>
      </c>
      <c r="D32" s="169" t="inlineStr">
        <is>
          <t>2025-09-15</t>
        </is>
      </c>
      <c r="E32" s="168" t="inlineStr">
        <is>
          <t>Tampa Bay Buccaneers</t>
        </is>
      </c>
      <c r="F32" s="156" t="n">
        <v>20</v>
      </c>
      <c r="G32" s="168" t="inlineStr">
        <is>
          <t>Away</t>
        </is>
      </c>
      <c r="H32" s="170" t="inlineStr">
        <is>
          <t>Houston Texans</t>
        </is>
      </c>
      <c r="I32" s="156" t="n">
        <v>19</v>
      </c>
      <c r="J32" s="171" t="inlineStr">
        <is>
          <t>07:00 PM</t>
        </is>
      </c>
      <c r="K32" s="156">
        <f>IF(AND(F32=0,I32=0),"",IF(F32&gt;I32,B32&amp;E32,IF(F32&lt;I32,B32&amp;H32,"Tie")))</f>
        <v/>
      </c>
      <c r="L32" s="156">
        <f>IFERROR(IF(AND(B32&lt;$L$1,F32&gt;I32),"Win",IF(AND(B32&lt;$L$1,F32&lt;I32),"Loss","")),"")</f>
        <v/>
      </c>
      <c r="M32" s="156">
        <f>IF(B32&lt;_CurWeek,"In","")</f>
        <v/>
      </c>
      <c r="N32" s="156">
        <f>IF(M32="In",E32&amp;G32,"")</f>
        <v/>
      </c>
      <c r="O32" s="156">
        <f>IF(L32="Win",1,0)</f>
        <v/>
      </c>
      <c r="U32" s="172" t="n"/>
    </row>
    <row r="33" ht="14.4" customHeight="1" s="152">
      <c r="A33" s="167">
        <f>B33&amp;E33</f>
        <v/>
      </c>
      <c r="B33" s="168" t="n">
        <v>2</v>
      </c>
      <c r="C33" s="168" t="inlineStr">
        <is>
          <t>Monday</t>
        </is>
      </c>
      <c r="D33" s="169" t="inlineStr">
        <is>
          <t>2025-09-15</t>
        </is>
      </c>
      <c r="E33" s="168" t="inlineStr">
        <is>
          <t>Los Angeles Chargers</t>
        </is>
      </c>
      <c r="F33" s="156" t="n">
        <v>20</v>
      </c>
      <c r="G33" s="168" t="inlineStr">
        <is>
          <t>Away</t>
        </is>
      </c>
      <c r="H33" s="170" t="inlineStr">
        <is>
          <t>Las Vegas Raiders</t>
        </is>
      </c>
      <c r="I33" s="156" t="n">
        <v>9</v>
      </c>
      <c r="J33" s="171" t="inlineStr">
        <is>
          <t>10:00 PM</t>
        </is>
      </c>
      <c r="K33" s="156">
        <f>IF(AND(F33=0,I33=0),"",IF(F33&gt;I33,B33&amp;E33,IF(F33&lt;I33,B33&amp;H33,"Tie")))</f>
        <v/>
      </c>
      <c r="L33" s="156">
        <f>IFERROR(IF(AND(B33&lt;$L$1,F33&gt;I33),"Win",IF(AND(B33&lt;$L$1,F33&lt;I33),"Loss","")),"")</f>
        <v/>
      </c>
      <c r="M33" s="156">
        <f>IF(B33&lt;_CurWeek,"In","")</f>
        <v/>
      </c>
      <c r="N33" s="156">
        <f>IF(M33="In",E33&amp;G33,"")</f>
        <v/>
      </c>
      <c r="O33" s="156">
        <f>IF(L33="Win",1,0)</f>
        <v/>
      </c>
      <c r="U33" s="172" t="n"/>
    </row>
    <row r="34" ht="14.4" customHeight="1" s="152">
      <c r="A34" s="167">
        <f>B34&amp;E34</f>
        <v/>
      </c>
      <c r="B34" s="168" t="n">
        <v>3</v>
      </c>
      <c r="C34" s="168" t="inlineStr">
        <is>
          <t>Thursday</t>
        </is>
      </c>
      <c r="D34" s="169" t="inlineStr">
        <is>
          <t>2025-09-18</t>
        </is>
      </c>
      <c r="E34" s="168" t="inlineStr">
        <is>
          <t>Miami Dolphins</t>
        </is>
      </c>
      <c r="F34" s="156" t="n"/>
      <c r="G34" s="168" t="inlineStr">
        <is>
          <t>Away</t>
        </is>
      </c>
      <c r="H34" s="170" t="inlineStr">
        <is>
          <t>Buffalo Bills</t>
        </is>
      </c>
      <c r="J34" s="171" t="inlineStr">
        <is>
          <t>08:15 PM</t>
        </is>
      </c>
      <c r="K34" s="156">
        <f>IF(AND(F34=0,I34=0),"",IF(F34&gt;I34,B34&amp;E34,IF(F34&lt;I34,B34&amp;H34,"Tie")))</f>
        <v/>
      </c>
      <c r="L34" s="156">
        <f>IFERROR(IF(AND(B34&lt;$L$1,F34&gt;I34),"Win",IF(AND(B34&lt;$L$1,F34&lt;I34),"Loss","")),"")</f>
        <v/>
      </c>
      <c r="M34" s="156">
        <f>IF(B34&lt;_CurWeek,"In","")</f>
        <v/>
      </c>
      <c r="N34" s="156">
        <f>IF(M34="In",E34&amp;G34,"")</f>
        <v/>
      </c>
      <c r="O34" s="156">
        <f>IF(L34="Win",1,0)</f>
        <v/>
      </c>
      <c r="U34" s="172" t="n"/>
    </row>
    <row r="35" ht="14.4" customHeight="1" s="152">
      <c r="A35" s="167">
        <f>B35&amp;E35</f>
        <v/>
      </c>
      <c r="B35" s="168" t="n">
        <v>3</v>
      </c>
      <c r="C35" s="168" t="inlineStr">
        <is>
          <t>Sunday</t>
        </is>
      </c>
      <c r="D35" s="169" t="inlineStr">
        <is>
          <t>2025-09-21</t>
        </is>
      </c>
      <c r="E35" s="168" t="inlineStr">
        <is>
          <t>Atlanta Falcons</t>
        </is>
      </c>
      <c r="F35" s="156" t="n"/>
      <c r="G35" s="168" t="inlineStr">
        <is>
          <t>Away</t>
        </is>
      </c>
      <c r="H35" s="170" t="inlineStr">
        <is>
          <t>Carolina Panthers</t>
        </is>
      </c>
      <c r="J35" s="171" t="inlineStr">
        <is>
          <t>01:00 PM</t>
        </is>
      </c>
      <c r="K35" s="156">
        <f>IF(AND(F35=0,I35=0),"",IF(F35&gt;I35,B35&amp;E35,IF(F35&lt;I35,B35&amp;H35,"Tie")))</f>
        <v/>
      </c>
      <c r="L35" s="156">
        <f>IFERROR(IF(AND(B35&lt;$L$1,F35&gt;I35),"Win",IF(AND(B35&lt;$L$1,F35&lt;I35),"Loss","")),"")</f>
        <v/>
      </c>
      <c r="M35" s="156">
        <f>IF(B35&lt;_CurWeek,"In","")</f>
        <v/>
      </c>
      <c r="N35" s="156">
        <f>IF(M35="In",E35&amp;G35,"")</f>
        <v/>
      </c>
      <c r="O35" s="156">
        <f>IF(L35="Win",1,0)</f>
        <v/>
      </c>
      <c r="U35" s="172" t="n"/>
    </row>
    <row r="36" ht="14.4" customHeight="1" s="152">
      <c r="A36" s="167">
        <f>B36&amp;E36</f>
        <v/>
      </c>
      <c r="B36" s="168" t="n">
        <v>3</v>
      </c>
      <c r="C36" s="168" t="inlineStr">
        <is>
          <t>Sunday</t>
        </is>
      </c>
      <c r="D36" s="169" t="inlineStr">
        <is>
          <t>2025-09-21</t>
        </is>
      </c>
      <c r="E36" s="168" t="inlineStr">
        <is>
          <t>Green Bay Packers</t>
        </is>
      </c>
      <c r="F36" s="156" t="n"/>
      <c r="G36" s="168" t="inlineStr">
        <is>
          <t>Away</t>
        </is>
      </c>
      <c r="H36" s="170" t="inlineStr">
        <is>
          <t>Cleveland Browns</t>
        </is>
      </c>
      <c r="J36" s="171" t="inlineStr">
        <is>
          <t>01:00 PM</t>
        </is>
      </c>
      <c r="K36" s="156">
        <f>IF(AND(F36=0,I36=0),"",IF(F36&gt;I36,B36&amp;E36,IF(F36&lt;I36,B36&amp;H36,"Tie")))</f>
        <v/>
      </c>
      <c r="L36" s="156">
        <f>IFERROR(IF(AND(B36&lt;$L$1,F36&gt;I36),"Win",IF(AND(B36&lt;$L$1,F36&lt;I36),"Loss","")),"")</f>
        <v/>
      </c>
      <c r="M36" s="156">
        <f>IF(B36&lt;_CurWeek,"In","")</f>
        <v/>
      </c>
      <c r="N36" s="156">
        <f>IF(M36="In",E36&amp;G36,"")</f>
        <v/>
      </c>
      <c r="O36" s="156">
        <f>IF(L36="Win",1,0)</f>
        <v/>
      </c>
      <c r="U36" s="172" t="n"/>
    </row>
    <row r="37" ht="14.4" customHeight="1" s="152">
      <c r="A37" s="167">
        <f>B37&amp;E37</f>
        <v/>
      </c>
      <c r="B37" s="168" t="n">
        <v>3</v>
      </c>
      <c r="C37" s="168" t="inlineStr">
        <is>
          <t>Sunday</t>
        </is>
      </c>
      <c r="D37" s="169" t="inlineStr">
        <is>
          <t>2025-09-21</t>
        </is>
      </c>
      <c r="E37" s="168" t="inlineStr">
        <is>
          <t>Houston Texans</t>
        </is>
      </c>
      <c r="F37" s="156" t="n"/>
      <c r="G37" s="168" t="inlineStr">
        <is>
          <t>Away</t>
        </is>
      </c>
      <c r="H37" s="170" t="inlineStr">
        <is>
          <t>Jacksonville Jaguars</t>
        </is>
      </c>
      <c r="J37" s="171" t="inlineStr">
        <is>
          <t>01:00 PM</t>
        </is>
      </c>
      <c r="K37" s="156">
        <f>IF(AND(F37=0,I37=0),"",IF(F37&gt;I37,B37&amp;E37,IF(F37&lt;I37,B37&amp;H37,"Tie")))</f>
        <v/>
      </c>
      <c r="L37" s="156">
        <f>IFERROR(IF(AND(B37&lt;$L$1,F37&gt;I37),"Win",IF(AND(B37&lt;$L$1,F37&lt;I37),"Loss","")),"")</f>
        <v/>
      </c>
      <c r="M37" s="156">
        <f>IF(B37&lt;_CurWeek,"In","")</f>
        <v/>
      </c>
      <c r="N37" s="156">
        <f>IF(M37="In",E37&amp;G37,"")</f>
        <v/>
      </c>
      <c r="O37" s="156">
        <f>IF(L37="Win",1,0)</f>
        <v/>
      </c>
      <c r="U37" s="172" t="n"/>
    </row>
    <row r="38" ht="14.4" customHeight="1" s="152">
      <c r="A38" s="167">
        <f>B38&amp;E38</f>
        <v/>
      </c>
      <c r="B38" s="168" t="n">
        <v>3</v>
      </c>
      <c r="C38" s="168" t="inlineStr">
        <is>
          <t>Sunday</t>
        </is>
      </c>
      <c r="D38" s="169" t="inlineStr">
        <is>
          <t>2025-09-21</t>
        </is>
      </c>
      <c r="E38" s="168" t="inlineStr">
        <is>
          <t>Cincinnati Bengals</t>
        </is>
      </c>
      <c r="F38" s="156" t="n"/>
      <c r="G38" s="168" t="inlineStr">
        <is>
          <t>Away</t>
        </is>
      </c>
      <c r="H38" s="170" t="inlineStr">
        <is>
          <t>Minnesota Vikings</t>
        </is>
      </c>
      <c r="J38" s="171" t="inlineStr">
        <is>
          <t>01:00 PM</t>
        </is>
      </c>
      <c r="K38" s="156">
        <f>IF(AND(F38=0,I38=0),"",IF(F38&gt;I38,B38&amp;E38,IF(F38&lt;I38,B38&amp;H38,"Tie")))</f>
        <v/>
      </c>
      <c r="L38" s="156">
        <f>IFERROR(IF(AND(B38&lt;$L$1,F38&gt;I38),"Win",IF(AND(B38&lt;$L$1,F38&lt;I38),"Loss","")),"")</f>
        <v/>
      </c>
      <c r="M38" s="156">
        <f>IF(B38&lt;_CurWeek,"In","")</f>
        <v/>
      </c>
      <c r="N38" s="156">
        <f>IF(M38="In",E38&amp;G38,"")</f>
        <v/>
      </c>
      <c r="O38" s="156">
        <f>IF(L38="Win",1,0)</f>
        <v/>
      </c>
      <c r="U38" s="172" t="n"/>
    </row>
    <row r="39" ht="14.4" customHeight="1" s="152">
      <c r="A39" s="167">
        <f>B39&amp;E39</f>
        <v/>
      </c>
      <c r="B39" s="168" t="n">
        <v>3</v>
      </c>
      <c r="C39" s="168" t="inlineStr">
        <is>
          <t>Sunday</t>
        </is>
      </c>
      <c r="D39" s="169" t="inlineStr">
        <is>
          <t>2025-09-21</t>
        </is>
      </c>
      <c r="E39" s="168" t="inlineStr">
        <is>
          <t>Pittsburgh Steelers</t>
        </is>
      </c>
      <c r="F39" s="156" t="n"/>
      <c r="G39" s="168" t="inlineStr">
        <is>
          <t>Away</t>
        </is>
      </c>
      <c r="H39" s="170" t="inlineStr">
        <is>
          <t>New England Patriots</t>
        </is>
      </c>
      <c r="J39" s="171" t="inlineStr">
        <is>
          <t>01:00 PM</t>
        </is>
      </c>
      <c r="K39" s="156">
        <f>IF(AND(F39=0,I39=0),"",IF(F39&gt;I39,B39&amp;E39,IF(F39&lt;I39,B39&amp;H39,"Tie")))</f>
        <v/>
      </c>
      <c r="L39" s="156">
        <f>IFERROR(IF(AND(B39&lt;$L$1,F39&gt;I39),"Win",IF(AND(B39&lt;$L$1,F39&lt;I39),"Loss","")),"")</f>
        <v/>
      </c>
      <c r="M39" s="156">
        <f>IF(B39&lt;_CurWeek,"In","")</f>
        <v/>
      </c>
      <c r="N39" s="156">
        <f>IF(M39="In",E39&amp;G39,"")</f>
        <v/>
      </c>
      <c r="O39" s="156">
        <f>IF(L39="Win",1,0)</f>
        <v/>
      </c>
      <c r="U39" s="172" t="n"/>
    </row>
    <row r="40" ht="14.4" customHeight="1" s="152">
      <c r="A40" s="167">
        <f>B40&amp;E40</f>
        <v/>
      </c>
      <c r="B40" s="168" t="n">
        <v>3</v>
      </c>
      <c r="C40" s="168" t="inlineStr">
        <is>
          <t>Sunday</t>
        </is>
      </c>
      <c r="D40" s="169" t="inlineStr">
        <is>
          <t>2025-09-21</t>
        </is>
      </c>
      <c r="E40" s="168" t="inlineStr">
        <is>
          <t>Los Angeles Rams</t>
        </is>
      </c>
      <c r="F40" s="156" t="n"/>
      <c r="G40" s="168" t="inlineStr">
        <is>
          <t>Away</t>
        </is>
      </c>
      <c r="H40" s="170" t="inlineStr">
        <is>
          <t>Philadelphia Eagles</t>
        </is>
      </c>
      <c r="J40" s="171" t="inlineStr">
        <is>
          <t>01:00 PM</t>
        </is>
      </c>
      <c r="K40" s="156">
        <f>IF(AND(F40=0,I40=0),"",IF(F40&gt;I40,B40&amp;E40,IF(F40&lt;I40,B40&amp;H40,"Tie")))</f>
        <v/>
      </c>
      <c r="L40" s="156">
        <f>IFERROR(IF(AND(B40&lt;$L$1,F40&gt;I40),"Win",IF(AND(B40&lt;$L$1,F40&lt;I40),"Loss","")),"")</f>
        <v/>
      </c>
      <c r="M40" s="156">
        <f>IF(B40&lt;_CurWeek,"In","")</f>
        <v/>
      </c>
      <c r="N40" s="156">
        <f>IF(M40="In",E40&amp;G40,"")</f>
        <v/>
      </c>
      <c r="O40" s="156">
        <f>IF(L40="Win",1,0)</f>
        <v/>
      </c>
      <c r="U40" s="172" t="n"/>
    </row>
    <row r="41" ht="14.4" customHeight="1" s="152">
      <c r="A41" s="167">
        <f>B41&amp;E41</f>
        <v/>
      </c>
      <c r="B41" s="168" t="n">
        <v>3</v>
      </c>
      <c r="C41" s="168" t="inlineStr">
        <is>
          <t>Sunday</t>
        </is>
      </c>
      <c r="D41" s="169" t="inlineStr">
        <is>
          <t>2025-09-21</t>
        </is>
      </c>
      <c r="E41" s="168" t="inlineStr">
        <is>
          <t>New York Jets</t>
        </is>
      </c>
      <c r="F41" s="156" t="n"/>
      <c r="G41" s="168" t="inlineStr">
        <is>
          <t>Away</t>
        </is>
      </c>
      <c r="H41" s="170" t="inlineStr">
        <is>
          <t>Tampa Bay Buccaneers</t>
        </is>
      </c>
      <c r="J41" s="171" t="inlineStr">
        <is>
          <t>01:00 PM</t>
        </is>
      </c>
      <c r="K41" s="156">
        <f>IF(AND(F41=0,I41=0),"",IF(F41&gt;I41,B41&amp;E41,IF(F41&lt;I41,B41&amp;H41,"Tie")))</f>
        <v/>
      </c>
      <c r="L41" s="156">
        <f>IFERROR(IF(AND(B41&lt;$L$1,F41&gt;I41),"Win",IF(AND(B41&lt;$L$1,F41&lt;I41),"Loss","")),"")</f>
        <v/>
      </c>
      <c r="M41" s="156">
        <f>IF(B41&lt;_CurWeek,"In","")</f>
        <v/>
      </c>
      <c r="N41" s="156">
        <f>IF(M41="In",E41&amp;G41,"")</f>
        <v/>
      </c>
      <c r="O41" s="156">
        <f>IF(L41="Win",1,0)</f>
        <v/>
      </c>
      <c r="U41" s="172" t="n"/>
    </row>
    <row r="42" ht="14.4" customHeight="1" s="152">
      <c r="A42" s="167">
        <f>B42&amp;E42</f>
        <v/>
      </c>
      <c r="B42" s="168" t="n">
        <v>3</v>
      </c>
      <c r="C42" s="168" t="inlineStr">
        <is>
          <t>Sunday</t>
        </is>
      </c>
      <c r="D42" s="169" t="inlineStr">
        <is>
          <t>2025-09-21</t>
        </is>
      </c>
      <c r="E42" s="168" t="inlineStr">
        <is>
          <t>Indianapolis Colts</t>
        </is>
      </c>
      <c r="F42" s="156" t="n"/>
      <c r="G42" s="168" t="inlineStr">
        <is>
          <t>Away</t>
        </is>
      </c>
      <c r="H42" s="170" t="inlineStr">
        <is>
          <t>Tennessee Titans</t>
        </is>
      </c>
      <c r="J42" s="171" t="inlineStr">
        <is>
          <t>01:00 PM</t>
        </is>
      </c>
      <c r="K42" s="156">
        <f>IF(AND(F42=0,I42=0),"",IF(F42&gt;I42,B42&amp;E42,IF(F42&lt;I42,B42&amp;H42,"Tie")))</f>
        <v/>
      </c>
      <c r="L42" s="156">
        <f>IFERROR(IF(AND(B42&lt;$L$1,F42&gt;I42),"Win",IF(AND(B42&lt;$L$1,F42&lt;I42),"Loss","")),"")</f>
        <v/>
      </c>
      <c r="M42" s="156">
        <f>IF(B42&lt;_CurWeek,"In","")</f>
        <v/>
      </c>
      <c r="N42" s="156">
        <f>IF(M42="In",E42&amp;G42,"")</f>
        <v/>
      </c>
      <c r="O42" s="156">
        <f>IF(L42="Win",1,0)</f>
        <v/>
      </c>
      <c r="U42" s="172" t="n"/>
    </row>
    <row r="43" ht="14.4" customHeight="1" s="152">
      <c r="A43" s="167">
        <f>B43&amp;E43</f>
        <v/>
      </c>
      <c r="B43" s="168" t="n">
        <v>3</v>
      </c>
      <c r="C43" s="168" t="inlineStr">
        <is>
          <t>Sunday</t>
        </is>
      </c>
      <c r="D43" s="169" t="inlineStr">
        <is>
          <t>2025-09-21</t>
        </is>
      </c>
      <c r="E43" s="168" t="inlineStr">
        <is>
          <t>Las Vegas Raiders</t>
        </is>
      </c>
      <c r="F43" s="156" t="n"/>
      <c r="G43" s="168" t="inlineStr">
        <is>
          <t>Away</t>
        </is>
      </c>
      <c r="H43" s="170" t="inlineStr">
        <is>
          <t>Washington Commanders</t>
        </is>
      </c>
      <c r="J43" s="171" t="inlineStr">
        <is>
          <t>01:00 PM</t>
        </is>
      </c>
      <c r="K43" s="156">
        <f>IF(AND(F43=0,I43=0),"",IF(F43&gt;I43,B43&amp;E43,IF(F43&lt;I43,B43&amp;H43,"Tie")))</f>
        <v/>
      </c>
      <c r="L43" s="156">
        <f>IFERROR(IF(AND(B43&lt;$L$1,F43&gt;I43),"Win",IF(AND(B43&lt;$L$1,F43&lt;I43),"Loss","")),"")</f>
        <v/>
      </c>
      <c r="M43" s="156">
        <f>IF(B43&lt;_CurWeek,"In","")</f>
        <v/>
      </c>
      <c r="N43" s="156">
        <f>IF(M43="In",E43&amp;G43,"")</f>
        <v/>
      </c>
      <c r="O43" s="156">
        <f>IF(L43="Win",1,0)</f>
        <v/>
      </c>
      <c r="U43" s="172" t="n"/>
    </row>
    <row r="44" ht="14.4" customHeight="1" s="152">
      <c r="A44" s="167">
        <f>B44&amp;E44</f>
        <v/>
      </c>
      <c r="B44" s="168" t="n">
        <v>3</v>
      </c>
      <c r="C44" s="168" t="inlineStr">
        <is>
          <t>Sunday</t>
        </is>
      </c>
      <c r="D44" s="169" t="inlineStr">
        <is>
          <t>2025-09-21</t>
        </is>
      </c>
      <c r="E44" s="168" t="inlineStr">
        <is>
          <t>Denver Broncos</t>
        </is>
      </c>
      <c r="F44" s="156" t="n"/>
      <c r="G44" s="168" t="inlineStr">
        <is>
          <t>Away</t>
        </is>
      </c>
      <c r="H44" s="170" t="inlineStr">
        <is>
          <t>Los Angeles Chargers</t>
        </is>
      </c>
      <c r="J44" s="171" t="inlineStr">
        <is>
          <t>04:05 PM</t>
        </is>
      </c>
      <c r="K44" s="156">
        <f>IF(AND(F44=0,I44=0),"",IF(F44&gt;I44,B44&amp;E44,IF(F44&lt;I44,B44&amp;H44,"Tie")))</f>
        <v/>
      </c>
      <c r="L44" s="156">
        <f>IFERROR(IF(AND(B44&lt;$L$1,F44&gt;I44),"Win",IF(AND(B44&lt;$L$1,F44&lt;I44),"Loss","")),"")</f>
        <v/>
      </c>
      <c r="M44" s="156">
        <f>IF(B44&lt;_CurWeek,"In","")</f>
        <v/>
      </c>
      <c r="N44" s="156">
        <f>IF(M44="In",E44&amp;G44,"")</f>
        <v/>
      </c>
      <c r="O44" s="156">
        <f>IF(L44="Win",1,0)</f>
        <v/>
      </c>
      <c r="U44" s="172" t="n"/>
    </row>
    <row r="45" ht="14.4" customHeight="1" s="152">
      <c r="A45" s="167">
        <f>B45&amp;E45</f>
        <v/>
      </c>
      <c r="B45" s="168" t="n">
        <v>3</v>
      </c>
      <c r="C45" s="168" t="inlineStr">
        <is>
          <t>Sunday</t>
        </is>
      </c>
      <c r="D45" s="169" t="inlineStr">
        <is>
          <t>2025-09-21</t>
        </is>
      </c>
      <c r="E45" s="168" t="inlineStr">
        <is>
          <t>New Orleans Saints</t>
        </is>
      </c>
      <c r="F45" s="156" t="n"/>
      <c r="G45" s="168" t="inlineStr">
        <is>
          <t>Away</t>
        </is>
      </c>
      <c r="H45" s="170" t="inlineStr">
        <is>
          <t>Seattle Seahawks</t>
        </is>
      </c>
      <c r="J45" s="171" t="inlineStr">
        <is>
          <t>04:05 PM</t>
        </is>
      </c>
      <c r="K45" s="156">
        <f>IF(AND(F45=0,I45=0),"",IF(F45&gt;I45,B45&amp;E45,IF(F45&lt;I45,B45&amp;H45,"Tie")))</f>
        <v/>
      </c>
      <c r="L45" s="156">
        <f>IFERROR(IF(AND(B45&lt;$L$1,F45&gt;I45),"Win",IF(AND(B45&lt;$L$1,F45&lt;I45),"Loss","")),"")</f>
        <v/>
      </c>
      <c r="M45" s="156">
        <f>IF(B45&lt;_CurWeek,"In","")</f>
        <v/>
      </c>
      <c r="N45" s="156">
        <f>IF(M45="In",E45&amp;G45,"")</f>
        <v/>
      </c>
      <c r="O45" s="156">
        <f>IF(L45="Win",1,0)</f>
        <v/>
      </c>
      <c r="U45" s="172" t="n"/>
    </row>
    <row r="46" ht="14.4" customHeight="1" s="152">
      <c r="A46" s="167">
        <f>B46&amp;E46</f>
        <v/>
      </c>
      <c r="B46" s="168" t="n">
        <v>3</v>
      </c>
      <c r="C46" s="168" t="inlineStr">
        <is>
          <t>Sunday</t>
        </is>
      </c>
      <c r="D46" s="169" t="inlineStr">
        <is>
          <t>2025-09-21</t>
        </is>
      </c>
      <c r="E46" s="168" t="inlineStr">
        <is>
          <t>Dallas Cowboys</t>
        </is>
      </c>
      <c r="F46" s="156" t="n"/>
      <c r="G46" s="168" t="inlineStr">
        <is>
          <t>Away</t>
        </is>
      </c>
      <c r="H46" s="170" t="inlineStr">
        <is>
          <t>Chicago Bears</t>
        </is>
      </c>
      <c r="J46" s="171" t="inlineStr">
        <is>
          <t>04:25 PM</t>
        </is>
      </c>
      <c r="K46" s="156">
        <f>IF(AND(F46=0,I46=0),"",IF(F46&gt;I46,B46&amp;E46,IF(F46&lt;I46,B46&amp;H46,"Tie")))</f>
        <v/>
      </c>
      <c r="L46" s="156">
        <f>IFERROR(IF(AND(B46&lt;$L$1,F46&gt;I46),"Win",IF(AND(B46&lt;$L$1,F46&lt;I46),"Loss","")),"")</f>
        <v/>
      </c>
      <c r="M46" s="156">
        <f>IF(B46&lt;_CurWeek,"In","")</f>
        <v/>
      </c>
      <c r="N46" s="156">
        <f>IF(M46="In",E46&amp;G46,"")</f>
        <v/>
      </c>
      <c r="O46" s="156">
        <f>IF(L46="Win",1,0)</f>
        <v/>
      </c>
      <c r="U46" s="172" t="n"/>
    </row>
    <row r="47" ht="14.4" customHeight="1" s="152">
      <c r="A47" s="167">
        <f>B47&amp;E47</f>
        <v/>
      </c>
      <c r="B47" s="168" t="n">
        <v>3</v>
      </c>
      <c r="C47" s="168" t="inlineStr">
        <is>
          <t>Sunday</t>
        </is>
      </c>
      <c r="D47" s="169" t="inlineStr">
        <is>
          <t>2025-09-21</t>
        </is>
      </c>
      <c r="E47" s="168" t="inlineStr">
        <is>
          <t>Arizona Cardinals</t>
        </is>
      </c>
      <c r="F47" s="156" t="n"/>
      <c r="G47" s="168" t="inlineStr">
        <is>
          <t>Away</t>
        </is>
      </c>
      <c r="H47" s="170" t="inlineStr">
        <is>
          <t>San Francisco 49ers</t>
        </is>
      </c>
      <c r="J47" s="171" t="inlineStr">
        <is>
          <t>04:25 PM</t>
        </is>
      </c>
      <c r="K47" s="156">
        <f>IF(AND(F47=0,I47=0),"",IF(F47&gt;I47,B47&amp;E47,IF(F47&lt;I47,B47&amp;H47,"Tie")))</f>
        <v/>
      </c>
      <c r="L47" s="156">
        <f>IFERROR(IF(AND(B47&lt;$L$1,F47&gt;I47),"Win",IF(AND(B47&lt;$L$1,F47&lt;I47),"Loss","")),"")</f>
        <v/>
      </c>
      <c r="M47" s="156">
        <f>IF(B47&lt;_CurWeek,"In","")</f>
        <v/>
      </c>
      <c r="N47" s="156">
        <f>IF(M47="In",E47&amp;G47,"")</f>
        <v/>
      </c>
      <c r="O47" s="156">
        <f>IF(L47="Win",1,0)</f>
        <v/>
      </c>
      <c r="U47" s="172" t="n"/>
    </row>
    <row r="48" ht="14.4" customHeight="1" s="152">
      <c r="A48" s="167">
        <f>B48&amp;E48</f>
        <v/>
      </c>
      <c r="B48" s="168" t="n">
        <v>3</v>
      </c>
      <c r="C48" s="168" t="inlineStr">
        <is>
          <t>Sunday</t>
        </is>
      </c>
      <c r="D48" s="169" t="inlineStr">
        <is>
          <t>2025-09-21</t>
        </is>
      </c>
      <c r="E48" s="168" t="inlineStr">
        <is>
          <t>Kansas City Chiefs</t>
        </is>
      </c>
      <c r="F48" s="156" t="n"/>
      <c r="G48" s="168" t="inlineStr">
        <is>
          <t>Away</t>
        </is>
      </c>
      <c r="H48" s="170" t="inlineStr">
        <is>
          <t>New York Giants</t>
        </is>
      </c>
      <c r="J48" s="171" t="inlineStr">
        <is>
          <t>08:20 PM</t>
        </is>
      </c>
      <c r="K48" s="156">
        <f>IF(AND(F48=0,I48=0),"",IF(F48&gt;I48,B48&amp;E48,IF(F48&lt;I48,B48&amp;H48,"Tie")))</f>
        <v/>
      </c>
      <c r="L48" s="156">
        <f>IFERROR(IF(AND(B48&lt;$L$1,F48&gt;I48),"Win",IF(AND(B48&lt;$L$1,F48&lt;I48),"Loss","")),"")</f>
        <v/>
      </c>
      <c r="M48" s="156">
        <f>IF(B48&lt;_CurWeek,"In","")</f>
        <v/>
      </c>
      <c r="N48" s="156">
        <f>IF(M48="In",E48&amp;G48,"")</f>
        <v/>
      </c>
      <c r="O48" s="156">
        <f>IF(L48="Win",1,0)</f>
        <v/>
      </c>
      <c r="U48" s="172" t="n"/>
    </row>
    <row r="49" ht="14.4" customHeight="1" s="152">
      <c r="A49" s="167">
        <f>B49&amp;E49</f>
        <v/>
      </c>
      <c r="B49" s="168" t="n">
        <v>3</v>
      </c>
      <c r="C49" s="168" t="inlineStr">
        <is>
          <t>Monday</t>
        </is>
      </c>
      <c r="D49" s="169" t="inlineStr">
        <is>
          <t>2025-09-22</t>
        </is>
      </c>
      <c r="E49" s="168" t="inlineStr">
        <is>
          <t>Detroit Lions</t>
        </is>
      </c>
      <c r="F49" s="156" t="n"/>
      <c r="G49" s="168" t="inlineStr">
        <is>
          <t>Away</t>
        </is>
      </c>
      <c r="H49" s="170" t="inlineStr">
        <is>
          <t>Baltimore Ravens</t>
        </is>
      </c>
      <c r="J49" s="171" t="inlineStr">
        <is>
          <t>08:15 PM</t>
        </is>
      </c>
      <c r="K49" s="156">
        <f>IF(AND(F49=0,I49=0),"",IF(F49&gt;I49,B49&amp;E49,IF(F49&lt;I49,B49&amp;H49,"Tie")))</f>
        <v/>
      </c>
      <c r="L49" s="156">
        <f>IFERROR(IF(AND(B49&lt;$L$1,F49&gt;I49),"Win",IF(AND(B49&lt;$L$1,F49&lt;I49),"Loss","")),"")</f>
        <v/>
      </c>
      <c r="M49" s="156">
        <f>IF(B49&lt;_CurWeek,"In","")</f>
        <v/>
      </c>
      <c r="N49" s="156">
        <f>IF(M49="In",E49&amp;G49,"")</f>
        <v/>
      </c>
      <c r="O49" s="156">
        <f>IF(L49="Win",1,0)</f>
        <v/>
      </c>
      <c r="U49" s="172" t="n"/>
    </row>
    <row r="50" ht="14.4" customHeight="1" s="152">
      <c r="A50" s="167">
        <f>B50&amp;E50</f>
        <v/>
      </c>
      <c r="B50" s="168" t="n">
        <v>4</v>
      </c>
      <c r="C50" s="168" t="inlineStr">
        <is>
          <t>Thursday</t>
        </is>
      </c>
      <c r="D50" s="169" t="inlineStr">
        <is>
          <t>2025-09-25</t>
        </is>
      </c>
      <c r="E50" s="168" t="inlineStr">
        <is>
          <t>Seattle Seahawks</t>
        </is>
      </c>
      <c r="F50" s="156" t="n"/>
      <c r="G50" s="168" t="inlineStr">
        <is>
          <t>Away</t>
        </is>
      </c>
      <c r="H50" s="170" t="inlineStr">
        <is>
          <t>Arizona Cardinals</t>
        </is>
      </c>
      <c r="J50" s="171" t="inlineStr">
        <is>
          <t>08:15 PM</t>
        </is>
      </c>
      <c r="K50" s="156">
        <f>IF(AND(F50=0,I50=0),"",IF(F50&gt;I50,B50&amp;E50,IF(F50&lt;I50,B50&amp;H50,"Tie")))</f>
        <v/>
      </c>
      <c r="L50" s="156">
        <f>IFERROR(IF(AND(B50&lt;$L$1,F50&gt;I50),"Win",IF(AND(B50&lt;$L$1,F50&lt;I50),"Loss","")),"")</f>
        <v/>
      </c>
      <c r="M50" s="156">
        <f>IF(B50&lt;_CurWeek,"In","")</f>
        <v/>
      </c>
      <c r="N50" s="156">
        <f>IF(M50="In",E50&amp;G50,"")</f>
        <v/>
      </c>
      <c r="O50" s="156">
        <f>IF(L50="Win",1,0)</f>
        <v/>
      </c>
      <c r="U50" s="172" t="n"/>
    </row>
    <row r="51" ht="14.4" customHeight="1" s="152">
      <c r="A51" s="167">
        <f>B51&amp;E51</f>
        <v/>
      </c>
      <c r="B51" s="168" t="n">
        <v>4</v>
      </c>
      <c r="C51" s="168" t="inlineStr">
        <is>
          <t>Sunday</t>
        </is>
      </c>
      <c r="D51" s="169" t="inlineStr">
        <is>
          <t>2025-09-28</t>
        </is>
      </c>
      <c r="E51" s="168" t="inlineStr">
        <is>
          <t>Minnesota Vikings</t>
        </is>
      </c>
      <c r="F51" s="156" t="n"/>
      <c r="G51" s="168" t="inlineStr">
        <is>
          <t>Away</t>
        </is>
      </c>
      <c r="H51" s="170" t="inlineStr">
        <is>
          <t>Pittsburgh Steelers</t>
        </is>
      </c>
      <c r="J51" s="171" t="inlineStr">
        <is>
          <t>09:30 AM</t>
        </is>
      </c>
      <c r="K51" s="156">
        <f>IF(AND(F51=0,I51=0),"",IF(F51&gt;I51,B51&amp;E51,IF(F51&lt;I51,B51&amp;H51,"Tie")))</f>
        <v/>
      </c>
      <c r="L51" s="156">
        <f>IFERROR(IF(AND(B51&lt;$L$1,F51&gt;I51),"Win",IF(AND(B51&lt;$L$1,F51&lt;I51),"Loss","")),"")</f>
        <v/>
      </c>
      <c r="M51" s="156">
        <f>IF(B51&lt;_CurWeek,"In","")</f>
        <v/>
      </c>
      <c r="N51" s="156">
        <f>IF(M51="In",E51&amp;G51,"")</f>
        <v/>
      </c>
      <c r="O51" s="156">
        <f>IF(L51="Win",1,0)</f>
        <v/>
      </c>
      <c r="U51" s="172" t="n"/>
    </row>
    <row r="52" ht="14.4" customHeight="1" s="152">
      <c r="A52" s="167">
        <f>B52&amp;E52</f>
        <v/>
      </c>
      <c r="B52" s="168" t="n">
        <v>4</v>
      </c>
      <c r="C52" s="168" t="inlineStr">
        <is>
          <t>Sunday</t>
        </is>
      </c>
      <c r="D52" s="169" t="inlineStr">
        <is>
          <t>2025-09-28</t>
        </is>
      </c>
      <c r="E52" s="168" t="inlineStr">
        <is>
          <t>Washington Commanders</t>
        </is>
      </c>
      <c r="F52" s="156" t="n"/>
      <c r="G52" s="168" t="inlineStr">
        <is>
          <t>Away</t>
        </is>
      </c>
      <c r="H52" s="170" t="inlineStr">
        <is>
          <t>Atlanta Falcons</t>
        </is>
      </c>
      <c r="J52" s="171" t="inlineStr">
        <is>
          <t>01:00 PM</t>
        </is>
      </c>
      <c r="K52" s="156">
        <f>IF(AND(F52=0,I52=0),"",IF(F52&gt;I52,B52&amp;E52,IF(F52&lt;I52,B52&amp;H52,"Tie")))</f>
        <v/>
      </c>
      <c r="L52" s="156">
        <f>IFERROR(IF(AND(B52&lt;$L$1,F52&gt;I52),"Win",IF(AND(B52&lt;$L$1,F52&lt;I52),"Loss","")),"")</f>
        <v/>
      </c>
      <c r="M52" s="156">
        <f>IF(B52&lt;_CurWeek,"In","")</f>
        <v/>
      </c>
      <c r="N52" s="156">
        <f>IF(M52="In",E52&amp;G52,"")</f>
        <v/>
      </c>
      <c r="O52" s="156">
        <f>IF(L52="Win",1,0)</f>
        <v/>
      </c>
      <c r="U52" s="172" t="n"/>
    </row>
    <row r="53" ht="14.4" customHeight="1" s="152">
      <c r="A53" s="167">
        <f>B53&amp;E53</f>
        <v/>
      </c>
      <c r="B53" s="168" t="n">
        <v>4</v>
      </c>
      <c r="C53" s="168" t="inlineStr">
        <is>
          <t>Sunday</t>
        </is>
      </c>
      <c r="D53" s="169" t="inlineStr">
        <is>
          <t>2025-09-28</t>
        </is>
      </c>
      <c r="E53" s="168" t="inlineStr">
        <is>
          <t>New Orleans Saints</t>
        </is>
      </c>
      <c r="F53" s="156" t="n"/>
      <c r="G53" s="168" t="inlineStr">
        <is>
          <t>Away</t>
        </is>
      </c>
      <c r="H53" s="170" t="inlineStr">
        <is>
          <t>Buffalo Bills</t>
        </is>
      </c>
      <c r="J53" s="171" t="inlineStr">
        <is>
          <t>01:00 PM</t>
        </is>
      </c>
      <c r="K53" s="156">
        <f>IF(AND(F53=0,I53=0),"",IF(F53&gt;I53,B53&amp;E53,IF(F53&lt;I53,B53&amp;H53,"Tie")))</f>
        <v/>
      </c>
      <c r="L53" s="156">
        <f>IFERROR(IF(AND(B53&lt;$L$1,F53&gt;I53),"Win",IF(AND(B53&lt;$L$1,F53&lt;I53),"Loss","")),"")</f>
        <v/>
      </c>
      <c r="M53" s="156">
        <f>IF(B53&lt;_CurWeek,"In","")</f>
        <v/>
      </c>
      <c r="N53" s="156">
        <f>IF(M53="In",E53&amp;G53,"")</f>
        <v/>
      </c>
      <c r="O53" s="156">
        <f>IF(L53="Win",1,0)</f>
        <v/>
      </c>
      <c r="U53" s="172" t="n"/>
    </row>
    <row r="54" ht="14.4" customHeight="1" s="152">
      <c r="A54" s="167">
        <f>B54&amp;E54</f>
        <v/>
      </c>
      <c r="B54" s="168" t="n">
        <v>4</v>
      </c>
      <c r="C54" s="168" t="inlineStr">
        <is>
          <t>Sunday</t>
        </is>
      </c>
      <c r="D54" s="169" t="inlineStr">
        <is>
          <t>2025-09-28</t>
        </is>
      </c>
      <c r="E54" s="168" t="inlineStr">
        <is>
          <t>Cleveland Browns</t>
        </is>
      </c>
      <c r="F54" s="156" t="n"/>
      <c r="G54" s="168" t="inlineStr">
        <is>
          <t>Away</t>
        </is>
      </c>
      <c r="H54" s="170" t="inlineStr">
        <is>
          <t>Detroit Lions</t>
        </is>
      </c>
      <c r="J54" s="171" t="inlineStr">
        <is>
          <t>01:00 PM</t>
        </is>
      </c>
      <c r="K54" s="156">
        <f>IF(AND(F54=0,I54=0),"",IF(F54&gt;I54,B54&amp;E54,IF(F54&lt;I54,B54&amp;H54,"Tie")))</f>
        <v/>
      </c>
      <c r="L54" s="156">
        <f>IFERROR(IF(AND(B54&lt;$L$1,F54&gt;I54),"Win",IF(AND(B54&lt;$L$1,F54&lt;I54),"Loss","")),"")</f>
        <v/>
      </c>
      <c r="M54" s="156">
        <f>IF(B54&lt;_CurWeek,"In","")</f>
        <v/>
      </c>
      <c r="N54" s="156">
        <f>IF(M54="In",E54&amp;G54,"")</f>
        <v/>
      </c>
      <c r="O54" s="156">
        <f>IF(L54="Win",1,0)</f>
        <v/>
      </c>
      <c r="U54" s="172" t="n"/>
    </row>
    <row r="55" ht="14.4" customHeight="1" s="152">
      <c r="A55" s="167">
        <f>B55&amp;E55</f>
        <v/>
      </c>
      <c r="B55" s="168" t="n">
        <v>4</v>
      </c>
      <c r="C55" s="168" t="inlineStr">
        <is>
          <t>Sunday</t>
        </is>
      </c>
      <c r="D55" s="169" t="inlineStr">
        <is>
          <t>2025-09-28</t>
        </is>
      </c>
      <c r="E55" s="168" t="inlineStr">
        <is>
          <t>Tennessee Titans</t>
        </is>
      </c>
      <c r="F55" s="156" t="n"/>
      <c r="G55" s="168" t="inlineStr">
        <is>
          <t>Away</t>
        </is>
      </c>
      <c r="H55" s="170" t="inlineStr">
        <is>
          <t>Houston Texans</t>
        </is>
      </c>
      <c r="J55" s="171" t="inlineStr">
        <is>
          <t>01:00 PM</t>
        </is>
      </c>
      <c r="K55" s="156">
        <f>IF(AND(F55=0,I55=0),"",IF(F55&gt;I55,B55&amp;E55,IF(F55&lt;I55,B55&amp;H55,"Tie")))</f>
        <v/>
      </c>
      <c r="L55" s="156">
        <f>IFERROR(IF(AND(B55&lt;$L$1,F55&gt;I55),"Win",IF(AND(B55&lt;$L$1,F55&lt;I55),"Loss","")),"")</f>
        <v/>
      </c>
      <c r="M55" s="156">
        <f>IF(B55&lt;_CurWeek,"In","")</f>
        <v/>
      </c>
      <c r="N55" s="156">
        <f>IF(M55="In",E55&amp;G55,"")</f>
        <v/>
      </c>
      <c r="O55" s="156">
        <f>IF(L55="Win",1,0)</f>
        <v/>
      </c>
      <c r="U55" s="172" t="n"/>
    </row>
    <row r="56" ht="14.4" customHeight="1" s="152">
      <c r="A56" s="167">
        <f>B56&amp;E56</f>
        <v/>
      </c>
      <c r="B56" s="168" t="n">
        <v>4</v>
      </c>
      <c r="C56" s="168" t="inlineStr">
        <is>
          <t>Sunday</t>
        </is>
      </c>
      <c r="D56" s="169" t="inlineStr">
        <is>
          <t>2025-09-28</t>
        </is>
      </c>
      <c r="E56" s="168" t="inlineStr">
        <is>
          <t>Carolina Panthers</t>
        </is>
      </c>
      <c r="F56" s="156" t="n"/>
      <c r="G56" s="168" t="inlineStr">
        <is>
          <t>Away</t>
        </is>
      </c>
      <c r="H56" s="170" t="inlineStr">
        <is>
          <t>New England Patriots</t>
        </is>
      </c>
      <c r="J56" s="171" t="inlineStr">
        <is>
          <t>01:00 PM</t>
        </is>
      </c>
      <c r="K56" s="156">
        <f>IF(AND(F56=0,I56=0),"",IF(F56&gt;I56,B56&amp;E56,IF(F56&lt;I56,B56&amp;H56,"Tie")))</f>
        <v/>
      </c>
      <c r="L56" s="156">
        <f>IFERROR(IF(AND(B56&lt;$L$1,F56&gt;I56),"Win",IF(AND(B56&lt;$L$1,F56&lt;I56),"Loss","")),"")</f>
        <v/>
      </c>
      <c r="M56" s="156">
        <f>IF(B56&lt;_CurWeek,"In","")</f>
        <v/>
      </c>
      <c r="N56" s="156">
        <f>IF(M56="In",E56&amp;G56,"")</f>
        <v/>
      </c>
      <c r="O56" s="156">
        <f>IF(L56="Win",1,0)</f>
        <v/>
      </c>
      <c r="U56" s="172" t="n"/>
    </row>
    <row r="57" ht="14.4" customHeight="1" s="152">
      <c r="A57" s="167">
        <f>B57&amp;E57</f>
        <v/>
      </c>
      <c r="B57" s="168" t="n">
        <v>4</v>
      </c>
      <c r="C57" s="168" t="inlineStr">
        <is>
          <t>Sunday</t>
        </is>
      </c>
      <c r="D57" s="169" t="inlineStr">
        <is>
          <t>2025-09-28</t>
        </is>
      </c>
      <c r="E57" s="168" t="inlineStr">
        <is>
          <t>Los Angeles Chargers</t>
        </is>
      </c>
      <c r="F57" s="156" t="n"/>
      <c r="G57" s="168" t="inlineStr">
        <is>
          <t>Away</t>
        </is>
      </c>
      <c r="H57" s="170" t="inlineStr">
        <is>
          <t>New York Giants</t>
        </is>
      </c>
      <c r="J57" s="171" t="inlineStr">
        <is>
          <t>01:00 PM</t>
        </is>
      </c>
      <c r="K57" s="156">
        <f>IF(AND(F57=0,I57=0),"",IF(F57&gt;I57,B57&amp;E57,IF(F57&lt;I57,B57&amp;H57,"Tie")))</f>
        <v/>
      </c>
      <c r="L57" s="156">
        <f>IFERROR(IF(AND(B57&lt;$L$1,F57&gt;I57),"Win",IF(AND(B57&lt;$L$1,F57&lt;I57),"Loss","")),"")</f>
        <v/>
      </c>
      <c r="M57" s="156">
        <f>IF(B57&lt;_CurWeek,"In","")</f>
        <v/>
      </c>
      <c r="N57" s="156">
        <f>IF(M57="In",E57&amp;G57,"")</f>
        <v/>
      </c>
      <c r="O57" s="156">
        <f>IF(L57="Win",1,0)</f>
        <v/>
      </c>
      <c r="U57" s="172" t="n"/>
    </row>
    <row r="58" ht="14.4" customHeight="1" s="152">
      <c r="A58" s="167">
        <f>B58&amp;E58</f>
        <v/>
      </c>
      <c r="B58" s="168" t="n">
        <v>4</v>
      </c>
      <c r="C58" s="168" t="inlineStr">
        <is>
          <t>Sunday</t>
        </is>
      </c>
      <c r="D58" s="169" t="inlineStr">
        <is>
          <t>2025-09-28</t>
        </is>
      </c>
      <c r="E58" s="168" t="inlineStr">
        <is>
          <t>Philadelphia Eagles</t>
        </is>
      </c>
      <c r="F58" s="156" t="n"/>
      <c r="G58" s="168" t="inlineStr">
        <is>
          <t>Away</t>
        </is>
      </c>
      <c r="H58" s="170" t="inlineStr">
        <is>
          <t>Tampa Bay Buccaneers</t>
        </is>
      </c>
      <c r="J58" s="171" t="inlineStr">
        <is>
          <t>01:00 PM</t>
        </is>
      </c>
      <c r="K58" s="156">
        <f>IF(AND(F58=0,I58=0),"",IF(F58&gt;I58,B58&amp;E58,IF(F58&lt;I58,B58&amp;H58,"Tie")))</f>
        <v/>
      </c>
      <c r="L58" s="156">
        <f>IFERROR(IF(AND(B58&lt;$L$1,F58&gt;I58),"Win",IF(AND(B58&lt;$L$1,F58&lt;I58),"Loss","")),"")</f>
        <v/>
      </c>
      <c r="M58" s="156">
        <f>IF(B58&lt;_CurWeek,"In","")</f>
        <v/>
      </c>
      <c r="N58" s="156">
        <f>IF(M58="In",E58&amp;G58,"")</f>
        <v/>
      </c>
      <c r="O58" s="156">
        <f>IF(L58="Win",1,0)</f>
        <v/>
      </c>
      <c r="U58" s="172" t="n"/>
    </row>
    <row r="59" ht="14.4" customHeight="1" s="152">
      <c r="A59" s="167">
        <f>B59&amp;E59</f>
        <v/>
      </c>
      <c r="B59" s="168" t="n">
        <v>4</v>
      </c>
      <c r="C59" s="168" t="inlineStr">
        <is>
          <t>Sunday</t>
        </is>
      </c>
      <c r="D59" s="169" t="inlineStr">
        <is>
          <t>2025-09-28</t>
        </is>
      </c>
      <c r="E59" s="168" t="inlineStr">
        <is>
          <t>Indianapolis Colts</t>
        </is>
      </c>
      <c r="F59" s="156" t="n"/>
      <c r="G59" s="168" t="inlineStr">
        <is>
          <t>Away</t>
        </is>
      </c>
      <c r="H59" s="170" t="inlineStr">
        <is>
          <t>Los Angeles Rams</t>
        </is>
      </c>
      <c r="J59" s="171" t="inlineStr">
        <is>
          <t>04:05 PM</t>
        </is>
      </c>
      <c r="K59" s="156">
        <f>IF(AND(F59=0,I59=0),"",IF(F59&gt;I59,B59&amp;E59,IF(F59&lt;I59,B59&amp;H59,"Tie")))</f>
        <v/>
      </c>
      <c r="L59" s="156">
        <f>IFERROR(IF(AND(B59&lt;$L$1,F59&gt;I59),"Win",IF(AND(B59&lt;$L$1,F59&lt;I59),"Loss","")),"")</f>
        <v/>
      </c>
      <c r="M59" s="156">
        <f>IF(B59&lt;_CurWeek,"In","")</f>
        <v/>
      </c>
      <c r="N59" s="156">
        <f>IF(M59="In",E59&amp;G59,"")</f>
        <v/>
      </c>
      <c r="O59" s="156">
        <f>IF(L59="Win",1,0)</f>
        <v/>
      </c>
      <c r="U59" s="172" t="n"/>
    </row>
    <row r="60" ht="14.4" customHeight="1" s="152">
      <c r="A60" s="167">
        <f>B60&amp;E60</f>
        <v/>
      </c>
      <c r="B60" s="168" t="n">
        <v>4</v>
      </c>
      <c r="C60" s="168" t="inlineStr">
        <is>
          <t>Sunday</t>
        </is>
      </c>
      <c r="D60" s="169" t="inlineStr">
        <is>
          <t>2025-09-28</t>
        </is>
      </c>
      <c r="E60" s="168" t="inlineStr">
        <is>
          <t>Jacksonville Jaguars</t>
        </is>
      </c>
      <c r="F60" s="156" t="n"/>
      <c r="G60" s="168" t="inlineStr">
        <is>
          <t>Away</t>
        </is>
      </c>
      <c r="H60" s="170" t="inlineStr">
        <is>
          <t>San Francisco 49ers</t>
        </is>
      </c>
      <c r="J60" s="171" t="inlineStr">
        <is>
          <t>04:05 PM</t>
        </is>
      </c>
      <c r="K60" s="156">
        <f>IF(AND(F60=0,I60=0),"",IF(F60&gt;I60,B60&amp;E60,IF(F60&lt;I60,B60&amp;H60,"Tie")))</f>
        <v/>
      </c>
      <c r="L60" s="156">
        <f>IFERROR(IF(AND(B60&lt;$L$1,F60&gt;I60),"Win",IF(AND(B60&lt;$L$1,F60&lt;I60),"Loss","")),"")</f>
        <v/>
      </c>
      <c r="M60" s="156">
        <f>IF(B60&lt;_CurWeek,"In","")</f>
        <v/>
      </c>
      <c r="N60" s="156">
        <f>IF(M60="In",E60&amp;G60,"")</f>
        <v/>
      </c>
      <c r="O60" s="156">
        <f>IF(L60="Win",1,0)</f>
        <v/>
      </c>
      <c r="U60" s="172" t="n"/>
    </row>
    <row r="61" ht="14.4" customHeight="1" s="152">
      <c r="A61" s="167">
        <f>B61&amp;E61</f>
        <v/>
      </c>
      <c r="B61" s="168" t="n">
        <v>4</v>
      </c>
      <c r="C61" s="168" t="inlineStr">
        <is>
          <t>Sunday</t>
        </is>
      </c>
      <c r="D61" s="169" t="inlineStr">
        <is>
          <t>2025-09-28</t>
        </is>
      </c>
      <c r="E61" s="168" t="inlineStr">
        <is>
          <t>Baltimore Ravens</t>
        </is>
      </c>
      <c r="F61" s="156" t="n"/>
      <c r="G61" s="168" t="inlineStr">
        <is>
          <t>Away</t>
        </is>
      </c>
      <c r="H61" s="170" t="inlineStr">
        <is>
          <t>Kansas City Chiefs</t>
        </is>
      </c>
      <c r="J61" s="171" t="inlineStr">
        <is>
          <t>04:25 PM</t>
        </is>
      </c>
      <c r="K61" s="156">
        <f>IF(AND(F61=0,I61=0),"",IF(F61&gt;I61,B61&amp;E61,IF(F61&lt;I61,B61&amp;H61,"Tie")))</f>
        <v/>
      </c>
      <c r="L61" s="156">
        <f>IFERROR(IF(AND(B61&lt;$L$1,F61&gt;I61),"Win",IF(AND(B61&lt;$L$1,F61&lt;I61),"Loss","")),"")</f>
        <v/>
      </c>
      <c r="M61" s="156">
        <f>IF(B61&lt;_CurWeek,"In","")</f>
        <v/>
      </c>
      <c r="N61" s="156">
        <f>IF(M61="In",E61&amp;G61,"")</f>
        <v/>
      </c>
      <c r="O61" s="156">
        <f>IF(L61="Win",1,0)</f>
        <v/>
      </c>
      <c r="U61" s="172" t="n"/>
    </row>
    <row r="62" ht="14.4" customHeight="1" s="152">
      <c r="A62" s="167">
        <f>B62&amp;E62</f>
        <v/>
      </c>
      <c r="B62" s="168" t="n">
        <v>4</v>
      </c>
      <c r="C62" s="168" t="inlineStr">
        <is>
          <t>Sunday</t>
        </is>
      </c>
      <c r="D62" s="169" t="inlineStr">
        <is>
          <t>2025-09-28</t>
        </is>
      </c>
      <c r="E62" s="168" t="inlineStr">
        <is>
          <t>Chicago Bears</t>
        </is>
      </c>
      <c r="F62" s="156" t="n"/>
      <c r="G62" s="168" t="inlineStr">
        <is>
          <t>Away</t>
        </is>
      </c>
      <c r="H62" s="170" t="inlineStr">
        <is>
          <t>Las Vegas Raiders</t>
        </is>
      </c>
      <c r="J62" s="171" t="inlineStr">
        <is>
          <t>04:25 PM</t>
        </is>
      </c>
      <c r="K62" s="156">
        <f>IF(AND(F62=0,I62=0),"",IF(F62&gt;I62,B62&amp;E62,IF(F62&lt;I62,B62&amp;H62,"Tie")))</f>
        <v/>
      </c>
      <c r="L62" s="156">
        <f>IFERROR(IF(AND(B62&lt;$L$1,F62&gt;I62),"Win",IF(AND(B62&lt;$L$1,F62&lt;I62),"Loss","")),"")</f>
        <v/>
      </c>
      <c r="M62" s="156">
        <f>IF(B62&lt;_CurWeek,"In","")</f>
        <v/>
      </c>
      <c r="N62" s="156">
        <f>IF(M62="In",E62&amp;G62,"")</f>
        <v/>
      </c>
      <c r="O62" s="156">
        <f>IF(L62="Win",1,0)</f>
        <v/>
      </c>
      <c r="U62" s="172" t="n"/>
    </row>
    <row r="63" ht="14.4" customHeight="1" s="152">
      <c r="A63" s="167">
        <f>B63&amp;E63</f>
        <v/>
      </c>
      <c r="B63" s="168" t="n">
        <v>4</v>
      </c>
      <c r="C63" s="168" t="inlineStr">
        <is>
          <t>Sunday</t>
        </is>
      </c>
      <c r="D63" s="169" t="inlineStr">
        <is>
          <t>2025-09-28</t>
        </is>
      </c>
      <c r="E63" s="168" t="inlineStr">
        <is>
          <t>Green Bay Packers</t>
        </is>
      </c>
      <c r="F63" s="156" t="n"/>
      <c r="G63" s="168" t="inlineStr">
        <is>
          <t>Away</t>
        </is>
      </c>
      <c r="H63" s="170" t="inlineStr">
        <is>
          <t>Dallas Cowboys</t>
        </is>
      </c>
      <c r="J63" s="171" t="inlineStr">
        <is>
          <t>08:20 PM</t>
        </is>
      </c>
      <c r="K63" s="156">
        <f>IF(AND(F63=0,I63=0),"",IF(F63&gt;I63,B63&amp;E63,IF(F63&lt;I63,B63&amp;H63,"Tie")))</f>
        <v/>
      </c>
      <c r="L63" s="156">
        <f>IFERROR(IF(AND(B63&lt;$L$1,F63&gt;I63),"Win",IF(AND(B63&lt;$L$1,F63&lt;I63),"Loss","")),"")</f>
        <v/>
      </c>
      <c r="M63" s="156">
        <f>IF(B63&lt;_CurWeek,"In","")</f>
        <v/>
      </c>
      <c r="N63" s="156">
        <f>IF(M63="In",E63&amp;G63,"")</f>
        <v/>
      </c>
      <c r="O63" s="156">
        <f>IF(L63="Win",1,0)</f>
        <v/>
      </c>
      <c r="U63" s="172" t="n"/>
    </row>
    <row r="64" ht="14.4" customHeight="1" s="152">
      <c r="A64" s="167">
        <f>B64&amp;E64</f>
        <v/>
      </c>
      <c r="B64" s="168" t="n">
        <v>4</v>
      </c>
      <c r="C64" s="168" t="inlineStr">
        <is>
          <t>Monday</t>
        </is>
      </c>
      <c r="D64" s="169" t="inlineStr">
        <is>
          <t>2025-09-29</t>
        </is>
      </c>
      <c r="E64" s="168" t="inlineStr">
        <is>
          <t>New York Jets</t>
        </is>
      </c>
      <c r="F64" s="156" t="n"/>
      <c r="G64" s="168" t="inlineStr">
        <is>
          <t>Away</t>
        </is>
      </c>
      <c r="H64" s="170" t="inlineStr">
        <is>
          <t>Miami Dolphins</t>
        </is>
      </c>
      <c r="J64" s="171" t="inlineStr">
        <is>
          <t>07:15 PM</t>
        </is>
      </c>
      <c r="K64" s="156">
        <f>IF(AND(F64=0,I64=0),"",IF(F64&gt;I64,B64&amp;E64,IF(F64&lt;I64,B64&amp;H64,"Tie")))</f>
        <v/>
      </c>
      <c r="L64" s="156">
        <f>IFERROR(IF(AND(B64&lt;$L$1,F64&gt;I64),"Win",IF(AND(B64&lt;$L$1,F64&lt;I64),"Loss","")),"")</f>
        <v/>
      </c>
      <c r="M64" s="156">
        <f>IF(B64&lt;_CurWeek,"In","")</f>
        <v/>
      </c>
      <c r="N64" s="156">
        <f>IF(M64="In",E64&amp;G64,"")</f>
        <v/>
      </c>
      <c r="O64" s="156">
        <f>IF(L64="Win",1,0)</f>
        <v/>
      </c>
      <c r="U64" s="172" t="n"/>
    </row>
    <row r="65" ht="14.4" customHeight="1" s="152">
      <c r="A65" s="167">
        <f>B65&amp;E65</f>
        <v/>
      </c>
      <c r="B65" s="168" t="n">
        <v>4</v>
      </c>
      <c r="C65" s="168" t="inlineStr">
        <is>
          <t>Monday</t>
        </is>
      </c>
      <c r="D65" s="169" t="inlineStr">
        <is>
          <t>2025-09-29</t>
        </is>
      </c>
      <c r="E65" s="168" t="inlineStr">
        <is>
          <t>Cincinnati Bengals</t>
        </is>
      </c>
      <c r="F65" s="156" t="n"/>
      <c r="G65" s="168" t="inlineStr">
        <is>
          <t>Away</t>
        </is>
      </c>
      <c r="H65" s="170" t="inlineStr">
        <is>
          <t>Denver Broncos</t>
        </is>
      </c>
      <c r="J65" s="171" t="inlineStr">
        <is>
          <t>08:15 PM</t>
        </is>
      </c>
      <c r="K65" s="156">
        <f>IF(AND(F65=0,I65=0),"",IF(F65&gt;I65,B65&amp;E65,IF(F65&lt;I65,B65&amp;H65,"Tie")))</f>
        <v/>
      </c>
      <c r="L65" s="156">
        <f>IFERROR(IF(AND(B65&lt;$L$1,F65&gt;I65),"Win",IF(AND(B65&lt;$L$1,F65&lt;I65),"Loss","")),"")</f>
        <v/>
      </c>
      <c r="M65" s="156">
        <f>IF(B65&lt;_CurWeek,"In","")</f>
        <v/>
      </c>
      <c r="N65" s="156">
        <f>IF(M65="In",E65&amp;G65,"")</f>
        <v/>
      </c>
      <c r="O65" s="156">
        <f>IF(L65="Win",1,0)</f>
        <v/>
      </c>
      <c r="U65" s="172" t="n"/>
    </row>
    <row r="66" ht="14.4" customHeight="1" s="152">
      <c r="A66" s="167">
        <f>B66&amp;E66</f>
        <v/>
      </c>
      <c r="B66" s="168" t="n">
        <v>5</v>
      </c>
      <c r="C66" s="168" t="inlineStr">
        <is>
          <t>Thursday</t>
        </is>
      </c>
      <c r="D66" s="169" t="inlineStr">
        <is>
          <t>2025-10-02</t>
        </is>
      </c>
      <c r="E66" s="168" t="inlineStr">
        <is>
          <t>San Francisco 49ers</t>
        </is>
      </c>
      <c r="F66" s="156" t="n"/>
      <c r="G66" s="168" t="inlineStr">
        <is>
          <t>Away</t>
        </is>
      </c>
      <c r="H66" s="170" t="inlineStr">
        <is>
          <t>Los Angeles Rams</t>
        </is>
      </c>
      <c r="J66" s="171" t="inlineStr">
        <is>
          <t>08:15 PM</t>
        </is>
      </c>
      <c r="K66" s="156">
        <f>IF(AND(F66=0,I66=0),"",IF(F66&gt;I66,B66&amp;E66,IF(F66&lt;I66,B66&amp;H66,"Tie")))</f>
        <v/>
      </c>
      <c r="L66" s="156">
        <f>IFERROR(IF(AND(B66&lt;$L$1,F66&gt;I66),"Win",IF(AND(B66&lt;$L$1,F66&lt;I66),"Loss","")),"")</f>
        <v/>
      </c>
      <c r="M66" s="156">
        <f>IF(B66&lt;_CurWeek,"In","")</f>
        <v/>
      </c>
      <c r="N66" s="156">
        <f>IF(M66="In",E66&amp;G66,"")</f>
        <v/>
      </c>
      <c r="O66" s="156">
        <f>IF(L66="Win",1,0)</f>
        <v/>
      </c>
      <c r="U66" s="172" t="n"/>
    </row>
    <row r="67" ht="14.4" customHeight="1" s="152">
      <c r="A67" s="167">
        <f>B67&amp;E67</f>
        <v/>
      </c>
      <c r="B67" s="168" t="n">
        <v>5</v>
      </c>
      <c r="C67" s="168" t="inlineStr">
        <is>
          <t>Sunday</t>
        </is>
      </c>
      <c r="D67" s="169" t="inlineStr">
        <is>
          <t>2025-10-05</t>
        </is>
      </c>
      <c r="E67" s="168" t="inlineStr">
        <is>
          <t>Minnesota Vikings</t>
        </is>
      </c>
      <c r="F67" s="156" t="n"/>
      <c r="G67" s="168" t="inlineStr">
        <is>
          <t>Away</t>
        </is>
      </c>
      <c r="H67" s="170" t="inlineStr">
        <is>
          <t>Cleveland Browns</t>
        </is>
      </c>
      <c r="J67" s="171" t="inlineStr">
        <is>
          <t>09:30 AM</t>
        </is>
      </c>
      <c r="K67" s="156">
        <f>IF(AND(F67=0,I67=0),"",IF(F67&gt;I67,B67&amp;E67,IF(F67&lt;I67,B67&amp;H67,"Tie")))</f>
        <v/>
      </c>
      <c r="L67" s="156">
        <f>IFERROR(IF(AND(B67&lt;$L$1,F67&gt;I67),"Win",IF(AND(B67&lt;$L$1,F67&lt;I67),"Loss","")),"")</f>
        <v/>
      </c>
      <c r="M67" s="156">
        <f>IF(B67&lt;_CurWeek,"In","")</f>
        <v/>
      </c>
      <c r="N67" s="156">
        <f>IF(M67="In",E67&amp;G67,"")</f>
        <v/>
      </c>
      <c r="O67" s="156">
        <f>IF(L67="Win",1,0)</f>
        <v/>
      </c>
      <c r="U67" s="172" t="n"/>
    </row>
    <row r="68" ht="14.4" customHeight="1" s="152">
      <c r="A68" s="167">
        <f>B68&amp;E68</f>
        <v/>
      </c>
      <c r="B68" s="168" t="n">
        <v>5</v>
      </c>
      <c r="C68" s="168" t="inlineStr">
        <is>
          <t>Sunday</t>
        </is>
      </c>
      <c r="D68" s="169" t="inlineStr">
        <is>
          <t>2025-10-05</t>
        </is>
      </c>
      <c r="E68" s="168" t="inlineStr">
        <is>
          <t>Houston Texans</t>
        </is>
      </c>
      <c r="F68" s="156" t="n"/>
      <c r="G68" s="168" t="inlineStr">
        <is>
          <t>Away</t>
        </is>
      </c>
      <c r="H68" s="170" t="inlineStr">
        <is>
          <t>Baltimore Ravens</t>
        </is>
      </c>
      <c r="J68" s="171" t="inlineStr">
        <is>
          <t>01:00 PM</t>
        </is>
      </c>
      <c r="K68" s="156">
        <f>IF(AND(F68=0,I68=0),"",IF(F68&gt;I68,B68&amp;E68,IF(F68&lt;I68,B68&amp;H68,"Tie")))</f>
        <v/>
      </c>
      <c r="L68" s="156">
        <f>IFERROR(IF(AND(B68&lt;$L$1,F68&gt;I68),"Win",IF(AND(B68&lt;$L$1,F68&lt;I68),"Loss","")),"")</f>
        <v/>
      </c>
      <c r="M68" s="156">
        <f>IF(B68&lt;_CurWeek,"In","")</f>
        <v/>
      </c>
      <c r="N68" s="156">
        <f>IF(M68="In",E68&amp;G68,"")</f>
        <v/>
      </c>
      <c r="O68" s="156">
        <f>IF(L68="Win",1,0)</f>
        <v/>
      </c>
      <c r="U68" s="172" t="n"/>
    </row>
    <row r="69" ht="14.4" customHeight="1" s="152">
      <c r="A69" s="167">
        <f>B69&amp;E69</f>
        <v/>
      </c>
      <c r="B69" s="168" t="n">
        <v>5</v>
      </c>
      <c r="C69" s="168" t="inlineStr">
        <is>
          <t>Sunday</t>
        </is>
      </c>
      <c r="D69" s="169" t="inlineStr">
        <is>
          <t>2025-10-05</t>
        </is>
      </c>
      <c r="E69" s="168" t="inlineStr">
        <is>
          <t>Miami Dolphins</t>
        </is>
      </c>
      <c r="F69" s="156" t="n"/>
      <c r="G69" s="168" t="inlineStr">
        <is>
          <t>Away</t>
        </is>
      </c>
      <c r="H69" s="170" t="inlineStr">
        <is>
          <t>Carolina Panthers</t>
        </is>
      </c>
      <c r="J69" s="171" t="inlineStr">
        <is>
          <t>01:00 PM</t>
        </is>
      </c>
      <c r="K69" s="156">
        <f>IF(AND(F69=0,I69=0),"",IF(F69&gt;I69,B69&amp;E69,IF(F69&lt;I69,B69&amp;H69,"Tie")))</f>
        <v/>
      </c>
      <c r="L69" s="156">
        <f>IFERROR(IF(AND(B69&lt;$L$1,F69&gt;I69),"Win",IF(AND(B69&lt;$L$1,F69&lt;I69),"Loss","")),"")</f>
        <v/>
      </c>
      <c r="M69" s="156">
        <f>IF(B69&lt;_CurWeek,"In","")</f>
        <v/>
      </c>
      <c r="N69" s="156">
        <f>IF(M69="In",E69&amp;G69,"")</f>
        <v/>
      </c>
      <c r="O69" s="156">
        <f>IF(L69="Win",1,0)</f>
        <v/>
      </c>
      <c r="U69" s="172" t="n"/>
    </row>
    <row r="70" ht="14.4" customHeight="1" s="152">
      <c r="A70" s="167">
        <f>B70&amp;E70</f>
        <v/>
      </c>
      <c r="B70" s="168" t="n">
        <v>5</v>
      </c>
      <c r="C70" s="168" t="inlineStr">
        <is>
          <t>Sunday</t>
        </is>
      </c>
      <c r="D70" s="169" t="inlineStr">
        <is>
          <t>2025-10-05</t>
        </is>
      </c>
      <c r="E70" s="168" t="inlineStr">
        <is>
          <t>Las Vegas Raiders</t>
        </is>
      </c>
      <c r="F70" s="156" t="n"/>
      <c r="G70" s="168" t="inlineStr">
        <is>
          <t>Away</t>
        </is>
      </c>
      <c r="H70" s="170" t="inlineStr">
        <is>
          <t>Indianapolis Colts</t>
        </is>
      </c>
      <c r="J70" s="171" t="inlineStr">
        <is>
          <t>01:00 PM</t>
        </is>
      </c>
      <c r="K70" s="156">
        <f>IF(AND(F70=0,I70=0),"",IF(F70&gt;I70,B70&amp;E70,IF(F70&lt;I70,B70&amp;H70,"Tie")))</f>
        <v/>
      </c>
      <c r="L70" s="156">
        <f>IFERROR(IF(AND(B70&lt;$L$1,F70&gt;I70),"Win",IF(AND(B70&lt;$L$1,F70&lt;I70),"Loss","")),"")</f>
        <v/>
      </c>
      <c r="M70" s="156">
        <f>IF(B70&lt;_CurWeek,"In","")</f>
        <v/>
      </c>
      <c r="N70" s="156">
        <f>IF(M70="In",E70&amp;G70,"")</f>
        <v/>
      </c>
      <c r="O70" s="156">
        <f>IF(L70="Win",1,0)</f>
        <v/>
      </c>
      <c r="U70" s="172" t="n"/>
    </row>
    <row r="71" ht="14.4" customHeight="1" s="152">
      <c r="A71" s="167">
        <f>B71&amp;E71</f>
        <v/>
      </c>
      <c r="B71" s="168" t="n">
        <v>5</v>
      </c>
      <c r="C71" s="168" t="inlineStr">
        <is>
          <t>Sunday</t>
        </is>
      </c>
      <c r="D71" s="169" t="inlineStr">
        <is>
          <t>2025-10-05</t>
        </is>
      </c>
      <c r="E71" s="168" t="inlineStr">
        <is>
          <t>New York Giants</t>
        </is>
      </c>
      <c r="F71" s="156" t="n"/>
      <c r="G71" s="168" t="inlineStr">
        <is>
          <t>Away</t>
        </is>
      </c>
      <c r="H71" s="170" t="inlineStr">
        <is>
          <t>New Orleans Saints</t>
        </is>
      </c>
      <c r="J71" s="171" t="inlineStr">
        <is>
          <t>01:00 PM</t>
        </is>
      </c>
      <c r="K71" s="156">
        <f>IF(AND(F71=0,I71=0),"",IF(F71&gt;I71,B71&amp;E71,IF(F71&lt;I71,B71&amp;H71,"Tie")))</f>
        <v/>
      </c>
      <c r="L71" s="156">
        <f>IFERROR(IF(AND(B71&lt;$L$1,F71&gt;I71),"Win",IF(AND(B71&lt;$L$1,F71&lt;I71),"Loss","")),"")</f>
        <v/>
      </c>
      <c r="M71" s="156">
        <f>IF(B71&lt;_CurWeek,"In","")</f>
        <v/>
      </c>
      <c r="N71" s="156">
        <f>IF(M71="In",E71&amp;G71,"")</f>
        <v/>
      </c>
      <c r="O71" s="156">
        <f>IF(L71="Win",1,0)</f>
        <v/>
      </c>
      <c r="U71" s="172" t="n"/>
    </row>
    <row r="72" ht="14.4" customHeight="1" s="152">
      <c r="A72" s="167">
        <f>B72&amp;E72</f>
        <v/>
      </c>
      <c r="B72" s="168" t="n">
        <v>5</v>
      </c>
      <c r="C72" s="168" t="inlineStr">
        <is>
          <t>Sunday</t>
        </is>
      </c>
      <c r="D72" s="169" t="inlineStr">
        <is>
          <t>2025-10-05</t>
        </is>
      </c>
      <c r="E72" s="168" t="inlineStr">
        <is>
          <t>Dallas Cowboys</t>
        </is>
      </c>
      <c r="F72" s="156" t="n"/>
      <c r="G72" s="168" t="inlineStr">
        <is>
          <t>Away</t>
        </is>
      </c>
      <c r="H72" s="170" t="inlineStr">
        <is>
          <t>New York Jets</t>
        </is>
      </c>
      <c r="J72" s="171" t="inlineStr">
        <is>
          <t>01:00 PM</t>
        </is>
      </c>
      <c r="K72" s="156">
        <f>IF(AND(F72=0,I72=0),"",IF(F72&gt;I72,B72&amp;E72,IF(F72&lt;I72,B72&amp;H72,"Tie")))</f>
        <v/>
      </c>
      <c r="L72" s="156">
        <f>IFERROR(IF(AND(B72&lt;$L$1,F72&gt;I72),"Win",IF(AND(B72&lt;$L$1,F72&lt;I72),"Loss","")),"")</f>
        <v/>
      </c>
      <c r="M72" s="156">
        <f>IF(B72&lt;_CurWeek,"In","")</f>
        <v/>
      </c>
      <c r="N72" s="156">
        <f>IF(M72="In",E72&amp;G72,"")</f>
        <v/>
      </c>
      <c r="O72" s="156">
        <f>IF(L72="Win",1,0)</f>
        <v/>
      </c>
      <c r="U72" s="172" t="n"/>
    </row>
    <row r="73" ht="14.4" customHeight="1" s="152">
      <c r="A73" s="167">
        <f>B73&amp;E73</f>
        <v/>
      </c>
      <c r="B73" s="168" t="n">
        <v>5</v>
      </c>
      <c r="C73" s="168" t="inlineStr">
        <is>
          <t>Sunday</t>
        </is>
      </c>
      <c r="D73" s="169" t="inlineStr">
        <is>
          <t>2025-10-05</t>
        </is>
      </c>
      <c r="E73" s="168" t="inlineStr">
        <is>
          <t>Denver Broncos</t>
        </is>
      </c>
      <c r="F73" s="156" t="n"/>
      <c r="G73" s="168" t="inlineStr">
        <is>
          <t>Away</t>
        </is>
      </c>
      <c r="H73" s="170" t="inlineStr">
        <is>
          <t>Philadelphia Eagles</t>
        </is>
      </c>
      <c r="J73" s="171" t="inlineStr">
        <is>
          <t>01:00 PM</t>
        </is>
      </c>
      <c r="K73" s="156">
        <f>IF(AND(F73=0,I73=0),"",IF(F73&gt;I73,B73&amp;E73,IF(F73&lt;I73,B73&amp;H73,"Tie")))</f>
        <v/>
      </c>
      <c r="L73" s="156">
        <f>IFERROR(IF(AND(B73&lt;$L$1,F73&gt;I73),"Win",IF(AND(B73&lt;$L$1,F73&lt;I73),"Loss","")),"")</f>
        <v/>
      </c>
      <c r="M73" s="156">
        <f>IF(B73&lt;_CurWeek,"In","")</f>
        <v/>
      </c>
      <c r="N73" s="156">
        <f>IF(M73="In",E73&amp;G73,"")</f>
        <v/>
      </c>
      <c r="O73" s="156">
        <f>IF(L73="Win",1,0)</f>
        <v/>
      </c>
      <c r="U73" s="172" t="n"/>
    </row>
    <row r="74" ht="14.4" customHeight="1" s="152">
      <c r="A74" s="167">
        <f>B74&amp;E74</f>
        <v/>
      </c>
      <c r="B74" s="168" t="n">
        <v>5</v>
      </c>
      <c r="C74" s="168" t="inlineStr">
        <is>
          <t>Sunday</t>
        </is>
      </c>
      <c r="D74" s="169" t="inlineStr">
        <is>
          <t>2025-10-05</t>
        </is>
      </c>
      <c r="E74" s="168" t="inlineStr">
        <is>
          <t>Tennessee Titans</t>
        </is>
      </c>
      <c r="F74" s="156" t="n"/>
      <c r="G74" s="168" t="inlineStr">
        <is>
          <t>Away</t>
        </is>
      </c>
      <c r="H74" s="170" t="inlineStr">
        <is>
          <t>Arizona Cardinals</t>
        </is>
      </c>
      <c r="J74" s="171" t="inlineStr">
        <is>
          <t>04:05 PM</t>
        </is>
      </c>
      <c r="K74" s="156">
        <f>IF(AND(F74=0,I74=0),"",IF(F74&gt;I74,B74&amp;E74,IF(F74&lt;I74,B74&amp;H74,"Tie")))</f>
        <v/>
      </c>
      <c r="L74" s="156">
        <f>IFERROR(IF(AND(B74&lt;$L$1,F74&gt;I74),"Win",IF(AND(B74&lt;$L$1,F74&lt;I74),"Loss","")),"")</f>
        <v/>
      </c>
      <c r="M74" s="156">
        <f>IF(B74&lt;_CurWeek,"In","")</f>
        <v/>
      </c>
      <c r="N74" s="156">
        <f>IF(M74="In",E74&amp;G74,"")</f>
        <v/>
      </c>
      <c r="O74" s="156">
        <f>IF(L74="Win",1,0)</f>
        <v/>
      </c>
      <c r="U74" s="172" t="n"/>
    </row>
    <row r="75" ht="14.4" customHeight="1" s="152">
      <c r="A75" s="167">
        <f>B75&amp;E75</f>
        <v/>
      </c>
      <c r="B75" s="168" t="n">
        <v>5</v>
      </c>
      <c r="C75" s="168" t="inlineStr">
        <is>
          <t>Sunday</t>
        </is>
      </c>
      <c r="D75" s="169" t="inlineStr">
        <is>
          <t>2025-10-05</t>
        </is>
      </c>
      <c r="E75" s="168" t="inlineStr">
        <is>
          <t>Tampa Bay Buccaneers</t>
        </is>
      </c>
      <c r="F75" s="156" t="n"/>
      <c r="G75" s="168" t="inlineStr">
        <is>
          <t>Away</t>
        </is>
      </c>
      <c r="H75" s="170" t="inlineStr">
        <is>
          <t>Seattle Seahawks</t>
        </is>
      </c>
      <c r="J75" s="171" t="inlineStr">
        <is>
          <t>04:05 PM</t>
        </is>
      </c>
      <c r="K75" s="156">
        <f>IF(AND(F75=0,I75=0),"",IF(F75&gt;I75,B75&amp;E75,IF(F75&lt;I75,B75&amp;H75,"Tie")))</f>
        <v/>
      </c>
      <c r="L75" s="156">
        <f>IFERROR(IF(AND(B75&lt;$L$1,F75&gt;I75),"Win",IF(AND(B75&lt;$L$1,F75&lt;I75),"Loss","")),"")</f>
        <v/>
      </c>
      <c r="M75" s="156">
        <f>IF(B75&lt;_CurWeek,"In","")</f>
        <v/>
      </c>
      <c r="N75" s="156">
        <f>IF(M75="In",E75&amp;G75,"")</f>
        <v/>
      </c>
      <c r="O75" s="156">
        <f>IF(L75="Win",1,0)</f>
        <v/>
      </c>
      <c r="U75" s="172" t="n"/>
    </row>
    <row r="76" ht="14.4" customHeight="1" s="152">
      <c r="A76" s="167">
        <f>B76&amp;E76</f>
        <v/>
      </c>
      <c r="B76" s="168" t="n">
        <v>5</v>
      </c>
      <c r="C76" s="168" t="inlineStr">
        <is>
          <t>Sunday</t>
        </is>
      </c>
      <c r="D76" s="169" t="inlineStr">
        <is>
          <t>2025-10-05</t>
        </is>
      </c>
      <c r="E76" s="168" t="inlineStr">
        <is>
          <t>Detroit Lions</t>
        </is>
      </c>
      <c r="F76" s="156" t="n"/>
      <c r="G76" s="168" t="inlineStr">
        <is>
          <t>Away</t>
        </is>
      </c>
      <c r="H76" s="170" t="inlineStr">
        <is>
          <t>Cincinnati Bengals</t>
        </is>
      </c>
      <c r="J76" s="171" t="inlineStr">
        <is>
          <t>04:25 PM</t>
        </is>
      </c>
      <c r="K76" s="156">
        <f>IF(AND(F76=0,I76=0),"",IF(F76&gt;I76,B76&amp;E76,IF(F76&lt;I76,B76&amp;H76,"Tie")))</f>
        <v/>
      </c>
      <c r="L76" s="156">
        <f>IFERROR(IF(AND(B76&lt;$L$1,F76&gt;I76),"Win",IF(AND(B76&lt;$L$1,F76&lt;I76),"Loss","")),"")</f>
        <v/>
      </c>
      <c r="M76" s="156">
        <f>IF(B76&lt;_CurWeek,"In","")</f>
        <v/>
      </c>
      <c r="N76" s="156">
        <f>IF(M76="In",E76&amp;G76,"")</f>
        <v/>
      </c>
      <c r="O76" s="156">
        <f>IF(L76="Win",1,0)</f>
        <v/>
      </c>
      <c r="U76" s="172" t="n"/>
    </row>
    <row r="77" ht="14.4" customHeight="1" s="152">
      <c r="A77" s="167">
        <f>B77&amp;E77</f>
        <v/>
      </c>
      <c r="B77" s="168" t="n">
        <v>5</v>
      </c>
      <c r="C77" s="168" t="inlineStr">
        <is>
          <t>Sunday</t>
        </is>
      </c>
      <c r="D77" s="169" t="inlineStr">
        <is>
          <t>2025-10-05</t>
        </is>
      </c>
      <c r="E77" s="168" t="inlineStr">
        <is>
          <t>Washington Commanders</t>
        </is>
      </c>
      <c r="F77" s="156" t="n"/>
      <c r="G77" s="168" t="inlineStr">
        <is>
          <t>Away</t>
        </is>
      </c>
      <c r="H77" s="170" t="inlineStr">
        <is>
          <t>Los Angeles Chargers</t>
        </is>
      </c>
      <c r="J77" s="171" t="inlineStr">
        <is>
          <t>04:25 PM</t>
        </is>
      </c>
      <c r="K77" s="156">
        <f>IF(AND(F77=0,I77=0),"",IF(F77&gt;I77,B77&amp;E77,IF(F77&lt;I77,B77&amp;H77,"Tie")))</f>
        <v/>
      </c>
      <c r="L77" s="156">
        <f>IFERROR(IF(AND(B77&lt;$L$1,F77&gt;I77),"Win",IF(AND(B77&lt;$L$1,F77&lt;I77),"Loss","")),"")</f>
        <v/>
      </c>
      <c r="M77" s="156">
        <f>IF(B77&lt;_CurWeek,"In","")</f>
        <v/>
      </c>
      <c r="N77" s="156">
        <f>IF(M77="In",E77&amp;G77,"")</f>
        <v/>
      </c>
      <c r="O77" s="156">
        <f>IF(L77="Win",1,0)</f>
        <v/>
      </c>
      <c r="U77" s="172" t="n"/>
    </row>
    <row r="78" ht="14.4" customHeight="1" s="152">
      <c r="A78" s="167">
        <f>B78&amp;E78</f>
        <v/>
      </c>
      <c r="B78" s="168" t="n">
        <v>5</v>
      </c>
      <c r="C78" s="168" t="inlineStr">
        <is>
          <t>Sunday</t>
        </is>
      </c>
      <c r="D78" s="169" t="inlineStr">
        <is>
          <t>2025-10-05</t>
        </is>
      </c>
      <c r="E78" s="168" t="inlineStr">
        <is>
          <t>New England Patriots</t>
        </is>
      </c>
      <c r="F78" s="156" t="n"/>
      <c r="G78" s="168" t="inlineStr">
        <is>
          <t>Away</t>
        </is>
      </c>
      <c r="H78" s="170" t="inlineStr">
        <is>
          <t>Buffalo Bills</t>
        </is>
      </c>
      <c r="J78" s="171" t="inlineStr">
        <is>
          <t>08:20 PM</t>
        </is>
      </c>
      <c r="K78" s="156">
        <f>IF(AND(F78=0,I78=0),"",IF(F78&gt;I78,B78&amp;E78,IF(F78&lt;I78,B78&amp;H78,"Tie")))</f>
        <v/>
      </c>
      <c r="L78" s="156">
        <f>IFERROR(IF(AND(B78&lt;$L$1,F78&gt;I78),"Win",IF(AND(B78&lt;$L$1,F78&lt;I78),"Loss","")),"")</f>
        <v/>
      </c>
      <c r="M78" s="156">
        <f>IF(B78&lt;_CurWeek,"In","")</f>
        <v/>
      </c>
      <c r="N78" s="156">
        <f>IF(M78="In",E78&amp;G78,"")</f>
        <v/>
      </c>
      <c r="O78" s="156">
        <f>IF(L78="Win",1,0)</f>
        <v/>
      </c>
      <c r="U78" s="172" t="n"/>
    </row>
    <row r="79" ht="14.4" customHeight="1" s="152">
      <c r="A79" s="167">
        <f>B79&amp;E79</f>
        <v/>
      </c>
      <c r="B79" s="168" t="n">
        <v>5</v>
      </c>
      <c r="C79" s="168" t="inlineStr">
        <is>
          <t>Monday</t>
        </is>
      </c>
      <c r="D79" s="169" t="inlineStr">
        <is>
          <t>2025-10-06</t>
        </is>
      </c>
      <c r="E79" s="168" t="inlineStr">
        <is>
          <t>Kansas City Chiefs</t>
        </is>
      </c>
      <c r="F79" s="156" t="n"/>
      <c r="G79" s="168" t="inlineStr">
        <is>
          <t>Away</t>
        </is>
      </c>
      <c r="H79" s="170" t="inlineStr">
        <is>
          <t>Jacksonville Jaguars</t>
        </is>
      </c>
      <c r="J79" s="171" t="inlineStr">
        <is>
          <t>08:15 PM</t>
        </is>
      </c>
      <c r="K79" s="156">
        <f>IF(AND(F79=0,I79=0),"",IF(F79&gt;I79,B79&amp;E79,IF(F79&lt;I79,B79&amp;H79,"Tie")))</f>
        <v/>
      </c>
      <c r="L79" s="156">
        <f>IFERROR(IF(AND(B79&lt;$L$1,F79&gt;I79),"Win",IF(AND(B79&lt;$L$1,F79&lt;I79),"Loss","")),"")</f>
        <v/>
      </c>
      <c r="M79" s="156">
        <f>IF(B79&lt;_CurWeek,"In","")</f>
        <v/>
      </c>
      <c r="N79" s="156">
        <f>IF(M79="In",E79&amp;G79,"")</f>
        <v/>
      </c>
      <c r="O79" s="156">
        <f>IF(L79="Win",1,0)</f>
        <v/>
      </c>
      <c r="U79" s="172" t="n"/>
    </row>
    <row r="80" ht="14.4" customHeight="1" s="152">
      <c r="A80" s="167">
        <f>B80&amp;E80</f>
        <v/>
      </c>
      <c r="B80" s="168" t="n">
        <v>6</v>
      </c>
      <c r="C80" s="168" t="inlineStr">
        <is>
          <t>Thursday</t>
        </is>
      </c>
      <c r="D80" s="169" t="inlineStr">
        <is>
          <t>2025-10-09</t>
        </is>
      </c>
      <c r="E80" s="168" t="inlineStr">
        <is>
          <t>Philadelphia Eagles</t>
        </is>
      </c>
      <c r="F80" s="156" t="n"/>
      <c r="G80" s="168" t="inlineStr">
        <is>
          <t>Away</t>
        </is>
      </c>
      <c r="H80" s="170" t="inlineStr">
        <is>
          <t>New York Giants</t>
        </is>
      </c>
      <c r="J80" s="171" t="inlineStr">
        <is>
          <t>08:15 PM</t>
        </is>
      </c>
      <c r="K80" s="156">
        <f>IF(AND(F80=0,I80=0),"",IF(F80&gt;I80,B80&amp;E80,IF(F80&lt;I80,B80&amp;H80,"Tie")))</f>
        <v/>
      </c>
      <c r="L80" s="156">
        <f>IFERROR(IF(AND(B80&lt;$L$1,F80&gt;I80),"Win",IF(AND(B80&lt;$L$1,F80&lt;I80),"Loss","")),"")</f>
        <v/>
      </c>
      <c r="M80" s="156">
        <f>IF(B80&lt;_CurWeek,"In","")</f>
        <v/>
      </c>
      <c r="N80" s="156">
        <f>IF(M80="In",E80&amp;G80,"")</f>
        <v/>
      </c>
      <c r="O80" s="156">
        <f>IF(L80="Win",1,0)</f>
        <v/>
      </c>
      <c r="U80" s="172" t="n"/>
    </row>
    <row r="81" ht="14.4" customHeight="1" s="152">
      <c r="A81" s="167">
        <f>B81&amp;E81</f>
        <v/>
      </c>
      <c r="B81" s="168" t="n">
        <v>6</v>
      </c>
      <c r="C81" s="168" t="inlineStr">
        <is>
          <t>Sunday</t>
        </is>
      </c>
      <c r="D81" s="169" t="inlineStr">
        <is>
          <t>2025-10-12</t>
        </is>
      </c>
      <c r="E81" s="168" t="inlineStr">
        <is>
          <t>Denver Broncos</t>
        </is>
      </c>
      <c r="F81" s="156" t="n"/>
      <c r="G81" s="168" t="inlineStr">
        <is>
          <t>Away</t>
        </is>
      </c>
      <c r="H81" s="170" t="inlineStr">
        <is>
          <t>New York Jets</t>
        </is>
      </c>
      <c r="J81" s="171" t="inlineStr">
        <is>
          <t>09:30 AM</t>
        </is>
      </c>
      <c r="K81" s="156">
        <f>IF(AND(F81=0,I81=0),"",IF(F81&gt;I81,B81&amp;E81,IF(F81&lt;I81,B81&amp;H81,"Tie")))</f>
        <v/>
      </c>
      <c r="L81" s="156">
        <f>IFERROR(IF(AND(B81&lt;$L$1,F81&gt;I81),"Win",IF(AND(B81&lt;$L$1,F81&lt;I81),"Loss","")),"")</f>
        <v/>
      </c>
      <c r="M81" s="156">
        <f>IF(B81&lt;_CurWeek,"In","")</f>
        <v/>
      </c>
      <c r="N81" s="156">
        <f>IF(M81="In",E81&amp;G81,"")</f>
        <v/>
      </c>
      <c r="O81" s="156">
        <f>IF(L81="Win",1,0)</f>
        <v/>
      </c>
      <c r="U81" s="172" t="n"/>
    </row>
    <row r="82" ht="14.4" customHeight="1" s="152">
      <c r="A82" s="167">
        <f>B82&amp;E82</f>
        <v/>
      </c>
      <c r="B82" s="168" t="n">
        <v>6</v>
      </c>
      <c r="C82" s="168" t="inlineStr">
        <is>
          <t>Sunday</t>
        </is>
      </c>
      <c r="D82" s="169" t="inlineStr">
        <is>
          <t>2025-10-12</t>
        </is>
      </c>
      <c r="E82" s="168" t="inlineStr">
        <is>
          <t>Los Angeles Rams</t>
        </is>
      </c>
      <c r="F82" s="156" t="n"/>
      <c r="G82" s="168" t="inlineStr">
        <is>
          <t>Away</t>
        </is>
      </c>
      <c r="H82" s="170" t="inlineStr">
        <is>
          <t>Baltimore Ravens</t>
        </is>
      </c>
      <c r="J82" s="171" t="inlineStr">
        <is>
          <t>01:00 PM</t>
        </is>
      </c>
      <c r="K82" s="156">
        <f>IF(AND(F82=0,I82=0),"",IF(F82&gt;I82,B82&amp;E82,IF(F82&lt;I82,B82&amp;H82,"Tie")))</f>
        <v/>
      </c>
      <c r="L82" s="156">
        <f>IFERROR(IF(AND(B82&lt;$L$1,F82&gt;I82),"Win",IF(AND(B82&lt;$L$1,F82&lt;I82),"Loss","")),"")</f>
        <v/>
      </c>
      <c r="M82" s="156">
        <f>IF(B82&lt;_CurWeek,"In","")</f>
        <v/>
      </c>
      <c r="N82" s="156">
        <f>IF(M82="In",E82&amp;G82,"")</f>
        <v/>
      </c>
      <c r="O82" s="156">
        <f>IF(L82="Win",1,0)</f>
        <v/>
      </c>
      <c r="U82" s="172" t="n"/>
    </row>
    <row r="83" ht="14.4" customHeight="1" s="152">
      <c r="A83" s="167">
        <f>B83&amp;E83</f>
        <v/>
      </c>
      <c r="B83" s="168" t="n">
        <v>6</v>
      </c>
      <c r="C83" s="168" t="inlineStr">
        <is>
          <t>Sunday</t>
        </is>
      </c>
      <c r="D83" s="169" t="inlineStr">
        <is>
          <t>2025-10-12</t>
        </is>
      </c>
      <c r="E83" s="168" t="inlineStr">
        <is>
          <t>Dallas Cowboys</t>
        </is>
      </c>
      <c r="F83" s="156" t="n"/>
      <c r="G83" s="168" t="inlineStr">
        <is>
          <t>Away</t>
        </is>
      </c>
      <c r="H83" s="170" t="inlineStr">
        <is>
          <t>Carolina Panthers</t>
        </is>
      </c>
      <c r="J83" s="171" t="inlineStr">
        <is>
          <t>01:00 PM</t>
        </is>
      </c>
      <c r="K83" s="156">
        <f>IF(AND(F83=0,I83=0),"",IF(F83&gt;I83,B83&amp;E83,IF(F83&lt;I83,B83&amp;H83,"Tie")))</f>
        <v/>
      </c>
      <c r="L83" s="156">
        <f>IFERROR(IF(AND(B83&lt;$L$1,F83&gt;I83),"Win",IF(AND(B83&lt;$L$1,F83&lt;I83),"Loss","")),"")</f>
        <v/>
      </c>
      <c r="M83" s="156">
        <f>IF(B83&lt;_CurWeek,"In","")</f>
        <v/>
      </c>
      <c r="N83" s="156">
        <f>IF(M83="In",E83&amp;G83,"")</f>
        <v/>
      </c>
      <c r="O83" s="156">
        <f>IF(L83="Win",1,0)</f>
        <v/>
      </c>
      <c r="U83" s="172" t="n"/>
    </row>
    <row r="84" ht="14.4" customHeight="1" s="152">
      <c r="A84" s="167">
        <f>B84&amp;E84</f>
        <v/>
      </c>
      <c r="B84" s="168" t="n">
        <v>6</v>
      </c>
      <c r="C84" s="168" t="inlineStr">
        <is>
          <t>Sunday</t>
        </is>
      </c>
      <c r="D84" s="169" t="inlineStr">
        <is>
          <t>2025-10-12</t>
        </is>
      </c>
      <c r="E84" s="168" t="inlineStr">
        <is>
          <t>Arizona Cardinals</t>
        </is>
      </c>
      <c r="F84" s="156" t="n"/>
      <c r="G84" s="168" t="inlineStr">
        <is>
          <t>Away</t>
        </is>
      </c>
      <c r="H84" s="170" t="inlineStr">
        <is>
          <t>Indianapolis Colts</t>
        </is>
      </c>
      <c r="J84" s="171" t="inlineStr">
        <is>
          <t>01:00 PM</t>
        </is>
      </c>
      <c r="K84" s="156">
        <f>IF(AND(F84=0,I84=0),"",IF(F84&gt;I84,B84&amp;E84,IF(F84&lt;I84,B84&amp;H84,"Tie")))</f>
        <v/>
      </c>
      <c r="L84" s="156">
        <f>IFERROR(IF(AND(B84&lt;$L$1,F84&gt;I84),"Win",IF(AND(B84&lt;$L$1,F84&lt;I84),"Loss","")),"")</f>
        <v/>
      </c>
      <c r="M84" s="156">
        <f>IF(B84&lt;_CurWeek,"In","")</f>
        <v/>
      </c>
      <c r="N84" s="156">
        <f>IF(M84="In",E84&amp;G84,"")</f>
        <v/>
      </c>
      <c r="O84" s="156">
        <f>IF(L84="Win",1,0)</f>
        <v/>
      </c>
      <c r="U84" s="172" t="n"/>
    </row>
    <row r="85" ht="14.4" customHeight="1" s="152">
      <c r="A85" s="167">
        <f>B85&amp;E85</f>
        <v/>
      </c>
      <c r="B85" s="168" t="n">
        <v>6</v>
      </c>
      <c r="C85" s="168" t="inlineStr">
        <is>
          <t>Sunday</t>
        </is>
      </c>
      <c r="D85" s="169" t="inlineStr">
        <is>
          <t>2025-10-12</t>
        </is>
      </c>
      <c r="E85" s="168" t="inlineStr">
        <is>
          <t>Seattle Seahawks</t>
        </is>
      </c>
      <c r="F85" s="156" t="n"/>
      <c r="G85" s="168" t="inlineStr">
        <is>
          <t>Away</t>
        </is>
      </c>
      <c r="H85" s="170" t="inlineStr">
        <is>
          <t>Jacksonville Jaguars</t>
        </is>
      </c>
      <c r="J85" s="171" t="inlineStr">
        <is>
          <t>01:00 PM</t>
        </is>
      </c>
      <c r="K85" s="156">
        <f>IF(AND(F85=0,I85=0),"",IF(F85&gt;I85,B85&amp;E85,IF(F85&lt;I85,B85&amp;H85,"Tie")))</f>
        <v/>
      </c>
      <c r="L85" s="156">
        <f>IFERROR(IF(AND(B85&lt;$L$1,F85&gt;I85),"Win",IF(AND(B85&lt;$L$1,F85&lt;I85),"Loss","")),"")</f>
        <v/>
      </c>
      <c r="M85" s="156">
        <f>IF(B85&lt;_CurWeek,"In","")</f>
        <v/>
      </c>
      <c r="N85" s="156">
        <f>IF(M85="In",E85&amp;G85,"")</f>
        <v/>
      </c>
      <c r="O85" s="156">
        <f>IF(L85="Win",1,0)</f>
        <v/>
      </c>
      <c r="U85" s="172" t="n"/>
    </row>
    <row r="86" ht="14.4" customHeight="1" s="152">
      <c r="A86" s="167">
        <f>B86&amp;E86</f>
        <v/>
      </c>
      <c r="B86" s="168" t="n">
        <v>6</v>
      </c>
      <c r="C86" s="168" t="inlineStr">
        <is>
          <t>Sunday</t>
        </is>
      </c>
      <c r="D86" s="169" t="inlineStr">
        <is>
          <t>2025-10-12</t>
        </is>
      </c>
      <c r="E86" s="168" t="inlineStr">
        <is>
          <t>Los Angeles Chargers</t>
        </is>
      </c>
      <c r="F86" s="156" t="n"/>
      <c r="G86" s="168" t="inlineStr">
        <is>
          <t>Away</t>
        </is>
      </c>
      <c r="H86" s="170" t="inlineStr">
        <is>
          <t>Miami Dolphins</t>
        </is>
      </c>
      <c r="J86" s="171" t="inlineStr">
        <is>
          <t>01:00 PM</t>
        </is>
      </c>
      <c r="K86" s="156">
        <f>IF(AND(F86=0,I86=0),"",IF(F86&gt;I86,B86&amp;E86,IF(F86&lt;I86,B86&amp;H86,"Tie")))</f>
        <v/>
      </c>
      <c r="L86" s="156">
        <f>IFERROR(IF(AND(B86&lt;$L$1,F86&gt;I86),"Win",IF(AND(B86&lt;$L$1,F86&lt;I86),"Loss","")),"")</f>
        <v/>
      </c>
      <c r="M86" s="156">
        <f>IF(B86&lt;_CurWeek,"In","")</f>
        <v/>
      </c>
      <c r="N86" s="156">
        <f>IF(M86="In",E86&amp;G86,"")</f>
        <v/>
      </c>
      <c r="O86" s="156">
        <f>IF(L86="Win",1,0)</f>
        <v/>
      </c>
      <c r="U86" s="172" t="n"/>
    </row>
    <row r="87" ht="14.4" customHeight="1" s="152">
      <c r="A87" s="167">
        <f>B87&amp;E87</f>
        <v/>
      </c>
      <c r="B87" s="168" t="n">
        <v>6</v>
      </c>
      <c r="C87" s="168" t="inlineStr">
        <is>
          <t>Sunday</t>
        </is>
      </c>
      <c r="D87" s="169" t="inlineStr">
        <is>
          <t>2025-10-12</t>
        </is>
      </c>
      <c r="E87" s="168" t="inlineStr">
        <is>
          <t>Cleveland Browns</t>
        </is>
      </c>
      <c r="F87" s="156" t="n"/>
      <c r="G87" s="168" t="inlineStr">
        <is>
          <t>Away</t>
        </is>
      </c>
      <c r="H87" s="170" t="inlineStr">
        <is>
          <t>Pittsburgh Steelers</t>
        </is>
      </c>
      <c r="J87" s="171" t="inlineStr">
        <is>
          <t>01:00 PM</t>
        </is>
      </c>
      <c r="K87" s="156">
        <f>IF(AND(F87=0,I87=0),"",IF(F87&gt;I87,B87&amp;E87,IF(F87&lt;I87,B87&amp;H87,"Tie")))</f>
        <v/>
      </c>
      <c r="L87" s="156">
        <f>IFERROR(IF(AND(B87&lt;$L$1,F87&gt;I87),"Win",IF(AND(B87&lt;$L$1,F87&lt;I87),"Loss","")),"")</f>
        <v/>
      </c>
      <c r="M87" s="156">
        <f>IF(B87&lt;_CurWeek,"In","")</f>
        <v/>
      </c>
      <c r="N87" s="156">
        <f>IF(M87="In",E87&amp;G87,"")</f>
        <v/>
      </c>
      <c r="O87" s="156">
        <f>IF(L87="Win",1,0)</f>
        <v/>
      </c>
      <c r="U87" s="172" t="n"/>
    </row>
    <row r="88" ht="14.4" customHeight="1" s="152">
      <c r="A88" s="167">
        <f>B88&amp;E88</f>
        <v/>
      </c>
      <c r="B88" s="168" t="n">
        <v>6</v>
      </c>
      <c r="C88" s="168" t="inlineStr">
        <is>
          <t>Sunday</t>
        </is>
      </c>
      <c r="D88" s="169" t="inlineStr">
        <is>
          <t>2025-10-12</t>
        </is>
      </c>
      <c r="E88" s="168" t="inlineStr">
        <is>
          <t>San Francisco 49ers</t>
        </is>
      </c>
      <c r="F88" s="156" t="n"/>
      <c r="G88" s="168" t="inlineStr">
        <is>
          <t>Away</t>
        </is>
      </c>
      <c r="H88" s="170" t="inlineStr">
        <is>
          <t>Tampa Bay Buccaneers</t>
        </is>
      </c>
      <c r="J88" s="171" t="inlineStr">
        <is>
          <t>01:00 PM</t>
        </is>
      </c>
      <c r="K88" s="156">
        <f>IF(AND(F88=0,I88=0),"",IF(F88&gt;I88,B88&amp;E88,IF(F88&lt;I88,B88&amp;H88,"Tie")))</f>
        <v/>
      </c>
      <c r="L88" s="156">
        <f>IFERROR(IF(AND(B88&lt;$L$1,F88&gt;I88),"Win",IF(AND(B88&lt;$L$1,F88&lt;I88),"Loss","")),"")</f>
        <v/>
      </c>
      <c r="M88" s="156">
        <f>IF(B88&lt;_CurWeek,"In","")</f>
        <v/>
      </c>
      <c r="N88" s="156">
        <f>IF(M88="In",E88&amp;G88,"")</f>
        <v/>
      </c>
      <c r="O88" s="156">
        <f>IF(L88="Win",1,0)</f>
        <v/>
      </c>
      <c r="U88" s="172" t="n"/>
    </row>
    <row r="89" ht="14.4" customHeight="1" s="152">
      <c r="A89" s="167">
        <f>B89&amp;E89</f>
        <v/>
      </c>
      <c r="B89" s="168" t="n">
        <v>6</v>
      </c>
      <c r="C89" s="168" t="inlineStr">
        <is>
          <t>Sunday</t>
        </is>
      </c>
      <c r="D89" s="169" t="inlineStr">
        <is>
          <t>2025-10-12</t>
        </is>
      </c>
      <c r="E89" s="168" t="inlineStr">
        <is>
          <t>Tennessee Titans</t>
        </is>
      </c>
      <c r="F89" s="156" t="n"/>
      <c r="G89" s="168" t="inlineStr">
        <is>
          <t>Away</t>
        </is>
      </c>
      <c r="H89" s="170" t="inlineStr">
        <is>
          <t>Las Vegas Raiders</t>
        </is>
      </c>
      <c r="J89" s="171" t="inlineStr">
        <is>
          <t>04:05 PM</t>
        </is>
      </c>
      <c r="K89" s="156">
        <f>IF(AND(F89=0,I89=0),"",IF(F89&gt;I89,B89&amp;E89,IF(F89&lt;I89,B89&amp;H89,"Tie")))</f>
        <v/>
      </c>
      <c r="L89" s="156">
        <f>IFERROR(IF(AND(B89&lt;$L$1,F89&gt;I89),"Win",IF(AND(B89&lt;$L$1,F89&lt;I89),"Loss","")),"")</f>
        <v/>
      </c>
      <c r="M89" s="156">
        <f>IF(B89&lt;_CurWeek,"In","")</f>
        <v/>
      </c>
      <c r="N89" s="156">
        <f>IF(M89="In",E89&amp;G89,"")</f>
        <v/>
      </c>
      <c r="O89" s="156">
        <f>IF(L89="Win",1,0)</f>
        <v/>
      </c>
      <c r="U89" s="172" t="n"/>
    </row>
    <row r="90" ht="14.4" customHeight="1" s="152">
      <c r="A90" s="167">
        <f>B90&amp;E90</f>
        <v/>
      </c>
      <c r="B90" s="168" t="n">
        <v>6</v>
      </c>
      <c r="C90" s="168" t="inlineStr">
        <is>
          <t>Sunday</t>
        </is>
      </c>
      <c r="D90" s="169" t="inlineStr">
        <is>
          <t>2025-10-12</t>
        </is>
      </c>
      <c r="E90" s="168" t="inlineStr">
        <is>
          <t>Cincinnati Bengals</t>
        </is>
      </c>
      <c r="F90" s="156" t="n"/>
      <c r="G90" s="168" t="inlineStr">
        <is>
          <t>Away</t>
        </is>
      </c>
      <c r="H90" s="170" t="inlineStr">
        <is>
          <t>Green Bay Packers</t>
        </is>
      </c>
      <c r="J90" s="171" t="inlineStr">
        <is>
          <t>04:25 PM</t>
        </is>
      </c>
      <c r="K90" s="156">
        <f>IF(AND(F90=0,I90=0),"",IF(F90&gt;I90,B90&amp;E90,IF(F90&lt;I90,B90&amp;H90,"Tie")))</f>
        <v/>
      </c>
      <c r="L90" s="156">
        <f>IFERROR(IF(AND(B90&lt;$L$1,F90&gt;I90),"Win",IF(AND(B90&lt;$L$1,F90&lt;I90),"Loss","")),"")</f>
        <v/>
      </c>
      <c r="M90" s="156">
        <f>IF(B90&lt;_CurWeek,"In","")</f>
        <v/>
      </c>
      <c r="N90" s="156">
        <f>IF(M90="In",E90&amp;G90,"")</f>
        <v/>
      </c>
      <c r="O90" s="156">
        <f>IF(L90="Win",1,0)</f>
        <v/>
      </c>
      <c r="U90" s="172" t="n"/>
    </row>
    <row r="91" ht="14.4" customHeight="1" s="152">
      <c r="A91" s="167">
        <f>B91&amp;E91</f>
        <v/>
      </c>
      <c r="B91" s="168" t="n">
        <v>6</v>
      </c>
      <c r="C91" s="168" t="inlineStr">
        <is>
          <t>Sunday</t>
        </is>
      </c>
      <c r="D91" s="169" t="inlineStr">
        <is>
          <t>2025-10-12</t>
        </is>
      </c>
      <c r="E91" s="168" t="inlineStr">
        <is>
          <t>New England Patriots</t>
        </is>
      </c>
      <c r="F91" s="156" t="n"/>
      <c r="G91" s="168" t="inlineStr">
        <is>
          <t>Away</t>
        </is>
      </c>
      <c r="H91" s="170" t="inlineStr">
        <is>
          <t>New Orleans Saints</t>
        </is>
      </c>
      <c r="J91" s="171" t="inlineStr">
        <is>
          <t>04:25 PM</t>
        </is>
      </c>
      <c r="K91" s="156">
        <f>IF(AND(F91=0,I91=0),"",IF(F91&gt;I91,B91&amp;E91,IF(F91&lt;I91,B91&amp;H91,"Tie")))</f>
        <v/>
      </c>
      <c r="L91" s="156">
        <f>IFERROR(IF(AND(B91&lt;$L$1,F91&gt;I91),"Win",IF(AND(B91&lt;$L$1,F91&lt;I91),"Loss","")),"")</f>
        <v/>
      </c>
      <c r="M91" s="156">
        <f>IF(B91&lt;_CurWeek,"In","")</f>
        <v/>
      </c>
      <c r="N91" s="156">
        <f>IF(M91="In",E91&amp;G91,"")</f>
        <v/>
      </c>
      <c r="O91" s="156">
        <f>IF(L91="Win",1,0)</f>
        <v/>
      </c>
      <c r="U91" s="172" t="n"/>
    </row>
    <row r="92" ht="14.4" customHeight="1" s="152">
      <c r="A92" s="167">
        <f>B92&amp;E92</f>
        <v/>
      </c>
      <c r="B92" s="168" t="n">
        <v>6</v>
      </c>
      <c r="C92" s="168" t="inlineStr">
        <is>
          <t>Sunday</t>
        </is>
      </c>
      <c r="D92" s="169" t="inlineStr">
        <is>
          <t>2025-10-12</t>
        </is>
      </c>
      <c r="E92" s="168" t="inlineStr">
        <is>
          <t>Detroit Lions</t>
        </is>
      </c>
      <c r="F92" s="156" t="n"/>
      <c r="G92" s="168" t="inlineStr">
        <is>
          <t>Away</t>
        </is>
      </c>
      <c r="H92" s="170" t="inlineStr">
        <is>
          <t>Kansas City Chiefs</t>
        </is>
      </c>
      <c r="J92" s="171" t="inlineStr">
        <is>
          <t>08:20 PM</t>
        </is>
      </c>
      <c r="K92" s="156">
        <f>IF(AND(F92=0,I92=0),"",IF(F92&gt;I92,B92&amp;E92,IF(F92&lt;I92,B92&amp;H92,"Tie")))</f>
        <v/>
      </c>
      <c r="L92" s="156">
        <f>IFERROR(IF(AND(B92&lt;$L$1,F92&gt;I92),"Win",IF(AND(B92&lt;$L$1,F92&lt;I92),"Loss","")),"")</f>
        <v/>
      </c>
      <c r="M92" s="156">
        <f>IF(B92&lt;_CurWeek,"In","")</f>
        <v/>
      </c>
      <c r="N92" s="156">
        <f>IF(M92="In",E92&amp;G92,"")</f>
        <v/>
      </c>
      <c r="O92" s="156">
        <f>IF(L92="Win",1,0)</f>
        <v/>
      </c>
      <c r="U92" s="172" t="n"/>
    </row>
    <row r="93" ht="14.4" customHeight="1" s="152">
      <c r="A93" s="167">
        <f>B93&amp;E93</f>
        <v/>
      </c>
      <c r="B93" s="168" t="n">
        <v>6</v>
      </c>
      <c r="C93" s="168" t="inlineStr">
        <is>
          <t>Monday</t>
        </is>
      </c>
      <c r="D93" s="169" t="inlineStr">
        <is>
          <t>2025-10-13</t>
        </is>
      </c>
      <c r="E93" s="168" t="inlineStr">
        <is>
          <t>Buffalo Bills</t>
        </is>
      </c>
      <c r="F93" s="156" t="n"/>
      <c r="G93" s="168" t="inlineStr">
        <is>
          <t>Away</t>
        </is>
      </c>
      <c r="H93" s="170" t="inlineStr">
        <is>
          <t>Atlanta Falcons</t>
        </is>
      </c>
      <c r="J93" s="171" t="inlineStr">
        <is>
          <t>07:15 PM</t>
        </is>
      </c>
      <c r="K93" s="156">
        <f>IF(AND(F93=0,I93=0),"",IF(F93&gt;I93,B93&amp;E93,IF(F93&lt;I93,B93&amp;H93,"Tie")))</f>
        <v/>
      </c>
      <c r="L93" s="156">
        <f>IFERROR(IF(AND(B93&lt;$L$1,F93&gt;I93),"Win",IF(AND(B93&lt;$L$1,F93&lt;I93),"Loss","")),"")</f>
        <v/>
      </c>
      <c r="M93" s="156">
        <f>IF(B93&lt;_CurWeek,"In","")</f>
        <v/>
      </c>
      <c r="N93" s="156">
        <f>IF(M93="In",E93&amp;G93,"")</f>
        <v/>
      </c>
      <c r="O93" s="156">
        <f>IF(L93="Win",1,0)</f>
        <v/>
      </c>
      <c r="U93" s="172" t="n"/>
    </row>
    <row r="94" ht="14.4" customHeight="1" s="152">
      <c r="A94" s="167">
        <f>B94&amp;E94</f>
        <v/>
      </c>
      <c r="B94" s="168" t="n">
        <v>6</v>
      </c>
      <c r="C94" s="168" t="inlineStr">
        <is>
          <t>Monday</t>
        </is>
      </c>
      <c r="D94" s="169" t="inlineStr">
        <is>
          <t>2025-10-13</t>
        </is>
      </c>
      <c r="E94" s="168" t="inlineStr">
        <is>
          <t>Chicago Bears</t>
        </is>
      </c>
      <c r="F94" s="156" t="n"/>
      <c r="G94" s="168" t="inlineStr">
        <is>
          <t>Away</t>
        </is>
      </c>
      <c r="H94" s="170" t="inlineStr">
        <is>
          <t>Washington Commanders</t>
        </is>
      </c>
      <c r="J94" s="171" t="inlineStr">
        <is>
          <t>08:15 PM</t>
        </is>
      </c>
      <c r="K94" s="156">
        <f>IF(AND(F94=0,I94=0),"",IF(F94&gt;I94,B94&amp;E94,IF(F94&lt;I94,B94&amp;H94,"Tie")))</f>
        <v/>
      </c>
      <c r="L94" s="156">
        <f>IFERROR(IF(AND(B94&lt;$L$1,F94&gt;I94),"Win",IF(AND(B94&lt;$L$1,F94&lt;I94),"Loss","")),"")</f>
        <v/>
      </c>
      <c r="M94" s="156">
        <f>IF(B94&lt;_CurWeek,"In","")</f>
        <v/>
      </c>
      <c r="N94" s="156">
        <f>IF(M94="In",E94&amp;G94,"")</f>
        <v/>
      </c>
      <c r="O94" s="156">
        <f>IF(L94="Win",1,0)</f>
        <v/>
      </c>
      <c r="U94" s="172" t="n"/>
    </row>
    <row r="95" ht="14.4" customHeight="1" s="152">
      <c r="A95" s="167">
        <f>B95&amp;E95</f>
        <v/>
      </c>
      <c r="B95" s="168" t="n">
        <v>7</v>
      </c>
      <c r="C95" s="168" t="inlineStr">
        <is>
          <t>Thursday</t>
        </is>
      </c>
      <c r="D95" s="169" t="inlineStr">
        <is>
          <t>2025-10-16</t>
        </is>
      </c>
      <c r="E95" s="168" t="inlineStr">
        <is>
          <t>Pittsburgh Steelers</t>
        </is>
      </c>
      <c r="F95" s="156" t="n"/>
      <c r="G95" s="168" t="inlineStr">
        <is>
          <t>Away</t>
        </is>
      </c>
      <c r="H95" s="170" t="inlineStr">
        <is>
          <t>Cincinnati Bengals</t>
        </is>
      </c>
      <c r="J95" s="171" t="inlineStr">
        <is>
          <t>08:15 PM</t>
        </is>
      </c>
      <c r="K95" s="156">
        <f>IF(AND(F95=0,I95=0),"",IF(F95&gt;I95,B95&amp;E95,IF(F95&lt;I95,B95&amp;H95,"Tie")))</f>
        <v/>
      </c>
      <c r="L95" s="156">
        <f>IFERROR(IF(AND(B95&lt;$L$1,F95&gt;I95),"Win",IF(AND(B95&lt;$L$1,F95&lt;I95),"Loss","")),"")</f>
        <v/>
      </c>
      <c r="M95" s="156">
        <f>IF(B95&lt;_CurWeek,"In","")</f>
        <v/>
      </c>
      <c r="N95" s="156">
        <f>IF(M95="In",E95&amp;G95,"")</f>
        <v/>
      </c>
      <c r="O95" s="156">
        <f>IF(L95="Win",1,0)</f>
        <v/>
      </c>
      <c r="U95" s="172" t="n"/>
    </row>
    <row r="96" ht="14.4" customHeight="1" s="152">
      <c r="A96" s="167">
        <f>B96&amp;E96</f>
        <v/>
      </c>
      <c r="B96" s="168" t="n">
        <v>7</v>
      </c>
      <c r="C96" s="168" t="inlineStr">
        <is>
          <t>Sunday</t>
        </is>
      </c>
      <c r="D96" s="169" t="inlineStr">
        <is>
          <t>2025-10-19</t>
        </is>
      </c>
      <c r="E96" s="168" t="inlineStr">
        <is>
          <t>Los Angeles Rams</t>
        </is>
      </c>
      <c r="F96" s="156" t="n"/>
      <c r="G96" s="168" t="inlineStr">
        <is>
          <t>Away</t>
        </is>
      </c>
      <c r="H96" s="170" t="inlineStr">
        <is>
          <t>Jacksonville Jaguars</t>
        </is>
      </c>
      <c r="J96" s="171" t="inlineStr">
        <is>
          <t>09:30 AM</t>
        </is>
      </c>
      <c r="K96" s="156">
        <f>IF(AND(F96=0,I96=0),"",IF(F96&gt;I96,B96&amp;E96,IF(F96&lt;I96,B96&amp;H96,"Tie")))</f>
        <v/>
      </c>
      <c r="L96" s="156">
        <f>IFERROR(IF(AND(B96&lt;$L$1,F96&gt;I96),"Win",IF(AND(B96&lt;$L$1,F96&lt;I96),"Loss","")),"")</f>
        <v/>
      </c>
      <c r="M96" s="156">
        <f>IF(B96&lt;_CurWeek,"In","")</f>
        <v/>
      </c>
      <c r="N96" s="156">
        <f>IF(M96="In",E96&amp;G96,"")</f>
        <v/>
      </c>
      <c r="O96" s="156">
        <f>IF(L96="Win",1,0)</f>
        <v/>
      </c>
      <c r="U96" s="172" t="n"/>
    </row>
    <row r="97" ht="14.4" customHeight="1" s="152">
      <c r="A97" s="167">
        <f>B97&amp;E97</f>
        <v/>
      </c>
      <c r="B97" s="168" t="n">
        <v>7</v>
      </c>
      <c r="C97" s="168" t="inlineStr">
        <is>
          <t>Sunday</t>
        </is>
      </c>
      <c r="D97" s="169" t="inlineStr">
        <is>
          <t>2025-10-19</t>
        </is>
      </c>
      <c r="E97" s="168" t="inlineStr">
        <is>
          <t>New Orleans Saints</t>
        </is>
      </c>
      <c r="F97" s="156" t="n"/>
      <c r="G97" s="168" t="inlineStr">
        <is>
          <t>Away</t>
        </is>
      </c>
      <c r="H97" s="170" t="inlineStr">
        <is>
          <t>Chicago Bears</t>
        </is>
      </c>
      <c r="J97" s="171" t="inlineStr">
        <is>
          <t>01:00 PM</t>
        </is>
      </c>
      <c r="K97" s="156">
        <f>IF(AND(F97=0,I97=0),"",IF(F97&gt;I97,B97&amp;E97,IF(F97&lt;I97,B97&amp;H97,"Tie")))</f>
        <v/>
      </c>
      <c r="L97" s="156">
        <f>IFERROR(IF(AND(B97&lt;$L$1,F97&gt;I97),"Win",IF(AND(B97&lt;$L$1,F97&lt;I97),"Loss","")),"")</f>
        <v/>
      </c>
      <c r="M97" s="156">
        <f>IF(B97&lt;_CurWeek,"In","")</f>
        <v/>
      </c>
      <c r="N97" s="156">
        <f>IF(M97="In",E97&amp;G97,"")</f>
        <v/>
      </c>
      <c r="O97" s="156">
        <f>IF(L97="Win",1,0)</f>
        <v/>
      </c>
      <c r="U97" s="172" t="n"/>
    </row>
    <row r="98" ht="14.4" customHeight="1" s="152">
      <c r="A98" s="167">
        <f>B98&amp;E98</f>
        <v/>
      </c>
      <c r="B98" s="168" t="n">
        <v>7</v>
      </c>
      <c r="C98" s="168" t="inlineStr">
        <is>
          <t>Sunday</t>
        </is>
      </c>
      <c r="D98" s="169" t="inlineStr">
        <is>
          <t>2025-10-19</t>
        </is>
      </c>
      <c r="E98" s="168" t="inlineStr">
        <is>
          <t>Miami Dolphins</t>
        </is>
      </c>
      <c r="F98" s="156" t="n"/>
      <c r="G98" s="168" t="inlineStr">
        <is>
          <t>Away</t>
        </is>
      </c>
      <c r="H98" s="170" t="inlineStr">
        <is>
          <t>Cleveland Browns</t>
        </is>
      </c>
      <c r="J98" s="171" t="inlineStr">
        <is>
          <t>01:00 PM</t>
        </is>
      </c>
      <c r="K98" s="156">
        <f>IF(AND(F98=0,I98=0),"",IF(F98&gt;I98,B98&amp;E98,IF(F98&lt;I98,B98&amp;H98,"Tie")))</f>
        <v/>
      </c>
      <c r="L98" s="156">
        <f>IFERROR(IF(AND(B98&lt;$L$1,F98&gt;I98),"Win",IF(AND(B98&lt;$L$1,F98&lt;I98),"Loss","")),"")</f>
        <v/>
      </c>
      <c r="M98" s="156">
        <f>IF(B98&lt;_CurWeek,"In","")</f>
        <v/>
      </c>
      <c r="N98" s="156">
        <f>IF(M98="In",E98&amp;G98,"")</f>
        <v/>
      </c>
      <c r="O98" s="156">
        <f>IF(L98="Win",1,0)</f>
        <v/>
      </c>
      <c r="U98" s="172" t="n"/>
    </row>
    <row r="99" ht="14.4" customHeight="1" s="152">
      <c r="A99" s="167">
        <f>B99&amp;E99</f>
        <v/>
      </c>
      <c r="B99" s="168" t="n">
        <v>7</v>
      </c>
      <c r="C99" s="168" t="inlineStr">
        <is>
          <t>Sunday</t>
        </is>
      </c>
      <c r="D99" s="169" t="inlineStr">
        <is>
          <t>2025-10-19</t>
        </is>
      </c>
      <c r="E99" s="168" t="inlineStr">
        <is>
          <t>Las Vegas Raiders</t>
        </is>
      </c>
      <c r="F99" s="156" t="n"/>
      <c r="G99" s="168" t="inlineStr">
        <is>
          <t>Away</t>
        </is>
      </c>
      <c r="H99" s="170" t="inlineStr">
        <is>
          <t>Kansas City Chiefs</t>
        </is>
      </c>
      <c r="J99" s="171" t="inlineStr">
        <is>
          <t>01:00 PM</t>
        </is>
      </c>
      <c r="K99" s="156">
        <f>IF(AND(F99=0,I99=0),"",IF(F99&gt;I99,B99&amp;E99,IF(F99&lt;I99,B99&amp;H99,"Tie")))</f>
        <v/>
      </c>
      <c r="L99" s="156">
        <f>IFERROR(IF(AND(B99&lt;$L$1,F99&gt;I99),"Win",IF(AND(B99&lt;$L$1,F99&lt;I99),"Loss","")),"")</f>
        <v/>
      </c>
      <c r="M99" s="156">
        <f>IF(B99&lt;_CurWeek,"In","")</f>
        <v/>
      </c>
      <c r="N99" s="156">
        <f>IF(M99="In",E99&amp;G99,"")</f>
        <v/>
      </c>
      <c r="O99" s="156">
        <f>IF(L99="Win",1,0)</f>
        <v/>
      </c>
      <c r="U99" s="172" t="n"/>
    </row>
    <row r="100" ht="14.4" customHeight="1" s="152">
      <c r="A100" s="167">
        <f>B100&amp;E100</f>
        <v/>
      </c>
      <c r="B100" s="168" t="n">
        <v>7</v>
      </c>
      <c r="C100" s="168" t="inlineStr">
        <is>
          <t>Sunday</t>
        </is>
      </c>
      <c r="D100" s="169" t="inlineStr">
        <is>
          <t>2025-10-19</t>
        </is>
      </c>
      <c r="E100" s="168" t="inlineStr">
        <is>
          <t>Philadelphia Eagles</t>
        </is>
      </c>
      <c r="F100" s="156" t="n"/>
      <c r="G100" s="168" t="inlineStr">
        <is>
          <t>Away</t>
        </is>
      </c>
      <c r="H100" s="170" t="inlineStr">
        <is>
          <t>Minnesota Vikings</t>
        </is>
      </c>
      <c r="J100" s="171" t="inlineStr">
        <is>
          <t>01:00 PM</t>
        </is>
      </c>
      <c r="K100" s="156">
        <f>IF(AND(F100=0,I100=0),"",IF(F100&gt;I100,B100&amp;E100,IF(F100&lt;I100,B100&amp;H100,"Tie")))</f>
        <v/>
      </c>
      <c r="L100" s="156">
        <f>IFERROR(IF(AND(B100&lt;$L$1,F100&gt;I100),"Win",IF(AND(B100&lt;$L$1,F100&lt;I100),"Loss","")),"")</f>
        <v/>
      </c>
      <c r="M100" s="156">
        <f>IF(B100&lt;_CurWeek,"In","")</f>
        <v/>
      </c>
      <c r="N100" s="156">
        <f>IF(M100="In",E100&amp;G100,"")</f>
        <v/>
      </c>
      <c r="O100" s="156">
        <f>IF(L100="Win",1,0)</f>
        <v/>
      </c>
      <c r="U100" s="172" t="n"/>
    </row>
    <row r="101" ht="14.4" customHeight="1" s="152">
      <c r="A101" s="167">
        <f>B101&amp;E101</f>
        <v/>
      </c>
      <c r="B101" s="168" t="n">
        <v>7</v>
      </c>
      <c r="C101" s="168" t="inlineStr">
        <is>
          <t>Sunday</t>
        </is>
      </c>
      <c r="D101" s="169" t="inlineStr">
        <is>
          <t>2025-10-19</t>
        </is>
      </c>
      <c r="E101" s="168" t="inlineStr">
        <is>
          <t>Carolina Panthers</t>
        </is>
      </c>
      <c r="F101" s="156" t="n"/>
      <c r="G101" s="168" t="inlineStr">
        <is>
          <t>Away</t>
        </is>
      </c>
      <c r="H101" s="170" t="inlineStr">
        <is>
          <t>New York Jets</t>
        </is>
      </c>
      <c r="J101" s="171" t="inlineStr">
        <is>
          <t>01:00 PM</t>
        </is>
      </c>
      <c r="K101" s="156">
        <f>IF(AND(F101=0,I101=0),"",IF(F101&gt;I101,B101&amp;E101,IF(F101&lt;I101,B101&amp;H101,"Tie")))</f>
        <v/>
      </c>
      <c r="L101" s="156">
        <f>IFERROR(IF(AND(B101&lt;$L$1,F101&gt;I101),"Win",IF(AND(B101&lt;$L$1,F101&lt;I101),"Loss","")),"")</f>
        <v/>
      </c>
      <c r="M101" s="156">
        <f>IF(B101&lt;_CurWeek,"In","")</f>
        <v/>
      </c>
      <c r="N101" s="156">
        <f>IF(M101="In",E101&amp;G101,"")</f>
        <v/>
      </c>
      <c r="O101" s="156">
        <f>IF(L101="Win",1,0)</f>
        <v/>
      </c>
      <c r="U101" s="172" t="n"/>
    </row>
    <row r="102" ht="14.4" customHeight="1" s="152">
      <c r="A102" s="167">
        <f>B102&amp;E102</f>
        <v/>
      </c>
      <c r="B102" s="168" t="n">
        <v>7</v>
      </c>
      <c r="C102" s="168" t="inlineStr">
        <is>
          <t>Sunday</t>
        </is>
      </c>
      <c r="D102" s="169" t="inlineStr">
        <is>
          <t>2025-10-19</t>
        </is>
      </c>
      <c r="E102" s="168" t="inlineStr">
        <is>
          <t>New England Patriots</t>
        </is>
      </c>
      <c r="F102" s="156" t="n"/>
      <c r="G102" s="168" t="inlineStr">
        <is>
          <t>Away</t>
        </is>
      </c>
      <c r="H102" s="170" t="inlineStr">
        <is>
          <t>Tennessee Titans</t>
        </is>
      </c>
      <c r="J102" s="171" t="inlineStr">
        <is>
          <t>01:00 PM</t>
        </is>
      </c>
      <c r="K102" s="156">
        <f>IF(AND(F102=0,I102=0),"",IF(F102&gt;I102,B102&amp;E102,IF(F102&lt;I102,B102&amp;H102,"Tie")))</f>
        <v/>
      </c>
      <c r="L102" s="156">
        <f>IFERROR(IF(AND(B102&lt;$L$1,F102&gt;I102),"Win",IF(AND(B102&lt;$L$1,F102&lt;I102),"Loss","")),"")</f>
        <v/>
      </c>
      <c r="M102" s="156">
        <f>IF(B102&lt;_CurWeek,"In","")</f>
        <v/>
      </c>
      <c r="N102" s="156">
        <f>IF(M102="In",E102&amp;G102,"")</f>
        <v/>
      </c>
      <c r="O102" s="156">
        <f>IF(L102="Win",1,0)</f>
        <v/>
      </c>
      <c r="U102" s="172" t="n"/>
    </row>
    <row r="103" ht="14.4" customHeight="1" s="152">
      <c r="A103" s="167">
        <f>B103&amp;E103</f>
        <v/>
      </c>
      <c r="B103" s="168" t="n">
        <v>7</v>
      </c>
      <c r="C103" s="168" t="inlineStr">
        <is>
          <t>Sunday</t>
        </is>
      </c>
      <c r="D103" s="169" t="inlineStr">
        <is>
          <t>2025-10-19</t>
        </is>
      </c>
      <c r="E103" s="168" t="inlineStr">
        <is>
          <t>New York Giants</t>
        </is>
      </c>
      <c r="F103" s="156" t="n"/>
      <c r="G103" s="168" t="inlineStr">
        <is>
          <t>Away</t>
        </is>
      </c>
      <c r="H103" s="170" t="inlineStr">
        <is>
          <t>Denver Broncos</t>
        </is>
      </c>
      <c r="J103" s="171" t="inlineStr">
        <is>
          <t>04:05 PM</t>
        </is>
      </c>
      <c r="K103" s="156">
        <f>IF(AND(F103=0,I103=0),"",IF(F103&gt;I103,B103&amp;E103,IF(F103&lt;I103,B103&amp;H103,"Tie")))</f>
        <v/>
      </c>
      <c r="L103" s="156">
        <f>IFERROR(IF(AND(B103&lt;$L$1,F103&gt;I103),"Win",IF(AND(B103&lt;$L$1,F103&lt;I103),"Loss","")),"")</f>
        <v/>
      </c>
      <c r="M103" s="156">
        <f>IF(B103&lt;_CurWeek,"In","")</f>
        <v/>
      </c>
      <c r="N103" s="156">
        <f>IF(M103="In",E103&amp;G103,"")</f>
        <v/>
      </c>
      <c r="O103" s="156">
        <f>IF(L103="Win",1,0)</f>
        <v/>
      </c>
      <c r="U103" s="172" t="n"/>
    </row>
    <row r="104" ht="14.4" customHeight="1" s="152">
      <c r="A104" s="167">
        <f>B104&amp;E104</f>
        <v/>
      </c>
      <c r="B104" s="168" t="n">
        <v>7</v>
      </c>
      <c r="C104" s="168" t="inlineStr">
        <is>
          <t>Sunday</t>
        </is>
      </c>
      <c r="D104" s="169" t="inlineStr">
        <is>
          <t>2025-10-19</t>
        </is>
      </c>
      <c r="E104" s="168" t="inlineStr">
        <is>
          <t>Indianapolis Colts</t>
        </is>
      </c>
      <c r="F104" s="156" t="n"/>
      <c r="G104" s="168" t="inlineStr">
        <is>
          <t>Away</t>
        </is>
      </c>
      <c r="H104" s="170" t="inlineStr">
        <is>
          <t>Los Angeles Chargers</t>
        </is>
      </c>
      <c r="J104" s="171" t="inlineStr">
        <is>
          <t>04:05 PM</t>
        </is>
      </c>
      <c r="K104" s="156">
        <f>IF(AND(F104=0,I104=0),"",IF(F104&gt;I104,B104&amp;E104,IF(F104&lt;I104,B104&amp;H104,"Tie")))</f>
        <v/>
      </c>
      <c r="L104" s="156">
        <f>IFERROR(IF(AND(B104&lt;$L$1,F104&gt;I104),"Win",IF(AND(B104&lt;$L$1,F104&lt;I104),"Loss","")),"")</f>
        <v/>
      </c>
      <c r="M104" s="156">
        <f>IF(B104&lt;_CurWeek,"In","")</f>
        <v/>
      </c>
      <c r="N104" s="156">
        <f>IF(M104="In",E104&amp;G104,"")</f>
        <v/>
      </c>
      <c r="O104" s="156">
        <f>IF(L104="Win",1,0)</f>
        <v/>
      </c>
      <c r="U104" s="172" t="n"/>
    </row>
    <row r="105" ht="14.4" customHeight="1" s="152">
      <c r="A105" s="167">
        <f>B105&amp;E105</f>
        <v/>
      </c>
      <c r="B105" s="168" t="n">
        <v>7</v>
      </c>
      <c r="C105" s="168" t="inlineStr">
        <is>
          <t>Sunday</t>
        </is>
      </c>
      <c r="D105" s="169" t="inlineStr">
        <is>
          <t>2025-10-19</t>
        </is>
      </c>
      <c r="E105" s="168" t="inlineStr">
        <is>
          <t>Green Bay Packers</t>
        </is>
      </c>
      <c r="F105" s="156" t="n"/>
      <c r="G105" s="168" t="inlineStr">
        <is>
          <t>Away</t>
        </is>
      </c>
      <c r="H105" s="170" t="inlineStr">
        <is>
          <t>Arizona Cardinals</t>
        </is>
      </c>
      <c r="J105" s="171" t="inlineStr">
        <is>
          <t>04:25 PM</t>
        </is>
      </c>
      <c r="K105" s="156">
        <f>IF(AND(F105=0,I105=0),"",IF(F105&gt;I105,B105&amp;E105,IF(F105&lt;I105,B105&amp;H105,"Tie")))</f>
        <v/>
      </c>
      <c r="L105" s="156">
        <f>IFERROR(IF(AND(B105&lt;$L$1,F105&gt;I105),"Win",IF(AND(B105&lt;$L$1,F105&lt;I105),"Loss","")),"")</f>
        <v/>
      </c>
      <c r="M105" s="156">
        <f>IF(B105&lt;_CurWeek,"In","")</f>
        <v/>
      </c>
      <c r="N105" s="156">
        <f>IF(M105="In",E105&amp;G105,"")</f>
        <v/>
      </c>
      <c r="O105" s="156">
        <f>IF(L105="Win",1,0)</f>
        <v/>
      </c>
      <c r="U105" s="172" t="n"/>
    </row>
    <row r="106" ht="14.4" customHeight="1" s="152">
      <c r="A106" s="167">
        <f>B106&amp;E106</f>
        <v/>
      </c>
      <c r="B106" s="168" t="n">
        <v>7</v>
      </c>
      <c r="C106" s="168" t="inlineStr">
        <is>
          <t>Sunday</t>
        </is>
      </c>
      <c r="D106" s="169" t="inlineStr">
        <is>
          <t>2025-10-19</t>
        </is>
      </c>
      <c r="E106" s="168" t="inlineStr">
        <is>
          <t>Washington Commanders</t>
        </is>
      </c>
      <c r="F106" s="156" t="n"/>
      <c r="G106" s="168" t="inlineStr">
        <is>
          <t>Away</t>
        </is>
      </c>
      <c r="H106" s="170" t="inlineStr">
        <is>
          <t>Dallas Cowboys</t>
        </is>
      </c>
      <c r="J106" s="171" t="inlineStr">
        <is>
          <t>04:25 PM</t>
        </is>
      </c>
      <c r="K106" s="156">
        <f>IF(AND(F106=0,I106=0),"",IF(F106&gt;I106,B106&amp;E106,IF(F106&lt;I106,B106&amp;H106,"Tie")))</f>
        <v/>
      </c>
      <c r="L106" s="156">
        <f>IFERROR(IF(AND(B106&lt;$L$1,F106&gt;I106),"Win",IF(AND(B106&lt;$L$1,F106&lt;I106),"Loss","")),"")</f>
        <v/>
      </c>
      <c r="M106" s="156">
        <f>IF(B106&lt;_CurWeek,"In","")</f>
        <v/>
      </c>
      <c r="N106" s="156">
        <f>IF(M106="In",E106&amp;G106,"")</f>
        <v/>
      </c>
      <c r="O106" s="156">
        <f>IF(L106="Win",1,0)</f>
        <v/>
      </c>
      <c r="U106" s="172" t="n"/>
    </row>
    <row r="107" ht="14.4" customHeight="1" s="152">
      <c r="A107" s="167">
        <f>B107&amp;E107</f>
        <v/>
      </c>
      <c r="B107" s="168" t="n">
        <v>7</v>
      </c>
      <c r="C107" s="168" t="inlineStr">
        <is>
          <t>Sunday</t>
        </is>
      </c>
      <c r="D107" s="169" t="inlineStr">
        <is>
          <t>2025-10-19</t>
        </is>
      </c>
      <c r="E107" s="168" t="inlineStr">
        <is>
          <t>Atlanta Falcons</t>
        </is>
      </c>
      <c r="F107" s="156" t="n"/>
      <c r="G107" s="168" t="inlineStr">
        <is>
          <t>Away</t>
        </is>
      </c>
      <c r="H107" s="170" t="inlineStr">
        <is>
          <t>San Francisco 49ers</t>
        </is>
      </c>
      <c r="J107" s="171" t="inlineStr">
        <is>
          <t>08:20 PM</t>
        </is>
      </c>
      <c r="K107" s="156">
        <f>IF(AND(F107=0,I107=0),"",IF(F107&gt;I107,B107&amp;E107,IF(F107&lt;I107,B107&amp;H107,"Tie")))</f>
        <v/>
      </c>
      <c r="L107" s="156">
        <f>IFERROR(IF(AND(B107&lt;$L$1,F107&gt;I107),"Win",IF(AND(B107&lt;$L$1,F107&lt;I107),"Loss","")),"")</f>
        <v/>
      </c>
      <c r="M107" s="156">
        <f>IF(B107&lt;_CurWeek,"In","")</f>
        <v/>
      </c>
      <c r="N107" s="156">
        <f>IF(M107="In",E107&amp;G107,"")</f>
        <v/>
      </c>
      <c r="O107" s="156">
        <f>IF(L107="Win",1,0)</f>
        <v/>
      </c>
      <c r="U107" s="172" t="n"/>
    </row>
    <row r="108" ht="14.4" customHeight="1" s="152">
      <c r="A108" s="167">
        <f>B108&amp;E108</f>
        <v/>
      </c>
      <c r="B108" s="168" t="n">
        <v>7</v>
      </c>
      <c r="C108" s="168" t="inlineStr">
        <is>
          <t>Monday</t>
        </is>
      </c>
      <c r="D108" s="169" t="inlineStr">
        <is>
          <t>2025-10-20</t>
        </is>
      </c>
      <c r="E108" s="168" t="inlineStr">
        <is>
          <t>Tampa Bay Buccaneers</t>
        </is>
      </c>
      <c r="F108" s="156" t="n"/>
      <c r="G108" s="168" t="inlineStr">
        <is>
          <t>Away</t>
        </is>
      </c>
      <c r="H108" s="170" t="inlineStr">
        <is>
          <t>Detroit Lions</t>
        </is>
      </c>
      <c r="J108" s="171" t="inlineStr">
        <is>
          <t>07:00 PM</t>
        </is>
      </c>
      <c r="K108" s="156">
        <f>IF(AND(F108=0,I108=0),"",IF(F108&gt;I108,B108&amp;E108,IF(F108&lt;I108,B108&amp;H108,"Tie")))</f>
        <v/>
      </c>
      <c r="L108" s="156">
        <f>IFERROR(IF(AND(B108&lt;$L$1,F108&gt;I108),"Win",IF(AND(B108&lt;$L$1,F108&lt;I108),"Loss","")),"")</f>
        <v/>
      </c>
      <c r="M108" s="156">
        <f>IF(B108&lt;_CurWeek,"In","")</f>
        <v/>
      </c>
      <c r="N108" s="156">
        <f>IF(M108="In",E108&amp;G108,"")</f>
        <v/>
      </c>
      <c r="O108" s="156">
        <f>IF(L108="Win",1,0)</f>
        <v/>
      </c>
      <c r="U108" s="172" t="n"/>
    </row>
    <row r="109" ht="14.4" customHeight="1" s="152">
      <c r="A109" s="167">
        <f>B109&amp;E109</f>
        <v/>
      </c>
      <c r="B109" s="168" t="n">
        <v>7</v>
      </c>
      <c r="C109" s="168" t="inlineStr">
        <is>
          <t>Monday</t>
        </is>
      </c>
      <c r="D109" s="169" t="inlineStr">
        <is>
          <t>2025-10-20</t>
        </is>
      </c>
      <c r="E109" s="168" t="inlineStr">
        <is>
          <t>Houston Texans</t>
        </is>
      </c>
      <c r="F109" s="156" t="n"/>
      <c r="G109" s="168" t="inlineStr">
        <is>
          <t>Away</t>
        </is>
      </c>
      <c r="H109" s="170" t="inlineStr">
        <is>
          <t>Seattle Seahawks</t>
        </is>
      </c>
      <c r="J109" s="171" t="inlineStr">
        <is>
          <t>10:00 PM</t>
        </is>
      </c>
      <c r="K109" s="156">
        <f>IF(AND(F109=0,I109=0),"",IF(F109&gt;I109,B109&amp;E109,IF(F109&lt;I109,B109&amp;H109,"Tie")))</f>
        <v/>
      </c>
      <c r="L109" s="156">
        <f>IFERROR(IF(AND(B109&lt;$L$1,F109&gt;I109),"Win",IF(AND(B109&lt;$L$1,F109&lt;I109),"Loss","")),"")</f>
        <v/>
      </c>
      <c r="M109" s="156">
        <f>IF(B109&lt;_CurWeek,"In","")</f>
        <v/>
      </c>
      <c r="N109" s="156">
        <f>IF(M109="In",E109&amp;G109,"")</f>
        <v/>
      </c>
      <c r="O109" s="156">
        <f>IF(L109="Win",1,0)</f>
        <v/>
      </c>
      <c r="U109" s="172" t="n"/>
    </row>
    <row r="110" ht="14.4" customHeight="1" s="152">
      <c r="A110" s="167">
        <f>B110&amp;E110</f>
        <v/>
      </c>
      <c r="B110" s="168" t="n">
        <v>8</v>
      </c>
      <c r="C110" s="168" t="inlineStr">
        <is>
          <t>Thursday</t>
        </is>
      </c>
      <c r="D110" s="169" t="inlineStr">
        <is>
          <t>2025-10-23</t>
        </is>
      </c>
      <c r="E110" s="168" t="inlineStr">
        <is>
          <t>Minnesota Vikings</t>
        </is>
      </c>
      <c r="F110" s="156" t="n"/>
      <c r="G110" s="168" t="inlineStr">
        <is>
          <t>Away</t>
        </is>
      </c>
      <c r="H110" s="170" t="inlineStr">
        <is>
          <t>Los Angeles Chargers</t>
        </is>
      </c>
      <c r="J110" s="171" t="inlineStr">
        <is>
          <t>08:15 PM</t>
        </is>
      </c>
      <c r="K110" s="156">
        <f>IF(AND(F110=0,I110=0),"",IF(F110&gt;I110,B110&amp;E110,IF(F110&lt;I110,B110&amp;H110,"Tie")))</f>
        <v/>
      </c>
      <c r="L110" s="156">
        <f>IFERROR(IF(AND(B110&lt;$L$1,F110&gt;I110),"Win",IF(AND(B110&lt;$L$1,F110&lt;I110),"Loss","")),"")</f>
        <v/>
      </c>
      <c r="M110" s="156">
        <f>IF(B110&lt;_CurWeek,"In","")</f>
        <v/>
      </c>
      <c r="N110" s="156">
        <f>IF(M110="In",E110&amp;G110,"")</f>
        <v/>
      </c>
      <c r="O110" s="156">
        <f>IF(L110="Win",1,0)</f>
        <v/>
      </c>
      <c r="U110" s="172" t="n"/>
    </row>
    <row r="111" ht="14.4" customHeight="1" s="152">
      <c r="A111" s="167">
        <f>B111&amp;E111</f>
        <v/>
      </c>
      <c r="B111" s="168" t="n">
        <v>8</v>
      </c>
      <c r="C111" s="168" t="inlineStr">
        <is>
          <t>Sunday</t>
        </is>
      </c>
      <c r="D111" s="169" t="inlineStr">
        <is>
          <t>2025-10-26</t>
        </is>
      </c>
      <c r="E111" s="168" t="inlineStr">
        <is>
          <t>Miami Dolphins</t>
        </is>
      </c>
      <c r="F111" s="156" t="n"/>
      <c r="G111" s="168" t="inlineStr">
        <is>
          <t>Away</t>
        </is>
      </c>
      <c r="H111" s="170" t="inlineStr">
        <is>
          <t>Atlanta Falcons</t>
        </is>
      </c>
      <c r="J111" s="171" t="inlineStr">
        <is>
          <t>01:00 PM</t>
        </is>
      </c>
      <c r="K111" s="156">
        <f>IF(AND(F111=0,I111=0),"",IF(F111&gt;I111,B111&amp;E111,IF(F111&lt;I111,B111&amp;H111,"Tie")))</f>
        <v/>
      </c>
      <c r="L111" s="156">
        <f>IFERROR(IF(AND(B111&lt;$L$1,F111&gt;I111),"Win",IF(AND(B111&lt;$L$1,F111&lt;I111),"Loss","")),"")</f>
        <v/>
      </c>
      <c r="M111" s="156">
        <f>IF(B111&lt;_CurWeek,"In","")</f>
        <v/>
      </c>
      <c r="N111" s="156">
        <f>IF(M111="In",E111&amp;G111,"")</f>
        <v/>
      </c>
      <c r="O111" s="156">
        <f>IF(L111="Win",1,0)</f>
        <v/>
      </c>
      <c r="U111" s="172" t="n"/>
    </row>
    <row r="112" ht="14.4" customHeight="1" s="152">
      <c r="A112" s="167">
        <f>B112&amp;E112</f>
        <v/>
      </c>
      <c r="B112" s="168" t="n">
        <v>8</v>
      </c>
      <c r="C112" s="168" t="inlineStr">
        <is>
          <t>Sunday</t>
        </is>
      </c>
      <c r="D112" s="169" t="inlineStr">
        <is>
          <t>2025-10-26</t>
        </is>
      </c>
      <c r="E112" s="168" t="inlineStr">
        <is>
          <t>Chicago Bears</t>
        </is>
      </c>
      <c r="F112" s="156" t="n"/>
      <c r="G112" s="168" t="inlineStr">
        <is>
          <t>Away</t>
        </is>
      </c>
      <c r="H112" s="170" t="inlineStr">
        <is>
          <t>Baltimore Ravens</t>
        </is>
      </c>
      <c r="J112" s="171" t="inlineStr">
        <is>
          <t>01:00 PM</t>
        </is>
      </c>
      <c r="K112" s="156">
        <f>IF(AND(F112=0,I112=0),"",IF(F112&gt;I112,B112&amp;E112,IF(F112&lt;I112,B112&amp;H112,"Tie")))</f>
        <v/>
      </c>
      <c r="L112" s="156">
        <f>IFERROR(IF(AND(B112&lt;$L$1,F112&gt;I112),"Win",IF(AND(B112&lt;$L$1,F112&lt;I112),"Loss","")),"")</f>
        <v/>
      </c>
      <c r="M112" s="156">
        <f>IF(B112&lt;_CurWeek,"In","")</f>
        <v/>
      </c>
      <c r="N112" s="156">
        <f>IF(M112="In",E112&amp;G112,"")</f>
        <v/>
      </c>
      <c r="O112" s="156">
        <f>IF(L112="Win",1,0)</f>
        <v/>
      </c>
      <c r="U112" s="172" t="n"/>
    </row>
    <row r="113" ht="14.4" customHeight="1" s="152">
      <c r="A113" s="167">
        <f>B113&amp;E113</f>
        <v/>
      </c>
      <c r="B113" s="168" t="n">
        <v>8</v>
      </c>
      <c r="C113" s="168" t="inlineStr">
        <is>
          <t>Sunday</t>
        </is>
      </c>
      <c r="D113" s="169" t="inlineStr">
        <is>
          <t>2025-10-26</t>
        </is>
      </c>
      <c r="E113" s="168" t="inlineStr">
        <is>
          <t>Buffalo Bills</t>
        </is>
      </c>
      <c r="F113" s="156" t="n"/>
      <c r="G113" s="168" t="inlineStr">
        <is>
          <t>Away</t>
        </is>
      </c>
      <c r="H113" s="170" t="inlineStr">
        <is>
          <t>Carolina Panthers</t>
        </is>
      </c>
      <c r="J113" s="171" t="inlineStr">
        <is>
          <t>01:00 PM</t>
        </is>
      </c>
      <c r="K113" s="156">
        <f>IF(AND(F113=0,I113=0),"",IF(F113&gt;I113,B113&amp;E113,IF(F113&lt;I113,B113&amp;H113,"Tie")))</f>
        <v/>
      </c>
      <c r="L113" s="156">
        <f>IFERROR(IF(AND(B113&lt;$L$1,F113&gt;I113),"Win",IF(AND(B113&lt;$L$1,F113&lt;I113),"Loss","")),"")</f>
        <v/>
      </c>
      <c r="M113" s="156">
        <f>IF(B113&lt;_CurWeek,"In","")</f>
        <v/>
      </c>
      <c r="N113" s="156">
        <f>IF(M113="In",E113&amp;G113,"")</f>
        <v/>
      </c>
      <c r="O113" s="156">
        <f>IF(L113="Win",1,0)</f>
        <v/>
      </c>
      <c r="U113" s="172" t="n"/>
    </row>
    <row r="114" ht="14.4" customHeight="1" s="152">
      <c r="A114" s="167">
        <f>B114&amp;E114</f>
        <v/>
      </c>
      <c r="B114" s="168" t="n">
        <v>8</v>
      </c>
      <c r="C114" s="168" t="inlineStr">
        <is>
          <t>Sunday</t>
        </is>
      </c>
      <c r="D114" s="169" t="inlineStr">
        <is>
          <t>2025-10-26</t>
        </is>
      </c>
      <c r="E114" s="168" t="inlineStr">
        <is>
          <t>New York Jets</t>
        </is>
      </c>
      <c r="F114" s="156" t="n"/>
      <c r="G114" s="168" t="inlineStr">
        <is>
          <t>Away</t>
        </is>
      </c>
      <c r="H114" s="170" t="inlineStr">
        <is>
          <t>Cincinnati Bengals</t>
        </is>
      </c>
      <c r="J114" s="171" t="inlineStr">
        <is>
          <t>01:00 PM</t>
        </is>
      </c>
      <c r="K114" s="156">
        <f>IF(AND(F114=0,I114=0),"",IF(F114&gt;I114,B114&amp;E114,IF(F114&lt;I114,B114&amp;H114,"Tie")))</f>
        <v/>
      </c>
      <c r="L114" s="156">
        <f>IFERROR(IF(AND(B114&lt;$L$1,F114&gt;I114),"Win",IF(AND(B114&lt;$L$1,F114&lt;I114),"Loss","")),"")</f>
        <v/>
      </c>
      <c r="M114" s="156">
        <f>IF(B114&lt;_CurWeek,"In","")</f>
        <v/>
      </c>
      <c r="N114" s="156">
        <f>IF(M114="In",E114&amp;G114,"")</f>
        <v/>
      </c>
      <c r="O114" s="156">
        <f>IF(L114="Win",1,0)</f>
        <v/>
      </c>
      <c r="U114" s="172" t="n"/>
    </row>
    <row r="115" ht="14.4" customHeight="1" s="152">
      <c r="A115" s="167">
        <f>B115&amp;E115</f>
        <v/>
      </c>
      <c r="B115" s="168" t="n">
        <v>8</v>
      </c>
      <c r="C115" s="168" t="inlineStr">
        <is>
          <t>Sunday</t>
        </is>
      </c>
      <c r="D115" s="169" t="inlineStr">
        <is>
          <t>2025-10-26</t>
        </is>
      </c>
      <c r="E115" s="168" t="inlineStr">
        <is>
          <t>San Francisco 49ers</t>
        </is>
      </c>
      <c r="F115" s="156" t="n"/>
      <c r="G115" s="168" t="inlineStr">
        <is>
          <t>Away</t>
        </is>
      </c>
      <c r="H115" s="170" t="inlineStr">
        <is>
          <t>Houston Texans</t>
        </is>
      </c>
      <c r="J115" s="171" t="inlineStr">
        <is>
          <t>01:00 PM</t>
        </is>
      </c>
      <c r="K115" s="156">
        <f>IF(AND(F115=0,I115=0),"",IF(F115&gt;I115,B115&amp;E115,IF(F115&lt;I115,B115&amp;H115,"Tie")))</f>
        <v/>
      </c>
      <c r="L115" s="156">
        <f>IFERROR(IF(AND(B115&lt;$L$1,F115&gt;I115),"Win",IF(AND(B115&lt;$L$1,F115&lt;I115),"Loss","")),"")</f>
        <v/>
      </c>
      <c r="M115" s="156">
        <f>IF(B115&lt;_CurWeek,"In","")</f>
        <v/>
      </c>
      <c r="N115" s="156">
        <f>IF(M115="In",E115&amp;G115,"")</f>
        <v/>
      </c>
      <c r="O115" s="156">
        <f>IF(L115="Win",1,0)</f>
        <v/>
      </c>
      <c r="U115" s="172" t="n"/>
    </row>
    <row r="116" ht="14.4" customHeight="1" s="152">
      <c r="A116" s="167">
        <f>B116&amp;E116</f>
        <v/>
      </c>
      <c r="B116" s="168" t="n">
        <v>8</v>
      </c>
      <c r="C116" s="168" t="inlineStr">
        <is>
          <t>Sunday</t>
        </is>
      </c>
      <c r="D116" s="169" t="inlineStr">
        <is>
          <t>2025-10-26</t>
        </is>
      </c>
      <c r="E116" s="168" t="inlineStr">
        <is>
          <t>Cleveland Browns</t>
        </is>
      </c>
      <c r="F116" s="156" t="n"/>
      <c r="G116" s="168" t="inlineStr">
        <is>
          <t>Away</t>
        </is>
      </c>
      <c r="H116" s="170" t="inlineStr">
        <is>
          <t>New England Patriots</t>
        </is>
      </c>
      <c r="J116" s="171" t="inlineStr">
        <is>
          <t>01:00 PM</t>
        </is>
      </c>
      <c r="K116" s="156">
        <f>IF(AND(F116=0,I116=0),"",IF(F116&gt;I116,B116&amp;E116,IF(F116&lt;I116,B116&amp;H116,"Tie")))</f>
        <v/>
      </c>
      <c r="L116" s="156">
        <f>IFERROR(IF(AND(B116&lt;$L$1,F116&gt;I116),"Win",IF(AND(B116&lt;$L$1,F116&lt;I116),"Loss","")),"")</f>
        <v/>
      </c>
      <c r="M116" s="156">
        <f>IF(B116&lt;_CurWeek,"In","")</f>
        <v/>
      </c>
      <c r="N116" s="156">
        <f>IF(M116="In",E116&amp;G116,"")</f>
        <v/>
      </c>
      <c r="O116" s="156">
        <f>IF(L116="Win",1,0)</f>
        <v/>
      </c>
      <c r="U116" s="172" t="n"/>
    </row>
    <row r="117" ht="14.4" customHeight="1" s="152">
      <c r="A117" s="167">
        <f>B117&amp;E117</f>
        <v/>
      </c>
      <c r="B117" s="168" t="n">
        <v>8</v>
      </c>
      <c r="C117" s="168" t="inlineStr">
        <is>
          <t>Sunday</t>
        </is>
      </c>
      <c r="D117" s="169" t="inlineStr">
        <is>
          <t>2025-10-26</t>
        </is>
      </c>
      <c r="E117" s="168" t="inlineStr">
        <is>
          <t>New York Giants</t>
        </is>
      </c>
      <c r="F117" s="156" t="n"/>
      <c r="G117" s="168" t="inlineStr">
        <is>
          <t>Away</t>
        </is>
      </c>
      <c r="H117" s="170" t="inlineStr">
        <is>
          <t>Philadelphia Eagles</t>
        </is>
      </c>
      <c r="J117" s="171" t="inlineStr">
        <is>
          <t>01:00 PM</t>
        </is>
      </c>
      <c r="K117" s="156">
        <f>IF(AND(F117=0,I117=0),"",IF(F117&gt;I117,B117&amp;E117,IF(F117&lt;I117,B117&amp;H117,"Tie")))</f>
        <v/>
      </c>
      <c r="L117" s="156">
        <f>IFERROR(IF(AND(B117&lt;$L$1,F117&gt;I117),"Win",IF(AND(B117&lt;$L$1,F117&lt;I117),"Loss","")),"")</f>
        <v/>
      </c>
      <c r="M117" s="156">
        <f>IF(B117&lt;_CurWeek,"In","")</f>
        <v/>
      </c>
      <c r="N117" s="156">
        <f>IF(M117="In",E117&amp;G117,"")</f>
        <v/>
      </c>
      <c r="O117" s="156">
        <f>IF(L117="Win",1,0)</f>
        <v/>
      </c>
      <c r="U117" s="172" t="n"/>
    </row>
    <row r="118" ht="14.4" customHeight="1" s="152">
      <c r="A118" s="167">
        <f>B118&amp;E118</f>
        <v/>
      </c>
      <c r="B118" s="168" t="n">
        <v>8</v>
      </c>
      <c r="C118" s="168" t="inlineStr">
        <is>
          <t>Sunday</t>
        </is>
      </c>
      <c r="D118" s="169" t="inlineStr">
        <is>
          <t>2025-10-26</t>
        </is>
      </c>
      <c r="E118" s="168" t="inlineStr">
        <is>
          <t>Tampa Bay Buccaneers</t>
        </is>
      </c>
      <c r="F118" s="156" t="n"/>
      <c r="G118" s="168" t="inlineStr">
        <is>
          <t>Away</t>
        </is>
      </c>
      <c r="H118" s="170" t="inlineStr">
        <is>
          <t>New Orleans Saints</t>
        </is>
      </c>
      <c r="J118" s="171" t="inlineStr">
        <is>
          <t>04:05 PM</t>
        </is>
      </c>
      <c r="K118" s="156">
        <f>IF(AND(F118=0,I118=0),"",IF(F118&gt;I118,B118&amp;E118,IF(F118&lt;I118,B118&amp;H118,"Tie")))</f>
        <v/>
      </c>
      <c r="L118" s="156">
        <f>IFERROR(IF(AND(B118&lt;$L$1,F118&gt;I118),"Win",IF(AND(B118&lt;$L$1,F118&lt;I118),"Loss","")),"")</f>
        <v/>
      </c>
      <c r="M118" s="156">
        <f>IF(B118&lt;_CurWeek,"In","")</f>
        <v/>
      </c>
      <c r="N118" s="156">
        <f>IF(M118="In",E118&amp;G118,"")</f>
        <v/>
      </c>
      <c r="O118" s="156">
        <f>IF(L118="Win",1,0)</f>
        <v/>
      </c>
      <c r="U118" s="172" t="n"/>
    </row>
    <row r="119" ht="14.4" customHeight="1" s="152">
      <c r="A119" s="167">
        <f>B119&amp;E119</f>
        <v/>
      </c>
      <c r="B119" s="168" t="n">
        <v>8</v>
      </c>
      <c r="C119" s="168" t="inlineStr">
        <is>
          <t>Sunday</t>
        </is>
      </c>
      <c r="D119" s="169" t="inlineStr">
        <is>
          <t>2025-10-26</t>
        </is>
      </c>
      <c r="E119" s="168" t="inlineStr">
        <is>
          <t>Dallas Cowboys</t>
        </is>
      </c>
      <c r="F119" s="156" t="n"/>
      <c r="G119" s="168" t="inlineStr">
        <is>
          <t>Away</t>
        </is>
      </c>
      <c r="H119" s="170" t="inlineStr">
        <is>
          <t>Denver Broncos</t>
        </is>
      </c>
      <c r="J119" s="171" t="inlineStr">
        <is>
          <t>04:25 PM</t>
        </is>
      </c>
      <c r="K119" s="156">
        <f>IF(AND(F119=0,I119=0),"",IF(F119&gt;I119,B119&amp;E119,IF(F119&lt;I119,B119&amp;H119,"Tie")))</f>
        <v/>
      </c>
      <c r="L119" s="156">
        <f>IFERROR(IF(AND(B119&lt;$L$1,F119&gt;I119),"Win",IF(AND(B119&lt;$L$1,F119&lt;I119),"Loss","")),"")</f>
        <v/>
      </c>
      <c r="M119" s="156">
        <f>IF(B119&lt;_CurWeek,"In","")</f>
        <v/>
      </c>
      <c r="N119" s="156">
        <f>IF(M119="In",E119&amp;G119,"")</f>
        <v/>
      </c>
      <c r="O119" s="156">
        <f>IF(L119="Win",1,0)</f>
        <v/>
      </c>
      <c r="U119" s="172" t="n"/>
    </row>
    <row r="120" ht="14.4" customHeight="1" s="152">
      <c r="A120" s="167">
        <f>B120&amp;E120</f>
        <v/>
      </c>
      <c r="B120" s="168" t="n">
        <v>8</v>
      </c>
      <c r="C120" s="168" t="inlineStr">
        <is>
          <t>Sunday</t>
        </is>
      </c>
      <c r="D120" s="169" t="inlineStr">
        <is>
          <t>2025-10-26</t>
        </is>
      </c>
      <c r="E120" s="168" t="inlineStr">
        <is>
          <t>Tennessee Titans</t>
        </is>
      </c>
      <c r="F120" s="156" t="n"/>
      <c r="G120" s="168" t="inlineStr">
        <is>
          <t>Away</t>
        </is>
      </c>
      <c r="H120" s="170" t="inlineStr">
        <is>
          <t>Indianapolis Colts</t>
        </is>
      </c>
      <c r="J120" s="171" t="inlineStr">
        <is>
          <t>04:25 PM</t>
        </is>
      </c>
      <c r="K120" s="156">
        <f>IF(AND(F120=0,I120=0),"",IF(F120&gt;I120,B120&amp;E120,IF(F120&lt;I120,B120&amp;H120,"Tie")))</f>
        <v/>
      </c>
      <c r="L120" s="156">
        <f>IFERROR(IF(AND(B120&lt;$L$1,F120&gt;I120),"Win",IF(AND(B120&lt;$L$1,F120&lt;I120),"Loss","")),"")</f>
        <v/>
      </c>
      <c r="M120" s="156">
        <f>IF(B120&lt;_CurWeek,"In","")</f>
        <v/>
      </c>
      <c r="N120" s="156">
        <f>IF(M120="In",E120&amp;G120,"")</f>
        <v/>
      </c>
      <c r="O120" s="156">
        <f>IF(L120="Win",1,0)</f>
        <v/>
      </c>
      <c r="U120" s="172" t="n"/>
    </row>
    <row r="121" ht="14.4" customHeight="1" s="152">
      <c r="A121" s="167">
        <f>B121&amp;E121</f>
        <v/>
      </c>
      <c r="B121" s="168" t="n">
        <v>8</v>
      </c>
      <c r="C121" s="168" t="inlineStr">
        <is>
          <t>Sunday</t>
        </is>
      </c>
      <c r="D121" s="169" t="inlineStr">
        <is>
          <t>2025-10-26</t>
        </is>
      </c>
      <c r="E121" s="168" t="inlineStr">
        <is>
          <t>Green Bay Packers</t>
        </is>
      </c>
      <c r="F121" s="156" t="n"/>
      <c r="G121" s="168" t="inlineStr">
        <is>
          <t>Away</t>
        </is>
      </c>
      <c r="H121" s="170" t="inlineStr">
        <is>
          <t>Pittsburgh Steelers</t>
        </is>
      </c>
      <c r="J121" s="171" t="inlineStr">
        <is>
          <t>08:20 PM</t>
        </is>
      </c>
      <c r="K121" s="156">
        <f>IF(AND(F121=0,I121=0),"",IF(F121&gt;I121,B121&amp;E121,IF(F121&lt;I121,B121&amp;H121,"Tie")))</f>
        <v/>
      </c>
      <c r="L121" s="156">
        <f>IFERROR(IF(AND(B121&lt;$L$1,F121&gt;I121),"Win",IF(AND(B121&lt;$L$1,F121&lt;I121),"Loss","")),"")</f>
        <v/>
      </c>
      <c r="M121" s="156">
        <f>IF(B121&lt;_CurWeek,"In","")</f>
        <v/>
      </c>
      <c r="N121" s="156">
        <f>IF(M121="In",E121&amp;G121,"")</f>
        <v/>
      </c>
      <c r="O121" s="156">
        <f>IF(L121="Win",1,0)</f>
        <v/>
      </c>
      <c r="U121" s="172" t="n"/>
    </row>
    <row r="122" ht="14.4" customHeight="1" s="152">
      <c r="A122" s="167">
        <f>B122&amp;E122</f>
        <v/>
      </c>
      <c r="B122" s="168" t="n">
        <v>8</v>
      </c>
      <c r="C122" s="168" t="inlineStr">
        <is>
          <t>Monday</t>
        </is>
      </c>
      <c r="D122" s="169" t="inlineStr">
        <is>
          <t>2025-10-27</t>
        </is>
      </c>
      <c r="E122" s="168" t="inlineStr">
        <is>
          <t>Washington Commanders</t>
        </is>
      </c>
      <c r="F122" s="156" t="n"/>
      <c r="G122" s="168" t="inlineStr">
        <is>
          <t>Away</t>
        </is>
      </c>
      <c r="H122" s="170" t="inlineStr">
        <is>
          <t>Kansas City Chiefs</t>
        </is>
      </c>
      <c r="J122" s="171" t="inlineStr">
        <is>
          <t>08:15 PM</t>
        </is>
      </c>
      <c r="K122" s="156">
        <f>IF(AND(F122=0,I122=0),"",IF(F122&gt;I122,B122&amp;E122,IF(F122&lt;I122,B122&amp;H122,"Tie")))</f>
        <v/>
      </c>
      <c r="L122" s="156">
        <f>IFERROR(IF(AND(B122&lt;$L$1,F122&gt;I122),"Win",IF(AND(B122&lt;$L$1,F122&lt;I122),"Loss","")),"")</f>
        <v/>
      </c>
      <c r="M122" s="156">
        <f>IF(B122&lt;_CurWeek,"In","")</f>
        <v/>
      </c>
      <c r="N122" s="156">
        <f>IF(M122="In",E122&amp;G122,"")</f>
        <v/>
      </c>
      <c r="O122" s="156">
        <f>IF(L122="Win",1,0)</f>
        <v/>
      </c>
      <c r="U122" s="172" t="n"/>
    </row>
    <row r="123" ht="14.4" customHeight="1" s="152">
      <c r="A123" s="167">
        <f>B123&amp;E123</f>
        <v/>
      </c>
      <c r="B123" s="168" t="n">
        <v>9</v>
      </c>
      <c r="C123" s="168" t="inlineStr">
        <is>
          <t>Thursday</t>
        </is>
      </c>
      <c r="D123" s="169" t="inlineStr">
        <is>
          <t>2025-10-30</t>
        </is>
      </c>
      <c r="E123" s="168" t="inlineStr">
        <is>
          <t>Baltimore Ravens</t>
        </is>
      </c>
      <c r="F123" s="156" t="n"/>
      <c r="G123" s="168" t="inlineStr">
        <is>
          <t>Away</t>
        </is>
      </c>
      <c r="H123" s="170" t="inlineStr">
        <is>
          <t>Miami Dolphins</t>
        </is>
      </c>
      <c r="J123" s="171" t="inlineStr">
        <is>
          <t>08:15 PM</t>
        </is>
      </c>
      <c r="K123" s="156">
        <f>IF(AND(F123=0,I123=0),"",IF(F123&gt;I123,B123&amp;E123,IF(F123&lt;I123,B123&amp;H123,"Tie")))</f>
        <v/>
      </c>
      <c r="L123" s="156">
        <f>IFERROR(IF(AND(B123&lt;$L$1,F123&gt;I123),"Win",IF(AND(B123&lt;$L$1,F123&lt;I123),"Loss","")),"")</f>
        <v/>
      </c>
      <c r="M123" s="156">
        <f>IF(B123&lt;_CurWeek,"In","")</f>
        <v/>
      </c>
      <c r="N123" s="156">
        <f>IF(M123="In",E123&amp;G123,"")</f>
        <v/>
      </c>
      <c r="O123" s="156">
        <f>IF(L123="Win",1,0)</f>
        <v/>
      </c>
      <c r="U123" s="172" t="n"/>
    </row>
    <row r="124" ht="14.4" customHeight="1" s="152">
      <c r="A124" s="167">
        <f>B124&amp;E124</f>
        <v/>
      </c>
      <c r="B124" s="168" t="n">
        <v>9</v>
      </c>
      <c r="C124" s="168" t="inlineStr">
        <is>
          <t>Sunday</t>
        </is>
      </c>
      <c r="D124" s="169" t="inlineStr">
        <is>
          <t>2025-11-02</t>
        </is>
      </c>
      <c r="E124" s="168" t="inlineStr">
        <is>
          <t>Chicago Bears</t>
        </is>
      </c>
      <c r="F124" s="156" t="n"/>
      <c r="G124" s="168" t="inlineStr">
        <is>
          <t>Away</t>
        </is>
      </c>
      <c r="H124" s="170" t="inlineStr">
        <is>
          <t>Cincinnati Bengals</t>
        </is>
      </c>
      <c r="J124" s="171" t="inlineStr">
        <is>
          <t>01:00 PM</t>
        </is>
      </c>
      <c r="K124" s="156">
        <f>IF(AND(F124=0,I124=0),"",IF(F124&gt;I124,B124&amp;E124,IF(F124&lt;I124,B124&amp;H124,"Tie")))</f>
        <v/>
      </c>
      <c r="L124" s="156">
        <f>IFERROR(IF(AND(B124&lt;$L$1,F124&gt;I124),"Win",IF(AND(B124&lt;$L$1,F124&lt;I124),"Loss","")),"")</f>
        <v/>
      </c>
      <c r="M124" s="156">
        <f>IF(B124&lt;_CurWeek,"In","")</f>
        <v/>
      </c>
      <c r="N124" s="156">
        <f>IF(M124="In",E124&amp;G124,"")</f>
        <v/>
      </c>
      <c r="O124" s="156">
        <f>IF(L124="Win",1,0)</f>
        <v/>
      </c>
      <c r="U124" s="172" t="n"/>
    </row>
    <row r="125" ht="14.4" customHeight="1" s="152">
      <c r="A125" s="167">
        <f>B125&amp;E125</f>
        <v/>
      </c>
      <c r="B125" s="168" t="n">
        <v>9</v>
      </c>
      <c r="C125" s="168" t="inlineStr">
        <is>
          <t>Sunday</t>
        </is>
      </c>
      <c r="D125" s="169" t="inlineStr">
        <is>
          <t>2025-11-02</t>
        </is>
      </c>
      <c r="E125" s="168" t="inlineStr">
        <is>
          <t>Minnesota Vikings</t>
        </is>
      </c>
      <c r="F125" s="156" t="n"/>
      <c r="G125" s="168" t="inlineStr">
        <is>
          <t>Away</t>
        </is>
      </c>
      <c r="H125" s="170" t="inlineStr">
        <is>
          <t>Detroit Lions</t>
        </is>
      </c>
      <c r="J125" s="171" t="inlineStr">
        <is>
          <t>01:00 PM</t>
        </is>
      </c>
      <c r="K125" s="156">
        <f>IF(AND(F125=0,I125=0),"",IF(F125&gt;I125,B125&amp;E125,IF(F125&lt;I125,B125&amp;H125,"Tie")))</f>
        <v/>
      </c>
      <c r="L125" s="156">
        <f>IFERROR(IF(AND(B125&lt;$L$1,F125&gt;I125),"Win",IF(AND(B125&lt;$L$1,F125&lt;I125),"Loss","")),"")</f>
        <v/>
      </c>
      <c r="M125" s="156">
        <f>IF(B125&lt;_CurWeek,"In","")</f>
        <v/>
      </c>
      <c r="N125" s="156">
        <f>IF(M125="In",E125&amp;G125,"")</f>
        <v/>
      </c>
      <c r="O125" s="156">
        <f>IF(L125="Win",1,0)</f>
        <v/>
      </c>
      <c r="U125" s="172" t="n"/>
    </row>
    <row r="126" ht="14.4" customHeight="1" s="152">
      <c r="A126" s="167">
        <f>B126&amp;E126</f>
        <v/>
      </c>
      <c r="B126" s="168" t="n">
        <v>9</v>
      </c>
      <c r="C126" s="168" t="inlineStr">
        <is>
          <t>Sunday</t>
        </is>
      </c>
      <c r="D126" s="169" t="inlineStr">
        <is>
          <t>2025-11-02</t>
        </is>
      </c>
      <c r="E126" s="168" t="inlineStr">
        <is>
          <t>Carolina Panthers</t>
        </is>
      </c>
      <c r="F126" s="156" t="n"/>
      <c r="G126" s="168" t="inlineStr">
        <is>
          <t>Away</t>
        </is>
      </c>
      <c r="H126" s="170" t="inlineStr">
        <is>
          <t>Green Bay Packers</t>
        </is>
      </c>
      <c r="J126" s="171" t="inlineStr">
        <is>
          <t>01:00 PM</t>
        </is>
      </c>
      <c r="K126" s="156">
        <f>IF(AND(F126=0,I126=0),"",IF(F126&gt;I126,B126&amp;E126,IF(F126&lt;I126,B126&amp;H126,"Tie")))</f>
        <v/>
      </c>
      <c r="L126" s="156">
        <f>IFERROR(IF(AND(B126&lt;$L$1,F126&gt;I126),"Win",IF(AND(B126&lt;$L$1,F126&lt;I126),"Loss","")),"")</f>
        <v/>
      </c>
      <c r="M126" s="156">
        <f>IF(B126&lt;_CurWeek,"In","")</f>
        <v/>
      </c>
      <c r="N126" s="156">
        <f>IF(M126="In",E126&amp;G126,"")</f>
        <v/>
      </c>
      <c r="O126" s="156">
        <f>IF(L126="Win",1,0)</f>
        <v/>
      </c>
      <c r="U126" s="172" t="n"/>
    </row>
    <row r="127" ht="14.4" customHeight="1" s="152">
      <c r="A127" s="167">
        <f>B127&amp;E127</f>
        <v/>
      </c>
      <c r="B127" s="168" t="n">
        <v>9</v>
      </c>
      <c r="C127" s="168" t="inlineStr">
        <is>
          <t>Sunday</t>
        </is>
      </c>
      <c r="D127" s="169" t="inlineStr">
        <is>
          <t>2025-11-02</t>
        </is>
      </c>
      <c r="E127" s="168" t="inlineStr">
        <is>
          <t>Denver Broncos</t>
        </is>
      </c>
      <c r="F127" s="156" t="n"/>
      <c r="G127" s="168" t="inlineStr">
        <is>
          <t>Away</t>
        </is>
      </c>
      <c r="H127" s="170" t="inlineStr">
        <is>
          <t>Houston Texans</t>
        </is>
      </c>
      <c r="J127" s="171" t="inlineStr">
        <is>
          <t>01:00 PM</t>
        </is>
      </c>
      <c r="K127" s="156">
        <f>IF(AND(F127=0,I127=0),"",IF(F127&gt;I127,B127&amp;E127,IF(F127&lt;I127,B127&amp;H127,"Tie")))</f>
        <v/>
      </c>
      <c r="L127" s="156">
        <f>IFERROR(IF(AND(B127&lt;$L$1,F127&gt;I127),"Win",IF(AND(B127&lt;$L$1,F127&lt;I127),"Loss","")),"")</f>
        <v/>
      </c>
      <c r="M127" s="156">
        <f>IF(B127&lt;_CurWeek,"In","")</f>
        <v/>
      </c>
      <c r="N127" s="156">
        <f>IF(M127="In",E127&amp;G127,"")</f>
        <v/>
      </c>
      <c r="O127" s="156">
        <f>IF(L127="Win",1,0)</f>
        <v/>
      </c>
      <c r="U127" s="172" t="n"/>
    </row>
    <row r="128" ht="14.4" customHeight="1" s="152">
      <c r="A128" s="167">
        <f>B128&amp;E128</f>
        <v/>
      </c>
      <c r="B128" s="168" t="n">
        <v>9</v>
      </c>
      <c r="C128" s="168" t="inlineStr">
        <is>
          <t>Sunday</t>
        </is>
      </c>
      <c r="D128" s="169" t="inlineStr">
        <is>
          <t>2025-11-02</t>
        </is>
      </c>
      <c r="E128" s="168" t="inlineStr">
        <is>
          <t>Atlanta Falcons</t>
        </is>
      </c>
      <c r="F128" s="156" t="n"/>
      <c r="G128" s="168" t="inlineStr">
        <is>
          <t>Away</t>
        </is>
      </c>
      <c r="H128" s="170" t="inlineStr">
        <is>
          <t>New England Patriots</t>
        </is>
      </c>
      <c r="J128" s="171" t="inlineStr">
        <is>
          <t>01:00 PM</t>
        </is>
      </c>
      <c r="K128" s="156">
        <f>IF(AND(F128=0,I128=0),"",IF(F128&gt;I128,B128&amp;E128,IF(F128&lt;I128,B128&amp;H128,"Tie")))</f>
        <v/>
      </c>
      <c r="L128" s="156">
        <f>IFERROR(IF(AND(B128&lt;$L$1,F128&gt;I128),"Win",IF(AND(B128&lt;$L$1,F128&lt;I128),"Loss","")),"")</f>
        <v/>
      </c>
      <c r="M128" s="156">
        <f>IF(B128&lt;_CurWeek,"In","")</f>
        <v/>
      </c>
      <c r="N128" s="156">
        <f>IF(M128="In",E128&amp;G128,"")</f>
        <v/>
      </c>
      <c r="O128" s="156">
        <f>IF(L128="Win",1,0)</f>
        <v/>
      </c>
      <c r="U128" s="172" t="n"/>
    </row>
    <row r="129" ht="14.4" customHeight="1" s="152">
      <c r="A129" s="167">
        <f>B129&amp;E129</f>
        <v/>
      </c>
      <c r="B129" s="168" t="n">
        <v>9</v>
      </c>
      <c r="C129" s="168" t="inlineStr">
        <is>
          <t>Sunday</t>
        </is>
      </c>
      <c r="D129" s="169" t="inlineStr">
        <is>
          <t>2025-11-02</t>
        </is>
      </c>
      <c r="E129" s="168" t="inlineStr">
        <is>
          <t>San Francisco 49ers</t>
        </is>
      </c>
      <c r="F129" s="156" t="n"/>
      <c r="G129" s="168" t="inlineStr">
        <is>
          <t>Away</t>
        </is>
      </c>
      <c r="H129" s="170" t="inlineStr">
        <is>
          <t>New York Giants</t>
        </is>
      </c>
      <c r="J129" s="171" t="inlineStr">
        <is>
          <t>01:00 PM</t>
        </is>
      </c>
      <c r="K129" s="156">
        <f>IF(AND(F129=0,I129=0),"",IF(F129&gt;I129,B129&amp;E129,IF(F129&lt;I129,B129&amp;H129,"Tie")))</f>
        <v/>
      </c>
      <c r="L129" s="156">
        <f>IFERROR(IF(AND(B129&lt;$L$1,F129&gt;I129),"Win",IF(AND(B129&lt;$L$1,F129&lt;I129),"Loss","")),"")</f>
        <v/>
      </c>
      <c r="M129" s="156">
        <f>IF(B129&lt;_CurWeek,"In","")</f>
        <v/>
      </c>
      <c r="N129" s="156">
        <f>IF(M129="In",E129&amp;G129,"")</f>
        <v/>
      </c>
      <c r="O129" s="156">
        <f>IF(L129="Win",1,0)</f>
        <v/>
      </c>
      <c r="U129" s="172" t="n"/>
    </row>
    <row r="130" ht="14.4" customHeight="1" s="152">
      <c r="A130" s="167">
        <f>B130&amp;E130</f>
        <v/>
      </c>
      <c r="B130" s="168" t="n">
        <v>9</v>
      </c>
      <c r="C130" s="168" t="inlineStr">
        <is>
          <t>Sunday</t>
        </is>
      </c>
      <c r="D130" s="169" t="inlineStr">
        <is>
          <t>2025-11-02</t>
        </is>
      </c>
      <c r="E130" s="168" t="inlineStr">
        <is>
          <t>Indianapolis Colts</t>
        </is>
      </c>
      <c r="F130" s="156" t="n"/>
      <c r="G130" s="168" t="inlineStr">
        <is>
          <t>Away</t>
        </is>
      </c>
      <c r="H130" s="170" t="inlineStr">
        <is>
          <t>Pittsburgh Steelers</t>
        </is>
      </c>
      <c r="J130" s="171" t="inlineStr">
        <is>
          <t>01:00 PM</t>
        </is>
      </c>
      <c r="K130" s="156">
        <f>IF(AND(F130=0,I130=0),"",IF(F130&gt;I130,B130&amp;E130,IF(F130&lt;I130,B130&amp;H130,"Tie")))</f>
        <v/>
      </c>
      <c r="L130" s="156">
        <f>IFERROR(IF(AND(B130&lt;$L$1,F130&gt;I130),"Win",IF(AND(B130&lt;$L$1,F130&lt;I130),"Loss","")),"")</f>
        <v/>
      </c>
      <c r="M130" s="156">
        <f>IF(B130&lt;_CurWeek,"In","")</f>
        <v/>
      </c>
      <c r="N130" s="156">
        <f>IF(M130="In",E130&amp;G130,"")</f>
        <v/>
      </c>
      <c r="O130" s="156">
        <f>IF(L130="Win",1,0)</f>
        <v/>
      </c>
      <c r="U130" s="172" t="n"/>
    </row>
    <row r="131" ht="14.4" customHeight="1" s="152">
      <c r="A131" s="167">
        <f>B131&amp;E131</f>
        <v/>
      </c>
      <c r="B131" s="168" t="n">
        <v>9</v>
      </c>
      <c r="C131" s="168" t="inlineStr">
        <is>
          <t>Sunday</t>
        </is>
      </c>
      <c r="D131" s="169" t="inlineStr">
        <is>
          <t>2025-11-02</t>
        </is>
      </c>
      <c r="E131" s="168" t="inlineStr">
        <is>
          <t>Los Angeles Chargers</t>
        </is>
      </c>
      <c r="F131" s="156" t="n"/>
      <c r="G131" s="168" t="inlineStr">
        <is>
          <t>Away</t>
        </is>
      </c>
      <c r="H131" s="170" t="inlineStr">
        <is>
          <t>Tennessee Titans</t>
        </is>
      </c>
      <c r="J131" s="171" t="inlineStr">
        <is>
          <t>01:00 PM</t>
        </is>
      </c>
      <c r="K131" s="156">
        <f>IF(AND(F131=0,I131=0),"",IF(F131&gt;I131,B131&amp;E131,IF(F131&lt;I131,B131&amp;H131,"Tie")))</f>
        <v/>
      </c>
      <c r="L131" s="156">
        <f>IFERROR(IF(AND(B131&lt;$L$1,F131&gt;I131),"Win",IF(AND(B131&lt;$L$1,F131&lt;I131),"Loss","")),"")</f>
        <v/>
      </c>
      <c r="M131" s="156">
        <f>IF(B131&lt;_CurWeek,"In","")</f>
        <v/>
      </c>
      <c r="N131" s="156">
        <f>IF(M131="In",E131&amp;G131,"")</f>
        <v/>
      </c>
      <c r="O131" s="156">
        <f>IF(L131="Win",1,0)</f>
        <v/>
      </c>
      <c r="U131" s="172" t="n"/>
    </row>
    <row r="132" ht="14.4" customHeight="1" s="152">
      <c r="A132" s="167">
        <f>B132&amp;E132</f>
        <v/>
      </c>
      <c r="B132" s="168" t="n">
        <v>9</v>
      </c>
      <c r="C132" s="168" t="inlineStr">
        <is>
          <t>Sunday</t>
        </is>
      </c>
      <c r="D132" s="169" t="inlineStr">
        <is>
          <t>2025-11-02</t>
        </is>
      </c>
      <c r="E132" s="168" t="inlineStr">
        <is>
          <t>New Orleans Saints</t>
        </is>
      </c>
      <c r="F132" s="156" t="n"/>
      <c r="G132" s="168" t="inlineStr">
        <is>
          <t>Away</t>
        </is>
      </c>
      <c r="H132" s="170" t="inlineStr">
        <is>
          <t>Los Angeles Rams</t>
        </is>
      </c>
      <c r="J132" s="171" t="inlineStr">
        <is>
          <t>04:05 PM</t>
        </is>
      </c>
      <c r="K132" s="156">
        <f>IF(AND(F132=0,I132=0),"",IF(F132&gt;I132,B132&amp;E132,IF(F132&lt;I132,B132&amp;H132,"Tie")))</f>
        <v/>
      </c>
      <c r="L132" s="156">
        <f>IFERROR(IF(AND(B132&lt;$L$1,F132&gt;I132),"Win",IF(AND(B132&lt;$L$1,F132&lt;I132),"Loss","")),"")</f>
        <v/>
      </c>
      <c r="M132" s="156">
        <f>IF(B132&lt;_CurWeek,"In","")</f>
        <v/>
      </c>
      <c r="N132" s="156">
        <f>IF(M132="In",E132&amp;G132,"")</f>
        <v/>
      </c>
      <c r="O132" s="156">
        <f>IF(L132="Win",1,0)</f>
        <v/>
      </c>
      <c r="U132" s="172" t="n"/>
    </row>
    <row r="133" ht="14.4" customHeight="1" s="152">
      <c r="A133" s="167">
        <f>B133&amp;E133</f>
        <v/>
      </c>
      <c r="B133" s="168" t="n">
        <v>9</v>
      </c>
      <c r="C133" s="168" t="inlineStr">
        <is>
          <t>Sunday</t>
        </is>
      </c>
      <c r="D133" s="169" t="inlineStr">
        <is>
          <t>2025-11-02</t>
        </is>
      </c>
      <c r="E133" s="168" t="inlineStr">
        <is>
          <t>Jacksonville Jaguars</t>
        </is>
      </c>
      <c r="F133" s="156" t="n"/>
      <c r="G133" s="168" t="inlineStr">
        <is>
          <t>Away</t>
        </is>
      </c>
      <c r="H133" s="170" t="inlineStr">
        <is>
          <t>Las Vegas Raiders</t>
        </is>
      </c>
      <c r="J133" s="171" t="inlineStr">
        <is>
          <t>04:05 PM</t>
        </is>
      </c>
      <c r="K133" s="156">
        <f>IF(AND(F133=0,I133=0),"",IF(F133&gt;I133,B133&amp;E133,IF(F133&lt;I133,B133&amp;H133,"Tie")))</f>
        <v/>
      </c>
      <c r="L133" s="156">
        <f>IFERROR(IF(AND(B133&lt;$L$1,F133&gt;I133),"Win",IF(AND(B133&lt;$L$1,F133&lt;I133),"Loss","")),"")</f>
        <v/>
      </c>
      <c r="M133" s="156">
        <f>IF(B133&lt;_CurWeek,"In","")</f>
        <v/>
      </c>
      <c r="N133" s="156">
        <f>IF(M133="In",E133&amp;G133,"")</f>
        <v/>
      </c>
      <c r="O133" s="156">
        <f>IF(L133="Win",1,0)</f>
        <v/>
      </c>
      <c r="U133" s="172" t="n"/>
    </row>
    <row r="134" ht="14.4" customHeight="1" s="152">
      <c r="A134" s="167">
        <f>B134&amp;E134</f>
        <v/>
      </c>
      <c r="B134" s="168" t="n">
        <v>9</v>
      </c>
      <c r="C134" s="168" t="inlineStr">
        <is>
          <t>Sunday</t>
        </is>
      </c>
      <c r="D134" s="169" t="inlineStr">
        <is>
          <t>2025-11-02</t>
        </is>
      </c>
      <c r="E134" s="168" t="inlineStr">
        <is>
          <t>Kansas City Chiefs</t>
        </is>
      </c>
      <c r="F134" s="156" t="n"/>
      <c r="G134" s="168" t="inlineStr">
        <is>
          <t>Away</t>
        </is>
      </c>
      <c r="H134" s="170" t="inlineStr">
        <is>
          <t>Buffalo Bills</t>
        </is>
      </c>
      <c r="J134" s="171" t="inlineStr">
        <is>
          <t>04:25 PM</t>
        </is>
      </c>
      <c r="K134" s="156">
        <f>IF(AND(F134=0,I134=0),"",IF(F134&gt;I134,B134&amp;E134,IF(F134&lt;I134,B134&amp;H134,"Tie")))</f>
        <v/>
      </c>
      <c r="L134" s="156">
        <f>IFERROR(IF(AND(B134&lt;$L$1,F134&gt;I134),"Win",IF(AND(B134&lt;$L$1,F134&lt;I134),"Loss","")),"")</f>
        <v/>
      </c>
      <c r="M134" s="156">
        <f>IF(B134&lt;_CurWeek,"In","")</f>
        <v/>
      </c>
      <c r="N134" s="156">
        <f>IF(M134="In",E134&amp;G134,"")</f>
        <v/>
      </c>
      <c r="O134" s="156">
        <f>IF(L134="Win",1,0)</f>
        <v/>
      </c>
      <c r="U134" s="172" t="n"/>
    </row>
    <row r="135" ht="14.4" customHeight="1" s="152">
      <c r="A135" s="167">
        <f>B135&amp;E135</f>
        <v/>
      </c>
      <c r="B135" s="168" t="n">
        <v>9</v>
      </c>
      <c r="C135" s="168" t="inlineStr">
        <is>
          <t>Sunday</t>
        </is>
      </c>
      <c r="D135" s="169" t="inlineStr">
        <is>
          <t>2025-11-02</t>
        </is>
      </c>
      <c r="E135" s="168" t="inlineStr">
        <is>
          <t>Seattle Seahawks</t>
        </is>
      </c>
      <c r="F135" s="156" t="n"/>
      <c r="G135" s="168" t="inlineStr">
        <is>
          <t>Away</t>
        </is>
      </c>
      <c r="H135" s="170" t="inlineStr">
        <is>
          <t>Washington Commanders</t>
        </is>
      </c>
      <c r="J135" s="171" t="inlineStr">
        <is>
          <t>08:20 PM</t>
        </is>
      </c>
      <c r="K135" s="156">
        <f>IF(AND(F135=0,I135=0),"",IF(F135&gt;I135,B135&amp;E135,IF(F135&lt;I135,B135&amp;H135,"Tie")))</f>
        <v/>
      </c>
      <c r="L135" s="156">
        <f>IFERROR(IF(AND(B135&lt;$L$1,F135&gt;I135),"Win",IF(AND(B135&lt;$L$1,F135&lt;I135),"Loss","")),"")</f>
        <v/>
      </c>
      <c r="M135" s="156">
        <f>IF(B135&lt;_CurWeek,"In","")</f>
        <v/>
      </c>
      <c r="N135" s="156">
        <f>IF(M135="In",E135&amp;G135,"")</f>
        <v/>
      </c>
      <c r="O135" s="156">
        <f>IF(L135="Win",1,0)</f>
        <v/>
      </c>
      <c r="U135" s="172" t="n"/>
    </row>
    <row r="136" ht="14.4" customHeight="1" s="152">
      <c r="A136" s="167">
        <f>B136&amp;E136</f>
        <v/>
      </c>
      <c r="B136" s="168" t="n">
        <v>9</v>
      </c>
      <c r="C136" s="168" t="inlineStr">
        <is>
          <t>Monday</t>
        </is>
      </c>
      <c r="D136" s="169" t="inlineStr">
        <is>
          <t>2025-11-03</t>
        </is>
      </c>
      <c r="E136" s="168" t="inlineStr">
        <is>
          <t>Arizona Cardinals</t>
        </is>
      </c>
      <c r="F136" s="156" t="n"/>
      <c r="G136" s="168" t="inlineStr">
        <is>
          <t>Away</t>
        </is>
      </c>
      <c r="H136" s="170" t="inlineStr">
        <is>
          <t>Dallas Cowboys</t>
        </is>
      </c>
      <c r="J136" s="171" t="inlineStr">
        <is>
          <t>08:15 PM</t>
        </is>
      </c>
      <c r="K136" s="156">
        <f>IF(AND(F136=0,I136=0),"",IF(F136&gt;I136,B136&amp;E136,IF(F136&lt;I136,B136&amp;H136,"Tie")))</f>
        <v/>
      </c>
      <c r="L136" s="156">
        <f>IFERROR(IF(AND(B136&lt;$L$1,F136&gt;I136),"Win",IF(AND(B136&lt;$L$1,F136&lt;I136),"Loss","")),"")</f>
        <v/>
      </c>
      <c r="M136" s="156">
        <f>IF(B136&lt;_CurWeek,"In","")</f>
        <v/>
      </c>
      <c r="N136" s="156">
        <f>IF(M136="In",E136&amp;G136,"")</f>
        <v/>
      </c>
      <c r="O136" s="156">
        <f>IF(L136="Win",1,0)</f>
        <v/>
      </c>
      <c r="U136" s="172" t="n"/>
    </row>
    <row r="137" ht="14.4" customHeight="1" s="152">
      <c r="A137" s="167">
        <f>B137&amp;E137</f>
        <v/>
      </c>
      <c r="B137" s="168" t="n">
        <v>10</v>
      </c>
      <c r="C137" s="168" t="inlineStr">
        <is>
          <t>Thursday</t>
        </is>
      </c>
      <c r="D137" s="169" t="inlineStr">
        <is>
          <t>2025-11-06</t>
        </is>
      </c>
      <c r="E137" s="168" t="inlineStr">
        <is>
          <t>Las Vegas Raiders</t>
        </is>
      </c>
      <c r="F137" s="156" t="n"/>
      <c r="G137" s="168" t="inlineStr">
        <is>
          <t>Away</t>
        </is>
      </c>
      <c r="H137" s="170" t="inlineStr">
        <is>
          <t>Denver Broncos</t>
        </is>
      </c>
      <c r="J137" s="171" t="inlineStr">
        <is>
          <t>08:15 PM</t>
        </is>
      </c>
      <c r="K137" s="156">
        <f>IF(AND(F137=0,I137=0),"",IF(F137&gt;I137,B137&amp;E137,IF(F137&lt;I137,B137&amp;H137,"Tie")))</f>
        <v/>
      </c>
      <c r="L137" s="156">
        <f>IFERROR(IF(AND(B137&lt;$L$1,F137&gt;I137),"Win",IF(AND(B137&lt;$L$1,F137&lt;I137),"Loss","")),"")</f>
        <v/>
      </c>
      <c r="M137" s="156">
        <f>IF(B137&lt;_CurWeek,"In","")</f>
        <v/>
      </c>
      <c r="N137" s="156">
        <f>IF(M137="In",E137&amp;G137,"")</f>
        <v/>
      </c>
      <c r="O137" s="156">
        <f>IF(L137="Win",1,0)</f>
        <v/>
      </c>
      <c r="U137" s="172" t="n"/>
    </row>
    <row r="138" ht="14.4" customHeight="1" s="152">
      <c r="A138" s="167">
        <f>B138&amp;E138</f>
        <v/>
      </c>
      <c r="B138" s="168" t="n">
        <v>10</v>
      </c>
      <c r="C138" s="168" t="inlineStr">
        <is>
          <t>Sunday</t>
        </is>
      </c>
      <c r="D138" s="169" t="inlineStr">
        <is>
          <t>2025-11-09</t>
        </is>
      </c>
      <c r="E138" s="168" t="inlineStr">
        <is>
          <t>Atlanta Falcons</t>
        </is>
      </c>
      <c r="F138" s="156" t="n"/>
      <c r="G138" s="168" t="inlineStr">
        <is>
          <t>Away</t>
        </is>
      </c>
      <c r="H138" s="170" t="inlineStr">
        <is>
          <t>Indianapolis Colts</t>
        </is>
      </c>
      <c r="J138" s="171" t="inlineStr">
        <is>
          <t>09:30 AM</t>
        </is>
      </c>
      <c r="K138" s="156">
        <f>IF(AND(F138=0,I138=0),"",IF(F138&gt;I138,B138&amp;E138,IF(F138&lt;I138,B138&amp;H138,"Tie")))</f>
        <v/>
      </c>
      <c r="L138" s="156">
        <f>IFERROR(IF(AND(B138&lt;$L$1,F138&gt;I138),"Win",IF(AND(B138&lt;$L$1,F138&lt;I138),"Loss","")),"")</f>
        <v/>
      </c>
      <c r="M138" s="156">
        <f>IF(B138&lt;_CurWeek,"In","")</f>
        <v/>
      </c>
      <c r="N138" s="156">
        <f>IF(M138="In",E138&amp;G138,"")</f>
        <v/>
      </c>
      <c r="O138" s="156">
        <f>IF(L138="Win",1,0)</f>
        <v/>
      </c>
      <c r="U138" s="172" t="n"/>
    </row>
    <row r="139" ht="14.4" customHeight="1" s="152">
      <c r="A139" s="167">
        <f>B139&amp;E139</f>
        <v/>
      </c>
      <c r="B139" s="168" t="n">
        <v>10</v>
      </c>
      <c r="C139" s="168" t="inlineStr">
        <is>
          <t>Sunday</t>
        </is>
      </c>
      <c r="D139" s="169" t="inlineStr">
        <is>
          <t>2025-11-09</t>
        </is>
      </c>
      <c r="E139" s="168" t="inlineStr">
        <is>
          <t>New Orleans Saints</t>
        </is>
      </c>
      <c r="F139" s="156" t="n"/>
      <c r="G139" s="168" t="inlineStr">
        <is>
          <t>Away</t>
        </is>
      </c>
      <c r="H139" s="170" t="inlineStr">
        <is>
          <t>Carolina Panthers</t>
        </is>
      </c>
      <c r="J139" s="171" t="inlineStr">
        <is>
          <t>01:00 PM</t>
        </is>
      </c>
      <c r="K139" s="156">
        <f>IF(AND(F139=0,I139=0),"",IF(F139&gt;I139,B139&amp;E139,IF(F139&lt;I139,B139&amp;H139,"Tie")))</f>
        <v/>
      </c>
      <c r="L139" s="156">
        <f>IFERROR(IF(AND(B139&lt;$L$1,F139&gt;I139),"Win",IF(AND(B139&lt;$L$1,F139&lt;I139),"Loss","")),"")</f>
        <v/>
      </c>
      <c r="M139" s="156">
        <f>IF(B139&lt;_CurWeek,"In","")</f>
        <v/>
      </c>
      <c r="N139" s="156">
        <f>IF(M139="In",E139&amp;G139,"")</f>
        <v/>
      </c>
      <c r="O139" s="156">
        <f>IF(L139="Win",1,0)</f>
        <v/>
      </c>
      <c r="U139" s="172" t="n"/>
    </row>
    <row r="140" ht="14.4" customHeight="1" s="152">
      <c r="A140" s="167">
        <f>B140&amp;E140</f>
        <v/>
      </c>
      <c r="B140" s="168" t="n">
        <v>10</v>
      </c>
      <c r="C140" s="168" t="inlineStr">
        <is>
          <t>Sunday</t>
        </is>
      </c>
      <c r="D140" s="169" t="inlineStr">
        <is>
          <t>2025-11-09</t>
        </is>
      </c>
      <c r="E140" s="168" t="inlineStr">
        <is>
          <t>New York Giants</t>
        </is>
      </c>
      <c r="F140" s="156" t="n"/>
      <c r="G140" s="168" t="inlineStr">
        <is>
          <t>Away</t>
        </is>
      </c>
      <c r="H140" s="170" t="inlineStr">
        <is>
          <t>Chicago Bears</t>
        </is>
      </c>
      <c r="J140" s="171" t="inlineStr">
        <is>
          <t>01:00 PM</t>
        </is>
      </c>
      <c r="K140" s="156">
        <f>IF(AND(F140=0,I140=0),"",IF(F140&gt;I140,B140&amp;E140,IF(F140&lt;I140,B140&amp;H140,"Tie")))</f>
        <v/>
      </c>
      <c r="L140" s="156">
        <f>IFERROR(IF(AND(B140&lt;$L$1,F140&gt;I140),"Win",IF(AND(B140&lt;$L$1,F140&lt;I140),"Loss","")),"")</f>
        <v/>
      </c>
      <c r="M140" s="156">
        <f>IF(B140&lt;_CurWeek,"In","")</f>
        <v/>
      </c>
      <c r="N140" s="156">
        <f>IF(M140="In",E140&amp;G140,"")</f>
        <v/>
      </c>
      <c r="O140" s="156">
        <f>IF(L140="Win",1,0)</f>
        <v/>
      </c>
      <c r="U140" s="172" t="n"/>
    </row>
    <row r="141" ht="14.4" customHeight="1" s="152">
      <c r="A141" s="167">
        <f>B141&amp;E141</f>
        <v/>
      </c>
      <c r="B141" s="168" t="n">
        <v>10</v>
      </c>
      <c r="C141" s="168" t="inlineStr">
        <is>
          <t>Sunday</t>
        </is>
      </c>
      <c r="D141" s="169" t="inlineStr">
        <is>
          <t>2025-11-09</t>
        </is>
      </c>
      <c r="E141" s="168" t="inlineStr">
        <is>
          <t>Jacksonville Jaguars</t>
        </is>
      </c>
      <c r="F141" s="156" t="n"/>
      <c r="G141" s="168" t="inlineStr">
        <is>
          <t>Away</t>
        </is>
      </c>
      <c r="H141" s="170" t="inlineStr">
        <is>
          <t>Houston Texans</t>
        </is>
      </c>
      <c r="J141" s="171" t="inlineStr">
        <is>
          <t>01:00 PM</t>
        </is>
      </c>
      <c r="K141" s="156">
        <f>IF(AND(F141=0,I141=0),"",IF(F141&gt;I141,B141&amp;E141,IF(F141&lt;I141,B141&amp;H141,"Tie")))</f>
        <v/>
      </c>
      <c r="L141" s="156">
        <f>IFERROR(IF(AND(B141&lt;$L$1,F141&gt;I141),"Win",IF(AND(B141&lt;$L$1,F141&lt;I141),"Loss","")),"")</f>
        <v/>
      </c>
      <c r="M141" s="156">
        <f>IF(B141&lt;_CurWeek,"In","")</f>
        <v/>
      </c>
      <c r="N141" s="156">
        <f>IF(M141="In",E141&amp;G141,"")</f>
        <v/>
      </c>
      <c r="O141" s="156">
        <f>IF(L141="Win",1,0)</f>
        <v/>
      </c>
      <c r="U141" s="172" t="n"/>
    </row>
    <row r="142" ht="14.4" customHeight="1" s="152">
      <c r="A142" s="167">
        <f>B142&amp;E142</f>
        <v/>
      </c>
      <c r="B142" s="168" t="n">
        <v>10</v>
      </c>
      <c r="C142" s="168" t="inlineStr">
        <is>
          <t>Sunday</t>
        </is>
      </c>
      <c r="D142" s="169" t="inlineStr">
        <is>
          <t>2025-11-09</t>
        </is>
      </c>
      <c r="E142" s="168" t="inlineStr">
        <is>
          <t>Buffalo Bills</t>
        </is>
      </c>
      <c r="F142" s="156" t="n"/>
      <c r="G142" s="168" t="inlineStr">
        <is>
          <t>Away</t>
        </is>
      </c>
      <c r="H142" s="170" t="inlineStr">
        <is>
          <t>Miami Dolphins</t>
        </is>
      </c>
      <c r="J142" s="171" t="inlineStr">
        <is>
          <t>01:00 PM</t>
        </is>
      </c>
      <c r="K142" s="156">
        <f>IF(AND(F142=0,I142=0),"",IF(F142&gt;I142,B142&amp;E142,IF(F142&lt;I142,B142&amp;H142,"Tie")))</f>
        <v/>
      </c>
      <c r="L142" s="156">
        <f>IFERROR(IF(AND(B142&lt;$L$1,F142&gt;I142),"Win",IF(AND(B142&lt;$L$1,F142&lt;I142),"Loss","")),"")</f>
        <v/>
      </c>
      <c r="M142" s="156">
        <f>IF(B142&lt;_CurWeek,"In","")</f>
        <v/>
      </c>
      <c r="N142" s="156">
        <f>IF(M142="In",E142&amp;G142,"")</f>
        <v/>
      </c>
      <c r="O142" s="156">
        <f>IF(L142="Win",1,0)</f>
        <v/>
      </c>
      <c r="U142" s="172" t="n"/>
    </row>
    <row r="143" ht="14.4" customHeight="1" s="152">
      <c r="A143" s="167">
        <f>B143&amp;E143</f>
        <v/>
      </c>
      <c r="B143" s="168" t="n">
        <v>10</v>
      </c>
      <c r="C143" s="168" t="inlineStr">
        <is>
          <t>Sunday</t>
        </is>
      </c>
      <c r="D143" s="169" t="inlineStr">
        <is>
          <t>2025-11-09</t>
        </is>
      </c>
      <c r="E143" s="168" t="inlineStr">
        <is>
          <t>Baltimore Ravens</t>
        </is>
      </c>
      <c r="F143" s="156" t="n"/>
      <c r="G143" s="168" t="inlineStr">
        <is>
          <t>Away</t>
        </is>
      </c>
      <c r="H143" s="170" t="inlineStr">
        <is>
          <t>Minnesota Vikings</t>
        </is>
      </c>
      <c r="J143" s="171" t="inlineStr">
        <is>
          <t>01:00 PM</t>
        </is>
      </c>
      <c r="K143" s="156">
        <f>IF(AND(F143=0,I143=0),"",IF(F143&gt;I143,B143&amp;E143,IF(F143&lt;I143,B143&amp;H143,"Tie")))</f>
        <v/>
      </c>
      <c r="L143" s="156">
        <f>IFERROR(IF(AND(B143&lt;$L$1,F143&gt;I143),"Win",IF(AND(B143&lt;$L$1,F143&lt;I143),"Loss","")),"")</f>
        <v/>
      </c>
      <c r="M143" s="156">
        <f>IF(B143&lt;_CurWeek,"In","")</f>
        <v/>
      </c>
      <c r="N143" s="156">
        <f>IF(M143="In",E143&amp;G143,"")</f>
        <v/>
      </c>
      <c r="O143" s="156">
        <f>IF(L143="Win",1,0)</f>
        <v/>
      </c>
      <c r="U143" s="172" t="n"/>
    </row>
    <row r="144" ht="14.4" customHeight="1" s="152">
      <c r="A144" s="167">
        <f>B144&amp;E144</f>
        <v/>
      </c>
      <c r="B144" s="168" t="n">
        <v>10</v>
      </c>
      <c r="C144" s="168" t="inlineStr">
        <is>
          <t>Sunday</t>
        </is>
      </c>
      <c r="D144" s="169" t="inlineStr">
        <is>
          <t>2025-11-09</t>
        </is>
      </c>
      <c r="E144" s="168" t="inlineStr">
        <is>
          <t>Cleveland Browns</t>
        </is>
      </c>
      <c r="F144" s="156" t="n"/>
      <c r="G144" s="168" t="inlineStr">
        <is>
          <t>Away</t>
        </is>
      </c>
      <c r="H144" s="170" t="inlineStr">
        <is>
          <t>New York Jets</t>
        </is>
      </c>
      <c r="J144" s="171" t="inlineStr">
        <is>
          <t>01:00 PM</t>
        </is>
      </c>
      <c r="K144" s="156">
        <f>IF(AND(F144=0,I144=0),"",IF(F144&gt;I144,B144&amp;E144,IF(F144&lt;I144,B144&amp;H144,"Tie")))</f>
        <v/>
      </c>
      <c r="L144" s="156">
        <f>IFERROR(IF(AND(B144&lt;$L$1,F144&gt;I144),"Win",IF(AND(B144&lt;$L$1,F144&lt;I144),"Loss","")),"")</f>
        <v/>
      </c>
      <c r="M144" s="156">
        <f>IF(B144&lt;_CurWeek,"In","")</f>
        <v/>
      </c>
      <c r="N144" s="156">
        <f>IF(M144="In",E144&amp;G144,"")</f>
        <v/>
      </c>
      <c r="O144" s="156">
        <f>IF(L144="Win",1,0)</f>
        <v/>
      </c>
      <c r="U144" s="172" t="n"/>
    </row>
    <row r="145" ht="14.4" customHeight="1" s="152">
      <c r="A145" s="167">
        <f>B145&amp;E145</f>
        <v/>
      </c>
      <c r="B145" s="168" t="n">
        <v>10</v>
      </c>
      <c r="C145" s="168" t="inlineStr">
        <is>
          <t>Sunday</t>
        </is>
      </c>
      <c r="D145" s="169" t="inlineStr">
        <is>
          <t>2025-11-09</t>
        </is>
      </c>
      <c r="E145" s="168" t="inlineStr">
        <is>
          <t>New England Patriots</t>
        </is>
      </c>
      <c r="F145" s="156" t="n"/>
      <c r="G145" s="168" t="inlineStr">
        <is>
          <t>Away</t>
        </is>
      </c>
      <c r="H145" s="170" t="inlineStr">
        <is>
          <t>Tampa Bay Buccaneers</t>
        </is>
      </c>
      <c r="J145" s="171" t="inlineStr">
        <is>
          <t>01:00 PM</t>
        </is>
      </c>
      <c r="K145" s="156">
        <f>IF(AND(F145=0,I145=0),"",IF(F145&gt;I145,B145&amp;E145,IF(F145&lt;I145,B145&amp;H145,"Tie")))</f>
        <v/>
      </c>
      <c r="L145" s="156">
        <f>IFERROR(IF(AND(B145&lt;$L$1,F145&gt;I145),"Win",IF(AND(B145&lt;$L$1,F145&lt;I145),"Loss","")),"")</f>
        <v/>
      </c>
      <c r="M145" s="156">
        <f>IF(B145&lt;_CurWeek,"In","")</f>
        <v/>
      </c>
      <c r="N145" s="156">
        <f>IF(M145="In",E145&amp;G145,"")</f>
        <v/>
      </c>
      <c r="O145" s="156">
        <f>IF(L145="Win",1,0)</f>
        <v/>
      </c>
      <c r="U145" s="172" t="n"/>
    </row>
    <row r="146" ht="14.4" customHeight="1" s="152">
      <c r="A146" s="167">
        <f>B146&amp;E146</f>
        <v/>
      </c>
      <c r="B146" s="168" t="n">
        <v>10</v>
      </c>
      <c r="C146" s="168" t="inlineStr">
        <is>
          <t>Sunday</t>
        </is>
      </c>
      <c r="D146" s="169" t="inlineStr">
        <is>
          <t>2025-11-09</t>
        </is>
      </c>
      <c r="E146" s="168" t="inlineStr">
        <is>
          <t>Arizona Cardinals</t>
        </is>
      </c>
      <c r="F146" s="156" t="n"/>
      <c r="G146" s="168" t="inlineStr">
        <is>
          <t>Away</t>
        </is>
      </c>
      <c r="H146" s="170" t="inlineStr">
        <is>
          <t>Seattle Seahawks</t>
        </is>
      </c>
      <c r="J146" s="171" t="inlineStr">
        <is>
          <t>04:05 PM</t>
        </is>
      </c>
      <c r="K146" s="156">
        <f>IF(AND(F146=0,I146=0),"",IF(F146&gt;I146,B146&amp;E146,IF(F146&lt;I146,B146&amp;H146,"Tie")))</f>
        <v/>
      </c>
      <c r="L146" s="156">
        <f>IFERROR(IF(AND(B146&lt;$L$1,F146&gt;I146),"Win",IF(AND(B146&lt;$L$1,F146&lt;I146),"Loss","")),"")</f>
        <v/>
      </c>
      <c r="M146" s="156">
        <f>IF(B146&lt;_CurWeek,"In","")</f>
        <v/>
      </c>
      <c r="N146" s="156">
        <f>IF(M146="In",E146&amp;G146,"")</f>
        <v/>
      </c>
      <c r="O146" s="156">
        <f>IF(L146="Win",1,0)</f>
        <v/>
      </c>
      <c r="U146" s="172" t="n"/>
    </row>
    <row r="147" ht="14.4" customHeight="1" s="152">
      <c r="A147" s="167">
        <f>B147&amp;E147</f>
        <v/>
      </c>
      <c r="B147" s="168" t="n">
        <v>10</v>
      </c>
      <c r="C147" s="168" t="inlineStr">
        <is>
          <t>Sunday</t>
        </is>
      </c>
      <c r="D147" s="169" t="inlineStr">
        <is>
          <t>2025-11-09</t>
        </is>
      </c>
      <c r="E147" s="168" t="inlineStr">
        <is>
          <t>Los Angeles Rams</t>
        </is>
      </c>
      <c r="F147" s="156" t="n"/>
      <c r="G147" s="168" t="inlineStr">
        <is>
          <t>Away</t>
        </is>
      </c>
      <c r="H147" s="170" t="inlineStr">
        <is>
          <t>San Francisco 49ers</t>
        </is>
      </c>
      <c r="J147" s="171" t="inlineStr">
        <is>
          <t>04:25 PM</t>
        </is>
      </c>
      <c r="K147" s="156">
        <f>IF(AND(F147=0,I147=0),"",IF(F147&gt;I147,B147&amp;E147,IF(F147&lt;I147,B147&amp;H147,"Tie")))</f>
        <v/>
      </c>
      <c r="L147" s="156">
        <f>IFERROR(IF(AND(B147&lt;$L$1,F147&gt;I147),"Win",IF(AND(B147&lt;$L$1,F147&lt;I147),"Loss","")),"")</f>
        <v/>
      </c>
      <c r="M147" s="156">
        <f>IF(B147&lt;_CurWeek,"In","")</f>
        <v/>
      </c>
      <c r="N147" s="156">
        <f>IF(M147="In",E147&amp;G147,"")</f>
        <v/>
      </c>
      <c r="O147" s="156">
        <f>IF(L147="Win",1,0)</f>
        <v/>
      </c>
      <c r="U147" s="172" t="n"/>
    </row>
    <row r="148" ht="14.4" customHeight="1" s="152">
      <c r="A148" s="167">
        <f>B148&amp;E148</f>
        <v/>
      </c>
      <c r="B148" s="168" t="n">
        <v>10</v>
      </c>
      <c r="C148" s="168" t="inlineStr">
        <is>
          <t>Sunday</t>
        </is>
      </c>
      <c r="D148" s="169" t="inlineStr">
        <is>
          <t>2025-11-09</t>
        </is>
      </c>
      <c r="E148" s="168" t="inlineStr">
        <is>
          <t>Detroit Lions</t>
        </is>
      </c>
      <c r="F148" s="156" t="n"/>
      <c r="G148" s="168" t="inlineStr">
        <is>
          <t>Away</t>
        </is>
      </c>
      <c r="H148" s="170" t="inlineStr">
        <is>
          <t>Washington Commanders</t>
        </is>
      </c>
      <c r="J148" s="171" t="inlineStr">
        <is>
          <t>04:25 PM</t>
        </is>
      </c>
      <c r="K148" s="156">
        <f>IF(AND(F148=0,I148=0),"",IF(F148&gt;I148,B148&amp;E148,IF(F148&lt;I148,B148&amp;H148,"Tie")))</f>
        <v/>
      </c>
      <c r="L148" s="156">
        <f>IFERROR(IF(AND(B148&lt;$L$1,F148&gt;I148),"Win",IF(AND(B148&lt;$L$1,F148&lt;I148),"Loss","")),"")</f>
        <v/>
      </c>
      <c r="M148" s="156">
        <f>IF(B148&lt;_CurWeek,"In","")</f>
        <v/>
      </c>
      <c r="N148" s="156">
        <f>IF(M148="In",E148&amp;G148,"")</f>
        <v/>
      </c>
      <c r="O148" s="156">
        <f>IF(L148="Win",1,0)</f>
        <v/>
      </c>
      <c r="U148" s="172" t="n"/>
    </row>
    <row r="149" ht="14.4" customHeight="1" s="152">
      <c r="A149" s="167">
        <f>B149&amp;E149</f>
        <v/>
      </c>
      <c r="B149" s="168" t="n">
        <v>10</v>
      </c>
      <c r="C149" s="168" t="inlineStr">
        <is>
          <t>Sunday</t>
        </is>
      </c>
      <c r="D149" s="169" t="inlineStr">
        <is>
          <t>2025-11-09</t>
        </is>
      </c>
      <c r="E149" s="168" t="inlineStr">
        <is>
          <t>Pittsburgh Steelers</t>
        </is>
      </c>
      <c r="F149" s="156" t="n"/>
      <c r="G149" s="168" t="inlineStr">
        <is>
          <t>Away</t>
        </is>
      </c>
      <c r="H149" s="170" t="inlineStr">
        <is>
          <t>Los Angeles Chargers</t>
        </is>
      </c>
      <c r="J149" s="171" t="inlineStr">
        <is>
          <t>08:20 PM</t>
        </is>
      </c>
      <c r="K149" s="156">
        <f>IF(AND(F149=0,I149=0),"",IF(F149&gt;I149,B149&amp;E149,IF(F149&lt;I149,B149&amp;H149,"Tie")))</f>
        <v/>
      </c>
      <c r="L149" s="156">
        <f>IFERROR(IF(AND(B149&lt;$L$1,F149&gt;I149),"Win",IF(AND(B149&lt;$L$1,F149&lt;I149),"Loss","")),"")</f>
        <v/>
      </c>
      <c r="M149" s="156">
        <f>IF(B149&lt;_CurWeek,"In","")</f>
        <v/>
      </c>
      <c r="N149" s="156">
        <f>IF(M149="In",E149&amp;G149,"")</f>
        <v/>
      </c>
      <c r="O149" s="156">
        <f>IF(L149="Win",1,0)</f>
        <v/>
      </c>
      <c r="U149" s="172" t="n"/>
    </row>
    <row r="150" ht="14.4" customHeight="1" s="152">
      <c r="A150" s="167">
        <f>B150&amp;E150</f>
        <v/>
      </c>
      <c r="B150" s="168" t="n">
        <v>10</v>
      </c>
      <c r="C150" s="168" t="inlineStr">
        <is>
          <t>Monday</t>
        </is>
      </c>
      <c r="D150" s="169" t="inlineStr">
        <is>
          <t>2025-11-10</t>
        </is>
      </c>
      <c r="E150" s="168" t="inlineStr">
        <is>
          <t>Philadelphia Eagles</t>
        </is>
      </c>
      <c r="F150" s="156" t="n"/>
      <c r="G150" s="168" t="inlineStr">
        <is>
          <t>Away</t>
        </is>
      </c>
      <c r="H150" s="170" t="inlineStr">
        <is>
          <t>Green Bay Packers</t>
        </is>
      </c>
      <c r="J150" s="171" t="inlineStr">
        <is>
          <t>08:15 PM</t>
        </is>
      </c>
      <c r="K150" s="156">
        <f>IF(AND(F150=0,I150=0),"",IF(F150&gt;I150,B150&amp;E150,IF(F150&lt;I150,B150&amp;H150,"Tie")))</f>
        <v/>
      </c>
      <c r="L150" s="156">
        <f>IFERROR(IF(AND(B150&lt;$L$1,F150&gt;I150),"Win",IF(AND(B150&lt;$L$1,F150&lt;I150),"Loss","")),"")</f>
        <v/>
      </c>
      <c r="M150" s="156">
        <f>IF(B150&lt;_CurWeek,"In","")</f>
        <v/>
      </c>
      <c r="N150" s="156">
        <f>IF(M150="In",E150&amp;G150,"")</f>
        <v/>
      </c>
      <c r="O150" s="156">
        <f>IF(L150="Win",1,0)</f>
        <v/>
      </c>
      <c r="U150" s="172" t="n"/>
    </row>
    <row r="151" ht="14.4" customHeight="1" s="152">
      <c r="A151" s="167">
        <f>B151&amp;E151</f>
        <v/>
      </c>
      <c r="B151" s="168" t="n">
        <v>11</v>
      </c>
      <c r="C151" s="168" t="inlineStr">
        <is>
          <t>Thursday</t>
        </is>
      </c>
      <c r="D151" s="169" t="inlineStr">
        <is>
          <t>2025-11-13</t>
        </is>
      </c>
      <c r="E151" s="168" t="inlineStr">
        <is>
          <t>New York Jets</t>
        </is>
      </c>
      <c r="F151" s="156" t="n"/>
      <c r="G151" s="168" t="inlineStr">
        <is>
          <t>Away</t>
        </is>
      </c>
      <c r="H151" s="170" t="inlineStr">
        <is>
          <t>New England Patriots</t>
        </is>
      </c>
      <c r="J151" s="171" t="inlineStr">
        <is>
          <t>08:15 PM</t>
        </is>
      </c>
      <c r="K151" s="156">
        <f>IF(AND(F151=0,I151=0),"",IF(F151&gt;I151,B151&amp;E151,IF(F151&lt;I151,B151&amp;H151,"Tie")))</f>
        <v/>
      </c>
      <c r="L151" s="156">
        <f>IFERROR(IF(AND(B151&lt;$L$1,F151&gt;I151),"Win",IF(AND(B151&lt;$L$1,F151&lt;I151),"Loss","")),"")</f>
        <v/>
      </c>
      <c r="M151" s="156">
        <f>IF(B151&lt;_CurWeek,"In","")</f>
        <v/>
      </c>
      <c r="N151" s="156">
        <f>IF(M151="In",E151&amp;G151,"")</f>
        <v/>
      </c>
      <c r="O151" s="156">
        <f>IF(L151="Win",1,0)</f>
        <v/>
      </c>
      <c r="U151" s="172" t="n"/>
    </row>
    <row r="152" ht="14.4" customHeight="1" s="152">
      <c r="A152" s="167">
        <f>B152&amp;E152</f>
        <v/>
      </c>
      <c r="B152" s="168" t="n">
        <v>11</v>
      </c>
      <c r="C152" s="168" t="inlineStr">
        <is>
          <t>Sunday</t>
        </is>
      </c>
      <c r="D152" s="169" t="inlineStr">
        <is>
          <t>2025-11-16</t>
        </is>
      </c>
      <c r="E152" s="168" t="inlineStr">
        <is>
          <t>Washington Commanders</t>
        </is>
      </c>
      <c r="F152" s="156" t="n"/>
      <c r="G152" s="168" t="inlineStr">
        <is>
          <t>Away</t>
        </is>
      </c>
      <c r="H152" s="170" t="inlineStr">
        <is>
          <t>Miami Dolphins</t>
        </is>
      </c>
      <c r="J152" s="171" t="inlineStr">
        <is>
          <t>09:30 AM</t>
        </is>
      </c>
      <c r="K152" s="156">
        <f>IF(AND(F152=0,I152=0),"",IF(F152&gt;I152,B152&amp;E152,IF(F152&lt;I152,B152&amp;H152,"Tie")))</f>
        <v/>
      </c>
      <c r="L152" s="156">
        <f>IFERROR(IF(AND(B152&lt;$L$1,F152&gt;I152),"Win",IF(AND(B152&lt;$L$1,F152&lt;I152),"Loss","")),"")</f>
        <v/>
      </c>
      <c r="M152" s="156">
        <f>IF(B152&lt;_CurWeek,"In","")</f>
        <v/>
      </c>
      <c r="N152" s="156">
        <f>IF(M152="In",E152&amp;G152,"")</f>
        <v/>
      </c>
      <c r="O152" s="156">
        <f>IF(L152="Win",1,0)</f>
        <v/>
      </c>
      <c r="U152" s="172" t="n"/>
    </row>
    <row r="153" ht="14.4" customHeight="1" s="152">
      <c r="A153" s="167">
        <f>B153&amp;E153</f>
        <v/>
      </c>
      <c r="B153" s="168" t="n">
        <v>11</v>
      </c>
      <c r="C153" s="168" t="inlineStr">
        <is>
          <t>Sunday</t>
        </is>
      </c>
      <c r="D153" s="169" t="inlineStr">
        <is>
          <t>2025-11-16</t>
        </is>
      </c>
      <c r="E153" s="168" t="inlineStr">
        <is>
          <t>Carolina Panthers</t>
        </is>
      </c>
      <c r="F153" s="156" t="n"/>
      <c r="G153" s="168" t="inlineStr">
        <is>
          <t>Away</t>
        </is>
      </c>
      <c r="H153" s="170" t="inlineStr">
        <is>
          <t>Atlanta Falcons</t>
        </is>
      </c>
      <c r="J153" s="171" t="inlineStr">
        <is>
          <t>01:00 PM</t>
        </is>
      </c>
      <c r="K153" s="156">
        <f>IF(AND(F153=0,I153=0),"",IF(F153&gt;I153,B153&amp;E153,IF(F153&lt;I153,B153&amp;H153,"Tie")))</f>
        <v/>
      </c>
      <c r="L153" s="156">
        <f>IFERROR(IF(AND(B153&lt;$L$1,F153&gt;I153),"Win",IF(AND(B153&lt;$L$1,F153&lt;I153),"Loss","")),"")</f>
        <v/>
      </c>
      <c r="M153" s="156">
        <f>IF(B153&lt;_CurWeek,"In","")</f>
        <v/>
      </c>
      <c r="N153" s="156">
        <f>IF(M153="In",E153&amp;G153,"")</f>
        <v/>
      </c>
      <c r="O153" s="156">
        <f>IF(L153="Win",1,0)</f>
        <v/>
      </c>
      <c r="U153" s="172" t="n"/>
    </row>
    <row r="154" ht="14.4" customHeight="1" s="152">
      <c r="A154" s="167">
        <f>B154&amp;E154</f>
        <v/>
      </c>
      <c r="B154" s="168" t="n">
        <v>11</v>
      </c>
      <c r="C154" s="168" t="inlineStr">
        <is>
          <t>Sunday</t>
        </is>
      </c>
      <c r="D154" s="169" t="inlineStr">
        <is>
          <t>2025-11-16</t>
        </is>
      </c>
      <c r="E154" s="168" t="inlineStr">
        <is>
          <t>Tampa Bay Buccaneers</t>
        </is>
      </c>
      <c r="F154" s="156" t="n"/>
      <c r="G154" s="168" t="inlineStr">
        <is>
          <t>Away</t>
        </is>
      </c>
      <c r="H154" s="170" t="inlineStr">
        <is>
          <t>Buffalo Bills</t>
        </is>
      </c>
      <c r="J154" s="171" t="inlineStr">
        <is>
          <t>01:00 PM</t>
        </is>
      </c>
      <c r="K154" s="156">
        <f>IF(AND(F154=0,I154=0),"",IF(F154&gt;I154,B154&amp;E154,IF(F154&lt;I154,B154&amp;H154,"Tie")))</f>
        <v/>
      </c>
      <c r="L154" s="156">
        <f>IFERROR(IF(AND(B154&lt;$L$1,F154&gt;I154),"Win",IF(AND(B154&lt;$L$1,F154&lt;I154),"Loss","")),"")</f>
        <v/>
      </c>
      <c r="M154" s="156">
        <f>IF(B154&lt;_CurWeek,"In","")</f>
        <v/>
      </c>
      <c r="N154" s="156">
        <f>IF(M154="In",E154&amp;G154,"")</f>
        <v/>
      </c>
      <c r="O154" s="156">
        <f>IF(L154="Win",1,0)</f>
        <v/>
      </c>
      <c r="U154" s="172" t="n"/>
    </row>
    <row r="155" ht="14.4" customHeight="1" s="152">
      <c r="A155" s="167">
        <f>B155&amp;E155</f>
        <v/>
      </c>
      <c r="B155" s="168" t="n">
        <v>11</v>
      </c>
      <c r="C155" s="168" t="inlineStr">
        <is>
          <t>Sunday</t>
        </is>
      </c>
      <c r="D155" s="169" t="inlineStr">
        <is>
          <t>2025-11-16</t>
        </is>
      </c>
      <c r="E155" s="168" t="inlineStr">
        <is>
          <t>Los Angeles Chargers</t>
        </is>
      </c>
      <c r="F155" s="156" t="n"/>
      <c r="G155" s="168" t="inlineStr">
        <is>
          <t>Away</t>
        </is>
      </c>
      <c r="H155" s="170" t="inlineStr">
        <is>
          <t>Jacksonville Jaguars</t>
        </is>
      </c>
      <c r="J155" s="171" t="inlineStr">
        <is>
          <t>01:00 PM</t>
        </is>
      </c>
      <c r="K155" s="156">
        <f>IF(AND(F155=0,I155=0),"",IF(F155&gt;I155,B155&amp;E155,IF(F155&lt;I155,B155&amp;H155,"Tie")))</f>
        <v/>
      </c>
      <c r="L155" s="156">
        <f>IFERROR(IF(AND(B155&lt;$L$1,F155&gt;I155),"Win",IF(AND(B155&lt;$L$1,F155&lt;I155),"Loss","")),"")</f>
        <v/>
      </c>
      <c r="M155" s="156">
        <f>IF(B155&lt;_CurWeek,"In","")</f>
        <v/>
      </c>
      <c r="N155" s="156">
        <f>IF(M155="In",E155&amp;G155,"")</f>
        <v/>
      </c>
      <c r="O155" s="156">
        <f>IF(L155="Win",1,0)</f>
        <v/>
      </c>
      <c r="U155" s="172" t="n"/>
    </row>
    <row r="156" ht="14.4" customHeight="1" s="152">
      <c r="A156" s="167">
        <f>B156&amp;E156</f>
        <v/>
      </c>
      <c r="B156" s="168" t="n">
        <v>11</v>
      </c>
      <c r="C156" s="168" t="inlineStr">
        <is>
          <t>Sunday</t>
        </is>
      </c>
      <c r="D156" s="169" t="inlineStr">
        <is>
          <t>2025-11-16</t>
        </is>
      </c>
      <c r="E156" s="168" t="inlineStr">
        <is>
          <t>Chicago Bears</t>
        </is>
      </c>
      <c r="F156" s="156" t="n"/>
      <c r="G156" s="168" t="inlineStr">
        <is>
          <t>Away</t>
        </is>
      </c>
      <c r="H156" s="170" t="inlineStr">
        <is>
          <t>Minnesota Vikings</t>
        </is>
      </c>
      <c r="J156" s="171" t="inlineStr">
        <is>
          <t>01:00 PM</t>
        </is>
      </c>
      <c r="K156" s="156">
        <f>IF(AND(F156=0,I156=0),"",IF(F156&gt;I156,B156&amp;E156,IF(F156&lt;I156,B156&amp;H156,"Tie")))</f>
        <v/>
      </c>
      <c r="L156" s="156">
        <f>IFERROR(IF(AND(B156&lt;$L$1,F156&gt;I156),"Win",IF(AND(B156&lt;$L$1,F156&lt;I156),"Loss","")),"")</f>
        <v/>
      </c>
      <c r="M156" s="156">
        <f>IF(B156&lt;_CurWeek,"In","")</f>
        <v/>
      </c>
      <c r="N156" s="156">
        <f>IF(M156="In",E156&amp;G156,"")</f>
        <v/>
      </c>
      <c r="O156" s="156">
        <f>IF(L156="Win",1,0)</f>
        <v/>
      </c>
      <c r="U156" s="172" t="n"/>
    </row>
    <row r="157" ht="14.4" customHeight="1" s="152">
      <c r="A157" s="167">
        <f>B157&amp;E157</f>
        <v/>
      </c>
      <c r="B157" s="168" t="n">
        <v>11</v>
      </c>
      <c r="C157" s="168" t="inlineStr">
        <is>
          <t>Sunday</t>
        </is>
      </c>
      <c r="D157" s="169" t="inlineStr">
        <is>
          <t>2025-11-16</t>
        </is>
      </c>
      <c r="E157" s="168" t="inlineStr">
        <is>
          <t>Green Bay Packers</t>
        </is>
      </c>
      <c r="F157" s="156" t="n"/>
      <c r="G157" s="168" t="inlineStr">
        <is>
          <t>Away</t>
        </is>
      </c>
      <c r="H157" s="170" t="inlineStr">
        <is>
          <t>New York Giants</t>
        </is>
      </c>
      <c r="J157" s="171" t="inlineStr">
        <is>
          <t>01:00 PM</t>
        </is>
      </c>
      <c r="K157" s="156">
        <f>IF(AND(F157=0,I157=0),"",IF(F157&gt;I157,B157&amp;E157,IF(F157&lt;I157,B157&amp;H157,"Tie")))</f>
        <v/>
      </c>
      <c r="L157" s="156">
        <f>IFERROR(IF(AND(B157&lt;$L$1,F157&gt;I157),"Win",IF(AND(B157&lt;$L$1,F157&lt;I157),"Loss","")),"")</f>
        <v/>
      </c>
      <c r="M157" s="156">
        <f>IF(B157&lt;_CurWeek,"In","")</f>
        <v/>
      </c>
      <c r="N157" s="156">
        <f>IF(M157="In",E157&amp;G157,"")</f>
        <v/>
      </c>
      <c r="O157" s="156">
        <f>IF(L157="Win",1,0)</f>
        <v/>
      </c>
      <c r="U157" s="172" t="n"/>
    </row>
    <row r="158" ht="14.4" customHeight="1" s="152">
      <c r="A158" s="167">
        <f>B158&amp;E158</f>
        <v/>
      </c>
      <c r="B158" s="168" t="n">
        <v>11</v>
      </c>
      <c r="C158" s="168" t="inlineStr">
        <is>
          <t>Sunday</t>
        </is>
      </c>
      <c r="D158" s="169" t="inlineStr">
        <is>
          <t>2025-11-16</t>
        </is>
      </c>
      <c r="E158" s="168" t="inlineStr">
        <is>
          <t>Cincinnati Bengals</t>
        </is>
      </c>
      <c r="F158" s="156" t="n"/>
      <c r="G158" s="168" t="inlineStr">
        <is>
          <t>Away</t>
        </is>
      </c>
      <c r="H158" s="170" t="inlineStr">
        <is>
          <t>Pittsburgh Steelers</t>
        </is>
      </c>
      <c r="J158" s="171" t="inlineStr">
        <is>
          <t>01:00 PM</t>
        </is>
      </c>
      <c r="K158" s="156">
        <f>IF(AND(F158=0,I158=0),"",IF(F158&gt;I158,B158&amp;E158,IF(F158&lt;I158,B158&amp;H158,"Tie")))</f>
        <v/>
      </c>
      <c r="L158" s="156">
        <f>IFERROR(IF(AND(B158&lt;$L$1,F158&gt;I158),"Win",IF(AND(B158&lt;$L$1,F158&lt;I158),"Loss","")),"")</f>
        <v/>
      </c>
      <c r="M158" s="156">
        <f>IF(B158&lt;_CurWeek,"In","")</f>
        <v/>
      </c>
      <c r="N158" s="156">
        <f>IF(M158="In",E158&amp;G158,"")</f>
        <v/>
      </c>
      <c r="O158" s="156">
        <f>IF(L158="Win",1,0)</f>
        <v/>
      </c>
      <c r="U158" s="172" t="n"/>
    </row>
    <row r="159" ht="14.4" customHeight="1" s="152">
      <c r="A159" s="167">
        <f>B159&amp;E159</f>
        <v/>
      </c>
      <c r="B159" s="168" t="n">
        <v>11</v>
      </c>
      <c r="C159" s="168" t="inlineStr">
        <is>
          <t>Sunday</t>
        </is>
      </c>
      <c r="D159" s="169" t="inlineStr">
        <is>
          <t>2025-11-16</t>
        </is>
      </c>
      <c r="E159" s="168" t="inlineStr">
        <is>
          <t>Houston Texans</t>
        </is>
      </c>
      <c r="F159" s="156" t="n"/>
      <c r="G159" s="168" t="inlineStr">
        <is>
          <t>Away</t>
        </is>
      </c>
      <c r="H159" s="170" t="inlineStr">
        <is>
          <t>Tennessee Titans</t>
        </is>
      </c>
      <c r="J159" s="171" t="inlineStr">
        <is>
          <t>01:00 PM</t>
        </is>
      </c>
      <c r="K159" s="156">
        <f>IF(AND(F159=0,I159=0),"",IF(F159&gt;I159,B159&amp;E159,IF(F159&lt;I159,B159&amp;H159,"Tie")))</f>
        <v/>
      </c>
      <c r="L159" s="156">
        <f>IFERROR(IF(AND(B159&lt;$L$1,F159&gt;I159),"Win",IF(AND(B159&lt;$L$1,F159&lt;I159),"Loss","")),"")</f>
        <v/>
      </c>
      <c r="M159" s="156">
        <f>IF(B159&lt;_CurWeek,"In","")</f>
        <v/>
      </c>
      <c r="N159" s="156">
        <f>IF(M159="In",E159&amp;G159,"")</f>
        <v/>
      </c>
      <c r="O159" s="156">
        <f>IF(L159="Win",1,0)</f>
        <v/>
      </c>
      <c r="U159" s="172" t="n"/>
    </row>
    <row r="160" ht="14.4" customHeight="1" s="152">
      <c r="A160" s="167">
        <f>B160&amp;E160</f>
        <v/>
      </c>
      <c r="B160" s="168" t="n">
        <v>11</v>
      </c>
      <c r="C160" s="168" t="inlineStr">
        <is>
          <t>Sunday</t>
        </is>
      </c>
      <c r="D160" s="169" t="inlineStr">
        <is>
          <t>2025-11-16</t>
        </is>
      </c>
      <c r="E160" s="168" t="inlineStr">
        <is>
          <t>San Francisco 49ers</t>
        </is>
      </c>
      <c r="F160" s="156" t="n"/>
      <c r="G160" s="168" t="inlineStr">
        <is>
          <t>Away</t>
        </is>
      </c>
      <c r="H160" s="170" t="inlineStr">
        <is>
          <t>Arizona Cardinals</t>
        </is>
      </c>
      <c r="J160" s="171" t="inlineStr">
        <is>
          <t>04:05 PM</t>
        </is>
      </c>
      <c r="K160" s="156">
        <f>IF(AND(F160=0,I160=0),"",IF(F160&gt;I160,B160&amp;E160,IF(F160&lt;I160,B160&amp;H160,"Tie")))</f>
        <v/>
      </c>
      <c r="L160" s="156">
        <f>IFERROR(IF(AND(B160&lt;$L$1,F160&gt;I160),"Win",IF(AND(B160&lt;$L$1,F160&lt;I160),"Loss","")),"")</f>
        <v/>
      </c>
      <c r="M160" s="156">
        <f>IF(B160&lt;_CurWeek,"In","")</f>
        <v/>
      </c>
      <c r="N160" s="156">
        <f>IF(M160="In",E160&amp;G160,"")</f>
        <v/>
      </c>
      <c r="O160" s="156">
        <f>IF(L160="Win",1,0)</f>
        <v/>
      </c>
      <c r="U160" s="172" t="n"/>
    </row>
    <row r="161" ht="14.4" customHeight="1" s="152">
      <c r="A161" s="167">
        <f>B161&amp;E161</f>
        <v/>
      </c>
      <c r="B161" s="168" t="n">
        <v>11</v>
      </c>
      <c r="C161" s="168" t="inlineStr">
        <is>
          <t>Sunday</t>
        </is>
      </c>
      <c r="D161" s="169" t="inlineStr">
        <is>
          <t>2025-11-16</t>
        </is>
      </c>
      <c r="E161" s="168" t="inlineStr">
        <is>
          <t>Seattle Seahawks</t>
        </is>
      </c>
      <c r="F161" s="156" t="n"/>
      <c r="G161" s="168" t="inlineStr">
        <is>
          <t>Away</t>
        </is>
      </c>
      <c r="H161" s="170" t="inlineStr">
        <is>
          <t>Los Angeles Rams</t>
        </is>
      </c>
      <c r="J161" s="171" t="inlineStr">
        <is>
          <t>04:05 PM</t>
        </is>
      </c>
      <c r="K161" s="156">
        <f>IF(AND(F161=0,I161=0),"",IF(F161&gt;I161,B161&amp;E161,IF(F161&lt;I161,B161&amp;H161,"Tie")))</f>
        <v/>
      </c>
      <c r="L161" s="156">
        <f>IFERROR(IF(AND(B161&lt;$L$1,F161&gt;I161),"Win",IF(AND(B161&lt;$L$1,F161&lt;I161),"Loss","")),"")</f>
        <v/>
      </c>
      <c r="M161" s="156">
        <f>IF(B161&lt;_CurWeek,"In","")</f>
        <v/>
      </c>
      <c r="N161" s="156">
        <f>IF(M161="In",E161&amp;G161,"")</f>
        <v/>
      </c>
      <c r="O161" s="156">
        <f>IF(L161="Win",1,0)</f>
        <v/>
      </c>
      <c r="U161" s="172" t="n"/>
    </row>
    <row r="162" ht="14.4" customHeight="1" s="152">
      <c r="A162" s="167">
        <f>B162&amp;E162</f>
        <v/>
      </c>
      <c r="B162" s="168" t="n">
        <v>11</v>
      </c>
      <c r="C162" s="168" t="inlineStr">
        <is>
          <t>Sunday</t>
        </is>
      </c>
      <c r="D162" s="169" t="inlineStr">
        <is>
          <t>2025-11-16</t>
        </is>
      </c>
      <c r="E162" s="168" t="inlineStr">
        <is>
          <t>Baltimore Ravens</t>
        </is>
      </c>
      <c r="F162" s="156" t="n"/>
      <c r="G162" s="168" t="inlineStr">
        <is>
          <t>Away</t>
        </is>
      </c>
      <c r="H162" s="170" t="inlineStr">
        <is>
          <t>Cleveland Browns</t>
        </is>
      </c>
      <c r="J162" s="171" t="inlineStr">
        <is>
          <t>04:25 PM</t>
        </is>
      </c>
      <c r="K162" s="156">
        <f>IF(AND(F162=0,I162=0),"",IF(F162&gt;I162,B162&amp;E162,IF(F162&lt;I162,B162&amp;H162,"Tie")))</f>
        <v/>
      </c>
      <c r="L162" s="156">
        <f>IFERROR(IF(AND(B162&lt;$L$1,F162&gt;I162),"Win",IF(AND(B162&lt;$L$1,F162&lt;I162),"Loss","")),"")</f>
        <v/>
      </c>
      <c r="M162" s="156">
        <f>IF(B162&lt;_CurWeek,"In","")</f>
        <v/>
      </c>
      <c r="N162" s="156">
        <f>IF(M162="In",E162&amp;G162,"")</f>
        <v/>
      </c>
      <c r="O162" s="156">
        <f>IF(L162="Win",1,0)</f>
        <v/>
      </c>
      <c r="U162" s="172" t="n"/>
    </row>
    <row r="163" ht="14.4" customHeight="1" s="152">
      <c r="A163" s="167">
        <f>B163&amp;E163</f>
        <v/>
      </c>
      <c r="B163" s="168" t="n">
        <v>11</v>
      </c>
      <c r="C163" s="168" t="inlineStr">
        <is>
          <t>Sunday</t>
        </is>
      </c>
      <c r="D163" s="169" t="inlineStr">
        <is>
          <t>2025-11-16</t>
        </is>
      </c>
      <c r="E163" s="168" t="inlineStr">
        <is>
          <t>Kansas City Chiefs</t>
        </is>
      </c>
      <c r="F163" s="156" t="n"/>
      <c r="G163" s="168" t="inlineStr">
        <is>
          <t>Away</t>
        </is>
      </c>
      <c r="H163" s="170" t="inlineStr">
        <is>
          <t>Denver Broncos</t>
        </is>
      </c>
      <c r="J163" s="171" t="inlineStr">
        <is>
          <t>04:25 PM</t>
        </is>
      </c>
      <c r="K163" s="156">
        <f>IF(AND(F163=0,I163=0),"",IF(F163&gt;I163,B163&amp;E163,IF(F163&lt;I163,B163&amp;H163,"Tie")))</f>
        <v/>
      </c>
      <c r="L163" s="156">
        <f>IFERROR(IF(AND(B163&lt;$L$1,F163&gt;I163),"Win",IF(AND(B163&lt;$L$1,F163&lt;I163),"Loss","")),"")</f>
        <v/>
      </c>
      <c r="M163" s="156">
        <f>IF(B163&lt;_CurWeek,"In","")</f>
        <v/>
      </c>
      <c r="N163" s="156">
        <f>IF(M163="In",E163&amp;G163,"")</f>
        <v/>
      </c>
      <c r="O163" s="156">
        <f>IF(L163="Win",1,0)</f>
        <v/>
      </c>
      <c r="U163" s="172" t="n"/>
    </row>
    <row r="164" ht="14.4" customHeight="1" s="152">
      <c r="A164" s="167">
        <f>B164&amp;E164</f>
        <v/>
      </c>
      <c r="B164" s="168" t="n">
        <v>11</v>
      </c>
      <c r="C164" s="168" t="inlineStr">
        <is>
          <t>Sunday</t>
        </is>
      </c>
      <c r="D164" s="169" t="inlineStr">
        <is>
          <t>2025-11-16</t>
        </is>
      </c>
      <c r="E164" s="168" t="inlineStr">
        <is>
          <t>Detroit Lions</t>
        </is>
      </c>
      <c r="F164" s="156" t="n"/>
      <c r="G164" s="168" t="inlineStr">
        <is>
          <t>Away</t>
        </is>
      </c>
      <c r="H164" s="170" t="inlineStr">
        <is>
          <t>Philadelphia Eagles</t>
        </is>
      </c>
      <c r="J164" s="171" t="inlineStr">
        <is>
          <t>08:20 PM</t>
        </is>
      </c>
      <c r="K164" s="156">
        <f>IF(AND(F164=0,I164=0),"",IF(F164&gt;I164,B164&amp;E164,IF(F164&lt;I164,B164&amp;H164,"Tie")))</f>
        <v/>
      </c>
      <c r="L164" s="156">
        <f>IFERROR(IF(AND(B164&lt;$L$1,F164&gt;I164),"Win",IF(AND(B164&lt;$L$1,F164&lt;I164),"Loss","")),"")</f>
        <v/>
      </c>
      <c r="M164" s="156">
        <f>IF(B164&lt;_CurWeek,"In","")</f>
        <v/>
      </c>
      <c r="N164" s="156">
        <f>IF(M164="In",E164&amp;G164,"")</f>
        <v/>
      </c>
      <c r="O164" s="156">
        <f>IF(L164="Win",1,0)</f>
        <v/>
      </c>
      <c r="U164" s="172" t="n"/>
    </row>
    <row r="165" ht="14.4" customHeight="1" s="152">
      <c r="A165" s="167">
        <f>B165&amp;E165</f>
        <v/>
      </c>
      <c r="B165" s="168" t="n">
        <v>11</v>
      </c>
      <c r="C165" s="168" t="inlineStr">
        <is>
          <t>Monday</t>
        </is>
      </c>
      <c r="D165" s="169" t="inlineStr">
        <is>
          <t>2025-11-17</t>
        </is>
      </c>
      <c r="E165" s="168" t="inlineStr">
        <is>
          <t>Dallas Cowboys</t>
        </is>
      </c>
      <c r="F165" s="156" t="n"/>
      <c r="G165" s="168" t="inlineStr">
        <is>
          <t>Away</t>
        </is>
      </c>
      <c r="H165" s="170" t="inlineStr">
        <is>
          <t>Las Vegas Raiders</t>
        </is>
      </c>
      <c r="J165" s="171" t="inlineStr">
        <is>
          <t>08:15 PM</t>
        </is>
      </c>
      <c r="K165" s="156">
        <f>IF(AND(F165=0,I165=0),"",IF(F165&gt;I165,B165&amp;E165,IF(F165&lt;I165,B165&amp;H165,"Tie")))</f>
        <v/>
      </c>
      <c r="L165" s="156">
        <f>IFERROR(IF(AND(B165&lt;$L$1,F165&gt;I165),"Win",IF(AND(B165&lt;$L$1,F165&lt;I165),"Loss","")),"")</f>
        <v/>
      </c>
      <c r="M165" s="156">
        <f>IF(B165&lt;_CurWeek,"In","")</f>
        <v/>
      </c>
      <c r="N165" s="156">
        <f>IF(M165="In",E165&amp;G165,"")</f>
        <v/>
      </c>
      <c r="O165" s="156">
        <f>IF(L165="Win",1,0)</f>
        <v/>
      </c>
      <c r="U165" s="172" t="n"/>
    </row>
    <row r="166" ht="14.4" customHeight="1" s="152">
      <c r="A166" s="167">
        <f>B166&amp;E166</f>
        <v/>
      </c>
      <c r="B166" s="168" t="n">
        <v>12</v>
      </c>
      <c r="C166" s="168" t="inlineStr">
        <is>
          <t>Thursday</t>
        </is>
      </c>
      <c r="D166" s="169" t="inlineStr">
        <is>
          <t>2025-11-20</t>
        </is>
      </c>
      <c r="E166" s="168" t="inlineStr">
        <is>
          <t>Buffalo Bills</t>
        </is>
      </c>
      <c r="F166" s="156" t="n"/>
      <c r="G166" s="168" t="inlineStr">
        <is>
          <t>Away</t>
        </is>
      </c>
      <c r="H166" s="170" t="inlineStr">
        <is>
          <t>Houston Texans</t>
        </is>
      </c>
      <c r="J166" s="171" t="inlineStr">
        <is>
          <t>08:15 PM</t>
        </is>
      </c>
      <c r="K166" s="156">
        <f>IF(AND(F166=0,I166=0),"",IF(F166&gt;I166,B166&amp;E166,IF(F166&lt;I166,B166&amp;H166,"Tie")))</f>
        <v/>
      </c>
      <c r="L166" s="156">
        <f>IFERROR(IF(AND(B166&lt;$L$1,F166&gt;I166),"Win",IF(AND(B166&lt;$L$1,F166&lt;I166),"Loss","")),"")</f>
        <v/>
      </c>
      <c r="M166" s="156">
        <f>IF(B166&lt;_CurWeek,"In","")</f>
        <v/>
      </c>
      <c r="N166" s="156">
        <f>IF(M166="In",E166&amp;G166,"")</f>
        <v/>
      </c>
      <c r="O166" s="156">
        <f>IF(L166="Win",1,0)</f>
        <v/>
      </c>
      <c r="U166" s="172" t="n"/>
    </row>
    <row r="167" ht="14.4" customHeight="1" s="152">
      <c r="A167" s="167">
        <f>B167&amp;E167</f>
        <v/>
      </c>
      <c r="B167" s="168" t="n">
        <v>12</v>
      </c>
      <c r="C167" s="168" t="inlineStr">
        <is>
          <t>Sunday</t>
        </is>
      </c>
      <c r="D167" s="169" t="inlineStr">
        <is>
          <t>2025-11-23</t>
        </is>
      </c>
      <c r="E167" s="168" t="inlineStr">
        <is>
          <t>New York Jets</t>
        </is>
      </c>
      <c r="F167" s="156" t="n"/>
      <c r="G167" s="168" t="inlineStr">
        <is>
          <t>Away</t>
        </is>
      </c>
      <c r="H167" s="170" t="inlineStr">
        <is>
          <t>Baltimore Ravens</t>
        </is>
      </c>
      <c r="J167" s="171" t="inlineStr">
        <is>
          <t>01:00 PM</t>
        </is>
      </c>
      <c r="K167" s="156">
        <f>IF(AND(F167=0,I167=0),"",IF(F167&gt;I167,B167&amp;E167,IF(F167&lt;I167,B167&amp;H167,"Tie")))</f>
        <v/>
      </c>
      <c r="L167" s="156">
        <f>IFERROR(IF(AND(B167&lt;$L$1,F167&gt;I167),"Win",IF(AND(B167&lt;$L$1,F167&lt;I167),"Loss","")),"")</f>
        <v/>
      </c>
      <c r="M167" s="156">
        <f>IF(B167&lt;_CurWeek,"In","")</f>
        <v/>
      </c>
      <c r="N167" s="156">
        <f>IF(M167="In",E167&amp;G167,"")</f>
        <v/>
      </c>
      <c r="O167" s="156">
        <f>IF(L167="Win",1,0)</f>
        <v/>
      </c>
      <c r="U167" s="172" t="n"/>
    </row>
    <row r="168" ht="14.4" customHeight="1" s="152">
      <c r="A168" s="167">
        <f>B168&amp;E168</f>
        <v/>
      </c>
      <c r="B168" s="168" t="n">
        <v>12</v>
      </c>
      <c r="C168" s="168" t="inlineStr">
        <is>
          <t>Sunday</t>
        </is>
      </c>
      <c r="D168" s="169" t="inlineStr">
        <is>
          <t>2025-11-23</t>
        </is>
      </c>
      <c r="E168" s="168" t="inlineStr">
        <is>
          <t>Pittsburgh Steelers</t>
        </is>
      </c>
      <c r="F168" s="156" t="n"/>
      <c r="G168" s="168" t="inlineStr">
        <is>
          <t>Away</t>
        </is>
      </c>
      <c r="H168" s="170" t="inlineStr">
        <is>
          <t>Chicago Bears</t>
        </is>
      </c>
      <c r="J168" s="171" t="inlineStr">
        <is>
          <t>01:00 PM</t>
        </is>
      </c>
      <c r="K168" s="156">
        <f>IF(AND(F168=0,I168=0),"",IF(F168&gt;I168,B168&amp;E168,IF(F168&lt;I168,B168&amp;H168,"Tie")))</f>
        <v/>
      </c>
      <c r="L168" s="156">
        <f>IFERROR(IF(AND(B168&lt;$L$1,F168&gt;I168),"Win",IF(AND(B168&lt;$L$1,F168&lt;I168),"Loss","")),"")</f>
        <v/>
      </c>
      <c r="M168" s="156">
        <f>IF(B168&lt;_CurWeek,"In","")</f>
        <v/>
      </c>
      <c r="N168" s="156">
        <f>IF(M168="In",E168&amp;G168,"")</f>
        <v/>
      </c>
      <c r="O168" s="156">
        <f>IF(L168="Win",1,0)</f>
        <v/>
      </c>
      <c r="U168" s="172" t="n"/>
    </row>
    <row r="169" ht="14.4" customHeight="1" s="152">
      <c r="A169" s="167">
        <f>B169&amp;E169</f>
        <v/>
      </c>
      <c r="B169" s="168" t="n">
        <v>12</v>
      </c>
      <c r="C169" s="168" t="inlineStr">
        <is>
          <t>Sunday</t>
        </is>
      </c>
      <c r="D169" s="169" t="inlineStr">
        <is>
          <t>2025-11-23</t>
        </is>
      </c>
      <c r="E169" s="168" t="inlineStr">
        <is>
          <t>New England Patriots</t>
        </is>
      </c>
      <c r="F169" s="156" t="n"/>
      <c r="G169" s="168" t="inlineStr">
        <is>
          <t>Away</t>
        </is>
      </c>
      <c r="H169" s="170" t="inlineStr">
        <is>
          <t>Cincinnati Bengals</t>
        </is>
      </c>
      <c r="J169" s="171" t="inlineStr">
        <is>
          <t>01:00 PM</t>
        </is>
      </c>
      <c r="K169" s="156">
        <f>IF(AND(F169=0,I169=0),"",IF(F169&gt;I169,B169&amp;E169,IF(F169&lt;I169,B169&amp;H169,"Tie")))</f>
        <v/>
      </c>
      <c r="L169" s="156">
        <f>IFERROR(IF(AND(B169&lt;$L$1,F169&gt;I169),"Win",IF(AND(B169&lt;$L$1,F169&lt;I169),"Loss","")),"")</f>
        <v/>
      </c>
      <c r="M169" s="156">
        <f>IF(B169&lt;_CurWeek,"In","")</f>
        <v/>
      </c>
      <c r="N169" s="156">
        <f>IF(M169="In",E169&amp;G169,"")</f>
        <v/>
      </c>
      <c r="O169" s="156">
        <f>IF(L169="Win",1,0)</f>
        <v/>
      </c>
      <c r="U169" s="172" t="n"/>
    </row>
    <row r="170" ht="14.4" customHeight="1" s="152">
      <c r="A170" s="167">
        <f>B170&amp;E170</f>
        <v/>
      </c>
      <c r="B170" s="168" t="n">
        <v>12</v>
      </c>
      <c r="C170" s="168" t="inlineStr">
        <is>
          <t>Sunday</t>
        </is>
      </c>
      <c r="D170" s="169" t="inlineStr">
        <is>
          <t>2025-11-23</t>
        </is>
      </c>
      <c r="E170" s="168" t="inlineStr">
        <is>
          <t>New York Giants</t>
        </is>
      </c>
      <c r="F170" s="156" t="n"/>
      <c r="G170" s="168" t="inlineStr">
        <is>
          <t>Away</t>
        </is>
      </c>
      <c r="H170" s="170" t="inlineStr">
        <is>
          <t>Detroit Lions</t>
        </is>
      </c>
      <c r="J170" s="171" t="inlineStr">
        <is>
          <t>01:00 PM</t>
        </is>
      </c>
      <c r="K170" s="156">
        <f>IF(AND(F170=0,I170=0),"",IF(F170&gt;I170,B170&amp;E170,IF(F170&lt;I170,B170&amp;H170,"Tie")))</f>
        <v/>
      </c>
      <c r="L170" s="156">
        <f>IFERROR(IF(AND(B170&lt;$L$1,F170&gt;I170),"Win",IF(AND(B170&lt;$L$1,F170&lt;I170),"Loss","")),"")</f>
        <v/>
      </c>
      <c r="M170" s="156">
        <f>IF(B170&lt;_CurWeek,"In","")</f>
        <v/>
      </c>
      <c r="N170" s="156">
        <f>IF(M170="In",E170&amp;G170,"")</f>
        <v/>
      </c>
      <c r="O170" s="156">
        <f>IF(L170="Win",1,0)</f>
        <v/>
      </c>
      <c r="U170" s="172" t="n"/>
    </row>
    <row r="171" ht="14.4" customHeight="1" s="152">
      <c r="A171" s="167">
        <f>B171&amp;E171</f>
        <v/>
      </c>
      <c r="B171" s="168" t="n">
        <v>12</v>
      </c>
      <c r="C171" s="168" t="inlineStr">
        <is>
          <t>Sunday</t>
        </is>
      </c>
      <c r="D171" s="169" t="inlineStr">
        <is>
          <t>2025-11-23</t>
        </is>
      </c>
      <c r="E171" s="168" t="inlineStr">
        <is>
          <t>Minnesota Vikings</t>
        </is>
      </c>
      <c r="F171" s="156" t="n"/>
      <c r="G171" s="168" t="inlineStr">
        <is>
          <t>Away</t>
        </is>
      </c>
      <c r="H171" s="170" t="inlineStr">
        <is>
          <t>Green Bay Packers</t>
        </is>
      </c>
      <c r="J171" s="171" t="inlineStr">
        <is>
          <t>01:00 PM</t>
        </is>
      </c>
      <c r="K171" s="156">
        <f>IF(AND(F171=0,I171=0),"",IF(F171&gt;I171,B171&amp;E171,IF(F171&lt;I171,B171&amp;H171,"Tie")))</f>
        <v/>
      </c>
      <c r="L171" s="156">
        <f>IFERROR(IF(AND(B171&lt;$L$1,F171&gt;I171),"Win",IF(AND(B171&lt;$L$1,F171&lt;I171),"Loss","")),"")</f>
        <v/>
      </c>
      <c r="M171" s="156">
        <f>IF(B171&lt;_CurWeek,"In","")</f>
        <v/>
      </c>
      <c r="N171" s="156">
        <f>IF(M171="In",E171&amp;G171,"")</f>
        <v/>
      </c>
      <c r="O171" s="156">
        <f>IF(L171="Win",1,0)</f>
        <v/>
      </c>
      <c r="U171" s="172" t="n"/>
    </row>
    <row r="172" ht="14.4" customHeight="1" s="152">
      <c r="A172" s="167">
        <f>B172&amp;E172</f>
        <v/>
      </c>
      <c r="B172" s="168" t="n">
        <v>12</v>
      </c>
      <c r="C172" s="168" t="inlineStr">
        <is>
          <t>Sunday</t>
        </is>
      </c>
      <c r="D172" s="169" t="inlineStr">
        <is>
          <t>2025-11-23</t>
        </is>
      </c>
      <c r="E172" s="168" t="inlineStr">
        <is>
          <t>Indianapolis Colts</t>
        </is>
      </c>
      <c r="F172" s="156" t="n"/>
      <c r="G172" s="168" t="inlineStr">
        <is>
          <t>Away</t>
        </is>
      </c>
      <c r="H172" s="170" t="inlineStr">
        <is>
          <t>Kansas City Chiefs</t>
        </is>
      </c>
      <c r="J172" s="171" t="inlineStr">
        <is>
          <t>01:00 PM</t>
        </is>
      </c>
      <c r="K172" s="156">
        <f>IF(AND(F172=0,I172=0),"",IF(F172&gt;I172,B172&amp;E172,IF(F172&lt;I172,B172&amp;H172,"Tie")))</f>
        <v/>
      </c>
      <c r="L172" s="156">
        <f>IFERROR(IF(AND(B172&lt;$L$1,F172&gt;I172),"Win",IF(AND(B172&lt;$L$1,F172&lt;I172),"Loss","")),"")</f>
        <v/>
      </c>
      <c r="M172" s="156">
        <f>IF(B172&lt;_CurWeek,"In","")</f>
        <v/>
      </c>
      <c r="N172" s="156">
        <f>IF(M172="In",E172&amp;G172,"")</f>
        <v/>
      </c>
      <c r="O172" s="156">
        <f>IF(L172="Win",1,0)</f>
        <v/>
      </c>
      <c r="U172" s="172" t="n"/>
    </row>
    <row r="173" ht="14.4" customHeight="1" s="152">
      <c r="A173" s="167">
        <f>B173&amp;E173</f>
        <v/>
      </c>
      <c r="B173" s="168" t="n">
        <v>12</v>
      </c>
      <c r="C173" s="168" t="inlineStr">
        <is>
          <t>Sunday</t>
        </is>
      </c>
      <c r="D173" s="169" t="inlineStr">
        <is>
          <t>2025-11-23</t>
        </is>
      </c>
      <c r="E173" s="168" t="inlineStr">
        <is>
          <t>Seattle Seahawks</t>
        </is>
      </c>
      <c r="F173" s="156" t="n"/>
      <c r="G173" s="168" t="inlineStr">
        <is>
          <t>Away</t>
        </is>
      </c>
      <c r="H173" s="170" t="inlineStr">
        <is>
          <t>Tennessee Titans</t>
        </is>
      </c>
      <c r="J173" s="171" t="inlineStr">
        <is>
          <t>01:00 PM</t>
        </is>
      </c>
      <c r="K173" s="156">
        <f>IF(AND(F173=0,I173=0),"",IF(F173&gt;I173,B173&amp;E173,IF(F173&lt;I173,B173&amp;H173,"Tie")))</f>
        <v/>
      </c>
      <c r="L173" s="156">
        <f>IFERROR(IF(AND(B173&lt;$L$1,F173&gt;I173),"Win",IF(AND(B173&lt;$L$1,F173&lt;I173),"Loss","")),"")</f>
        <v/>
      </c>
      <c r="M173" s="156">
        <f>IF(B173&lt;_CurWeek,"In","")</f>
        <v/>
      </c>
      <c r="N173" s="156">
        <f>IF(M173="In",E173&amp;G173,"")</f>
        <v/>
      </c>
      <c r="O173" s="156">
        <f>IF(L173="Win",1,0)</f>
        <v/>
      </c>
      <c r="U173" s="172" t="n"/>
    </row>
    <row r="174" ht="14.4" customHeight="1" s="152">
      <c r="A174" s="167">
        <f>B174&amp;E174</f>
        <v/>
      </c>
      <c r="B174" s="168" t="n">
        <v>12</v>
      </c>
      <c r="C174" s="168" t="inlineStr">
        <is>
          <t>Sunday</t>
        </is>
      </c>
      <c r="D174" s="169" t="inlineStr">
        <is>
          <t>2025-11-23</t>
        </is>
      </c>
      <c r="E174" s="168" t="inlineStr">
        <is>
          <t>Jacksonville Jaguars</t>
        </is>
      </c>
      <c r="F174" s="156" t="n"/>
      <c r="G174" s="168" t="inlineStr">
        <is>
          <t>Away</t>
        </is>
      </c>
      <c r="H174" s="170" t="inlineStr">
        <is>
          <t>Arizona Cardinals</t>
        </is>
      </c>
      <c r="J174" s="171" t="inlineStr">
        <is>
          <t>04:05 PM</t>
        </is>
      </c>
      <c r="K174" s="156">
        <f>IF(AND(F174=0,I174=0),"",IF(F174&gt;I174,B174&amp;E174,IF(F174&lt;I174,B174&amp;H174,"Tie")))</f>
        <v/>
      </c>
      <c r="L174" s="156">
        <f>IFERROR(IF(AND(B174&lt;$L$1,F174&gt;I174),"Win",IF(AND(B174&lt;$L$1,F174&lt;I174),"Loss","")),"")</f>
        <v/>
      </c>
      <c r="M174" s="156">
        <f>IF(B174&lt;_CurWeek,"In","")</f>
        <v/>
      </c>
      <c r="N174" s="156">
        <f>IF(M174="In",E174&amp;G174,"")</f>
        <v/>
      </c>
      <c r="O174" s="156">
        <f>IF(L174="Win",1,0)</f>
        <v/>
      </c>
      <c r="U174" s="172" t="n"/>
    </row>
    <row r="175" ht="14.4" customHeight="1" s="152">
      <c r="A175" s="167">
        <f>B175&amp;E175</f>
        <v/>
      </c>
      <c r="B175" s="168" t="n">
        <v>12</v>
      </c>
      <c r="C175" s="168" t="inlineStr">
        <is>
          <t>Sunday</t>
        </is>
      </c>
      <c r="D175" s="169" t="inlineStr">
        <is>
          <t>2025-11-23</t>
        </is>
      </c>
      <c r="E175" s="168" t="inlineStr">
        <is>
          <t>Cleveland Browns</t>
        </is>
      </c>
      <c r="F175" s="156" t="n"/>
      <c r="G175" s="168" t="inlineStr">
        <is>
          <t>Away</t>
        </is>
      </c>
      <c r="H175" s="170" t="inlineStr">
        <is>
          <t>Las Vegas Raiders</t>
        </is>
      </c>
      <c r="J175" s="171" t="inlineStr">
        <is>
          <t>04:05 PM</t>
        </is>
      </c>
      <c r="K175" s="156">
        <f>IF(AND(F175=0,I175=0),"",IF(F175&gt;I175,B175&amp;E175,IF(F175&lt;I175,B175&amp;H175,"Tie")))</f>
        <v/>
      </c>
      <c r="L175" s="156">
        <f>IFERROR(IF(AND(B175&lt;$L$1,F175&gt;I175),"Win",IF(AND(B175&lt;$L$1,F175&lt;I175),"Loss","")),"")</f>
        <v/>
      </c>
      <c r="M175" s="156">
        <f>IF(B175&lt;_CurWeek,"In","")</f>
        <v/>
      </c>
      <c r="N175" s="156">
        <f>IF(M175="In",E175&amp;G175,"")</f>
        <v/>
      </c>
      <c r="O175" s="156">
        <f>IF(L175="Win",1,0)</f>
        <v/>
      </c>
      <c r="U175" s="172" t="n"/>
    </row>
    <row r="176" ht="14.4" customHeight="1" s="152">
      <c r="A176" s="167">
        <f>B176&amp;E176</f>
        <v/>
      </c>
      <c r="B176" s="168" t="n">
        <v>12</v>
      </c>
      <c r="C176" s="168" t="inlineStr">
        <is>
          <t>Sunday</t>
        </is>
      </c>
      <c r="D176" s="169" t="inlineStr">
        <is>
          <t>2025-11-23</t>
        </is>
      </c>
      <c r="E176" s="168" t="inlineStr">
        <is>
          <t>Philadelphia Eagles</t>
        </is>
      </c>
      <c r="F176" s="156" t="n"/>
      <c r="G176" s="168" t="inlineStr">
        <is>
          <t>Away</t>
        </is>
      </c>
      <c r="H176" s="170" t="inlineStr">
        <is>
          <t>Dallas Cowboys</t>
        </is>
      </c>
      <c r="J176" s="171" t="inlineStr">
        <is>
          <t>04:25 PM</t>
        </is>
      </c>
      <c r="K176" s="156">
        <f>IF(AND(F176=0,I176=0),"",IF(F176&gt;I176,B176&amp;E176,IF(F176&lt;I176,B176&amp;H176,"Tie")))</f>
        <v/>
      </c>
      <c r="L176" s="156">
        <f>IFERROR(IF(AND(B176&lt;$L$1,F176&gt;I176),"Win",IF(AND(B176&lt;$L$1,F176&lt;I176),"Loss","")),"")</f>
        <v/>
      </c>
      <c r="M176" s="156">
        <f>IF(B176&lt;_CurWeek,"In","")</f>
        <v/>
      </c>
      <c r="N176" s="156">
        <f>IF(M176="In",E176&amp;G176,"")</f>
        <v/>
      </c>
      <c r="O176" s="156">
        <f>IF(L176="Win",1,0)</f>
        <v/>
      </c>
      <c r="U176" s="172" t="n"/>
    </row>
    <row r="177" ht="14.4" customHeight="1" s="152">
      <c r="A177" s="167">
        <f>B177&amp;E177</f>
        <v/>
      </c>
      <c r="B177" s="168" t="n">
        <v>12</v>
      </c>
      <c r="C177" s="168" t="inlineStr">
        <is>
          <t>Sunday</t>
        </is>
      </c>
      <c r="D177" s="169" t="inlineStr">
        <is>
          <t>2025-11-23</t>
        </is>
      </c>
      <c r="E177" s="168" t="inlineStr">
        <is>
          <t>Atlanta Falcons</t>
        </is>
      </c>
      <c r="F177" s="156" t="n"/>
      <c r="G177" s="168" t="inlineStr">
        <is>
          <t>Away</t>
        </is>
      </c>
      <c r="H177" s="170" t="inlineStr">
        <is>
          <t>New Orleans Saints</t>
        </is>
      </c>
      <c r="J177" s="171" t="inlineStr">
        <is>
          <t>04:25 PM</t>
        </is>
      </c>
      <c r="K177" s="156">
        <f>IF(AND(F177=0,I177=0),"",IF(F177&gt;I177,B177&amp;E177,IF(F177&lt;I177,B177&amp;H177,"Tie")))</f>
        <v/>
      </c>
      <c r="L177" s="156">
        <f>IFERROR(IF(AND(B177&lt;$L$1,F177&gt;I177),"Win",IF(AND(B177&lt;$L$1,F177&lt;I177),"Loss","")),"")</f>
        <v/>
      </c>
      <c r="M177" s="156">
        <f>IF(B177&lt;_CurWeek,"In","")</f>
        <v/>
      </c>
      <c r="N177" s="156">
        <f>IF(M177="In",E177&amp;G177,"")</f>
        <v/>
      </c>
      <c r="O177" s="156">
        <f>IF(L177="Win",1,0)</f>
        <v/>
      </c>
      <c r="U177" s="172" t="n"/>
    </row>
    <row r="178" ht="14.4" customHeight="1" s="152">
      <c r="A178" s="167">
        <f>B178&amp;E178</f>
        <v/>
      </c>
      <c r="B178" s="168" t="n">
        <v>12</v>
      </c>
      <c r="C178" s="168" t="inlineStr">
        <is>
          <t>Sunday</t>
        </is>
      </c>
      <c r="D178" s="169" t="inlineStr">
        <is>
          <t>2025-11-23</t>
        </is>
      </c>
      <c r="E178" s="168" t="inlineStr">
        <is>
          <t>Tampa Bay Buccaneers</t>
        </is>
      </c>
      <c r="F178" s="156" t="n"/>
      <c r="G178" s="168" t="inlineStr">
        <is>
          <t>Away</t>
        </is>
      </c>
      <c r="H178" s="170" t="inlineStr">
        <is>
          <t>Los Angeles Rams</t>
        </is>
      </c>
      <c r="J178" s="171" t="inlineStr">
        <is>
          <t>08:20 PM</t>
        </is>
      </c>
      <c r="K178" s="156">
        <f>IF(AND(F178=0,I178=0),"",IF(F178&gt;I178,B178&amp;E178,IF(F178&lt;I178,B178&amp;H178,"Tie")))</f>
        <v/>
      </c>
      <c r="L178" s="156">
        <f>IFERROR(IF(AND(B178&lt;$L$1,F178&gt;I178),"Win",IF(AND(B178&lt;$L$1,F178&lt;I178),"Loss","")),"")</f>
        <v/>
      </c>
      <c r="M178" s="156">
        <f>IF(B178&lt;_CurWeek,"In","")</f>
        <v/>
      </c>
      <c r="N178" s="156">
        <f>IF(M178="In",E178&amp;G178,"")</f>
        <v/>
      </c>
      <c r="O178" s="156">
        <f>IF(L178="Win",1,0)</f>
        <v/>
      </c>
      <c r="U178" s="172" t="n"/>
    </row>
    <row r="179" ht="14.4" customHeight="1" s="152">
      <c r="A179" s="167">
        <f>B179&amp;E179</f>
        <v/>
      </c>
      <c r="B179" s="168" t="n">
        <v>12</v>
      </c>
      <c r="C179" s="168" t="inlineStr">
        <is>
          <t>Monday</t>
        </is>
      </c>
      <c r="D179" s="169" t="inlineStr">
        <is>
          <t>2025-11-24</t>
        </is>
      </c>
      <c r="E179" s="168" t="inlineStr">
        <is>
          <t>Carolina Panthers</t>
        </is>
      </c>
      <c r="F179" s="156" t="n"/>
      <c r="G179" s="168" t="inlineStr">
        <is>
          <t>Away</t>
        </is>
      </c>
      <c r="H179" s="170" t="inlineStr">
        <is>
          <t>San Francisco 49ers</t>
        </is>
      </c>
      <c r="J179" s="171" t="inlineStr">
        <is>
          <t>08:15 PM</t>
        </is>
      </c>
      <c r="K179" s="156">
        <f>IF(AND(F179=0,I179=0),"",IF(F179&gt;I179,B179&amp;E179,IF(F179&lt;I179,B179&amp;H179,"Tie")))</f>
        <v/>
      </c>
      <c r="L179" s="156">
        <f>IFERROR(IF(AND(B179&lt;$L$1,F179&gt;I179),"Win",IF(AND(B179&lt;$L$1,F179&lt;I179),"Loss","")),"")</f>
        <v/>
      </c>
      <c r="M179" s="156">
        <f>IF(B179&lt;_CurWeek,"In","")</f>
        <v/>
      </c>
      <c r="N179" s="156">
        <f>IF(M179="In",E179&amp;G179,"")</f>
        <v/>
      </c>
      <c r="O179" s="156">
        <f>IF(L179="Win",1,0)</f>
        <v/>
      </c>
      <c r="U179" s="172" t="n"/>
    </row>
    <row r="180" ht="14.4" customHeight="1" s="152">
      <c r="A180" s="167">
        <f>B180&amp;E180</f>
        <v/>
      </c>
      <c r="B180" s="168" t="n">
        <v>13</v>
      </c>
      <c r="C180" s="168" t="inlineStr">
        <is>
          <t>Thursday</t>
        </is>
      </c>
      <c r="D180" s="169" t="inlineStr">
        <is>
          <t>2025-11-27</t>
        </is>
      </c>
      <c r="E180" s="168" t="inlineStr">
        <is>
          <t>Green Bay Packers</t>
        </is>
      </c>
      <c r="F180" s="156" t="n"/>
      <c r="G180" s="168" t="inlineStr">
        <is>
          <t>Away</t>
        </is>
      </c>
      <c r="H180" s="170" t="inlineStr">
        <is>
          <t>Detroit Lions</t>
        </is>
      </c>
      <c r="J180" s="171" t="inlineStr">
        <is>
          <t>01:00 PM</t>
        </is>
      </c>
      <c r="K180" s="156">
        <f>IF(AND(F180=0,I180=0),"",IF(F180&gt;I180,B180&amp;E180,IF(F180&lt;I180,B180&amp;H180,"Tie")))</f>
        <v/>
      </c>
      <c r="L180" s="156">
        <f>IFERROR(IF(AND(B180&lt;$L$1,F180&gt;I180),"Win",IF(AND(B180&lt;$L$1,F180&lt;I180),"Loss","")),"")</f>
        <v/>
      </c>
      <c r="M180" s="156">
        <f>IF(B180&lt;_CurWeek,"In","")</f>
        <v/>
      </c>
      <c r="N180" s="156">
        <f>IF(M180="In",E180&amp;G180,"")</f>
        <v/>
      </c>
      <c r="O180" s="156">
        <f>IF(L180="Win",1,0)</f>
        <v/>
      </c>
      <c r="U180" s="172" t="n"/>
    </row>
    <row r="181" ht="14.4" customHeight="1" s="152">
      <c r="A181" s="167">
        <f>B181&amp;E181</f>
        <v/>
      </c>
      <c r="B181" s="168" t="n">
        <v>13</v>
      </c>
      <c r="C181" s="168" t="inlineStr">
        <is>
          <t>Thursday</t>
        </is>
      </c>
      <c r="D181" s="169" t="inlineStr">
        <is>
          <t>2025-11-27</t>
        </is>
      </c>
      <c r="E181" s="168" t="inlineStr">
        <is>
          <t>Kansas City Chiefs</t>
        </is>
      </c>
      <c r="F181" s="156" t="n"/>
      <c r="G181" s="168" t="inlineStr">
        <is>
          <t>Away</t>
        </is>
      </c>
      <c r="H181" s="170" t="inlineStr">
        <is>
          <t>Dallas Cowboys</t>
        </is>
      </c>
      <c r="J181" s="171" t="inlineStr">
        <is>
          <t>04:30 PM</t>
        </is>
      </c>
      <c r="K181" s="156">
        <f>IF(AND(F181=0,I181=0),"",IF(F181&gt;I181,B181&amp;E181,IF(F181&lt;I181,B181&amp;H181,"Tie")))</f>
        <v/>
      </c>
      <c r="L181" s="156">
        <f>IFERROR(IF(AND(B181&lt;$L$1,F181&gt;I181),"Win",IF(AND(B181&lt;$L$1,F181&lt;I181),"Loss","")),"")</f>
        <v/>
      </c>
      <c r="M181" s="156">
        <f>IF(B181&lt;_CurWeek,"In","")</f>
        <v/>
      </c>
      <c r="N181" s="156">
        <f>IF(M181="In",E181&amp;G181,"")</f>
        <v/>
      </c>
      <c r="O181" s="156">
        <f>IF(L181="Win",1,0)</f>
        <v/>
      </c>
      <c r="U181" s="172" t="n"/>
    </row>
    <row r="182" ht="14.4" customHeight="1" s="152">
      <c r="A182" s="167">
        <f>B182&amp;E182</f>
        <v/>
      </c>
      <c r="B182" s="168" t="n">
        <v>13</v>
      </c>
      <c r="C182" s="168" t="inlineStr">
        <is>
          <t>Thursday</t>
        </is>
      </c>
      <c r="D182" s="169" t="inlineStr">
        <is>
          <t>2025-11-27</t>
        </is>
      </c>
      <c r="E182" s="168" t="inlineStr">
        <is>
          <t>Cincinnati Bengals</t>
        </is>
      </c>
      <c r="F182" s="156" t="n"/>
      <c r="G182" s="168" t="inlineStr">
        <is>
          <t>Away</t>
        </is>
      </c>
      <c r="H182" s="170" t="inlineStr">
        <is>
          <t>Baltimore Ravens</t>
        </is>
      </c>
      <c r="J182" s="171" t="inlineStr">
        <is>
          <t>08:20 PM</t>
        </is>
      </c>
      <c r="K182" s="156">
        <f>IF(AND(F182=0,I182=0),"",IF(F182&gt;I182,B182&amp;E182,IF(F182&lt;I182,B182&amp;H182,"Tie")))</f>
        <v/>
      </c>
      <c r="L182" s="156">
        <f>IFERROR(IF(AND(B182&lt;$L$1,F182&gt;I182),"Win",IF(AND(B182&lt;$L$1,F182&lt;I182),"Loss","")),"")</f>
        <v/>
      </c>
      <c r="M182" s="156">
        <f>IF(B182&lt;_CurWeek,"In","")</f>
        <v/>
      </c>
      <c r="N182" s="156">
        <f>IF(M182="In",E182&amp;G182,"")</f>
        <v/>
      </c>
      <c r="O182" s="156">
        <f>IF(L182="Win",1,0)</f>
        <v/>
      </c>
      <c r="U182" s="172" t="n"/>
    </row>
    <row r="183" ht="14.4" customHeight="1" s="152">
      <c r="A183" s="167">
        <f>B183&amp;E183</f>
        <v/>
      </c>
      <c r="B183" s="168" t="n">
        <v>13</v>
      </c>
      <c r="C183" s="168" t="inlineStr">
        <is>
          <t>Friday</t>
        </is>
      </c>
      <c r="D183" s="169" t="inlineStr">
        <is>
          <t>2025-11-28</t>
        </is>
      </c>
      <c r="E183" s="168" t="inlineStr">
        <is>
          <t>Chicago Bears</t>
        </is>
      </c>
      <c r="F183" s="156" t="n"/>
      <c r="G183" s="168" t="inlineStr">
        <is>
          <t>Away</t>
        </is>
      </c>
      <c r="H183" s="170" t="inlineStr">
        <is>
          <t>Philadelphia Eagles</t>
        </is>
      </c>
      <c r="J183" s="171" t="inlineStr">
        <is>
          <t>03:00 PM</t>
        </is>
      </c>
      <c r="K183" s="156">
        <f>IF(AND(F183=0,I183=0),"",IF(F183&gt;I183,B183&amp;E183,IF(F183&lt;I183,B183&amp;H183,"Tie")))</f>
        <v/>
      </c>
      <c r="L183" s="156">
        <f>IFERROR(IF(AND(B183&lt;$L$1,F183&gt;I183),"Win",IF(AND(B183&lt;$L$1,F183&lt;I183),"Loss","")),"")</f>
        <v/>
      </c>
      <c r="M183" s="156">
        <f>IF(B183&lt;_CurWeek,"In","")</f>
        <v/>
      </c>
      <c r="N183" s="156">
        <f>IF(M183="In",E183&amp;G183,"")</f>
        <v/>
      </c>
      <c r="O183" s="156">
        <f>IF(L183="Win",1,0)</f>
        <v/>
      </c>
      <c r="U183" s="172" t="n"/>
    </row>
    <row r="184" ht="14.4" customHeight="1" s="152">
      <c r="A184" s="167">
        <f>B184&amp;E184</f>
        <v/>
      </c>
      <c r="B184" s="168" t="n">
        <v>13</v>
      </c>
      <c r="C184" s="168" t="inlineStr">
        <is>
          <t>Sunday</t>
        </is>
      </c>
      <c r="D184" s="169" t="inlineStr">
        <is>
          <t>2025-11-30</t>
        </is>
      </c>
      <c r="E184" s="168" t="inlineStr">
        <is>
          <t>Los Angeles Rams</t>
        </is>
      </c>
      <c r="F184" s="156" t="n"/>
      <c r="G184" s="168" t="inlineStr">
        <is>
          <t>Away</t>
        </is>
      </c>
      <c r="H184" s="170" t="inlineStr">
        <is>
          <t>Carolina Panthers</t>
        </is>
      </c>
      <c r="J184" s="171" t="inlineStr">
        <is>
          <t>01:00 PM</t>
        </is>
      </c>
      <c r="K184" s="156">
        <f>IF(AND(F184=0,I184=0),"",IF(F184&gt;I184,B184&amp;E184,IF(F184&lt;I184,B184&amp;H184,"Tie")))</f>
        <v/>
      </c>
      <c r="L184" s="156">
        <f>IFERROR(IF(AND(B184&lt;$L$1,F184&gt;I184),"Win",IF(AND(B184&lt;$L$1,F184&lt;I184),"Loss","")),"")</f>
        <v/>
      </c>
      <c r="M184" s="156">
        <f>IF(B184&lt;_CurWeek,"In","")</f>
        <v/>
      </c>
      <c r="N184" s="156">
        <f>IF(M184="In",E184&amp;G184,"")</f>
        <v/>
      </c>
      <c r="O184" s="156">
        <f>IF(L184="Win",1,0)</f>
        <v/>
      </c>
      <c r="U184" s="172" t="n"/>
    </row>
    <row r="185" ht="14.4" customHeight="1" s="152">
      <c r="A185" s="167">
        <f>B185&amp;E185</f>
        <v/>
      </c>
      <c r="B185" s="168" t="n">
        <v>13</v>
      </c>
      <c r="C185" s="168" t="inlineStr">
        <is>
          <t>Sunday</t>
        </is>
      </c>
      <c r="D185" s="169" t="inlineStr">
        <is>
          <t>2025-11-30</t>
        </is>
      </c>
      <c r="E185" s="168" t="inlineStr">
        <is>
          <t>San Francisco 49ers</t>
        </is>
      </c>
      <c r="F185" s="156" t="n"/>
      <c r="G185" s="168" t="inlineStr">
        <is>
          <t>Away</t>
        </is>
      </c>
      <c r="H185" s="170" t="inlineStr">
        <is>
          <t>Cleveland Browns</t>
        </is>
      </c>
      <c r="J185" s="171" t="inlineStr">
        <is>
          <t>01:00 PM</t>
        </is>
      </c>
      <c r="K185" s="156">
        <f>IF(AND(F185=0,I185=0),"",IF(F185&gt;I185,B185&amp;E185,IF(F185&lt;I185,B185&amp;H185,"Tie")))</f>
        <v/>
      </c>
      <c r="L185" s="156">
        <f>IFERROR(IF(AND(B185&lt;$L$1,F185&gt;I185),"Win",IF(AND(B185&lt;$L$1,F185&lt;I185),"Loss","")),"")</f>
        <v/>
      </c>
      <c r="M185" s="156">
        <f>IF(B185&lt;_CurWeek,"In","")</f>
        <v/>
      </c>
      <c r="N185" s="156">
        <f>IF(M185="In",E185&amp;G185,"")</f>
        <v/>
      </c>
      <c r="O185" s="156">
        <f>IF(L185="Win",1,0)</f>
        <v/>
      </c>
      <c r="U185" s="172" t="n"/>
    </row>
    <row r="186" ht="14.4" customHeight="1" s="152">
      <c r="A186" s="167">
        <f>B186&amp;E186</f>
        <v/>
      </c>
      <c r="B186" s="168" t="n">
        <v>13</v>
      </c>
      <c r="C186" s="168" t="inlineStr">
        <is>
          <t>Sunday</t>
        </is>
      </c>
      <c r="D186" s="169" t="inlineStr">
        <is>
          <t>2025-11-30</t>
        </is>
      </c>
      <c r="E186" s="168" t="inlineStr">
        <is>
          <t>Houston Texans</t>
        </is>
      </c>
      <c r="F186" s="156" t="n"/>
      <c r="G186" s="168" t="inlineStr">
        <is>
          <t>Away</t>
        </is>
      </c>
      <c r="H186" s="170" t="inlineStr">
        <is>
          <t>Indianapolis Colts</t>
        </is>
      </c>
      <c r="J186" s="171" t="inlineStr">
        <is>
          <t>01:00 PM</t>
        </is>
      </c>
      <c r="K186" s="156">
        <f>IF(AND(F186=0,I186=0),"",IF(F186&gt;I186,B186&amp;E186,IF(F186&lt;I186,B186&amp;H186,"Tie")))</f>
        <v/>
      </c>
      <c r="L186" s="156">
        <f>IFERROR(IF(AND(B186&lt;$L$1,F186&gt;I186),"Win",IF(AND(B186&lt;$L$1,F186&lt;I186),"Loss","")),"")</f>
        <v/>
      </c>
      <c r="M186" s="156">
        <f>IF(B186&lt;_CurWeek,"In","")</f>
        <v/>
      </c>
      <c r="N186" s="156">
        <f>IF(M186="In",E186&amp;G186,"")</f>
        <v/>
      </c>
      <c r="O186" s="156">
        <f>IF(L186="Win",1,0)</f>
        <v/>
      </c>
      <c r="U186" s="172" t="n"/>
    </row>
    <row r="187" ht="14.4" customHeight="1" s="152">
      <c r="A187" s="167">
        <f>B187&amp;E187</f>
        <v/>
      </c>
      <c r="B187" s="168" t="n">
        <v>13</v>
      </c>
      <c r="C187" s="168" t="inlineStr">
        <is>
          <t>Sunday</t>
        </is>
      </c>
      <c r="D187" s="169" t="inlineStr">
        <is>
          <t>2025-11-30</t>
        </is>
      </c>
      <c r="E187" s="168" t="inlineStr">
        <is>
          <t>New Orleans Saints</t>
        </is>
      </c>
      <c r="F187" s="156" t="n"/>
      <c r="G187" s="168" t="inlineStr">
        <is>
          <t>Away</t>
        </is>
      </c>
      <c r="H187" s="170" t="inlineStr">
        <is>
          <t>Miami Dolphins</t>
        </is>
      </c>
      <c r="J187" s="171" t="inlineStr">
        <is>
          <t>01:00 PM</t>
        </is>
      </c>
      <c r="K187" s="156">
        <f>IF(AND(F187=0,I187=0),"",IF(F187&gt;I187,B187&amp;E187,IF(F187&lt;I187,B187&amp;H187,"Tie")))</f>
        <v/>
      </c>
      <c r="L187" s="156">
        <f>IFERROR(IF(AND(B187&lt;$L$1,F187&gt;I187),"Win",IF(AND(B187&lt;$L$1,F187&lt;I187),"Loss","")),"")</f>
        <v/>
      </c>
      <c r="M187" s="156">
        <f>IF(B187&lt;_CurWeek,"In","")</f>
        <v/>
      </c>
      <c r="N187" s="156">
        <f>IF(M187="In",E187&amp;G187,"")</f>
        <v/>
      </c>
      <c r="O187" s="156">
        <f>IF(L187="Win",1,0)</f>
        <v/>
      </c>
      <c r="U187" s="172" t="n"/>
    </row>
    <row r="188" ht="14.4" customHeight="1" s="152">
      <c r="A188" s="167">
        <f>B188&amp;E188</f>
        <v/>
      </c>
      <c r="B188" s="168" t="n">
        <v>13</v>
      </c>
      <c r="C188" s="168" t="inlineStr">
        <is>
          <t>Sunday</t>
        </is>
      </c>
      <c r="D188" s="169" t="inlineStr">
        <is>
          <t>2025-11-30</t>
        </is>
      </c>
      <c r="E188" s="168" t="inlineStr">
        <is>
          <t>Atlanta Falcons</t>
        </is>
      </c>
      <c r="F188" s="156" t="n"/>
      <c r="G188" s="168" t="inlineStr">
        <is>
          <t>Away</t>
        </is>
      </c>
      <c r="H188" s="170" t="inlineStr">
        <is>
          <t>New York Jets</t>
        </is>
      </c>
      <c r="J188" s="171" t="inlineStr">
        <is>
          <t>01:00 PM</t>
        </is>
      </c>
      <c r="K188" s="156">
        <f>IF(AND(F188=0,I188=0),"",IF(F188&gt;I188,B188&amp;E188,IF(F188&lt;I188,B188&amp;H188,"Tie")))</f>
        <v/>
      </c>
      <c r="L188" s="156">
        <f>IFERROR(IF(AND(B188&lt;$L$1,F188&gt;I188),"Win",IF(AND(B188&lt;$L$1,F188&lt;I188),"Loss","")),"")</f>
        <v/>
      </c>
      <c r="M188" s="156">
        <f>IF(B188&lt;_CurWeek,"In","")</f>
        <v/>
      </c>
      <c r="N188" s="156">
        <f>IF(M188="In",E188&amp;G188,"")</f>
        <v/>
      </c>
      <c r="O188" s="156">
        <f>IF(L188="Win",1,0)</f>
        <v/>
      </c>
      <c r="U188" s="172" t="n"/>
    </row>
    <row r="189" ht="14.4" customHeight="1" s="152">
      <c r="A189" s="167">
        <f>B189&amp;E189</f>
        <v/>
      </c>
      <c r="B189" s="168" t="n">
        <v>13</v>
      </c>
      <c r="C189" s="168" t="inlineStr">
        <is>
          <t>Sunday</t>
        </is>
      </c>
      <c r="D189" s="169" t="inlineStr">
        <is>
          <t>2025-11-30</t>
        </is>
      </c>
      <c r="E189" s="168" t="inlineStr">
        <is>
          <t>Arizona Cardinals</t>
        </is>
      </c>
      <c r="F189" s="156" t="n"/>
      <c r="G189" s="168" t="inlineStr">
        <is>
          <t>Away</t>
        </is>
      </c>
      <c r="H189" s="170" t="inlineStr">
        <is>
          <t>Tampa Bay Buccaneers</t>
        </is>
      </c>
      <c r="J189" s="171" t="inlineStr">
        <is>
          <t>01:00 PM</t>
        </is>
      </c>
      <c r="K189" s="156">
        <f>IF(AND(F189=0,I189=0),"",IF(F189&gt;I189,B189&amp;E189,IF(F189&lt;I189,B189&amp;H189,"Tie")))</f>
        <v/>
      </c>
      <c r="L189" s="156">
        <f>IFERROR(IF(AND(B189&lt;$L$1,F189&gt;I189),"Win",IF(AND(B189&lt;$L$1,F189&lt;I189),"Loss","")),"")</f>
        <v/>
      </c>
      <c r="M189" s="156">
        <f>IF(B189&lt;_CurWeek,"In","")</f>
        <v/>
      </c>
      <c r="N189" s="156">
        <f>IF(M189="In",E189&amp;G189,"")</f>
        <v/>
      </c>
      <c r="O189" s="156">
        <f>IF(L189="Win",1,0)</f>
        <v/>
      </c>
      <c r="U189" s="172" t="n"/>
    </row>
    <row r="190" ht="14.4" customHeight="1" s="152">
      <c r="A190" s="167">
        <f>B190&amp;E190</f>
        <v/>
      </c>
      <c r="B190" s="168" t="n">
        <v>13</v>
      </c>
      <c r="C190" s="168" t="inlineStr">
        <is>
          <t>Sunday</t>
        </is>
      </c>
      <c r="D190" s="169" t="inlineStr">
        <is>
          <t>2025-11-30</t>
        </is>
      </c>
      <c r="E190" s="168" t="inlineStr">
        <is>
          <t>Jacksonville Jaguars</t>
        </is>
      </c>
      <c r="F190" s="156" t="n"/>
      <c r="G190" s="168" t="inlineStr">
        <is>
          <t>Away</t>
        </is>
      </c>
      <c r="H190" s="170" t="inlineStr">
        <is>
          <t>Tennessee Titans</t>
        </is>
      </c>
      <c r="J190" s="171" t="inlineStr">
        <is>
          <t>01:00 PM</t>
        </is>
      </c>
      <c r="K190" s="156">
        <f>IF(AND(F190=0,I190=0),"",IF(F190&gt;I190,B190&amp;E190,IF(F190&lt;I190,B190&amp;H190,"Tie")))</f>
        <v/>
      </c>
      <c r="L190" s="156">
        <f>IFERROR(IF(AND(B190&lt;$L$1,F190&gt;I190),"Win",IF(AND(B190&lt;$L$1,F190&lt;I190),"Loss","")),"")</f>
        <v/>
      </c>
      <c r="M190" s="156">
        <f>IF(B190&lt;_CurWeek,"In","")</f>
        <v/>
      </c>
      <c r="N190" s="156">
        <f>IF(M190="In",E190&amp;G190,"")</f>
        <v/>
      </c>
      <c r="O190" s="156">
        <f>IF(L190="Win",1,0)</f>
        <v/>
      </c>
      <c r="U190" s="172" t="n"/>
    </row>
    <row r="191" ht="14.4" customHeight="1" s="152">
      <c r="A191" s="167">
        <f>B191&amp;E191</f>
        <v/>
      </c>
      <c r="B191" s="168" t="n">
        <v>13</v>
      </c>
      <c r="C191" s="168" t="inlineStr">
        <is>
          <t>Sunday</t>
        </is>
      </c>
      <c r="D191" s="169" t="inlineStr">
        <is>
          <t>2025-11-30</t>
        </is>
      </c>
      <c r="E191" s="168" t="inlineStr">
        <is>
          <t>Minnesota Vikings</t>
        </is>
      </c>
      <c r="F191" s="156" t="n"/>
      <c r="G191" s="168" t="inlineStr">
        <is>
          <t>Away</t>
        </is>
      </c>
      <c r="H191" s="170" t="inlineStr">
        <is>
          <t>Seattle Seahawks</t>
        </is>
      </c>
      <c r="J191" s="171" t="inlineStr">
        <is>
          <t>04:05 PM</t>
        </is>
      </c>
      <c r="K191" s="156">
        <f>IF(AND(F191=0,I191=0),"",IF(F191&gt;I191,B191&amp;E191,IF(F191&lt;I191,B191&amp;H191,"Tie")))</f>
        <v/>
      </c>
      <c r="L191" s="156">
        <f>IFERROR(IF(AND(B191&lt;$L$1,F191&gt;I191),"Win",IF(AND(B191&lt;$L$1,F191&lt;I191),"Loss","")),"")</f>
        <v/>
      </c>
      <c r="M191" s="156">
        <f>IF(B191&lt;_CurWeek,"In","")</f>
        <v/>
      </c>
      <c r="N191" s="156">
        <f>IF(M191="In",E191&amp;G191,"")</f>
        <v/>
      </c>
      <c r="O191" s="156">
        <f>IF(L191="Win",1,0)</f>
        <v/>
      </c>
      <c r="U191" s="172" t="n"/>
    </row>
    <row r="192" ht="14.4" customHeight="1" s="152">
      <c r="A192" s="167">
        <f>B192&amp;E192</f>
        <v/>
      </c>
      <c r="B192" s="168" t="n">
        <v>13</v>
      </c>
      <c r="C192" s="168" t="inlineStr">
        <is>
          <t>Sunday</t>
        </is>
      </c>
      <c r="D192" s="169" t="inlineStr">
        <is>
          <t>2025-11-30</t>
        </is>
      </c>
      <c r="E192" s="168" t="inlineStr">
        <is>
          <t>Las Vegas Raiders</t>
        </is>
      </c>
      <c r="F192" s="156" t="n"/>
      <c r="G192" s="168" t="inlineStr">
        <is>
          <t>Away</t>
        </is>
      </c>
      <c r="H192" s="170" t="inlineStr">
        <is>
          <t>Los Angeles Chargers</t>
        </is>
      </c>
      <c r="J192" s="171" t="inlineStr">
        <is>
          <t>04:25 PM</t>
        </is>
      </c>
      <c r="K192" s="156">
        <f>IF(AND(F192=0,I192=0),"",IF(F192&gt;I192,B192&amp;E192,IF(F192&lt;I192,B192&amp;H192,"Tie")))</f>
        <v/>
      </c>
      <c r="L192" s="156">
        <f>IFERROR(IF(AND(B192&lt;$L$1,F192&gt;I192),"Win",IF(AND(B192&lt;$L$1,F192&lt;I192),"Loss","")),"")</f>
        <v/>
      </c>
      <c r="M192" s="156">
        <f>IF(B192&lt;_CurWeek,"In","")</f>
        <v/>
      </c>
      <c r="N192" s="156">
        <f>IF(M192="In",E192&amp;G192,"")</f>
        <v/>
      </c>
      <c r="O192" s="156">
        <f>IF(L192="Win",1,0)</f>
        <v/>
      </c>
      <c r="U192" s="172" t="n"/>
    </row>
    <row r="193" ht="14.4" customHeight="1" s="152">
      <c r="A193" s="167">
        <f>B193&amp;E193</f>
        <v/>
      </c>
      <c r="B193" s="168" t="n">
        <v>13</v>
      </c>
      <c r="C193" s="168" t="inlineStr">
        <is>
          <t>Sunday</t>
        </is>
      </c>
      <c r="D193" s="169" t="inlineStr">
        <is>
          <t>2025-11-30</t>
        </is>
      </c>
      <c r="E193" s="168" t="inlineStr">
        <is>
          <t>Buffalo Bills</t>
        </is>
      </c>
      <c r="F193" s="156" t="n"/>
      <c r="G193" s="168" t="inlineStr">
        <is>
          <t>Away</t>
        </is>
      </c>
      <c r="H193" s="170" t="inlineStr">
        <is>
          <t>Pittsburgh Steelers</t>
        </is>
      </c>
      <c r="J193" s="171" t="inlineStr">
        <is>
          <t>04:25 PM</t>
        </is>
      </c>
      <c r="K193" s="156">
        <f>IF(AND(F193=0,I193=0),"",IF(F193&gt;I193,B193&amp;E193,IF(F193&lt;I193,B193&amp;H193,"Tie")))</f>
        <v/>
      </c>
      <c r="L193" s="156">
        <f>IFERROR(IF(AND(B193&lt;$L$1,F193&gt;I193),"Win",IF(AND(B193&lt;$L$1,F193&lt;I193),"Loss","")),"")</f>
        <v/>
      </c>
      <c r="M193" s="156">
        <f>IF(B193&lt;_CurWeek,"In","")</f>
        <v/>
      </c>
      <c r="N193" s="156">
        <f>IF(M193="In",E193&amp;G193,"")</f>
        <v/>
      </c>
      <c r="O193" s="156">
        <f>IF(L193="Win",1,0)</f>
        <v/>
      </c>
      <c r="U193" s="172" t="n"/>
    </row>
    <row r="194" ht="14.4" customHeight="1" s="152">
      <c r="A194" s="167">
        <f>B194&amp;E194</f>
        <v/>
      </c>
      <c r="B194" s="168" t="n">
        <v>13</v>
      </c>
      <c r="C194" s="168" t="inlineStr">
        <is>
          <t>Sunday</t>
        </is>
      </c>
      <c r="D194" s="169" t="inlineStr">
        <is>
          <t>2025-11-30</t>
        </is>
      </c>
      <c r="E194" s="168" t="inlineStr">
        <is>
          <t>Denver Broncos</t>
        </is>
      </c>
      <c r="F194" s="156" t="n"/>
      <c r="G194" s="168" t="inlineStr">
        <is>
          <t>Away</t>
        </is>
      </c>
      <c r="H194" s="170" t="inlineStr">
        <is>
          <t>Washington Commanders</t>
        </is>
      </c>
      <c r="J194" s="171" t="inlineStr">
        <is>
          <t>08:20 PM</t>
        </is>
      </c>
      <c r="K194" s="156">
        <f>IF(AND(F194=0,I194=0),"",IF(F194&gt;I194,B194&amp;E194,IF(F194&lt;I194,B194&amp;H194,"Tie")))</f>
        <v/>
      </c>
      <c r="L194" s="156">
        <f>IFERROR(IF(AND(B194&lt;$L$1,F194&gt;I194),"Win",IF(AND(B194&lt;$L$1,F194&lt;I194),"Loss","")),"")</f>
        <v/>
      </c>
      <c r="M194" s="156">
        <f>IF(B194&lt;_CurWeek,"In","")</f>
        <v/>
      </c>
      <c r="N194" s="156">
        <f>IF(M194="In",E194&amp;G194,"")</f>
        <v/>
      </c>
      <c r="O194" s="156">
        <f>IF(L194="Win",1,0)</f>
        <v/>
      </c>
      <c r="U194" s="172" t="n"/>
    </row>
    <row r="195" ht="14.4" customHeight="1" s="152">
      <c r="A195" s="167">
        <f>B195&amp;E195</f>
        <v/>
      </c>
      <c r="B195" s="168" t="n">
        <v>13</v>
      </c>
      <c r="C195" s="168" t="inlineStr">
        <is>
          <t>Monday</t>
        </is>
      </c>
      <c r="D195" s="169" t="inlineStr">
        <is>
          <t>2025-12-01</t>
        </is>
      </c>
      <c r="E195" s="168" t="inlineStr">
        <is>
          <t>New York Giants</t>
        </is>
      </c>
      <c r="F195" s="156" t="n"/>
      <c r="G195" s="168" t="inlineStr">
        <is>
          <t>Away</t>
        </is>
      </c>
      <c r="H195" s="170" t="inlineStr">
        <is>
          <t>New England Patriots</t>
        </is>
      </c>
      <c r="J195" s="171" t="inlineStr">
        <is>
          <t>08:15 PM</t>
        </is>
      </c>
      <c r="K195" s="156">
        <f>IF(AND(F195=0,I195=0),"",IF(F195&gt;I195,B195&amp;E195,IF(F195&lt;I195,B195&amp;H195,"Tie")))</f>
        <v/>
      </c>
      <c r="L195" s="156">
        <f>IFERROR(IF(AND(B195&lt;$L$1,F195&gt;I195),"Win",IF(AND(B195&lt;$L$1,F195&lt;I195),"Loss","")),"")</f>
        <v/>
      </c>
      <c r="M195" s="156">
        <f>IF(B195&lt;_CurWeek,"In","")</f>
        <v/>
      </c>
      <c r="N195" s="156">
        <f>IF(M195="In",E195&amp;G195,"")</f>
        <v/>
      </c>
      <c r="O195" s="156">
        <f>IF(L195="Win",1,0)</f>
        <v/>
      </c>
      <c r="U195" s="172" t="n"/>
    </row>
    <row r="196" ht="14.4" customHeight="1" s="152">
      <c r="A196" s="167">
        <f>B196&amp;E196</f>
        <v/>
      </c>
      <c r="B196" s="168" t="n">
        <v>14</v>
      </c>
      <c r="C196" s="168" t="inlineStr">
        <is>
          <t>Thursday</t>
        </is>
      </c>
      <c r="D196" s="169" t="inlineStr">
        <is>
          <t>2025-12-04</t>
        </is>
      </c>
      <c r="E196" s="168" t="inlineStr">
        <is>
          <t>Dallas Cowboys</t>
        </is>
      </c>
      <c r="F196" s="156" t="n"/>
      <c r="G196" s="168" t="inlineStr">
        <is>
          <t>Away</t>
        </is>
      </c>
      <c r="H196" s="170" t="inlineStr">
        <is>
          <t>Detroit Lions</t>
        </is>
      </c>
      <c r="J196" s="171" t="inlineStr">
        <is>
          <t>08:15 PM</t>
        </is>
      </c>
      <c r="K196" s="156">
        <f>IF(AND(F196=0,I196=0),"",IF(F196&gt;I196,B196&amp;E196,IF(F196&lt;I196,B196&amp;H196,"Tie")))</f>
        <v/>
      </c>
      <c r="L196" s="156">
        <f>IFERROR(IF(AND(B196&lt;$L$1,F196&gt;I196),"Win",IF(AND(B196&lt;$L$1,F196&lt;I196),"Loss","")),"")</f>
        <v/>
      </c>
      <c r="M196" s="156">
        <f>IF(B196&lt;_CurWeek,"In","")</f>
        <v/>
      </c>
      <c r="N196" s="156">
        <f>IF(M196="In",E196&amp;G196,"")</f>
        <v/>
      </c>
      <c r="O196" s="156">
        <f>IF(L196="Win",1,0)</f>
        <v/>
      </c>
      <c r="U196" s="172" t="n"/>
    </row>
    <row r="197" ht="14.4" customHeight="1" s="152">
      <c r="A197" s="167">
        <f>B197&amp;E197</f>
        <v/>
      </c>
      <c r="B197" s="168" t="n">
        <v>14</v>
      </c>
      <c r="C197" s="168" t="inlineStr">
        <is>
          <t>Sunday</t>
        </is>
      </c>
      <c r="D197" s="169" t="inlineStr">
        <is>
          <t>2025-12-07</t>
        </is>
      </c>
      <c r="E197" s="168" t="inlineStr">
        <is>
          <t>Seattle Seahawks</t>
        </is>
      </c>
      <c r="F197" s="156" t="n"/>
      <c r="G197" s="168" t="inlineStr">
        <is>
          <t>Away</t>
        </is>
      </c>
      <c r="H197" s="170" t="inlineStr">
        <is>
          <t>Atlanta Falcons</t>
        </is>
      </c>
      <c r="J197" s="171" t="inlineStr">
        <is>
          <t>01:00 PM</t>
        </is>
      </c>
      <c r="K197" s="156">
        <f>IF(AND(F197=0,I197=0),"",IF(F197&gt;I197,B197&amp;E197,IF(F197&lt;I197,B197&amp;H197,"Tie")))</f>
        <v/>
      </c>
      <c r="L197" s="156">
        <f>IFERROR(IF(AND(B197&lt;$L$1,F197&gt;I197),"Win",IF(AND(B197&lt;$L$1,F197&lt;I197),"Loss","")),"")</f>
        <v/>
      </c>
      <c r="M197" s="156">
        <f>IF(B197&lt;_CurWeek,"In","")</f>
        <v/>
      </c>
      <c r="N197" s="156">
        <f>IF(M197="In",E197&amp;G197,"")</f>
        <v/>
      </c>
      <c r="O197" s="156">
        <f>IF(L197="Win",1,0)</f>
        <v/>
      </c>
      <c r="U197" s="172" t="n"/>
    </row>
    <row r="198" ht="14.4" customHeight="1" s="152">
      <c r="A198" s="167">
        <f>B198&amp;E198</f>
        <v/>
      </c>
      <c r="B198" s="168" t="n">
        <v>14</v>
      </c>
      <c r="C198" s="168" t="inlineStr">
        <is>
          <t>Sunday</t>
        </is>
      </c>
      <c r="D198" s="169" t="inlineStr">
        <is>
          <t>2025-12-07</t>
        </is>
      </c>
      <c r="E198" s="168" t="inlineStr">
        <is>
          <t>Pittsburgh Steelers</t>
        </is>
      </c>
      <c r="F198" s="156" t="n"/>
      <c r="G198" s="168" t="inlineStr">
        <is>
          <t>Away</t>
        </is>
      </c>
      <c r="H198" s="170" t="inlineStr">
        <is>
          <t>Baltimore Ravens</t>
        </is>
      </c>
      <c r="J198" s="171" t="inlineStr">
        <is>
          <t>01:00 PM</t>
        </is>
      </c>
      <c r="K198" s="156">
        <f>IF(AND(F198=0,I198=0),"",IF(F198&gt;I198,B198&amp;E198,IF(F198&lt;I198,B198&amp;H198,"Tie")))</f>
        <v/>
      </c>
      <c r="L198" s="156">
        <f>IFERROR(IF(AND(B198&lt;$L$1,F198&gt;I198),"Win",IF(AND(B198&lt;$L$1,F198&lt;I198),"Loss","")),"")</f>
        <v/>
      </c>
      <c r="M198" s="156">
        <f>IF(B198&lt;_CurWeek,"In","")</f>
        <v/>
      </c>
      <c r="N198" s="156">
        <f>IF(M198="In",E198&amp;G198,"")</f>
        <v/>
      </c>
      <c r="O198" s="156">
        <f>IF(L198="Win",1,0)</f>
        <v/>
      </c>
      <c r="U198" s="172" t="n"/>
    </row>
    <row r="199" ht="14.4" customHeight="1" s="152">
      <c r="A199" s="167">
        <f>B199&amp;E199</f>
        <v/>
      </c>
      <c r="B199" s="168" t="n">
        <v>14</v>
      </c>
      <c r="C199" s="168" t="inlineStr">
        <is>
          <t>Sunday</t>
        </is>
      </c>
      <c r="D199" s="169" t="inlineStr">
        <is>
          <t>2025-12-07</t>
        </is>
      </c>
      <c r="E199" s="168" t="inlineStr">
        <is>
          <t>Tennessee Titans</t>
        </is>
      </c>
      <c r="F199" s="156" t="n"/>
      <c r="G199" s="168" t="inlineStr">
        <is>
          <t>Away</t>
        </is>
      </c>
      <c r="H199" s="170" t="inlineStr">
        <is>
          <t>Cleveland Browns</t>
        </is>
      </c>
      <c r="J199" s="171" t="inlineStr">
        <is>
          <t>01:00 PM</t>
        </is>
      </c>
      <c r="K199" s="156">
        <f>IF(AND(F199=0,I199=0),"",IF(F199&gt;I199,B199&amp;E199,IF(F199&lt;I199,B199&amp;H199,"Tie")))</f>
        <v/>
      </c>
      <c r="L199" s="156">
        <f>IFERROR(IF(AND(B199&lt;$L$1,F199&gt;I199),"Win",IF(AND(B199&lt;$L$1,F199&lt;I199),"Loss","")),"")</f>
        <v/>
      </c>
      <c r="M199" s="156">
        <f>IF(B199&lt;_CurWeek,"In","")</f>
        <v/>
      </c>
      <c r="N199" s="156">
        <f>IF(M199="In",E199&amp;G199,"")</f>
        <v/>
      </c>
      <c r="O199" s="156">
        <f>IF(L199="Win",1,0)</f>
        <v/>
      </c>
      <c r="U199" s="172" t="n"/>
    </row>
    <row r="200" ht="14.4" customHeight="1" s="152">
      <c r="A200" s="167">
        <f>B200&amp;E200</f>
        <v/>
      </c>
      <c r="B200" s="168" t="n">
        <v>14</v>
      </c>
      <c r="C200" s="168" t="inlineStr">
        <is>
          <t>Sunday</t>
        </is>
      </c>
      <c r="D200" s="169" t="inlineStr">
        <is>
          <t>2025-12-07</t>
        </is>
      </c>
      <c r="E200" s="168" t="inlineStr">
        <is>
          <t>Chicago Bears</t>
        </is>
      </c>
      <c r="F200" s="156" t="n"/>
      <c r="G200" s="168" t="inlineStr">
        <is>
          <t>Away</t>
        </is>
      </c>
      <c r="H200" s="170" t="inlineStr">
        <is>
          <t>Green Bay Packers</t>
        </is>
      </c>
      <c r="J200" s="171" t="inlineStr">
        <is>
          <t>01:00 PM</t>
        </is>
      </c>
      <c r="K200" s="156">
        <f>IF(AND(F200=0,I200=0),"",IF(F200&gt;I200,B200&amp;E200,IF(F200&lt;I200,B200&amp;H200,"Tie")))</f>
        <v/>
      </c>
      <c r="L200" s="156">
        <f>IFERROR(IF(AND(B200&lt;$L$1,F200&gt;I200),"Win",IF(AND(B200&lt;$L$1,F200&lt;I200),"Loss","")),"")</f>
        <v/>
      </c>
      <c r="M200" s="156">
        <f>IF(B200&lt;_CurWeek,"In","")</f>
        <v/>
      </c>
      <c r="N200" s="156">
        <f>IF(M200="In",E200&amp;G200,"")</f>
        <v/>
      </c>
      <c r="O200" s="156">
        <f>IF(L200="Win",1,0)</f>
        <v/>
      </c>
      <c r="U200" s="172" t="n"/>
    </row>
    <row r="201" ht="14.4" customHeight="1" s="152">
      <c r="A201" s="167">
        <f>B201&amp;E201</f>
        <v/>
      </c>
      <c r="B201" s="168" t="n">
        <v>14</v>
      </c>
      <c r="C201" s="168" t="inlineStr">
        <is>
          <t>Sunday</t>
        </is>
      </c>
      <c r="D201" s="169" t="inlineStr">
        <is>
          <t>2025-12-07</t>
        </is>
      </c>
      <c r="E201" s="168" t="inlineStr">
        <is>
          <t>Indianapolis Colts</t>
        </is>
      </c>
      <c r="F201" s="156" t="n"/>
      <c r="G201" s="168" t="inlineStr">
        <is>
          <t>Away</t>
        </is>
      </c>
      <c r="H201" s="170" t="inlineStr">
        <is>
          <t>Jacksonville Jaguars</t>
        </is>
      </c>
      <c r="J201" s="171" t="inlineStr">
        <is>
          <t>01:00 PM</t>
        </is>
      </c>
      <c r="K201" s="156">
        <f>IF(AND(F201=0,I201=0),"",IF(F201&gt;I201,B201&amp;E201,IF(F201&lt;I201,B201&amp;H201,"Tie")))</f>
        <v/>
      </c>
      <c r="L201" s="156">
        <f>IFERROR(IF(AND(B201&lt;$L$1,F201&gt;I201),"Win",IF(AND(B201&lt;$L$1,F201&lt;I201),"Loss","")),"")</f>
        <v/>
      </c>
      <c r="M201" s="156">
        <f>IF(B201&lt;_CurWeek,"In","")</f>
        <v/>
      </c>
      <c r="N201" s="156">
        <f>IF(M201="In",E201&amp;G201,"")</f>
        <v/>
      </c>
      <c r="O201" s="156">
        <f>IF(L201="Win",1,0)</f>
        <v/>
      </c>
      <c r="U201" s="172" t="n"/>
    </row>
    <row r="202" ht="14.4" customHeight="1" s="152">
      <c r="A202" s="167">
        <f>B202&amp;E202</f>
        <v/>
      </c>
      <c r="B202" s="168" t="n">
        <v>14</v>
      </c>
      <c r="C202" s="168" t="inlineStr">
        <is>
          <t>Sunday</t>
        </is>
      </c>
      <c r="D202" s="169" t="inlineStr">
        <is>
          <t>2025-12-07</t>
        </is>
      </c>
      <c r="E202" s="168" t="inlineStr">
        <is>
          <t>Washington Commanders</t>
        </is>
      </c>
      <c r="F202" s="156" t="n"/>
      <c r="G202" s="168" t="inlineStr">
        <is>
          <t>Away</t>
        </is>
      </c>
      <c r="H202" s="170" t="inlineStr">
        <is>
          <t>Minnesota Vikings</t>
        </is>
      </c>
      <c r="J202" s="171" t="inlineStr">
        <is>
          <t>01:00 PM</t>
        </is>
      </c>
      <c r="K202" s="156">
        <f>IF(AND(F202=0,I202=0),"",IF(F202&gt;I202,B202&amp;E202,IF(F202&lt;I202,B202&amp;H202,"Tie")))</f>
        <v/>
      </c>
      <c r="L202" s="156">
        <f>IFERROR(IF(AND(B202&lt;$L$1,F202&gt;I202),"Win",IF(AND(B202&lt;$L$1,F202&lt;I202),"Loss","")),"")</f>
        <v/>
      </c>
      <c r="M202" s="156">
        <f>IF(B202&lt;_CurWeek,"In","")</f>
        <v/>
      </c>
      <c r="N202" s="156">
        <f>IF(M202="In",E202&amp;G202,"")</f>
        <v/>
      </c>
      <c r="O202" s="156">
        <f>IF(L202="Win",1,0)</f>
        <v/>
      </c>
      <c r="U202" s="172" t="n"/>
    </row>
    <row r="203" ht="14.4" customHeight="1" s="152">
      <c r="A203" s="167">
        <f>B203&amp;E203</f>
        <v/>
      </c>
      <c r="B203" s="168" t="n">
        <v>14</v>
      </c>
      <c r="C203" s="168" t="inlineStr">
        <is>
          <t>Sunday</t>
        </is>
      </c>
      <c r="D203" s="169" t="inlineStr">
        <is>
          <t>2025-12-07</t>
        </is>
      </c>
      <c r="E203" s="168" t="inlineStr">
        <is>
          <t>Miami Dolphins</t>
        </is>
      </c>
      <c r="F203" s="156" t="n"/>
      <c r="G203" s="168" t="inlineStr">
        <is>
          <t>Away</t>
        </is>
      </c>
      <c r="H203" s="170" t="inlineStr">
        <is>
          <t>New York Jets</t>
        </is>
      </c>
      <c r="J203" s="171" t="inlineStr">
        <is>
          <t>01:00 PM</t>
        </is>
      </c>
      <c r="K203" s="156">
        <f>IF(AND(F203=0,I203=0),"",IF(F203&gt;I203,B203&amp;E203,IF(F203&lt;I203,B203&amp;H203,"Tie")))</f>
        <v/>
      </c>
      <c r="L203" s="156">
        <f>IFERROR(IF(AND(B203&lt;$L$1,F203&gt;I203),"Win",IF(AND(B203&lt;$L$1,F203&lt;I203),"Loss","")),"")</f>
        <v/>
      </c>
      <c r="M203" s="156">
        <f>IF(B203&lt;_CurWeek,"In","")</f>
        <v/>
      </c>
      <c r="N203" s="156">
        <f>IF(M203="In",E203&amp;G203,"")</f>
        <v/>
      </c>
      <c r="O203" s="156">
        <f>IF(L203="Win",1,0)</f>
        <v/>
      </c>
      <c r="U203" s="172" t="n"/>
    </row>
    <row r="204" ht="14.4" customHeight="1" s="152">
      <c r="A204" s="167">
        <f>B204&amp;E204</f>
        <v/>
      </c>
      <c r="B204" s="168" t="n">
        <v>14</v>
      </c>
      <c r="C204" s="168" t="inlineStr">
        <is>
          <t>Sunday</t>
        </is>
      </c>
      <c r="D204" s="169" t="inlineStr">
        <is>
          <t>2025-12-07</t>
        </is>
      </c>
      <c r="E204" s="168" t="inlineStr">
        <is>
          <t>New Orleans Saints</t>
        </is>
      </c>
      <c r="F204" s="156" t="n"/>
      <c r="G204" s="168" t="inlineStr">
        <is>
          <t>Away</t>
        </is>
      </c>
      <c r="H204" s="170" t="inlineStr">
        <is>
          <t>Tampa Bay Buccaneers</t>
        </is>
      </c>
      <c r="J204" s="171" t="inlineStr">
        <is>
          <t>01:00 PM</t>
        </is>
      </c>
      <c r="K204" s="156">
        <f>IF(AND(F204=0,I204=0),"",IF(F204&gt;I204,B204&amp;E204,IF(F204&lt;I204,B204&amp;H204,"Tie")))</f>
        <v/>
      </c>
      <c r="L204" s="156">
        <f>IFERROR(IF(AND(B204&lt;$L$1,F204&gt;I204),"Win",IF(AND(B204&lt;$L$1,F204&lt;I204),"Loss","")),"")</f>
        <v/>
      </c>
      <c r="M204" s="156">
        <f>IF(B204&lt;_CurWeek,"In","")</f>
        <v/>
      </c>
      <c r="N204" s="156">
        <f>IF(M204="In",E204&amp;G204,"")</f>
        <v/>
      </c>
      <c r="O204" s="156">
        <f>IF(L204="Win",1,0)</f>
        <v/>
      </c>
      <c r="U204" s="172" t="n"/>
    </row>
    <row r="205" ht="14.4" customHeight="1" s="152">
      <c r="A205" s="167">
        <f>B205&amp;E205</f>
        <v/>
      </c>
      <c r="B205" s="168" t="n">
        <v>14</v>
      </c>
      <c r="C205" s="168" t="inlineStr">
        <is>
          <t>Sunday</t>
        </is>
      </c>
      <c r="D205" s="169" t="inlineStr">
        <is>
          <t>2025-12-07</t>
        </is>
      </c>
      <c r="E205" s="168" t="inlineStr">
        <is>
          <t>Denver Broncos</t>
        </is>
      </c>
      <c r="F205" s="156" t="n"/>
      <c r="G205" s="168" t="inlineStr">
        <is>
          <t>Away</t>
        </is>
      </c>
      <c r="H205" s="170" t="inlineStr">
        <is>
          <t>Las Vegas Raiders</t>
        </is>
      </c>
      <c r="J205" s="171" t="inlineStr">
        <is>
          <t>04:05 PM</t>
        </is>
      </c>
      <c r="K205" s="156">
        <f>IF(AND(F205=0,I205=0),"",IF(F205&gt;I205,B205&amp;E205,IF(F205&lt;I205,B205&amp;H205,"Tie")))</f>
        <v/>
      </c>
      <c r="L205" s="156">
        <f>IFERROR(IF(AND(B205&lt;$L$1,F205&gt;I205),"Win",IF(AND(B205&lt;$L$1,F205&lt;I205),"Loss","")),"")</f>
        <v/>
      </c>
      <c r="M205" s="156">
        <f>IF(B205&lt;_CurWeek,"In","")</f>
        <v/>
      </c>
      <c r="N205" s="156">
        <f>IF(M205="In",E205&amp;G205,"")</f>
        <v/>
      </c>
      <c r="O205" s="156">
        <f>IF(L205="Win",1,0)</f>
        <v/>
      </c>
      <c r="U205" s="172" t="n"/>
    </row>
    <row r="206" ht="14.4" customHeight="1" s="152">
      <c r="A206" s="167">
        <f>B206&amp;E206</f>
        <v/>
      </c>
      <c r="B206" s="168" t="n">
        <v>14</v>
      </c>
      <c r="C206" s="168" t="inlineStr">
        <is>
          <t>Sunday</t>
        </is>
      </c>
      <c r="D206" s="169" t="inlineStr">
        <is>
          <t>2025-12-07</t>
        </is>
      </c>
      <c r="E206" s="168" t="inlineStr">
        <is>
          <t>Los Angeles Rams</t>
        </is>
      </c>
      <c r="F206" s="156" t="n"/>
      <c r="G206" s="168" t="inlineStr">
        <is>
          <t>Away</t>
        </is>
      </c>
      <c r="H206" s="170" t="inlineStr">
        <is>
          <t>Arizona Cardinals</t>
        </is>
      </c>
      <c r="J206" s="171" t="inlineStr">
        <is>
          <t>04:25 PM</t>
        </is>
      </c>
      <c r="K206" s="156">
        <f>IF(AND(F206=0,I206=0),"",IF(F206&gt;I206,B206&amp;E206,IF(F206&lt;I206,B206&amp;H206,"Tie")))</f>
        <v/>
      </c>
      <c r="L206" s="156">
        <f>IFERROR(IF(AND(B206&lt;$L$1,F206&gt;I206),"Win",IF(AND(B206&lt;$L$1,F206&lt;I206),"Loss","")),"")</f>
        <v/>
      </c>
      <c r="M206" s="156">
        <f>IF(B206&lt;_CurWeek,"In","")</f>
        <v/>
      </c>
      <c r="N206" s="156">
        <f>IF(M206="In",E206&amp;G206,"")</f>
        <v/>
      </c>
      <c r="O206" s="156">
        <f>IF(L206="Win",1,0)</f>
        <v/>
      </c>
      <c r="U206" s="172" t="n"/>
    </row>
    <row r="207" ht="14.4" customHeight="1" s="152">
      <c r="A207" s="167">
        <f>B207&amp;E207</f>
        <v/>
      </c>
      <c r="B207" s="168" t="n">
        <v>14</v>
      </c>
      <c r="C207" s="168" t="inlineStr">
        <is>
          <t>Sunday</t>
        </is>
      </c>
      <c r="D207" s="169" t="inlineStr">
        <is>
          <t>2025-12-07</t>
        </is>
      </c>
      <c r="E207" s="168" t="inlineStr">
        <is>
          <t>Cincinnati Bengals</t>
        </is>
      </c>
      <c r="F207" s="156" t="n"/>
      <c r="G207" s="168" t="inlineStr">
        <is>
          <t>Away</t>
        </is>
      </c>
      <c r="H207" s="170" t="inlineStr">
        <is>
          <t>Buffalo Bills</t>
        </is>
      </c>
      <c r="J207" s="171" t="inlineStr">
        <is>
          <t>04:25 PM</t>
        </is>
      </c>
      <c r="K207" s="156">
        <f>IF(AND(F207=0,I207=0),"",IF(F207&gt;I207,B207&amp;E207,IF(F207&lt;I207,B207&amp;H207,"Tie")))</f>
        <v/>
      </c>
      <c r="L207" s="156">
        <f>IFERROR(IF(AND(B207&lt;$L$1,F207&gt;I207),"Win",IF(AND(B207&lt;$L$1,F207&lt;I207),"Loss","")),"")</f>
        <v/>
      </c>
      <c r="M207" s="156">
        <f>IF(B207&lt;_CurWeek,"In","")</f>
        <v/>
      </c>
      <c r="N207" s="156">
        <f>IF(M207="In",E207&amp;G207,"")</f>
        <v/>
      </c>
      <c r="O207" s="156">
        <f>IF(L207="Win",1,0)</f>
        <v/>
      </c>
      <c r="U207" s="172" t="n"/>
    </row>
    <row r="208" ht="14.4" customHeight="1" s="152">
      <c r="A208" s="167">
        <f>B208&amp;E208</f>
        <v/>
      </c>
      <c r="B208" s="168" t="n">
        <v>14</v>
      </c>
      <c r="C208" s="168" t="inlineStr">
        <is>
          <t>Sunday</t>
        </is>
      </c>
      <c r="D208" s="169" t="inlineStr">
        <is>
          <t>2025-12-07</t>
        </is>
      </c>
      <c r="E208" s="168" t="inlineStr">
        <is>
          <t>Houston Texans</t>
        </is>
      </c>
      <c r="F208" s="156" t="n"/>
      <c r="G208" s="168" t="inlineStr">
        <is>
          <t>Away</t>
        </is>
      </c>
      <c r="H208" s="170" t="inlineStr">
        <is>
          <t>Kansas City Chiefs</t>
        </is>
      </c>
      <c r="J208" s="171" t="inlineStr">
        <is>
          <t>08:20 PM</t>
        </is>
      </c>
      <c r="K208" s="156">
        <f>IF(AND(F208=0,I208=0),"",IF(F208&gt;I208,B208&amp;E208,IF(F208&lt;I208,B208&amp;H208,"Tie")))</f>
        <v/>
      </c>
      <c r="L208" s="156">
        <f>IFERROR(IF(AND(B208&lt;$L$1,F208&gt;I208),"Win",IF(AND(B208&lt;$L$1,F208&lt;I208),"Loss","")),"")</f>
        <v/>
      </c>
      <c r="M208" s="156">
        <f>IF(B208&lt;_CurWeek,"In","")</f>
        <v/>
      </c>
      <c r="N208" s="156">
        <f>IF(M208="In",E208&amp;G208,"")</f>
        <v/>
      </c>
      <c r="O208" s="156">
        <f>IF(L208="Win",1,0)</f>
        <v/>
      </c>
      <c r="U208" s="172" t="n"/>
    </row>
    <row r="209" ht="14.4" customHeight="1" s="152">
      <c r="A209" s="167">
        <f>B209&amp;E209</f>
        <v/>
      </c>
      <c r="B209" s="168" t="n">
        <v>14</v>
      </c>
      <c r="C209" s="168" t="inlineStr">
        <is>
          <t>Monday</t>
        </is>
      </c>
      <c r="D209" s="169" t="inlineStr">
        <is>
          <t>2025-12-08</t>
        </is>
      </c>
      <c r="E209" s="168" t="inlineStr">
        <is>
          <t>Philadelphia Eagles</t>
        </is>
      </c>
      <c r="F209" s="156" t="n"/>
      <c r="G209" s="168" t="inlineStr">
        <is>
          <t>Away</t>
        </is>
      </c>
      <c r="H209" s="170" t="inlineStr">
        <is>
          <t>Los Angeles Chargers</t>
        </is>
      </c>
      <c r="J209" s="171" t="inlineStr">
        <is>
          <t>08:15 PM</t>
        </is>
      </c>
      <c r="K209" s="156">
        <f>IF(AND(F209=0,I209=0),"",IF(F209&gt;I209,B209&amp;E209,IF(F209&lt;I209,B209&amp;H209,"Tie")))</f>
        <v/>
      </c>
      <c r="L209" s="156">
        <f>IFERROR(IF(AND(B209&lt;$L$1,F209&gt;I209),"Win",IF(AND(B209&lt;$L$1,F209&lt;I209),"Loss","")),"")</f>
        <v/>
      </c>
      <c r="M209" s="156">
        <f>IF(B209&lt;_CurWeek,"In","")</f>
        <v/>
      </c>
      <c r="N209" s="156">
        <f>IF(M209="In",E209&amp;G209,"")</f>
        <v/>
      </c>
      <c r="O209" s="156">
        <f>IF(L209="Win",1,0)</f>
        <v/>
      </c>
      <c r="U209" s="172" t="n"/>
    </row>
    <row r="210" ht="14.4" customHeight="1" s="152">
      <c r="A210" s="167">
        <f>B210&amp;E210</f>
        <v/>
      </c>
      <c r="B210" s="168" t="n">
        <v>15</v>
      </c>
      <c r="C210" s="168" t="inlineStr">
        <is>
          <t>Thursday</t>
        </is>
      </c>
      <c r="D210" s="169" t="inlineStr">
        <is>
          <t>2025-12-11</t>
        </is>
      </c>
      <c r="E210" s="168" t="inlineStr">
        <is>
          <t>Atlanta Falcons</t>
        </is>
      </c>
      <c r="F210" s="156" t="n"/>
      <c r="G210" s="168" t="inlineStr">
        <is>
          <t>Away</t>
        </is>
      </c>
      <c r="H210" s="170" t="inlineStr">
        <is>
          <t>Tampa Bay Buccaneers</t>
        </is>
      </c>
      <c r="J210" s="171" t="inlineStr">
        <is>
          <t>08:15 PM</t>
        </is>
      </c>
      <c r="K210" s="156">
        <f>IF(AND(F210=0,I210=0),"",IF(F210&gt;I210,B210&amp;E210,IF(F210&lt;I210,B210&amp;H210,"Tie")))</f>
        <v/>
      </c>
      <c r="L210" s="156">
        <f>IFERROR(IF(AND(B210&lt;$L$1,F210&gt;I210),"Win",IF(AND(B210&lt;$L$1,F210&lt;I210),"Loss","")),"")</f>
        <v/>
      </c>
      <c r="M210" s="156">
        <f>IF(B210&lt;_CurWeek,"In","")</f>
        <v/>
      </c>
      <c r="N210" s="156">
        <f>IF(M210="In",E210&amp;G210,"")</f>
        <v/>
      </c>
      <c r="O210" s="156">
        <f>IF(L210="Win",1,0)</f>
        <v/>
      </c>
      <c r="U210" s="172" t="n"/>
    </row>
    <row r="211" ht="14.4" customHeight="1" s="152">
      <c r="A211" s="167">
        <f>B211&amp;E211</f>
        <v/>
      </c>
      <c r="B211" s="168" t="n">
        <v>15</v>
      </c>
      <c r="C211" s="168" t="inlineStr">
        <is>
          <t>Sunday</t>
        </is>
      </c>
      <c r="D211" s="169" t="inlineStr">
        <is>
          <t>2025-12-14</t>
        </is>
      </c>
      <c r="E211" s="168" t="inlineStr">
        <is>
          <t>Cleveland Browns</t>
        </is>
      </c>
      <c r="F211" s="156" t="n"/>
      <c r="G211" s="168" t="inlineStr">
        <is>
          <t>Away</t>
        </is>
      </c>
      <c r="H211" s="170" t="inlineStr">
        <is>
          <t>Chicago Bears</t>
        </is>
      </c>
      <c r="J211" s="171" t="inlineStr">
        <is>
          <t>01:00 PM</t>
        </is>
      </c>
      <c r="K211" s="156">
        <f>IF(AND(F211=0,I211=0),"",IF(F211&gt;I211,B211&amp;E211,IF(F211&lt;I211,B211&amp;H211,"Tie")))</f>
        <v/>
      </c>
      <c r="L211" s="156">
        <f>IFERROR(IF(AND(B211&lt;$L$1,F211&gt;I211),"Win",IF(AND(B211&lt;$L$1,F211&lt;I211),"Loss","")),"")</f>
        <v/>
      </c>
      <c r="M211" s="156">
        <f>IF(B211&lt;_CurWeek,"In","")</f>
        <v/>
      </c>
      <c r="N211" s="156">
        <f>IF(M211="In",E211&amp;G211,"")</f>
        <v/>
      </c>
      <c r="O211" s="156">
        <f>IF(L211="Win",1,0)</f>
        <v/>
      </c>
      <c r="U211" s="172" t="n"/>
    </row>
    <row r="212" ht="14.4" customHeight="1" s="152">
      <c r="A212" s="167">
        <f>B212&amp;E212</f>
        <v/>
      </c>
      <c r="B212" s="168" t="n">
        <v>15</v>
      </c>
      <c r="C212" s="168" t="inlineStr">
        <is>
          <t>Sunday</t>
        </is>
      </c>
      <c r="D212" s="169" t="inlineStr">
        <is>
          <t>2025-12-14</t>
        </is>
      </c>
      <c r="E212" s="168" t="inlineStr">
        <is>
          <t>Baltimore Ravens</t>
        </is>
      </c>
      <c r="F212" s="156" t="n"/>
      <c r="G212" s="168" t="inlineStr">
        <is>
          <t>Away</t>
        </is>
      </c>
      <c r="H212" s="170" t="inlineStr">
        <is>
          <t>Cincinnati Bengals</t>
        </is>
      </c>
      <c r="J212" s="171" t="inlineStr">
        <is>
          <t>01:00 PM</t>
        </is>
      </c>
      <c r="K212" s="156">
        <f>IF(AND(F212=0,I212=0),"",IF(F212&gt;I212,B212&amp;E212,IF(F212&lt;I212,B212&amp;H212,"Tie")))</f>
        <v/>
      </c>
      <c r="L212" s="156">
        <f>IFERROR(IF(AND(B212&lt;$L$1,F212&gt;I212),"Win",IF(AND(B212&lt;$L$1,F212&lt;I212),"Loss","")),"")</f>
        <v/>
      </c>
      <c r="M212" s="156">
        <f>IF(B212&lt;_CurWeek,"In","")</f>
        <v/>
      </c>
      <c r="N212" s="156">
        <f>IF(M212="In",E212&amp;G212,"")</f>
        <v/>
      </c>
      <c r="O212" s="156">
        <f>IF(L212="Win",1,0)</f>
        <v/>
      </c>
      <c r="U212" s="172" t="n"/>
    </row>
    <row r="213" ht="14.4" customHeight="1" s="152">
      <c r="A213" s="167">
        <f>B213&amp;E213</f>
        <v/>
      </c>
      <c r="B213" s="168" t="n">
        <v>15</v>
      </c>
      <c r="C213" s="168" t="inlineStr">
        <is>
          <t>Sunday</t>
        </is>
      </c>
      <c r="D213" s="169" t="inlineStr">
        <is>
          <t>2025-12-14</t>
        </is>
      </c>
      <c r="E213" s="168" t="inlineStr">
        <is>
          <t>Arizona Cardinals</t>
        </is>
      </c>
      <c r="F213" s="156" t="n"/>
      <c r="G213" s="168" t="inlineStr">
        <is>
          <t>Away</t>
        </is>
      </c>
      <c r="H213" s="170" t="inlineStr">
        <is>
          <t>Houston Texans</t>
        </is>
      </c>
      <c r="J213" s="171" t="inlineStr">
        <is>
          <t>01:00 PM</t>
        </is>
      </c>
      <c r="K213" s="156">
        <f>IF(AND(F213=0,I213=0),"",IF(F213&gt;I213,B213&amp;E213,IF(F213&lt;I213,B213&amp;H213,"Tie")))</f>
        <v/>
      </c>
      <c r="L213" s="156">
        <f>IFERROR(IF(AND(B213&lt;$L$1,F213&gt;I213),"Win",IF(AND(B213&lt;$L$1,F213&lt;I213),"Loss","")),"")</f>
        <v/>
      </c>
      <c r="M213" s="156">
        <f>IF(B213&lt;_CurWeek,"In","")</f>
        <v/>
      </c>
      <c r="N213" s="156">
        <f>IF(M213="In",E213&amp;G213,"")</f>
        <v/>
      </c>
      <c r="O213" s="156">
        <f>IF(L213="Win",1,0)</f>
        <v/>
      </c>
      <c r="U213" s="172" t="n"/>
    </row>
    <row r="214" ht="14.4" customHeight="1" s="152">
      <c r="A214" s="167">
        <f>B214&amp;E214</f>
        <v/>
      </c>
      <c r="B214" s="168" t="n">
        <v>15</v>
      </c>
      <c r="C214" s="168" t="inlineStr">
        <is>
          <t>Sunday</t>
        </is>
      </c>
      <c r="D214" s="169" t="inlineStr">
        <is>
          <t>2025-12-14</t>
        </is>
      </c>
      <c r="E214" s="168" t="inlineStr">
        <is>
          <t>New York Jets</t>
        </is>
      </c>
      <c r="F214" s="156" t="n"/>
      <c r="G214" s="168" t="inlineStr">
        <is>
          <t>Away</t>
        </is>
      </c>
      <c r="H214" s="170" t="inlineStr">
        <is>
          <t>Jacksonville Jaguars</t>
        </is>
      </c>
      <c r="J214" s="171" t="inlineStr">
        <is>
          <t>01:00 PM</t>
        </is>
      </c>
      <c r="K214" s="156">
        <f>IF(AND(F214=0,I214=0),"",IF(F214&gt;I214,B214&amp;E214,IF(F214&lt;I214,B214&amp;H214,"Tie")))</f>
        <v/>
      </c>
      <c r="L214" s="156">
        <f>IFERROR(IF(AND(B214&lt;$L$1,F214&gt;I214),"Win",IF(AND(B214&lt;$L$1,F214&lt;I214),"Loss","")),"")</f>
        <v/>
      </c>
      <c r="M214" s="156">
        <f>IF(B214&lt;_CurWeek,"In","")</f>
        <v/>
      </c>
      <c r="N214" s="156">
        <f>IF(M214="In",E214&amp;G214,"")</f>
        <v/>
      </c>
      <c r="O214" s="156">
        <f>IF(L214="Win",1,0)</f>
        <v/>
      </c>
      <c r="U214" s="172" t="n"/>
    </row>
    <row r="215" ht="14.4" customHeight="1" s="152">
      <c r="A215" s="167">
        <f>B215&amp;E215</f>
        <v/>
      </c>
      <c r="B215" s="168" t="n">
        <v>15</v>
      </c>
      <c r="C215" s="168" t="inlineStr">
        <is>
          <t>Sunday</t>
        </is>
      </c>
      <c r="D215" s="169" t="inlineStr">
        <is>
          <t>2025-12-14</t>
        </is>
      </c>
      <c r="E215" s="168" t="inlineStr">
        <is>
          <t>Los Angeles Chargers</t>
        </is>
      </c>
      <c r="F215" s="156" t="n"/>
      <c r="G215" s="168" t="inlineStr">
        <is>
          <t>Away</t>
        </is>
      </c>
      <c r="H215" s="170" t="inlineStr">
        <is>
          <t>Kansas City Chiefs</t>
        </is>
      </c>
      <c r="J215" s="171" t="inlineStr">
        <is>
          <t>01:00 PM</t>
        </is>
      </c>
      <c r="K215" s="156">
        <f>IF(AND(F215=0,I215=0),"",IF(F215&gt;I215,B215&amp;E215,IF(F215&lt;I215,B215&amp;H215,"Tie")))</f>
        <v/>
      </c>
      <c r="L215" s="156">
        <f>IFERROR(IF(AND(B215&lt;$L$1,F215&gt;I215),"Win",IF(AND(B215&lt;$L$1,F215&lt;I215),"Loss","")),"")</f>
        <v/>
      </c>
      <c r="M215" s="156">
        <f>IF(B215&lt;_CurWeek,"In","")</f>
        <v/>
      </c>
      <c r="N215" s="156">
        <f>IF(M215="In",E215&amp;G215,"")</f>
        <v/>
      </c>
      <c r="O215" s="156">
        <f>IF(L215="Win",1,0)</f>
        <v/>
      </c>
      <c r="U215" s="172" t="n"/>
    </row>
    <row r="216" ht="14.4" customHeight="1" s="152">
      <c r="A216" s="167">
        <f>B216&amp;E216</f>
        <v/>
      </c>
      <c r="B216" s="168" t="n">
        <v>15</v>
      </c>
      <c r="C216" s="168" t="inlineStr">
        <is>
          <t>Sunday</t>
        </is>
      </c>
      <c r="D216" s="169" t="inlineStr">
        <is>
          <t>2025-12-14</t>
        </is>
      </c>
      <c r="E216" s="168" t="inlineStr">
        <is>
          <t>Buffalo Bills</t>
        </is>
      </c>
      <c r="F216" s="156" t="n"/>
      <c r="G216" s="168" t="inlineStr">
        <is>
          <t>Away</t>
        </is>
      </c>
      <c r="H216" s="170" t="inlineStr">
        <is>
          <t>New England Patriots</t>
        </is>
      </c>
      <c r="J216" s="171" t="inlineStr">
        <is>
          <t>01:00 PM</t>
        </is>
      </c>
      <c r="K216" s="156">
        <f>IF(AND(F216=0,I216=0),"",IF(F216&gt;I216,B216&amp;E216,IF(F216&lt;I216,B216&amp;H216,"Tie")))</f>
        <v/>
      </c>
      <c r="L216" s="156">
        <f>IFERROR(IF(AND(B216&lt;$L$1,F216&gt;I216),"Win",IF(AND(B216&lt;$L$1,F216&lt;I216),"Loss","")),"")</f>
        <v/>
      </c>
      <c r="M216" s="156">
        <f>IF(B216&lt;_CurWeek,"In","")</f>
        <v/>
      </c>
      <c r="N216" s="156">
        <f>IF(M216="In",E216&amp;G216,"")</f>
        <v/>
      </c>
      <c r="O216" s="156">
        <f>IF(L216="Win",1,0)</f>
        <v/>
      </c>
      <c r="U216" s="172" t="n"/>
    </row>
    <row r="217" ht="14.4" customHeight="1" s="152">
      <c r="A217" s="167">
        <f>B217&amp;E217</f>
        <v/>
      </c>
      <c r="B217" s="168" t="n">
        <v>15</v>
      </c>
      <c r="C217" s="168" t="inlineStr">
        <is>
          <t>Sunday</t>
        </is>
      </c>
      <c r="D217" s="169" t="inlineStr">
        <is>
          <t>2025-12-14</t>
        </is>
      </c>
      <c r="E217" s="168" t="inlineStr">
        <is>
          <t>Washington Commanders</t>
        </is>
      </c>
      <c r="F217" s="156" t="n"/>
      <c r="G217" s="168" t="inlineStr">
        <is>
          <t>Away</t>
        </is>
      </c>
      <c r="H217" s="170" t="inlineStr">
        <is>
          <t>New York Giants</t>
        </is>
      </c>
      <c r="J217" s="171" t="inlineStr">
        <is>
          <t>01:00 PM</t>
        </is>
      </c>
      <c r="K217" s="156">
        <f>IF(AND(F217=0,I217=0),"",IF(F217&gt;I217,B217&amp;E217,IF(F217&lt;I217,B217&amp;H217,"Tie")))</f>
        <v/>
      </c>
      <c r="L217" s="156">
        <f>IFERROR(IF(AND(B217&lt;$L$1,F217&gt;I217),"Win",IF(AND(B217&lt;$L$1,F217&lt;I217),"Loss","")),"")</f>
        <v/>
      </c>
      <c r="M217" s="156">
        <f>IF(B217&lt;_CurWeek,"In","")</f>
        <v/>
      </c>
      <c r="N217" s="156">
        <f>IF(M217="In",E217&amp;G217,"")</f>
        <v/>
      </c>
      <c r="O217" s="156">
        <f>IF(L217="Win",1,0)</f>
        <v/>
      </c>
      <c r="U217" s="172" t="n"/>
    </row>
    <row r="218" ht="14.4" customHeight="1" s="152">
      <c r="A218" s="167">
        <f>B218&amp;E218</f>
        <v/>
      </c>
      <c r="B218" s="168" t="n">
        <v>15</v>
      </c>
      <c r="C218" s="168" t="inlineStr">
        <is>
          <t>Sunday</t>
        </is>
      </c>
      <c r="D218" s="169" t="inlineStr">
        <is>
          <t>2025-12-14</t>
        </is>
      </c>
      <c r="E218" s="168" t="inlineStr">
        <is>
          <t>Las Vegas Raiders</t>
        </is>
      </c>
      <c r="F218" s="156" t="n"/>
      <c r="G218" s="168" t="inlineStr">
        <is>
          <t>Away</t>
        </is>
      </c>
      <c r="H218" s="170" t="inlineStr">
        <is>
          <t>Philadelphia Eagles</t>
        </is>
      </c>
      <c r="J218" s="171" t="inlineStr">
        <is>
          <t>01:00 PM</t>
        </is>
      </c>
      <c r="K218" s="156">
        <f>IF(AND(F218=0,I218=0),"",IF(F218&gt;I218,B218&amp;E218,IF(F218&lt;I218,B218&amp;H218,"Tie")))</f>
        <v/>
      </c>
      <c r="L218" s="156">
        <f>IFERROR(IF(AND(B218&lt;$L$1,F218&gt;I218),"Win",IF(AND(B218&lt;$L$1,F218&lt;I218),"Loss","")),"")</f>
        <v/>
      </c>
      <c r="M218" s="156">
        <f>IF(B218&lt;_CurWeek,"In","")</f>
        <v/>
      </c>
      <c r="N218" s="156">
        <f>IF(M218="In",E218&amp;G218,"")</f>
        <v/>
      </c>
      <c r="O218" s="156">
        <f>IF(L218="Win",1,0)</f>
        <v/>
      </c>
      <c r="U218" s="172" t="n"/>
    </row>
    <row r="219" ht="14.4" customHeight="1" s="152">
      <c r="A219" s="167">
        <f>B219&amp;E219</f>
        <v/>
      </c>
      <c r="B219" s="168" t="n">
        <v>15</v>
      </c>
      <c r="C219" s="168" t="inlineStr">
        <is>
          <t>Sunday</t>
        </is>
      </c>
      <c r="D219" s="169" t="inlineStr">
        <is>
          <t>2025-12-14</t>
        </is>
      </c>
      <c r="E219" s="168" t="inlineStr">
        <is>
          <t>Green Bay Packers</t>
        </is>
      </c>
      <c r="F219" s="156" t="n"/>
      <c r="G219" s="168" t="inlineStr">
        <is>
          <t>Away</t>
        </is>
      </c>
      <c r="H219" s="170" t="inlineStr">
        <is>
          <t>Denver Broncos</t>
        </is>
      </c>
      <c r="J219" s="171" t="inlineStr">
        <is>
          <t>04:25 PM</t>
        </is>
      </c>
      <c r="K219" s="156">
        <f>IF(AND(F219=0,I219=0),"",IF(F219&gt;I219,B219&amp;E219,IF(F219&lt;I219,B219&amp;H219,"Tie")))</f>
        <v/>
      </c>
      <c r="L219" s="156">
        <f>IFERROR(IF(AND(B219&lt;$L$1,F219&gt;I219),"Win",IF(AND(B219&lt;$L$1,F219&lt;I219),"Loss","")),"")</f>
        <v/>
      </c>
      <c r="M219" s="156">
        <f>IF(B219&lt;_CurWeek,"In","")</f>
        <v/>
      </c>
      <c r="N219" s="156">
        <f>IF(M219="In",E219&amp;G219,"")</f>
        <v/>
      </c>
      <c r="O219" s="156">
        <f>IF(L219="Win",1,0)</f>
        <v/>
      </c>
      <c r="U219" s="172" t="n"/>
    </row>
    <row r="220" ht="14.4" customHeight="1" s="152">
      <c r="A220" s="167">
        <f>B220&amp;E220</f>
        <v/>
      </c>
      <c r="B220" s="168" t="n">
        <v>15</v>
      </c>
      <c r="C220" s="168" t="inlineStr">
        <is>
          <t>Sunday</t>
        </is>
      </c>
      <c r="D220" s="169" t="inlineStr">
        <is>
          <t>2025-12-14</t>
        </is>
      </c>
      <c r="E220" s="168" t="inlineStr">
        <is>
          <t>Detroit Lions</t>
        </is>
      </c>
      <c r="F220" s="156" t="n"/>
      <c r="G220" s="168" t="inlineStr">
        <is>
          <t>Away</t>
        </is>
      </c>
      <c r="H220" s="170" t="inlineStr">
        <is>
          <t>Los Angeles Rams</t>
        </is>
      </c>
      <c r="J220" s="171" t="inlineStr">
        <is>
          <t>04:25 PM</t>
        </is>
      </c>
      <c r="K220" s="156">
        <f>IF(AND(F220=0,I220=0),"",IF(F220&gt;I220,B220&amp;E220,IF(F220&lt;I220,B220&amp;H220,"Tie")))</f>
        <v/>
      </c>
      <c r="L220" s="156">
        <f>IFERROR(IF(AND(B220&lt;$L$1,F220&gt;I220),"Win",IF(AND(B220&lt;$L$1,F220&lt;I220),"Loss","")),"")</f>
        <v/>
      </c>
      <c r="M220" s="156">
        <f>IF(B220&lt;_CurWeek,"In","")</f>
        <v/>
      </c>
      <c r="N220" s="156">
        <f>IF(M220="In",E220&amp;G220,"")</f>
        <v/>
      </c>
      <c r="O220" s="156">
        <f>IF(L220="Win",1,0)</f>
        <v/>
      </c>
      <c r="U220" s="172" t="n"/>
    </row>
    <row r="221" ht="14.4" customHeight="1" s="152">
      <c r="A221" s="167">
        <f>B221&amp;E221</f>
        <v/>
      </c>
      <c r="B221" s="168" t="n">
        <v>15</v>
      </c>
      <c r="C221" s="168" t="inlineStr">
        <is>
          <t>Sunday</t>
        </is>
      </c>
      <c r="D221" s="169" t="inlineStr">
        <is>
          <t>2025-12-14</t>
        </is>
      </c>
      <c r="E221" s="168" t="inlineStr">
        <is>
          <t>Carolina Panthers</t>
        </is>
      </c>
      <c r="F221" s="156" t="n"/>
      <c r="G221" s="168" t="inlineStr">
        <is>
          <t>Away</t>
        </is>
      </c>
      <c r="H221" s="170" t="inlineStr">
        <is>
          <t>New Orleans Saints</t>
        </is>
      </c>
      <c r="J221" s="171" t="inlineStr">
        <is>
          <t>04:25 PM</t>
        </is>
      </c>
      <c r="K221" s="156">
        <f>IF(AND(F221=0,I221=0),"",IF(F221&gt;I221,B221&amp;E221,IF(F221&lt;I221,B221&amp;H221,"Tie")))</f>
        <v/>
      </c>
      <c r="L221" s="156">
        <f>IFERROR(IF(AND(B221&lt;$L$1,F221&gt;I221),"Win",IF(AND(B221&lt;$L$1,F221&lt;I221),"Loss","")),"")</f>
        <v/>
      </c>
      <c r="M221" s="156">
        <f>IF(B221&lt;_CurWeek,"In","")</f>
        <v/>
      </c>
      <c r="N221" s="156">
        <f>IF(M221="In",E221&amp;G221,"")</f>
        <v/>
      </c>
      <c r="O221" s="156">
        <f>IF(L221="Win",1,0)</f>
        <v/>
      </c>
      <c r="U221" s="172" t="n"/>
    </row>
    <row r="222" ht="14.4" customHeight="1" s="152">
      <c r="A222" s="167">
        <f>B222&amp;E222</f>
        <v/>
      </c>
      <c r="B222" s="168" t="n">
        <v>15</v>
      </c>
      <c r="C222" s="168" t="inlineStr">
        <is>
          <t>Sunday</t>
        </is>
      </c>
      <c r="D222" s="169" t="inlineStr">
        <is>
          <t>2025-12-14</t>
        </is>
      </c>
      <c r="E222" s="168" t="inlineStr">
        <is>
          <t>Indianapolis Colts</t>
        </is>
      </c>
      <c r="F222" s="156" t="n"/>
      <c r="G222" s="168" t="inlineStr">
        <is>
          <t>Away</t>
        </is>
      </c>
      <c r="H222" s="170" t="inlineStr">
        <is>
          <t>Seattle Seahawks</t>
        </is>
      </c>
      <c r="J222" s="171" t="inlineStr">
        <is>
          <t>04:25 PM</t>
        </is>
      </c>
      <c r="K222" s="156">
        <f>IF(AND(F222=0,I222=0),"",IF(F222&gt;I222,B222&amp;E222,IF(F222&lt;I222,B222&amp;H222,"Tie")))</f>
        <v/>
      </c>
      <c r="L222" s="156">
        <f>IFERROR(IF(AND(B222&lt;$L$1,F222&gt;I222),"Win",IF(AND(B222&lt;$L$1,F222&lt;I222),"Loss","")),"")</f>
        <v/>
      </c>
      <c r="M222" s="156">
        <f>IF(B222&lt;_CurWeek,"In","")</f>
        <v/>
      </c>
      <c r="N222" s="156">
        <f>IF(M222="In",E222&amp;G222,"")</f>
        <v/>
      </c>
      <c r="O222" s="156">
        <f>IF(L222="Win",1,0)</f>
        <v/>
      </c>
      <c r="U222" s="172" t="n"/>
    </row>
    <row r="223" ht="14.4" customHeight="1" s="152">
      <c r="A223" s="167">
        <f>B223&amp;E223</f>
        <v/>
      </c>
      <c r="B223" s="168" t="n">
        <v>15</v>
      </c>
      <c r="C223" s="168" t="inlineStr">
        <is>
          <t>Sunday</t>
        </is>
      </c>
      <c r="D223" s="169" t="inlineStr">
        <is>
          <t>2025-12-14</t>
        </is>
      </c>
      <c r="E223" s="168" t="inlineStr">
        <is>
          <t>Tennessee Titans</t>
        </is>
      </c>
      <c r="F223" s="156" t="n"/>
      <c r="G223" s="168" t="inlineStr">
        <is>
          <t>Away</t>
        </is>
      </c>
      <c r="H223" s="170" t="inlineStr">
        <is>
          <t>San Francisco 49ers</t>
        </is>
      </c>
      <c r="J223" s="171" t="inlineStr">
        <is>
          <t>04:25 PM</t>
        </is>
      </c>
      <c r="K223" s="156">
        <f>IF(AND(F223=0,I223=0),"",IF(F223&gt;I223,B223&amp;E223,IF(F223&lt;I223,B223&amp;H223,"Tie")))</f>
        <v/>
      </c>
      <c r="L223" s="156">
        <f>IFERROR(IF(AND(B223&lt;$L$1,F223&gt;I223),"Win",IF(AND(B223&lt;$L$1,F223&lt;I223),"Loss","")),"")</f>
        <v/>
      </c>
      <c r="M223" s="156">
        <f>IF(B223&lt;_CurWeek,"In","")</f>
        <v/>
      </c>
      <c r="N223" s="156">
        <f>IF(M223="In",E223&amp;G223,"")</f>
        <v/>
      </c>
      <c r="O223" s="156">
        <f>IF(L223="Win",1,0)</f>
        <v/>
      </c>
      <c r="U223" s="172" t="n"/>
    </row>
    <row r="224" ht="14.4" customHeight="1" s="152">
      <c r="A224" s="167">
        <f>B224&amp;E224</f>
        <v/>
      </c>
      <c r="B224" s="168" t="n">
        <v>15</v>
      </c>
      <c r="C224" s="168" t="inlineStr">
        <is>
          <t>Sunday</t>
        </is>
      </c>
      <c r="D224" s="169" t="inlineStr">
        <is>
          <t>2025-12-14</t>
        </is>
      </c>
      <c r="E224" s="168" t="inlineStr">
        <is>
          <t>Minnesota Vikings</t>
        </is>
      </c>
      <c r="F224" s="156" t="n"/>
      <c r="G224" s="168" t="inlineStr">
        <is>
          <t>Away</t>
        </is>
      </c>
      <c r="H224" s="170" t="inlineStr">
        <is>
          <t>Dallas Cowboys</t>
        </is>
      </c>
      <c r="J224" s="171" t="inlineStr">
        <is>
          <t>08:20 PM</t>
        </is>
      </c>
      <c r="K224" s="156">
        <f>IF(AND(F224=0,I224=0),"",IF(F224&gt;I224,B224&amp;E224,IF(F224&lt;I224,B224&amp;H224,"Tie")))</f>
        <v/>
      </c>
      <c r="L224" s="156">
        <f>IFERROR(IF(AND(B224&lt;$L$1,F224&gt;I224),"Win",IF(AND(B224&lt;$L$1,F224&lt;I224),"Loss","")),"")</f>
        <v/>
      </c>
      <c r="M224" s="156">
        <f>IF(B224&lt;_CurWeek,"In","")</f>
        <v/>
      </c>
      <c r="N224" s="156">
        <f>IF(M224="In",E224&amp;G224,"")</f>
        <v/>
      </c>
      <c r="O224" s="156">
        <f>IF(L224="Win",1,0)</f>
        <v/>
      </c>
      <c r="S224" s="173" t="n"/>
      <c r="U224" s="172" t="n"/>
    </row>
    <row r="225" ht="14.4" customHeight="1" s="152">
      <c r="A225" s="167">
        <f>B225&amp;E225</f>
        <v/>
      </c>
      <c r="B225" s="168" t="n">
        <v>15</v>
      </c>
      <c r="C225" s="168" t="inlineStr">
        <is>
          <t>Monday</t>
        </is>
      </c>
      <c r="D225" s="169" t="inlineStr">
        <is>
          <t>2025-12-15</t>
        </is>
      </c>
      <c r="E225" s="168" t="inlineStr">
        <is>
          <t>Miami Dolphins</t>
        </is>
      </c>
      <c r="F225" s="156" t="n"/>
      <c r="G225" s="168" t="inlineStr">
        <is>
          <t>Away</t>
        </is>
      </c>
      <c r="H225" s="170" t="inlineStr">
        <is>
          <t>Pittsburgh Steelers</t>
        </is>
      </c>
      <c r="J225" s="171" t="inlineStr">
        <is>
          <t>08:15 PM</t>
        </is>
      </c>
      <c r="K225" s="156">
        <f>IF(AND(F225=0,I225=0),"",IF(F225&gt;I225,B225&amp;E225,IF(F225&lt;I225,B225&amp;H225,"Tie")))</f>
        <v/>
      </c>
      <c r="L225" s="156">
        <f>IFERROR(IF(AND(B225&lt;$L$1,F225&gt;I225),"Win",IF(AND(B225&lt;$L$1,F225&lt;I225),"Loss","")),"")</f>
        <v/>
      </c>
      <c r="M225" s="156">
        <f>IF(B225&lt;_CurWeek,"In","")</f>
        <v/>
      </c>
      <c r="N225" s="156">
        <f>IF(M225="In",E225&amp;G225,"")</f>
        <v/>
      </c>
      <c r="O225" s="156">
        <f>IF(L225="Win",1,0)</f>
        <v/>
      </c>
      <c r="S225" s="173" t="n"/>
      <c r="U225" s="172" t="n"/>
    </row>
    <row r="226" ht="14.4" customHeight="1" s="152">
      <c r="A226" s="167">
        <f>B226&amp;E226</f>
        <v/>
      </c>
      <c r="B226" s="168" t="n">
        <v>16</v>
      </c>
      <c r="C226" s="168" t="inlineStr">
        <is>
          <t>Thursday</t>
        </is>
      </c>
      <c r="D226" s="169" t="inlineStr">
        <is>
          <t>2025-12-18</t>
        </is>
      </c>
      <c r="E226" s="168" t="inlineStr">
        <is>
          <t>Los Angeles Rams</t>
        </is>
      </c>
      <c r="F226" s="156" t="n"/>
      <c r="G226" s="168" t="inlineStr">
        <is>
          <t>Away</t>
        </is>
      </c>
      <c r="H226" s="170" t="inlineStr">
        <is>
          <t>Seattle Seahawks</t>
        </is>
      </c>
      <c r="J226" s="171" t="inlineStr">
        <is>
          <t>08:15 PM</t>
        </is>
      </c>
      <c r="K226" s="156">
        <f>IF(AND(F226=0,I226=0),"",IF(F226&gt;I226,B226&amp;E226,IF(F226&lt;I226,B226&amp;H226,"Tie")))</f>
        <v/>
      </c>
      <c r="L226" s="156">
        <f>IFERROR(IF(AND(B226&lt;$L$1,F226&gt;I226),"Win",IF(AND(B226&lt;$L$1,F226&lt;I226),"Loss","")),"")</f>
        <v/>
      </c>
      <c r="M226" s="156">
        <f>IF(B226&lt;_CurWeek,"In","")</f>
        <v/>
      </c>
      <c r="N226" s="156">
        <f>IF(M226="In",E226&amp;G226,"")</f>
        <v/>
      </c>
      <c r="O226" s="156">
        <f>IF(L226="Win",1,0)</f>
        <v/>
      </c>
      <c r="S226" s="173" t="n"/>
      <c r="U226" s="172" t="n"/>
    </row>
    <row r="227" ht="14.4" customHeight="1" s="152">
      <c r="A227" s="167">
        <f>B227&amp;E227</f>
        <v/>
      </c>
      <c r="B227" s="168" t="n">
        <v>16</v>
      </c>
      <c r="C227" s="168" t="inlineStr">
        <is>
          <t>Friday</t>
        </is>
      </c>
      <c r="D227" s="169" t="inlineStr">
        <is>
          <t>2025-12-19</t>
        </is>
      </c>
      <c r="E227" s="168" t="inlineStr">
        <is>
          <t>Green Bay Packers</t>
        </is>
      </c>
      <c r="F227" s="156" t="n"/>
      <c r="G227" s="168" t="inlineStr">
        <is>
          <t>Away</t>
        </is>
      </c>
      <c r="H227" s="170" t="inlineStr">
        <is>
          <t>Chicago Bears</t>
        </is>
      </c>
      <c r="J227" s="171" t="inlineStr">
        <is>
          <t>01:00 PM</t>
        </is>
      </c>
      <c r="K227" s="156">
        <f>IF(AND(F227=0,I227=0),"",IF(F227&gt;I227,B227&amp;E227,IF(F227&lt;I227,B227&amp;H227,"Tie")))</f>
        <v/>
      </c>
      <c r="L227" s="156">
        <f>IFERROR(IF(AND(B227&lt;$L$1,F227&gt;I227),"Win",IF(AND(B227&lt;$L$1,F227&lt;I227),"Loss","")),"")</f>
        <v/>
      </c>
      <c r="M227" s="156">
        <f>IF(B227&lt;_CurWeek,"In","")</f>
        <v/>
      </c>
      <c r="N227" s="156">
        <f>IF(M227="In",E227&amp;G227,"")</f>
        <v/>
      </c>
      <c r="O227" s="156">
        <f>IF(L227="Win",1,0)</f>
        <v/>
      </c>
      <c r="S227" s="173" t="n"/>
      <c r="U227" s="172" t="n"/>
    </row>
    <row r="228" ht="14.4" customHeight="1" s="152">
      <c r="A228" s="167">
        <f>B228&amp;E228</f>
        <v/>
      </c>
      <c r="B228" s="168" t="n">
        <v>16</v>
      </c>
      <c r="C228" s="168" t="inlineStr">
        <is>
          <t>Friday</t>
        </is>
      </c>
      <c r="D228" s="169" t="inlineStr">
        <is>
          <t>2025-12-19</t>
        </is>
      </c>
      <c r="E228" s="168" t="inlineStr">
        <is>
          <t>Philadelphia Eagles</t>
        </is>
      </c>
      <c r="F228" s="156" t="n"/>
      <c r="G228" s="168" t="inlineStr">
        <is>
          <t>Away</t>
        </is>
      </c>
      <c r="H228" s="170" t="inlineStr">
        <is>
          <t>Washington Commanders</t>
        </is>
      </c>
      <c r="J228" s="171" t="inlineStr">
        <is>
          <t>01:00 PM</t>
        </is>
      </c>
      <c r="K228" s="156">
        <f>IF(AND(F228=0,I228=0),"",IF(F228&gt;I228,B228&amp;E228,IF(F228&lt;I228,B228&amp;H228,"Tie")))</f>
        <v/>
      </c>
      <c r="L228" s="156">
        <f>IFERROR(IF(AND(B228&lt;$L$1,F228&gt;I228),"Win",IF(AND(B228&lt;$L$1,F228&lt;I228),"Loss","")),"")</f>
        <v/>
      </c>
      <c r="M228" s="156">
        <f>IF(B228&lt;_CurWeek,"In","")</f>
        <v/>
      </c>
      <c r="N228" s="156">
        <f>IF(M228="In",E228&amp;G228,"")</f>
        <v/>
      </c>
      <c r="O228" s="156">
        <f>IF(L228="Win",1,0)</f>
        <v/>
      </c>
      <c r="S228" s="173" t="n"/>
      <c r="U228" s="172" t="n"/>
    </row>
    <row r="229" ht="14.4" customHeight="1" s="152">
      <c r="A229" s="167">
        <f>B229&amp;E229</f>
        <v/>
      </c>
      <c r="B229" s="168" t="n">
        <v>16</v>
      </c>
      <c r="C229" s="168" t="inlineStr">
        <is>
          <t>Sunday</t>
        </is>
      </c>
      <c r="D229" s="169" t="inlineStr">
        <is>
          <t>2025-12-21</t>
        </is>
      </c>
      <c r="E229" s="168" t="inlineStr">
        <is>
          <t>New England Patriots</t>
        </is>
      </c>
      <c r="F229" s="156" t="n"/>
      <c r="G229" s="168" t="inlineStr">
        <is>
          <t>Away</t>
        </is>
      </c>
      <c r="H229" s="170" t="inlineStr">
        <is>
          <t>Baltimore Ravens</t>
        </is>
      </c>
      <c r="J229" s="171" t="inlineStr">
        <is>
          <t>01:00 PM</t>
        </is>
      </c>
      <c r="K229" s="156">
        <f>IF(AND(F229=0,I229=0),"",IF(F229&gt;I229,B229&amp;E229,IF(F229&lt;I229,B229&amp;H229,"Tie")))</f>
        <v/>
      </c>
      <c r="L229" s="156">
        <f>IFERROR(IF(AND(B229&lt;$L$1,F229&gt;I229),"Win",IF(AND(B229&lt;$L$1,F229&lt;I229),"Loss","")),"")</f>
        <v/>
      </c>
      <c r="M229" s="156">
        <f>IF(B229&lt;_CurWeek,"In","")</f>
        <v/>
      </c>
      <c r="N229" s="156">
        <f>IF(M229="In",E229&amp;G229,"")</f>
        <v/>
      </c>
      <c r="O229" s="156">
        <f>IF(L229="Win",1,0)</f>
        <v/>
      </c>
      <c r="S229" s="173" t="n"/>
      <c r="U229" s="172" t="n"/>
    </row>
    <row r="230" ht="14.4" customHeight="1" s="152">
      <c r="A230" s="167">
        <f>B230&amp;E230</f>
        <v/>
      </c>
      <c r="B230" s="168" t="n">
        <v>16</v>
      </c>
      <c r="C230" s="168" t="inlineStr">
        <is>
          <t>Sunday</t>
        </is>
      </c>
      <c r="D230" s="169" t="inlineStr">
        <is>
          <t>2025-12-21</t>
        </is>
      </c>
      <c r="E230" s="168" t="inlineStr">
        <is>
          <t>Tampa Bay Buccaneers</t>
        </is>
      </c>
      <c r="F230" s="156" t="n"/>
      <c r="G230" s="168" t="inlineStr">
        <is>
          <t>Away</t>
        </is>
      </c>
      <c r="H230" s="170" t="inlineStr">
        <is>
          <t>Carolina Panthers</t>
        </is>
      </c>
      <c r="J230" s="171" t="inlineStr">
        <is>
          <t>01:00 PM</t>
        </is>
      </c>
      <c r="K230" s="156">
        <f>IF(AND(F230=0,I230=0),"",IF(F230&gt;I230,B230&amp;E230,IF(F230&lt;I230,B230&amp;H230,"Tie")))</f>
        <v/>
      </c>
      <c r="L230" s="156">
        <f>IFERROR(IF(AND(B230&lt;$L$1,F230&gt;I230),"Win",IF(AND(B230&lt;$L$1,F230&lt;I230),"Loss","")),"")</f>
        <v/>
      </c>
      <c r="M230" s="156">
        <f>IF(B230&lt;_CurWeek,"In","")</f>
        <v/>
      </c>
      <c r="N230" s="156">
        <f>IF(M230="In",E230&amp;G230,"")</f>
        <v/>
      </c>
      <c r="O230" s="156">
        <f>IF(L230="Win",1,0)</f>
        <v/>
      </c>
      <c r="S230" s="173" t="n"/>
      <c r="U230" s="172" t="n"/>
    </row>
    <row r="231" ht="14.4" customHeight="1" s="152">
      <c r="A231" s="167">
        <f>B231&amp;E231</f>
        <v/>
      </c>
      <c r="B231" s="168" t="n">
        <v>16</v>
      </c>
      <c r="C231" s="168" t="inlineStr">
        <is>
          <t>Sunday</t>
        </is>
      </c>
      <c r="D231" s="169" t="inlineStr">
        <is>
          <t>2025-12-21</t>
        </is>
      </c>
      <c r="E231" s="168" t="inlineStr">
        <is>
          <t>Buffalo Bills</t>
        </is>
      </c>
      <c r="F231" s="156" t="n"/>
      <c r="G231" s="168" t="inlineStr">
        <is>
          <t>Away</t>
        </is>
      </c>
      <c r="H231" s="170" t="inlineStr">
        <is>
          <t>Cleveland Browns</t>
        </is>
      </c>
      <c r="J231" s="171" t="inlineStr">
        <is>
          <t>01:00 PM</t>
        </is>
      </c>
      <c r="K231" s="156">
        <f>IF(AND(F231=0,I231=0),"",IF(F231&gt;I231,B231&amp;E231,IF(F231&lt;I231,B231&amp;H231,"Tie")))</f>
        <v/>
      </c>
      <c r="L231" s="156">
        <f>IFERROR(IF(AND(B231&lt;$L$1,F231&gt;I231),"Win",IF(AND(B231&lt;$L$1,F231&lt;I231),"Loss","")),"")</f>
        <v/>
      </c>
      <c r="M231" s="156">
        <f>IF(B231&lt;_CurWeek,"In","")</f>
        <v/>
      </c>
      <c r="N231" s="156">
        <f>IF(M231="In",E231&amp;G231,"")</f>
        <v/>
      </c>
      <c r="O231" s="156">
        <f>IF(L231="Win",1,0)</f>
        <v/>
      </c>
      <c r="S231" s="173" t="n"/>
      <c r="U231" s="172" t="n"/>
    </row>
    <row r="232" ht="14.4" customHeight="1" s="152">
      <c r="A232" s="167">
        <f>B232&amp;E232</f>
        <v/>
      </c>
      <c r="B232" s="168" t="n">
        <v>16</v>
      </c>
      <c r="C232" s="168" t="inlineStr">
        <is>
          <t>Sunday</t>
        </is>
      </c>
      <c r="D232" s="169" t="inlineStr">
        <is>
          <t>2025-12-21</t>
        </is>
      </c>
      <c r="E232" s="168" t="inlineStr">
        <is>
          <t>Los Angeles Chargers</t>
        </is>
      </c>
      <c r="F232" s="156" t="n"/>
      <c r="G232" s="168" t="inlineStr">
        <is>
          <t>Away</t>
        </is>
      </c>
      <c r="H232" s="170" t="inlineStr">
        <is>
          <t>Dallas Cowboys</t>
        </is>
      </c>
      <c r="J232" s="171" t="inlineStr">
        <is>
          <t>01:00 PM</t>
        </is>
      </c>
      <c r="K232" s="156">
        <f>IF(AND(F232=0,I232=0),"",IF(F232&gt;I232,B232&amp;E232,IF(F232&lt;I232,B232&amp;H232,"Tie")))</f>
        <v/>
      </c>
      <c r="L232" s="156">
        <f>IFERROR(IF(AND(B232&lt;$L$1,F232&gt;I232),"Win",IF(AND(B232&lt;$L$1,F232&lt;I232),"Loss","")),"")</f>
        <v/>
      </c>
      <c r="M232" s="156">
        <f>IF(B232&lt;_CurWeek,"In","")</f>
        <v/>
      </c>
      <c r="N232" s="156">
        <f>IF(M232="In",E232&amp;G232,"")</f>
        <v/>
      </c>
      <c r="O232" s="156">
        <f>IF(L232="Win",1,0)</f>
        <v/>
      </c>
      <c r="S232" s="173" t="n"/>
      <c r="U232" s="172" t="n"/>
    </row>
    <row r="233" ht="14.4" customHeight="1" s="152">
      <c r="A233" s="167">
        <f>B233&amp;E233</f>
        <v/>
      </c>
      <c r="B233" s="168" t="n">
        <v>16</v>
      </c>
      <c r="C233" s="168" t="inlineStr">
        <is>
          <t>Sunday</t>
        </is>
      </c>
      <c r="D233" s="169" t="inlineStr">
        <is>
          <t>2025-12-21</t>
        </is>
      </c>
      <c r="E233" s="168" t="inlineStr">
        <is>
          <t>New York Jets</t>
        </is>
      </c>
      <c r="F233" s="156" t="n"/>
      <c r="G233" s="168" t="inlineStr">
        <is>
          <t>Away</t>
        </is>
      </c>
      <c r="H233" s="170" t="inlineStr">
        <is>
          <t>New Orleans Saints</t>
        </is>
      </c>
      <c r="J233" s="171" t="inlineStr">
        <is>
          <t>01:00 PM</t>
        </is>
      </c>
      <c r="K233" s="156">
        <f>IF(AND(F233=0,I233=0),"",IF(F233&gt;I233,B233&amp;E233,IF(F233&lt;I233,B233&amp;H233,"Tie")))</f>
        <v/>
      </c>
      <c r="L233" s="156">
        <f>IFERROR(IF(AND(B233&lt;$L$1,F233&gt;I233),"Win",IF(AND(B233&lt;$L$1,F233&lt;I233),"Loss","")),"")</f>
        <v/>
      </c>
      <c r="M233" s="156">
        <f>IF(B233&lt;_CurWeek,"In","")</f>
        <v/>
      </c>
      <c r="N233" s="156">
        <f>IF(M233="In",E233&amp;G233,"")</f>
        <v/>
      </c>
      <c r="O233" s="156">
        <f>IF(L233="Win",1,0)</f>
        <v/>
      </c>
      <c r="S233" s="173" t="n"/>
      <c r="U233" s="172" t="n"/>
    </row>
    <row r="234" ht="14.4" customHeight="1" s="152">
      <c r="A234" s="167">
        <f>B234&amp;E234</f>
        <v/>
      </c>
      <c r="B234" s="168" t="n">
        <v>16</v>
      </c>
      <c r="C234" s="168" t="inlineStr">
        <is>
          <t>Sunday</t>
        </is>
      </c>
      <c r="D234" s="169" t="inlineStr">
        <is>
          <t>2025-12-21</t>
        </is>
      </c>
      <c r="E234" s="168" t="inlineStr">
        <is>
          <t>Minnesota Vikings</t>
        </is>
      </c>
      <c r="F234" s="156" t="n"/>
      <c r="G234" s="168" t="inlineStr">
        <is>
          <t>Away</t>
        </is>
      </c>
      <c r="H234" s="170" t="inlineStr">
        <is>
          <t>New York Giants</t>
        </is>
      </c>
      <c r="J234" s="171" t="inlineStr">
        <is>
          <t>01:00 PM</t>
        </is>
      </c>
      <c r="K234" s="156">
        <f>IF(AND(F234=0,I234=0),"",IF(F234&gt;I234,B234&amp;E234,IF(F234&lt;I234,B234&amp;H234,"Tie")))</f>
        <v/>
      </c>
      <c r="L234" s="156">
        <f>IFERROR(IF(AND(B234&lt;$L$1,F234&gt;I234),"Win",IF(AND(B234&lt;$L$1,F234&lt;I234),"Loss","")),"")</f>
        <v/>
      </c>
      <c r="M234" s="156">
        <f>IF(B234&lt;_CurWeek,"In","")</f>
        <v/>
      </c>
      <c r="N234" s="156">
        <f>IF(M234="In",E234&amp;G234,"")</f>
        <v/>
      </c>
      <c r="O234" s="156">
        <f>IF(L234="Win",1,0)</f>
        <v/>
      </c>
      <c r="S234" s="173" t="n"/>
      <c r="U234" s="172" t="n"/>
    </row>
    <row r="235" ht="14.4" customHeight="1" s="152">
      <c r="A235" s="167">
        <f>B235&amp;E235</f>
        <v/>
      </c>
      <c r="B235" s="168" t="n">
        <v>16</v>
      </c>
      <c r="C235" s="168" t="inlineStr">
        <is>
          <t>Sunday</t>
        </is>
      </c>
      <c r="D235" s="169" t="inlineStr">
        <is>
          <t>2025-12-21</t>
        </is>
      </c>
      <c r="E235" s="168" t="inlineStr">
        <is>
          <t>Kansas City Chiefs</t>
        </is>
      </c>
      <c r="F235" s="156" t="n"/>
      <c r="G235" s="168" t="inlineStr">
        <is>
          <t>Away</t>
        </is>
      </c>
      <c r="H235" s="170" t="inlineStr">
        <is>
          <t>Tennessee Titans</t>
        </is>
      </c>
      <c r="J235" s="171" t="inlineStr">
        <is>
          <t>01:00 PM</t>
        </is>
      </c>
      <c r="K235" s="156">
        <f>IF(AND(F235=0,I235=0),"",IF(F235&gt;I235,B235&amp;E235,IF(F235&lt;I235,B235&amp;H235,"Tie")))</f>
        <v/>
      </c>
      <c r="L235" s="156">
        <f>IFERROR(IF(AND(B235&lt;$L$1,F235&gt;I235),"Win",IF(AND(B235&lt;$L$1,F235&lt;I235),"Loss","")),"")</f>
        <v/>
      </c>
      <c r="M235" s="156">
        <f>IF(B235&lt;_CurWeek,"In","")</f>
        <v/>
      </c>
      <c r="N235" s="156">
        <f>IF(M235="In",E235&amp;G235,"")</f>
        <v/>
      </c>
      <c r="O235" s="156">
        <f>IF(L235="Win",1,0)</f>
        <v/>
      </c>
      <c r="S235" s="173" t="n"/>
      <c r="U235" s="172" t="n"/>
    </row>
    <row r="236" ht="14.4" customHeight="1" s="152">
      <c r="A236" s="167">
        <f>B236&amp;E236</f>
        <v/>
      </c>
      <c r="B236" s="168" t="n">
        <v>16</v>
      </c>
      <c r="C236" s="168" t="inlineStr">
        <is>
          <t>Sunday</t>
        </is>
      </c>
      <c r="D236" s="169" t="inlineStr">
        <is>
          <t>2025-12-21</t>
        </is>
      </c>
      <c r="E236" s="168" t="inlineStr">
        <is>
          <t>Atlanta Falcons</t>
        </is>
      </c>
      <c r="F236" s="156" t="n"/>
      <c r="G236" s="168" t="inlineStr">
        <is>
          <t>Away</t>
        </is>
      </c>
      <c r="H236" s="170" t="inlineStr">
        <is>
          <t>Arizona Cardinals</t>
        </is>
      </c>
      <c r="J236" s="171" t="inlineStr">
        <is>
          <t>04:05 PM</t>
        </is>
      </c>
      <c r="K236" s="156">
        <f>IF(AND(F236=0,I236=0),"",IF(F236&gt;I236,B236&amp;E236,IF(F236&lt;I236,B236&amp;H236,"Tie")))</f>
        <v/>
      </c>
      <c r="L236" s="156">
        <f>IFERROR(IF(AND(B236&lt;$L$1,F236&gt;I236),"Win",IF(AND(B236&lt;$L$1,F236&lt;I236),"Loss","")),"")</f>
        <v/>
      </c>
      <c r="M236" s="156">
        <f>IF(B236&lt;_CurWeek,"In","")</f>
        <v/>
      </c>
      <c r="N236" s="156">
        <f>IF(M236="In",E236&amp;G236,"")</f>
        <v/>
      </c>
      <c r="O236" s="156">
        <f>IF(L236="Win",1,0)</f>
        <v/>
      </c>
      <c r="S236" s="173" t="n"/>
      <c r="U236" s="172" t="n"/>
    </row>
    <row r="237" ht="14.4" customHeight="1" s="152">
      <c r="A237" s="167">
        <f>B237&amp;E237</f>
        <v/>
      </c>
      <c r="B237" s="168" t="n">
        <v>16</v>
      </c>
      <c r="C237" s="168" t="inlineStr">
        <is>
          <t>Sunday</t>
        </is>
      </c>
      <c r="D237" s="169" t="inlineStr">
        <is>
          <t>2025-12-21</t>
        </is>
      </c>
      <c r="E237" s="168" t="inlineStr">
        <is>
          <t>Jacksonville Jaguars</t>
        </is>
      </c>
      <c r="F237" s="156" t="n"/>
      <c r="G237" s="168" t="inlineStr">
        <is>
          <t>Away</t>
        </is>
      </c>
      <c r="H237" s="170" t="inlineStr">
        <is>
          <t>Denver Broncos</t>
        </is>
      </c>
      <c r="J237" s="171" t="inlineStr">
        <is>
          <t>04:05 PM</t>
        </is>
      </c>
      <c r="K237" s="156">
        <f>IF(AND(F237=0,I237=0),"",IF(F237&gt;I237,B237&amp;E237,IF(F237&lt;I237,B237&amp;H237,"Tie")))</f>
        <v/>
      </c>
      <c r="L237" s="156">
        <f>IFERROR(IF(AND(B237&lt;$L$1,F237&gt;I237),"Win",IF(AND(B237&lt;$L$1,F237&lt;I237),"Loss","")),"")</f>
        <v/>
      </c>
      <c r="M237" s="156">
        <f>IF(B237&lt;_CurWeek,"In","")</f>
        <v/>
      </c>
      <c r="N237" s="156">
        <f>IF(M237="In",E237&amp;G237,"")</f>
        <v/>
      </c>
      <c r="O237" s="156">
        <f>IF(L237="Win",1,0)</f>
        <v/>
      </c>
      <c r="S237" s="173" t="n"/>
    </row>
    <row r="238" ht="14.4" customHeight="1" s="152">
      <c r="A238" s="167">
        <f>B238&amp;E238</f>
        <v/>
      </c>
      <c r="B238" s="168" t="n">
        <v>16</v>
      </c>
      <c r="C238" s="168" t="inlineStr">
        <is>
          <t>Sunday</t>
        </is>
      </c>
      <c r="D238" s="169" t="inlineStr">
        <is>
          <t>2025-12-21</t>
        </is>
      </c>
      <c r="E238" s="168" t="inlineStr">
        <is>
          <t>Pittsburgh Steelers</t>
        </is>
      </c>
      <c r="F238" s="156" t="n"/>
      <c r="G238" s="168" t="inlineStr">
        <is>
          <t>Away</t>
        </is>
      </c>
      <c r="H238" s="170" t="inlineStr">
        <is>
          <t>Detroit Lions</t>
        </is>
      </c>
      <c r="J238" s="171" t="inlineStr">
        <is>
          <t>04:25 PM</t>
        </is>
      </c>
      <c r="K238" s="156">
        <f>IF(AND(F238=0,I238=0),"",IF(F238&gt;I238,B238&amp;E238,IF(F238&lt;I238,B238&amp;H238,"Tie")))</f>
        <v/>
      </c>
      <c r="L238" s="156">
        <f>IFERROR(IF(AND(B238&lt;$L$1,F238&gt;I238),"Win",IF(AND(B238&lt;$L$1,F238&lt;I238),"Loss","")),"")</f>
        <v/>
      </c>
      <c r="M238" s="156">
        <f>IF(B238&lt;_CurWeek,"In","")</f>
        <v/>
      </c>
      <c r="N238" s="156">
        <f>IF(M238="In",E238&amp;G238,"")</f>
        <v/>
      </c>
      <c r="O238" s="156">
        <f>IF(L238="Win",1,0)</f>
        <v/>
      </c>
      <c r="S238" s="173" t="n"/>
    </row>
    <row r="239" ht="14.4" customHeight="1" s="152">
      <c r="A239" s="167">
        <f>B239&amp;E239</f>
        <v/>
      </c>
      <c r="B239" s="168" t="n">
        <v>16</v>
      </c>
      <c r="C239" s="168" t="inlineStr">
        <is>
          <t>Sunday</t>
        </is>
      </c>
      <c r="D239" s="169" t="inlineStr">
        <is>
          <t>2025-12-21</t>
        </is>
      </c>
      <c r="E239" s="168" t="inlineStr">
        <is>
          <t>Las Vegas Raiders</t>
        </is>
      </c>
      <c r="F239" s="156" t="n"/>
      <c r="G239" s="168" t="inlineStr">
        <is>
          <t>Away</t>
        </is>
      </c>
      <c r="H239" s="170" t="inlineStr">
        <is>
          <t>Houston Texans</t>
        </is>
      </c>
      <c r="J239" s="171" t="inlineStr">
        <is>
          <t>04:25 PM</t>
        </is>
      </c>
      <c r="K239" s="156">
        <f>IF(AND(F239=0,I239=0),"",IF(F239&gt;I239,B239&amp;E239,IF(F239&lt;I239,B239&amp;H239,"Tie")))</f>
        <v/>
      </c>
      <c r="L239" s="156">
        <f>IFERROR(IF(AND(B239&lt;$L$1,F239&gt;I239),"Win",IF(AND(B239&lt;$L$1,F239&lt;I239),"Loss","")),"")</f>
        <v/>
      </c>
      <c r="M239" s="156">
        <f>IF(B239&lt;_CurWeek,"In","")</f>
        <v/>
      </c>
      <c r="N239" s="156">
        <f>IF(M239="In",E239&amp;G239,"")</f>
        <v/>
      </c>
      <c r="O239" s="156">
        <f>IF(L239="Win",1,0)</f>
        <v/>
      </c>
      <c r="S239" s="173" t="n"/>
    </row>
    <row r="240" ht="14.4" customHeight="1" s="152">
      <c r="A240" s="167">
        <f>B240&amp;E240</f>
        <v/>
      </c>
      <c r="B240" s="168" t="n">
        <v>16</v>
      </c>
      <c r="C240" s="168" t="inlineStr">
        <is>
          <t>Sunday</t>
        </is>
      </c>
      <c r="D240" s="169" t="inlineStr">
        <is>
          <t>2025-12-21</t>
        </is>
      </c>
      <c r="E240" s="168" t="inlineStr">
        <is>
          <t>Cincinnati Bengals</t>
        </is>
      </c>
      <c r="F240" s="156" t="n"/>
      <c r="G240" s="168" t="inlineStr">
        <is>
          <t>Away</t>
        </is>
      </c>
      <c r="H240" s="170" t="inlineStr">
        <is>
          <t>Miami Dolphins</t>
        </is>
      </c>
      <c r="J240" s="171" t="inlineStr">
        <is>
          <t>08:20 PM</t>
        </is>
      </c>
      <c r="K240" s="156">
        <f>IF(AND(F240=0,I240=0),"",IF(F240&gt;I240,B240&amp;E240,IF(F240&lt;I240,B240&amp;H240,"Tie")))</f>
        <v/>
      </c>
      <c r="L240" s="156">
        <f>IFERROR(IF(AND(B240&lt;$L$1,F240&gt;I240),"Win",IF(AND(B240&lt;$L$1,F240&lt;I240),"Loss","")),"")</f>
        <v/>
      </c>
      <c r="M240" s="156">
        <f>IF(B240&lt;_CurWeek,"In","")</f>
        <v/>
      </c>
      <c r="N240" s="156">
        <f>IF(M240="In",E240&amp;G240,"")</f>
        <v/>
      </c>
      <c r="O240" s="156">
        <f>IF(L240="Win",1,0)</f>
        <v/>
      </c>
    </row>
    <row r="241" ht="14.4" customHeight="1" s="152">
      <c r="A241" s="167">
        <f>B241&amp;E241</f>
        <v/>
      </c>
      <c r="B241" s="168" t="n">
        <v>16</v>
      </c>
      <c r="C241" s="168" t="inlineStr">
        <is>
          <t>Monday</t>
        </is>
      </c>
      <c r="D241" s="169" t="inlineStr">
        <is>
          <t>2025-12-22</t>
        </is>
      </c>
      <c r="E241" s="168" t="inlineStr">
        <is>
          <t>San Francisco 49ers</t>
        </is>
      </c>
      <c r="F241" s="156" t="n"/>
      <c r="G241" s="168" t="inlineStr">
        <is>
          <t>Away</t>
        </is>
      </c>
      <c r="H241" s="170" t="inlineStr">
        <is>
          <t>Indianapolis Colts</t>
        </is>
      </c>
      <c r="J241" s="171" t="inlineStr">
        <is>
          <t>08:15 PM</t>
        </is>
      </c>
      <c r="K241" s="156">
        <f>IF(AND(F241=0,I241=0),"",IF(F241&gt;I241,B241&amp;E241,IF(F241&lt;I241,B241&amp;H241,"Tie")))</f>
        <v/>
      </c>
      <c r="L241" s="156">
        <f>IFERROR(IF(AND(B241&lt;$L$1,F241&gt;I241),"Win",IF(AND(B241&lt;$L$1,F241&lt;I241),"Loss","")),"")</f>
        <v/>
      </c>
      <c r="M241" s="156">
        <f>IF(B241&lt;_CurWeek,"In","")</f>
        <v/>
      </c>
      <c r="N241" s="156">
        <f>IF(M241="In",E241&amp;G241,"")</f>
        <v/>
      </c>
      <c r="O241" s="156">
        <f>IF(L241="Win",1,0)</f>
        <v/>
      </c>
    </row>
    <row r="242" ht="14.4" customHeight="1" s="152">
      <c r="A242" s="167">
        <f>B242&amp;E242</f>
        <v/>
      </c>
      <c r="B242" s="168" t="n">
        <v>17</v>
      </c>
      <c r="C242" s="168" t="inlineStr">
        <is>
          <t>Thursday</t>
        </is>
      </c>
      <c r="D242" s="169" t="inlineStr">
        <is>
          <t>2025-12-25</t>
        </is>
      </c>
      <c r="E242" s="168" t="inlineStr">
        <is>
          <t>Dallas Cowboys</t>
        </is>
      </c>
      <c r="F242" s="156" t="n"/>
      <c r="G242" s="168" t="inlineStr">
        <is>
          <t>Away</t>
        </is>
      </c>
      <c r="H242" s="170" t="inlineStr">
        <is>
          <t>Washington Commanders</t>
        </is>
      </c>
      <c r="J242" s="171" t="inlineStr">
        <is>
          <t>01:00 PM</t>
        </is>
      </c>
      <c r="K242" s="156">
        <f>IF(AND(F242=0,I242=0),"",IF(F242&gt;I242,B242&amp;E242,IF(F242&lt;I242,B242&amp;H242,"Tie")))</f>
        <v/>
      </c>
      <c r="L242" s="156">
        <f>IFERROR(IF(AND(B242&lt;$L$1,F242&gt;I242),"Win",IF(AND(B242&lt;$L$1,F242&lt;I242),"Loss","")),"")</f>
        <v/>
      </c>
      <c r="M242" s="156">
        <f>IF(B242&lt;_CurWeek,"In","")</f>
        <v/>
      </c>
      <c r="N242" s="156">
        <f>IF(M242="In",E242&amp;G242,"")</f>
        <v/>
      </c>
      <c r="O242" s="156">
        <f>IF(L242="Win",1,0)</f>
        <v/>
      </c>
    </row>
    <row r="243" ht="14.4" customHeight="1" s="152">
      <c r="A243" s="167">
        <f>B243&amp;E243</f>
        <v/>
      </c>
      <c r="B243" s="168" t="n">
        <v>17</v>
      </c>
      <c r="C243" s="168" t="inlineStr">
        <is>
          <t>Thursday</t>
        </is>
      </c>
      <c r="D243" s="169" t="inlineStr">
        <is>
          <t>2025-12-25</t>
        </is>
      </c>
      <c r="E243" s="168" t="inlineStr">
        <is>
          <t>Detroit Lions</t>
        </is>
      </c>
      <c r="F243" s="156" t="n"/>
      <c r="G243" s="168" t="inlineStr">
        <is>
          <t>Away</t>
        </is>
      </c>
      <c r="H243" s="170" t="inlineStr">
        <is>
          <t>Minnesota Vikings</t>
        </is>
      </c>
      <c r="J243" s="171" t="inlineStr">
        <is>
          <t>04:30 PM</t>
        </is>
      </c>
      <c r="K243" s="156">
        <f>IF(AND(F243=0,I243=0),"",IF(F243&gt;I243,B243&amp;E243,IF(F243&lt;I243,B243&amp;H243,"Tie")))</f>
        <v/>
      </c>
      <c r="L243" s="156">
        <f>IFERROR(IF(AND(B243&lt;$L$1,F243&gt;I243),"Win",IF(AND(B243&lt;$L$1,F243&lt;I243),"Loss","")),"")</f>
        <v/>
      </c>
      <c r="M243" s="156">
        <f>IF(B243&lt;_CurWeek,"In","")</f>
        <v/>
      </c>
      <c r="N243" s="156">
        <f>IF(M243="In",E243&amp;G243,"")</f>
        <v/>
      </c>
      <c r="O243" s="156">
        <f>IF(L243="Win",1,0)</f>
        <v/>
      </c>
    </row>
    <row r="244" ht="14.4" customHeight="1" s="152">
      <c r="A244" s="167">
        <f>B244&amp;E244</f>
        <v/>
      </c>
      <c r="B244" s="168" t="n">
        <v>17</v>
      </c>
      <c r="C244" s="168" t="inlineStr">
        <is>
          <t>Thursday</t>
        </is>
      </c>
      <c r="D244" s="169" t="inlineStr">
        <is>
          <t>2025-12-25</t>
        </is>
      </c>
      <c r="E244" s="168" t="inlineStr">
        <is>
          <t>Denver Broncos</t>
        </is>
      </c>
      <c r="F244" s="156" t="n"/>
      <c r="G244" s="168" t="inlineStr">
        <is>
          <t>Away</t>
        </is>
      </c>
      <c r="H244" s="170" t="inlineStr">
        <is>
          <t>Kansas City Chiefs</t>
        </is>
      </c>
      <c r="J244" s="171" t="inlineStr">
        <is>
          <t>08:15 PM</t>
        </is>
      </c>
      <c r="K244" s="156">
        <f>IF(AND(F244=0,I244=0),"",IF(F244&gt;I244,B244&amp;E244,IF(F244&lt;I244,B244&amp;H244,"Tie")))</f>
        <v/>
      </c>
      <c r="L244" s="156">
        <f>IFERROR(IF(AND(B244&lt;$L$1,F244&gt;I244),"Win",IF(AND(B244&lt;$L$1,F244&lt;I244),"Loss","")),"")</f>
        <v/>
      </c>
      <c r="M244" s="156">
        <f>IF(B244&lt;_CurWeek,"In","")</f>
        <v/>
      </c>
      <c r="N244" s="156">
        <f>IF(M244="In",E244&amp;G244,"")</f>
        <v/>
      </c>
      <c r="O244" s="156">
        <f>IF(L244="Win",1,0)</f>
        <v/>
      </c>
    </row>
    <row r="245" ht="14.4" customHeight="1" s="152">
      <c r="A245" s="167">
        <f>B245&amp;E245</f>
        <v/>
      </c>
      <c r="B245" s="168" t="n">
        <v>17</v>
      </c>
      <c r="C245" s="168" t="inlineStr">
        <is>
          <t>Sunday</t>
        </is>
      </c>
      <c r="D245" s="169" t="inlineStr">
        <is>
          <t>2025-12-28</t>
        </is>
      </c>
      <c r="E245" s="168" t="inlineStr">
        <is>
          <t>Seattle Seahawks</t>
        </is>
      </c>
      <c r="F245" s="156" t="n"/>
      <c r="G245" s="168" t="inlineStr">
        <is>
          <t>Away</t>
        </is>
      </c>
      <c r="H245" s="170" t="inlineStr">
        <is>
          <t>Carolina Panthers</t>
        </is>
      </c>
      <c r="J245" s="171" t="inlineStr">
        <is>
          <t>01:00 PM</t>
        </is>
      </c>
      <c r="K245" s="156">
        <f>IF(AND(F245=0,I245=0),"",IF(F245&gt;I245,B245&amp;E245,IF(F245&lt;I245,B245&amp;H245,"Tie")))</f>
        <v/>
      </c>
      <c r="L245" s="156">
        <f>IFERROR(IF(AND(B245&lt;$L$1,F245&gt;I245),"Win",IF(AND(B245&lt;$L$1,F245&lt;I245),"Loss","")),"")</f>
        <v/>
      </c>
      <c r="M245" s="156">
        <f>IF(B245&lt;_CurWeek,"In","")</f>
        <v/>
      </c>
      <c r="N245" s="156">
        <f>IF(M245="In",E245&amp;G245,"")</f>
        <v/>
      </c>
      <c r="O245" s="156">
        <f>IF(L245="Win",1,0)</f>
        <v/>
      </c>
    </row>
    <row r="246" ht="14.4" customHeight="1" s="152">
      <c r="A246" s="167">
        <f>B246&amp;E246</f>
        <v/>
      </c>
      <c r="B246" s="168" t="n">
        <v>17</v>
      </c>
      <c r="C246" s="168" t="inlineStr">
        <is>
          <t>Sunday</t>
        </is>
      </c>
      <c r="D246" s="169" t="inlineStr">
        <is>
          <t>2025-12-28</t>
        </is>
      </c>
      <c r="E246" s="168" t="inlineStr">
        <is>
          <t>Arizona Cardinals</t>
        </is>
      </c>
      <c r="F246" s="156" t="n"/>
      <c r="G246" s="168" t="inlineStr">
        <is>
          <t>Away</t>
        </is>
      </c>
      <c r="H246" s="170" t="inlineStr">
        <is>
          <t>Cincinnati Bengals</t>
        </is>
      </c>
      <c r="J246" s="171" t="inlineStr">
        <is>
          <t>01:00 PM</t>
        </is>
      </c>
      <c r="K246" s="156">
        <f>IF(AND(F246=0,I246=0),"",IF(F246&gt;I246,B246&amp;E246,IF(F246&lt;I246,B246&amp;H246,"Tie")))</f>
        <v/>
      </c>
      <c r="L246" s="156">
        <f>IFERROR(IF(AND(B246&lt;$L$1,F246&gt;I246),"Win",IF(AND(B246&lt;$L$1,F246&lt;I246),"Loss","")),"")</f>
        <v/>
      </c>
      <c r="M246" s="156">
        <f>IF(B246&lt;_CurWeek,"In","")</f>
        <v/>
      </c>
      <c r="N246" s="156">
        <f>IF(M246="In",E246&amp;G246,"")</f>
        <v/>
      </c>
      <c r="O246" s="156">
        <f>IF(L246="Win",1,0)</f>
        <v/>
      </c>
    </row>
    <row r="247" ht="14.4" customHeight="1" s="152">
      <c r="A247" s="167">
        <f>B247&amp;E247</f>
        <v/>
      </c>
      <c r="B247" s="168" t="n">
        <v>17</v>
      </c>
      <c r="C247" s="168" t="inlineStr">
        <is>
          <t>Sunday</t>
        </is>
      </c>
      <c r="D247" s="169" t="inlineStr">
        <is>
          <t>2025-12-28</t>
        </is>
      </c>
      <c r="E247" s="168" t="inlineStr">
        <is>
          <t>Pittsburgh Steelers</t>
        </is>
      </c>
      <c r="F247" s="156" t="n"/>
      <c r="G247" s="168" t="inlineStr">
        <is>
          <t>Away</t>
        </is>
      </c>
      <c r="H247" s="170" t="inlineStr">
        <is>
          <t>Cleveland Browns</t>
        </is>
      </c>
      <c r="J247" s="171" t="inlineStr">
        <is>
          <t>01:00 PM</t>
        </is>
      </c>
      <c r="K247" s="156">
        <f>IF(AND(F247=0,I247=0),"",IF(F247&gt;I247,B247&amp;E247,IF(F247&lt;I247,B247&amp;H247,"Tie")))</f>
        <v/>
      </c>
      <c r="L247" s="156">
        <f>IFERROR(IF(AND(B247&lt;$L$1,F247&gt;I247),"Win",IF(AND(B247&lt;$L$1,F247&lt;I247),"Loss","")),"")</f>
        <v/>
      </c>
      <c r="M247" s="156">
        <f>IF(B247&lt;_CurWeek,"In","")</f>
        <v/>
      </c>
      <c r="N247" s="156">
        <f>IF(M247="In",E247&amp;G247,"")</f>
        <v/>
      </c>
      <c r="O247" s="156">
        <f>IF(L247="Win",1,0)</f>
        <v/>
      </c>
    </row>
    <row r="248" ht="14.4" customHeight="1" s="152">
      <c r="A248" s="167">
        <f>B248&amp;E248</f>
        <v/>
      </c>
      <c r="B248" s="168" t="n">
        <v>17</v>
      </c>
      <c r="C248" s="168" t="inlineStr">
        <is>
          <t>Sunday</t>
        </is>
      </c>
      <c r="D248" s="169" t="inlineStr">
        <is>
          <t>2025-12-28</t>
        </is>
      </c>
      <c r="E248" s="168" t="inlineStr">
        <is>
          <t>Baltimore Ravens</t>
        </is>
      </c>
      <c r="F248" s="156" t="n"/>
      <c r="G248" s="168" t="inlineStr">
        <is>
          <t>Away</t>
        </is>
      </c>
      <c r="H248" s="170" t="inlineStr">
        <is>
          <t>Green Bay Packers</t>
        </is>
      </c>
      <c r="J248" s="171" t="inlineStr">
        <is>
          <t>01:00 PM</t>
        </is>
      </c>
      <c r="K248" s="156">
        <f>IF(AND(F248=0,I248=0),"",IF(F248&gt;I248,B248&amp;E248,IF(F248&lt;I248,B248&amp;H248,"Tie")))</f>
        <v/>
      </c>
      <c r="L248" s="156">
        <f>IFERROR(IF(AND(B248&lt;$L$1,F248&gt;I248),"Win",IF(AND(B248&lt;$L$1,F248&lt;I248),"Loss","")),"")</f>
        <v/>
      </c>
      <c r="M248" s="156">
        <f>IF(B248&lt;_CurWeek,"In","")</f>
        <v/>
      </c>
      <c r="N248" s="156">
        <f>IF(M248="In",E248&amp;G248,"")</f>
        <v/>
      </c>
      <c r="O248" s="156">
        <f>IF(L248="Win",1,0)</f>
        <v/>
      </c>
    </row>
    <row r="249" ht="14.4" customHeight="1" s="152">
      <c r="A249" s="167">
        <f>B249&amp;E249</f>
        <v/>
      </c>
      <c r="B249" s="168" t="n">
        <v>17</v>
      </c>
      <c r="C249" s="168" t="inlineStr">
        <is>
          <t>Sunday</t>
        </is>
      </c>
      <c r="D249" s="169" t="inlineStr">
        <is>
          <t>2025-12-28</t>
        </is>
      </c>
      <c r="E249" s="168" t="inlineStr">
        <is>
          <t>Jacksonville Jaguars</t>
        </is>
      </c>
      <c r="F249" s="156" t="n"/>
      <c r="G249" s="168" t="inlineStr">
        <is>
          <t>Away</t>
        </is>
      </c>
      <c r="H249" s="170" t="inlineStr">
        <is>
          <t>Indianapolis Colts</t>
        </is>
      </c>
      <c r="J249" s="171" t="inlineStr">
        <is>
          <t>01:00 PM</t>
        </is>
      </c>
      <c r="K249" s="156">
        <f>IF(AND(F249=0,I249=0),"",IF(F249&gt;I249,B249&amp;E249,IF(F249&lt;I249,B249&amp;H249,"Tie")))</f>
        <v/>
      </c>
      <c r="L249" s="156">
        <f>IFERROR(IF(AND(B249&lt;$L$1,F249&gt;I249),"Win",IF(AND(B249&lt;$L$1,F249&lt;I249),"Loss","")),"")</f>
        <v/>
      </c>
      <c r="M249" s="156">
        <f>IF(B249&lt;_CurWeek,"In","")</f>
        <v/>
      </c>
      <c r="N249" s="156">
        <f>IF(M249="In",E249&amp;G249,"")</f>
        <v/>
      </c>
      <c r="O249" s="156">
        <f>IF(L249="Win",1,0)</f>
        <v/>
      </c>
    </row>
    <row r="250" ht="14.4" customHeight="1" s="152">
      <c r="A250" s="167">
        <f>B250&amp;E250</f>
        <v/>
      </c>
      <c r="B250" s="168" t="n">
        <v>17</v>
      </c>
      <c r="C250" s="168" t="inlineStr">
        <is>
          <t>Sunday</t>
        </is>
      </c>
      <c r="D250" s="169" t="inlineStr">
        <is>
          <t>2025-12-28</t>
        </is>
      </c>
      <c r="E250" s="168" t="inlineStr">
        <is>
          <t>Houston Texans</t>
        </is>
      </c>
      <c r="F250" s="156" t="n"/>
      <c r="G250" s="168" t="inlineStr">
        <is>
          <t>Away</t>
        </is>
      </c>
      <c r="H250" s="170" t="inlineStr">
        <is>
          <t>Los Angeles Chargers</t>
        </is>
      </c>
      <c r="J250" s="171" t="inlineStr">
        <is>
          <t>01:00 PM</t>
        </is>
      </c>
      <c r="K250" s="156">
        <f>IF(AND(F250=0,I250=0),"",IF(F250&gt;I250,B250&amp;E250,IF(F250&lt;I250,B250&amp;H250,"Tie")))</f>
        <v/>
      </c>
      <c r="L250" s="156">
        <f>IFERROR(IF(AND(B250&lt;$L$1,F250&gt;I250),"Win",IF(AND(B250&lt;$L$1,F250&lt;I250),"Loss","")),"")</f>
        <v/>
      </c>
      <c r="M250" s="156">
        <f>IF(B250&lt;_CurWeek,"In","")</f>
        <v/>
      </c>
      <c r="N250" s="156">
        <f>IF(M250="In",E250&amp;G250,"")</f>
        <v/>
      </c>
      <c r="O250" s="156">
        <f>IF(L250="Win",1,0)</f>
        <v/>
      </c>
    </row>
    <row r="251" ht="14.4" customHeight="1" s="152">
      <c r="A251" s="167">
        <f>B251&amp;E251</f>
        <v/>
      </c>
      <c r="B251" s="168" t="n">
        <v>17</v>
      </c>
      <c r="C251" s="168" t="inlineStr">
        <is>
          <t>Sunday</t>
        </is>
      </c>
      <c r="D251" s="169" t="inlineStr">
        <is>
          <t>2025-12-28</t>
        </is>
      </c>
      <c r="E251" s="168" t="inlineStr">
        <is>
          <t>New York Giants</t>
        </is>
      </c>
      <c r="F251" s="156" t="n"/>
      <c r="G251" s="168" t="inlineStr">
        <is>
          <t>Away</t>
        </is>
      </c>
      <c r="H251" s="170" t="inlineStr">
        <is>
          <t>Las Vegas Raiders</t>
        </is>
      </c>
      <c r="J251" s="171" t="inlineStr">
        <is>
          <t>01:00 PM</t>
        </is>
      </c>
      <c r="K251" s="156">
        <f>IF(AND(F251=0,I251=0),"",IF(F251&gt;I251,B251&amp;E251,IF(F251&lt;I251,B251&amp;H251,"Tie")))</f>
        <v/>
      </c>
      <c r="L251" s="156">
        <f>IFERROR(IF(AND(B251&lt;$L$1,F251&gt;I251),"Win",IF(AND(B251&lt;$L$1,F251&lt;I251),"Loss","")),"")</f>
        <v/>
      </c>
      <c r="M251" s="156">
        <f>IF(B251&lt;_CurWeek,"In","")</f>
        <v/>
      </c>
      <c r="N251" s="156">
        <f>IF(M251="In",E251&amp;G251,"")</f>
        <v/>
      </c>
      <c r="O251" s="156">
        <f>IF(L251="Win",1,0)</f>
        <v/>
      </c>
    </row>
    <row r="252" ht="14.4" customHeight="1" s="152">
      <c r="A252" s="167">
        <f>B252&amp;E252</f>
        <v/>
      </c>
      <c r="B252" s="168" t="n">
        <v>17</v>
      </c>
      <c r="C252" s="168" t="inlineStr">
        <is>
          <t>Sunday</t>
        </is>
      </c>
      <c r="D252" s="169" t="inlineStr">
        <is>
          <t>2025-12-28</t>
        </is>
      </c>
      <c r="E252" s="168" t="inlineStr">
        <is>
          <t>Tampa Bay Buccaneers</t>
        </is>
      </c>
      <c r="F252" s="156" t="n"/>
      <c r="G252" s="168" t="inlineStr">
        <is>
          <t>Away</t>
        </is>
      </c>
      <c r="H252" s="170" t="inlineStr">
        <is>
          <t>Miami Dolphins</t>
        </is>
      </c>
      <c r="J252" s="171" t="inlineStr">
        <is>
          <t>01:00 PM</t>
        </is>
      </c>
      <c r="K252" s="156">
        <f>IF(AND(F252=0,I252=0),"",IF(F252&gt;I252,B252&amp;E252,IF(F252&lt;I252,B252&amp;H252,"Tie")))</f>
        <v/>
      </c>
      <c r="L252" s="156">
        <f>IFERROR(IF(AND(B252&lt;$L$1,F252&gt;I252),"Win",IF(AND(B252&lt;$L$1,F252&lt;I252),"Loss","")),"")</f>
        <v/>
      </c>
      <c r="M252" s="156">
        <f>IF(B252&lt;_CurWeek,"In","")</f>
        <v/>
      </c>
      <c r="N252" s="156">
        <f>IF(M252="In",E252&amp;G252,"")</f>
        <v/>
      </c>
      <c r="O252" s="156">
        <f>IF(L252="Win",1,0)</f>
        <v/>
      </c>
    </row>
    <row r="253" ht="14.4" customHeight="1" s="152">
      <c r="A253" s="167">
        <f>B253&amp;E253</f>
        <v/>
      </c>
      <c r="B253" s="168" t="n">
        <v>17</v>
      </c>
      <c r="C253" s="168" t="inlineStr">
        <is>
          <t>Sunday</t>
        </is>
      </c>
      <c r="D253" s="169" t="inlineStr">
        <is>
          <t>2025-12-28</t>
        </is>
      </c>
      <c r="E253" s="168" t="inlineStr">
        <is>
          <t>New England Patriots</t>
        </is>
      </c>
      <c r="F253" s="156" t="n"/>
      <c r="G253" s="168" t="inlineStr">
        <is>
          <t>Away</t>
        </is>
      </c>
      <c r="H253" s="170" t="inlineStr">
        <is>
          <t>New York Jets</t>
        </is>
      </c>
      <c r="J253" s="171" t="inlineStr">
        <is>
          <t>01:00 PM</t>
        </is>
      </c>
      <c r="K253" s="156">
        <f>IF(AND(F253=0,I253=0),"",IF(F253&gt;I253,B253&amp;E253,IF(F253&lt;I253,B253&amp;H253,"Tie")))</f>
        <v/>
      </c>
      <c r="L253" s="156">
        <f>IFERROR(IF(AND(B253&lt;$L$1,F253&gt;I253),"Win",IF(AND(B253&lt;$L$1,F253&lt;I253),"Loss","")),"")</f>
        <v/>
      </c>
      <c r="M253" s="156">
        <f>IF(B253&lt;_CurWeek,"In","")</f>
        <v/>
      </c>
      <c r="N253" s="156">
        <f>IF(M253="In",E253&amp;G253,"")</f>
        <v/>
      </c>
      <c r="O253" s="156">
        <f>IF(L253="Win",1,0)</f>
        <v/>
      </c>
    </row>
    <row r="254" ht="14.4" customHeight="1" s="152">
      <c r="A254" s="167">
        <f>B254&amp;E254</f>
        <v/>
      </c>
      <c r="B254" s="168" t="n">
        <v>17</v>
      </c>
      <c r="C254" s="168" t="inlineStr">
        <is>
          <t>Sunday</t>
        </is>
      </c>
      <c r="D254" s="169" t="inlineStr">
        <is>
          <t>2025-12-28</t>
        </is>
      </c>
      <c r="E254" s="168" t="inlineStr">
        <is>
          <t>New Orleans Saints</t>
        </is>
      </c>
      <c r="F254" s="156" t="n"/>
      <c r="G254" s="168" t="inlineStr">
        <is>
          <t>Away</t>
        </is>
      </c>
      <c r="H254" s="170" t="inlineStr">
        <is>
          <t>Tennessee Titans</t>
        </is>
      </c>
      <c r="J254" s="171" t="inlineStr">
        <is>
          <t>01:00 PM</t>
        </is>
      </c>
      <c r="K254" s="156">
        <f>IF(AND(F254=0,I254=0),"",IF(F254&gt;I254,B254&amp;E254,IF(F254&lt;I254,B254&amp;H254,"Tie")))</f>
        <v/>
      </c>
      <c r="L254" s="156">
        <f>IFERROR(IF(AND(B254&lt;$L$1,F254&gt;I254),"Win",IF(AND(B254&lt;$L$1,F254&lt;I254),"Loss","")),"")</f>
        <v/>
      </c>
      <c r="M254" s="156">
        <f>IF(B254&lt;_CurWeek,"In","")</f>
        <v/>
      </c>
      <c r="N254" s="156">
        <f>IF(M254="In",E254&amp;G254,"")</f>
        <v/>
      </c>
      <c r="O254" s="156">
        <f>IF(L254="Win",1,0)</f>
        <v/>
      </c>
    </row>
    <row r="255" ht="14.4" customHeight="1" s="152">
      <c r="A255" s="167">
        <f>B255&amp;E255</f>
        <v/>
      </c>
      <c r="B255" s="168" t="n">
        <v>17</v>
      </c>
      <c r="C255" s="168" t="inlineStr">
        <is>
          <t>Sunday</t>
        </is>
      </c>
      <c r="D255" s="169" t="inlineStr">
        <is>
          <t>2025-12-28</t>
        </is>
      </c>
      <c r="E255" s="168" t="inlineStr">
        <is>
          <t>Philadelphia Eagles</t>
        </is>
      </c>
      <c r="F255" s="156" t="n"/>
      <c r="G255" s="168" t="inlineStr">
        <is>
          <t>Away</t>
        </is>
      </c>
      <c r="H255" s="170" t="inlineStr">
        <is>
          <t>Buffalo Bills</t>
        </is>
      </c>
      <c r="J255" s="171" t="inlineStr">
        <is>
          <t>04:25 PM</t>
        </is>
      </c>
      <c r="K255" s="156">
        <f>IF(AND(F255=0,I255=0),"",IF(F255&gt;I255,B255&amp;E255,IF(F255&lt;I255,B255&amp;H255,"Tie")))</f>
        <v/>
      </c>
      <c r="L255" s="156">
        <f>IFERROR(IF(AND(B255&lt;$L$1,F255&gt;I255),"Win",IF(AND(B255&lt;$L$1,F255&lt;I255),"Loss","")),"")</f>
        <v/>
      </c>
      <c r="M255" s="156">
        <f>IF(B255&lt;_CurWeek,"In","")</f>
        <v/>
      </c>
      <c r="N255" s="156">
        <f>IF(M255="In",E255&amp;G255,"")</f>
        <v/>
      </c>
      <c r="O255" s="156">
        <f>IF(L255="Win",1,0)</f>
        <v/>
      </c>
    </row>
    <row r="256" ht="14.4" customHeight="1" s="152">
      <c r="A256" s="167">
        <f>B256&amp;E256</f>
        <v/>
      </c>
      <c r="B256" s="168" t="n">
        <v>17</v>
      </c>
      <c r="C256" s="168" t="inlineStr">
        <is>
          <t>Sunday</t>
        </is>
      </c>
      <c r="D256" s="169" t="inlineStr">
        <is>
          <t>2025-12-28</t>
        </is>
      </c>
      <c r="E256" s="168" t="inlineStr">
        <is>
          <t>Chicago Bears</t>
        </is>
      </c>
      <c r="F256" s="156" t="n"/>
      <c r="G256" s="168" t="inlineStr">
        <is>
          <t>Away</t>
        </is>
      </c>
      <c r="H256" s="170" t="inlineStr">
        <is>
          <t>San Francisco 49ers</t>
        </is>
      </c>
      <c r="J256" s="171" t="inlineStr">
        <is>
          <t>08:20 PM</t>
        </is>
      </c>
      <c r="K256" s="156">
        <f>IF(AND(F256=0,I256=0),"",IF(F256&gt;I256,B256&amp;E256,IF(F256&lt;I256,B256&amp;H256,"Tie")))</f>
        <v/>
      </c>
      <c r="L256" s="156">
        <f>IFERROR(IF(AND(B256&lt;$L$1,F256&gt;I256),"Win",IF(AND(B256&lt;$L$1,F256&lt;I256),"Loss","")),"")</f>
        <v/>
      </c>
      <c r="M256" s="156">
        <f>IF(B256&lt;_CurWeek,"In","")</f>
        <v/>
      </c>
      <c r="N256" s="156">
        <f>IF(M256="In",E256&amp;G256,"")</f>
        <v/>
      </c>
      <c r="O256" s="156">
        <f>IF(L256="Win",1,0)</f>
        <v/>
      </c>
    </row>
    <row r="257" ht="14.4" customHeight="1" s="152">
      <c r="A257" s="167">
        <f>B257&amp;E257</f>
        <v/>
      </c>
      <c r="B257" s="168" t="n">
        <v>17</v>
      </c>
      <c r="C257" s="168" t="inlineStr">
        <is>
          <t>Monday</t>
        </is>
      </c>
      <c r="D257" s="169" t="inlineStr">
        <is>
          <t>2025-12-29</t>
        </is>
      </c>
      <c r="E257" s="168" t="inlineStr">
        <is>
          <t>Los Angeles Rams</t>
        </is>
      </c>
      <c r="F257" s="156" t="n"/>
      <c r="G257" s="168" t="inlineStr">
        <is>
          <t>Away</t>
        </is>
      </c>
      <c r="H257" s="170" t="inlineStr">
        <is>
          <t>Atlanta Falcons</t>
        </is>
      </c>
      <c r="J257" s="171" t="inlineStr">
        <is>
          <t>08:15 PM</t>
        </is>
      </c>
      <c r="K257" s="156">
        <f>IF(AND(F257=0,I257=0),"",IF(F257&gt;I257,B257&amp;E257,IF(F257&lt;I257,B257&amp;H257,"Tie")))</f>
        <v/>
      </c>
      <c r="L257" s="156">
        <f>IFERROR(IF(AND(B257&lt;$L$1,F257&gt;I257),"Win",IF(AND(B257&lt;$L$1,F257&lt;I257),"Loss","")),"")</f>
        <v/>
      </c>
      <c r="M257" s="156">
        <f>IF(B257&lt;_CurWeek,"In","")</f>
        <v/>
      </c>
      <c r="N257" s="156">
        <f>IF(M257="In",E257&amp;G257,"")</f>
        <v/>
      </c>
      <c r="O257" s="156">
        <f>IF(L257="Win",1,0)</f>
        <v/>
      </c>
      <c r="T257" s="173" t="n"/>
    </row>
    <row r="258" ht="14.4" customHeight="1" s="152">
      <c r="A258" s="167">
        <f>B258&amp;E258</f>
        <v/>
      </c>
      <c r="B258" s="168" t="n">
        <v>18</v>
      </c>
      <c r="C258" s="168" t="inlineStr">
        <is>
          <t>Sunday</t>
        </is>
      </c>
      <c r="D258" s="169" t="inlineStr">
        <is>
          <t>2026-01-04</t>
        </is>
      </c>
      <c r="E258" s="168" t="inlineStr">
        <is>
          <t>New Orleans Saints</t>
        </is>
      </c>
      <c r="F258" s="156" t="n"/>
      <c r="G258" s="168" t="inlineStr">
        <is>
          <t>Away</t>
        </is>
      </c>
      <c r="H258" s="170" t="inlineStr">
        <is>
          <t>Atlanta Falcons</t>
        </is>
      </c>
      <c r="J258" s="171" t="inlineStr">
        <is>
          <t>01:00 PM</t>
        </is>
      </c>
      <c r="K258" s="156">
        <f>IF(AND(F258=0,I258=0),"",IF(F258&gt;I258,B258&amp;E258,IF(F258&lt;I258,B258&amp;H258,"Tie")))</f>
        <v/>
      </c>
      <c r="L258" s="156">
        <f>IFERROR(IF(AND(B258&lt;$L$1,F258&gt;I258),"Win",IF(AND(B258&lt;$L$1,F258&lt;I258),"Loss","")),"")</f>
        <v/>
      </c>
      <c r="M258" s="156">
        <f>IF(B258&lt;_CurWeek,"In","")</f>
        <v/>
      </c>
      <c r="N258" s="156">
        <f>IF(M258="In",E258&amp;G258,"")</f>
        <v/>
      </c>
      <c r="O258" s="156">
        <f>IF(L258="Win",1,0)</f>
        <v/>
      </c>
      <c r="T258" s="173" t="n"/>
    </row>
    <row r="259" ht="14.4" customHeight="1" s="152">
      <c r="A259" s="167">
        <f>B259&amp;E259</f>
        <v/>
      </c>
      <c r="B259" s="168" t="n">
        <v>18</v>
      </c>
      <c r="C259" s="168" t="inlineStr">
        <is>
          <t>Sunday</t>
        </is>
      </c>
      <c r="D259" s="169" t="inlineStr">
        <is>
          <t>2026-01-04</t>
        </is>
      </c>
      <c r="E259" s="168" t="inlineStr">
        <is>
          <t>New York Jets</t>
        </is>
      </c>
      <c r="F259" s="156" t="n"/>
      <c r="G259" s="168" t="inlineStr">
        <is>
          <t>Away</t>
        </is>
      </c>
      <c r="H259" s="170" t="inlineStr">
        <is>
          <t>Buffalo Bills</t>
        </is>
      </c>
      <c r="J259" s="171" t="inlineStr">
        <is>
          <t>01:00 PM</t>
        </is>
      </c>
      <c r="K259" s="156">
        <f>IF(AND(F259=0,I259=0),"",IF(F259&gt;I259,B259&amp;E259,IF(F259&lt;I259,B259&amp;H259,"Tie")))</f>
        <v/>
      </c>
      <c r="L259" s="156">
        <f>IFERROR(IF(AND(B259&lt;$L$1,F259&gt;I259),"Win",IF(AND(B259&lt;$L$1,F259&lt;I259),"Loss","")),"")</f>
        <v/>
      </c>
      <c r="M259" s="156">
        <f>IF(B259&lt;_CurWeek,"In","")</f>
        <v/>
      </c>
      <c r="N259" s="156">
        <f>IF(M259="In",E259&amp;G259,"")</f>
        <v/>
      </c>
      <c r="O259" s="156">
        <f>IF(L259="Win",1,0)</f>
        <v/>
      </c>
      <c r="T259" s="173" t="n"/>
    </row>
    <row r="260" ht="14.4" customHeight="1" s="152">
      <c r="A260" s="167">
        <f>B260&amp;E260</f>
        <v/>
      </c>
      <c r="B260" s="168" t="n">
        <v>18</v>
      </c>
      <c r="C260" s="168" t="inlineStr">
        <is>
          <t>Sunday</t>
        </is>
      </c>
      <c r="D260" s="169" t="inlineStr">
        <is>
          <t>2026-01-04</t>
        </is>
      </c>
      <c r="E260" s="168" t="inlineStr">
        <is>
          <t>Detroit Lions</t>
        </is>
      </c>
      <c r="F260" s="156" t="n"/>
      <c r="G260" s="168" t="inlineStr">
        <is>
          <t>Away</t>
        </is>
      </c>
      <c r="H260" s="170" t="inlineStr">
        <is>
          <t>Chicago Bears</t>
        </is>
      </c>
      <c r="J260" s="171" t="inlineStr">
        <is>
          <t>01:00 PM</t>
        </is>
      </c>
      <c r="K260" s="156">
        <f>IF(AND(F260=0,I260=0),"",IF(F260&gt;I260,B260&amp;E260,IF(F260&lt;I260,B260&amp;H260,"Tie")))</f>
        <v/>
      </c>
      <c r="L260" s="156">
        <f>IFERROR(IF(AND(B260&lt;$L$1,F260&gt;I260),"Win",IF(AND(B260&lt;$L$1,F260&lt;I260),"Loss","")),"")</f>
        <v/>
      </c>
      <c r="M260" s="156">
        <f>IF(B260&lt;_CurWeek,"In","")</f>
        <v/>
      </c>
      <c r="N260" s="156">
        <f>IF(M260="In",E260&amp;G260,"")</f>
        <v/>
      </c>
      <c r="O260" s="156">
        <f>IF(L260="Win",1,0)</f>
        <v/>
      </c>
      <c r="T260" s="173" t="n"/>
    </row>
    <row r="261" ht="14.4" customHeight="1" s="152">
      <c r="A261" s="167">
        <f>B261&amp;E261</f>
        <v/>
      </c>
      <c r="B261" s="168" t="n">
        <v>18</v>
      </c>
      <c r="C261" s="168" t="inlineStr">
        <is>
          <t>Sunday</t>
        </is>
      </c>
      <c r="D261" s="169" t="inlineStr">
        <is>
          <t>2026-01-04</t>
        </is>
      </c>
      <c r="E261" s="168" t="inlineStr">
        <is>
          <t>Cleveland Browns</t>
        </is>
      </c>
      <c r="F261" s="156" t="n"/>
      <c r="G261" s="168" t="inlineStr">
        <is>
          <t>Away</t>
        </is>
      </c>
      <c r="H261" s="170" t="inlineStr">
        <is>
          <t>Cincinnati Bengals</t>
        </is>
      </c>
      <c r="J261" s="171" t="inlineStr">
        <is>
          <t>01:00 PM</t>
        </is>
      </c>
      <c r="K261" s="156">
        <f>IF(AND(F261=0,I261=0),"",IF(F261&gt;I261,B261&amp;E261,IF(F261&lt;I261,B261&amp;H261,"Tie")))</f>
        <v/>
      </c>
      <c r="L261" s="156">
        <f>IFERROR(IF(AND(B261&lt;$L$1,F261&gt;I261),"Win",IF(AND(B261&lt;$L$1,F261&lt;I261),"Loss","")),"")</f>
        <v/>
      </c>
      <c r="M261" s="156">
        <f>IF(B261&lt;_CurWeek,"In","")</f>
        <v/>
      </c>
      <c r="N261" s="156">
        <f>IF(M261="In",E261&amp;G261,"")</f>
        <v/>
      </c>
      <c r="O261" s="156">
        <f>IF(L261="Win",1,0)</f>
        <v/>
      </c>
      <c r="T261" s="173" t="n"/>
    </row>
    <row r="262" ht="14.4" customHeight="1" s="152">
      <c r="A262" s="167">
        <f>B262&amp;E262</f>
        <v/>
      </c>
      <c r="B262" s="168" t="n">
        <v>18</v>
      </c>
      <c r="C262" s="168" t="inlineStr">
        <is>
          <t>Sunday</t>
        </is>
      </c>
      <c r="D262" s="169" t="inlineStr">
        <is>
          <t>2026-01-04</t>
        </is>
      </c>
      <c r="E262" s="168" t="inlineStr">
        <is>
          <t>Los Angeles Chargers</t>
        </is>
      </c>
      <c r="F262" s="156" t="n"/>
      <c r="G262" s="168" t="inlineStr">
        <is>
          <t>Away</t>
        </is>
      </c>
      <c r="H262" s="170" t="inlineStr">
        <is>
          <t>Denver Broncos</t>
        </is>
      </c>
      <c r="J262" s="171" t="inlineStr">
        <is>
          <t>01:00 PM</t>
        </is>
      </c>
      <c r="K262" s="156">
        <f>IF(AND(F262=0,I262=0),"",IF(F262&gt;I262,B262&amp;E262,IF(F262&lt;I262,B262&amp;H262,"Tie")))</f>
        <v/>
      </c>
      <c r="L262" s="156">
        <f>IFERROR(IF(AND(B262&lt;$L$1,F262&gt;I262),"Win",IF(AND(B262&lt;$L$1,F262&lt;I262),"Loss","")),"")</f>
        <v/>
      </c>
      <c r="M262" s="156">
        <f>IF(B262&lt;_CurWeek,"In","")</f>
        <v/>
      </c>
      <c r="N262" s="156">
        <f>IF(M262="In",E262&amp;G262,"")</f>
        <v/>
      </c>
      <c r="O262" s="156">
        <f>IF(L262="Win",1,0)</f>
        <v/>
      </c>
      <c r="T262" s="173" t="n"/>
    </row>
    <row r="263" ht="14.4" customHeight="1" s="152">
      <c r="A263" s="167">
        <f>B263&amp;E263</f>
        <v/>
      </c>
      <c r="B263" s="168" t="n">
        <v>18</v>
      </c>
      <c r="C263" s="168" t="inlineStr">
        <is>
          <t>Sunday</t>
        </is>
      </c>
      <c r="D263" s="169" t="inlineStr">
        <is>
          <t>2026-01-04</t>
        </is>
      </c>
      <c r="E263" s="168" t="inlineStr">
        <is>
          <t>Indianapolis Colts</t>
        </is>
      </c>
      <c r="F263" s="156" t="n"/>
      <c r="G263" s="168" t="inlineStr">
        <is>
          <t>Away</t>
        </is>
      </c>
      <c r="H263" s="170" t="inlineStr">
        <is>
          <t>Houston Texans</t>
        </is>
      </c>
      <c r="J263" s="171" t="inlineStr">
        <is>
          <t>01:00 PM</t>
        </is>
      </c>
      <c r="K263" s="156">
        <f>IF(AND(F263=0,I263=0),"",IF(F263&gt;I263,B263&amp;E263,IF(F263&lt;I263,B263&amp;H263,"Tie")))</f>
        <v/>
      </c>
      <c r="L263" s="156">
        <f>IFERROR(IF(AND(B263&lt;$L$1,F263&gt;I263),"Win",IF(AND(B263&lt;$L$1,F263&lt;I263),"Loss","")),"")</f>
        <v/>
      </c>
      <c r="M263" s="156">
        <f>IF(B263&lt;_CurWeek,"In","")</f>
        <v/>
      </c>
      <c r="N263" s="156">
        <f>IF(M263="In",E263&amp;G263,"")</f>
        <v/>
      </c>
      <c r="O263" s="156">
        <f>IF(L263="Win",1,0)</f>
        <v/>
      </c>
      <c r="T263" s="173" t="n"/>
    </row>
    <row r="264" ht="14.4" customHeight="1" s="152">
      <c r="A264" s="167">
        <f>B264&amp;E264</f>
        <v/>
      </c>
      <c r="B264" s="168" t="n">
        <v>18</v>
      </c>
      <c r="C264" s="168" t="inlineStr">
        <is>
          <t>Sunday</t>
        </is>
      </c>
      <c r="D264" s="169" t="inlineStr">
        <is>
          <t>2026-01-04</t>
        </is>
      </c>
      <c r="E264" s="168" t="inlineStr">
        <is>
          <t>Tennessee Titans</t>
        </is>
      </c>
      <c r="F264" s="156" t="n"/>
      <c r="G264" s="168" t="inlineStr">
        <is>
          <t>Away</t>
        </is>
      </c>
      <c r="H264" s="170" t="inlineStr">
        <is>
          <t>Jacksonville Jaguars</t>
        </is>
      </c>
      <c r="J264" s="171" t="inlineStr">
        <is>
          <t>01:00 PM</t>
        </is>
      </c>
      <c r="K264" s="156">
        <f>IF(AND(F264=0,I264=0),"",IF(F264&gt;I264,B264&amp;E264,IF(F264&lt;I264,B264&amp;H264,"Tie")))</f>
        <v/>
      </c>
      <c r="L264" s="156">
        <f>IFERROR(IF(AND(B264&lt;$L$1,F264&gt;I264),"Win",IF(AND(B264&lt;$L$1,F264&lt;I264),"Loss","")),"")</f>
        <v/>
      </c>
      <c r="M264" s="156">
        <f>IF(B264&lt;_CurWeek,"In","")</f>
        <v/>
      </c>
      <c r="N264" s="156">
        <f>IF(M264="In",E264&amp;G264,"")</f>
        <v/>
      </c>
      <c r="O264" s="156">
        <f>IF(L264="Win",1,0)</f>
        <v/>
      </c>
      <c r="T264" s="173" t="n"/>
    </row>
    <row r="265" ht="14.4" customHeight="1" s="152">
      <c r="A265" s="167">
        <f>B265&amp;E265</f>
        <v/>
      </c>
      <c r="B265" s="168" t="n">
        <v>18</v>
      </c>
      <c r="C265" s="168" t="inlineStr">
        <is>
          <t>Sunday</t>
        </is>
      </c>
      <c r="D265" s="169" t="inlineStr">
        <is>
          <t>2026-01-04</t>
        </is>
      </c>
      <c r="E265" s="168" t="inlineStr">
        <is>
          <t>Arizona Cardinals</t>
        </is>
      </c>
      <c r="F265" s="156" t="n"/>
      <c r="G265" s="168" t="inlineStr">
        <is>
          <t>Away</t>
        </is>
      </c>
      <c r="H265" s="170" t="inlineStr">
        <is>
          <t>Los Angeles Rams</t>
        </is>
      </c>
      <c r="J265" s="171" t="inlineStr">
        <is>
          <t>01:00 PM</t>
        </is>
      </c>
      <c r="K265" s="156">
        <f>IF(AND(F265=0,I265=0),"",IF(F265&gt;I265,B265&amp;E265,IF(F265&lt;I265,B265&amp;H265,"Tie")))</f>
        <v/>
      </c>
      <c r="L265" s="156">
        <f>IFERROR(IF(AND(B265&lt;$L$1,F265&gt;I265),"Win",IF(AND(B265&lt;$L$1,F265&lt;I265),"Loss","")),"")</f>
        <v/>
      </c>
      <c r="M265" s="156">
        <f>IF(B265&lt;_CurWeek,"In","")</f>
        <v/>
      </c>
      <c r="N265" s="156">
        <f>IF(M265="In",E265&amp;G265,"")</f>
        <v/>
      </c>
      <c r="O265" s="156">
        <f>IF(L265="Win",1,0)</f>
        <v/>
      </c>
      <c r="T265" s="173" t="n"/>
    </row>
    <row r="266" ht="14.4" customHeight="1" s="152">
      <c r="A266" s="167">
        <f>B266&amp;E266</f>
        <v/>
      </c>
      <c r="B266" s="168" t="n">
        <v>18</v>
      </c>
      <c r="C266" s="168" t="inlineStr">
        <is>
          <t>Sunday</t>
        </is>
      </c>
      <c r="D266" s="169" t="inlineStr">
        <is>
          <t>2026-01-04</t>
        </is>
      </c>
      <c r="E266" s="168" t="inlineStr">
        <is>
          <t>Kansas City Chiefs</t>
        </is>
      </c>
      <c r="F266" s="156" t="n"/>
      <c r="G266" s="168" t="inlineStr">
        <is>
          <t>Away</t>
        </is>
      </c>
      <c r="H266" s="170" t="inlineStr">
        <is>
          <t>Las Vegas Raiders</t>
        </is>
      </c>
      <c r="J266" s="171" t="inlineStr">
        <is>
          <t>01:00 PM</t>
        </is>
      </c>
      <c r="K266" s="156">
        <f>IF(AND(F266=0,I266=0),"",IF(F266&gt;I266,B266&amp;E266,IF(F266&lt;I266,B266&amp;H266,"Tie")))</f>
        <v/>
      </c>
      <c r="L266" s="156">
        <f>IFERROR(IF(AND(B266&lt;$L$1,F266&gt;I266),"Win",IF(AND(B266&lt;$L$1,F266&lt;I266),"Loss","")),"")</f>
        <v/>
      </c>
      <c r="M266" s="156">
        <f>IF(B266&lt;_CurWeek,"In","")</f>
        <v/>
      </c>
      <c r="N266" s="156">
        <f>IF(M266="In",E266&amp;G266,"")</f>
        <v/>
      </c>
      <c r="O266" s="156">
        <f>IF(L266="Win",1,0)</f>
        <v/>
      </c>
      <c r="T266" s="173" t="n"/>
    </row>
    <row r="267" ht="14.4" customHeight="1" s="152">
      <c r="A267" s="167">
        <f>B267&amp;E267</f>
        <v/>
      </c>
      <c r="B267" s="168" t="n">
        <v>18</v>
      </c>
      <c r="C267" s="168" t="inlineStr">
        <is>
          <t>Sunday</t>
        </is>
      </c>
      <c r="D267" s="169" t="inlineStr">
        <is>
          <t>2026-01-04</t>
        </is>
      </c>
      <c r="E267" s="168" t="inlineStr">
        <is>
          <t>Green Bay Packers</t>
        </is>
      </c>
      <c r="F267" s="156" t="n"/>
      <c r="G267" s="168" t="inlineStr">
        <is>
          <t>Away</t>
        </is>
      </c>
      <c r="H267" s="170" t="inlineStr">
        <is>
          <t>Minnesota Vikings</t>
        </is>
      </c>
      <c r="J267" s="171" t="inlineStr">
        <is>
          <t>01:00 PM</t>
        </is>
      </c>
      <c r="K267" s="156">
        <f>IF(AND(F267=0,I267=0),"",IF(F267&gt;I267,B267&amp;E267,IF(F267&lt;I267,B267&amp;H267,"Tie")))</f>
        <v/>
      </c>
      <c r="L267" s="156">
        <f>IFERROR(IF(AND(B267&lt;$L$1,F267&gt;I267),"Win",IF(AND(B267&lt;$L$1,F267&lt;I267),"Loss","")),"")</f>
        <v/>
      </c>
      <c r="M267" s="156">
        <f>IF(B267&lt;_CurWeek,"In","")</f>
        <v/>
      </c>
      <c r="N267" s="156">
        <f>IF(M267="In",E267&amp;G267,"")</f>
        <v/>
      </c>
      <c r="O267" s="156">
        <f>IF(L267="Win",1,0)</f>
        <v/>
      </c>
      <c r="T267" s="173" t="n"/>
    </row>
    <row r="268" ht="14.4" customHeight="1" s="152">
      <c r="A268" s="167">
        <f>B268&amp;E268</f>
        <v/>
      </c>
      <c r="B268" s="168" t="n">
        <v>18</v>
      </c>
      <c r="C268" s="168" t="inlineStr">
        <is>
          <t>Sunday</t>
        </is>
      </c>
      <c r="D268" s="169" t="inlineStr">
        <is>
          <t>2026-01-04</t>
        </is>
      </c>
      <c r="E268" s="168" t="inlineStr">
        <is>
          <t>Miami Dolphins</t>
        </is>
      </c>
      <c r="F268" s="156" t="n"/>
      <c r="G268" s="168" t="inlineStr">
        <is>
          <t>Away</t>
        </is>
      </c>
      <c r="H268" s="170" t="inlineStr">
        <is>
          <t>New England Patriots</t>
        </is>
      </c>
      <c r="J268" s="171" t="inlineStr">
        <is>
          <t>01:00 PM</t>
        </is>
      </c>
      <c r="K268" s="156">
        <f>IF(AND(F268=0,I268=0),"",IF(F268&gt;I268,B268&amp;E268,IF(F268&lt;I268,B268&amp;H268,"Tie")))</f>
        <v/>
      </c>
      <c r="L268" s="156">
        <f>IFERROR(IF(AND(B268&lt;$L$1,F268&gt;I268),"Win",IF(AND(B268&lt;$L$1,F268&lt;I268),"Loss","")),"")</f>
        <v/>
      </c>
      <c r="M268" s="156">
        <f>IF(B268&lt;_CurWeek,"In","")</f>
        <v/>
      </c>
      <c r="N268" s="156">
        <f>IF(M268="In",E268&amp;G268,"")</f>
        <v/>
      </c>
      <c r="O268" s="156">
        <f>IF(L268="Win",1,0)</f>
        <v/>
      </c>
      <c r="T268" s="173" t="n"/>
    </row>
    <row r="269" ht="14.4" customHeight="1" s="152">
      <c r="A269" s="167">
        <f>B269&amp;E269</f>
        <v/>
      </c>
      <c r="B269" s="168" t="n">
        <v>18</v>
      </c>
      <c r="C269" s="168" t="inlineStr">
        <is>
          <t>Sunday</t>
        </is>
      </c>
      <c r="D269" s="169" t="inlineStr">
        <is>
          <t>2026-01-04</t>
        </is>
      </c>
      <c r="E269" s="168" t="inlineStr">
        <is>
          <t>Dallas Cowboys</t>
        </is>
      </c>
      <c r="F269" s="156" t="n"/>
      <c r="G269" s="168" t="inlineStr">
        <is>
          <t>Away</t>
        </is>
      </c>
      <c r="H269" s="170" t="inlineStr">
        <is>
          <t>New York Giants</t>
        </is>
      </c>
      <c r="J269" s="171" t="inlineStr">
        <is>
          <t>01:00 PM</t>
        </is>
      </c>
      <c r="K269" s="156">
        <f>IF(AND(F269=0,I269=0),"",IF(F269&gt;I269,B269&amp;E269,IF(F269&lt;I269,B269&amp;H269,"Tie")))</f>
        <v/>
      </c>
      <c r="L269" s="156">
        <f>IFERROR(IF(AND(B269&lt;$L$1,F269&gt;I269),"Win",IF(AND(B269&lt;$L$1,F269&lt;I269),"Loss","")),"")</f>
        <v/>
      </c>
      <c r="M269" s="156">
        <f>IF(B269&lt;_CurWeek,"In","")</f>
        <v/>
      </c>
      <c r="N269" s="156">
        <f>IF(M269="In",E269&amp;G269,"")</f>
        <v/>
      </c>
      <c r="O269" s="156">
        <f>IF(L269="Win",1,0)</f>
        <v/>
      </c>
      <c r="T269" s="173" t="n"/>
    </row>
    <row r="270" ht="14.4" customHeight="1" s="152">
      <c r="A270" s="167">
        <f>B270&amp;E270</f>
        <v/>
      </c>
      <c r="B270" s="168" t="n">
        <v>18</v>
      </c>
      <c r="C270" s="168" t="inlineStr">
        <is>
          <t>Sunday</t>
        </is>
      </c>
      <c r="D270" s="169" t="inlineStr">
        <is>
          <t>2026-01-04</t>
        </is>
      </c>
      <c r="E270" s="168" t="inlineStr">
        <is>
          <t>Washington Commanders</t>
        </is>
      </c>
      <c r="F270" s="156" t="n"/>
      <c r="G270" s="168" t="inlineStr">
        <is>
          <t>Away</t>
        </is>
      </c>
      <c r="H270" s="170" t="inlineStr">
        <is>
          <t>Philadelphia Eagles</t>
        </is>
      </c>
      <c r="J270" s="171" t="inlineStr">
        <is>
          <t>01:00 PM</t>
        </is>
      </c>
      <c r="K270" s="156">
        <f>IF(AND(F270=0,I270=0),"",IF(F270&gt;I270,B270&amp;E270,IF(F270&lt;I270,B270&amp;H270,"Tie")))</f>
        <v/>
      </c>
      <c r="L270" s="156">
        <f>IFERROR(IF(AND(B270&lt;$L$1,F270&gt;I270),"Win",IF(AND(B270&lt;$L$1,F270&lt;I270),"Loss","")),"")</f>
        <v/>
      </c>
      <c r="M270" s="156">
        <f>IF(B270&lt;_CurWeek,"In","")</f>
        <v/>
      </c>
      <c r="N270" s="156">
        <f>IF(M270="In",E270&amp;G270,"")</f>
        <v/>
      </c>
      <c r="O270" s="156">
        <f>IF(L270="Win",1,0)</f>
        <v/>
      </c>
      <c r="T270" s="173" t="n"/>
    </row>
    <row r="271" ht="14.4" customHeight="1" s="152">
      <c r="A271" s="167">
        <f>B271&amp;E271</f>
        <v/>
      </c>
      <c r="B271" s="168" t="n">
        <v>18</v>
      </c>
      <c r="C271" s="168" t="inlineStr">
        <is>
          <t>Sunday</t>
        </is>
      </c>
      <c r="D271" s="169" t="inlineStr">
        <is>
          <t>2026-01-04</t>
        </is>
      </c>
      <c r="E271" s="168" t="inlineStr">
        <is>
          <t>Baltimore Ravens</t>
        </is>
      </c>
      <c r="F271" s="156" t="n"/>
      <c r="G271" s="168" t="inlineStr">
        <is>
          <t>Away</t>
        </is>
      </c>
      <c r="H271" s="170" t="inlineStr">
        <is>
          <t>Pittsburgh Steelers</t>
        </is>
      </c>
      <c r="J271" s="171" t="inlineStr">
        <is>
          <t>01:00 PM</t>
        </is>
      </c>
      <c r="K271" s="156">
        <f>IF(AND(F271=0,I271=0),"",IF(F271&gt;I271,B271&amp;E271,IF(F271&lt;I271,B271&amp;H271,"Tie")))</f>
        <v/>
      </c>
      <c r="L271" s="156">
        <f>IFERROR(IF(AND(B271&lt;$L$1,F271&gt;I271),"Win",IF(AND(B271&lt;$L$1,F271&lt;I271),"Loss","")),"")</f>
        <v/>
      </c>
      <c r="M271" s="156">
        <f>IF(B271&lt;_CurWeek,"In","")</f>
        <v/>
      </c>
      <c r="N271" s="156">
        <f>IF(M271="In",E271&amp;G271,"")</f>
        <v/>
      </c>
      <c r="O271" s="156">
        <f>IF(L271="Win",1,0)</f>
        <v/>
      </c>
      <c r="T271" s="173" t="n"/>
    </row>
    <row r="272" ht="14.4" customHeight="1" s="152">
      <c r="A272" s="167">
        <f>B272&amp;E272</f>
        <v/>
      </c>
      <c r="B272" s="168" t="n">
        <v>18</v>
      </c>
      <c r="C272" s="168" t="inlineStr">
        <is>
          <t>Sunday</t>
        </is>
      </c>
      <c r="D272" s="169" t="inlineStr">
        <is>
          <t>2026-01-04</t>
        </is>
      </c>
      <c r="E272" s="168" t="inlineStr">
        <is>
          <t>Seattle Seahawks</t>
        </is>
      </c>
      <c r="F272" s="156" t="n"/>
      <c r="G272" s="168" t="inlineStr">
        <is>
          <t>Away</t>
        </is>
      </c>
      <c r="H272" s="170" t="inlineStr">
        <is>
          <t>San Francisco 49ers</t>
        </is>
      </c>
      <c r="J272" s="171" t="inlineStr">
        <is>
          <t>01:00 PM</t>
        </is>
      </c>
      <c r="K272" s="156">
        <f>IF(AND(F272=0,I272=0),"",IF(F272&gt;I272,B272&amp;E272,IF(F272&lt;I272,B272&amp;H272,"Tie")))</f>
        <v/>
      </c>
      <c r="L272" s="156">
        <f>IFERROR(IF(AND(B272&lt;$L$1,F272&gt;I272),"Win",IF(AND(B272&lt;$L$1,F272&lt;I272),"Loss","")),"")</f>
        <v/>
      </c>
      <c r="M272" s="156">
        <f>IF(B272&lt;_CurWeek,"In","")</f>
        <v/>
      </c>
      <c r="N272" s="156">
        <f>IF(M272="In",E272&amp;G272,"")</f>
        <v/>
      </c>
      <c r="O272" s="156">
        <f>IF(L272="Win",1,0)</f>
        <v/>
      </c>
      <c r="T272" s="173" t="n"/>
    </row>
    <row r="273" ht="14.4" customHeight="1" s="152">
      <c r="A273" s="167">
        <f>B273&amp;E273</f>
        <v/>
      </c>
      <c r="B273" s="168" t="n">
        <v>18</v>
      </c>
      <c r="C273" s="168" t="inlineStr">
        <is>
          <t>Sunday</t>
        </is>
      </c>
      <c r="D273" s="169" t="inlineStr">
        <is>
          <t>2026-01-04</t>
        </is>
      </c>
      <c r="E273" s="168" t="inlineStr">
        <is>
          <t>Carolina Panthers</t>
        </is>
      </c>
      <c r="F273" s="156" t="n"/>
      <c r="G273" s="168" t="inlineStr">
        <is>
          <t>Away</t>
        </is>
      </c>
      <c r="H273" s="170" t="inlineStr">
        <is>
          <t>Tampa Bay Buccaneers</t>
        </is>
      </c>
      <c r="J273" s="171" t="inlineStr">
        <is>
          <t>01:00 PM</t>
        </is>
      </c>
      <c r="K273" s="156">
        <f>IF(AND(F273=0,I273=0),"",IF(F273&gt;I273,B273&amp;E273,IF(F273&lt;I273,B273&amp;H273,"Tie")))</f>
        <v/>
      </c>
      <c r="L273" s="156">
        <f>IFERROR(IF(AND(B273&lt;$L$1,F273&gt;I273),"Win",IF(AND(B273&lt;$L$1,F273&lt;I273),"Loss","")),"")</f>
        <v/>
      </c>
      <c r="M273" s="156">
        <f>IF(B273&lt;_CurWeek,"In","")</f>
        <v/>
      </c>
      <c r="N273" s="156">
        <f>IF(M273="In",E273&amp;G273,"")</f>
        <v/>
      </c>
      <c r="O273" s="156">
        <f>IF(L273="Win",1,0)</f>
        <v/>
      </c>
    </row>
    <row r="274" ht="14.4" customHeight="1" s="152">
      <c r="A274" s="167">
        <f>B274&amp;E274</f>
        <v/>
      </c>
      <c r="B274" s="168" t="inlineStr">
        <is>
          <t>WC</t>
        </is>
      </c>
      <c r="C274" s="168" t="inlineStr">
        <is>
          <t>Sat</t>
        </is>
      </c>
      <c r="D274" s="169" t="n">
        <v>45668</v>
      </c>
      <c r="E274" s="168" t="inlineStr">
        <is>
          <t>Los Angeles Chargers</t>
        </is>
      </c>
      <c r="G274" s="168" t="inlineStr">
        <is>
          <t>Away</t>
        </is>
      </c>
      <c r="H274" s="170" t="inlineStr">
        <is>
          <t>Houston Texans</t>
        </is>
      </c>
      <c r="J274" s="171" t="n">
        <v>0.6840277777777778</v>
      </c>
      <c r="K274" s="156">
        <f>IF(AND(F274=0,I274=0),"",IF(F274&gt;I274,B274&amp;E274,IF(F274&lt;I274,B274&amp;H274,"Tie")))</f>
        <v/>
      </c>
      <c r="L274" s="156">
        <f>IFERROR(IF(AND(B274&lt;$L$1,F274&gt;I274),"Win",IF(AND(B274&lt;$L$1,F274&lt;I274),"Loss","")),"")</f>
        <v/>
      </c>
      <c r="M274" s="156">
        <f>IF(B274&lt;_CurWeek,"In","")</f>
        <v/>
      </c>
      <c r="N274" s="156">
        <f>IF(M274="In",E274&amp;G274,"")</f>
        <v/>
      </c>
      <c r="O274" s="156">
        <f>IF(L274="Win",1,0)</f>
        <v/>
      </c>
    </row>
    <row r="275" ht="14.4" customHeight="1" s="152">
      <c r="A275" s="167">
        <f>B275&amp;E275</f>
        <v/>
      </c>
      <c r="B275" s="168" t="inlineStr">
        <is>
          <t>WC</t>
        </is>
      </c>
      <c r="C275" s="168" t="inlineStr">
        <is>
          <t>Sat</t>
        </is>
      </c>
      <c r="D275" s="169" t="n">
        <v>45668</v>
      </c>
      <c r="E275" s="168" t="inlineStr">
        <is>
          <t>Pittsburgh Steelers</t>
        </is>
      </c>
      <c r="G275" s="168" t="inlineStr">
        <is>
          <t>Away</t>
        </is>
      </c>
      <c r="H275" s="170" t="inlineStr">
        <is>
          <t>Baltimore Ravens</t>
        </is>
      </c>
      <c r="J275" s="171" t="n">
        <v>0.8333333333333334</v>
      </c>
      <c r="K275" s="156">
        <f>IF(AND(F275=0,I275=0),"",IF(F275&gt;I275,B275&amp;E275,IF(F275&lt;I275,B275&amp;H275,"Tie")))</f>
        <v/>
      </c>
      <c r="L275" s="156">
        <f>IFERROR(IF(AND(B275&lt;$L$1,F275&gt;I275),"Win",IF(AND(B275&lt;$L$1,F275&lt;I275),"Loss","")),"")</f>
        <v/>
      </c>
      <c r="M275" s="156">
        <f>IF(B275&lt;_CurWeek,"In","")</f>
        <v/>
      </c>
      <c r="N275" s="156">
        <f>IF(M275="In",E275&amp;G275,"")</f>
        <v/>
      </c>
      <c r="O275" s="156">
        <f>IF(L275="Win",1,0)</f>
        <v/>
      </c>
    </row>
    <row r="276" ht="14.4" customHeight="1" s="152">
      <c r="A276" s="167">
        <f>B276&amp;E276</f>
        <v/>
      </c>
      <c r="B276" s="168" t="inlineStr">
        <is>
          <t>WC</t>
        </is>
      </c>
      <c r="C276" s="168" t="inlineStr">
        <is>
          <t>Sun</t>
        </is>
      </c>
      <c r="D276" s="169" t="n">
        <v>45303</v>
      </c>
      <c r="E276" s="168" t="inlineStr">
        <is>
          <t>Denver Broncos</t>
        </is>
      </c>
      <c r="G276" s="168" t="inlineStr">
        <is>
          <t>Away</t>
        </is>
      </c>
      <c r="H276" s="170" t="inlineStr">
        <is>
          <t>Buffalo Bills</t>
        </is>
      </c>
      <c r="J276" s="171" t="n">
        <v>0.5416666666666666</v>
      </c>
      <c r="K276" s="156">
        <f>IF(AND(F276=0,I276=0),"",IF(F276&gt;I276,B276&amp;E276,IF(F276&lt;I276,B276&amp;H276,"Tie")))</f>
        <v/>
      </c>
      <c r="L276" s="156">
        <f>IFERROR(IF(AND(B276&lt;$L$1,F276&gt;I276),"Win",IF(AND(B276&lt;$L$1,F276&lt;I276),"Loss","")),"")</f>
        <v/>
      </c>
      <c r="M276" s="156">
        <f>IF(B276&lt;_CurWeek,"In","")</f>
        <v/>
      </c>
      <c r="N276" s="156">
        <f>IF(M276="In",E276&amp;G276,"")</f>
        <v/>
      </c>
      <c r="O276" s="156">
        <f>IF(L276="Win",1,0)</f>
        <v/>
      </c>
    </row>
    <row r="277" ht="14.4" customHeight="1" s="152">
      <c r="A277" s="167">
        <f>B277&amp;E277</f>
        <v/>
      </c>
      <c r="B277" s="168" t="inlineStr">
        <is>
          <t>WC</t>
        </is>
      </c>
      <c r="C277" s="168" t="inlineStr">
        <is>
          <t>Sun</t>
        </is>
      </c>
      <c r="D277" s="169" t="n">
        <v>45303</v>
      </c>
      <c r="E277" s="168" t="inlineStr">
        <is>
          <t>Green Bay Packers</t>
        </is>
      </c>
      <c r="G277" s="168" t="inlineStr">
        <is>
          <t>Away</t>
        </is>
      </c>
      <c r="H277" s="170" t="inlineStr">
        <is>
          <t>Philadelphia Eagles</t>
        </is>
      </c>
      <c r="J277" s="171" t="n">
        <v>0.6840277777777778</v>
      </c>
      <c r="K277" s="156">
        <f>IF(AND(F277=0,I277=0),"",IF(F277&gt;I277,B277&amp;E277,IF(F277&lt;I277,B277&amp;H277,"Tie")))</f>
        <v/>
      </c>
      <c r="L277" s="156">
        <f>IFERROR(IF(AND(B277&lt;$L$1,F277&gt;I277),"Win",IF(AND(B277&lt;$L$1,F277&lt;I277),"Loss","")),"")</f>
        <v/>
      </c>
      <c r="M277" s="156">
        <f>IF(B277&lt;_CurWeek,"In","")</f>
        <v/>
      </c>
      <c r="N277" s="156">
        <f>IF(M277="In",E277&amp;G277,"")</f>
        <v/>
      </c>
      <c r="O277" s="156">
        <f>IF(L277="Win",1,0)</f>
        <v/>
      </c>
    </row>
    <row r="278" ht="14.4" customHeight="1" s="152">
      <c r="A278" s="167">
        <f>B278&amp;E278</f>
        <v/>
      </c>
      <c r="B278" s="168" t="inlineStr">
        <is>
          <t>WC</t>
        </is>
      </c>
      <c r="C278" s="168" t="inlineStr">
        <is>
          <t>Sun</t>
        </is>
      </c>
      <c r="D278" s="169" t="n">
        <v>45303</v>
      </c>
      <c r="E278" s="168" t="inlineStr">
        <is>
          <t>Washington Commanders</t>
        </is>
      </c>
      <c r="G278" s="168" t="inlineStr">
        <is>
          <t>Away</t>
        </is>
      </c>
      <c r="H278" s="170" t="inlineStr">
        <is>
          <t>Tampa Bay Buccaneers</t>
        </is>
      </c>
      <c r="J278" s="171" t="n">
        <v>0.8333333333333334</v>
      </c>
      <c r="K278" s="156">
        <f>IF(AND(F278=0,I278=0),"",IF(F278&gt;I278,B278&amp;E278,IF(F278&lt;I278,B278&amp;H278,"Tie")))</f>
        <v/>
      </c>
      <c r="L278" s="156">
        <f>IFERROR(IF(AND(B278&lt;$L$1,F278&gt;I278),"Win",IF(AND(B278&lt;$L$1,F278&lt;I278),"Loss","")),"")</f>
        <v/>
      </c>
      <c r="M278" s="156">
        <f>IF(B278&lt;_CurWeek,"In","")</f>
        <v/>
      </c>
      <c r="N278" s="156">
        <f>IF(M278="In",E278&amp;G278,"")</f>
        <v/>
      </c>
      <c r="O278" s="156">
        <f>IF(L278="Win",1,0)</f>
        <v/>
      </c>
    </row>
    <row r="279" ht="14.4" customHeight="1" s="152">
      <c r="A279" s="167">
        <f>B279&amp;E279</f>
        <v/>
      </c>
      <c r="B279" s="168" t="inlineStr">
        <is>
          <t>WC</t>
        </is>
      </c>
      <c r="C279" s="168" t="inlineStr">
        <is>
          <t>Mon</t>
        </is>
      </c>
      <c r="D279" s="169" t="n">
        <v>45304</v>
      </c>
      <c r="E279" s="168" t="inlineStr">
        <is>
          <t>Minnesota Vikings</t>
        </is>
      </c>
      <c r="G279" s="168" t="inlineStr">
        <is>
          <t>Away</t>
        </is>
      </c>
      <c r="H279" s="170" t="inlineStr">
        <is>
          <t>Los Angeles Rams</t>
        </is>
      </c>
      <c r="J279" s="171" t="n">
        <v>0.8333333333333334</v>
      </c>
      <c r="K279" s="156">
        <f>IF(AND(F279=0,I279=0),"",IF(F279&gt;I279,B279&amp;E279,IF(F279&lt;I279,B279&amp;H279,"Tie")))</f>
        <v/>
      </c>
      <c r="L279" s="156">
        <f>IFERROR(IF(AND(B279&lt;$L$1,F279&gt;I279),"Win",IF(AND(B279&lt;$L$1,F279&lt;I279),"Loss","")),"")</f>
        <v/>
      </c>
      <c r="M279" s="156">
        <f>IF(B279&lt;_CurWeek,"In","")</f>
        <v/>
      </c>
      <c r="N279" s="156">
        <f>IF(M279="In",E279&amp;G279,"")</f>
        <v/>
      </c>
      <c r="O279" s="156">
        <f>IF(L279="Win",1,0)</f>
        <v/>
      </c>
    </row>
    <row r="280" ht="14.4" customHeight="1" s="152">
      <c r="A280" s="167">
        <f>B280&amp;E280</f>
        <v/>
      </c>
      <c r="B280" s="168" t="inlineStr">
        <is>
          <t>Div</t>
        </is>
      </c>
      <c r="C280" s="168" t="inlineStr">
        <is>
          <t>Sat</t>
        </is>
      </c>
      <c r="D280" s="169" t="n">
        <v>45311</v>
      </c>
      <c r="E280" s="168" t="n"/>
      <c r="G280" s="168" t="inlineStr">
        <is>
          <t>Away</t>
        </is>
      </c>
      <c r="H280" s="170" t="n"/>
      <c r="J280" s="171" t="n">
        <v>0.6875</v>
      </c>
      <c r="K280" s="156">
        <f>IF(AND(F280=0,I280=0),"",IF(F280&gt;I280,B280&amp;E280,IF(F280&lt;I280,B280&amp;H280,"Tie")))</f>
        <v/>
      </c>
      <c r="L280" s="156">
        <f>IFERROR(IF(AND(B280&lt;$L$1,F280&gt;I280),"Win",IF(AND(B280&lt;$L$1,F280&lt;I280),"Loss","")),"")</f>
        <v/>
      </c>
      <c r="M280" s="156">
        <f>IF(B280&lt;_CurWeek,"In","")</f>
        <v/>
      </c>
      <c r="N280" s="156">
        <f>IF(M280="In",E280&amp;G280,"")</f>
        <v/>
      </c>
      <c r="O280" s="156">
        <f>IF(L280="Win",1,0)</f>
        <v/>
      </c>
    </row>
    <row r="281" ht="14.4" customHeight="1" s="152">
      <c r="A281" s="167">
        <f>B281&amp;E281</f>
        <v/>
      </c>
      <c r="B281" s="168" t="inlineStr">
        <is>
          <t>Div</t>
        </is>
      </c>
      <c r="C281" s="168" t="inlineStr">
        <is>
          <t>Sat</t>
        </is>
      </c>
      <c r="D281" s="169" t="n">
        <v>45311</v>
      </c>
      <c r="E281" s="168" t="n"/>
      <c r="G281" s="168" t="inlineStr">
        <is>
          <t>Away</t>
        </is>
      </c>
      <c r="H281" s="170" t="n"/>
      <c r="J281" s="171" t="n">
        <v>0.84375</v>
      </c>
      <c r="K281" s="156">
        <f>IF(AND(F281=0,I281=0),"",IF(F281&gt;I281,B281&amp;E281,IF(F281&lt;I281,B281&amp;H281,"Tie")))</f>
        <v/>
      </c>
      <c r="L281" s="156">
        <f>IFERROR(IF(AND(B281&lt;$L$1,F281&gt;I281),"Win",IF(AND(B281&lt;$L$1,F281&lt;I281),"Loss","")),"")</f>
        <v/>
      </c>
      <c r="M281" s="156">
        <f>IF(B281&lt;_CurWeek,"In","")</f>
        <v/>
      </c>
      <c r="N281" s="156">
        <f>IF(M281="In",E281&amp;G281,"")</f>
        <v/>
      </c>
      <c r="O281" s="156">
        <f>IF(L281="Win",1,0)</f>
        <v/>
      </c>
    </row>
    <row r="282" ht="14.4" customHeight="1" s="152">
      <c r="A282" s="167">
        <f>B282&amp;E282</f>
        <v/>
      </c>
      <c r="B282" s="168" t="inlineStr">
        <is>
          <t>Div</t>
        </is>
      </c>
      <c r="C282" s="168" t="inlineStr">
        <is>
          <t>Sun</t>
        </is>
      </c>
      <c r="D282" s="169" t="n">
        <v>45312</v>
      </c>
      <c r="E282" s="168" t="n"/>
      <c r="G282" s="168" t="inlineStr">
        <is>
          <t>Away</t>
        </is>
      </c>
      <c r="H282" s="170" t="n"/>
      <c r="J282" s="171" t="n">
        <v>0.625</v>
      </c>
      <c r="K282" s="156">
        <f>IF(AND(F282=0,I282=0),"",IF(F282&gt;I282,B282&amp;E282,IF(F282&lt;I282,B282&amp;H282,"Tie")))</f>
        <v/>
      </c>
      <c r="L282" s="156">
        <f>IFERROR(IF(AND(B282&lt;$L$1,F282&gt;I282),"Win",IF(AND(B282&lt;$L$1,F282&lt;I282),"Loss","")),"")</f>
        <v/>
      </c>
      <c r="M282" s="156">
        <f>IF(B282&lt;_CurWeek,"In","")</f>
        <v/>
      </c>
      <c r="N282" s="156">
        <f>IF(M282="In",E282&amp;G282,"")</f>
        <v/>
      </c>
      <c r="O282" s="156">
        <f>IF(L282="Win",1,0)</f>
        <v/>
      </c>
    </row>
    <row r="283" ht="14.4" customHeight="1" s="152">
      <c r="A283" s="167">
        <f>B283&amp;E283</f>
        <v/>
      </c>
      <c r="B283" s="168" t="inlineStr">
        <is>
          <t>Div</t>
        </is>
      </c>
      <c r="C283" s="168" t="inlineStr">
        <is>
          <t>Sun</t>
        </is>
      </c>
      <c r="D283" s="169" t="n">
        <v>45312</v>
      </c>
      <c r="E283" s="168" t="n"/>
      <c r="G283" s="168" t="inlineStr">
        <is>
          <t>Away</t>
        </is>
      </c>
      <c r="H283" s="170" t="n"/>
      <c r="J283" s="171" t="n">
        <v>0.7708333333333334</v>
      </c>
      <c r="K283" s="156">
        <f>IF(AND(F283=0,I283=0),"",IF(F283&gt;I283,B283&amp;E283,IF(F283&lt;I283,B283&amp;H283,"Tie")))</f>
        <v/>
      </c>
      <c r="L283" s="156">
        <f>IFERROR(IF(AND(B283&lt;$L$1,F283&gt;I283),"Win",IF(AND(B283&lt;$L$1,F283&lt;I283),"Loss","")),"")</f>
        <v/>
      </c>
      <c r="M283" s="156">
        <f>IF(B283&lt;_CurWeek,"In","")</f>
        <v/>
      </c>
      <c r="N283" s="156">
        <f>IF(M283="In",E283&amp;G283,"")</f>
        <v/>
      </c>
      <c r="O283" s="156">
        <f>IF(L283="Win",1,0)</f>
        <v/>
      </c>
    </row>
    <row r="284" ht="14.4" customHeight="1" s="152">
      <c r="A284" s="167">
        <f>B284&amp;E284</f>
        <v/>
      </c>
      <c r="B284" s="168" t="inlineStr">
        <is>
          <t>Conf</t>
        </is>
      </c>
      <c r="C284" s="168" t="inlineStr">
        <is>
          <t>Sun</t>
        </is>
      </c>
      <c r="D284" s="169" t="n">
        <v>45319</v>
      </c>
      <c r="E284" s="168" t="n"/>
      <c r="G284" s="168" t="inlineStr">
        <is>
          <t>Away</t>
        </is>
      </c>
      <c r="H284" s="170" t="n"/>
      <c r="J284" s="171" t="n">
        <v>0.625</v>
      </c>
      <c r="K284" s="156">
        <f>IF(AND(F284=0,I284=0),"",IF(F284&gt;I284,B284&amp;E284,IF(F284&lt;I284,B284&amp;H284,"Tie")))</f>
        <v/>
      </c>
      <c r="L284" s="156">
        <f>IFERROR(IF(AND(B284&lt;$L$1,F284&gt;I284),"Win",IF(AND(B284&lt;$L$1,F284&lt;I284),"Loss","")),"")</f>
        <v/>
      </c>
      <c r="M284" s="156">
        <f>IF(B284&lt;_CurWeek,"In","")</f>
        <v/>
      </c>
      <c r="N284" s="156">
        <f>IF(M284="In",E284&amp;G284,"")</f>
        <v/>
      </c>
      <c r="O284" s="156">
        <f>IF(L284="Win",1,0)</f>
        <v/>
      </c>
    </row>
    <row r="285" ht="14.4" customHeight="1" s="152">
      <c r="A285" s="167">
        <f>B285&amp;E285</f>
        <v/>
      </c>
      <c r="B285" s="168" t="inlineStr">
        <is>
          <t>Conf</t>
        </is>
      </c>
      <c r="C285" s="168" t="inlineStr">
        <is>
          <t>Sun</t>
        </is>
      </c>
      <c r="D285" s="169" t="n">
        <v>45319</v>
      </c>
      <c r="E285" s="168" t="n"/>
      <c r="G285" s="168" t="inlineStr">
        <is>
          <t>Away</t>
        </is>
      </c>
      <c r="H285" s="170" t="n"/>
      <c r="J285" s="171" t="n">
        <v>0.7708333333333334</v>
      </c>
      <c r="K285" s="156">
        <f>IF(AND(F285=0,I285=0),"",IF(F285&gt;I285,B285&amp;E285,IF(F285&lt;I285,B285&amp;H285,"Tie")))</f>
        <v/>
      </c>
      <c r="L285" s="156">
        <f>IFERROR(IF(AND(B285&lt;$L$1,F285&gt;I285),"Win",IF(AND(B285&lt;$L$1,F285&lt;I285),"Loss","")),"")</f>
        <v/>
      </c>
      <c r="M285" s="156">
        <f>IF(B285&lt;_CurWeek,"In","")</f>
        <v/>
      </c>
      <c r="N285" s="156">
        <f>IF(M285="In",E285&amp;G285,"")</f>
        <v/>
      </c>
      <c r="O285" s="156">
        <f>IF(L285="Win",1,0)</f>
        <v/>
      </c>
    </row>
    <row r="286" ht="14.4" customHeight="1" s="152">
      <c r="A286" s="167">
        <f>B286&amp;E286</f>
        <v/>
      </c>
      <c r="B286" s="168" t="inlineStr">
        <is>
          <t>SB</t>
        </is>
      </c>
      <c r="C286" s="168" t="inlineStr">
        <is>
          <t>Sun</t>
        </is>
      </c>
      <c r="D286" s="169" t="n">
        <v>45333</v>
      </c>
      <c r="E286" s="168" t="n"/>
      <c r="G286" s="168" t="inlineStr">
        <is>
          <t>Away</t>
        </is>
      </c>
      <c r="H286" s="170" t="n"/>
      <c r="J286" s="171" t="n">
        <v>0.7708333333333334</v>
      </c>
      <c r="K286" s="156">
        <f>IF(AND(F286=0,I286=0),"",IF(F286&gt;I286,B286&amp;E286,IF(F286&lt;I286,B286&amp;H286,"Tie")))</f>
        <v/>
      </c>
      <c r="L286" s="156">
        <f>IFERROR(IF(AND(B286&lt;$L$1,F286&gt;I286),"Win",IF(AND(B286&lt;$L$1,F286&lt;I286),"Loss","")),"")</f>
        <v/>
      </c>
      <c r="M286" s="156">
        <f>IF(B286&lt;_CurWeek,"In","")</f>
        <v/>
      </c>
      <c r="N286" s="156">
        <f>IF(M286="In",E286&amp;G286,"")</f>
        <v/>
      </c>
      <c r="O286" s="156">
        <f>IF(L286="Win",1,0)</f>
        <v/>
      </c>
    </row>
    <row r="287" ht="14.4" customHeight="1" s="152">
      <c r="A287" s="167">
        <f>B287&amp;E287</f>
        <v/>
      </c>
      <c r="B287" s="174">
        <f>B2</f>
        <v/>
      </c>
      <c r="C287" s="174">
        <f>C2</f>
        <v/>
      </c>
      <c r="D287" s="175">
        <f>D2</f>
        <v/>
      </c>
      <c r="E287" s="176">
        <f>H2</f>
        <v/>
      </c>
      <c r="F287" s="157">
        <f>I2</f>
        <v/>
      </c>
      <c r="G287" s="174" t="inlineStr">
        <is>
          <t>Home</t>
        </is>
      </c>
      <c r="H287" s="176">
        <f>E2</f>
        <v/>
      </c>
      <c r="I287" s="157">
        <f>F2</f>
        <v/>
      </c>
      <c r="J287" s="177">
        <f>J2</f>
        <v/>
      </c>
      <c r="K287" s="156">
        <f>IF(AND(F287=0,I287=0),"",IF(F287&gt;I287,B287&amp;E287,IF(F287&lt;I287,B287&amp;H287,"Tie")))</f>
        <v/>
      </c>
      <c r="L287" s="156">
        <f>IFERROR(IF(AND(B287&lt;$L$1,F287&gt;I287),"Win",IF(AND(B287&lt;$L$1,F287&lt;I287),"Loss","")),"")</f>
        <v/>
      </c>
      <c r="M287" s="156">
        <f>IF(B287&lt;_CurWeek,"In","")</f>
        <v/>
      </c>
      <c r="N287" s="156">
        <f>IF(M287="In",E287&amp;G287,"")</f>
        <v/>
      </c>
      <c r="O287" s="156">
        <f>IF(L287="Win",1,0)</f>
        <v/>
      </c>
    </row>
    <row r="288" ht="14.4" customHeight="1" s="152">
      <c r="A288" s="167">
        <f>B288&amp;E288</f>
        <v/>
      </c>
      <c r="B288" s="174">
        <f>B3</f>
        <v/>
      </c>
      <c r="C288" s="174">
        <f>C3</f>
        <v/>
      </c>
      <c r="D288" s="175">
        <f>D3</f>
        <v/>
      </c>
      <c r="E288" s="176">
        <f>H3</f>
        <v/>
      </c>
      <c r="F288" s="157">
        <f>I3</f>
        <v/>
      </c>
      <c r="G288" s="174" t="inlineStr">
        <is>
          <t>Home</t>
        </is>
      </c>
      <c r="H288" s="176">
        <f>E3</f>
        <v/>
      </c>
      <c r="I288" s="157">
        <f>F3</f>
        <v/>
      </c>
      <c r="J288" s="177">
        <f>J3</f>
        <v/>
      </c>
      <c r="K288" s="156">
        <f>IF(AND(F288=0,I288=0),"",IF(F288&gt;I288,B288&amp;E288,IF(F288&lt;I288,B288&amp;H288,"Tie")))</f>
        <v/>
      </c>
      <c r="L288" s="156">
        <f>IFERROR(IF(AND(B288&lt;$L$1,F288&gt;I288),"Win",IF(AND(B288&lt;$L$1,F288&lt;I288),"Loss","")),"")</f>
        <v/>
      </c>
      <c r="M288" s="156">
        <f>IF(B288&lt;_CurWeek,"In","")</f>
        <v/>
      </c>
      <c r="N288" s="156">
        <f>IF(M288="In",E288&amp;G288,"")</f>
        <v/>
      </c>
      <c r="O288" s="156">
        <f>IF(L288="Win",1,0)</f>
        <v/>
      </c>
    </row>
    <row r="289" ht="14.4" customHeight="1" s="152">
      <c r="A289" s="167">
        <f>B289&amp;E289</f>
        <v/>
      </c>
      <c r="B289" s="174">
        <f>B4</f>
        <v/>
      </c>
      <c r="C289" s="174">
        <f>C4</f>
        <v/>
      </c>
      <c r="D289" s="175">
        <f>D4</f>
        <v/>
      </c>
      <c r="E289" s="176">
        <f>H4</f>
        <v/>
      </c>
      <c r="F289" s="157">
        <f>I4</f>
        <v/>
      </c>
      <c r="G289" s="174" t="inlineStr">
        <is>
          <t>Home</t>
        </is>
      </c>
      <c r="H289" s="176">
        <f>E4</f>
        <v/>
      </c>
      <c r="I289" s="157">
        <f>F4</f>
        <v/>
      </c>
      <c r="J289" s="177">
        <f>J4</f>
        <v/>
      </c>
      <c r="K289" s="156">
        <f>IF(AND(F289=0,I289=0),"",IF(F289&gt;I289,B289&amp;E289,IF(F289&lt;I289,B289&amp;H289,"Tie")))</f>
        <v/>
      </c>
      <c r="L289" s="156">
        <f>IFERROR(IF(AND(B289&lt;$L$1,F289&gt;I289),"Win",IF(AND(B289&lt;$L$1,F289&lt;I289),"Loss","")),"")</f>
        <v/>
      </c>
      <c r="M289" s="156">
        <f>IF(B289&lt;_CurWeek,"In","")</f>
        <v/>
      </c>
      <c r="N289" s="156">
        <f>IF(M289="In",E289&amp;G289,"")</f>
        <v/>
      </c>
      <c r="O289" s="156">
        <f>IF(L289="Win",1,0)</f>
        <v/>
      </c>
    </row>
    <row r="290" ht="14.4" customHeight="1" s="152">
      <c r="A290" s="167">
        <f>B290&amp;E290</f>
        <v/>
      </c>
      <c r="B290" s="174">
        <f>B5</f>
        <v/>
      </c>
      <c r="C290" s="174">
        <f>C5</f>
        <v/>
      </c>
      <c r="D290" s="175">
        <f>D5</f>
        <v/>
      </c>
      <c r="E290" s="176">
        <f>H5</f>
        <v/>
      </c>
      <c r="F290" s="157">
        <f>I5</f>
        <v/>
      </c>
      <c r="G290" s="174" t="inlineStr">
        <is>
          <t>Home</t>
        </is>
      </c>
      <c r="H290" s="176">
        <f>E5</f>
        <v/>
      </c>
      <c r="I290" s="157">
        <f>F5</f>
        <v/>
      </c>
      <c r="J290" s="177">
        <f>J5</f>
        <v/>
      </c>
      <c r="K290" s="156">
        <f>IF(AND(F290=0,I290=0),"",IF(F290&gt;I290,B290&amp;E290,IF(F290&lt;I290,B290&amp;H290,"Tie")))</f>
        <v/>
      </c>
      <c r="L290" s="156">
        <f>IFERROR(IF(AND(B290&lt;$L$1,F290&gt;I290),"Win",IF(AND(B290&lt;$L$1,F290&lt;I290),"Loss","")),"")</f>
        <v/>
      </c>
      <c r="M290" s="156">
        <f>IF(B290&lt;_CurWeek,"In","")</f>
        <v/>
      </c>
      <c r="N290" s="156">
        <f>IF(M290="In",E290&amp;G290,"")</f>
        <v/>
      </c>
      <c r="O290" s="156">
        <f>IF(L290="Win",1,0)</f>
        <v/>
      </c>
    </row>
    <row r="291" ht="14.4" customHeight="1" s="152">
      <c r="A291" s="167">
        <f>B291&amp;E291</f>
        <v/>
      </c>
      <c r="B291" s="174">
        <f>B6</f>
        <v/>
      </c>
      <c r="C291" s="174">
        <f>C6</f>
        <v/>
      </c>
      <c r="D291" s="175">
        <f>D6</f>
        <v/>
      </c>
      <c r="E291" s="176">
        <f>H6</f>
        <v/>
      </c>
      <c r="F291" s="157">
        <f>I6</f>
        <v/>
      </c>
      <c r="G291" s="174" t="inlineStr">
        <is>
          <t>Home</t>
        </is>
      </c>
      <c r="H291" s="176">
        <f>E6</f>
        <v/>
      </c>
      <c r="I291" s="157">
        <f>F6</f>
        <v/>
      </c>
      <c r="J291" s="177">
        <f>J6</f>
        <v/>
      </c>
      <c r="K291" s="156">
        <f>IF(AND(F291=0,I291=0),"",IF(F291&gt;I291,B291&amp;E291,IF(F291&lt;I291,B291&amp;H291,"Tie")))</f>
        <v/>
      </c>
      <c r="L291" s="156">
        <f>IFERROR(IF(AND(B291&lt;$L$1,F291&gt;I291),"Win",IF(AND(B291&lt;$L$1,F291&lt;I291),"Loss","")),"")</f>
        <v/>
      </c>
      <c r="M291" s="156">
        <f>IF(B291&lt;_CurWeek,"In","")</f>
        <v/>
      </c>
      <c r="N291" s="156">
        <f>IF(M291="In",E291&amp;G291,"")</f>
        <v/>
      </c>
      <c r="O291" s="156">
        <f>IF(L291="Win",1,0)</f>
        <v/>
      </c>
    </row>
    <row r="292" ht="14.4" customHeight="1" s="152">
      <c r="A292" s="167">
        <f>B292&amp;E292</f>
        <v/>
      </c>
      <c r="B292" s="174">
        <f>B7</f>
        <v/>
      </c>
      <c r="C292" s="174">
        <f>C7</f>
        <v/>
      </c>
      <c r="D292" s="175">
        <f>D7</f>
        <v/>
      </c>
      <c r="E292" s="176">
        <f>H7</f>
        <v/>
      </c>
      <c r="F292" s="157">
        <f>I7</f>
        <v/>
      </c>
      <c r="G292" s="174" t="inlineStr">
        <is>
          <t>Home</t>
        </is>
      </c>
      <c r="H292" s="176">
        <f>E7</f>
        <v/>
      </c>
      <c r="I292" s="157">
        <f>F7</f>
        <v/>
      </c>
      <c r="J292" s="177">
        <f>J7</f>
        <v/>
      </c>
      <c r="K292" s="156">
        <f>IF(AND(F292=0,I292=0),"",IF(F292&gt;I292,B292&amp;E292,IF(F292&lt;I292,B292&amp;H292,"Tie")))</f>
        <v/>
      </c>
      <c r="L292" s="156">
        <f>IFERROR(IF(AND(B292&lt;$L$1,F292&gt;I292),"Win",IF(AND(B292&lt;$L$1,F292&lt;I292),"Loss","")),"")</f>
        <v/>
      </c>
      <c r="M292" s="156">
        <f>IF(B292&lt;_CurWeek,"In","")</f>
        <v/>
      </c>
      <c r="N292" s="156">
        <f>IF(M292="In",E292&amp;G292,"")</f>
        <v/>
      </c>
      <c r="O292" s="156">
        <f>IF(L292="Win",1,0)</f>
        <v/>
      </c>
    </row>
    <row r="293" ht="14.4" customHeight="1" s="152">
      <c r="A293" s="167">
        <f>B293&amp;E293</f>
        <v/>
      </c>
      <c r="B293" s="174">
        <f>B8</f>
        <v/>
      </c>
      <c r="C293" s="174">
        <f>C8</f>
        <v/>
      </c>
      <c r="D293" s="175">
        <f>D8</f>
        <v/>
      </c>
      <c r="E293" s="176">
        <f>H8</f>
        <v/>
      </c>
      <c r="F293" s="157">
        <f>I8</f>
        <v/>
      </c>
      <c r="G293" s="174" t="inlineStr">
        <is>
          <t>Home</t>
        </is>
      </c>
      <c r="H293" s="176">
        <f>E8</f>
        <v/>
      </c>
      <c r="I293" s="157">
        <f>F8</f>
        <v/>
      </c>
      <c r="J293" s="177">
        <f>J8</f>
        <v/>
      </c>
      <c r="K293" s="156">
        <f>IF(AND(F293=0,I293=0),"",IF(F293&gt;I293,B293&amp;E293,IF(F293&lt;I293,B293&amp;H293,"Tie")))</f>
        <v/>
      </c>
      <c r="L293" s="156">
        <f>IFERROR(IF(AND(B293&lt;$L$1,F293&gt;I293),"Win",IF(AND(B293&lt;$L$1,F293&lt;I293),"Loss","")),"")</f>
        <v/>
      </c>
      <c r="M293" s="156">
        <f>IF(B293&lt;_CurWeek,"In","")</f>
        <v/>
      </c>
      <c r="N293" s="156">
        <f>IF(M293="In",E293&amp;G293,"")</f>
        <v/>
      </c>
      <c r="O293" s="156">
        <f>IF(L293="Win",1,0)</f>
        <v/>
      </c>
    </row>
    <row r="294" ht="14.4" customHeight="1" s="152">
      <c r="A294" s="167">
        <f>B294&amp;E294</f>
        <v/>
      </c>
      <c r="B294" s="174">
        <f>B9</f>
        <v/>
      </c>
      <c r="C294" s="174">
        <f>C9</f>
        <v/>
      </c>
      <c r="D294" s="175">
        <f>D9</f>
        <v/>
      </c>
      <c r="E294" s="176">
        <f>H9</f>
        <v/>
      </c>
      <c r="F294" s="157">
        <f>I9</f>
        <v/>
      </c>
      <c r="G294" s="174" t="inlineStr">
        <is>
          <t>Home</t>
        </is>
      </c>
      <c r="H294" s="176">
        <f>E9</f>
        <v/>
      </c>
      <c r="I294" s="157">
        <f>F9</f>
        <v/>
      </c>
      <c r="J294" s="177">
        <f>J9</f>
        <v/>
      </c>
      <c r="K294" s="156">
        <f>IF(AND(F294=0,I294=0),"",IF(F294&gt;I294,B294&amp;E294,IF(F294&lt;I294,B294&amp;H294,"Tie")))</f>
        <v/>
      </c>
      <c r="L294" s="156">
        <f>IFERROR(IF(AND(B294&lt;$L$1,F294&gt;I294),"Win",IF(AND(B294&lt;$L$1,F294&lt;I294),"Loss","")),"")</f>
        <v/>
      </c>
      <c r="M294" s="156">
        <f>IF(B294&lt;_CurWeek,"In","")</f>
        <v/>
      </c>
      <c r="N294" s="156">
        <f>IF(M294="In",E294&amp;G294,"")</f>
        <v/>
      </c>
      <c r="O294" s="156">
        <f>IF(L294="Win",1,0)</f>
        <v/>
      </c>
    </row>
    <row r="295" ht="14.4" customHeight="1" s="152">
      <c r="A295" s="167">
        <f>B295&amp;E295</f>
        <v/>
      </c>
      <c r="B295" s="174">
        <f>B10</f>
        <v/>
      </c>
      <c r="C295" s="174">
        <f>C10</f>
        <v/>
      </c>
      <c r="D295" s="175">
        <f>D10</f>
        <v/>
      </c>
      <c r="E295" s="176">
        <f>H10</f>
        <v/>
      </c>
      <c r="F295" s="157">
        <f>I10</f>
        <v/>
      </c>
      <c r="G295" s="174" t="inlineStr">
        <is>
          <t>Home</t>
        </is>
      </c>
      <c r="H295" s="176">
        <f>E10</f>
        <v/>
      </c>
      <c r="I295" s="157">
        <f>F10</f>
        <v/>
      </c>
      <c r="J295" s="177">
        <f>J10</f>
        <v/>
      </c>
      <c r="K295" s="156">
        <f>IF(AND(F295=0,I295=0),"",IF(F295&gt;I295,B295&amp;E295,IF(F295&lt;I295,B295&amp;H295,"Tie")))</f>
        <v/>
      </c>
      <c r="L295" s="156">
        <f>IFERROR(IF(AND(B295&lt;$L$1,F295&gt;I295),"Win",IF(AND(B295&lt;$L$1,F295&lt;I295),"Loss","")),"")</f>
        <v/>
      </c>
      <c r="M295" s="156">
        <f>IF(B295&lt;_CurWeek,"In","")</f>
        <v/>
      </c>
      <c r="N295" s="156">
        <f>IF(M295="In",E295&amp;G295,"")</f>
        <v/>
      </c>
      <c r="O295" s="156">
        <f>IF(L295="Win",1,0)</f>
        <v/>
      </c>
    </row>
    <row r="296" ht="14.4" customHeight="1" s="152">
      <c r="A296" s="167">
        <f>B296&amp;E296</f>
        <v/>
      </c>
      <c r="B296" s="174">
        <f>B11</f>
        <v/>
      </c>
      <c r="C296" s="174">
        <f>C11</f>
        <v/>
      </c>
      <c r="D296" s="175">
        <f>D11</f>
        <v/>
      </c>
      <c r="E296" s="176">
        <f>H11</f>
        <v/>
      </c>
      <c r="F296" s="157">
        <f>I11</f>
        <v/>
      </c>
      <c r="G296" s="174" t="inlineStr">
        <is>
          <t>Home</t>
        </is>
      </c>
      <c r="H296" s="176">
        <f>E11</f>
        <v/>
      </c>
      <c r="I296" s="157">
        <f>F11</f>
        <v/>
      </c>
      <c r="J296" s="177">
        <f>J11</f>
        <v/>
      </c>
      <c r="K296" s="156">
        <f>IF(AND(F296=0,I296=0),"",IF(F296&gt;I296,B296&amp;E296,IF(F296&lt;I296,B296&amp;H296,"Tie")))</f>
        <v/>
      </c>
      <c r="L296" s="156">
        <f>IFERROR(IF(AND(B296&lt;$L$1,F296&gt;I296),"Win",IF(AND(B296&lt;$L$1,F296&lt;I296),"Loss","")),"")</f>
        <v/>
      </c>
      <c r="M296" s="156">
        <f>IF(B296&lt;_CurWeek,"In","")</f>
        <v/>
      </c>
      <c r="N296" s="156">
        <f>IF(M296="In",E296&amp;G296,"")</f>
        <v/>
      </c>
      <c r="O296" s="156">
        <f>IF(L296="Win",1,0)</f>
        <v/>
      </c>
    </row>
    <row r="297" ht="14.4" customHeight="1" s="152">
      <c r="A297" s="167">
        <f>B297&amp;E297</f>
        <v/>
      </c>
      <c r="B297" s="174">
        <f>B12</f>
        <v/>
      </c>
      <c r="C297" s="174">
        <f>C12</f>
        <v/>
      </c>
      <c r="D297" s="175">
        <f>D12</f>
        <v/>
      </c>
      <c r="E297" s="176">
        <f>H12</f>
        <v/>
      </c>
      <c r="F297" s="157">
        <f>I12</f>
        <v/>
      </c>
      <c r="G297" s="174" t="inlineStr">
        <is>
          <t>Home</t>
        </is>
      </c>
      <c r="H297" s="176">
        <f>E12</f>
        <v/>
      </c>
      <c r="I297" s="157">
        <f>F12</f>
        <v/>
      </c>
      <c r="J297" s="177">
        <f>J12</f>
        <v/>
      </c>
      <c r="K297" s="156">
        <f>IF(AND(F297=0,I297=0),"",IF(F297&gt;I297,B297&amp;E297,IF(F297&lt;I297,B297&amp;H297,"Tie")))</f>
        <v/>
      </c>
      <c r="L297" s="156">
        <f>IFERROR(IF(AND(B297&lt;$L$1,F297&gt;I297),"Win",IF(AND(B297&lt;$L$1,F297&lt;I297),"Loss","")),"")</f>
        <v/>
      </c>
      <c r="M297" s="156">
        <f>IF(B297&lt;_CurWeek,"In","")</f>
        <v/>
      </c>
      <c r="N297" s="156">
        <f>IF(M297="In",E297&amp;G297,"")</f>
        <v/>
      </c>
      <c r="O297" s="156">
        <f>IF(L297="Win",1,0)</f>
        <v/>
      </c>
    </row>
    <row r="298" ht="14.4" customHeight="1" s="152">
      <c r="A298" s="167">
        <f>B298&amp;E298</f>
        <v/>
      </c>
      <c r="B298" s="174">
        <f>B13</f>
        <v/>
      </c>
      <c r="C298" s="174">
        <f>C13</f>
        <v/>
      </c>
      <c r="D298" s="175">
        <f>D13</f>
        <v/>
      </c>
      <c r="E298" s="176">
        <f>H13</f>
        <v/>
      </c>
      <c r="F298" s="157">
        <f>I13</f>
        <v/>
      </c>
      <c r="G298" s="174" t="inlineStr">
        <is>
          <t>Home</t>
        </is>
      </c>
      <c r="H298" s="176">
        <f>E13</f>
        <v/>
      </c>
      <c r="I298" s="157">
        <f>F13</f>
        <v/>
      </c>
      <c r="J298" s="177">
        <f>J13</f>
        <v/>
      </c>
      <c r="K298" s="156">
        <f>IF(AND(F298=0,I298=0),"",IF(F298&gt;I298,B298&amp;E298,IF(F298&lt;I298,B298&amp;H298,"Tie")))</f>
        <v/>
      </c>
      <c r="L298" s="156">
        <f>IFERROR(IF(AND(B298&lt;$L$1,F298&gt;I298),"Win",IF(AND(B298&lt;$L$1,F298&lt;I298),"Loss","")),"")</f>
        <v/>
      </c>
      <c r="M298" s="156">
        <f>IF(B298&lt;_CurWeek,"In","")</f>
        <v/>
      </c>
      <c r="N298" s="156">
        <f>IF(M298="In",E298&amp;G298,"")</f>
        <v/>
      </c>
      <c r="O298" s="156">
        <f>IF(L298="Win",1,0)</f>
        <v/>
      </c>
    </row>
    <row r="299" ht="14.4" customHeight="1" s="152">
      <c r="A299" s="167">
        <f>B299&amp;E299</f>
        <v/>
      </c>
      <c r="B299" s="174">
        <f>B14</f>
        <v/>
      </c>
      <c r="C299" s="174">
        <f>C14</f>
        <v/>
      </c>
      <c r="D299" s="175">
        <f>D14</f>
        <v/>
      </c>
      <c r="E299" s="176">
        <f>H14</f>
        <v/>
      </c>
      <c r="F299" s="157">
        <f>I14</f>
        <v/>
      </c>
      <c r="G299" s="174" t="inlineStr">
        <is>
          <t>Home</t>
        </is>
      </c>
      <c r="H299" s="176">
        <f>E14</f>
        <v/>
      </c>
      <c r="I299" s="157">
        <f>F14</f>
        <v/>
      </c>
      <c r="J299" s="177">
        <f>J14</f>
        <v/>
      </c>
      <c r="K299" s="156">
        <f>IF(AND(F299=0,I299=0),"",IF(F299&gt;I299,B299&amp;E299,IF(F299&lt;I299,B299&amp;H299,"Tie")))</f>
        <v/>
      </c>
      <c r="L299" s="156">
        <f>IFERROR(IF(AND(B299&lt;$L$1,F299&gt;I299),"Win",IF(AND(B299&lt;$L$1,F299&lt;I299),"Loss","")),"")</f>
        <v/>
      </c>
      <c r="M299" s="156">
        <f>IF(B299&lt;_CurWeek,"In","")</f>
        <v/>
      </c>
      <c r="N299" s="156">
        <f>IF(M299="In",E299&amp;G299,"")</f>
        <v/>
      </c>
      <c r="O299" s="156">
        <f>IF(L299="Win",1,0)</f>
        <v/>
      </c>
    </row>
    <row r="300" ht="14.4" customHeight="1" s="152">
      <c r="A300" s="167">
        <f>B300&amp;E300</f>
        <v/>
      </c>
      <c r="B300" s="174">
        <f>B15</f>
        <v/>
      </c>
      <c r="C300" s="174">
        <f>C15</f>
        <v/>
      </c>
      <c r="D300" s="175">
        <f>D15</f>
        <v/>
      </c>
      <c r="E300" s="176">
        <f>H15</f>
        <v/>
      </c>
      <c r="F300" s="157">
        <f>I15</f>
        <v/>
      </c>
      <c r="G300" s="174" t="inlineStr">
        <is>
          <t>Home</t>
        </is>
      </c>
      <c r="H300" s="176">
        <f>E15</f>
        <v/>
      </c>
      <c r="I300" s="157">
        <f>F15</f>
        <v/>
      </c>
      <c r="J300" s="177">
        <f>J15</f>
        <v/>
      </c>
      <c r="K300" s="156">
        <f>IF(AND(F300=0,I300=0),"",IF(F300&gt;I300,B300&amp;E300,IF(F300&lt;I300,B300&amp;H300,"Tie")))</f>
        <v/>
      </c>
      <c r="L300" s="156">
        <f>IFERROR(IF(AND(B300&lt;$L$1,F300&gt;I300),"Win",IF(AND(B300&lt;$L$1,F300&lt;I300),"Loss","")),"")</f>
        <v/>
      </c>
      <c r="M300" s="156">
        <f>IF(B300&lt;_CurWeek,"In","")</f>
        <v/>
      </c>
      <c r="N300" s="156">
        <f>IF(M300="In",E300&amp;G300,"")</f>
        <v/>
      </c>
      <c r="O300" s="156">
        <f>IF(L300="Win",1,0)</f>
        <v/>
      </c>
    </row>
    <row r="301" ht="14.4" customHeight="1" s="152">
      <c r="A301" s="167">
        <f>B301&amp;E301</f>
        <v/>
      </c>
      <c r="B301" s="174">
        <f>B16</f>
        <v/>
      </c>
      <c r="C301" s="174">
        <f>C16</f>
        <v/>
      </c>
      <c r="D301" s="175">
        <f>D16</f>
        <v/>
      </c>
      <c r="E301" s="176">
        <f>H16</f>
        <v/>
      </c>
      <c r="F301" s="157">
        <f>I16</f>
        <v/>
      </c>
      <c r="G301" s="174" t="inlineStr">
        <is>
          <t>Home</t>
        </is>
      </c>
      <c r="H301" s="176">
        <f>E16</f>
        <v/>
      </c>
      <c r="I301" s="157">
        <f>F16</f>
        <v/>
      </c>
      <c r="J301" s="177">
        <f>J16</f>
        <v/>
      </c>
      <c r="K301" s="156">
        <f>IF(AND(F301=0,I301=0),"",IF(F301&gt;I301,B301&amp;E301,IF(F301&lt;I301,B301&amp;H301,"Tie")))</f>
        <v/>
      </c>
      <c r="L301" s="156">
        <f>IFERROR(IF(AND(B301&lt;$L$1,F301&gt;I301),"Win",IF(AND(B301&lt;$L$1,F301&lt;I301),"Loss","")),"")</f>
        <v/>
      </c>
      <c r="M301" s="156">
        <f>IF(B301&lt;_CurWeek,"In","")</f>
        <v/>
      </c>
      <c r="N301" s="156">
        <f>IF(M301="In",E301&amp;G301,"")</f>
        <v/>
      </c>
      <c r="O301" s="156">
        <f>IF(L301="Win",1,0)</f>
        <v/>
      </c>
    </row>
    <row r="302" ht="14.4" customHeight="1" s="152">
      <c r="A302" s="167">
        <f>B302&amp;E302</f>
        <v/>
      </c>
      <c r="B302" s="174">
        <f>B17</f>
        <v/>
      </c>
      <c r="C302" s="174">
        <f>C17</f>
        <v/>
      </c>
      <c r="D302" s="175">
        <f>D17</f>
        <v/>
      </c>
      <c r="E302" s="176">
        <f>H17</f>
        <v/>
      </c>
      <c r="F302" s="157">
        <f>I17</f>
        <v/>
      </c>
      <c r="G302" s="174" t="inlineStr">
        <is>
          <t>Home</t>
        </is>
      </c>
      <c r="H302" s="176">
        <f>E17</f>
        <v/>
      </c>
      <c r="I302" s="157">
        <f>F17</f>
        <v/>
      </c>
      <c r="J302" s="177">
        <f>J17</f>
        <v/>
      </c>
      <c r="K302" s="156">
        <f>IF(AND(F302=0,I302=0),"",IF(F302&gt;I302,B302&amp;E302,IF(F302&lt;I302,B302&amp;H302,"Tie")))</f>
        <v/>
      </c>
      <c r="L302" s="156">
        <f>IFERROR(IF(AND(B302&lt;$L$1,F302&gt;I302),"Win",IF(AND(B302&lt;$L$1,F302&lt;I302),"Loss","")),"")</f>
        <v/>
      </c>
      <c r="M302" s="156">
        <f>IF(B302&lt;_CurWeek,"In","")</f>
        <v/>
      </c>
      <c r="N302" s="156">
        <f>IF(M302="In",E302&amp;G302,"")</f>
        <v/>
      </c>
      <c r="O302" s="156">
        <f>IF(L302="Win",1,0)</f>
        <v/>
      </c>
    </row>
    <row r="303" ht="14.4" customHeight="1" s="152">
      <c r="A303" s="167">
        <f>B303&amp;E303</f>
        <v/>
      </c>
      <c r="B303" s="174">
        <f>B18</f>
        <v/>
      </c>
      <c r="C303" s="174">
        <f>C18</f>
        <v/>
      </c>
      <c r="D303" s="175">
        <f>D18</f>
        <v/>
      </c>
      <c r="E303" s="176">
        <f>H18</f>
        <v/>
      </c>
      <c r="F303" s="157">
        <f>I18</f>
        <v/>
      </c>
      <c r="G303" s="174" t="inlineStr">
        <is>
          <t>Home</t>
        </is>
      </c>
      <c r="H303" s="176">
        <f>E18</f>
        <v/>
      </c>
      <c r="I303" s="157">
        <f>F18</f>
        <v/>
      </c>
      <c r="J303" s="177">
        <f>J18</f>
        <v/>
      </c>
      <c r="K303" s="156">
        <f>IF(AND(F303=0,I303=0),"",IF(F303&gt;I303,B303&amp;E303,IF(F303&lt;I303,B303&amp;H303,"Tie")))</f>
        <v/>
      </c>
      <c r="L303" s="156">
        <f>IFERROR(IF(AND(B303&lt;$L$1,F303&gt;I303),"Win",IF(AND(B303&lt;$L$1,F303&lt;I303),"Loss","")),"")</f>
        <v/>
      </c>
      <c r="M303" s="156">
        <f>IF(B303&lt;_CurWeek,"In","")</f>
        <v/>
      </c>
      <c r="N303" s="156">
        <f>IF(M303="In",E303&amp;G303,"")</f>
        <v/>
      </c>
      <c r="O303" s="156">
        <f>IF(L303="Win",1,0)</f>
        <v/>
      </c>
    </row>
    <row r="304" ht="14.4" customHeight="1" s="152">
      <c r="A304" s="167">
        <f>B304&amp;E304</f>
        <v/>
      </c>
      <c r="B304" s="174">
        <f>B19</f>
        <v/>
      </c>
      <c r="C304" s="174">
        <f>C19</f>
        <v/>
      </c>
      <c r="D304" s="175">
        <f>D19</f>
        <v/>
      </c>
      <c r="E304" s="176">
        <f>H19</f>
        <v/>
      </c>
      <c r="F304" s="157">
        <f>I19</f>
        <v/>
      </c>
      <c r="G304" s="174" t="inlineStr">
        <is>
          <t>Home</t>
        </is>
      </c>
      <c r="H304" s="176">
        <f>E19</f>
        <v/>
      </c>
      <c r="I304" s="157">
        <f>F19</f>
        <v/>
      </c>
      <c r="J304" s="177">
        <f>J19</f>
        <v/>
      </c>
      <c r="K304" s="156">
        <f>IF(AND(F304=0,I304=0),"",IF(F304&gt;I304,B304&amp;E304,IF(F304&lt;I304,B304&amp;H304,"Tie")))</f>
        <v/>
      </c>
      <c r="L304" s="156">
        <f>IFERROR(IF(AND(B304&lt;$L$1,F304&gt;I304),"Win",IF(AND(B304&lt;$L$1,F304&lt;I304),"Loss","")),"")</f>
        <v/>
      </c>
      <c r="M304" s="156">
        <f>IF(B304&lt;_CurWeek,"In","")</f>
        <v/>
      </c>
      <c r="N304" s="156">
        <f>IF(M304="In",E304&amp;G304,"")</f>
        <v/>
      </c>
      <c r="O304" s="156">
        <f>IF(L304="Win",1,0)</f>
        <v/>
      </c>
    </row>
    <row r="305" ht="14.4" customHeight="1" s="152">
      <c r="A305" s="167">
        <f>B305&amp;E305</f>
        <v/>
      </c>
      <c r="B305" s="174">
        <f>B20</f>
        <v/>
      </c>
      <c r="C305" s="174">
        <f>C20</f>
        <v/>
      </c>
      <c r="D305" s="175">
        <f>D20</f>
        <v/>
      </c>
      <c r="E305" s="176">
        <f>H20</f>
        <v/>
      </c>
      <c r="F305" s="157">
        <f>I20</f>
        <v/>
      </c>
      <c r="G305" s="174" t="inlineStr">
        <is>
          <t>Home</t>
        </is>
      </c>
      <c r="H305" s="176">
        <f>E20</f>
        <v/>
      </c>
      <c r="I305" s="157">
        <f>F20</f>
        <v/>
      </c>
      <c r="J305" s="177">
        <f>J20</f>
        <v/>
      </c>
      <c r="K305" s="156">
        <f>IF(AND(F305=0,I305=0),"",IF(F305&gt;I305,B305&amp;E305,IF(F305&lt;I305,B305&amp;H305,"Tie")))</f>
        <v/>
      </c>
      <c r="L305" s="156">
        <f>IFERROR(IF(AND(B305&lt;$L$1,F305&gt;I305),"Win",IF(AND(B305&lt;$L$1,F305&lt;I305),"Loss","")),"")</f>
        <v/>
      </c>
      <c r="M305" s="156">
        <f>IF(B305&lt;_CurWeek,"In","")</f>
        <v/>
      </c>
      <c r="N305" s="156">
        <f>IF(M305="In",E305&amp;G305,"")</f>
        <v/>
      </c>
      <c r="O305" s="156">
        <f>IF(L305="Win",1,0)</f>
        <v/>
      </c>
    </row>
    <row r="306" ht="14.4" customHeight="1" s="152">
      <c r="A306" s="167">
        <f>B306&amp;E306</f>
        <v/>
      </c>
      <c r="B306" s="174">
        <f>B21</f>
        <v/>
      </c>
      <c r="C306" s="174">
        <f>C21</f>
        <v/>
      </c>
      <c r="D306" s="175">
        <f>D21</f>
        <v/>
      </c>
      <c r="E306" s="176">
        <f>H21</f>
        <v/>
      </c>
      <c r="F306" s="157">
        <f>I21</f>
        <v/>
      </c>
      <c r="G306" s="174" t="inlineStr">
        <is>
          <t>Home</t>
        </is>
      </c>
      <c r="H306" s="176">
        <f>E21</f>
        <v/>
      </c>
      <c r="I306" s="157">
        <f>F21</f>
        <v/>
      </c>
      <c r="J306" s="177">
        <f>J21</f>
        <v/>
      </c>
      <c r="K306" s="156">
        <f>IF(AND(F306=0,I306=0),"",IF(F306&gt;I306,B306&amp;E306,IF(F306&lt;I306,B306&amp;H306,"Tie")))</f>
        <v/>
      </c>
      <c r="L306" s="156">
        <f>IFERROR(IF(AND(B306&lt;$L$1,F306&gt;I306),"Win",IF(AND(B306&lt;$L$1,F306&lt;I306),"Loss","")),"")</f>
        <v/>
      </c>
      <c r="M306" s="156">
        <f>IF(B306&lt;_CurWeek,"In","")</f>
        <v/>
      </c>
      <c r="N306" s="156">
        <f>IF(M306="In",E306&amp;G306,"")</f>
        <v/>
      </c>
      <c r="O306" s="156">
        <f>IF(L306="Win",1,0)</f>
        <v/>
      </c>
    </row>
    <row r="307" ht="14.4" customHeight="1" s="152">
      <c r="A307" s="167">
        <f>B307&amp;E307</f>
        <v/>
      </c>
      <c r="B307" s="174">
        <f>B22</f>
        <v/>
      </c>
      <c r="C307" s="174">
        <f>C22</f>
        <v/>
      </c>
      <c r="D307" s="175">
        <f>D22</f>
        <v/>
      </c>
      <c r="E307" s="176">
        <f>H22</f>
        <v/>
      </c>
      <c r="F307" s="157">
        <f>I22</f>
        <v/>
      </c>
      <c r="G307" s="174" t="inlineStr">
        <is>
          <t>Home</t>
        </is>
      </c>
      <c r="H307" s="176">
        <f>E22</f>
        <v/>
      </c>
      <c r="I307" s="157">
        <f>F22</f>
        <v/>
      </c>
      <c r="J307" s="177">
        <f>J22</f>
        <v/>
      </c>
      <c r="K307" s="156">
        <f>IF(AND(F307=0,I307=0),"",IF(F307&gt;I307,B307&amp;E307,IF(F307&lt;I307,B307&amp;H307,"Tie")))</f>
        <v/>
      </c>
      <c r="L307" s="156">
        <f>IFERROR(IF(AND(B307&lt;$L$1,F307&gt;I307),"Win",IF(AND(B307&lt;$L$1,F307&lt;I307),"Loss","")),"")</f>
        <v/>
      </c>
      <c r="M307" s="156">
        <f>IF(B307&lt;_CurWeek,"In","")</f>
        <v/>
      </c>
      <c r="N307" s="156">
        <f>IF(M307="In",E307&amp;G307,"")</f>
        <v/>
      </c>
      <c r="O307" s="156">
        <f>IF(L307="Win",1,0)</f>
        <v/>
      </c>
    </row>
    <row r="308" ht="14.4" customHeight="1" s="152">
      <c r="A308" s="167">
        <f>B308&amp;E308</f>
        <v/>
      </c>
      <c r="B308" s="174">
        <f>B23</f>
        <v/>
      </c>
      <c r="C308" s="174">
        <f>C23</f>
        <v/>
      </c>
      <c r="D308" s="175">
        <f>D23</f>
        <v/>
      </c>
      <c r="E308" s="176">
        <f>H23</f>
        <v/>
      </c>
      <c r="F308" s="157">
        <f>I23</f>
        <v/>
      </c>
      <c r="G308" s="174" t="inlineStr">
        <is>
          <t>Home</t>
        </is>
      </c>
      <c r="H308" s="176">
        <f>E23</f>
        <v/>
      </c>
      <c r="I308" s="157">
        <f>F23</f>
        <v/>
      </c>
      <c r="J308" s="177">
        <f>J23</f>
        <v/>
      </c>
      <c r="K308" s="156">
        <f>IF(AND(F308=0,I308=0),"",IF(F308&gt;I308,B308&amp;E308,IF(F308&lt;I308,B308&amp;H308,"Tie")))</f>
        <v/>
      </c>
      <c r="L308" s="156">
        <f>IFERROR(IF(AND(B308&lt;$L$1,F308&gt;I308),"Win",IF(AND(B308&lt;$L$1,F308&lt;I308),"Loss","")),"")</f>
        <v/>
      </c>
      <c r="M308" s="156">
        <f>IF(B308&lt;_CurWeek,"In","")</f>
        <v/>
      </c>
      <c r="N308" s="156">
        <f>IF(M308="In",E308&amp;G308,"")</f>
        <v/>
      </c>
      <c r="O308" s="156">
        <f>IF(L308="Win",1,0)</f>
        <v/>
      </c>
    </row>
    <row r="309" ht="14.4" customHeight="1" s="152">
      <c r="A309" s="167">
        <f>B309&amp;E309</f>
        <v/>
      </c>
      <c r="B309" s="174">
        <f>B24</f>
        <v/>
      </c>
      <c r="C309" s="174">
        <f>C24</f>
        <v/>
      </c>
      <c r="D309" s="175">
        <f>D24</f>
        <v/>
      </c>
      <c r="E309" s="176">
        <f>H24</f>
        <v/>
      </c>
      <c r="F309" s="157">
        <f>I24</f>
        <v/>
      </c>
      <c r="G309" s="174" t="inlineStr">
        <is>
          <t>Home</t>
        </is>
      </c>
      <c r="H309" s="176">
        <f>E24</f>
        <v/>
      </c>
      <c r="I309" s="157">
        <f>F24</f>
        <v/>
      </c>
      <c r="J309" s="177">
        <f>J24</f>
        <v/>
      </c>
      <c r="K309" s="156">
        <f>IF(AND(F309=0,I309=0),"",IF(F309&gt;I309,B309&amp;E309,IF(F309&lt;I309,B309&amp;H309,"Tie")))</f>
        <v/>
      </c>
      <c r="L309" s="156">
        <f>IFERROR(IF(AND(B309&lt;$L$1,F309&gt;I309),"Win",IF(AND(B309&lt;$L$1,F309&lt;I309),"Loss","")),"")</f>
        <v/>
      </c>
      <c r="M309" s="156">
        <f>IF(B309&lt;_CurWeek,"In","")</f>
        <v/>
      </c>
      <c r="N309" s="156">
        <f>IF(M309="In",E309&amp;G309,"")</f>
        <v/>
      </c>
      <c r="O309" s="156">
        <f>IF(L309="Win",1,0)</f>
        <v/>
      </c>
    </row>
    <row r="310" ht="14.4" customHeight="1" s="152">
      <c r="A310" s="167">
        <f>B310&amp;E310</f>
        <v/>
      </c>
      <c r="B310" s="174">
        <f>B25</f>
        <v/>
      </c>
      <c r="C310" s="174">
        <f>C25</f>
        <v/>
      </c>
      <c r="D310" s="175">
        <f>D25</f>
        <v/>
      </c>
      <c r="E310" s="176">
        <f>H25</f>
        <v/>
      </c>
      <c r="F310" s="157">
        <f>I25</f>
        <v/>
      </c>
      <c r="G310" s="174" t="inlineStr">
        <is>
          <t>Home</t>
        </is>
      </c>
      <c r="H310" s="176">
        <f>E25</f>
        <v/>
      </c>
      <c r="I310" s="157">
        <f>F25</f>
        <v/>
      </c>
      <c r="J310" s="177">
        <f>J25</f>
        <v/>
      </c>
      <c r="K310" s="156">
        <f>IF(AND(F310=0,I310=0),"",IF(F310&gt;I310,B310&amp;E310,IF(F310&lt;I310,B310&amp;H310,"Tie")))</f>
        <v/>
      </c>
      <c r="L310" s="156">
        <f>IFERROR(IF(AND(B310&lt;$L$1,F310&gt;I310),"Win",IF(AND(B310&lt;$L$1,F310&lt;I310),"Loss","")),"")</f>
        <v/>
      </c>
      <c r="M310" s="156">
        <f>IF(B310&lt;_CurWeek,"In","")</f>
        <v/>
      </c>
      <c r="N310" s="156">
        <f>IF(M310="In",E310&amp;G310,"")</f>
        <v/>
      </c>
      <c r="O310" s="156">
        <f>IF(L310="Win",1,0)</f>
        <v/>
      </c>
    </row>
    <row r="311" ht="14.4" customHeight="1" s="152">
      <c r="A311" s="167">
        <f>B311&amp;E311</f>
        <v/>
      </c>
      <c r="B311" s="174">
        <f>B26</f>
        <v/>
      </c>
      <c r="C311" s="174">
        <f>C26</f>
        <v/>
      </c>
      <c r="D311" s="175">
        <f>D26</f>
        <v/>
      </c>
      <c r="E311" s="176">
        <f>H26</f>
        <v/>
      </c>
      <c r="F311" s="157">
        <f>I26</f>
        <v/>
      </c>
      <c r="G311" s="174" t="inlineStr">
        <is>
          <t>Home</t>
        </is>
      </c>
      <c r="H311" s="176">
        <f>E26</f>
        <v/>
      </c>
      <c r="I311" s="157">
        <f>F26</f>
        <v/>
      </c>
      <c r="J311" s="177">
        <f>J26</f>
        <v/>
      </c>
      <c r="K311" s="156">
        <f>IF(AND(F311=0,I311=0),"",IF(F311&gt;I311,B311&amp;E311,IF(F311&lt;I311,B311&amp;H311,"Tie")))</f>
        <v/>
      </c>
      <c r="L311" s="156">
        <f>IFERROR(IF(AND(B311&lt;$L$1,F311&gt;I311),"Win",IF(AND(B311&lt;$L$1,F311&lt;I311),"Loss","")),"")</f>
        <v/>
      </c>
      <c r="M311" s="156">
        <f>IF(B311&lt;_CurWeek,"In","")</f>
        <v/>
      </c>
      <c r="N311" s="156">
        <f>IF(M311="In",E311&amp;G311,"")</f>
        <v/>
      </c>
      <c r="O311" s="156">
        <f>IF(L311="Win",1,0)</f>
        <v/>
      </c>
    </row>
    <row r="312" ht="14.4" customHeight="1" s="152">
      <c r="A312" s="167">
        <f>B312&amp;E312</f>
        <v/>
      </c>
      <c r="B312" s="174">
        <f>B27</f>
        <v/>
      </c>
      <c r="C312" s="174">
        <f>C27</f>
        <v/>
      </c>
      <c r="D312" s="175">
        <f>D27</f>
        <v/>
      </c>
      <c r="E312" s="176">
        <f>H27</f>
        <v/>
      </c>
      <c r="F312" s="157">
        <f>I27</f>
        <v/>
      </c>
      <c r="G312" s="174" t="inlineStr">
        <is>
          <t>Home</t>
        </is>
      </c>
      <c r="H312" s="176">
        <f>E27</f>
        <v/>
      </c>
      <c r="I312" s="157">
        <f>F27</f>
        <v/>
      </c>
      <c r="J312" s="177">
        <f>J27</f>
        <v/>
      </c>
      <c r="K312" s="156">
        <f>IF(AND(F312=0,I312=0),"",IF(F312&gt;I312,B312&amp;E312,IF(F312&lt;I312,B312&amp;H312,"Tie")))</f>
        <v/>
      </c>
      <c r="L312" s="156">
        <f>IFERROR(IF(AND(B312&lt;$L$1,F312&gt;I312),"Win",IF(AND(B312&lt;$L$1,F312&lt;I312),"Loss","")),"")</f>
        <v/>
      </c>
      <c r="M312" s="156">
        <f>IF(B312&lt;_CurWeek,"In","")</f>
        <v/>
      </c>
      <c r="N312" s="156">
        <f>IF(M312="In",E312&amp;G312,"")</f>
        <v/>
      </c>
      <c r="O312" s="156">
        <f>IF(L312="Win",1,0)</f>
        <v/>
      </c>
    </row>
    <row r="313" ht="14.4" customHeight="1" s="152">
      <c r="A313" s="167">
        <f>B313&amp;E313</f>
        <v/>
      </c>
      <c r="B313" s="174">
        <f>B28</f>
        <v/>
      </c>
      <c r="C313" s="174">
        <f>C28</f>
        <v/>
      </c>
      <c r="D313" s="175">
        <f>D28</f>
        <v/>
      </c>
      <c r="E313" s="176">
        <f>H28</f>
        <v/>
      </c>
      <c r="F313" s="157">
        <f>I28</f>
        <v/>
      </c>
      <c r="G313" s="174" t="inlineStr">
        <is>
          <t>Home</t>
        </is>
      </c>
      <c r="H313" s="176">
        <f>E28</f>
        <v/>
      </c>
      <c r="I313" s="157">
        <f>F28</f>
        <v/>
      </c>
      <c r="J313" s="177">
        <f>J28</f>
        <v/>
      </c>
      <c r="K313" s="156">
        <f>IF(AND(F313=0,I313=0),"",IF(F313&gt;I313,B313&amp;E313,IF(F313&lt;I313,B313&amp;H313,"Tie")))</f>
        <v/>
      </c>
      <c r="L313" s="156">
        <f>IFERROR(IF(AND(B313&lt;$L$1,F313&gt;I313),"Win",IF(AND(B313&lt;$L$1,F313&lt;I313),"Loss","")),"")</f>
        <v/>
      </c>
      <c r="M313" s="156">
        <f>IF(B313&lt;_CurWeek,"In","")</f>
        <v/>
      </c>
      <c r="N313" s="156">
        <f>IF(M313="In",E313&amp;G313,"")</f>
        <v/>
      </c>
      <c r="O313" s="156">
        <f>IF(L313="Win",1,0)</f>
        <v/>
      </c>
    </row>
    <row r="314" ht="14.4" customHeight="1" s="152">
      <c r="A314" s="167">
        <f>B314&amp;E314</f>
        <v/>
      </c>
      <c r="B314" s="174">
        <f>B29</f>
        <v/>
      </c>
      <c r="C314" s="174">
        <f>C29</f>
        <v/>
      </c>
      <c r="D314" s="175">
        <f>D29</f>
        <v/>
      </c>
      <c r="E314" s="176">
        <f>H29</f>
        <v/>
      </c>
      <c r="F314" s="157">
        <f>I29</f>
        <v/>
      </c>
      <c r="G314" s="174" t="inlineStr">
        <is>
          <t>Home</t>
        </is>
      </c>
      <c r="H314" s="176">
        <f>E29</f>
        <v/>
      </c>
      <c r="I314" s="157">
        <f>F29</f>
        <v/>
      </c>
      <c r="J314" s="177">
        <f>J29</f>
        <v/>
      </c>
      <c r="K314" s="156">
        <f>IF(AND(F314=0,I314=0),"",IF(F314&gt;I314,B314&amp;E314,IF(F314&lt;I314,B314&amp;H314,"Tie")))</f>
        <v/>
      </c>
      <c r="L314" s="156">
        <f>IFERROR(IF(AND(B314&lt;$L$1,F314&gt;I314),"Win",IF(AND(B314&lt;$L$1,F314&lt;I314),"Loss","")),"")</f>
        <v/>
      </c>
      <c r="M314" s="156">
        <f>IF(B314&lt;_CurWeek,"In","")</f>
        <v/>
      </c>
      <c r="N314" s="156">
        <f>IF(M314="In",E314&amp;G314,"")</f>
        <v/>
      </c>
      <c r="O314" s="156">
        <f>IF(L314="Win",1,0)</f>
        <v/>
      </c>
    </row>
    <row r="315" ht="14.4" customHeight="1" s="152">
      <c r="A315" s="167">
        <f>B315&amp;E315</f>
        <v/>
      </c>
      <c r="B315" s="174">
        <f>B30</f>
        <v/>
      </c>
      <c r="C315" s="174">
        <f>C30</f>
        <v/>
      </c>
      <c r="D315" s="175">
        <f>D30</f>
        <v/>
      </c>
      <c r="E315" s="176">
        <f>H30</f>
        <v/>
      </c>
      <c r="F315" s="157">
        <f>I30</f>
        <v/>
      </c>
      <c r="G315" s="174" t="inlineStr">
        <is>
          <t>Home</t>
        </is>
      </c>
      <c r="H315" s="176">
        <f>E30</f>
        <v/>
      </c>
      <c r="I315" s="157">
        <f>F30</f>
        <v/>
      </c>
      <c r="J315" s="177">
        <f>J30</f>
        <v/>
      </c>
      <c r="K315" s="156">
        <f>IF(AND(F315=0,I315=0),"",IF(F315&gt;I315,B315&amp;E315,IF(F315&lt;I315,B315&amp;H315,"Tie")))</f>
        <v/>
      </c>
      <c r="L315" s="156">
        <f>IFERROR(IF(AND(B315&lt;$L$1,F315&gt;I315),"Win",IF(AND(B315&lt;$L$1,F315&lt;I315),"Loss","")),"")</f>
        <v/>
      </c>
      <c r="M315" s="156">
        <f>IF(B315&lt;_CurWeek,"In","")</f>
        <v/>
      </c>
      <c r="N315" s="156">
        <f>IF(M315="In",E315&amp;G315,"")</f>
        <v/>
      </c>
      <c r="O315" s="156">
        <f>IF(L315="Win",1,0)</f>
        <v/>
      </c>
    </row>
    <row r="316" ht="14.4" customHeight="1" s="152">
      <c r="A316" s="167">
        <f>B316&amp;E316</f>
        <v/>
      </c>
      <c r="B316" s="174">
        <f>B31</f>
        <v/>
      </c>
      <c r="C316" s="174">
        <f>C31</f>
        <v/>
      </c>
      <c r="D316" s="175">
        <f>D31</f>
        <v/>
      </c>
      <c r="E316" s="176">
        <f>H31</f>
        <v/>
      </c>
      <c r="F316" s="157">
        <f>I31</f>
        <v/>
      </c>
      <c r="G316" s="174" t="inlineStr">
        <is>
          <t>Home</t>
        </is>
      </c>
      <c r="H316" s="176">
        <f>E31</f>
        <v/>
      </c>
      <c r="I316" s="157">
        <f>F31</f>
        <v/>
      </c>
      <c r="J316" s="177">
        <f>J31</f>
        <v/>
      </c>
      <c r="K316" s="156">
        <f>IF(AND(F316=0,I316=0),"",IF(F316&gt;I316,B316&amp;E316,IF(F316&lt;I316,B316&amp;H316,"Tie")))</f>
        <v/>
      </c>
      <c r="L316" s="156">
        <f>IFERROR(IF(AND(B316&lt;$L$1,F316&gt;I316),"Win",IF(AND(B316&lt;$L$1,F316&lt;I316),"Loss","")),"")</f>
        <v/>
      </c>
      <c r="M316" s="156">
        <f>IF(B316&lt;_CurWeek,"In","")</f>
        <v/>
      </c>
      <c r="N316" s="156">
        <f>IF(M316="In",E316&amp;G316,"")</f>
        <v/>
      </c>
      <c r="O316" s="156">
        <f>IF(L316="Win",1,0)</f>
        <v/>
      </c>
    </row>
    <row r="317" ht="14.4" customHeight="1" s="152">
      <c r="A317" s="167">
        <f>B317&amp;E317</f>
        <v/>
      </c>
      <c r="B317" s="174">
        <f>B32</f>
        <v/>
      </c>
      <c r="C317" s="174">
        <f>C32</f>
        <v/>
      </c>
      <c r="D317" s="175">
        <f>D32</f>
        <v/>
      </c>
      <c r="E317" s="176">
        <f>H32</f>
        <v/>
      </c>
      <c r="F317" s="157">
        <f>I32</f>
        <v/>
      </c>
      <c r="G317" s="174" t="inlineStr">
        <is>
          <t>Home</t>
        </is>
      </c>
      <c r="H317" s="176">
        <f>E32</f>
        <v/>
      </c>
      <c r="I317" s="157">
        <f>F32</f>
        <v/>
      </c>
      <c r="J317" s="177">
        <f>J32</f>
        <v/>
      </c>
      <c r="K317" s="156">
        <f>IF(AND(F317=0,I317=0),"",IF(F317&gt;I317,B317&amp;E317,IF(F317&lt;I317,B317&amp;H317,"Tie")))</f>
        <v/>
      </c>
      <c r="L317" s="156">
        <f>IFERROR(IF(AND(B317&lt;$L$1,F317&gt;I317),"Win",IF(AND(B317&lt;$L$1,F317&lt;I317),"Loss","")),"")</f>
        <v/>
      </c>
      <c r="M317" s="156">
        <f>IF(B317&lt;_CurWeek,"In","")</f>
        <v/>
      </c>
      <c r="N317" s="156">
        <f>IF(M317="In",E317&amp;G317,"")</f>
        <v/>
      </c>
      <c r="O317" s="156">
        <f>IF(L317="Win",1,0)</f>
        <v/>
      </c>
    </row>
    <row r="318" ht="14.4" customHeight="1" s="152">
      <c r="A318" s="167">
        <f>B318&amp;E318</f>
        <v/>
      </c>
      <c r="B318" s="174">
        <f>B33</f>
        <v/>
      </c>
      <c r="C318" s="174">
        <f>C33</f>
        <v/>
      </c>
      <c r="D318" s="175">
        <f>D33</f>
        <v/>
      </c>
      <c r="E318" s="176">
        <f>H33</f>
        <v/>
      </c>
      <c r="F318" s="157">
        <f>I33</f>
        <v/>
      </c>
      <c r="G318" s="174" t="inlineStr">
        <is>
          <t>Home</t>
        </is>
      </c>
      <c r="H318" s="176">
        <f>E33</f>
        <v/>
      </c>
      <c r="I318" s="157">
        <f>F33</f>
        <v/>
      </c>
      <c r="J318" s="177">
        <f>J33</f>
        <v/>
      </c>
      <c r="K318" s="156">
        <f>IF(AND(F318=0,I318=0),"",IF(F318&gt;I318,B318&amp;E318,IF(F318&lt;I318,B318&amp;H318,"Tie")))</f>
        <v/>
      </c>
      <c r="L318" s="156">
        <f>IFERROR(IF(AND(B318&lt;$L$1,F318&gt;I318),"Win",IF(AND(B318&lt;$L$1,F318&lt;I318),"Loss","")),"")</f>
        <v/>
      </c>
      <c r="M318" s="156">
        <f>IF(B318&lt;_CurWeek,"In","")</f>
        <v/>
      </c>
      <c r="N318" s="156">
        <f>IF(M318="In",E318&amp;G318,"")</f>
        <v/>
      </c>
      <c r="O318" s="156">
        <f>IF(L318="Win",1,0)</f>
        <v/>
      </c>
    </row>
    <row r="319" ht="14.4" customHeight="1" s="152">
      <c r="A319" s="167">
        <f>B319&amp;E319</f>
        <v/>
      </c>
      <c r="B319" s="174">
        <f>B34</f>
        <v/>
      </c>
      <c r="C319" s="174">
        <f>C34</f>
        <v/>
      </c>
      <c r="D319" s="175">
        <f>D34</f>
        <v/>
      </c>
      <c r="E319" s="176">
        <f>H34</f>
        <v/>
      </c>
      <c r="F319" s="157">
        <f>I34</f>
        <v/>
      </c>
      <c r="G319" s="174" t="inlineStr">
        <is>
          <t>Home</t>
        </is>
      </c>
      <c r="H319" s="176">
        <f>E34</f>
        <v/>
      </c>
      <c r="I319" s="157">
        <f>F34</f>
        <v/>
      </c>
      <c r="J319" s="177">
        <f>J34</f>
        <v/>
      </c>
      <c r="K319" s="156">
        <f>IF(AND(F319=0,I319=0),"",IF(F319&gt;I319,B319&amp;E319,IF(F319&lt;I319,B319&amp;H319,"Tie")))</f>
        <v/>
      </c>
      <c r="L319" s="156">
        <f>IFERROR(IF(AND(B319&lt;$L$1,F319&gt;I319),"Win",IF(AND(B319&lt;$L$1,F319&lt;I319),"Loss","")),"")</f>
        <v/>
      </c>
      <c r="M319" s="156">
        <f>IF(B319&lt;_CurWeek,"In","")</f>
        <v/>
      </c>
      <c r="N319" s="156">
        <f>IF(M319="In",E319&amp;G319,"")</f>
        <v/>
      </c>
      <c r="O319" s="156">
        <f>IF(L319="Win",1,0)</f>
        <v/>
      </c>
    </row>
    <row r="320" ht="14.4" customHeight="1" s="152">
      <c r="A320" s="167">
        <f>B320&amp;E320</f>
        <v/>
      </c>
      <c r="B320" s="174">
        <f>B35</f>
        <v/>
      </c>
      <c r="C320" s="174">
        <f>C35</f>
        <v/>
      </c>
      <c r="D320" s="175">
        <f>D35</f>
        <v/>
      </c>
      <c r="E320" s="176">
        <f>H35</f>
        <v/>
      </c>
      <c r="F320" s="157">
        <f>I35</f>
        <v/>
      </c>
      <c r="G320" s="174" t="inlineStr">
        <is>
          <t>Home</t>
        </is>
      </c>
      <c r="H320" s="176">
        <f>E35</f>
        <v/>
      </c>
      <c r="I320" s="157">
        <f>F35</f>
        <v/>
      </c>
      <c r="J320" s="177">
        <f>J35</f>
        <v/>
      </c>
      <c r="K320" s="156">
        <f>IF(AND(F320=0,I320=0),"",IF(F320&gt;I320,B320&amp;E320,IF(F320&lt;I320,B320&amp;H320,"Tie")))</f>
        <v/>
      </c>
      <c r="L320" s="156">
        <f>IFERROR(IF(AND(B320&lt;$L$1,F320&gt;I320),"Win",IF(AND(B320&lt;$L$1,F320&lt;I320),"Loss","")),"")</f>
        <v/>
      </c>
      <c r="M320" s="156">
        <f>IF(B320&lt;_CurWeek,"In","")</f>
        <v/>
      </c>
      <c r="N320" s="156">
        <f>IF(M320="In",E320&amp;G320,"")</f>
        <v/>
      </c>
      <c r="O320" s="156">
        <f>IF(L320="Win",1,0)</f>
        <v/>
      </c>
    </row>
    <row r="321" ht="14.4" customHeight="1" s="152">
      <c r="A321" s="167">
        <f>B321&amp;E321</f>
        <v/>
      </c>
      <c r="B321" s="174">
        <f>B36</f>
        <v/>
      </c>
      <c r="C321" s="174">
        <f>C36</f>
        <v/>
      </c>
      <c r="D321" s="175">
        <f>D36</f>
        <v/>
      </c>
      <c r="E321" s="176">
        <f>H36</f>
        <v/>
      </c>
      <c r="F321" s="157">
        <f>I36</f>
        <v/>
      </c>
      <c r="G321" s="174" t="inlineStr">
        <is>
          <t>Home</t>
        </is>
      </c>
      <c r="H321" s="176">
        <f>E36</f>
        <v/>
      </c>
      <c r="I321" s="157">
        <f>F36</f>
        <v/>
      </c>
      <c r="J321" s="177">
        <f>J36</f>
        <v/>
      </c>
      <c r="K321" s="156">
        <f>IF(AND(F321=0,I321=0),"",IF(F321&gt;I321,B321&amp;E321,IF(F321&lt;I321,B321&amp;H321,"Tie")))</f>
        <v/>
      </c>
      <c r="L321" s="156">
        <f>IFERROR(IF(AND(B321&lt;$L$1,F321&gt;I321),"Win",IF(AND(B321&lt;$L$1,F321&lt;I321),"Loss","")),"")</f>
        <v/>
      </c>
      <c r="M321" s="156">
        <f>IF(B321&lt;_CurWeek,"In","")</f>
        <v/>
      </c>
      <c r="N321" s="156">
        <f>IF(M321="In",E321&amp;G321,"")</f>
        <v/>
      </c>
      <c r="O321" s="156">
        <f>IF(L321="Win",1,0)</f>
        <v/>
      </c>
    </row>
    <row r="322" ht="14.4" customHeight="1" s="152">
      <c r="A322" s="167">
        <f>B322&amp;E322</f>
        <v/>
      </c>
      <c r="B322" s="174">
        <f>B37</f>
        <v/>
      </c>
      <c r="C322" s="174">
        <f>C37</f>
        <v/>
      </c>
      <c r="D322" s="175">
        <f>D37</f>
        <v/>
      </c>
      <c r="E322" s="176">
        <f>H37</f>
        <v/>
      </c>
      <c r="F322" s="157">
        <f>I37</f>
        <v/>
      </c>
      <c r="G322" s="174" t="inlineStr">
        <is>
          <t>Home</t>
        </is>
      </c>
      <c r="H322" s="176">
        <f>E37</f>
        <v/>
      </c>
      <c r="I322" s="157">
        <f>F37</f>
        <v/>
      </c>
      <c r="J322" s="177">
        <f>J37</f>
        <v/>
      </c>
      <c r="K322" s="156">
        <f>IF(AND(F322=0,I322=0),"",IF(F322&gt;I322,B322&amp;E322,IF(F322&lt;I322,B322&amp;H322,"Tie")))</f>
        <v/>
      </c>
      <c r="L322" s="156">
        <f>IFERROR(IF(AND(B322&lt;$L$1,F322&gt;I322),"Win",IF(AND(B322&lt;$L$1,F322&lt;I322),"Loss","")),"")</f>
        <v/>
      </c>
      <c r="M322" s="156">
        <f>IF(B322&lt;_CurWeek,"In","")</f>
        <v/>
      </c>
      <c r="N322" s="156">
        <f>IF(M322="In",E322&amp;G322,"")</f>
        <v/>
      </c>
      <c r="O322" s="156">
        <f>IF(L322="Win",1,0)</f>
        <v/>
      </c>
    </row>
    <row r="323" ht="14.4" customHeight="1" s="152">
      <c r="A323" s="167">
        <f>B323&amp;E323</f>
        <v/>
      </c>
      <c r="B323" s="174">
        <f>B38</f>
        <v/>
      </c>
      <c r="C323" s="174">
        <f>C38</f>
        <v/>
      </c>
      <c r="D323" s="175">
        <f>D38</f>
        <v/>
      </c>
      <c r="E323" s="176">
        <f>H38</f>
        <v/>
      </c>
      <c r="F323" s="157">
        <f>I38</f>
        <v/>
      </c>
      <c r="G323" s="174" t="inlineStr">
        <is>
          <t>Home</t>
        </is>
      </c>
      <c r="H323" s="176">
        <f>E38</f>
        <v/>
      </c>
      <c r="I323" s="157">
        <f>F38</f>
        <v/>
      </c>
      <c r="J323" s="177">
        <f>J38</f>
        <v/>
      </c>
      <c r="K323" s="156">
        <f>IF(AND(F323=0,I323=0),"",IF(F323&gt;I323,B323&amp;E323,IF(F323&lt;I323,B323&amp;H323,"Tie")))</f>
        <v/>
      </c>
      <c r="L323" s="156">
        <f>IFERROR(IF(AND(B323&lt;$L$1,F323&gt;I323),"Win",IF(AND(B323&lt;$L$1,F323&lt;I323),"Loss","")),"")</f>
        <v/>
      </c>
      <c r="M323" s="156">
        <f>IF(B323&lt;_CurWeek,"In","")</f>
        <v/>
      </c>
      <c r="N323" s="156">
        <f>IF(M323="In",E323&amp;G323,"")</f>
        <v/>
      </c>
      <c r="O323" s="156">
        <f>IF(L323="Win",1,0)</f>
        <v/>
      </c>
    </row>
    <row r="324" ht="14.4" customHeight="1" s="152">
      <c r="A324" s="167">
        <f>B324&amp;E324</f>
        <v/>
      </c>
      <c r="B324" s="174">
        <f>B39</f>
        <v/>
      </c>
      <c r="C324" s="174">
        <f>C39</f>
        <v/>
      </c>
      <c r="D324" s="175">
        <f>D39</f>
        <v/>
      </c>
      <c r="E324" s="176">
        <f>H39</f>
        <v/>
      </c>
      <c r="F324" s="157">
        <f>I39</f>
        <v/>
      </c>
      <c r="G324" s="174" t="inlineStr">
        <is>
          <t>Home</t>
        </is>
      </c>
      <c r="H324" s="176">
        <f>E39</f>
        <v/>
      </c>
      <c r="I324" s="157">
        <f>F39</f>
        <v/>
      </c>
      <c r="J324" s="177">
        <f>J39</f>
        <v/>
      </c>
      <c r="K324" s="156">
        <f>IF(AND(F324=0,I324=0),"",IF(F324&gt;I324,B324&amp;E324,IF(F324&lt;I324,B324&amp;H324,"Tie")))</f>
        <v/>
      </c>
      <c r="L324" s="156">
        <f>IFERROR(IF(AND(B324&lt;$L$1,F324&gt;I324),"Win",IF(AND(B324&lt;$L$1,F324&lt;I324),"Loss","")),"")</f>
        <v/>
      </c>
      <c r="M324" s="156">
        <f>IF(B324&lt;_CurWeek,"In","")</f>
        <v/>
      </c>
      <c r="N324" s="156">
        <f>IF(M324="In",E324&amp;G324,"")</f>
        <v/>
      </c>
      <c r="O324" s="156">
        <f>IF(L324="Win",1,0)</f>
        <v/>
      </c>
    </row>
    <row r="325" ht="14.4" customHeight="1" s="152">
      <c r="A325" s="167">
        <f>B325&amp;E325</f>
        <v/>
      </c>
      <c r="B325" s="174">
        <f>B40</f>
        <v/>
      </c>
      <c r="C325" s="174">
        <f>C40</f>
        <v/>
      </c>
      <c r="D325" s="175">
        <f>D40</f>
        <v/>
      </c>
      <c r="E325" s="176">
        <f>H40</f>
        <v/>
      </c>
      <c r="F325" s="157">
        <f>I40</f>
        <v/>
      </c>
      <c r="G325" s="174" t="inlineStr">
        <is>
          <t>Home</t>
        </is>
      </c>
      <c r="H325" s="176">
        <f>E40</f>
        <v/>
      </c>
      <c r="I325" s="157">
        <f>F40</f>
        <v/>
      </c>
      <c r="J325" s="177">
        <f>J40</f>
        <v/>
      </c>
      <c r="K325" s="156">
        <f>IF(AND(F325=0,I325=0),"",IF(F325&gt;I325,B325&amp;E325,IF(F325&lt;I325,B325&amp;H325,"Tie")))</f>
        <v/>
      </c>
      <c r="L325" s="156">
        <f>IFERROR(IF(AND(B325&lt;$L$1,F325&gt;I325),"Win",IF(AND(B325&lt;$L$1,F325&lt;I325),"Loss","")),"")</f>
        <v/>
      </c>
      <c r="M325" s="156">
        <f>IF(B325&lt;_CurWeek,"In","")</f>
        <v/>
      </c>
      <c r="N325" s="156">
        <f>IF(M325="In",E325&amp;G325,"")</f>
        <v/>
      </c>
      <c r="O325" s="156">
        <f>IF(L325="Win",1,0)</f>
        <v/>
      </c>
    </row>
    <row r="326" ht="14.4" customHeight="1" s="152">
      <c r="A326" s="167">
        <f>B326&amp;E326</f>
        <v/>
      </c>
      <c r="B326" s="174">
        <f>B41</f>
        <v/>
      </c>
      <c r="C326" s="174">
        <f>C41</f>
        <v/>
      </c>
      <c r="D326" s="175">
        <f>D41</f>
        <v/>
      </c>
      <c r="E326" s="176">
        <f>H41</f>
        <v/>
      </c>
      <c r="F326" s="157">
        <f>I41</f>
        <v/>
      </c>
      <c r="G326" s="174" t="inlineStr">
        <is>
          <t>Home</t>
        </is>
      </c>
      <c r="H326" s="176">
        <f>E41</f>
        <v/>
      </c>
      <c r="I326" s="157">
        <f>F41</f>
        <v/>
      </c>
      <c r="J326" s="177">
        <f>J41</f>
        <v/>
      </c>
      <c r="K326" s="156">
        <f>IF(AND(F326=0,I326=0),"",IF(F326&gt;I326,B326&amp;E326,IF(F326&lt;I326,B326&amp;H326,"Tie")))</f>
        <v/>
      </c>
      <c r="L326" s="156">
        <f>IFERROR(IF(AND(B326&lt;$L$1,F326&gt;I326),"Win",IF(AND(B326&lt;$L$1,F326&lt;I326),"Loss","")),"")</f>
        <v/>
      </c>
      <c r="M326" s="156">
        <f>IF(B326&lt;_CurWeek,"In","")</f>
        <v/>
      </c>
      <c r="N326" s="156">
        <f>IF(M326="In",E326&amp;G326,"")</f>
        <v/>
      </c>
      <c r="O326" s="156">
        <f>IF(L326="Win",1,0)</f>
        <v/>
      </c>
    </row>
    <row r="327" ht="14.4" customHeight="1" s="152">
      <c r="A327" s="167">
        <f>B327&amp;E327</f>
        <v/>
      </c>
      <c r="B327" s="174">
        <f>B42</f>
        <v/>
      </c>
      <c r="C327" s="174">
        <f>C42</f>
        <v/>
      </c>
      <c r="D327" s="175">
        <f>D42</f>
        <v/>
      </c>
      <c r="E327" s="176">
        <f>H42</f>
        <v/>
      </c>
      <c r="F327" s="157">
        <f>I42</f>
        <v/>
      </c>
      <c r="G327" s="174" t="inlineStr">
        <is>
          <t>Home</t>
        </is>
      </c>
      <c r="H327" s="176">
        <f>E42</f>
        <v/>
      </c>
      <c r="I327" s="157">
        <f>F42</f>
        <v/>
      </c>
      <c r="J327" s="177">
        <f>J42</f>
        <v/>
      </c>
      <c r="K327" s="156">
        <f>IF(AND(F327=0,I327=0),"",IF(F327&gt;I327,B327&amp;E327,IF(F327&lt;I327,B327&amp;H327,"Tie")))</f>
        <v/>
      </c>
      <c r="L327" s="156">
        <f>IFERROR(IF(AND(B327&lt;$L$1,F327&gt;I327),"Win",IF(AND(B327&lt;$L$1,F327&lt;I327),"Loss","")),"")</f>
        <v/>
      </c>
      <c r="M327" s="156">
        <f>IF(B327&lt;_CurWeek,"In","")</f>
        <v/>
      </c>
      <c r="N327" s="156">
        <f>IF(M327="In",E327&amp;G327,"")</f>
        <v/>
      </c>
      <c r="O327" s="156">
        <f>IF(L327="Win",1,0)</f>
        <v/>
      </c>
    </row>
    <row r="328" ht="14.4" customHeight="1" s="152">
      <c r="A328" s="167">
        <f>B328&amp;E328</f>
        <v/>
      </c>
      <c r="B328" s="174">
        <f>B43</f>
        <v/>
      </c>
      <c r="C328" s="174">
        <f>C43</f>
        <v/>
      </c>
      <c r="D328" s="175">
        <f>D43</f>
        <v/>
      </c>
      <c r="E328" s="176">
        <f>H43</f>
        <v/>
      </c>
      <c r="F328" s="157">
        <f>I43</f>
        <v/>
      </c>
      <c r="G328" s="174" t="inlineStr">
        <is>
          <t>Home</t>
        </is>
      </c>
      <c r="H328" s="176">
        <f>E43</f>
        <v/>
      </c>
      <c r="I328" s="157">
        <f>F43</f>
        <v/>
      </c>
      <c r="J328" s="177">
        <f>J43</f>
        <v/>
      </c>
      <c r="K328" s="156">
        <f>IF(AND(F328=0,I328=0),"",IF(F328&gt;I328,B328&amp;E328,IF(F328&lt;I328,B328&amp;H328,"Tie")))</f>
        <v/>
      </c>
      <c r="L328" s="156">
        <f>IFERROR(IF(AND(B328&lt;$L$1,F328&gt;I328),"Win",IF(AND(B328&lt;$L$1,F328&lt;I328),"Loss","")),"")</f>
        <v/>
      </c>
      <c r="M328" s="156">
        <f>IF(B328&lt;_CurWeek,"In","")</f>
        <v/>
      </c>
      <c r="N328" s="156">
        <f>IF(M328="In",E328&amp;G328,"")</f>
        <v/>
      </c>
      <c r="O328" s="156">
        <f>IF(L328="Win",1,0)</f>
        <v/>
      </c>
    </row>
    <row r="329" ht="14.4" customHeight="1" s="152">
      <c r="A329" s="167">
        <f>B329&amp;E329</f>
        <v/>
      </c>
      <c r="B329" s="174">
        <f>B44</f>
        <v/>
      </c>
      <c r="C329" s="174">
        <f>C44</f>
        <v/>
      </c>
      <c r="D329" s="175">
        <f>D44</f>
        <v/>
      </c>
      <c r="E329" s="176">
        <f>H44</f>
        <v/>
      </c>
      <c r="F329" s="157">
        <f>I44</f>
        <v/>
      </c>
      <c r="G329" s="174" t="inlineStr">
        <is>
          <t>Home</t>
        </is>
      </c>
      <c r="H329" s="176">
        <f>E44</f>
        <v/>
      </c>
      <c r="I329" s="157">
        <f>F44</f>
        <v/>
      </c>
      <c r="J329" s="177">
        <f>J44</f>
        <v/>
      </c>
      <c r="K329" s="156">
        <f>IF(AND(F329=0,I329=0),"",IF(F329&gt;I329,B329&amp;E329,IF(F329&lt;I329,B329&amp;H329,"Tie")))</f>
        <v/>
      </c>
      <c r="L329" s="156">
        <f>IFERROR(IF(AND(B329&lt;$L$1,F329&gt;I329),"Win",IF(AND(B329&lt;$L$1,F329&lt;I329),"Loss","")),"")</f>
        <v/>
      </c>
      <c r="M329" s="156">
        <f>IF(B329&lt;_CurWeek,"In","")</f>
        <v/>
      </c>
      <c r="N329" s="156">
        <f>IF(M329="In",E329&amp;G329,"")</f>
        <v/>
      </c>
      <c r="O329" s="156">
        <f>IF(L329="Win",1,0)</f>
        <v/>
      </c>
    </row>
    <row r="330" ht="14.4" customHeight="1" s="152">
      <c r="A330" s="167">
        <f>B330&amp;E330</f>
        <v/>
      </c>
      <c r="B330" s="174">
        <f>B45</f>
        <v/>
      </c>
      <c r="C330" s="174">
        <f>C45</f>
        <v/>
      </c>
      <c r="D330" s="175">
        <f>D45</f>
        <v/>
      </c>
      <c r="E330" s="176">
        <f>H45</f>
        <v/>
      </c>
      <c r="F330" s="157">
        <f>I45</f>
        <v/>
      </c>
      <c r="G330" s="174" t="inlineStr">
        <is>
          <t>Home</t>
        </is>
      </c>
      <c r="H330" s="176">
        <f>E45</f>
        <v/>
      </c>
      <c r="I330" s="157">
        <f>F45</f>
        <v/>
      </c>
      <c r="J330" s="177">
        <f>J45</f>
        <v/>
      </c>
      <c r="K330" s="156">
        <f>IF(AND(F330=0,I330=0),"",IF(F330&gt;I330,B330&amp;E330,IF(F330&lt;I330,B330&amp;H330,"Tie")))</f>
        <v/>
      </c>
      <c r="L330" s="156">
        <f>IFERROR(IF(AND(B330&lt;$L$1,F330&gt;I330),"Win",IF(AND(B330&lt;$L$1,F330&lt;I330),"Loss","")),"")</f>
        <v/>
      </c>
      <c r="M330" s="156">
        <f>IF(B330&lt;_CurWeek,"In","")</f>
        <v/>
      </c>
      <c r="N330" s="156">
        <f>IF(M330="In",E330&amp;G330,"")</f>
        <v/>
      </c>
      <c r="O330" s="156">
        <f>IF(L330="Win",1,0)</f>
        <v/>
      </c>
    </row>
    <row r="331" ht="14.4" customHeight="1" s="152">
      <c r="A331" s="167">
        <f>B331&amp;E331</f>
        <v/>
      </c>
      <c r="B331" s="174">
        <f>B46</f>
        <v/>
      </c>
      <c r="C331" s="174">
        <f>C46</f>
        <v/>
      </c>
      <c r="D331" s="175">
        <f>D46</f>
        <v/>
      </c>
      <c r="E331" s="176">
        <f>H46</f>
        <v/>
      </c>
      <c r="F331" s="157">
        <f>I46</f>
        <v/>
      </c>
      <c r="G331" s="174" t="inlineStr">
        <is>
          <t>Home</t>
        </is>
      </c>
      <c r="H331" s="176">
        <f>E46</f>
        <v/>
      </c>
      <c r="I331" s="157">
        <f>F46</f>
        <v/>
      </c>
      <c r="J331" s="177">
        <f>J46</f>
        <v/>
      </c>
      <c r="K331" s="156">
        <f>IF(AND(F331=0,I331=0),"",IF(F331&gt;I331,B331&amp;E331,IF(F331&lt;I331,B331&amp;H331,"Tie")))</f>
        <v/>
      </c>
      <c r="L331" s="156">
        <f>IFERROR(IF(AND(B331&lt;$L$1,F331&gt;I331),"Win",IF(AND(B331&lt;$L$1,F331&lt;I331),"Loss","")),"")</f>
        <v/>
      </c>
      <c r="M331" s="156">
        <f>IF(B331&lt;_CurWeek,"In","")</f>
        <v/>
      </c>
      <c r="N331" s="156">
        <f>IF(M331="In",E331&amp;G331,"")</f>
        <v/>
      </c>
      <c r="O331" s="156">
        <f>IF(L331="Win",1,0)</f>
        <v/>
      </c>
    </row>
    <row r="332" ht="14.4" customHeight="1" s="152">
      <c r="A332" s="167">
        <f>B332&amp;E332</f>
        <v/>
      </c>
      <c r="B332" s="174">
        <f>B47</f>
        <v/>
      </c>
      <c r="C332" s="174">
        <f>C47</f>
        <v/>
      </c>
      <c r="D332" s="175">
        <f>D47</f>
        <v/>
      </c>
      <c r="E332" s="176">
        <f>H47</f>
        <v/>
      </c>
      <c r="F332" s="157">
        <f>I47</f>
        <v/>
      </c>
      <c r="G332" s="174" t="inlineStr">
        <is>
          <t>Home</t>
        </is>
      </c>
      <c r="H332" s="176">
        <f>E47</f>
        <v/>
      </c>
      <c r="I332" s="157">
        <f>F47</f>
        <v/>
      </c>
      <c r="J332" s="177">
        <f>J47</f>
        <v/>
      </c>
      <c r="K332" s="156">
        <f>IF(AND(F332=0,I332=0),"",IF(F332&gt;I332,B332&amp;E332,IF(F332&lt;I332,B332&amp;H332,"Tie")))</f>
        <v/>
      </c>
      <c r="L332" s="156">
        <f>IFERROR(IF(AND(B332&lt;$L$1,F332&gt;I332),"Win",IF(AND(B332&lt;$L$1,F332&lt;I332),"Loss","")),"")</f>
        <v/>
      </c>
      <c r="M332" s="156">
        <f>IF(B332&lt;_CurWeek,"In","")</f>
        <v/>
      </c>
      <c r="N332" s="156">
        <f>IF(M332="In",E332&amp;G332,"")</f>
        <v/>
      </c>
      <c r="O332" s="156">
        <f>IF(L332="Win",1,0)</f>
        <v/>
      </c>
    </row>
    <row r="333" ht="14.4" customHeight="1" s="152">
      <c r="A333" s="167">
        <f>B333&amp;E333</f>
        <v/>
      </c>
      <c r="B333" s="174">
        <f>B48</f>
        <v/>
      </c>
      <c r="C333" s="174">
        <f>C48</f>
        <v/>
      </c>
      <c r="D333" s="175">
        <f>D48</f>
        <v/>
      </c>
      <c r="E333" s="176">
        <f>H48</f>
        <v/>
      </c>
      <c r="F333" s="157">
        <f>I48</f>
        <v/>
      </c>
      <c r="G333" s="174" t="inlineStr">
        <is>
          <t>Home</t>
        </is>
      </c>
      <c r="H333" s="176">
        <f>E48</f>
        <v/>
      </c>
      <c r="I333" s="157">
        <f>F48</f>
        <v/>
      </c>
      <c r="J333" s="177">
        <f>J48</f>
        <v/>
      </c>
      <c r="K333" s="156">
        <f>IF(AND(F333=0,I333=0),"",IF(F333&gt;I333,B333&amp;E333,IF(F333&lt;I333,B333&amp;H333,"Tie")))</f>
        <v/>
      </c>
      <c r="L333" s="156">
        <f>IFERROR(IF(AND(B333&lt;$L$1,F333&gt;I333),"Win",IF(AND(B333&lt;$L$1,F333&lt;I333),"Loss","")),"")</f>
        <v/>
      </c>
      <c r="M333" s="156">
        <f>IF(B333&lt;_CurWeek,"In","")</f>
        <v/>
      </c>
      <c r="N333" s="156">
        <f>IF(M333="In",E333&amp;G333,"")</f>
        <v/>
      </c>
      <c r="O333" s="156">
        <f>IF(L333="Win",1,0)</f>
        <v/>
      </c>
    </row>
    <row r="334" ht="14.4" customHeight="1" s="152">
      <c r="A334" s="167">
        <f>B334&amp;E334</f>
        <v/>
      </c>
      <c r="B334" s="174">
        <f>B49</f>
        <v/>
      </c>
      <c r="C334" s="174">
        <f>C49</f>
        <v/>
      </c>
      <c r="D334" s="175">
        <f>D49</f>
        <v/>
      </c>
      <c r="E334" s="176">
        <f>H49</f>
        <v/>
      </c>
      <c r="F334" s="157">
        <f>I49</f>
        <v/>
      </c>
      <c r="G334" s="174" t="inlineStr">
        <is>
          <t>Home</t>
        </is>
      </c>
      <c r="H334" s="176">
        <f>E49</f>
        <v/>
      </c>
      <c r="I334" s="157">
        <f>F49</f>
        <v/>
      </c>
      <c r="J334" s="177">
        <f>J49</f>
        <v/>
      </c>
      <c r="K334" s="156">
        <f>IF(AND(F334=0,I334=0),"",IF(F334&gt;I334,B334&amp;E334,IF(F334&lt;I334,B334&amp;H334,"Tie")))</f>
        <v/>
      </c>
      <c r="L334" s="156">
        <f>IFERROR(IF(AND(B334&lt;$L$1,F334&gt;I334),"Win",IF(AND(B334&lt;$L$1,F334&lt;I334),"Loss","")),"")</f>
        <v/>
      </c>
      <c r="M334" s="156">
        <f>IF(B334&lt;_CurWeek,"In","")</f>
        <v/>
      </c>
      <c r="N334" s="156">
        <f>IF(M334="In",E334&amp;G334,"")</f>
        <v/>
      </c>
      <c r="O334" s="156">
        <f>IF(L334="Win",1,0)</f>
        <v/>
      </c>
    </row>
    <row r="335" ht="14.4" customHeight="1" s="152">
      <c r="A335" s="167">
        <f>B335&amp;E335</f>
        <v/>
      </c>
      <c r="B335" s="174">
        <f>B50</f>
        <v/>
      </c>
      <c r="C335" s="174">
        <f>C50</f>
        <v/>
      </c>
      <c r="D335" s="175">
        <f>D50</f>
        <v/>
      </c>
      <c r="E335" s="176">
        <f>H50</f>
        <v/>
      </c>
      <c r="F335" s="157">
        <f>I50</f>
        <v/>
      </c>
      <c r="G335" s="174" t="inlineStr">
        <is>
          <t>Home</t>
        </is>
      </c>
      <c r="H335" s="176">
        <f>E50</f>
        <v/>
      </c>
      <c r="I335" s="157">
        <f>F50</f>
        <v/>
      </c>
      <c r="J335" s="177">
        <f>J50</f>
        <v/>
      </c>
      <c r="K335" s="156">
        <f>IF(AND(F335=0,I335=0),"",IF(F335&gt;I335,B335&amp;E335,IF(F335&lt;I335,B335&amp;H335,"Tie")))</f>
        <v/>
      </c>
      <c r="L335" s="156">
        <f>IFERROR(IF(AND(B335&lt;$L$1,F335&gt;I335),"Win",IF(AND(B335&lt;$L$1,F335&lt;I335),"Loss","")),"")</f>
        <v/>
      </c>
      <c r="M335" s="156">
        <f>IF(B335&lt;_CurWeek,"In","")</f>
        <v/>
      </c>
      <c r="N335" s="156">
        <f>IF(M335="In",E335&amp;G335,"")</f>
        <v/>
      </c>
      <c r="O335" s="156">
        <f>IF(L335="Win",1,0)</f>
        <v/>
      </c>
    </row>
    <row r="336" ht="14.4" customHeight="1" s="152">
      <c r="A336" s="167">
        <f>B336&amp;E336</f>
        <v/>
      </c>
      <c r="B336" s="174">
        <f>B51</f>
        <v/>
      </c>
      <c r="C336" s="174">
        <f>C51</f>
        <v/>
      </c>
      <c r="D336" s="175">
        <f>D51</f>
        <v/>
      </c>
      <c r="E336" s="176">
        <f>H51</f>
        <v/>
      </c>
      <c r="F336" s="157">
        <f>I51</f>
        <v/>
      </c>
      <c r="G336" s="174" t="inlineStr">
        <is>
          <t>Home</t>
        </is>
      </c>
      <c r="H336" s="176">
        <f>E51</f>
        <v/>
      </c>
      <c r="I336" s="157">
        <f>F51</f>
        <v/>
      </c>
      <c r="J336" s="177">
        <f>J51</f>
        <v/>
      </c>
      <c r="K336" s="156">
        <f>IF(AND(F336=0,I336=0),"",IF(F336&gt;I336,B336&amp;E336,IF(F336&lt;I336,B336&amp;H336,"Tie")))</f>
        <v/>
      </c>
      <c r="L336" s="156">
        <f>IFERROR(IF(AND(B336&lt;$L$1,F336&gt;I336),"Win",IF(AND(B336&lt;$L$1,F336&lt;I336),"Loss","")),"")</f>
        <v/>
      </c>
      <c r="M336" s="156">
        <f>IF(B336&lt;_CurWeek,"In","")</f>
        <v/>
      </c>
      <c r="N336" s="156">
        <f>IF(M336="In",E336&amp;G336,"")</f>
        <v/>
      </c>
      <c r="O336" s="156">
        <f>IF(L336="Win",1,0)</f>
        <v/>
      </c>
    </row>
    <row r="337" ht="14.4" customHeight="1" s="152">
      <c r="A337" s="167">
        <f>B337&amp;E337</f>
        <v/>
      </c>
      <c r="B337" s="174">
        <f>B52</f>
        <v/>
      </c>
      <c r="C337" s="174">
        <f>C52</f>
        <v/>
      </c>
      <c r="D337" s="175">
        <f>D52</f>
        <v/>
      </c>
      <c r="E337" s="176">
        <f>H52</f>
        <v/>
      </c>
      <c r="F337" s="157">
        <f>I52</f>
        <v/>
      </c>
      <c r="G337" s="174" t="inlineStr">
        <is>
          <t>Home</t>
        </is>
      </c>
      <c r="H337" s="176">
        <f>E52</f>
        <v/>
      </c>
      <c r="I337" s="157">
        <f>F52</f>
        <v/>
      </c>
      <c r="J337" s="177">
        <f>J52</f>
        <v/>
      </c>
      <c r="K337" s="156">
        <f>IF(AND(F337=0,I337=0),"",IF(F337&gt;I337,B337&amp;E337,IF(F337&lt;I337,B337&amp;H337,"Tie")))</f>
        <v/>
      </c>
      <c r="L337" s="156">
        <f>IFERROR(IF(AND(B337&lt;$L$1,F337&gt;I337),"Win",IF(AND(B337&lt;$L$1,F337&lt;I337),"Loss","")),"")</f>
        <v/>
      </c>
      <c r="M337" s="156">
        <f>IF(B337&lt;_CurWeek,"In","")</f>
        <v/>
      </c>
      <c r="N337" s="156">
        <f>IF(M337="In",E337&amp;G337,"")</f>
        <v/>
      </c>
      <c r="O337" s="156">
        <f>IF(L337="Win",1,0)</f>
        <v/>
      </c>
    </row>
    <row r="338" ht="14.4" customHeight="1" s="152">
      <c r="A338" s="167">
        <f>B338&amp;E338</f>
        <v/>
      </c>
      <c r="B338" s="174">
        <f>B53</f>
        <v/>
      </c>
      <c r="C338" s="174">
        <f>C53</f>
        <v/>
      </c>
      <c r="D338" s="175">
        <f>D53</f>
        <v/>
      </c>
      <c r="E338" s="176">
        <f>H53</f>
        <v/>
      </c>
      <c r="F338" s="157">
        <f>I53</f>
        <v/>
      </c>
      <c r="G338" s="174" t="inlineStr">
        <is>
          <t>Home</t>
        </is>
      </c>
      <c r="H338" s="176">
        <f>E53</f>
        <v/>
      </c>
      <c r="I338" s="157">
        <f>F53</f>
        <v/>
      </c>
      <c r="J338" s="177">
        <f>J53</f>
        <v/>
      </c>
      <c r="K338" s="156">
        <f>IF(AND(F338=0,I338=0),"",IF(F338&gt;I338,B338&amp;E338,IF(F338&lt;I338,B338&amp;H338,"Tie")))</f>
        <v/>
      </c>
      <c r="L338" s="156">
        <f>IFERROR(IF(AND(B338&lt;$L$1,F338&gt;I338),"Win",IF(AND(B338&lt;$L$1,F338&lt;I338),"Loss","")),"")</f>
        <v/>
      </c>
      <c r="M338" s="156">
        <f>IF(B338&lt;_CurWeek,"In","")</f>
        <v/>
      </c>
      <c r="N338" s="156">
        <f>IF(M338="In",E338&amp;G338,"")</f>
        <v/>
      </c>
      <c r="O338" s="156">
        <f>IF(L338="Win",1,0)</f>
        <v/>
      </c>
    </row>
    <row r="339" ht="14.4" customHeight="1" s="152">
      <c r="A339" s="167">
        <f>B339&amp;E339</f>
        <v/>
      </c>
      <c r="B339" s="174">
        <f>B54</f>
        <v/>
      </c>
      <c r="C339" s="174">
        <f>C54</f>
        <v/>
      </c>
      <c r="D339" s="175">
        <f>D54</f>
        <v/>
      </c>
      <c r="E339" s="176">
        <f>H54</f>
        <v/>
      </c>
      <c r="F339" s="157">
        <f>I54</f>
        <v/>
      </c>
      <c r="G339" s="174" t="inlineStr">
        <is>
          <t>Home</t>
        </is>
      </c>
      <c r="H339" s="176">
        <f>E54</f>
        <v/>
      </c>
      <c r="I339" s="157">
        <f>F54</f>
        <v/>
      </c>
      <c r="J339" s="177">
        <f>J54</f>
        <v/>
      </c>
      <c r="K339" s="156">
        <f>IF(AND(F339=0,I339=0),"",IF(F339&gt;I339,B339&amp;E339,IF(F339&lt;I339,B339&amp;H339,"Tie")))</f>
        <v/>
      </c>
      <c r="L339" s="156">
        <f>IFERROR(IF(AND(B339&lt;$L$1,F339&gt;I339),"Win",IF(AND(B339&lt;$L$1,F339&lt;I339),"Loss","")),"")</f>
        <v/>
      </c>
      <c r="M339" s="156">
        <f>IF(B339&lt;_CurWeek,"In","")</f>
        <v/>
      </c>
      <c r="N339" s="156">
        <f>IF(M339="In",E339&amp;G339,"")</f>
        <v/>
      </c>
      <c r="O339" s="156">
        <f>IF(L339="Win",1,0)</f>
        <v/>
      </c>
    </row>
    <row r="340" ht="14.4" customHeight="1" s="152">
      <c r="A340" s="167">
        <f>B340&amp;E340</f>
        <v/>
      </c>
      <c r="B340" s="174">
        <f>B55</f>
        <v/>
      </c>
      <c r="C340" s="174">
        <f>C55</f>
        <v/>
      </c>
      <c r="D340" s="175">
        <f>D55</f>
        <v/>
      </c>
      <c r="E340" s="176">
        <f>H55</f>
        <v/>
      </c>
      <c r="F340" s="157">
        <f>I55</f>
        <v/>
      </c>
      <c r="G340" s="174" t="inlineStr">
        <is>
          <t>Home</t>
        </is>
      </c>
      <c r="H340" s="176">
        <f>E55</f>
        <v/>
      </c>
      <c r="I340" s="157">
        <f>F55</f>
        <v/>
      </c>
      <c r="J340" s="177">
        <f>J55</f>
        <v/>
      </c>
      <c r="K340" s="156">
        <f>IF(AND(F340=0,I340=0),"",IF(F340&gt;I340,B340&amp;E340,IF(F340&lt;I340,B340&amp;H340,"Tie")))</f>
        <v/>
      </c>
      <c r="L340" s="156">
        <f>IFERROR(IF(AND(B340&lt;$L$1,F340&gt;I340),"Win",IF(AND(B340&lt;$L$1,F340&lt;I340),"Loss","")),"")</f>
        <v/>
      </c>
      <c r="M340" s="156">
        <f>IF(B340&lt;_CurWeek,"In","")</f>
        <v/>
      </c>
      <c r="N340" s="156">
        <f>IF(M340="In",E340&amp;G340,"")</f>
        <v/>
      </c>
      <c r="O340" s="156">
        <f>IF(L340="Win",1,0)</f>
        <v/>
      </c>
    </row>
    <row r="341" ht="14.4" customHeight="1" s="152">
      <c r="A341" s="167">
        <f>B341&amp;E341</f>
        <v/>
      </c>
      <c r="B341" s="174">
        <f>B56</f>
        <v/>
      </c>
      <c r="C341" s="174">
        <f>C56</f>
        <v/>
      </c>
      <c r="D341" s="175">
        <f>D56</f>
        <v/>
      </c>
      <c r="E341" s="176">
        <f>H56</f>
        <v/>
      </c>
      <c r="F341" s="157">
        <f>I56</f>
        <v/>
      </c>
      <c r="G341" s="174" t="inlineStr">
        <is>
          <t>Home</t>
        </is>
      </c>
      <c r="H341" s="176">
        <f>E56</f>
        <v/>
      </c>
      <c r="I341" s="157">
        <f>F56</f>
        <v/>
      </c>
      <c r="J341" s="177">
        <f>J56</f>
        <v/>
      </c>
      <c r="K341" s="156">
        <f>IF(AND(F341=0,I341=0),"",IF(F341&gt;I341,B341&amp;E341,IF(F341&lt;I341,B341&amp;H341,"Tie")))</f>
        <v/>
      </c>
      <c r="L341" s="156">
        <f>IFERROR(IF(AND(B341&lt;$L$1,F341&gt;I341),"Win",IF(AND(B341&lt;$L$1,F341&lt;I341),"Loss","")),"")</f>
        <v/>
      </c>
      <c r="M341" s="156">
        <f>IF(B341&lt;_CurWeek,"In","")</f>
        <v/>
      </c>
      <c r="N341" s="156">
        <f>IF(M341="In",E341&amp;G341,"")</f>
        <v/>
      </c>
      <c r="O341" s="156">
        <f>IF(L341="Win",1,0)</f>
        <v/>
      </c>
    </row>
    <row r="342" ht="14.4" customHeight="1" s="152">
      <c r="A342" s="167">
        <f>B342&amp;E342</f>
        <v/>
      </c>
      <c r="B342" s="174">
        <f>B57</f>
        <v/>
      </c>
      <c r="C342" s="174">
        <f>C57</f>
        <v/>
      </c>
      <c r="D342" s="175">
        <f>D57</f>
        <v/>
      </c>
      <c r="E342" s="176">
        <f>H57</f>
        <v/>
      </c>
      <c r="F342" s="157">
        <f>I57</f>
        <v/>
      </c>
      <c r="G342" s="174" t="inlineStr">
        <is>
          <t>Home</t>
        </is>
      </c>
      <c r="H342" s="176">
        <f>E57</f>
        <v/>
      </c>
      <c r="I342" s="157">
        <f>F57</f>
        <v/>
      </c>
      <c r="J342" s="177">
        <f>J57</f>
        <v/>
      </c>
      <c r="K342" s="156">
        <f>IF(AND(F342=0,I342=0),"",IF(F342&gt;I342,B342&amp;E342,IF(F342&lt;I342,B342&amp;H342,"Tie")))</f>
        <v/>
      </c>
      <c r="L342" s="156">
        <f>IFERROR(IF(AND(B342&lt;$L$1,F342&gt;I342),"Win",IF(AND(B342&lt;$L$1,F342&lt;I342),"Loss","")),"")</f>
        <v/>
      </c>
      <c r="M342" s="156">
        <f>IF(B342&lt;_CurWeek,"In","")</f>
        <v/>
      </c>
      <c r="N342" s="156">
        <f>IF(M342="In",E342&amp;G342,"")</f>
        <v/>
      </c>
      <c r="O342" s="156">
        <f>IF(L342="Win",1,0)</f>
        <v/>
      </c>
    </row>
    <row r="343" ht="14.4" customHeight="1" s="152">
      <c r="A343" s="167">
        <f>B343&amp;E343</f>
        <v/>
      </c>
      <c r="B343" s="174">
        <f>B58</f>
        <v/>
      </c>
      <c r="C343" s="174">
        <f>C58</f>
        <v/>
      </c>
      <c r="D343" s="175">
        <f>D58</f>
        <v/>
      </c>
      <c r="E343" s="176">
        <f>H58</f>
        <v/>
      </c>
      <c r="F343" s="157">
        <f>I58</f>
        <v/>
      </c>
      <c r="G343" s="174" t="inlineStr">
        <is>
          <t>Home</t>
        </is>
      </c>
      <c r="H343" s="176">
        <f>E58</f>
        <v/>
      </c>
      <c r="I343" s="157">
        <f>F58</f>
        <v/>
      </c>
      <c r="J343" s="177">
        <f>J58</f>
        <v/>
      </c>
      <c r="K343" s="156">
        <f>IF(AND(F343=0,I343=0),"",IF(F343&gt;I343,B343&amp;E343,IF(F343&lt;I343,B343&amp;H343,"Tie")))</f>
        <v/>
      </c>
      <c r="L343" s="156">
        <f>IFERROR(IF(AND(B343&lt;$L$1,F343&gt;I343),"Win",IF(AND(B343&lt;$L$1,F343&lt;I343),"Loss","")),"")</f>
        <v/>
      </c>
      <c r="M343" s="156">
        <f>IF(B343&lt;_CurWeek,"In","")</f>
        <v/>
      </c>
      <c r="N343" s="156">
        <f>IF(M343="In",E343&amp;G343,"")</f>
        <v/>
      </c>
      <c r="O343" s="156">
        <f>IF(L343="Win",1,0)</f>
        <v/>
      </c>
    </row>
    <row r="344" ht="14.4" customHeight="1" s="152">
      <c r="A344" s="167">
        <f>B344&amp;E344</f>
        <v/>
      </c>
      <c r="B344" s="174">
        <f>B59</f>
        <v/>
      </c>
      <c r="C344" s="174">
        <f>C59</f>
        <v/>
      </c>
      <c r="D344" s="175">
        <f>D59</f>
        <v/>
      </c>
      <c r="E344" s="176">
        <f>H59</f>
        <v/>
      </c>
      <c r="F344" s="157">
        <f>I59</f>
        <v/>
      </c>
      <c r="G344" s="174" t="inlineStr">
        <is>
          <t>Home</t>
        </is>
      </c>
      <c r="H344" s="176">
        <f>E59</f>
        <v/>
      </c>
      <c r="I344" s="157">
        <f>F59</f>
        <v/>
      </c>
      <c r="J344" s="177">
        <f>J59</f>
        <v/>
      </c>
      <c r="K344" s="156">
        <f>IF(AND(F344=0,I344=0),"",IF(F344&gt;I344,B344&amp;E344,IF(F344&lt;I344,B344&amp;H344,"Tie")))</f>
        <v/>
      </c>
      <c r="L344" s="156">
        <f>IFERROR(IF(AND(B344&lt;$L$1,F344&gt;I344),"Win",IF(AND(B344&lt;$L$1,F344&lt;I344),"Loss","")),"")</f>
        <v/>
      </c>
      <c r="M344" s="156">
        <f>IF(B344&lt;_CurWeek,"In","")</f>
        <v/>
      </c>
      <c r="N344" s="156">
        <f>IF(M344="In",E344&amp;G344,"")</f>
        <v/>
      </c>
      <c r="O344" s="156">
        <f>IF(L344="Win",1,0)</f>
        <v/>
      </c>
    </row>
    <row r="345" ht="14.4" customHeight="1" s="152">
      <c r="A345" s="167">
        <f>B345&amp;E345</f>
        <v/>
      </c>
      <c r="B345" s="174">
        <f>B60</f>
        <v/>
      </c>
      <c r="C345" s="174">
        <f>C60</f>
        <v/>
      </c>
      <c r="D345" s="175">
        <f>D60</f>
        <v/>
      </c>
      <c r="E345" s="176">
        <f>H60</f>
        <v/>
      </c>
      <c r="F345" s="157">
        <f>I60</f>
        <v/>
      </c>
      <c r="G345" s="174" t="inlineStr">
        <is>
          <t>Home</t>
        </is>
      </c>
      <c r="H345" s="176">
        <f>E60</f>
        <v/>
      </c>
      <c r="I345" s="157">
        <f>F60</f>
        <v/>
      </c>
      <c r="J345" s="177">
        <f>J60</f>
        <v/>
      </c>
      <c r="K345" s="156">
        <f>IF(AND(F345=0,I345=0),"",IF(F345&gt;I345,B345&amp;E345,IF(F345&lt;I345,B345&amp;H345,"Tie")))</f>
        <v/>
      </c>
      <c r="L345" s="156">
        <f>IFERROR(IF(AND(B345&lt;$L$1,F345&gt;I345),"Win",IF(AND(B345&lt;$L$1,F345&lt;I345),"Loss","")),"")</f>
        <v/>
      </c>
      <c r="M345" s="156">
        <f>IF(B345&lt;_CurWeek,"In","")</f>
        <v/>
      </c>
      <c r="N345" s="156">
        <f>IF(M345="In",E345&amp;G345,"")</f>
        <v/>
      </c>
      <c r="O345" s="156">
        <f>IF(L345="Win",1,0)</f>
        <v/>
      </c>
    </row>
    <row r="346" ht="14.4" customHeight="1" s="152">
      <c r="A346" s="167">
        <f>B346&amp;E346</f>
        <v/>
      </c>
      <c r="B346" s="174">
        <f>B61</f>
        <v/>
      </c>
      <c r="C346" s="174">
        <f>C61</f>
        <v/>
      </c>
      <c r="D346" s="175">
        <f>D61</f>
        <v/>
      </c>
      <c r="E346" s="176">
        <f>H61</f>
        <v/>
      </c>
      <c r="F346" s="157">
        <f>I61</f>
        <v/>
      </c>
      <c r="G346" s="174" t="inlineStr">
        <is>
          <t>Home</t>
        </is>
      </c>
      <c r="H346" s="176">
        <f>E61</f>
        <v/>
      </c>
      <c r="I346" s="157">
        <f>F61</f>
        <v/>
      </c>
      <c r="J346" s="177">
        <f>J61</f>
        <v/>
      </c>
      <c r="K346" s="156">
        <f>IF(AND(F346=0,I346=0),"",IF(F346&gt;I346,B346&amp;E346,IF(F346&lt;I346,B346&amp;H346,"Tie")))</f>
        <v/>
      </c>
      <c r="L346" s="156">
        <f>IFERROR(IF(AND(B346&lt;$L$1,F346&gt;I346),"Win",IF(AND(B346&lt;$L$1,F346&lt;I346),"Loss","")),"")</f>
        <v/>
      </c>
      <c r="M346" s="156">
        <f>IF(B346&lt;_CurWeek,"In","")</f>
        <v/>
      </c>
      <c r="N346" s="156">
        <f>IF(M346="In",E346&amp;G346,"")</f>
        <v/>
      </c>
      <c r="O346" s="156">
        <f>IF(L346="Win",1,0)</f>
        <v/>
      </c>
    </row>
    <row r="347" ht="14.4" customHeight="1" s="152">
      <c r="A347" s="167">
        <f>B347&amp;E347</f>
        <v/>
      </c>
      <c r="B347" s="174">
        <f>B62</f>
        <v/>
      </c>
      <c r="C347" s="174">
        <f>C62</f>
        <v/>
      </c>
      <c r="D347" s="175">
        <f>D62</f>
        <v/>
      </c>
      <c r="E347" s="176">
        <f>H62</f>
        <v/>
      </c>
      <c r="F347" s="157">
        <f>I62</f>
        <v/>
      </c>
      <c r="G347" s="174" t="inlineStr">
        <is>
          <t>Home</t>
        </is>
      </c>
      <c r="H347" s="176">
        <f>E62</f>
        <v/>
      </c>
      <c r="I347" s="157">
        <f>F62</f>
        <v/>
      </c>
      <c r="J347" s="177">
        <f>J62</f>
        <v/>
      </c>
      <c r="K347" s="156">
        <f>IF(AND(F347=0,I347=0),"",IF(F347&gt;I347,B347&amp;E347,IF(F347&lt;I347,B347&amp;H347,"Tie")))</f>
        <v/>
      </c>
      <c r="L347" s="156">
        <f>IFERROR(IF(AND(B347&lt;$L$1,F347&gt;I347),"Win",IF(AND(B347&lt;$L$1,F347&lt;I347),"Loss","")),"")</f>
        <v/>
      </c>
      <c r="M347" s="156">
        <f>IF(B347&lt;_CurWeek,"In","")</f>
        <v/>
      </c>
      <c r="N347" s="156">
        <f>IF(M347="In",E347&amp;G347,"")</f>
        <v/>
      </c>
      <c r="O347" s="156">
        <f>IF(L347="Win",1,0)</f>
        <v/>
      </c>
    </row>
    <row r="348" ht="14.4" customHeight="1" s="152">
      <c r="A348" s="167">
        <f>B348&amp;E348</f>
        <v/>
      </c>
      <c r="B348" s="174">
        <f>B63</f>
        <v/>
      </c>
      <c r="C348" s="174">
        <f>C63</f>
        <v/>
      </c>
      <c r="D348" s="175">
        <f>D63</f>
        <v/>
      </c>
      <c r="E348" s="176">
        <f>H63</f>
        <v/>
      </c>
      <c r="F348" s="157">
        <f>I63</f>
        <v/>
      </c>
      <c r="G348" s="174" t="inlineStr">
        <is>
          <t>Home</t>
        </is>
      </c>
      <c r="H348" s="176">
        <f>E63</f>
        <v/>
      </c>
      <c r="I348" s="157">
        <f>F63</f>
        <v/>
      </c>
      <c r="J348" s="177">
        <f>J63</f>
        <v/>
      </c>
      <c r="K348" s="156">
        <f>IF(AND(F348=0,I348=0),"",IF(F348&gt;I348,B348&amp;E348,IF(F348&lt;I348,B348&amp;H348,"Tie")))</f>
        <v/>
      </c>
      <c r="L348" s="156">
        <f>IFERROR(IF(AND(B348&lt;$L$1,F348&gt;I348),"Win",IF(AND(B348&lt;$L$1,F348&lt;I348),"Loss","")),"")</f>
        <v/>
      </c>
      <c r="M348" s="156">
        <f>IF(B348&lt;_CurWeek,"In","")</f>
        <v/>
      </c>
      <c r="N348" s="156">
        <f>IF(M348="In",E348&amp;G348,"")</f>
        <v/>
      </c>
      <c r="O348" s="156">
        <f>IF(L348="Win",1,0)</f>
        <v/>
      </c>
    </row>
    <row r="349" ht="14.4" customHeight="1" s="152">
      <c r="A349" s="167">
        <f>B349&amp;E349</f>
        <v/>
      </c>
      <c r="B349" s="174">
        <f>B64</f>
        <v/>
      </c>
      <c r="C349" s="174">
        <f>C64</f>
        <v/>
      </c>
      <c r="D349" s="175">
        <f>D64</f>
        <v/>
      </c>
      <c r="E349" s="176">
        <f>H64</f>
        <v/>
      </c>
      <c r="F349" s="157">
        <f>I64</f>
        <v/>
      </c>
      <c r="G349" s="174" t="inlineStr">
        <is>
          <t>Home</t>
        </is>
      </c>
      <c r="H349" s="176">
        <f>E64</f>
        <v/>
      </c>
      <c r="I349" s="157">
        <f>F64</f>
        <v/>
      </c>
      <c r="J349" s="177">
        <f>J64</f>
        <v/>
      </c>
      <c r="K349" s="156">
        <f>IF(AND(F349=0,I349=0),"",IF(F349&gt;I349,B349&amp;E349,IF(F349&lt;I349,B349&amp;H349,"Tie")))</f>
        <v/>
      </c>
      <c r="L349" s="156">
        <f>IFERROR(IF(AND(B349&lt;$L$1,F349&gt;I349),"Win",IF(AND(B349&lt;$L$1,F349&lt;I349),"Loss","")),"")</f>
        <v/>
      </c>
      <c r="M349" s="156">
        <f>IF(B349&lt;_CurWeek,"In","")</f>
        <v/>
      </c>
      <c r="N349" s="156">
        <f>IF(M349="In",E349&amp;G349,"")</f>
        <v/>
      </c>
      <c r="O349" s="156">
        <f>IF(L349="Win",1,0)</f>
        <v/>
      </c>
    </row>
    <row r="350" ht="14.4" customHeight="1" s="152">
      <c r="A350" s="167">
        <f>B350&amp;E350</f>
        <v/>
      </c>
      <c r="B350" s="174">
        <f>B65</f>
        <v/>
      </c>
      <c r="C350" s="174">
        <f>C65</f>
        <v/>
      </c>
      <c r="D350" s="175">
        <f>D65</f>
        <v/>
      </c>
      <c r="E350" s="176">
        <f>H65</f>
        <v/>
      </c>
      <c r="F350" s="157">
        <f>I65</f>
        <v/>
      </c>
      <c r="G350" s="174" t="inlineStr">
        <is>
          <t>Home</t>
        </is>
      </c>
      <c r="H350" s="176">
        <f>E65</f>
        <v/>
      </c>
      <c r="I350" s="157">
        <f>F65</f>
        <v/>
      </c>
      <c r="J350" s="177">
        <f>J65</f>
        <v/>
      </c>
      <c r="K350" s="156">
        <f>IF(AND(F350=0,I350=0),"",IF(F350&gt;I350,B350&amp;E350,IF(F350&lt;I350,B350&amp;H350,"Tie")))</f>
        <v/>
      </c>
      <c r="L350" s="156">
        <f>IFERROR(IF(AND(B350&lt;$L$1,F350&gt;I350),"Win",IF(AND(B350&lt;$L$1,F350&lt;I350),"Loss","")),"")</f>
        <v/>
      </c>
      <c r="M350" s="156">
        <f>IF(B350&lt;_CurWeek,"In","")</f>
        <v/>
      </c>
      <c r="N350" s="156">
        <f>IF(M350="In",E350&amp;G350,"")</f>
        <v/>
      </c>
      <c r="O350" s="156">
        <f>IF(L350="Win",1,0)</f>
        <v/>
      </c>
    </row>
    <row r="351" ht="14.4" customHeight="1" s="152">
      <c r="A351" s="167">
        <f>B351&amp;E351</f>
        <v/>
      </c>
      <c r="B351" s="174">
        <f>B66</f>
        <v/>
      </c>
      <c r="C351" s="174">
        <f>C66</f>
        <v/>
      </c>
      <c r="D351" s="175">
        <f>D66</f>
        <v/>
      </c>
      <c r="E351" s="176">
        <f>H66</f>
        <v/>
      </c>
      <c r="F351" s="157">
        <f>I66</f>
        <v/>
      </c>
      <c r="G351" s="174" t="inlineStr">
        <is>
          <t>Home</t>
        </is>
      </c>
      <c r="H351" s="176">
        <f>E66</f>
        <v/>
      </c>
      <c r="I351" s="157">
        <f>F66</f>
        <v/>
      </c>
      <c r="J351" s="177">
        <f>J66</f>
        <v/>
      </c>
      <c r="K351" s="156">
        <f>IF(AND(F351=0,I351=0),"",IF(F351&gt;I351,B351&amp;E351,IF(F351&lt;I351,B351&amp;H351,"Tie")))</f>
        <v/>
      </c>
      <c r="L351" s="156">
        <f>IFERROR(IF(AND(B351&lt;$L$1,F351&gt;I351),"Win",IF(AND(B351&lt;$L$1,F351&lt;I351),"Loss","")),"")</f>
        <v/>
      </c>
      <c r="M351" s="156">
        <f>IF(B351&lt;_CurWeek,"In","")</f>
        <v/>
      </c>
      <c r="N351" s="156">
        <f>IF(M351="In",E351&amp;G351,"")</f>
        <v/>
      </c>
      <c r="O351" s="156">
        <f>IF(L351="Win",1,0)</f>
        <v/>
      </c>
    </row>
    <row r="352" ht="14.4" customHeight="1" s="152">
      <c r="A352" s="167">
        <f>B352&amp;E352</f>
        <v/>
      </c>
      <c r="B352" s="174">
        <f>B67</f>
        <v/>
      </c>
      <c r="C352" s="174">
        <f>C67</f>
        <v/>
      </c>
      <c r="D352" s="175">
        <f>D67</f>
        <v/>
      </c>
      <c r="E352" s="176">
        <f>H67</f>
        <v/>
      </c>
      <c r="F352" s="157">
        <f>I67</f>
        <v/>
      </c>
      <c r="G352" s="174" t="inlineStr">
        <is>
          <t>Home</t>
        </is>
      </c>
      <c r="H352" s="176">
        <f>E67</f>
        <v/>
      </c>
      <c r="I352" s="157">
        <f>F67</f>
        <v/>
      </c>
      <c r="J352" s="177">
        <f>J67</f>
        <v/>
      </c>
      <c r="K352" s="156">
        <f>IF(AND(F352=0,I352=0),"",IF(F352&gt;I352,B352&amp;E352,IF(F352&lt;I352,B352&amp;H352,"Tie")))</f>
        <v/>
      </c>
      <c r="L352" s="156">
        <f>IFERROR(IF(AND(B352&lt;$L$1,F352&gt;I352),"Win",IF(AND(B352&lt;$L$1,F352&lt;I352),"Loss","")),"")</f>
        <v/>
      </c>
      <c r="M352" s="156">
        <f>IF(B352&lt;_CurWeek,"In","")</f>
        <v/>
      </c>
      <c r="N352" s="156">
        <f>IF(M352="In",E352&amp;G352,"")</f>
        <v/>
      </c>
      <c r="O352" s="156">
        <f>IF(L352="Win",1,0)</f>
        <v/>
      </c>
    </row>
    <row r="353" ht="14.4" customHeight="1" s="152">
      <c r="A353" s="167">
        <f>B353&amp;E353</f>
        <v/>
      </c>
      <c r="B353" s="174">
        <f>B68</f>
        <v/>
      </c>
      <c r="C353" s="174">
        <f>C68</f>
        <v/>
      </c>
      <c r="D353" s="175">
        <f>D68</f>
        <v/>
      </c>
      <c r="E353" s="176">
        <f>H68</f>
        <v/>
      </c>
      <c r="F353" s="157">
        <f>I68</f>
        <v/>
      </c>
      <c r="G353" s="174" t="inlineStr">
        <is>
          <t>Home</t>
        </is>
      </c>
      <c r="H353" s="176">
        <f>E68</f>
        <v/>
      </c>
      <c r="I353" s="157">
        <f>F68</f>
        <v/>
      </c>
      <c r="J353" s="177">
        <f>J68</f>
        <v/>
      </c>
      <c r="K353" s="156">
        <f>IF(AND(F353=0,I353=0),"",IF(F353&gt;I353,B353&amp;E353,IF(F353&lt;I353,B353&amp;H353,"Tie")))</f>
        <v/>
      </c>
      <c r="L353" s="156">
        <f>IFERROR(IF(AND(B353&lt;$L$1,F353&gt;I353),"Win",IF(AND(B353&lt;$L$1,F353&lt;I353),"Loss","")),"")</f>
        <v/>
      </c>
      <c r="M353" s="156">
        <f>IF(B353&lt;_CurWeek,"In","")</f>
        <v/>
      </c>
      <c r="N353" s="156">
        <f>IF(M353="In",E353&amp;G353,"")</f>
        <v/>
      </c>
      <c r="O353" s="156">
        <f>IF(L353="Win",1,0)</f>
        <v/>
      </c>
    </row>
    <row r="354" ht="14.4" customHeight="1" s="152">
      <c r="A354" s="167">
        <f>B354&amp;E354</f>
        <v/>
      </c>
      <c r="B354" s="174">
        <f>B69</f>
        <v/>
      </c>
      <c r="C354" s="174">
        <f>C69</f>
        <v/>
      </c>
      <c r="D354" s="175">
        <f>D69</f>
        <v/>
      </c>
      <c r="E354" s="176">
        <f>H69</f>
        <v/>
      </c>
      <c r="F354" s="157">
        <f>I69</f>
        <v/>
      </c>
      <c r="G354" s="174" t="inlineStr">
        <is>
          <t>Home</t>
        </is>
      </c>
      <c r="H354" s="176">
        <f>E69</f>
        <v/>
      </c>
      <c r="I354" s="157">
        <f>F69</f>
        <v/>
      </c>
      <c r="J354" s="177">
        <f>J69</f>
        <v/>
      </c>
      <c r="K354" s="156">
        <f>IF(AND(F354=0,I354=0),"",IF(F354&gt;I354,B354&amp;E354,IF(F354&lt;I354,B354&amp;H354,"Tie")))</f>
        <v/>
      </c>
      <c r="L354" s="156">
        <f>IFERROR(IF(AND(B354&lt;$L$1,F354&gt;I354),"Win",IF(AND(B354&lt;$L$1,F354&lt;I354),"Loss","")),"")</f>
        <v/>
      </c>
      <c r="M354" s="156">
        <f>IF(B354&lt;_CurWeek,"In","")</f>
        <v/>
      </c>
      <c r="N354" s="156">
        <f>IF(M354="In",E354&amp;G354,"")</f>
        <v/>
      </c>
      <c r="O354" s="156">
        <f>IF(L354="Win",1,0)</f>
        <v/>
      </c>
    </row>
    <row r="355" ht="14.4" customHeight="1" s="152">
      <c r="A355" s="167">
        <f>B355&amp;E355</f>
        <v/>
      </c>
      <c r="B355" s="174">
        <f>B70</f>
        <v/>
      </c>
      <c r="C355" s="174">
        <f>C70</f>
        <v/>
      </c>
      <c r="D355" s="175">
        <f>D70</f>
        <v/>
      </c>
      <c r="E355" s="176">
        <f>H70</f>
        <v/>
      </c>
      <c r="F355" s="157">
        <f>I70</f>
        <v/>
      </c>
      <c r="G355" s="174" t="inlineStr">
        <is>
          <t>Home</t>
        </is>
      </c>
      <c r="H355" s="176">
        <f>E70</f>
        <v/>
      </c>
      <c r="I355" s="157">
        <f>F70</f>
        <v/>
      </c>
      <c r="J355" s="177">
        <f>J70</f>
        <v/>
      </c>
      <c r="K355" s="156">
        <f>IF(AND(F355=0,I355=0),"",IF(F355&gt;I355,B355&amp;E355,IF(F355&lt;I355,B355&amp;H355,"Tie")))</f>
        <v/>
      </c>
      <c r="L355" s="156">
        <f>IFERROR(IF(AND(B355&lt;$L$1,F355&gt;I355),"Win",IF(AND(B355&lt;$L$1,F355&lt;I355),"Loss","")),"")</f>
        <v/>
      </c>
      <c r="M355" s="156">
        <f>IF(B355&lt;_CurWeek,"In","")</f>
        <v/>
      </c>
      <c r="N355" s="156">
        <f>IF(M355="In",E355&amp;G355,"")</f>
        <v/>
      </c>
      <c r="O355" s="156">
        <f>IF(L355="Win",1,0)</f>
        <v/>
      </c>
    </row>
    <row r="356" ht="14.4" customHeight="1" s="152">
      <c r="A356" s="167">
        <f>B356&amp;E356</f>
        <v/>
      </c>
      <c r="B356" s="174">
        <f>B71</f>
        <v/>
      </c>
      <c r="C356" s="174">
        <f>C71</f>
        <v/>
      </c>
      <c r="D356" s="175">
        <f>D71</f>
        <v/>
      </c>
      <c r="E356" s="176">
        <f>H71</f>
        <v/>
      </c>
      <c r="F356" s="157">
        <f>I71</f>
        <v/>
      </c>
      <c r="G356" s="174" t="inlineStr">
        <is>
          <t>Home</t>
        </is>
      </c>
      <c r="H356" s="176">
        <f>E71</f>
        <v/>
      </c>
      <c r="I356" s="157">
        <f>F71</f>
        <v/>
      </c>
      <c r="J356" s="177">
        <f>J71</f>
        <v/>
      </c>
      <c r="K356" s="156">
        <f>IF(AND(F356=0,I356=0),"",IF(F356&gt;I356,B356&amp;E356,IF(F356&lt;I356,B356&amp;H356,"Tie")))</f>
        <v/>
      </c>
      <c r="L356" s="156">
        <f>IFERROR(IF(AND(B356&lt;$L$1,F356&gt;I356),"Win",IF(AND(B356&lt;$L$1,F356&lt;I356),"Loss","")),"")</f>
        <v/>
      </c>
      <c r="M356" s="156">
        <f>IF(B356&lt;_CurWeek,"In","")</f>
        <v/>
      </c>
      <c r="N356" s="156">
        <f>IF(M356="In",E356&amp;G356,"")</f>
        <v/>
      </c>
      <c r="O356" s="156">
        <f>IF(L356="Win",1,0)</f>
        <v/>
      </c>
    </row>
    <row r="357" ht="14.4" customHeight="1" s="152">
      <c r="A357" s="167">
        <f>B357&amp;E357</f>
        <v/>
      </c>
      <c r="B357" s="174">
        <f>B72</f>
        <v/>
      </c>
      <c r="C357" s="174">
        <f>C72</f>
        <v/>
      </c>
      <c r="D357" s="175">
        <f>D72</f>
        <v/>
      </c>
      <c r="E357" s="176">
        <f>H72</f>
        <v/>
      </c>
      <c r="F357" s="157">
        <f>I72</f>
        <v/>
      </c>
      <c r="G357" s="174" t="inlineStr">
        <is>
          <t>Home</t>
        </is>
      </c>
      <c r="H357" s="176">
        <f>E72</f>
        <v/>
      </c>
      <c r="I357" s="157">
        <f>F72</f>
        <v/>
      </c>
      <c r="J357" s="177">
        <f>J72</f>
        <v/>
      </c>
      <c r="K357" s="156">
        <f>IF(AND(F357=0,I357=0),"",IF(F357&gt;I357,B357&amp;E357,IF(F357&lt;I357,B357&amp;H357,"Tie")))</f>
        <v/>
      </c>
      <c r="L357" s="156">
        <f>IFERROR(IF(AND(B357&lt;$L$1,F357&gt;I357),"Win",IF(AND(B357&lt;$L$1,F357&lt;I357),"Loss","")),"")</f>
        <v/>
      </c>
      <c r="M357" s="156">
        <f>IF(B357&lt;_CurWeek,"In","")</f>
        <v/>
      </c>
      <c r="N357" s="156">
        <f>IF(M357="In",E357&amp;G357,"")</f>
        <v/>
      </c>
      <c r="O357" s="156">
        <f>IF(L357="Win",1,0)</f>
        <v/>
      </c>
    </row>
    <row r="358" ht="14.4" customHeight="1" s="152">
      <c r="A358" s="167">
        <f>B358&amp;E358</f>
        <v/>
      </c>
      <c r="B358" s="174">
        <f>B73</f>
        <v/>
      </c>
      <c r="C358" s="174">
        <f>C73</f>
        <v/>
      </c>
      <c r="D358" s="175">
        <f>D73</f>
        <v/>
      </c>
      <c r="E358" s="176">
        <f>H73</f>
        <v/>
      </c>
      <c r="F358" s="157">
        <f>I73</f>
        <v/>
      </c>
      <c r="G358" s="174" t="inlineStr">
        <is>
          <t>Home</t>
        </is>
      </c>
      <c r="H358" s="176">
        <f>E73</f>
        <v/>
      </c>
      <c r="I358" s="157">
        <f>F73</f>
        <v/>
      </c>
      <c r="J358" s="177">
        <f>J73</f>
        <v/>
      </c>
      <c r="K358" s="156">
        <f>IF(AND(F358=0,I358=0),"",IF(F358&gt;I358,B358&amp;E358,IF(F358&lt;I358,B358&amp;H358,"Tie")))</f>
        <v/>
      </c>
      <c r="L358" s="156">
        <f>IFERROR(IF(AND(B358&lt;$L$1,F358&gt;I358),"Win",IF(AND(B358&lt;$L$1,F358&lt;I358),"Loss","")),"")</f>
        <v/>
      </c>
      <c r="M358" s="156">
        <f>IF(B358&lt;_CurWeek,"In","")</f>
        <v/>
      </c>
      <c r="N358" s="156">
        <f>IF(M358="In",E358&amp;G358,"")</f>
        <v/>
      </c>
      <c r="O358" s="156">
        <f>IF(L358="Win",1,0)</f>
        <v/>
      </c>
    </row>
    <row r="359" ht="14.4" customHeight="1" s="152">
      <c r="A359" s="167">
        <f>B359&amp;E359</f>
        <v/>
      </c>
      <c r="B359" s="174">
        <f>B74</f>
        <v/>
      </c>
      <c r="C359" s="174">
        <f>C74</f>
        <v/>
      </c>
      <c r="D359" s="175">
        <f>D74</f>
        <v/>
      </c>
      <c r="E359" s="176">
        <f>H74</f>
        <v/>
      </c>
      <c r="F359" s="157">
        <f>I74</f>
        <v/>
      </c>
      <c r="G359" s="174" t="inlineStr">
        <is>
          <t>Home</t>
        </is>
      </c>
      <c r="H359" s="176">
        <f>E74</f>
        <v/>
      </c>
      <c r="I359" s="157">
        <f>F74</f>
        <v/>
      </c>
      <c r="J359" s="177">
        <f>J74</f>
        <v/>
      </c>
      <c r="K359" s="156">
        <f>IF(AND(F359=0,I359=0),"",IF(F359&gt;I359,B359&amp;E359,IF(F359&lt;I359,B359&amp;H359,"Tie")))</f>
        <v/>
      </c>
      <c r="L359" s="156">
        <f>IFERROR(IF(AND(B359&lt;$L$1,F359&gt;I359),"Win",IF(AND(B359&lt;$L$1,F359&lt;I359),"Loss","")),"")</f>
        <v/>
      </c>
      <c r="M359" s="156">
        <f>IF(B359&lt;_CurWeek,"In","")</f>
        <v/>
      </c>
      <c r="N359" s="156">
        <f>IF(M359="In",E359&amp;G359,"")</f>
        <v/>
      </c>
      <c r="O359" s="156">
        <f>IF(L359="Win",1,0)</f>
        <v/>
      </c>
    </row>
    <row r="360" ht="14.4" customHeight="1" s="152">
      <c r="A360" s="167">
        <f>B360&amp;E360</f>
        <v/>
      </c>
      <c r="B360" s="174">
        <f>B75</f>
        <v/>
      </c>
      <c r="C360" s="174">
        <f>C75</f>
        <v/>
      </c>
      <c r="D360" s="175">
        <f>D75</f>
        <v/>
      </c>
      <c r="E360" s="176">
        <f>H75</f>
        <v/>
      </c>
      <c r="F360" s="157">
        <f>I75</f>
        <v/>
      </c>
      <c r="G360" s="174" t="inlineStr">
        <is>
          <t>Home</t>
        </is>
      </c>
      <c r="H360" s="176">
        <f>E75</f>
        <v/>
      </c>
      <c r="I360" s="157">
        <f>F75</f>
        <v/>
      </c>
      <c r="J360" s="177">
        <f>J75</f>
        <v/>
      </c>
      <c r="K360" s="156">
        <f>IF(AND(F360=0,I360=0),"",IF(F360&gt;I360,B360&amp;E360,IF(F360&lt;I360,B360&amp;H360,"Tie")))</f>
        <v/>
      </c>
      <c r="L360" s="156">
        <f>IFERROR(IF(AND(B360&lt;$L$1,F360&gt;I360),"Win",IF(AND(B360&lt;$L$1,F360&lt;I360),"Loss","")),"")</f>
        <v/>
      </c>
      <c r="M360" s="156">
        <f>IF(B360&lt;_CurWeek,"In","")</f>
        <v/>
      </c>
      <c r="N360" s="156">
        <f>IF(M360="In",E360&amp;G360,"")</f>
        <v/>
      </c>
      <c r="O360" s="156">
        <f>IF(L360="Win",1,0)</f>
        <v/>
      </c>
    </row>
    <row r="361" ht="14.4" customHeight="1" s="152">
      <c r="A361" s="167">
        <f>B361&amp;E361</f>
        <v/>
      </c>
      <c r="B361" s="174">
        <f>B76</f>
        <v/>
      </c>
      <c r="C361" s="174">
        <f>C76</f>
        <v/>
      </c>
      <c r="D361" s="175">
        <f>D76</f>
        <v/>
      </c>
      <c r="E361" s="176">
        <f>H76</f>
        <v/>
      </c>
      <c r="F361" s="157">
        <f>I76</f>
        <v/>
      </c>
      <c r="G361" s="174" t="inlineStr">
        <is>
          <t>Home</t>
        </is>
      </c>
      <c r="H361" s="176">
        <f>E76</f>
        <v/>
      </c>
      <c r="I361" s="157">
        <f>F76</f>
        <v/>
      </c>
      <c r="J361" s="177">
        <f>J76</f>
        <v/>
      </c>
      <c r="K361" s="156">
        <f>IF(AND(F361=0,I361=0),"",IF(F361&gt;I361,B361&amp;E361,IF(F361&lt;I361,B361&amp;H361,"Tie")))</f>
        <v/>
      </c>
      <c r="L361" s="156">
        <f>IFERROR(IF(AND(B361&lt;$L$1,F361&gt;I361),"Win",IF(AND(B361&lt;$L$1,F361&lt;I361),"Loss","")),"")</f>
        <v/>
      </c>
      <c r="M361" s="156">
        <f>IF(B361&lt;_CurWeek,"In","")</f>
        <v/>
      </c>
      <c r="N361" s="156">
        <f>IF(M361="In",E361&amp;G361,"")</f>
        <v/>
      </c>
      <c r="O361" s="156">
        <f>IF(L361="Win",1,0)</f>
        <v/>
      </c>
    </row>
    <row r="362" ht="14.4" customHeight="1" s="152">
      <c r="A362" s="167">
        <f>B362&amp;E362</f>
        <v/>
      </c>
      <c r="B362" s="174">
        <f>B77</f>
        <v/>
      </c>
      <c r="C362" s="174">
        <f>C77</f>
        <v/>
      </c>
      <c r="D362" s="175">
        <f>D77</f>
        <v/>
      </c>
      <c r="E362" s="176">
        <f>H77</f>
        <v/>
      </c>
      <c r="F362" s="157">
        <f>I77</f>
        <v/>
      </c>
      <c r="G362" s="174" t="inlineStr">
        <is>
          <t>Home</t>
        </is>
      </c>
      <c r="H362" s="176">
        <f>E77</f>
        <v/>
      </c>
      <c r="I362" s="157">
        <f>F77</f>
        <v/>
      </c>
      <c r="J362" s="177">
        <f>J77</f>
        <v/>
      </c>
      <c r="K362" s="156">
        <f>IF(AND(F362=0,I362=0),"",IF(F362&gt;I362,B362&amp;E362,IF(F362&lt;I362,B362&amp;H362,"Tie")))</f>
        <v/>
      </c>
      <c r="L362" s="156">
        <f>IFERROR(IF(AND(B362&lt;$L$1,F362&gt;I362),"Win",IF(AND(B362&lt;$L$1,F362&lt;I362),"Loss","")),"")</f>
        <v/>
      </c>
      <c r="M362" s="156">
        <f>IF(B362&lt;_CurWeek,"In","")</f>
        <v/>
      </c>
      <c r="N362" s="156">
        <f>IF(M362="In",E362&amp;G362,"")</f>
        <v/>
      </c>
      <c r="O362" s="156">
        <f>IF(L362="Win",1,0)</f>
        <v/>
      </c>
    </row>
    <row r="363" ht="14.4" customHeight="1" s="152">
      <c r="A363" s="167">
        <f>B363&amp;E363</f>
        <v/>
      </c>
      <c r="B363" s="174">
        <f>B78</f>
        <v/>
      </c>
      <c r="C363" s="174">
        <f>C78</f>
        <v/>
      </c>
      <c r="D363" s="175">
        <f>D78</f>
        <v/>
      </c>
      <c r="E363" s="176">
        <f>H78</f>
        <v/>
      </c>
      <c r="F363" s="157">
        <f>I78</f>
        <v/>
      </c>
      <c r="G363" s="174" t="inlineStr">
        <is>
          <t>Home</t>
        </is>
      </c>
      <c r="H363" s="176">
        <f>E78</f>
        <v/>
      </c>
      <c r="I363" s="157">
        <f>F78</f>
        <v/>
      </c>
      <c r="J363" s="177">
        <f>J78</f>
        <v/>
      </c>
      <c r="K363" s="156">
        <f>IF(AND(F363=0,I363=0),"",IF(F363&gt;I363,B363&amp;E363,IF(F363&lt;I363,B363&amp;H363,"Tie")))</f>
        <v/>
      </c>
      <c r="L363" s="156">
        <f>IFERROR(IF(AND(B363&lt;$L$1,F363&gt;I363),"Win",IF(AND(B363&lt;$L$1,F363&lt;I363),"Loss","")),"")</f>
        <v/>
      </c>
      <c r="M363" s="156">
        <f>IF(B363&lt;_CurWeek,"In","")</f>
        <v/>
      </c>
      <c r="N363" s="156">
        <f>IF(M363="In",E363&amp;G363,"")</f>
        <v/>
      </c>
      <c r="O363" s="156">
        <f>IF(L363="Win",1,0)</f>
        <v/>
      </c>
    </row>
    <row r="364" ht="14.4" customHeight="1" s="152">
      <c r="A364" s="167">
        <f>B364&amp;E364</f>
        <v/>
      </c>
      <c r="B364" s="174">
        <f>B79</f>
        <v/>
      </c>
      <c r="C364" s="174">
        <f>C79</f>
        <v/>
      </c>
      <c r="D364" s="175">
        <f>D79</f>
        <v/>
      </c>
      <c r="E364" s="176">
        <f>H79</f>
        <v/>
      </c>
      <c r="F364" s="157">
        <f>I79</f>
        <v/>
      </c>
      <c r="G364" s="174" t="inlineStr">
        <is>
          <t>Home</t>
        </is>
      </c>
      <c r="H364" s="176">
        <f>E79</f>
        <v/>
      </c>
      <c r="I364" s="157">
        <f>F79</f>
        <v/>
      </c>
      <c r="J364" s="177">
        <f>J79</f>
        <v/>
      </c>
      <c r="K364" s="156">
        <f>IF(AND(F364=0,I364=0),"",IF(F364&gt;I364,B364&amp;E364,IF(F364&lt;I364,B364&amp;H364,"Tie")))</f>
        <v/>
      </c>
      <c r="L364" s="156">
        <f>IFERROR(IF(AND(B364&lt;$L$1,F364&gt;I364),"Win",IF(AND(B364&lt;$L$1,F364&lt;I364),"Loss","")),"")</f>
        <v/>
      </c>
      <c r="M364" s="156">
        <f>IF(B364&lt;_CurWeek,"In","")</f>
        <v/>
      </c>
      <c r="N364" s="156">
        <f>IF(M364="In",E364&amp;G364,"")</f>
        <v/>
      </c>
      <c r="O364" s="156">
        <f>IF(L364="Win",1,0)</f>
        <v/>
      </c>
    </row>
    <row r="365" ht="14.4" customHeight="1" s="152">
      <c r="A365" s="167">
        <f>B365&amp;E365</f>
        <v/>
      </c>
      <c r="B365" s="174">
        <f>B80</f>
        <v/>
      </c>
      <c r="C365" s="174">
        <f>C80</f>
        <v/>
      </c>
      <c r="D365" s="175">
        <f>D80</f>
        <v/>
      </c>
      <c r="E365" s="176">
        <f>H80</f>
        <v/>
      </c>
      <c r="F365" s="157">
        <f>I80</f>
        <v/>
      </c>
      <c r="G365" s="174" t="inlineStr">
        <is>
          <t>Home</t>
        </is>
      </c>
      <c r="H365" s="176">
        <f>E80</f>
        <v/>
      </c>
      <c r="I365" s="157">
        <f>F80</f>
        <v/>
      </c>
      <c r="J365" s="177">
        <f>J80</f>
        <v/>
      </c>
      <c r="K365" s="156">
        <f>IF(AND(F365=0,I365=0),"",IF(F365&gt;I365,B365&amp;E365,IF(F365&lt;I365,B365&amp;H365,"Tie")))</f>
        <v/>
      </c>
      <c r="L365" s="156">
        <f>IFERROR(IF(AND(B365&lt;$L$1,F365&gt;I365),"Win",IF(AND(B365&lt;$L$1,F365&lt;I365),"Loss","")),"")</f>
        <v/>
      </c>
      <c r="M365" s="156">
        <f>IF(B365&lt;_CurWeek,"In","")</f>
        <v/>
      </c>
      <c r="N365" s="156">
        <f>IF(M365="In",E365&amp;G365,"")</f>
        <v/>
      </c>
      <c r="O365" s="156">
        <f>IF(L365="Win",1,0)</f>
        <v/>
      </c>
    </row>
    <row r="366" ht="14.4" customHeight="1" s="152">
      <c r="A366" s="167">
        <f>B366&amp;E366</f>
        <v/>
      </c>
      <c r="B366" s="174">
        <f>B81</f>
        <v/>
      </c>
      <c r="C366" s="174">
        <f>C81</f>
        <v/>
      </c>
      <c r="D366" s="175">
        <f>D81</f>
        <v/>
      </c>
      <c r="E366" s="176">
        <f>H81</f>
        <v/>
      </c>
      <c r="F366" s="157">
        <f>I81</f>
        <v/>
      </c>
      <c r="G366" s="174" t="inlineStr">
        <is>
          <t>Home</t>
        </is>
      </c>
      <c r="H366" s="176">
        <f>E81</f>
        <v/>
      </c>
      <c r="I366" s="157">
        <f>F81</f>
        <v/>
      </c>
      <c r="J366" s="177">
        <f>J81</f>
        <v/>
      </c>
      <c r="K366" s="156">
        <f>IF(AND(F366=0,I366=0),"",IF(F366&gt;I366,B366&amp;E366,IF(F366&lt;I366,B366&amp;H366,"Tie")))</f>
        <v/>
      </c>
      <c r="L366" s="156">
        <f>IFERROR(IF(AND(B366&lt;$L$1,F366&gt;I366),"Win",IF(AND(B366&lt;$L$1,F366&lt;I366),"Loss","")),"")</f>
        <v/>
      </c>
      <c r="M366" s="156">
        <f>IF(B366&lt;_CurWeek,"In","")</f>
        <v/>
      </c>
      <c r="N366" s="156">
        <f>IF(M366="In",E366&amp;G366,"")</f>
        <v/>
      </c>
      <c r="O366" s="156">
        <f>IF(L366="Win",1,0)</f>
        <v/>
      </c>
    </row>
    <row r="367" ht="14.4" customHeight="1" s="152">
      <c r="A367" s="167">
        <f>B367&amp;E367</f>
        <v/>
      </c>
      <c r="B367" s="174">
        <f>B82</f>
        <v/>
      </c>
      <c r="C367" s="174">
        <f>C82</f>
        <v/>
      </c>
      <c r="D367" s="175">
        <f>D82</f>
        <v/>
      </c>
      <c r="E367" s="176">
        <f>H82</f>
        <v/>
      </c>
      <c r="F367" s="157">
        <f>I82</f>
        <v/>
      </c>
      <c r="G367" s="174" t="inlineStr">
        <is>
          <t>Home</t>
        </is>
      </c>
      <c r="H367" s="176">
        <f>E82</f>
        <v/>
      </c>
      <c r="I367" s="157">
        <f>F82</f>
        <v/>
      </c>
      <c r="J367" s="177">
        <f>J82</f>
        <v/>
      </c>
      <c r="K367" s="156">
        <f>IF(AND(F367=0,I367=0),"",IF(F367&gt;I367,B367&amp;E367,IF(F367&lt;I367,B367&amp;H367,"Tie")))</f>
        <v/>
      </c>
      <c r="L367" s="156">
        <f>IFERROR(IF(AND(B367&lt;$L$1,F367&gt;I367),"Win",IF(AND(B367&lt;$L$1,F367&lt;I367),"Loss","")),"")</f>
        <v/>
      </c>
      <c r="M367" s="156">
        <f>IF(B367&lt;_CurWeek,"In","")</f>
        <v/>
      </c>
      <c r="N367" s="156">
        <f>IF(M367="In",E367&amp;G367,"")</f>
        <v/>
      </c>
      <c r="O367" s="156">
        <f>IF(L367="Win",1,0)</f>
        <v/>
      </c>
    </row>
    <row r="368" ht="14.4" customHeight="1" s="152">
      <c r="A368" s="167">
        <f>B368&amp;E368</f>
        <v/>
      </c>
      <c r="B368" s="174">
        <f>B83</f>
        <v/>
      </c>
      <c r="C368" s="174">
        <f>C83</f>
        <v/>
      </c>
      <c r="D368" s="175">
        <f>D83</f>
        <v/>
      </c>
      <c r="E368" s="176">
        <f>H83</f>
        <v/>
      </c>
      <c r="F368" s="157">
        <f>I83</f>
        <v/>
      </c>
      <c r="G368" s="174" t="inlineStr">
        <is>
          <t>Home</t>
        </is>
      </c>
      <c r="H368" s="176">
        <f>E83</f>
        <v/>
      </c>
      <c r="I368" s="157">
        <f>F83</f>
        <v/>
      </c>
      <c r="J368" s="177">
        <f>J83</f>
        <v/>
      </c>
      <c r="K368" s="156">
        <f>IF(AND(F368=0,I368=0),"",IF(F368&gt;I368,B368&amp;E368,IF(F368&lt;I368,B368&amp;H368,"Tie")))</f>
        <v/>
      </c>
      <c r="L368" s="156">
        <f>IFERROR(IF(AND(B368&lt;$L$1,F368&gt;I368),"Win",IF(AND(B368&lt;$L$1,F368&lt;I368),"Loss","")),"")</f>
        <v/>
      </c>
      <c r="M368" s="156">
        <f>IF(B368&lt;_CurWeek,"In","")</f>
        <v/>
      </c>
      <c r="N368" s="156">
        <f>IF(M368="In",E368&amp;G368,"")</f>
        <v/>
      </c>
      <c r="O368" s="156">
        <f>IF(L368="Win",1,0)</f>
        <v/>
      </c>
    </row>
    <row r="369" ht="14.4" customHeight="1" s="152">
      <c r="A369" s="167">
        <f>B369&amp;E369</f>
        <v/>
      </c>
      <c r="B369" s="174">
        <f>B84</f>
        <v/>
      </c>
      <c r="C369" s="174">
        <f>C84</f>
        <v/>
      </c>
      <c r="D369" s="175">
        <f>D84</f>
        <v/>
      </c>
      <c r="E369" s="176">
        <f>H84</f>
        <v/>
      </c>
      <c r="F369" s="157">
        <f>I84</f>
        <v/>
      </c>
      <c r="G369" s="174" t="inlineStr">
        <is>
          <t>Home</t>
        </is>
      </c>
      <c r="H369" s="176">
        <f>E84</f>
        <v/>
      </c>
      <c r="I369" s="157">
        <f>F84</f>
        <v/>
      </c>
      <c r="J369" s="177">
        <f>J84</f>
        <v/>
      </c>
      <c r="K369" s="156">
        <f>IF(AND(F369=0,I369=0),"",IF(F369&gt;I369,B369&amp;E369,IF(F369&lt;I369,B369&amp;H369,"Tie")))</f>
        <v/>
      </c>
      <c r="L369" s="156">
        <f>IFERROR(IF(AND(B369&lt;$L$1,F369&gt;I369),"Win",IF(AND(B369&lt;$L$1,F369&lt;I369),"Loss","")),"")</f>
        <v/>
      </c>
      <c r="M369" s="156">
        <f>IF(B369&lt;_CurWeek,"In","")</f>
        <v/>
      </c>
      <c r="N369" s="156">
        <f>IF(M369="In",E369&amp;G369,"")</f>
        <v/>
      </c>
      <c r="O369" s="156">
        <f>IF(L369="Win",1,0)</f>
        <v/>
      </c>
    </row>
    <row r="370" ht="14.4" customHeight="1" s="152">
      <c r="A370" s="167">
        <f>B370&amp;E370</f>
        <v/>
      </c>
      <c r="B370" s="174">
        <f>B85</f>
        <v/>
      </c>
      <c r="C370" s="174">
        <f>C85</f>
        <v/>
      </c>
      <c r="D370" s="175">
        <f>D85</f>
        <v/>
      </c>
      <c r="E370" s="176">
        <f>H85</f>
        <v/>
      </c>
      <c r="F370" s="157">
        <f>I85</f>
        <v/>
      </c>
      <c r="G370" s="174" t="inlineStr">
        <is>
          <t>Home</t>
        </is>
      </c>
      <c r="H370" s="176">
        <f>E85</f>
        <v/>
      </c>
      <c r="I370" s="157">
        <f>F85</f>
        <v/>
      </c>
      <c r="J370" s="177">
        <f>J85</f>
        <v/>
      </c>
      <c r="K370" s="156">
        <f>IF(AND(F370=0,I370=0),"",IF(F370&gt;I370,B370&amp;E370,IF(F370&lt;I370,B370&amp;H370,"Tie")))</f>
        <v/>
      </c>
      <c r="L370" s="156">
        <f>IFERROR(IF(AND(B370&lt;$L$1,F370&gt;I370),"Win",IF(AND(B370&lt;$L$1,F370&lt;I370),"Loss","")),"")</f>
        <v/>
      </c>
      <c r="M370" s="156">
        <f>IF(B370&lt;_CurWeek,"In","")</f>
        <v/>
      </c>
      <c r="N370" s="156">
        <f>IF(M370="In",E370&amp;G370,"")</f>
        <v/>
      </c>
      <c r="O370" s="156">
        <f>IF(L370="Win",1,0)</f>
        <v/>
      </c>
    </row>
    <row r="371" ht="14.4" customHeight="1" s="152">
      <c r="A371" s="167">
        <f>B371&amp;E371</f>
        <v/>
      </c>
      <c r="B371" s="174">
        <f>B86</f>
        <v/>
      </c>
      <c r="C371" s="174">
        <f>C86</f>
        <v/>
      </c>
      <c r="D371" s="175">
        <f>D86</f>
        <v/>
      </c>
      <c r="E371" s="176">
        <f>H86</f>
        <v/>
      </c>
      <c r="F371" s="157">
        <f>I86</f>
        <v/>
      </c>
      <c r="G371" s="174" t="inlineStr">
        <is>
          <t>Home</t>
        </is>
      </c>
      <c r="H371" s="176">
        <f>E86</f>
        <v/>
      </c>
      <c r="I371" s="157">
        <f>F86</f>
        <v/>
      </c>
      <c r="J371" s="177">
        <f>J86</f>
        <v/>
      </c>
      <c r="K371" s="156">
        <f>IF(AND(F371=0,I371=0),"",IF(F371&gt;I371,B371&amp;E371,IF(F371&lt;I371,B371&amp;H371,"Tie")))</f>
        <v/>
      </c>
      <c r="L371" s="156">
        <f>IFERROR(IF(AND(B371&lt;$L$1,F371&gt;I371),"Win",IF(AND(B371&lt;$L$1,F371&lt;I371),"Loss","")),"")</f>
        <v/>
      </c>
      <c r="M371" s="156">
        <f>IF(B371&lt;_CurWeek,"In","")</f>
        <v/>
      </c>
      <c r="N371" s="156">
        <f>IF(M371="In",E371&amp;G371,"")</f>
        <v/>
      </c>
      <c r="O371" s="156">
        <f>IF(L371="Win",1,0)</f>
        <v/>
      </c>
    </row>
    <row r="372" ht="14.4" customHeight="1" s="152">
      <c r="A372" s="167">
        <f>B372&amp;E372</f>
        <v/>
      </c>
      <c r="B372" s="174">
        <f>B87</f>
        <v/>
      </c>
      <c r="C372" s="174">
        <f>C87</f>
        <v/>
      </c>
      <c r="D372" s="175">
        <f>D87</f>
        <v/>
      </c>
      <c r="E372" s="176">
        <f>H87</f>
        <v/>
      </c>
      <c r="F372" s="157">
        <f>I87</f>
        <v/>
      </c>
      <c r="G372" s="174" t="inlineStr">
        <is>
          <t>Home</t>
        </is>
      </c>
      <c r="H372" s="176">
        <f>E87</f>
        <v/>
      </c>
      <c r="I372" s="157">
        <f>F87</f>
        <v/>
      </c>
      <c r="J372" s="177">
        <f>J87</f>
        <v/>
      </c>
      <c r="K372" s="156">
        <f>IF(AND(F372=0,I372=0),"",IF(F372&gt;I372,B372&amp;E372,IF(F372&lt;I372,B372&amp;H372,"Tie")))</f>
        <v/>
      </c>
      <c r="L372" s="156">
        <f>IFERROR(IF(AND(B372&lt;$L$1,F372&gt;I372),"Win",IF(AND(B372&lt;$L$1,F372&lt;I372),"Loss","")),"")</f>
        <v/>
      </c>
      <c r="M372" s="156">
        <f>IF(B372&lt;_CurWeek,"In","")</f>
        <v/>
      </c>
      <c r="N372" s="156">
        <f>IF(M372="In",E372&amp;G372,"")</f>
        <v/>
      </c>
      <c r="O372" s="156">
        <f>IF(L372="Win",1,0)</f>
        <v/>
      </c>
    </row>
    <row r="373" ht="14.4" customHeight="1" s="152">
      <c r="A373" s="167">
        <f>B373&amp;E373</f>
        <v/>
      </c>
      <c r="B373" s="174">
        <f>B88</f>
        <v/>
      </c>
      <c r="C373" s="174">
        <f>C88</f>
        <v/>
      </c>
      <c r="D373" s="175">
        <f>D88</f>
        <v/>
      </c>
      <c r="E373" s="176">
        <f>H88</f>
        <v/>
      </c>
      <c r="F373" s="157">
        <f>I88</f>
        <v/>
      </c>
      <c r="G373" s="174" t="inlineStr">
        <is>
          <t>Home</t>
        </is>
      </c>
      <c r="H373" s="176">
        <f>E88</f>
        <v/>
      </c>
      <c r="I373" s="157">
        <f>F88</f>
        <v/>
      </c>
      <c r="J373" s="177">
        <f>J88</f>
        <v/>
      </c>
      <c r="K373" s="156">
        <f>IF(AND(F373=0,I373=0),"",IF(F373&gt;I373,B373&amp;E373,IF(F373&lt;I373,B373&amp;H373,"Tie")))</f>
        <v/>
      </c>
      <c r="L373" s="156">
        <f>IFERROR(IF(AND(B373&lt;$L$1,F373&gt;I373),"Win",IF(AND(B373&lt;$L$1,F373&lt;I373),"Loss","")),"")</f>
        <v/>
      </c>
      <c r="M373" s="156">
        <f>IF(B373&lt;_CurWeek,"In","")</f>
        <v/>
      </c>
      <c r="N373" s="156">
        <f>IF(M373="In",E373&amp;G373,"")</f>
        <v/>
      </c>
      <c r="O373" s="156">
        <f>IF(L373="Win",1,0)</f>
        <v/>
      </c>
    </row>
    <row r="374" ht="14.4" customHeight="1" s="152">
      <c r="A374" s="167">
        <f>B374&amp;E374</f>
        <v/>
      </c>
      <c r="B374" s="174">
        <f>B89</f>
        <v/>
      </c>
      <c r="C374" s="174">
        <f>C89</f>
        <v/>
      </c>
      <c r="D374" s="175">
        <f>D89</f>
        <v/>
      </c>
      <c r="E374" s="176">
        <f>H89</f>
        <v/>
      </c>
      <c r="F374" s="157">
        <f>I89</f>
        <v/>
      </c>
      <c r="G374" s="174" t="inlineStr">
        <is>
          <t>Home</t>
        </is>
      </c>
      <c r="H374" s="176">
        <f>E89</f>
        <v/>
      </c>
      <c r="I374" s="157">
        <f>F89</f>
        <v/>
      </c>
      <c r="J374" s="177">
        <f>J89</f>
        <v/>
      </c>
      <c r="K374" s="156">
        <f>IF(AND(F374=0,I374=0),"",IF(F374&gt;I374,B374&amp;E374,IF(F374&lt;I374,B374&amp;H374,"Tie")))</f>
        <v/>
      </c>
      <c r="L374" s="156">
        <f>IFERROR(IF(AND(B374&lt;$L$1,F374&gt;I374),"Win",IF(AND(B374&lt;$L$1,F374&lt;I374),"Loss","")),"")</f>
        <v/>
      </c>
      <c r="M374" s="156">
        <f>IF(B374&lt;_CurWeek,"In","")</f>
        <v/>
      </c>
      <c r="N374" s="156">
        <f>IF(M374="In",E374&amp;G374,"")</f>
        <v/>
      </c>
      <c r="O374" s="156">
        <f>IF(L374="Win",1,0)</f>
        <v/>
      </c>
    </row>
    <row r="375" ht="14.4" customHeight="1" s="152">
      <c r="A375" s="167">
        <f>B375&amp;E375</f>
        <v/>
      </c>
      <c r="B375" s="174">
        <f>B90</f>
        <v/>
      </c>
      <c r="C375" s="174">
        <f>C90</f>
        <v/>
      </c>
      <c r="D375" s="175">
        <f>D90</f>
        <v/>
      </c>
      <c r="E375" s="176">
        <f>H90</f>
        <v/>
      </c>
      <c r="F375" s="157">
        <f>I90</f>
        <v/>
      </c>
      <c r="G375" s="174" t="inlineStr">
        <is>
          <t>Home</t>
        </is>
      </c>
      <c r="H375" s="176">
        <f>E90</f>
        <v/>
      </c>
      <c r="I375" s="157">
        <f>F90</f>
        <v/>
      </c>
      <c r="J375" s="177">
        <f>J90</f>
        <v/>
      </c>
      <c r="K375" s="156">
        <f>IF(AND(F375=0,I375=0),"",IF(F375&gt;I375,B375&amp;E375,IF(F375&lt;I375,B375&amp;H375,"Tie")))</f>
        <v/>
      </c>
      <c r="L375" s="156">
        <f>IFERROR(IF(AND(B375&lt;$L$1,F375&gt;I375),"Win",IF(AND(B375&lt;$L$1,F375&lt;I375),"Loss","")),"")</f>
        <v/>
      </c>
      <c r="M375" s="156">
        <f>IF(B375&lt;_CurWeek,"In","")</f>
        <v/>
      </c>
      <c r="N375" s="156">
        <f>IF(M375="In",E375&amp;G375,"")</f>
        <v/>
      </c>
      <c r="O375" s="156">
        <f>IF(L375="Win",1,0)</f>
        <v/>
      </c>
    </row>
    <row r="376" ht="14.4" customHeight="1" s="152">
      <c r="A376" s="167">
        <f>B376&amp;E376</f>
        <v/>
      </c>
      <c r="B376" s="174">
        <f>B91</f>
        <v/>
      </c>
      <c r="C376" s="174">
        <f>C91</f>
        <v/>
      </c>
      <c r="D376" s="175">
        <f>D91</f>
        <v/>
      </c>
      <c r="E376" s="176">
        <f>H91</f>
        <v/>
      </c>
      <c r="F376" s="157">
        <f>I91</f>
        <v/>
      </c>
      <c r="G376" s="174" t="inlineStr">
        <is>
          <t>Home</t>
        </is>
      </c>
      <c r="H376" s="176">
        <f>E91</f>
        <v/>
      </c>
      <c r="I376" s="157">
        <f>F91</f>
        <v/>
      </c>
      <c r="J376" s="177">
        <f>J91</f>
        <v/>
      </c>
      <c r="K376" s="156">
        <f>IF(AND(F376=0,I376=0),"",IF(F376&gt;I376,B376&amp;E376,IF(F376&lt;I376,B376&amp;H376,"Tie")))</f>
        <v/>
      </c>
      <c r="L376" s="156">
        <f>IFERROR(IF(AND(B376&lt;$L$1,F376&gt;I376),"Win",IF(AND(B376&lt;$L$1,F376&lt;I376),"Loss","")),"")</f>
        <v/>
      </c>
      <c r="M376" s="156">
        <f>IF(B376&lt;_CurWeek,"In","")</f>
        <v/>
      </c>
      <c r="N376" s="156">
        <f>IF(M376="In",E376&amp;G376,"")</f>
        <v/>
      </c>
      <c r="O376" s="156">
        <f>IF(L376="Win",1,0)</f>
        <v/>
      </c>
    </row>
    <row r="377" ht="14.4" customHeight="1" s="152">
      <c r="A377" s="167">
        <f>B377&amp;E377</f>
        <v/>
      </c>
      <c r="B377" s="174">
        <f>B92</f>
        <v/>
      </c>
      <c r="C377" s="174">
        <f>C92</f>
        <v/>
      </c>
      <c r="D377" s="175">
        <f>D92</f>
        <v/>
      </c>
      <c r="E377" s="176">
        <f>H92</f>
        <v/>
      </c>
      <c r="F377" s="157">
        <f>I92</f>
        <v/>
      </c>
      <c r="G377" s="174" t="inlineStr">
        <is>
          <t>Home</t>
        </is>
      </c>
      <c r="H377" s="176">
        <f>E92</f>
        <v/>
      </c>
      <c r="I377" s="157">
        <f>F92</f>
        <v/>
      </c>
      <c r="J377" s="177">
        <f>J92</f>
        <v/>
      </c>
      <c r="K377" s="156">
        <f>IF(AND(F377=0,I377=0),"",IF(F377&gt;I377,B377&amp;E377,IF(F377&lt;I377,B377&amp;H377,"Tie")))</f>
        <v/>
      </c>
      <c r="L377" s="156">
        <f>IFERROR(IF(AND(B377&lt;$L$1,F377&gt;I377),"Win",IF(AND(B377&lt;$L$1,F377&lt;I377),"Loss","")),"")</f>
        <v/>
      </c>
      <c r="M377" s="156">
        <f>IF(B377&lt;_CurWeek,"In","")</f>
        <v/>
      </c>
      <c r="N377" s="156">
        <f>IF(M377="In",E377&amp;G377,"")</f>
        <v/>
      </c>
      <c r="O377" s="156">
        <f>IF(L377="Win",1,0)</f>
        <v/>
      </c>
    </row>
    <row r="378" ht="14.4" customHeight="1" s="152">
      <c r="A378" s="167">
        <f>B378&amp;E378</f>
        <v/>
      </c>
      <c r="B378" s="174">
        <f>B93</f>
        <v/>
      </c>
      <c r="C378" s="174">
        <f>C93</f>
        <v/>
      </c>
      <c r="D378" s="175">
        <f>D93</f>
        <v/>
      </c>
      <c r="E378" s="176">
        <f>H93</f>
        <v/>
      </c>
      <c r="F378" s="157">
        <f>I93</f>
        <v/>
      </c>
      <c r="G378" s="174" t="inlineStr">
        <is>
          <t>Home</t>
        </is>
      </c>
      <c r="H378" s="176">
        <f>E93</f>
        <v/>
      </c>
      <c r="I378" s="157">
        <f>F93</f>
        <v/>
      </c>
      <c r="J378" s="177">
        <f>J93</f>
        <v/>
      </c>
      <c r="K378" s="156">
        <f>IF(AND(F378=0,I378=0),"",IF(F378&gt;I378,B378&amp;E378,IF(F378&lt;I378,B378&amp;H378,"Tie")))</f>
        <v/>
      </c>
      <c r="L378" s="156">
        <f>IFERROR(IF(AND(B378&lt;$L$1,F378&gt;I378),"Win",IF(AND(B378&lt;$L$1,F378&lt;I378),"Loss","")),"")</f>
        <v/>
      </c>
      <c r="M378" s="156">
        <f>IF(B378&lt;_CurWeek,"In","")</f>
        <v/>
      </c>
      <c r="N378" s="156">
        <f>IF(M378="In",E378&amp;G378,"")</f>
        <v/>
      </c>
      <c r="O378" s="156">
        <f>IF(L378="Win",1,0)</f>
        <v/>
      </c>
    </row>
    <row r="379" ht="14.4" customHeight="1" s="152">
      <c r="A379" s="167">
        <f>B379&amp;E379</f>
        <v/>
      </c>
      <c r="B379" s="174">
        <f>B94</f>
        <v/>
      </c>
      <c r="C379" s="174">
        <f>C94</f>
        <v/>
      </c>
      <c r="D379" s="175">
        <f>D94</f>
        <v/>
      </c>
      <c r="E379" s="176">
        <f>H94</f>
        <v/>
      </c>
      <c r="F379" s="157">
        <f>I94</f>
        <v/>
      </c>
      <c r="G379" s="174" t="inlineStr">
        <is>
          <t>Home</t>
        </is>
      </c>
      <c r="H379" s="176">
        <f>E94</f>
        <v/>
      </c>
      <c r="I379" s="157">
        <f>F94</f>
        <v/>
      </c>
      <c r="J379" s="177">
        <f>J94</f>
        <v/>
      </c>
      <c r="K379" s="156">
        <f>IF(AND(F379=0,I379=0),"",IF(F379&gt;I379,B379&amp;E379,IF(F379&lt;I379,B379&amp;H379,"Tie")))</f>
        <v/>
      </c>
      <c r="L379" s="156">
        <f>IFERROR(IF(AND(B379&lt;$L$1,F379&gt;I379),"Win",IF(AND(B379&lt;$L$1,F379&lt;I379),"Loss","")),"")</f>
        <v/>
      </c>
      <c r="M379" s="156">
        <f>IF(B379&lt;_CurWeek,"In","")</f>
        <v/>
      </c>
      <c r="N379" s="156">
        <f>IF(M379="In",E379&amp;G379,"")</f>
        <v/>
      </c>
      <c r="O379" s="156">
        <f>IF(L379="Win",1,0)</f>
        <v/>
      </c>
    </row>
    <row r="380" ht="14.4" customHeight="1" s="152">
      <c r="A380" s="167">
        <f>B380&amp;E380</f>
        <v/>
      </c>
      <c r="B380" s="174">
        <f>B95</f>
        <v/>
      </c>
      <c r="C380" s="174">
        <f>C95</f>
        <v/>
      </c>
      <c r="D380" s="175">
        <f>D95</f>
        <v/>
      </c>
      <c r="E380" s="176">
        <f>H95</f>
        <v/>
      </c>
      <c r="F380" s="157">
        <f>I95</f>
        <v/>
      </c>
      <c r="G380" s="174" t="inlineStr">
        <is>
          <t>Home</t>
        </is>
      </c>
      <c r="H380" s="176">
        <f>E95</f>
        <v/>
      </c>
      <c r="I380" s="157">
        <f>F95</f>
        <v/>
      </c>
      <c r="J380" s="177">
        <f>J95</f>
        <v/>
      </c>
      <c r="K380" s="156">
        <f>IF(AND(F380=0,I380=0),"",IF(F380&gt;I380,B380&amp;E380,IF(F380&lt;I380,B380&amp;H380,"Tie")))</f>
        <v/>
      </c>
      <c r="L380" s="156">
        <f>IFERROR(IF(AND(B380&lt;$L$1,F380&gt;I380),"Win",IF(AND(B380&lt;$L$1,F380&lt;I380),"Loss","")),"")</f>
        <v/>
      </c>
      <c r="M380" s="156">
        <f>IF(B380&lt;_CurWeek,"In","")</f>
        <v/>
      </c>
      <c r="N380" s="156">
        <f>IF(M380="In",E380&amp;G380,"")</f>
        <v/>
      </c>
      <c r="O380" s="156">
        <f>IF(L380="Win",1,0)</f>
        <v/>
      </c>
    </row>
    <row r="381" ht="14.4" customHeight="1" s="152">
      <c r="A381" s="167">
        <f>B381&amp;E381</f>
        <v/>
      </c>
      <c r="B381" s="174">
        <f>B96</f>
        <v/>
      </c>
      <c r="C381" s="174">
        <f>C96</f>
        <v/>
      </c>
      <c r="D381" s="175">
        <f>D96</f>
        <v/>
      </c>
      <c r="E381" s="176">
        <f>H96</f>
        <v/>
      </c>
      <c r="F381" s="157">
        <f>I96</f>
        <v/>
      </c>
      <c r="G381" s="174" t="inlineStr">
        <is>
          <t>Home</t>
        </is>
      </c>
      <c r="H381" s="176">
        <f>E96</f>
        <v/>
      </c>
      <c r="I381" s="157">
        <f>F96</f>
        <v/>
      </c>
      <c r="J381" s="177">
        <f>J96</f>
        <v/>
      </c>
      <c r="K381" s="156">
        <f>IF(AND(F381=0,I381=0),"",IF(F381&gt;I381,B381&amp;E381,IF(F381&lt;I381,B381&amp;H381,"Tie")))</f>
        <v/>
      </c>
      <c r="L381" s="156">
        <f>IFERROR(IF(AND(B381&lt;$L$1,F381&gt;I381),"Win",IF(AND(B381&lt;$L$1,F381&lt;I381),"Loss","")),"")</f>
        <v/>
      </c>
      <c r="M381" s="156">
        <f>IF(B381&lt;_CurWeek,"In","")</f>
        <v/>
      </c>
      <c r="N381" s="156">
        <f>IF(M381="In",E381&amp;G381,"")</f>
        <v/>
      </c>
      <c r="O381" s="156">
        <f>IF(L381="Win",1,0)</f>
        <v/>
      </c>
    </row>
    <row r="382" ht="14.4" customHeight="1" s="152">
      <c r="A382" s="167">
        <f>B382&amp;E382</f>
        <v/>
      </c>
      <c r="B382" s="174">
        <f>B97</f>
        <v/>
      </c>
      <c r="C382" s="174">
        <f>C97</f>
        <v/>
      </c>
      <c r="D382" s="175">
        <f>D97</f>
        <v/>
      </c>
      <c r="E382" s="176">
        <f>H97</f>
        <v/>
      </c>
      <c r="F382" s="157">
        <f>I97</f>
        <v/>
      </c>
      <c r="G382" s="174" t="inlineStr">
        <is>
          <t>Home</t>
        </is>
      </c>
      <c r="H382" s="176">
        <f>E97</f>
        <v/>
      </c>
      <c r="I382" s="157">
        <f>F97</f>
        <v/>
      </c>
      <c r="J382" s="177">
        <f>J97</f>
        <v/>
      </c>
      <c r="K382" s="156">
        <f>IF(AND(F382=0,I382=0),"",IF(F382&gt;I382,B382&amp;E382,IF(F382&lt;I382,B382&amp;H382,"Tie")))</f>
        <v/>
      </c>
      <c r="L382" s="156">
        <f>IFERROR(IF(AND(B382&lt;$L$1,F382&gt;I382),"Win",IF(AND(B382&lt;$L$1,F382&lt;I382),"Loss","")),"")</f>
        <v/>
      </c>
      <c r="M382" s="156">
        <f>IF(B382&lt;_CurWeek,"In","")</f>
        <v/>
      </c>
      <c r="N382" s="156">
        <f>IF(M382="In",E382&amp;G382,"")</f>
        <v/>
      </c>
      <c r="O382" s="156">
        <f>IF(L382="Win",1,0)</f>
        <v/>
      </c>
    </row>
    <row r="383" ht="14.4" customHeight="1" s="152">
      <c r="A383" s="167">
        <f>B383&amp;E383</f>
        <v/>
      </c>
      <c r="B383" s="174">
        <f>B98</f>
        <v/>
      </c>
      <c r="C383" s="174">
        <f>C98</f>
        <v/>
      </c>
      <c r="D383" s="175">
        <f>D98</f>
        <v/>
      </c>
      <c r="E383" s="176">
        <f>H98</f>
        <v/>
      </c>
      <c r="F383" s="157">
        <f>I98</f>
        <v/>
      </c>
      <c r="G383" s="174" t="inlineStr">
        <is>
          <t>Home</t>
        </is>
      </c>
      <c r="H383" s="176">
        <f>E98</f>
        <v/>
      </c>
      <c r="I383" s="157">
        <f>F98</f>
        <v/>
      </c>
      <c r="J383" s="177">
        <f>J98</f>
        <v/>
      </c>
      <c r="K383" s="156">
        <f>IF(AND(F383=0,I383=0),"",IF(F383&gt;I383,B383&amp;E383,IF(F383&lt;I383,B383&amp;H383,"Tie")))</f>
        <v/>
      </c>
      <c r="L383" s="156">
        <f>IFERROR(IF(AND(B383&lt;$L$1,F383&gt;I383),"Win",IF(AND(B383&lt;$L$1,F383&lt;I383),"Loss","")),"")</f>
        <v/>
      </c>
      <c r="M383" s="156">
        <f>IF(B383&lt;_CurWeek,"In","")</f>
        <v/>
      </c>
      <c r="N383" s="156">
        <f>IF(M383="In",E383&amp;G383,"")</f>
        <v/>
      </c>
      <c r="O383" s="156">
        <f>IF(L383="Win",1,0)</f>
        <v/>
      </c>
    </row>
    <row r="384" ht="14.4" customHeight="1" s="152">
      <c r="A384" s="167">
        <f>B384&amp;E384</f>
        <v/>
      </c>
      <c r="B384" s="174">
        <f>B99</f>
        <v/>
      </c>
      <c r="C384" s="174">
        <f>C99</f>
        <v/>
      </c>
      <c r="D384" s="175">
        <f>D99</f>
        <v/>
      </c>
      <c r="E384" s="176">
        <f>H99</f>
        <v/>
      </c>
      <c r="F384" s="157">
        <f>I99</f>
        <v/>
      </c>
      <c r="G384" s="174" t="inlineStr">
        <is>
          <t>Home</t>
        </is>
      </c>
      <c r="H384" s="176">
        <f>E99</f>
        <v/>
      </c>
      <c r="I384" s="157">
        <f>F99</f>
        <v/>
      </c>
      <c r="J384" s="177">
        <f>J99</f>
        <v/>
      </c>
      <c r="K384" s="156">
        <f>IF(AND(F384=0,I384=0),"",IF(F384&gt;I384,B384&amp;E384,IF(F384&lt;I384,B384&amp;H384,"Tie")))</f>
        <v/>
      </c>
      <c r="L384" s="156">
        <f>IFERROR(IF(AND(B384&lt;$L$1,F384&gt;I384),"Win",IF(AND(B384&lt;$L$1,F384&lt;I384),"Loss","")),"")</f>
        <v/>
      </c>
      <c r="M384" s="156">
        <f>IF(B384&lt;_CurWeek,"In","")</f>
        <v/>
      </c>
      <c r="N384" s="156">
        <f>IF(M384="In",E384&amp;G384,"")</f>
        <v/>
      </c>
      <c r="O384" s="156">
        <f>IF(L384="Win",1,0)</f>
        <v/>
      </c>
    </row>
    <row r="385" ht="14.4" customHeight="1" s="152">
      <c r="A385" s="167">
        <f>B385&amp;E385</f>
        <v/>
      </c>
      <c r="B385" s="174">
        <f>B100</f>
        <v/>
      </c>
      <c r="C385" s="174">
        <f>C100</f>
        <v/>
      </c>
      <c r="D385" s="175">
        <f>D100</f>
        <v/>
      </c>
      <c r="E385" s="176">
        <f>H100</f>
        <v/>
      </c>
      <c r="F385" s="157">
        <f>I100</f>
        <v/>
      </c>
      <c r="G385" s="174" t="inlineStr">
        <is>
          <t>Home</t>
        </is>
      </c>
      <c r="H385" s="176">
        <f>E100</f>
        <v/>
      </c>
      <c r="I385" s="157">
        <f>F100</f>
        <v/>
      </c>
      <c r="J385" s="177">
        <f>J100</f>
        <v/>
      </c>
      <c r="K385" s="156">
        <f>IF(AND(F385=0,I385=0),"",IF(F385&gt;I385,B385&amp;E385,IF(F385&lt;I385,B385&amp;H385,"Tie")))</f>
        <v/>
      </c>
      <c r="L385" s="156">
        <f>IFERROR(IF(AND(B385&lt;$L$1,F385&gt;I385),"Win",IF(AND(B385&lt;$L$1,F385&lt;I385),"Loss","")),"")</f>
        <v/>
      </c>
      <c r="M385" s="156">
        <f>IF(B385&lt;_CurWeek,"In","")</f>
        <v/>
      </c>
      <c r="N385" s="156">
        <f>IF(M385="In",E385&amp;G385,"")</f>
        <v/>
      </c>
      <c r="O385" s="156">
        <f>IF(L385="Win",1,0)</f>
        <v/>
      </c>
    </row>
    <row r="386" ht="14.4" customHeight="1" s="152">
      <c r="A386" s="167">
        <f>B386&amp;E386</f>
        <v/>
      </c>
      <c r="B386" s="174">
        <f>B101</f>
        <v/>
      </c>
      <c r="C386" s="174">
        <f>C101</f>
        <v/>
      </c>
      <c r="D386" s="175">
        <f>D101</f>
        <v/>
      </c>
      <c r="E386" s="176">
        <f>H101</f>
        <v/>
      </c>
      <c r="F386" s="157">
        <f>I101</f>
        <v/>
      </c>
      <c r="G386" s="174" t="inlineStr">
        <is>
          <t>Home</t>
        </is>
      </c>
      <c r="H386" s="176">
        <f>E101</f>
        <v/>
      </c>
      <c r="I386" s="157">
        <f>F101</f>
        <v/>
      </c>
      <c r="J386" s="177">
        <f>J101</f>
        <v/>
      </c>
      <c r="K386" s="156">
        <f>IF(AND(F386=0,I386=0),"",IF(F386&gt;I386,B386&amp;E386,IF(F386&lt;I386,B386&amp;H386,"Tie")))</f>
        <v/>
      </c>
      <c r="L386" s="156">
        <f>IFERROR(IF(AND(B386&lt;$L$1,F386&gt;I386),"Win",IF(AND(B386&lt;$L$1,F386&lt;I386),"Loss","")),"")</f>
        <v/>
      </c>
      <c r="M386" s="156">
        <f>IF(B386&lt;_CurWeek,"In","")</f>
        <v/>
      </c>
      <c r="N386" s="156">
        <f>IF(M386="In",E386&amp;G386,"")</f>
        <v/>
      </c>
      <c r="O386" s="156">
        <f>IF(L386="Win",1,0)</f>
        <v/>
      </c>
    </row>
    <row r="387" ht="14.4" customHeight="1" s="152">
      <c r="A387" s="167">
        <f>B387&amp;E387</f>
        <v/>
      </c>
      <c r="B387" s="174">
        <f>B102</f>
        <v/>
      </c>
      <c r="C387" s="174">
        <f>C102</f>
        <v/>
      </c>
      <c r="D387" s="175">
        <f>D102</f>
        <v/>
      </c>
      <c r="E387" s="176">
        <f>H102</f>
        <v/>
      </c>
      <c r="F387" s="157">
        <f>I102</f>
        <v/>
      </c>
      <c r="G387" s="174" t="inlineStr">
        <is>
          <t>Home</t>
        </is>
      </c>
      <c r="H387" s="176">
        <f>E102</f>
        <v/>
      </c>
      <c r="I387" s="157">
        <f>F102</f>
        <v/>
      </c>
      <c r="J387" s="177">
        <f>J102</f>
        <v/>
      </c>
      <c r="K387" s="156">
        <f>IF(AND(F387=0,I387=0),"",IF(F387&gt;I387,B387&amp;E387,IF(F387&lt;I387,B387&amp;H387,"Tie")))</f>
        <v/>
      </c>
      <c r="L387" s="156">
        <f>IFERROR(IF(AND(B387&lt;$L$1,F387&gt;I387),"Win",IF(AND(B387&lt;$L$1,F387&lt;I387),"Loss","")),"")</f>
        <v/>
      </c>
      <c r="M387" s="156">
        <f>IF(B387&lt;_CurWeek,"In","")</f>
        <v/>
      </c>
      <c r="N387" s="156">
        <f>IF(M387="In",E387&amp;G387,"")</f>
        <v/>
      </c>
      <c r="O387" s="156">
        <f>IF(L387="Win",1,0)</f>
        <v/>
      </c>
    </row>
    <row r="388" ht="14.4" customHeight="1" s="152">
      <c r="A388" s="167">
        <f>B388&amp;E388</f>
        <v/>
      </c>
      <c r="B388" s="174">
        <f>B103</f>
        <v/>
      </c>
      <c r="C388" s="174">
        <f>C103</f>
        <v/>
      </c>
      <c r="D388" s="175">
        <f>D103</f>
        <v/>
      </c>
      <c r="E388" s="176">
        <f>H103</f>
        <v/>
      </c>
      <c r="F388" s="157">
        <f>I103</f>
        <v/>
      </c>
      <c r="G388" s="174" t="inlineStr">
        <is>
          <t>Home</t>
        </is>
      </c>
      <c r="H388" s="176">
        <f>E103</f>
        <v/>
      </c>
      <c r="I388" s="157">
        <f>F103</f>
        <v/>
      </c>
      <c r="J388" s="177">
        <f>J103</f>
        <v/>
      </c>
      <c r="K388" s="156">
        <f>IF(AND(F388=0,I388=0),"",IF(F388&gt;I388,B388&amp;E388,IF(F388&lt;I388,B388&amp;H388,"Tie")))</f>
        <v/>
      </c>
      <c r="L388" s="156">
        <f>IFERROR(IF(AND(B388&lt;$L$1,F388&gt;I388),"Win",IF(AND(B388&lt;$L$1,F388&lt;I388),"Loss","")),"")</f>
        <v/>
      </c>
      <c r="M388" s="156">
        <f>IF(B388&lt;_CurWeek,"In","")</f>
        <v/>
      </c>
      <c r="N388" s="156">
        <f>IF(M388="In",E388&amp;G388,"")</f>
        <v/>
      </c>
      <c r="O388" s="156">
        <f>IF(L388="Win",1,0)</f>
        <v/>
      </c>
    </row>
    <row r="389" ht="14.4" customHeight="1" s="152">
      <c r="A389" s="167">
        <f>B389&amp;E389</f>
        <v/>
      </c>
      <c r="B389" s="174">
        <f>B104</f>
        <v/>
      </c>
      <c r="C389" s="174">
        <f>C104</f>
        <v/>
      </c>
      <c r="D389" s="175">
        <f>D104</f>
        <v/>
      </c>
      <c r="E389" s="176">
        <f>H104</f>
        <v/>
      </c>
      <c r="F389" s="157">
        <f>I104</f>
        <v/>
      </c>
      <c r="G389" s="174" t="inlineStr">
        <is>
          <t>Home</t>
        </is>
      </c>
      <c r="H389" s="176">
        <f>E104</f>
        <v/>
      </c>
      <c r="I389" s="157">
        <f>F104</f>
        <v/>
      </c>
      <c r="J389" s="177">
        <f>J104</f>
        <v/>
      </c>
      <c r="K389" s="156">
        <f>IF(AND(F389=0,I389=0),"",IF(F389&gt;I389,B389&amp;E389,IF(F389&lt;I389,B389&amp;H389,"Tie")))</f>
        <v/>
      </c>
      <c r="L389" s="156">
        <f>IFERROR(IF(AND(B389&lt;$L$1,F389&gt;I389),"Win",IF(AND(B389&lt;$L$1,F389&lt;I389),"Loss","")),"")</f>
        <v/>
      </c>
      <c r="M389" s="156">
        <f>IF(B389&lt;_CurWeek,"In","")</f>
        <v/>
      </c>
      <c r="N389" s="156">
        <f>IF(M389="In",E389&amp;G389,"")</f>
        <v/>
      </c>
      <c r="O389" s="156">
        <f>IF(L389="Win",1,0)</f>
        <v/>
      </c>
    </row>
    <row r="390" ht="14.4" customHeight="1" s="152">
      <c r="A390" s="167">
        <f>B390&amp;E390</f>
        <v/>
      </c>
      <c r="B390" s="174">
        <f>B105</f>
        <v/>
      </c>
      <c r="C390" s="174">
        <f>C105</f>
        <v/>
      </c>
      <c r="D390" s="175">
        <f>D105</f>
        <v/>
      </c>
      <c r="E390" s="176">
        <f>H105</f>
        <v/>
      </c>
      <c r="F390" s="157">
        <f>I105</f>
        <v/>
      </c>
      <c r="G390" s="174" t="inlineStr">
        <is>
          <t>Home</t>
        </is>
      </c>
      <c r="H390" s="176">
        <f>E105</f>
        <v/>
      </c>
      <c r="I390" s="157">
        <f>F105</f>
        <v/>
      </c>
      <c r="J390" s="177">
        <f>J105</f>
        <v/>
      </c>
      <c r="K390" s="156">
        <f>IF(AND(F390=0,I390=0),"",IF(F390&gt;I390,B390&amp;E390,IF(F390&lt;I390,B390&amp;H390,"Tie")))</f>
        <v/>
      </c>
      <c r="L390" s="156">
        <f>IFERROR(IF(AND(B390&lt;$L$1,F390&gt;I390),"Win",IF(AND(B390&lt;$L$1,F390&lt;I390),"Loss","")),"")</f>
        <v/>
      </c>
      <c r="M390" s="156">
        <f>IF(B390&lt;_CurWeek,"In","")</f>
        <v/>
      </c>
      <c r="N390" s="156">
        <f>IF(M390="In",E390&amp;G390,"")</f>
        <v/>
      </c>
      <c r="O390" s="156">
        <f>IF(L390="Win",1,0)</f>
        <v/>
      </c>
    </row>
    <row r="391" ht="14.4" customHeight="1" s="152">
      <c r="A391" s="167">
        <f>B391&amp;E391</f>
        <v/>
      </c>
      <c r="B391" s="174">
        <f>B106</f>
        <v/>
      </c>
      <c r="C391" s="174">
        <f>C106</f>
        <v/>
      </c>
      <c r="D391" s="175">
        <f>D106</f>
        <v/>
      </c>
      <c r="E391" s="176">
        <f>H106</f>
        <v/>
      </c>
      <c r="F391" s="157">
        <f>I106</f>
        <v/>
      </c>
      <c r="G391" s="174" t="inlineStr">
        <is>
          <t>Home</t>
        </is>
      </c>
      <c r="H391" s="176">
        <f>E106</f>
        <v/>
      </c>
      <c r="I391" s="157">
        <f>F106</f>
        <v/>
      </c>
      <c r="J391" s="177">
        <f>J106</f>
        <v/>
      </c>
      <c r="K391" s="156">
        <f>IF(AND(F391=0,I391=0),"",IF(F391&gt;I391,B391&amp;E391,IF(F391&lt;I391,B391&amp;H391,"Tie")))</f>
        <v/>
      </c>
      <c r="L391" s="156">
        <f>IFERROR(IF(AND(B391&lt;$L$1,F391&gt;I391),"Win",IF(AND(B391&lt;$L$1,F391&lt;I391),"Loss","")),"")</f>
        <v/>
      </c>
      <c r="M391" s="156">
        <f>IF(B391&lt;_CurWeek,"In","")</f>
        <v/>
      </c>
      <c r="N391" s="156">
        <f>IF(M391="In",E391&amp;G391,"")</f>
        <v/>
      </c>
      <c r="O391" s="156">
        <f>IF(L391="Win",1,0)</f>
        <v/>
      </c>
    </row>
    <row r="392" ht="14.4" customHeight="1" s="152">
      <c r="A392" s="167">
        <f>B392&amp;E392</f>
        <v/>
      </c>
      <c r="B392" s="174">
        <f>B107</f>
        <v/>
      </c>
      <c r="C392" s="174">
        <f>C107</f>
        <v/>
      </c>
      <c r="D392" s="175">
        <f>D107</f>
        <v/>
      </c>
      <c r="E392" s="176">
        <f>H107</f>
        <v/>
      </c>
      <c r="F392" s="157">
        <f>I107</f>
        <v/>
      </c>
      <c r="G392" s="174" t="inlineStr">
        <is>
          <t>Home</t>
        </is>
      </c>
      <c r="H392" s="176">
        <f>E107</f>
        <v/>
      </c>
      <c r="I392" s="157">
        <f>F107</f>
        <v/>
      </c>
      <c r="J392" s="177">
        <f>J107</f>
        <v/>
      </c>
      <c r="K392" s="156">
        <f>IF(AND(F392=0,I392=0),"",IF(F392&gt;I392,B392&amp;E392,IF(F392&lt;I392,B392&amp;H392,"Tie")))</f>
        <v/>
      </c>
      <c r="L392" s="156">
        <f>IFERROR(IF(AND(B392&lt;$L$1,F392&gt;I392),"Win",IF(AND(B392&lt;$L$1,F392&lt;I392),"Loss","")),"")</f>
        <v/>
      </c>
      <c r="M392" s="156">
        <f>IF(B392&lt;_CurWeek,"In","")</f>
        <v/>
      </c>
      <c r="N392" s="156">
        <f>IF(M392="In",E392&amp;G392,"")</f>
        <v/>
      </c>
      <c r="O392" s="156">
        <f>IF(L392="Win",1,0)</f>
        <v/>
      </c>
    </row>
    <row r="393" ht="14.4" customHeight="1" s="152">
      <c r="A393" s="167">
        <f>B393&amp;E393</f>
        <v/>
      </c>
      <c r="B393" s="174">
        <f>B108</f>
        <v/>
      </c>
      <c r="C393" s="174">
        <f>C108</f>
        <v/>
      </c>
      <c r="D393" s="175">
        <f>D108</f>
        <v/>
      </c>
      <c r="E393" s="176">
        <f>H108</f>
        <v/>
      </c>
      <c r="F393" s="157">
        <f>I108</f>
        <v/>
      </c>
      <c r="G393" s="174" t="inlineStr">
        <is>
          <t>Home</t>
        </is>
      </c>
      <c r="H393" s="176">
        <f>E108</f>
        <v/>
      </c>
      <c r="I393" s="157">
        <f>F108</f>
        <v/>
      </c>
      <c r="J393" s="177">
        <f>J108</f>
        <v/>
      </c>
      <c r="K393" s="156">
        <f>IF(AND(F393=0,I393=0),"",IF(F393&gt;I393,B393&amp;E393,IF(F393&lt;I393,B393&amp;H393,"Tie")))</f>
        <v/>
      </c>
      <c r="L393" s="156">
        <f>IFERROR(IF(AND(B393&lt;$L$1,F393&gt;I393),"Win",IF(AND(B393&lt;$L$1,F393&lt;I393),"Loss","")),"")</f>
        <v/>
      </c>
      <c r="M393" s="156">
        <f>IF(B393&lt;_CurWeek,"In","")</f>
        <v/>
      </c>
      <c r="N393" s="156">
        <f>IF(M393="In",E393&amp;G393,"")</f>
        <v/>
      </c>
      <c r="O393" s="156">
        <f>IF(L393="Win",1,0)</f>
        <v/>
      </c>
    </row>
    <row r="394" ht="14.4" customHeight="1" s="152">
      <c r="A394" s="167">
        <f>B394&amp;E394</f>
        <v/>
      </c>
      <c r="B394" s="174">
        <f>B109</f>
        <v/>
      </c>
      <c r="C394" s="174">
        <f>C109</f>
        <v/>
      </c>
      <c r="D394" s="175">
        <f>D109</f>
        <v/>
      </c>
      <c r="E394" s="176">
        <f>H109</f>
        <v/>
      </c>
      <c r="F394" s="157">
        <f>I109</f>
        <v/>
      </c>
      <c r="G394" s="174" t="inlineStr">
        <is>
          <t>Home</t>
        </is>
      </c>
      <c r="H394" s="176">
        <f>E109</f>
        <v/>
      </c>
      <c r="I394" s="157">
        <f>F109</f>
        <v/>
      </c>
      <c r="J394" s="177">
        <f>J109</f>
        <v/>
      </c>
      <c r="K394" s="156">
        <f>IF(AND(F394=0,I394=0),"",IF(F394&gt;I394,B394&amp;E394,IF(F394&lt;I394,B394&amp;H394,"Tie")))</f>
        <v/>
      </c>
      <c r="L394" s="156">
        <f>IFERROR(IF(AND(B394&lt;$L$1,F394&gt;I394),"Win",IF(AND(B394&lt;$L$1,F394&lt;I394),"Loss","")),"")</f>
        <v/>
      </c>
      <c r="M394" s="156">
        <f>IF(B394&lt;_CurWeek,"In","")</f>
        <v/>
      </c>
      <c r="N394" s="156">
        <f>IF(M394="In",E394&amp;G394,"")</f>
        <v/>
      </c>
      <c r="O394" s="156">
        <f>IF(L394="Win",1,0)</f>
        <v/>
      </c>
    </row>
    <row r="395" ht="14.4" customHeight="1" s="152">
      <c r="A395" s="167">
        <f>B395&amp;E395</f>
        <v/>
      </c>
      <c r="B395" s="174">
        <f>B110</f>
        <v/>
      </c>
      <c r="C395" s="174">
        <f>C110</f>
        <v/>
      </c>
      <c r="D395" s="175">
        <f>D110</f>
        <v/>
      </c>
      <c r="E395" s="176">
        <f>H110</f>
        <v/>
      </c>
      <c r="F395" s="157">
        <f>I110</f>
        <v/>
      </c>
      <c r="G395" s="174" t="inlineStr">
        <is>
          <t>Home</t>
        </is>
      </c>
      <c r="H395" s="176">
        <f>E110</f>
        <v/>
      </c>
      <c r="I395" s="157">
        <f>F110</f>
        <v/>
      </c>
      <c r="J395" s="177">
        <f>J110</f>
        <v/>
      </c>
      <c r="K395" s="156">
        <f>IF(AND(F395=0,I395=0),"",IF(F395&gt;I395,B395&amp;E395,IF(F395&lt;I395,B395&amp;H395,"Tie")))</f>
        <v/>
      </c>
      <c r="L395" s="156">
        <f>IFERROR(IF(AND(B395&lt;$L$1,F395&gt;I395),"Win",IF(AND(B395&lt;$L$1,F395&lt;I395),"Loss","")),"")</f>
        <v/>
      </c>
      <c r="M395" s="156">
        <f>IF(B395&lt;_CurWeek,"In","")</f>
        <v/>
      </c>
      <c r="N395" s="156">
        <f>IF(M395="In",E395&amp;G395,"")</f>
        <v/>
      </c>
      <c r="O395" s="156">
        <f>IF(L395="Win",1,0)</f>
        <v/>
      </c>
    </row>
    <row r="396" ht="14.4" customHeight="1" s="152">
      <c r="A396" s="167">
        <f>B396&amp;E396</f>
        <v/>
      </c>
      <c r="B396" s="174">
        <f>B111</f>
        <v/>
      </c>
      <c r="C396" s="174">
        <f>C111</f>
        <v/>
      </c>
      <c r="D396" s="175">
        <f>D111</f>
        <v/>
      </c>
      <c r="E396" s="176">
        <f>H111</f>
        <v/>
      </c>
      <c r="F396" s="157">
        <f>I111</f>
        <v/>
      </c>
      <c r="G396" s="174" t="inlineStr">
        <is>
          <t>Home</t>
        </is>
      </c>
      <c r="H396" s="176">
        <f>E111</f>
        <v/>
      </c>
      <c r="I396" s="157">
        <f>F111</f>
        <v/>
      </c>
      <c r="J396" s="177">
        <f>J111</f>
        <v/>
      </c>
      <c r="K396" s="156">
        <f>IF(AND(F396=0,I396=0),"",IF(F396&gt;I396,B396&amp;E396,IF(F396&lt;I396,B396&amp;H396,"Tie")))</f>
        <v/>
      </c>
      <c r="L396" s="156">
        <f>IFERROR(IF(AND(B396&lt;$L$1,F396&gt;I396),"Win",IF(AND(B396&lt;$L$1,F396&lt;I396),"Loss","")),"")</f>
        <v/>
      </c>
      <c r="M396" s="156">
        <f>IF(B396&lt;_CurWeek,"In","")</f>
        <v/>
      </c>
      <c r="N396" s="156">
        <f>IF(M396="In",E396&amp;G396,"")</f>
        <v/>
      </c>
      <c r="O396" s="156">
        <f>IF(L396="Win",1,0)</f>
        <v/>
      </c>
    </row>
    <row r="397" ht="14.4" customHeight="1" s="152">
      <c r="A397" s="167">
        <f>B397&amp;E397</f>
        <v/>
      </c>
      <c r="B397" s="174">
        <f>B112</f>
        <v/>
      </c>
      <c r="C397" s="174">
        <f>C112</f>
        <v/>
      </c>
      <c r="D397" s="175">
        <f>D112</f>
        <v/>
      </c>
      <c r="E397" s="176">
        <f>H112</f>
        <v/>
      </c>
      <c r="F397" s="157">
        <f>I112</f>
        <v/>
      </c>
      <c r="G397" s="174" t="inlineStr">
        <is>
          <t>Home</t>
        </is>
      </c>
      <c r="H397" s="176">
        <f>E112</f>
        <v/>
      </c>
      <c r="I397" s="157">
        <f>F112</f>
        <v/>
      </c>
      <c r="J397" s="177">
        <f>J112</f>
        <v/>
      </c>
      <c r="K397" s="156">
        <f>IF(AND(F397=0,I397=0),"",IF(F397&gt;I397,B397&amp;E397,IF(F397&lt;I397,B397&amp;H397,"Tie")))</f>
        <v/>
      </c>
      <c r="L397" s="156">
        <f>IFERROR(IF(AND(B397&lt;$L$1,F397&gt;I397),"Win",IF(AND(B397&lt;$L$1,F397&lt;I397),"Loss","")),"")</f>
        <v/>
      </c>
      <c r="M397" s="156">
        <f>IF(B397&lt;_CurWeek,"In","")</f>
        <v/>
      </c>
      <c r="N397" s="156">
        <f>IF(M397="In",E397&amp;G397,"")</f>
        <v/>
      </c>
      <c r="O397" s="156">
        <f>IF(L397="Win",1,0)</f>
        <v/>
      </c>
    </row>
    <row r="398" ht="14.4" customHeight="1" s="152">
      <c r="A398" s="167">
        <f>B398&amp;E398</f>
        <v/>
      </c>
      <c r="B398" s="174">
        <f>B113</f>
        <v/>
      </c>
      <c r="C398" s="174">
        <f>C113</f>
        <v/>
      </c>
      <c r="D398" s="175">
        <f>D113</f>
        <v/>
      </c>
      <c r="E398" s="176">
        <f>H113</f>
        <v/>
      </c>
      <c r="F398" s="157">
        <f>I113</f>
        <v/>
      </c>
      <c r="G398" s="174" t="inlineStr">
        <is>
          <t>Home</t>
        </is>
      </c>
      <c r="H398" s="176">
        <f>E113</f>
        <v/>
      </c>
      <c r="I398" s="157">
        <f>F113</f>
        <v/>
      </c>
      <c r="J398" s="177">
        <f>J113</f>
        <v/>
      </c>
      <c r="K398" s="156">
        <f>IF(AND(F398=0,I398=0),"",IF(F398&gt;I398,B398&amp;E398,IF(F398&lt;I398,B398&amp;H398,"Tie")))</f>
        <v/>
      </c>
      <c r="L398" s="156">
        <f>IFERROR(IF(AND(B398&lt;$L$1,F398&gt;I398),"Win",IF(AND(B398&lt;$L$1,F398&lt;I398),"Loss","")),"")</f>
        <v/>
      </c>
      <c r="M398" s="156">
        <f>IF(B398&lt;_CurWeek,"In","")</f>
        <v/>
      </c>
      <c r="N398" s="156">
        <f>IF(M398="In",E398&amp;G398,"")</f>
        <v/>
      </c>
      <c r="O398" s="156">
        <f>IF(L398="Win",1,0)</f>
        <v/>
      </c>
    </row>
    <row r="399" ht="14.4" customHeight="1" s="152">
      <c r="A399" s="167">
        <f>B399&amp;E399</f>
        <v/>
      </c>
      <c r="B399" s="174">
        <f>B114</f>
        <v/>
      </c>
      <c r="C399" s="174">
        <f>C114</f>
        <v/>
      </c>
      <c r="D399" s="175">
        <f>D114</f>
        <v/>
      </c>
      <c r="E399" s="176">
        <f>H114</f>
        <v/>
      </c>
      <c r="F399" s="157">
        <f>I114</f>
        <v/>
      </c>
      <c r="G399" s="174" t="inlineStr">
        <is>
          <t>Home</t>
        </is>
      </c>
      <c r="H399" s="176">
        <f>E114</f>
        <v/>
      </c>
      <c r="I399" s="157">
        <f>F114</f>
        <v/>
      </c>
      <c r="J399" s="177">
        <f>J114</f>
        <v/>
      </c>
      <c r="K399" s="156">
        <f>IF(AND(F399=0,I399=0),"",IF(F399&gt;I399,B399&amp;E399,IF(F399&lt;I399,B399&amp;H399,"Tie")))</f>
        <v/>
      </c>
      <c r="L399" s="156">
        <f>IFERROR(IF(AND(B399&lt;$L$1,F399&gt;I399),"Win",IF(AND(B399&lt;$L$1,F399&lt;I399),"Loss","")),"")</f>
        <v/>
      </c>
      <c r="M399" s="156">
        <f>IF(B399&lt;_CurWeek,"In","")</f>
        <v/>
      </c>
      <c r="N399" s="156">
        <f>IF(M399="In",E399&amp;G399,"")</f>
        <v/>
      </c>
      <c r="O399" s="156">
        <f>IF(L399="Win",1,0)</f>
        <v/>
      </c>
    </row>
    <row r="400" ht="14.4" customHeight="1" s="152">
      <c r="A400" s="167">
        <f>B400&amp;E400</f>
        <v/>
      </c>
      <c r="B400" s="174">
        <f>B115</f>
        <v/>
      </c>
      <c r="C400" s="174">
        <f>C115</f>
        <v/>
      </c>
      <c r="D400" s="175">
        <f>D115</f>
        <v/>
      </c>
      <c r="E400" s="176">
        <f>H115</f>
        <v/>
      </c>
      <c r="F400" s="157">
        <f>I115</f>
        <v/>
      </c>
      <c r="G400" s="174" t="inlineStr">
        <is>
          <t>Home</t>
        </is>
      </c>
      <c r="H400" s="176">
        <f>E115</f>
        <v/>
      </c>
      <c r="I400" s="157">
        <f>F115</f>
        <v/>
      </c>
      <c r="J400" s="177">
        <f>J115</f>
        <v/>
      </c>
      <c r="K400" s="156">
        <f>IF(AND(F400=0,I400=0),"",IF(F400&gt;I400,B400&amp;E400,IF(F400&lt;I400,B400&amp;H400,"Tie")))</f>
        <v/>
      </c>
      <c r="L400" s="156">
        <f>IFERROR(IF(AND(B400&lt;$L$1,F400&gt;I400),"Win",IF(AND(B400&lt;$L$1,F400&lt;I400),"Loss","")),"")</f>
        <v/>
      </c>
      <c r="M400" s="156">
        <f>IF(B400&lt;_CurWeek,"In","")</f>
        <v/>
      </c>
      <c r="N400" s="156">
        <f>IF(M400="In",E400&amp;G400,"")</f>
        <v/>
      </c>
      <c r="O400" s="156">
        <f>IF(L400="Win",1,0)</f>
        <v/>
      </c>
    </row>
    <row r="401" ht="14.4" customHeight="1" s="152">
      <c r="A401" s="167">
        <f>B401&amp;E401</f>
        <v/>
      </c>
      <c r="B401" s="174">
        <f>B116</f>
        <v/>
      </c>
      <c r="C401" s="174">
        <f>C116</f>
        <v/>
      </c>
      <c r="D401" s="175">
        <f>D116</f>
        <v/>
      </c>
      <c r="E401" s="176">
        <f>H116</f>
        <v/>
      </c>
      <c r="F401" s="157">
        <f>I116</f>
        <v/>
      </c>
      <c r="G401" s="174" t="inlineStr">
        <is>
          <t>Home</t>
        </is>
      </c>
      <c r="H401" s="176">
        <f>E116</f>
        <v/>
      </c>
      <c r="I401" s="157">
        <f>F116</f>
        <v/>
      </c>
      <c r="J401" s="177">
        <f>J116</f>
        <v/>
      </c>
      <c r="K401" s="156">
        <f>IF(AND(F401=0,I401=0),"",IF(F401&gt;I401,B401&amp;E401,IF(F401&lt;I401,B401&amp;H401,"Tie")))</f>
        <v/>
      </c>
      <c r="L401" s="156">
        <f>IFERROR(IF(AND(B401&lt;$L$1,F401&gt;I401),"Win",IF(AND(B401&lt;$L$1,F401&lt;I401),"Loss","")),"")</f>
        <v/>
      </c>
      <c r="M401" s="156">
        <f>IF(B401&lt;_CurWeek,"In","")</f>
        <v/>
      </c>
      <c r="N401" s="156">
        <f>IF(M401="In",E401&amp;G401,"")</f>
        <v/>
      </c>
      <c r="O401" s="156">
        <f>IF(L401="Win",1,0)</f>
        <v/>
      </c>
    </row>
    <row r="402" ht="14.4" customHeight="1" s="152">
      <c r="A402" s="167">
        <f>B402&amp;E402</f>
        <v/>
      </c>
      <c r="B402" s="174">
        <f>B117</f>
        <v/>
      </c>
      <c r="C402" s="174">
        <f>C117</f>
        <v/>
      </c>
      <c r="D402" s="175">
        <f>D117</f>
        <v/>
      </c>
      <c r="E402" s="176">
        <f>H117</f>
        <v/>
      </c>
      <c r="F402" s="157">
        <f>I117</f>
        <v/>
      </c>
      <c r="G402" s="174" t="inlineStr">
        <is>
          <t>Home</t>
        </is>
      </c>
      <c r="H402" s="176">
        <f>E117</f>
        <v/>
      </c>
      <c r="I402" s="157">
        <f>F117</f>
        <v/>
      </c>
      <c r="J402" s="177">
        <f>J117</f>
        <v/>
      </c>
      <c r="K402" s="156">
        <f>IF(AND(F402=0,I402=0),"",IF(F402&gt;I402,B402&amp;E402,IF(F402&lt;I402,B402&amp;H402,"Tie")))</f>
        <v/>
      </c>
      <c r="L402" s="156">
        <f>IFERROR(IF(AND(B402&lt;$L$1,F402&gt;I402),"Win",IF(AND(B402&lt;$L$1,F402&lt;I402),"Loss","")),"")</f>
        <v/>
      </c>
      <c r="M402" s="156">
        <f>IF(B402&lt;_CurWeek,"In","")</f>
        <v/>
      </c>
      <c r="N402" s="156">
        <f>IF(M402="In",E402&amp;G402,"")</f>
        <v/>
      </c>
      <c r="O402" s="156">
        <f>IF(L402="Win",1,0)</f>
        <v/>
      </c>
    </row>
    <row r="403" ht="14.4" customHeight="1" s="152">
      <c r="A403" s="167">
        <f>B403&amp;E403</f>
        <v/>
      </c>
      <c r="B403" s="174">
        <f>B118</f>
        <v/>
      </c>
      <c r="C403" s="174">
        <f>C118</f>
        <v/>
      </c>
      <c r="D403" s="175">
        <f>D118</f>
        <v/>
      </c>
      <c r="E403" s="176">
        <f>H118</f>
        <v/>
      </c>
      <c r="F403" s="157">
        <f>I118</f>
        <v/>
      </c>
      <c r="G403" s="174" t="inlineStr">
        <is>
          <t>Home</t>
        </is>
      </c>
      <c r="H403" s="176">
        <f>E118</f>
        <v/>
      </c>
      <c r="I403" s="157">
        <f>F118</f>
        <v/>
      </c>
      <c r="J403" s="177">
        <f>J118</f>
        <v/>
      </c>
      <c r="K403" s="156">
        <f>IF(AND(F403=0,I403=0),"",IF(F403&gt;I403,B403&amp;E403,IF(F403&lt;I403,B403&amp;H403,"Tie")))</f>
        <v/>
      </c>
      <c r="L403" s="156">
        <f>IFERROR(IF(AND(B403&lt;$L$1,F403&gt;I403),"Win",IF(AND(B403&lt;$L$1,F403&lt;I403),"Loss","")),"")</f>
        <v/>
      </c>
      <c r="M403" s="156">
        <f>IF(B403&lt;_CurWeek,"In","")</f>
        <v/>
      </c>
      <c r="N403" s="156">
        <f>IF(M403="In",E403&amp;G403,"")</f>
        <v/>
      </c>
      <c r="O403" s="156">
        <f>IF(L403="Win",1,0)</f>
        <v/>
      </c>
    </row>
    <row r="404" ht="14.4" customHeight="1" s="152">
      <c r="A404" s="167">
        <f>B404&amp;E404</f>
        <v/>
      </c>
      <c r="B404" s="174">
        <f>B119</f>
        <v/>
      </c>
      <c r="C404" s="174">
        <f>C119</f>
        <v/>
      </c>
      <c r="D404" s="175">
        <f>D119</f>
        <v/>
      </c>
      <c r="E404" s="176">
        <f>H119</f>
        <v/>
      </c>
      <c r="F404" s="157">
        <f>I119</f>
        <v/>
      </c>
      <c r="G404" s="174" t="inlineStr">
        <is>
          <t>Home</t>
        </is>
      </c>
      <c r="H404" s="176">
        <f>E119</f>
        <v/>
      </c>
      <c r="I404" s="157">
        <f>F119</f>
        <v/>
      </c>
      <c r="J404" s="177">
        <f>J119</f>
        <v/>
      </c>
      <c r="K404" s="156">
        <f>IF(AND(F404=0,I404=0),"",IF(F404&gt;I404,B404&amp;E404,IF(F404&lt;I404,B404&amp;H404,"Tie")))</f>
        <v/>
      </c>
      <c r="L404" s="156">
        <f>IFERROR(IF(AND(B404&lt;$L$1,F404&gt;I404),"Win",IF(AND(B404&lt;$L$1,F404&lt;I404),"Loss","")),"")</f>
        <v/>
      </c>
      <c r="M404" s="156">
        <f>IF(B404&lt;_CurWeek,"In","")</f>
        <v/>
      </c>
      <c r="N404" s="156">
        <f>IF(M404="In",E404&amp;G404,"")</f>
        <v/>
      </c>
      <c r="O404" s="156">
        <f>IF(L404="Win",1,0)</f>
        <v/>
      </c>
    </row>
    <row r="405" ht="14.4" customHeight="1" s="152">
      <c r="A405" s="167">
        <f>B405&amp;E405</f>
        <v/>
      </c>
      <c r="B405" s="174">
        <f>B120</f>
        <v/>
      </c>
      <c r="C405" s="174">
        <f>C120</f>
        <v/>
      </c>
      <c r="D405" s="175">
        <f>D120</f>
        <v/>
      </c>
      <c r="E405" s="176">
        <f>H120</f>
        <v/>
      </c>
      <c r="F405" s="157">
        <f>I120</f>
        <v/>
      </c>
      <c r="G405" s="174" t="inlineStr">
        <is>
          <t>Home</t>
        </is>
      </c>
      <c r="H405" s="176">
        <f>E120</f>
        <v/>
      </c>
      <c r="I405" s="157">
        <f>F120</f>
        <v/>
      </c>
      <c r="J405" s="177">
        <f>J120</f>
        <v/>
      </c>
      <c r="K405" s="156">
        <f>IF(AND(F405=0,I405=0),"",IF(F405&gt;I405,B405&amp;E405,IF(F405&lt;I405,B405&amp;H405,"Tie")))</f>
        <v/>
      </c>
      <c r="L405" s="156">
        <f>IFERROR(IF(AND(B405&lt;$L$1,F405&gt;I405),"Win",IF(AND(B405&lt;$L$1,F405&lt;I405),"Loss","")),"")</f>
        <v/>
      </c>
      <c r="M405" s="156">
        <f>IF(B405&lt;_CurWeek,"In","")</f>
        <v/>
      </c>
      <c r="N405" s="156">
        <f>IF(M405="In",E405&amp;G405,"")</f>
        <v/>
      </c>
      <c r="O405" s="156">
        <f>IF(L405="Win",1,0)</f>
        <v/>
      </c>
    </row>
    <row r="406" ht="14.4" customHeight="1" s="152">
      <c r="A406" s="167">
        <f>B406&amp;E406</f>
        <v/>
      </c>
      <c r="B406" s="174">
        <f>B121</f>
        <v/>
      </c>
      <c r="C406" s="174">
        <f>C121</f>
        <v/>
      </c>
      <c r="D406" s="175">
        <f>D121</f>
        <v/>
      </c>
      <c r="E406" s="176">
        <f>H121</f>
        <v/>
      </c>
      <c r="F406" s="157">
        <f>I121</f>
        <v/>
      </c>
      <c r="G406" s="174" t="inlineStr">
        <is>
          <t>Home</t>
        </is>
      </c>
      <c r="H406" s="176">
        <f>E121</f>
        <v/>
      </c>
      <c r="I406" s="157">
        <f>F121</f>
        <v/>
      </c>
      <c r="J406" s="177">
        <f>J121</f>
        <v/>
      </c>
      <c r="K406" s="156">
        <f>IF(AND(F406=0,I406=0),"",IF(F406&gt;I406,B406&amp;E406,IF(F406&lt;I406,B406&amp;H406,"Tie")))</f>
        <v/>
      </c>
      <c r="L406" s="156">
        <f>IFERROR(IF(AND(B406&lt;$L$1,F406&gt;I406),"Win",IF(AND(B406&lt;$L$1,F406&lt;I406),"Loss","")),"")</f>
        <v/>
      </c>
      <c r="M406" s="156">
        <f>IF(B406&lt;_CurWeek,"In","")</f>
        <v/>
      </c>
      <c r="N406" s="156">
        <f>IF(M406="In",E406&amp;G406,"")</f>
        <v/>
      </c>
      <c r="O406" s="156">
        <f>IF(L406="Win",1,0)</f>
        <v/>
      </c>
    </row>
    <row r="407" ht="14.4" customHeight="1" s="152">
      <c r="A407" s="167">
        <f>B407&amp;E407</f>
        <v/>
      </c>
      <c r="B407" s="174">
        <f>B122</f>
        <v/>
      </c>
      <c r="C407" s="174">
        <f>C122</f>
        <v/>
      </c>
      <c r="D407" s="175">
        <f>D122</f>
        <v/>
      </c>
      <c r="E407" s="176">
        <f>H122</f>
        <v/>
      </c>
      <c r="F407" s="157">
        <f>I122</f>
        <v/>
      </c>
      <c r="G407" s="174" t="inlineStr">
        <is>
          <t>Home</t>
        </is>
      </c>
      <c r="H407" s="176">
        <f>E122</f>
        <v/>
      </c>
      <c r="I407" s="157">
        <f>F122</f>
        <v/>
      </c>
      <c r="J407" s="177">
        <f>J122</f>
        <v/>
      </c>
      <c r="K407" s="156">
        <f>IF(AND(F407=0,I407=0),"",IF(F407&gt;I407,B407&amp;E407,IF(F407&lt;I407,B407&amp;H407,"Tie")))</f>
        <v/>
      </c>
      <c r="L407" s="156">
        <f>IFERROR(IF(AND(B407&lt;$L$1,F407&gt;I407),"Win",IF(AND(B407&lt;$L$1,F407&lt;I407),"Loss","")),"")</f>
        <v/>
      </c>
      <c r="M407" s="156">
        <f>IF(B407&lt;_CurWeek,"In","")</f>
        <v/>
      </c>
      <c r="N407" s="156">
        <f>IF(M407="In",E407&amp;G407,"")</f>
        <v/>
      </c>
      <c r="O407" s="156">
        <f>IF(L407="Win",1,0)</f>
        <v/>
      </c>
    </row>
    <row r="408" ht="14.4" customHeight="1" s="152">
      <c r="A408" s="167">
        <f>B408&amp;E408</f>
        <v/>
      </c>
      <c r="B408" s="174">
        <f>B123</f>
        <v/>
      </c>
      <c r="C408" s="174">
        <f>C123</f>
        <v/>
      </c>
      <c r="D408" s="175">
        <f>D123</f>
        <v/>
      </c>
      <c r="E408" s="176">
        <f>H123</f>
        <v/>
      </c>
      <c r="F408" s="157">
        <f>I123</f>
        <v/>
      </c>
      <c r="G408" s="174" t="inlineStr">
        <is>
          <t>Home</t>
        </is>
      </c>
      <c r="H408" s="176">
        <f>E123</f>
        <v/>
      </c>
      <c r="I408" s="157">
        <f>F123</f>
        <v/>
      </c>
      <c r="J408" s="177">
        <f>J123</f>
        <v/>
      </c>
      <c r="K408" s="156">
        <f>IF(AND(F408=0,I408=0),"",IF(F408&gt;I408,B408&amp;E408,IF(F408&lt;I408,B408&amp;H408,"Tie")))</f>
        <v/>
      </c>
      <c r="L408" s="156">
        <f>IFERROR(IF(AND(B408&lt;$L$1,F408&gt;I408),"Win",IF(AND(B408&lt;$L$1,F408&lt;I408),"Loss","")),"")</f>
        <v/>
      </c>
      <c r="M408" s="156">
        <f>IF(B408&lt;_CurWeek,"In","")</f>
        <v/>
      </c>
      <c r="N408" s="156">
        <f>IF(M408="In",E408&amp;G408,"")</f>
        <v/>
      </c>
      <c r="O408" s="156">
        <f>IF(L408="Win",1,0)</f>
        <v/>
      </c>
    </row>
    <row r="409" ht="14.4" customHeight="1" s="152">
      <c r="A409" s="167">
        <f>B409&amp;E409</f>
        <v/>
      </c>
      <c r="B409" s="174">
        <f>B124</f>
        <v/>
      </c>
      <c r="C409" s="174">
        <f>C124</f>
        <v/>
      </c>
      <c r="D409" s="175">
        <f>D124</f>
        <v/>
      </c>
      <c r="E409" s="176">
        <f>H124</f>
        <v/>
      </c>
      <c r="F409" s="157">
        <f>I124</f>
        <v/>
      </c>
      <c r="G409" s="174" t="inlineStr">
        <is>
          <t>Home</t>
        </is>
      </c>
      <c r="H409" s="176">
        <f>E124</f>
        <v/>
      </c>
      <c r="I409" s="157">
        <f>F124</f>
        <v/>
      </c>
      <c r="J409" s="177">
        <f>J124</f>
        <v/>
      </c>
      <c r="K409" s="156">
        <f>IF(AND(F409=0,I409=0),"",IF(F409&gt;I409,B409&amp;E409,IF(F409&lt;I409,B409&amp;H409,"Tie")))</f>
        <v/>
      </c>
      <c r="L409" s="156">
        <f>IFERROR(IF(AND(B409&lt;$L$1,F409&gt;I409),"Win",IF(AND(B409&lt;$L$1,F409&lt;I409),"Loss","")),"")</f>
        <v/>
      </c>
      <c r="M409" s="156">
        <f>IF(B409&lt;_CurWeek,"In","")</f>
        <v/>
      </c>
      <c r="N409" s="156">
        <f>IF(M409="In",E409&amp;G409,"")</f>
        <v/>
      </c>
      <c r="O409" s="156">
        <f>IF(L409="Win",1,0)</f>
        <v/>
      </c>
    </row>
    <row r="410" ht="14.4" customHeight="1" s="152">
      <c r="A410" s="167">
        <f>B410&amp;E410</f>
        <v/>
      </c>
      <c r="B410" s="174">
        <f>B125</f>
        <v/>
      </c>
      <c r="C410" s="174">
        <f>C125</f>
        <v/>
      </c>
      <c r="D410" s="175">
        <f>D125</f>
        <v/>
      </c>
      <c r="E410" s="176">
        <f>H125</f>
        <v/>
      </c>
      <c r="F410" s="157">
        <f>I125</f>
        <v/>
      </c>
      <c r="G410" s="174" t="inlineStr">
        <is>
          <t>Home</t>
        </is>
      </c>
      <c r="H410" s="176">
        <f>E125</f>
        <v/>
      </c>
      <c r="I410" s="157">
        <f>F125</f>
        <v/>
      </c>
      <c r="J410" s="177">
        <f>J125</f>
        <v/>
      </c>
      <c r="K410" s="156">
        <f>IF(AND(F410=0,I410=0),"",IF(F410&gt;I410,B410&amp;E410,IF(F410&lt;I410,B410&amp;H410,"Tie")))</f>
        <v/>
      </c>
      <c r="L410" s="156">
        <f>IFERROR(IF(AND(B410&lt;$L$1,F410&gt;I410),"Win",IF(AND(B410&lt;$L$1,F410&lt;I410),"Loss","")),"")</f>
        <v/>
      </c>
      <c r="M410" s="156">
        <f>IF(B410&lt;_CurWeek,"In","")</f>
        <v/>
      </c>
      <c r="N410" s="156">
        <f>IF(M410="In",E410&amp;G410,"")</f>
        <v/>
      </c>
      <c r="O410" s="156">
        <f>IF(L410="Win",1,0)</f>
        <v/>
      </c>
    </row>
    <row r="411" ht="14.4" customHeight="1" s="152">
      <c r="A411" s="167">
        <f>B411&amp;E411</f>
        <v/>
      </c>
      <c r="B411" s="174">
        <f>B126</f>
        <v/>
      </c>
      <c r="C411" s="174">
        <f>C126</f>
        <v/>
      </c>
      <c r="D411" s="175">
        <f>D126</f>
        <v/>
      </c>
      <c r="E411" s="176">
        <f>H126</f>
        <v/>
      </c>
      <c r="F411" s="157">
        <f>I126</f>
        <v/>
      </c>
      <c r="G411" s="174" t="inlineStr">
        <is>
          <t>Home</t>
        </is>
      </c>
      <c r="H411" s="176">
        <f>E126</f>
        <v/>
      </c>
      <c r="I411" s="157">
        <f>F126</f>
        <v/>
      </c>
      <c r="J411" s="177">
        <f>J126</f>
        <v/>
      </c>
      <c r="K411" s="156">
        <f>IF(AND(F411=0,I411=0),"",IF(F411&gt;I411,B411&amp;E411,IF(F411&lt;I411,B411&amp;H411,"Tie")))</f>
        <v/>
      </c>
      <c r="L411" s="156">
        <f>IFERROR(IF(AND(B411&lt;$L$1,F411&gt;I411),"Win",IF(AND(B411&lt;$L$1,F411&lt;I411),"Loss","")),"")</f>
        <v/>
      </c>
      <c r="M411" s="156">
        <f>IF(B411&lt;_CurWeek,"In","")</f>
        <v/>
      </c>
      <c r="N411" s="156">
        <f>IF(M411="In",E411&amp;G411,"")</f>
        <v/>
      </c>
      <c r="O411" s="156">
        <f>IF(L411="Win",1,0)</f>
        <v/>
      </c>
    </row>
    <row r="412" ht="14.4" customHeight="1" s="152">
      <c r="A412" s="167">
        <f>B412&amp;E412</f>
        <v/>
      </c>
      <c r="B412" s="174">
        <f>B127</f>
        <v/>
      </c>
      <c r="C412" s="174">
        <f>C127</f>
        <v/>
      </c>
      <c r="D412" s="175">
        <f>D127</f>
        <v/>
      </c>
      <c r="E412" s="176">
        <f>H127</f>
        <v/>
      </c>
      <c r="F412" s="157">
        <f>I127</f>
        <v/>
      </c>
      <c r="G412" s="174" t="inlineStr">
        <is>
          <t>Home</t>
        </is>
      </c>
      <c r="H412" s="176">
        <f>E127</f>
        <v/>
      </c>
      <c r="I412" s="157">
        <f>F127</f>
        <v/>
      </c>
      <c r="J412" s="177">
        <f>J127</f>
        <v/>
      </c>
      <c r="K412" s="156">
        <f>IF(AND(F412=0,I412=0),"",IF(F412&gt;I412,B412&amp;E412,IF(F412&lt;I412,B412&amp;H412,"Tie")))</f>
        <v/>
      </c>
      <c r="L412" s="156">
        <f>IFERROR(IF(AND(B412&lt;$L$1,F412&gt;I412),"Win",IF(AND(B412&lt;$L$1,F412&lt;I412),"Loss","")),"")</f>
        <v/>
      </c>
      <c r="M412" s="156">
        <f>IF(B412&lt;_CurWeek,"In","")</f>
        <v/>
      </c>
      <c r="N412" s="156">
        <f>IF(M412="In",E412&amp;G412,"")</f>
        <v/>
      </c>
      <c r="O412" s="156">
        <f>IF(L412="Win",1,0)</f>
        <v/>
      </c>
    </row>
    <row r="413" ht="14.4" customHeight="1" s="152">
      <c r="A413" s="167">
        <f>B413&amp;E413</f>
        <v/>
      </c>
      <c r="B413" s="174">
        <f>B128</f>
        <v/>
      </c>
      <c r="C413" s="174">
        <f>C128</f>
        <v/>
      </c>
      <c r="D413" s="175">
        <f>D128</f>
        <v/>
      </c>
      <c r="E413" s="176">
        <f>H128</f>
        <v/>
      </c>
      <c r="F413" s="157">
        <f>I128</f>
        <v/>
      </c>
      <c r="G413" s="174" t="inlineStr">
        <is>
          <t>Home</t>
        </is>
      </c>
      <c r="H413" s="176">
        <f>E128</f>
        <v/>
      </c>
      <c r="I413" s="157">
        <f>F128</f>
        <v/>
      </c>
      <c r="J413" s="177">
        <f>J128</f>
        <v/>
      </c>
      <c r="K413" s="156">
        <f>IF(AND(F413=0,I413=0),"",IF(F413&gt;I413,B413&amp;E413,IF(F413&lt;I413,B413&amp;H413,"Tie")))</f>
        <v/>
      </c>
      <c r="L413" s="156">
        <f>IFERROR(IF(AND(B413&lt;$L$1,F413&gt;I413),"Win",IF(AND(B413&lt;$L$1,F413&lt;I413),"Loss","")),"")</f>
        <v/>
      </c>
      <c r="M413" s="156">
        <f>IF(B413&lt;_CurWeek,"In","")</f>
        <v/>
      </c>
      <c r="N413" s="156">
        <f>IF(M413="In",E413&amp;G413,"")</f>
        <v/>
      </c>
      <c r="O413" s="156">
        <f>IF(L413="Win",1,0)</f>
        <v/>
      </c>
    </row>
    <row r="414" ht="14.4" customHeight="1" s="152">
      <c r="A414" s="167">
        <f>B414&amp;E414</f>
        <v/>
      </c>
      <c r="B414" s="174">
        <f>B129</f>
        <v/>
      </c>
      <c r="C414" s="174">
        <f>C129</f>
        <v/>
      </c>
      <c r="D414" s="175">
        <f>D129</f>
        <v/>
      </c>
      <c r="E414" s="176">
        <f>H129</f>
        <v/>
      </c>
      <c r="F414" s="157">
        <f>I129</f>
        <v/>
      </c>
      <c r="G414" s="174" t="inlineStr">
        <is>
          <t>Home</t>
        </is>
      </c>
      <c r="H414" s="176">
        <f>E129</f>
        <v/>
      </c>
      <c r="I414" s="157">
        <f>F129</f>
        <v/>
      </c>
      <c r="J414" s="177">
        <f>J129</f>
        <v/>
      </c>
      <c r="K414" s="156">
        <f>IF(AND(F414=0,I414=0),"",IF(F414&gt;I414,B414&amp;E414,IF(F414&lt;I414,B414&amp;H414,"Tie")))</f>
        <v/>
      </c>
      <c r="L414" s="156">
        <f>IFERROR(IF(AND(B414&lt;$L$1,F414&gt;I414),"Win",IF(AND(B414&lt;$L$1,F414&lt;I414),"Loss","")),"")</f>
        <v/>
      </c>
      <c r="M414" s="156">
        <f>IF(B414&lt;_CurWeek,"In","")</f>
        <v/>
      </c>
      <c r="N414" s="156">
        <f>IF(M414="In",E414&amp;G414,"")</f>
        <v/>
      </c>
      <c r="O414" s="156">
        <f>IF(L414="Win",1,0)</f>
        <v/>
      </c>
    </row>
    <row r="415" ht="14.4" customHeight="1" s="152">
      <c r="A415" s="167">
        <f>B415&amp;E415</f>
        <v/>
      </c>
      <c r="B415" s="174">
        <f>B130</f>
        <v/>
      </c>
      <c r="C415" s="174">
        <f>C130</f>
        <v/>
      </c>
      <c r="D415" s="175">
        <f>D130</f>
        <v/>
      </c>
      <c r="E415" s="176">
        <f>H130</f>
        <v/>
      </c>
      <c r="F415" s="157">
        <f>I130</f>
        <v/>
      </c>
      <c r="G415" s="174" t="inlineStr">
        <is>
          <t>Home</t>
        </is>
      </c>
      <c r="H415" s="176">
        <f>E130</f>
        <v/>
      </c>
      <c r="I415" s="157">
        <f>F130</f>
        <v/>
      </c>
      <c r="J415" s="177">
        <f>J130</f>
        <v/>
      </c>
      <c r="K415" s="156">
        <f>IF(AND(F415=0,I415=0),"",IF(F415&gt;I415,B415&amp;E415,IF(F415&lt;I415,B415&amp;H415,"Tie")))</f>
        <v/>
      </c>
      <c r="L415" s="156">
        <f>IFERROR(IF(AND(B415&lt;$L$1,F415&gt;I415),"Win",IF(AND(B415&lt;$L$1,F415&lt;I415),"Loss","")),"")</f>
        <v/>
      </c>
      <c r="M415" s="156">
        <f>IF(B415&lt;_CurWeek,"In","")</f>
        <v/>
      </c>
      <c r="N415" s="156">
        <f>IF(M415="In",E415&amp;G415,"")</f>
        <v/>
      </c>
      <c r="O415" s="156">
        <f>IF(L415="Win",1,0)</f>
        <v/>
      </c>
    </row>
    <row r="416" ht="14.4" customHeight="1" s="152">
      <c r="A416" s="167">
        <f>B416&amp;E416</f>
        <v/>
      </c>
      <c r="B416" s="174">
        <f>B131</f>
        <v/>
      </c>
      <c r="C416" s="174">
        <f>C131</f>
        <v/>
      </c>
      <c r="D416" s="175">
        <f>D131</f>
        <v/>
      </c>
      <c r="E416" s="176">
        <f>H131</f>
        <v/>
      </c>
      <c r="F416" s="157">
        <f>I131</f>
        <v/>
      </c>
      <c r="G416" s="174" t="inlineStr">
        <is>
          <t>Home</t>
        </is>
      </c>
      <c r="H416" s="176">
        <f>E131</f>
        <v/>
      </c>
      <c r="I416" s="157">
        <f>F131</f>
        <v/>
      </c>
      <c r="J416" s="177">
        <f>J131</f>
        <v/>
      </c>
      <c r="K416" s="156">
        <f>IF(AND(F416=0,I416=0),"",IF(F416&gt;I416,B416&amp;E416,IF(F416&lt;I416,B416&amp;H416,"Tie")))</f>
        <v/>
      </c>
      <c r="L416" s="156">
        <f>IFERROR(IF(AND(B416&lt;$L$1,F416&gt;I416),"Win",IF(AND(B416&lt;$L$1,F416&lt;I416),"Loss","")),"")</f>
        <v/>
      </c>
      <c r="M416" s="156">
        <f>IF(B416&lt;_CurWeek,"In","")</f>
        <v/>
      </c>
      <c r="N416" s="156">
        <f>IF(M416="In",E416&amp;G416,"")</f>
        <v/>
      </c>
      <c r="O416" s="156">
        <f>IF(L416="Win",1,0)</f>
        <v/>
      </c>
    </row>
    <row r="417" ht="14.4" customHeight="1" s="152">
      <c r="A417" s="167">
        <f>B417&amp;E417</f>
        <v/>
      </c>
      <c r="B417" s="174">
        <f>B132</f>
        <v/>
      </c>
      <c r="C417" s="174">
        <f>C132</f>
        <v/>
      </c>
      <c r="D417" s="175">
        <f>D132</f>
        <v/>
      </c>
      <c r="E417" s="176">
        <f>H132</f>
        <v/>
      </c>
      <c r="F417" s="157">
        <f>I132</f>
        <v/>
      </c>
      <c r="G417" s="174" t="inlineStr">
        <is>
          <t>Home</t>
        </is>
      </c>
      <c r="H417" s="176">
        <f>E132</f>
        <v/>
      </c>
      <c r="I417" s="157">
        <f>F132</f>
        <v/>
      </c>
      <c r="J417" s="177">
        <f>J132</f>
        <v/>
      </c>
      <c r="K417" s="156">
        <f>IF(AND(F417=0,I417=0),"",IF(F417&gt;I417,B417&amp;E417,IF(F417&lt;I417,B417&amp;H417,"Tie")))</f>
        <v/>
      </c>
      <c r="L417" s="156">
        <f>IFERROR(IF(AND(B417&lt;$L$1,F417&gt;I417),"Win",IF(AND(B417&lt;$L$1,F417&lt;I417),"Loss","")),"")</f>
        <v/>
      </c>
      <c r="M417" s="156">
        <f>IF(B417&lt;_CurWeek,"In","")</f>
        <v/>
      </c>
      <c r="N417" s="156">
        <f>IF(M417="In",E417&amp;G417,"")</f>
        <v/>
      </c>
      <c r="O417" s="156">
        <f>IF(L417="Win",1,0)</f>
        <v/>
      </c>
    </row>
    <row r="418" ht="14.4" customHeight="1" s="152">
      <c r="A418" s="167">
        <f>B418&amp;E418</f>
        <v/>
      </c>
      <c r="B418" s="174">
        <f>B133</f>
        <v/>
      </c>
      <c r="C418" s="174">
        <f>C133</f>
        <v/>
      </c>
      <c r="D418" s="175">
        <f>D133</f>
        <v/>
      </c>
      <c r="E418" s="176">
        <f>H133</f>
        <v/>
      </c>
      <c r="F418" s="157">
        <f>I133</f>
        <v/>
      </c>
      <c r="G418" s="174" t="inlineStr">
        <is>
          <t>Home</t>
        </is>
      </c>
      <c r="H418" s="176">
        <f>E133</f>
        <v/>
      </c>
      <c r="I418" s="157">
        <f>F133</f>
        <v/>
      </c>
      <c r="J418" s="177">
        <f>J133</f>
        <v/>
      </c>
      <c r="K418" s="156">
        <f>IF(AND(F418=0,I418=0),"",IF(F418&gt;I418,B418&amp;E418,IF(F418&lt;I418,B418&amp;H418,"Tie")))</f>
        <v/>
      </c>
      <c r="L418" s="156">
        <f>IFERROR(IF(AND(B418&lt;$L$1,F418&gt;I418),"Win",IF(AND(B418&lt;$L$1,F418&lt;I418),"Loss","")),"")</f>
        <v/>
      </c>
      <c r="M418" s="156">
        <f>IF(B418&lt;_CurWeek,"In","")</f>
        <v/>
      </c>
      <c r="N418" s="156">
        <f>IF(M418="In",E418&amp;G418,"")</f>
        <v/>
      </c>
      <c r="O418" s="156">
        <f>IF(L418="Win",1,0)</f>
        <v/>
      </c>
    </row>
    <row r="419" ht="14.4" customHeight="1" s="152">
      <c r="A419" s="167">
        <f>B419&amp;E419</f>
        <v/>
      </c>
      <c r="B419" s="174">
        <f>B134</f>
        <v/>
      </c>
      <c r="C419" s="174">
        <f>C134</f>
        <v/>
      </c>
      <c r="D419" s="175">
        <f>D134</f>
        <v/>
      </c>
      <c r="E419" s="176">
        <f>H134</f>
        <v/>
      </c>
      <c r="F419" s="157">
        <f>I134</f>
        <v/>
      </c>
      <c r="G419" s="174" t="inlineStr">
        <is>
          <t>Home</t>
        </is>
      </c>
      <c r="H419" s="176">
        <f>E134</f>
        <v/>
      </c>
      <c r="I419" s="157">
        <f>F134</f>
        <v/>
      </c>
      <c r="J419" s="177">
        <f>J134</f>
        <v/>
      </c>
      <c r="K419" s="156">
        <f>IF(AND(F419=0,I419=0),"",IF(F419&gt;I419,B419&amp;E419,IF(F419&lt;I419,B419&amp;H419,"Tie")))</f>
        <v/>
      </c>
      <c r="L419" s="156">
        <f>IFERROR(IF(AND(B419&lt;$L$1,F419&gt;I419),"Win",IF(AND(B419&lt;$L$1,F419&lt;I419),"Loss","")),"")</f>
        <v/>
      </c>
      <c r="M419" s="156">
        <f>IF(B419&lt;_CurWeek,"In","")</f>
        <v/>
      </c>
      <c r="N419" s="156">
        <f>IF(M419="In",E419&amp;G419,"")</f>
        <v/>
      </c>
      <c r="O419" s="156">
        <f>IF(L419="Win",1,0)</f>
        <v/>
      </c>
    </row>
    <row r="420" ht="14.4" customHeight="1" s="152">
      <c r="A420" s="167">
        <f>B420&amp;E420</f>
        <v/>
      </c>
      <c r="B420" s="174">
        <f>B135</f>
        <v/>
      </c>
      <c r="C420" s="174">
        <f>C135</f>
        <v/>
      </c>
      <c r="D420" s="175">
        <f>D135</f>
        <v/>
      </c>
      <c r="E420" s="176">
        <f>H135</f>
        <v/>
      </c>
      <c r="F420" s="157">
        <f>I135</f>
        <v/>
      </c>
      <c r="G420" s="174" t="inlineStr">
        <is>
          <t>Home</t>
        </is>
      </c>
      <c r="H420" s="176">
        <f>E135</f>
        <v/>
      </c>
      <c r="I420" s="157">
        <f>F135</f>
        <v/>
      </c>
      <c r="J420" s="177">
        <f>J135</f>
        <v/>
      </c>
      <c r="K420" s="156">
        <f>IF(AND(F420=0,I420=0),"",IF(F420&gt;I420,B420&amp;E420,IF(F420&lt;I420,B420&amp;H420,"Tie")))</f>
        <v/>
      </c>
      <c r="L420" s="156">
        <f>IFERROR(IF(AND(B420&lt;$L$1,F420&gt;I420),"Win",IF(AND(B420&lt;$L$1,F420&lt;I420),"Loss","")),"")</f>
        <v/>
      </c>
      <c r="M420" s="156">
        <f>IF(B420&lt;_CurWeek,"In","")</f>
        <v/>
      </c>
      <c r="N420" s="156">
        <f>IF(M420="In",E420&amp;G420,"")</f>
        <v/>
      </c>
      <c r="O420" s="156">
        <f>IF(L420="Win",1,0)</f>
        <v/>
      </c>
    </row>
    <row r="421" ht="14.4" customHeight="1" s="152">
      <c r="A421" s="167">
        <f>B421&amp;E421</f>
        <v/>
      </c>
      <c r="B421" s="174">
        <f>B136</f>
        <v/>
      </c>
      <c r="C421" s="174">
        <f>C136</f>
        <v/>
      </c>
      <c r="D421" s="175">
        <f>D136</f>
        <v/>
      </c>
      <c r="E421" s="176">
        <f>H136</f>
        <v/>
      </c>
      <c r="F421" s="157">
        <f>I136</f>
        <v/>
      </c>
      <c r="G421" s="174" t="inlineStr">
        <is>
          <t>Home</t>
        </is>
      </c>
      <c r="H421" s="176">
        <f>E136</f>
        <v/>
      </c>
      <c r="I421" s="157">
        <f>F136</f>
        <v/>
      </c>
      <c r="J421" s="177">
        <f>J136</f>
        <v/>
      </c>
      <c r="K421" s="156">
        <f>IF(AND(F421=0,I421=0),"",IF(F421&gt;I421,B421&amp;E421,IF(F421&lt;I421,B421&amp;H421,"Tie")))</f>
        <v/>
      </c>
      <c r="L421" s="156">
        <f>IFERROR(IF(AND(B421&lt;$L$1,F421&gt;I421),"Win",IF(AND(B421&lt;$L$1,F421&lt;I421),"Loss","")),"")</f>
        <v/>
      </c>
      <c r="M421" s="156">
        <f>IF(B421&lt;_CurWeek,"In","")</f>
        <v/>
      </c>
      <c r="N421" s="156">
        <f>IF(M421="In",E421&amp;G421,"")</f>
        <v/>
      </c>
      <c r="O421" s="156">
        <f>IF(L421="Win",1,0)</f>
        <v/>
      </c>
    </row>
    <row r="422" ht="14.4" customHeight="1" s="152">
      <c r="A422" s="167">
        <f>B422&amp;E422</f>
        <v/>
      </c>
      <c r="B422" s="174">
        <f>B137</f>
        <v/>
      </c>
      <c r="C422" s="174">
        <f>C137</f>
        <v/>
      </c>
      <c r="D422" s="175">
        <f>D137</f>
        <v/>
      </c>
      <c r="E422" s="176">
        <f>H137</f>
        <v/>
      </c>
      <c r="F422" s="157">
        <f>I137</f>
        <v/>
      </c>
      <c r="G422" s="174" t="inlineStr">
        <is>
          <t>Home</t>
        </is>
      </c>
      <c r="H422" s="176">
        <f>E137</f>
        <v/>
      </c>
      <c r="I422" s="157">
        <f>F137</f>
        <v/>
      </c>
      <c r="J422" s="177">
        <f>J137</f>
        <v/>
      </c>
      <c r="K422" s="156">
        <f>IF(AND(F422=0,I422=0),"",IF(F422&gt;I422,B422&amp;E422,IF(F422&lt;I422,B422&amp;H422,"Tie")))</f>
        <v/>
      </c>
      <c r="L422" s="156">
        <f>IFERROR(IF(AND(B422&lt;$L$1,F422&gt;I422),"Win",IF(AND(B422&lt;$L$1,F422&lt;I422),"Loss","")),"")</f>
        <v/>
      </c>
      <c r="M422" s="156">
        <f>IF(B422&lt;_CurWeek,"In","")</f>
        <v/>
      </c>
      <c r="N422" s="156">
        <f>IF(M422="In",E422&amp;G422,"")</f>
        <v/>
      </c>
      <c r="O422" s="156">
        <f>IF(L422="Win",1,0)</f>
        <v/>
      </c>
    </row>
    <row r="423" ht="14.4" customHeight="1" s="152">
      <c r="A423" s="167">
        <f>B423&amp;E423</f>
        <v/>
      </c>
      <c r="B423" s="174">
        <f>B138</f>
        <v/>
      </c>
      <c r="C423" s="174">
        <f>C138</f>
        <v/>
      </c>
      <c r="D423" s="175">
        <f>D138</f>
        <v/>
      </c>
      <c r="E423" s="176">
        <f>H138</f>
        <v/>
      </c>
      <c r="F423" s="157">
        <f>I138</f>
        <v/>
      </c>
      <c r="G423" s="174" t="inlineStr">
        <is>
          <t>Home</t>
        </is>
      </c>
      <c r="H423" s="176">
        <f>E138</f>
        <v/>
      </c>
      <c r="I423" s="157">
        <f>F138</f>
        <v/>
      </c>
      <c r="J423" s="177">
        <f>J138</f>
        <v/>
      </c>
      <c r="K423" s="156">
        <f>IF(AND(F423=0,I423=0),"",IF(F423&gt;I423,B423&amp;E423,IF(F423&lt;I423,B423&amp;H423,"Tie")))</f>
        <v/>
      </c>
      <c r="L423" s="156">
        <f>IFERROR(IF(AND(B423&lt;$L$1,F423&gt;I423),"Win",IF(AND(B423&lt;$L$1,F423&lt;I423),"Loss","")),"")</f>
        <v/>
      </c>
      <c r="M423" s="156">
        <f>IF(B423&lt;_CurWeek,"In","")</f>
        <v/>
      </c>
      <c r="N423" s="156">
        <f>IF(M423="In",E423&amp;G423,"")</f>
        <v/>
      </c>
      <c r="O423" s="156">
        <f>IF(L423="Win",1,0)</f>
        <v/>
      </c>
    </row>
    <row r="424" ht="14.4" customHeight="1" s="152">
      <c r="A424" s="167">
        <f>B424&amp;E424</f>
        <v/>
      </c>
      <c r="B424" s="174">
        <f>B139</f>
        <v/>
      </c>
      <c r="C424" s="174">
        <f>C139</f>
        <v/>
      </c>
      <c r="D424" s="175">
        <f>D139</f>
        <v/>
      </c>
      <c r="E424" s="176">
        <f>H139</f>
        <v/>
      </c>
      <c r="F424" s="157">
        <f>I139</f>
        <v/>
      </c>
      <c r="G424" s="174" t="inlineStr">
        <is>
          <t>Home</t>
        </is>
      </c>
      <c r="H424" s="176">
        <f>E139</f>
        <v/>
      </c>
      <c r="I424" s="157">
        <f>F139</f>
        <v/>
      </c>
      <c r="J424" s="177">
        <f>J139</f>
        <v/>
      </c>
      <c r="K424" s="156">
        <f>IF(AND(F424=0,I424=0),"",IF(F424&gt;I424,B424&amp;E424,IF(F424&lt;I424,B424&amp;H424,"Tie")))</f>
        <v/>
      </c>
      <c r="L424" s="156">
        <f>IFERROR(IF(AND(B424&lt;$L$1,F424&gt;I424),"Win",IF(AND(B424&lt;$L$1,F424&lt;I424),"Loss","")),"")</f>
        <v/>
      </c>
      <c r="M424" s="156">
        <f>IF(B424&lt;_CurWeek,"In","")</f>
        <v/>
      </c>
      <c r="N424" s="156">
        <f>IF(M424="In",E424&amp;G424,"")</f>
        <v/>
      </c>
      <c r="O424" s="156">
        <f>IF(L424="Win",1,0)</f>
        <v/>
      </c>
    </row>
    <row r="425" ht="14.4" customHeight="1" s="152">
      <c r="A425" s="167">
        <f>B425&amp;E425</f>
        <v/>
      </c>
      <c r="B425" s="174">
        <f>B140</f>
        <v/>
      </c>
      <c r="C425" s="174">
        <f>C140</f>
        <v/>
      </c>
      <c r="D425" s="175">
        <f>D140</f>
        <v/>
      </c>
      <c r="E425" s="176">
        <f>H140</f>
        <v/>
      </c>
      <c r="F425" s="157">
        <f>I140</f>
        <v/>
      </c>
      <c r="G425" s="174" t="inlineStr">
        <is>
          <t>Home</t>
        </is>
      </c>
      <c r="H425" s="176">
        <f>E140</f>
        <v/>
      </c>
      <c r="I425" s="157">
        <f>F140</f>
        <v/>
      </c>
      <c r="J425" s="177">
        <f>J140</f>
        <v/>
      </c>
      <c r="K425" s="156">
        <f>IF(AND(F425=0,I425=0),"",IF(F425&gt;I425,B425&amp;E425,IF(F425&lt;I425,B425&amp;H425,"Tie")))</f>
        <v/>
      </c>
      <c r="L425" s="156">
        <f>IFERROR(IF(AND(B425&lt;$L$1,F425&gt;I425),"Win",IF(AND(B425&lt;$L$1,F425&lt;I425),"Loss","")),"")</f>
        <v/>
      </c>
      <c r="M425" s="156">
        <f>IF(B425&lt;_CurWeek,"In","")</f>
        <v/>
      </c>
      <c r="N425" s="156">
        <f>IF(M425="In",E425&amp;G425,"")</f>
        <v/>
      </c>
      <c r="O425" s="156">
        <f>IF(L425="Win",1,0)</f>
        <v/>
      </c>
    </row>
    <row r="426" ht="14.4" customHeight="1" s="152">
      <c r="A426" s="167">
        <f>B426&amp;E426</f>
        <v/>
      </c>
      <c r="B426" s="174">
        <f>B141</f>
        <v/>
      </c>
      <c r="C426" s="174">
        <f>C141</f>
        <v/>
      </c>
      <c r="D426" s="175">
        <f>D141</f>
        <v/>
      </c>
      <c r="E426" s="176">
        <f>H141</f>
        <v/>
      </c>
      <c r="F426" s="157">
        <f>I141</f>
        <v/>
      </c>
      <c r="G426" s="174" t="inlineStr">
        <is>
          <t>Home</t>
        </is>
      </c>
      <c r="H426" s="176">
        <f>E141</f>
        <v/>
      </c>
      <c r="I426" s="157">
        <f>F141</f>
        <v/>
      </c>
      <c r="J426" s="177">
        <f>J141</f>
        <v/>
      </c>
      <c r="K426" s="156">
        <f>IF(AND(F426=0,I426=0),"",IF(F426&gt;I426,B426&amp;E426,IF(F426&lt;I426,B426&amp;H426,"Tie")))</f>
        <v/>
      </c>
      <c r="L426" s="156">
        <f>IFERROR(IF(AND(B426&lt;$L$1,F426&gt;I426),"Win",IF(AND(B426&lt;$L$1,F426&lt;I426),"Loss","")),"")</f>
        <v/>
      </c>
      <c r="M426" s="156">
        <f>IF(B426&lt;_CurWeek,"In","")</f>
        <v/>
      </c>
      <c r="N426" s="156">
        <f>IF(M426="In",E426&amp;G426,"")</f>
        <v/>
      </c>
      <c r="O426" s="156">
        <f>IF(L426="Win",1,0)</f>
        <v/>
      </c>
    </row>
    <row r="427" ht="14.4" customHeight="1" s="152">
      <c r="A427" s="167">
        <f>B427&amp;E427</f>
        <v/>
      </c>
      <c r="B427" s="174">
        <f>B142</f>
        <v/>
      </c>
      <c r="C427" s="174">
        <f>C142</f>
        <v/>
      </c>
      <c r="D427" s="175">
        <f>D142</f>
        <v/>
      </c>
      <c r="E427" s="176">
        <f>H142</f>
        <v/>
      </c>
      <c r="F427" s="157">
        <f>I142</f>
        <v/>
      </c>
      <c r="G427" s="174" t="inlineStr">
        <is>
          <t>Home</t>
        </is>
      </c>
      <c r="H427" s="176">
        <f>E142</f>
        <v/>
      </c>
      <c r="I427" s="157">
        <f>F142</f>
        <v/>
      </c>
      <c r="J427" s="177">
        <f>J142</f>
        <v/>
      </c>
      <c r="K427" s="156">
        <f>IF(AND(F427=0,I427=0),"",IF(F427&gt;I427,B427&amp;E427,IF(F427&lt;I427,B427&amp;H427,"Tie")))</f>
        <v/>
      </c>
      <c r="L427" s="156">
        <f>IFERROR(IF(AND(B427&lt;$L$1,F427&gt;I427),"Win",IF(AND(B427&lt;$L$1,F427&lt;I427),"Loss","")),"")</f>
        <v/>
      </c>
      <c r="M427" s="156">
        <f>IF(B427&lt;_CurWeek,"In","")</f>
        <v/>
      </c>
      <c r="N427" s="156">
        <f>IF(M427="In",E427&amp;G427,"")</f>
        <v/>
      </c>
      <c r="O427" s="156">
        <f>IF(L427="Win",1,0)</f>
        <v/>
      </c>
    </row>
    <row r="428" ht="14.4" customHeight="1" s="152">
      <c r="A428" s="167">
        <f>B428&amp;E428</f>
        <v/>
      </c>
      <c r="B428" s="174">
        <f>B143</f>
        <v/>
      </c>
      <c r="C428" s="174">
        <f>C143</f>
        <v/>
      </c>
      <c r="D428" s="175">
        <f>D143</f>
        <v/>
      </c>
      <c r="E428" s="176">
        <f>H143</f>
        <v/>
      </c>
      <c r="F428" s="157">
        <f>I143</f>
        <v/>
      </c>
      <c r="G428" s="174" t="inlineStr">
        <is>
          <t>Home</t>
        </is>
      </c>
      <c r="H428" s="176">
        <f>E143</f>
        <v/>
      </c>
      <c r="I428" s="157">
        <f>F143</f>
        <v/>
      </c>
      <c r="J428" s="177">
        <f>J143</f>
        <v/>
      </c>
      <c r="K428" s="156">
        <f>IF(AND(F428=0,I428=0),"",IF(F428&gt;I428,B428&amp;E428,IF(F428&lt;I428,B428&amp;H428,"Tie")))</f>
        <v/>
      </c>
      <c r="L428" s="156">
        <f>IFERROR(IF(AND(B428&lt;$L$1,F428&gt;I428),"Win",IF(AND(B428&lt;$L$1,F428&lt;I428),"Loss","")),"")</f>
        <v/>
      </c>
      <c r="M428" s="156">
        <f>IF(B428&lt;_CurWeek,"In","")</f>
        <v/>
      </c>
      <c r="N428" s="156">
        <f>IF(M428="In",E428&amp;G428,"")</f>
        <v/>
      </c>
      <c r="O428" s="156">
        <f>IF(L428="Win",1,0)</f>
        <v/>
      </c>
    </row>
    <row r="429" ht="14.4" customHeight="1" s="152">
      <c r="A429" s="167">
        <f>B429&amp;E429</f>
        <v/>
      </c>
      <c r="B429" s="174">
        <f>B144</f>
        <v/>
      </c>
      <c r="C429" s="174">
        <f>C144</f>
        <v/>
      </c>
      <c r="D429" s="175">
        <f>D144</f>
        <v/>
      </c>
      <c r="E429" s="176">
        <f>H144</f>
        <v/>
      </c>
      <c r="F429" s="157">
        <f>I144</f>
        <v/>
      </c>
      <c r="G429" s="174" t="inlineStr">
        <is>
          <t>Home</t>
        </is>
      </c>
      <c r="H429" s="176">
        <f>E144</f>
        <v/>
      </c>
      <c r="I429" s="157">
        <f>F144</f>
        <v/>
      </c>
      <c r="J429" s="177">
        <f>J144</f>
        <v/>
      </c>
      <c r="K429" s="156">
        <f>IF(AND(F429=0,I429=0),"",IF(F429&gt;I429,B429&amp;E429,IF(F429&lt;I429,B429&amp;H429,"Tie")))</f>
        <v/>
      </c>
      <c r="L429" s="156">
        <f>IFERROR(IF(AND(B429&lt;$L$1,F429&gt;I429),"Win",IF(AND(B429&lt;$L$1,F429&lt;I429),"Loss","")),"")</f>
        <v/>
      </c>
      <c r="M429" s="156">
        <f>IF(B429&lt;_CurWeek,"In","")</f>
        <v/>
      </c>
      <c r="N429" s="156">
        <f>IF(M429="In",E429&amp;G429,"")</f>
        <v/>
      </c>
      <c r="O429" s="156">
        <f>IF(L429="Win",1,0)</f>
        <v/>
      </c>
    </row>
    <row r="430" ht="14.4" customHeight="1" s="152">
      <c r="A430" s="167">
        <f>B430&amp;E430</f>
        <v/>
      </c>
      <c r="B430" s="174">
        <f>B145</f>
        <v/>
      </c>
      <c r="C430" s="174">
        <f>C145</f>
        <v/>
      </c>
      <c r="D430" s="175">
        <f>D145</f>
        <v/>
      </c>
      <c r="E430" s="176">
        <f>H145</f>
        <v/>
      </c>
      <c r="F430" s="157">
        <f>I145</f>
        <v/>
      </c>
      <c r="G430" s="174" t="inlineStr">
        <is>
          <t>Home</t>
        </is>
      </c>
      <c r="H430" s="176">
        <f>E145</f>
        <v/>
      </c>
      <c r="I430" s="157">
        <f>F145</f>
        <v/>
      </c>
      <c r="J430" s="177">
        <f>J145</f>
        <v/>
      </c>
      <c r="K430" s="156">
        <f>IF(AND(F430=0,I430=0),"",IF(F430&gt;I430,B430&amp;E430,IF(F430&lt;I430,B430&amp;H430,"Tie")))</f>
        <v/>
      </c>
      <c r="L430" s="156">
        <f>IFERROR(IF(AND(B430&lt;$L$1,F430&gt;I430),"Win",IF(AND(B430&lt;$L$1,F430&lt;I430),"Loss","")),"")</f>
        <v/>
      </c>
      <c r="M430" s="156">
        <f>IF(B430&lt;_CurWeek,"In","")</f>
        <v/>
      </c>
      <c r="N430" s="156">
        <f>IF(M430="In",E430&amp;G430,"")</f>
        <v/>
      </c>
      <c r="O430" s="156">
        <f>IF(L430="Win",1,0)</f>
        <v/>
      </c>
    </row>
    <row r="431" ht="14.4" customHeight="1" s="152">
      <c r="A431" s="167">
        <f>B431&amp;E431</f>
        <v/>
      </c>
      <c r="B431" s="174">
        <f>B146</f>
        <v/>
      </c>
      <c r="C431" s="174">
        <f>C146</f>
        <v/>
      </c>
      <c r="D431" s="175">
        <f>D146</f>
        <v/>
      </c>
      <c r="E431" s="176">
        <f>H146</f>
        <v/>
      </c>
      <c r="F431" s="157">
        <f>I146</f>
        <v/>
      </c>
      <c r="G431" s="174" t="inlineStr">
        <is>
          <t>Home</t>
        </is>
      </c>
      <c r="H431" s="176">
        <f>E146</f>
        <v/>
      </c>
      <c r="I431" s="157">
        <f>F146</f>
        <v/>
      </c>
      <c r="J431" s="177">
        <f>J146</f>
        <v/>
      </c>
      <c r="K431" s="156">
        <f>IF(AND(F431=0,I431=0),"",IF(F431&gt;I431,B431&amp;E431,IF(F431&lt;I431,B431&amp;H431,"Tie")))</f>
        <v/>
      </c>
      <c r="L431" s="156">
        <f>IFERROR(IF(AND(B431&lt;$L$1,F431&gt;I431),"Win",IF(AND(B431&lt;$L$1,F431&lt;I431),"Loss","")),"")</f>
        <v/>
      </c>
      <c r="M431" s="156">
        <f>IF(B431&lt;_CurWeek,"In","")</f>
        <v/>
      </c>
      <c r="N431" s="156">
        <f>IF(M431="In",E431&amp;G431,"")</f>
        <v/>
      </c>
      <c r="O431" s="156">
        <f>IF(L431="Win",1,0)</f>
        <v/>
      </c>
    </row>
    <row r="432" ht="14.4" customHeight="1" s="152">
      <c r="A432" s="167">
        <f>B432&amp;E432</f>
        <v/>
      </c>
      <c r="B432" s="174">
        <f>B147</f>
        <v/>
      </c>
      <c r="C432" s="174">
        <f>C147</f>
        <v/>
      </c>
      <c r="D432" s="175">
        <f>D147</f>
        <v/>
      </c>
      <c r="E432" s="176">
        <f>H147</f>
        <v/>
      </c>
      <c r="F432" s="157">
        <f>I147</f>
        <v/>
      </c>
      <c r="G432" s="174" t="inlineStr">
        <is>
          <t>Home</t>
        </is>
      </c>
      <c r="H432" s="176">
        <f>E147</f>
        <v/>
      </c>
      <c r="I432" s="157">
        <f>F147</f>
        <v/>
      </c>
      <c r="J432" s="177">
        <f>J147</f>
        <v/>
      </c>
      <c r="K432" s="156">
        <f>IF(AND(F432=0,I432=0),"",IF(F432&gt;I432,B432&amp;E432,IF(F432&lt;I432,B432&amp;H432,"Tie")))</f>
        <v/>
      </c>
      <c r="L432" s="156">
        <f>IFERROR(IF(AND(B432&lt;$L$1,F432&gt;I432),"Win",IF(AND(B432&lt;$L$1,F432&lt;I432),"Loss","")),"")</f>
        <v/>
      </c>
      <c r="M432" s="156">
        <f>IF(B432&lt;_CurWeek,"In","")</f>
        <v/>
      </c>
      <c r="N432" s="156">
        <f>IF(M432="In",E432&amp;G432,"")</f>
        <v/>
      </c>
      <c r="O432" s="156">
        <f>IF(L432="Win",1,0)</f>
        <v/>
      </c>
    </row>
    <row r="433" ht="14.4" customHeight="1" s="152">
      <c r="A433" s="167">
        <f>B433&amp;E433</f>
        <v/>
      </c>
      <c r="B433" s="174">
        <f>B148</f>
        <v/>
      </c>
      <c r="C433" s="174">
        <f>C148</f>
        <v/>
      </c>
      <c r="D433" s="175">
        <f>D148</f>
        <v/>
      </c>
      <c r="E433" s="176">
        <f>H148</f>
        <v/>
      </c>
      <c r="F433" s="157">
        <f>I148</f>
        <v/>
      </c>
      <c r="G433" s="174" t="inlineStr">
        <is>
          <t>Home</t>
        </is>
      </c>
      <c r="H433" s="176">
        <f>E148</f>
        <v/>
      </c>
      <c r="I433" s="157">
        <f>F148</f>
        <v/>
      </c>
      <c r="J433" s="177">
        <f>J148</f>
        <v/>
      </c>
      <c r="K433" s="156">
        <f>IF(AND(F433=0,I433=0),"",IF(F433&gt;I433,B433&amp;E433,IF(F433&lt;I433,B433&amp;H433,"Tie")))</f>
        <v/>
      </c>
      <c r="L433" s="156">
        <f>IFERROR(IF(AND(B433&lt;$L$1,F433&gt;I433),"Win",IF(AND(B433&lt;$L$1,F433&lt;I433),"Loss","")),"")</f>
        <v/>
      </c>
      <c r="M433" s="156">
        <f>IF(B433&lt;_CurWeek,"In","")</f>
        <v/>
      </c>
      <c r="N433" s="156">
        <f>IF(M433="In",E433&amp;G433,"")</f>
        <v/>
      </c>
      <c r="O433" s="156">
        <f>IF(L433="Win",1,0)</f>
        <v/>
      </c>
    </row>
    <row r="434" ht="14.4" customHeight="1" s="152">
      <c r="A434" s="167">
        <f>B434&amp;E434</f>
        <v/>
      </c>
      <c r="B434" s="174">
        <f>B149</f>
        <v/>
      </c>
      <c r="C434" s="174">
        <f>C149</f>
        <v/>
      </c>
      <c r="D434" s="175">
        <f>D149</f>
        <v/>
      </c>
      <c r="E434" s="176">
        <f>H149</f>
        <v/>
      </c>
      <c r="F434" s="157">
        <f>I149</f>
        <v/>
      </c>
      <c r="G434" s="174" t="inlineStr">
        <is>
          <t>Home</t>
        </is>
      </c>
      <c r="H434" s="176">
        <f>E149</f>
        <v/>
      </c>
      <c r="I434" s="157">
        <f>F149</f>
        <v/>
      </c>
      <c r="J434" s="177">
        <f>J149</f>
        <v/>
      </c>
      <c r="K434" s="156">
        <f>IF(AND(F434=0,I434=0),"",IF(F434&gt;I434,B434&amp;E434,IF(F434&lt;I434,B434&amp;H434,"Tie")))</f>
        <v/>
      </c>
      <c r="L434" s="156">
        <f>IFERROR(IF(AND(B434&lt;$L$1,F434&gt;I434),"Win",IF(AND(B434&lt;$L$1,F434&lt;I434),"Loss","")),"")</f>
        <v/>
      </c>
      <c r="M434" s="156">
        <f>IF(B434&lt;_CurWeek,"In","")</f>
        <v/>
      </c>
      <c r="N434" s="156">
        <f>IF(M434="In",E434&amp;G434,"")</f>
        <v/>
      </c>
      <c r="O434" s="156">
        <f>IF(L434="Win",1,0)</f>
        <v/>
      </c>
    </row>
    <row r="435" ht="14.4" customHeight="1" s="152">
      <c r="A435" s="167">
        <f>B435&amp;E435</f>
        <v/>
      </c>
      <c r="B435" s="174">
        <f>B150</f>
        <v/>
      </c>
      <c r="C435" s="174">
        <f>C150</f>
        <v/>
      </c>
      <c r="D435" s="175">
        <f>D150</f>
        <v/>
      </c>
      <c r="E435" s="176">
        <f>H150</f>
        <v/>
      </c>
      <c r="F435" s="157">
        <f>I150</f>
        <v/>
      </c>
      <c r="G435" s="174" t="inlineStr">
        <is>
          <t>Home</t>
        </is>
      </c>
      <c r="H435" s="176">
        <f>E150</f>
        <v/>
      </c>
      <c r="I435" s="157">
        <f>F150</f>
        <v/>
      </c>
      <c r="J435" s="177">
        <f>J150</f>
        <v/>
      </c>
      <c r="K435" s="156">
        <f>IF(AND(F435=0,I435=0),"",IF(F435&gt;I435,B435&amp;E435,IF(F435&lt;I435,B435&amp;H435,"Tie")))</f>
        <v/>
      </c>
      <c r="L435" s="156">
        <f>IFERROR(IF(AND(B435&lt;$L$1,F435&gt;I435),"Win",IF(AND(B435&lt;$L$1,F435&lt;I435),"Loss","")),"")</f>
        <v/>
      </c>
      <c r="M435" s="156">
        <f>IF(B435&lt;_CurWeek,"In","")</f>
        <v/>
      </c>
      <c r="N435" s="156">
        <f>IF(M435="In",E435&amp;G435,"")</f>
        <v/>
      </c>
      <c r="O435" s="156">
        <f>IF(L435="Win",1,0)</f>
        <v/>
      </c>
    </row>
    <row r="436" ht="14.4" customHeight="1" s="152">
      <c r="A436" s="167">
        <f>B436&amp;E436</f>
        <v/>
      </c>
      <c r="B436" s="174">
        <f>B151</f>
        <v/>
      </c>
      <c r="C436" s="174">
        <f>C151</f>
        <v/>
      </c>
      <c r="D436" s="175">
        <f>D151</f>
        <v/>
      </c>
      <c r="E436" s="176">
        <f>H151</f>
        <v/>
      </c>
      <c r="F436" s="157">
        <f>I151</f>
        <v/>
      </c>
      <c r="G436" s="174" t="inlineStr">
        <is>
          <t>Home</t>
        </is>
      </c>
      <c r="H436" s="176">
        <f>E151</f>
        <v/>
      </c>
      <c r="I436" s="157">
        <f>F151</f>
        <v/>
      </c>
      <c r="J436" s="177">
        <f>J151</f>
        <v/>
      </c>
      <c r="K436" s="156">
        <f>IF(AND(F436=0,I436=0),"",IF(F436&gt;I436,B436&amp;E436,IF(F436&lt;I436,B436&amp;H436,"Tie")))</f>
        <v/>
      </c>
      <c r="L436" s="156">
        <f>IFERROR(IF(AND(B436&lt;$L$1,F436&gt;I436),"Win",IF(AND(B436&lt;$L$1,F436&lt;I436),"Loss","")),"")</f>
        <v/>
      </c>
      <c r="M436" s="156">
        <f>IF(B436&lt;_CurWeek,"In","")</f>
        <v/>
      </c>
      <c r="N436" s="156">
        <f>IF(M436="In",E436&amp;G436,"")</f>
        <v/>
      </c>
      <c r="O436" s="156">
        <f>IF(L436="Win",1,0)</f>
        <v/>
      </c>
    </row>
    <row r="437" ht="14.4" customHeight="1" s="152">
      <c r="A437" s="167">
        <f>B437&amp;E437</f>
        <v/>
      </c>
      <c r="B437" s="174">
        <f>B152</f>
        <v/>
      </c>
      <c r="C437" s="174">
        <f>C152</f>
        <v/>
      </c>
      <c r="D437" s="175">
        <f>D152</f>
        <v/>
      </c>
      <c r="E437" s="176">
        <f>H152</f>
        <v/>
      </c>
      <c r="F437" s="157">
        <f>I152</f>
        <v/>
      </c>
      <c r="G437" s="174" t="inlineStr">
        <is>
          <t>Home</t>
        </is>
      </c>
      <c r="H437" s="176">
        <f>E152</f>
        <v/>
      </c>
      <c r="I437" s="157">
        <f>F152</f>
        <v/>
      </c>
      <c r="J437" s="177">
        <f>J152</f>
        <v/>
      </c>
      <c r="K437" s="156">
        <f>IF(AND(F437=0,I437=0),"",IF(F437&gt;I437,B437&amp;E437,IF(F437&lt;I437,B437&amp;H437,"Tie")))</f>
        <v/>
      </c>
      <c r="L437" s="156">
        <f>IFERROR(IF(AND(B437&lt;$L$1,F437&gt;I437),"Win",IF(AND(B437&lt;$L$1,F437&lt;I437),"Loss","")),"")</f>
        <v/>
      </c>
      <c r="M437" s="156">
        <f>IF(B437&lt;_CurWeek,"In","")</f>
        <v/>
      </c>
      <c r="N437" s="156">
        <f>IF(M437="In",E437&amp;G437,"")</f>
        <v/>
      </c>
      <c r="O437" s="156">
        <f>IF(L437="Win",1,0)</f>
        <v/>
      </c>
    </row>
    <row r="438" ht="14.4" customHeight="1" s="152">
      <c r="A438" s="167">
        <f>B438&amp;E438</f>
        <v/>
      </c>
      <c r="B438" s="174">
        <f>B153</f>
        <v/>
      </c>
      <c r="C438" s="174">
        <f>C153</f>
        <v/>
      </c>
      <c r="D438" s="175">
        <f>D153</f>
        <v/>
      </c>
      <c r="E438" s="176">
        <f>H153</f>
        <v/>
      </c>
      <c r="F438" s="157">
        <f>I153</f>
        <v/>
      </c>
      <c r="G438" s="174" t="inlineStr">
        <is>
          <t>Home</t>
        </is>
      </c>
      <c r="H438" s="176">
        <f>E153</f>
        <v/>
      </c>
      <c r="I438" s="157">
        <f>F153</f>
        <v/>
      </c>
      <c r="J438" s="177">
        <f>J153</f>
        <v/>
      </c>
      <c r="K438" s="156">
        <f>IF(AND(F438=0,I438=0),"",IF(F438&gt;I438,B438&amp;E438,IF(F438&lt;I438,B438&amp;H438,"Tie")))</f>
        <v/>
      </c>
      <c r="L438" s="156">
        <f>IFERROR(IF(AND(B438&lt;$L$1,F438&gt;I438),"Win",IF(AND(B438&lt;$L$1,F438&lt;I438),"Loss","")),"")</f>
        <v/>
      </c>
      <c r="M438" s="156">
        <f>IF(B438&lt;_CurWeek,"In","")</f>
        <v/>
      </c>
      <c r="N438" s="156">
        <f>IF(M438="In",E438&amp;G438,"")</f>
        <v/>
      </c>
      <c r="O438" s="156">
        <f>IF(L438="Win",1,0)</f>
        <v/>
      </c>
    </row>
    <row r="439" ht="14.4" customHeight="1" s="152">
      <c r="A439" s="167">
        <f>B439&amp;E439</f>
        <v/>
      </c>
      <c r="B439" s="174">
        <f>B154</f>
        <v/>
      </c>
      <c r="C439" s="174">
        <f>C154</f>
        <v/>
      </c>
      <c r="D439" s="175">
        <f>D154</f>
        <v/>
      </c>
      <c r="E439" s="176">
        <f>H154</f>
        <v/>
      </c>
      <c r="F439" s="157">
        <f>I154</f>
        <v/>
      </c>
      <c r="G439" s="174" t="inlineStr">
        <is>
          <t>Home</t>
        </is>
      </c>
      <c r="H439" s="176">
        <f>E154</f>
        <v/>
      </c>
      <c r="I439" s="157">
        <f>F154</f>
        <v/>
      </c>
      <c r="J439" s="177">
        <f>J154</f>
        <v/>
      </c>
      <c r="K439" s="156">
        <f>IF(AND(F439=0,I439=0),"",IF(F439&gt;I439,B439&amp;E439,IF(F439&lt;I439,B439&amp;H439,"Tie")))</f>
        <v/>
      </c>
      <c r="L439" s="156">
        <f>IFERROR(IF(AND(B439&lt;$L$1,F439&gt;I439),"Win",IF(AND(B439&lt;$L$1,F439&lt;I439),"Loss","")),"")</f>
        <v/>
      </c>
      <c r="M439" s="156">
        <f>IF(B439&lt;_CurWeek,"In","")</f>
        <v/>
      </c>
      <c r="N439" s="156">
        <f>IF(M439="In",E439&amp;G439,"")</f>
        <v/>
      </c>
      <c r="O439" s="156">
        <f>IF(L439="Win",1,0)</f>
        <v/>
      </c>
    </row>
    <row r="440" ht="14.4" customHeight="1" s="152">
      <c r="A440" s="167">
        <f>B440&amp;E440</f>
        <v/>
      </c>
      <c r="B440" s="174">
        <f>B155</f>
        <v/>
      </c>
      <c r="C440" s="174">
        <f>C155</f>
        <v/>
      </c>
      <c r="D440" s="175">
        <f>D155</f>
        <v/>
      </c>
      <c r="E440" s="176">
        <f>H155</f>
        <v/>
      </c>
      <c r="F440" s="157">
        <f>I155</f>
        <v/>
      </c>
      <c r="G440" s="174" t="inlineStr">
        <is>
          <t>Home</t>
        </is>
      </c>
      <c r="H440" s="176">
        <f>E155</f>
        <v/>
      </c>
      <c r="I440" s="157">
        <f>F155</f>
        <v/>
      </c>
      <c r="J440" s="177">
        <f>J155</f>
        <v/>
      </c>
      <c r="K440" s="156">
        <f>IF(AND(F440=0,I440=0),"",IF(F440&gt;I440,B440&amp;E440,IF(F440&lt;I440,B440&amp;H440,"Tie")))</f>
        <v/>
      </c>
      <c r="L440" s="156">
        <f>IFERROR(IF(AND(B440&lt;$L$1,F440&gt;I440),"Win",IF(AND(B440&lt;$L$1,F440&lt;I440),"Loss","")),"")</f>
        <v/>
      </c>
      <c r="M440" s="156">
        <f>IF(B440&lt;_CurWeek,"In","")</f>
        <v/>
      </c>
      <c r="N440" s="156">
        <f>IF(M440="In",E440&amp;G440,"")</f>
        <v/>
      </c>
      <c r="O440" s="156">
        <f>IF(L440="Win",1,0)</f>
        <v/>
      </c>
    </row>
    <row r="441" ht="14.4" customHeight="1" s="152">
      <c r="A441" s="167">
        <f>B441&amp;E441</f>
        <v/>
      </c>
      <c r="B441" s="174">
        <f>B156</f>
        <v/>
      </c>
      <c r="C441" s="174">
        <f>C156</f>
        <v/>
      </c>
      <c r="D441" s="175">
        <f>D156</f>
        <v/>
      </c>
      <c r="E441" s="176">
        <f>H156</f>
        <v/>
      </c>
      <c r="F441" s="157">
        <f>I156</f>
        <v/>
      </c>
      <c r="G441" s="174" t="inlineStr">
        <is>
          <t>Home</t>
        </is>
      </c>
      <c r="H441" s="176">
        <f>E156</f>
        <v/>
      </c>
      <c r="I441" s="157">
        <f>F156</f>
        <v/>
      </c>
      <c r="J441" s="177">
        <f>J156</f>
        <v/>
      </c>
      <c r="K441" s="156">
        <f>IF(AND(F441=0,I441=0),"",IF(F441&gt;I441,B441&amp;E441,IF(F441&lt;I441,B441&amp;H441,"Tie")))</f>
        <v/>
      </c>
      <c r="L441" s="156">
        <f>IFERROR(IF(AND(B441&lt;$L$1,F441&gt;I441),"Win",IF(AND(B441&lt;$L$1,F441&lt;I441),"Loss","")),"")</f>
        <v/>
      </c>
      <c r="M441" s="156">
        <f>IF(B441&lt;_CurWeek,"In","")</f>
        <v/>
      </c>
      <c r="N441" s="156">
        <f>IF(M441="In",E441&amp;G441,"")</f>
        <v/>
      </c>
      <c r="O441" s="156">
        <f>IF(L441="Win",1,0)</f>
        <v/>
      </c>
    </row>
    <row r="442" ht="14.4" customHeight="1" s="152">
      <c r="A442" s="167">
        <f>B442&amp;E442</f>
        <v/>
      </c>
      <c r="B442" s="174">
        <f>B157</f>
        <v/>
      </c>
      <c r="C442" s="174">
        <f>C157</f>
        <v/>
      </c>
      <c r="D442" s="175">
        <f>D157</f>
        <v/>
      </c>
      <c r="E442" s="176">
        <f>H157</f>
        <v/>
      </c>
      <c r="F442" s="157">
        <f>I157</f>
        <v/>
      </c>
      <c r="G442" s="174" t="inlineStr">
        <is>
          <t>Home</t>
        </is>
      </c>
      <c r="H442" s="176">
        <f>E157</f>
        <v/>
      </c>
      <c r="I442" s="157">
        <f>F157</f>
        <v/>
      </c>
      <c r="J442" s="177">
        <f>J157</f>
        <v/>
      </c>
      <c r="K442" s="156">
        <f>IF(AND(F442=0,I442=0),"",IF(F442&gt;I442,B442&amp;E442,IF(F442&lt;I442,B442&amp;H442,"Tie")))</f>
        <v/>
      </c>
      <c r="L442" s="156">
        <f>IFERROR(IF(AND(B442&lt;$L$1,F442&gt;I442),"Win",IF(AND(B442&lt;$L$1,F442&lt;I442),"Loss","")),"")</f>
        <v/>
      </c>
      <c r="M442" s="156">
        <f>IF(B442&lt;_CurWeek,"In","")</f>
        <v/>
      </c>
      <c r="N442" s="156">
        <f>IF(M442="In",E442&amp;G442,"")</f>
        <v/>
      </c>
      <c r="O442" s="156">
        <f>IF(L442="Win",1,0)</f>
        <v/>
      </c>
    </row>
    <row r="443" ht="14.4" customHeight="1" s="152">
      <c r="A443" s="167">
        <f>B443&amp;E443</f>
        <v/>
      </c>
      <c r="B443" s="174">
        <f>B158</f>
        <v/>
      </c>
      <c r="C443" s="174">
        <f>C158</f>
        <v/>
      </c>
      <c r="D443" s="175">
        <f>D158</f>
        <v/>
      </c>
      <c r="E443" s="176">
        <f>H158</f>
        <v/>
      </c>
      <c r="F443" s="157">
        <f>I158</f>
        <v/>
      </c>
      <c r="G443" s="174" t="inlineStr">
        <is>
          <t>Home</t>
        </is>
      </c>
      <c r="H443" s="176">
        <f>E158</f>
        <v/>
      </c>
      <c r="I443" s="157">
        <f>F158</f>
        <v/>
      </c>
      <c r="J443" s="177">
        <f>J158</f>
        <v/>
      </c>
      <c r="K443" s="156">
        <f>IF(AND(F443=0,I443=0),"",IF(F443&gt;I443,B443&amp;E443,IF(F443&lt;I443,B443&amp;H443,"Tie")))</f>
        <v/>
      </c>
      <c r="L443" s="156">
        <f>IFERROR(IF(AND(B443&lt;$L$1,F443&gt;I443),"Win",IF(AND(B443&lt;$L$1,F443&lt;I443),"Loss","")),"")</f>
        <v/>
      </c>
      <c r="M443" s="156">
        <f>IF(B443&lt;_CurWeek,"In","")</f>
        <v/>
      </c>
      <c r="N443" s="156">
        <f>IF(M443="In",E443&amp;G443,"")</f>
        <v/>
      </c>
      <c r="O443" s="156">
        <f>IF(L443="Win",1,0)</f>
        <v/>
      </c>
    </row>
    <row r="444" ht="14.4" customHeight="1" s="152">
      <c r="A444" s="167">
        <f>B444&amp;E444</f>
        <v/>
      </c>
      <c r="B444" s="174">
        <f>B159</f>
        <v/>
      </c>
      <c r="C444" s="174">
        <f>C159</f>
        <v/>
      </c>
      <c r="D444" s="175">
        <f>D159</f>
        <v/>
      </c>
      <c r="E444" s="176">
        <f>H159</f>
        <v/>
      </c>
      <c r="F444" s="157">
        <f>I159</f>
        <v/>
      </c>
      <c r="G444" s="174" t="inlineStr">
        <is>
          <t>Home</t>
        </is>
      </c>
      <c r="H444" s="176">
        <f>E159</f>
        <v/>
      </c>
      <c r="I444" s="157">
        <f>F159</f>
        <v/>
      </c>
      <c r="J444" s="177">
        <f>J159</f>
        <v/>
      </c>
      <c r="K444" s="156">
        <f>IF(AND(F444=0,I444=0),"",IF(F444&gt;I444,B444&amp;E444,IF(F444&lt;I444,B444&amp;H444,"Tie")))</f>
        <v/>
      </c>
      <c r="L444" s="156">
        <f>IFERROR(IF(AND(B444&lt;$L$1,F444&gt;I444),"Win",IF(AND(B444&lt;$L$1,F444&lt;I444),"Loss","")),"")</f>
        <v/>
      </c>
      <c r="M444" s="156">
        <f>IF(B444&lt;_CurWeek,"In","")</f>
        <v/>
      </c>
      <c r="N444" s="156">
        <f>IF(M444="In",E444&amp;G444,"")</f>
        <v/>
      </c>
      <c r="O444" s="156">
        <f>IF(L444="Win",1,0)</f>
        <v/>
      </c>
    </row>
    <row r="445" ht="14.4" customHeight="1" s="152">
      <c r="A445" s="167">
        <f>B445&amp;E445</f>
        <v/>
      </c>
      <c r="B445" s="174">
        <f>B160</f>
        <v/>
      </c>
      <c r="C445" s="174">
        <f>C160</f>
        <v/>
      </c>
      <c r="D445" s="175">
        <f>D160</f>
        <v/>
      </c>
      <c r="E445" s="176">
        <f>H160</f>
        <v/>
      </c>
      <c r="F445" s="157">
        <f>I160</f>
        <v/>
      </c>
      <c r="G445" s="174" t="inlineStr">
        <is>
          <t>Home</t>
        </is>
      </c>
      <c r="H445" s="176">
        <f>E160</f>
        <v/>
      </c>
      <c r="I445" s="157">
        <f>F160</f>
        <v/>
      </c>
      <c r="J445" s="177">
        <f>J160</f>
        <v/>
      </c>
      <c r="K445" s="156">
        <f>IF(AND(F445=0,I445=0),"",IF(F445&gt;I445,B445&amp;E445,IF(F445&lt;I445,B445&amp;H445,"Tie")))</f>
        <v/>
      </c>
      <c r="L445" s="156">
        <f>IFERROR(IF(AND(B445&lt;$L$1,F445&gt;I445),"Win",IF(AND(B445&lt;$L$1,F445&lt;I445),"Loss","")),"")</f>
        <v/>
      </c>
      <c r="M445" s="156">
        <f>IF(B445&lt;_CurWeek,"In","")</f>
        <v/>
      </c>
      <c r="N445" s="156">
        <f>IF(M445="In",E445&amp;G445,"")</f>
        <v/>
      </c>
      <c r="O445" s="156">
        <f>IF(L445="Win",1,0)</f>
        <v/>
      </c>
    </row>
    <row r="446" ht="14.4" customHeight="1" s="152">
      <c r="A446" s="167">
        <f>B446&amp;E446</f>
        <v/>
      </c>
      <c r="B446" s="174">
        <f>B161</f>
        <v/>
      </c>
      <c r="C446" s="174">
        <f>C161</f>
        <v/>
      </c>
      <c r="D446" s="175">
        <f>D161</f>
        <v/>
      </c>
      <c r="E446" s="176">
        <f>H161</f>
        <v/>
      </c>
      <c r="F446" s="157">
        <f>I161</f>
        <v/>
      </c>
      <c r="G446" s="174" t="inlineStr">
        <is>
          <t>Home</t>
        </is>
      </c>
      <c r="H446" s="176">
        <f>E161</f>
        <v/>
      </c>
      <c r="I446" s="157">
        <f>F161</f>
        <v/>
      </c>
      <c r="J446" s="177">
        <f>J161</f>
        <v/>
      </c>
      <c r="K446" s="156">
        <f>IF(AND(F446=0,I446=0),"",IF(F446&gt;I446,B446&amp;E446,IF(F446&lt;I446,B446&amp;H446,"Tie")))</f>
        <v/>
      </c>
      <c r="L446" s="156">
        <f>IFERROR(IF(AND(B446&lt;$L$1,F446&gt;I446),"Win",IF(AND(B446&lt;$L$1,F446&lt;I446),"Loss","")),"")</f>
        <v/>
      </c>
      <c r="M446" s="156">
        <f>IF(B446&lt;_CurWeek,"In","")</f>
        <v/>
      </c>
      <c r="N446" s="156">
        <f>IF(M446="In",E446&amp;G446,"")</f>
        <v/>
      </c>
      <c r="O446" s="156">
        <f>IF(L446="Win",1,0)</f>
        <v/>
      </c>
    </row>
    <row r="447" ht="14.4" customHeight="1" s="152">
      <c r="A447" s="167">
        <f>B447&amp;E447</f>
        <v/>
      </c>
      <c r="B447" s="174">
        <f>B162</f>
        <v/>
      </c>
      <c r="C447" s="174">
        <f>C162</f>
        <v/>
      </c>
      <c r="D447" s="175">
        <f>D162</f>
        <v/>
      </c>
      <c r="E447" s="176">
        <f>H162</f>
        <v/>
      </c>
      <c r="F447" s="157">
        <f>I162</f>
        <v/>
      </c>
      <c r="G447" s="174" t="inlineStr">
        <is>
          <t>Home</t>
        </is>
      </c>
      <c r="H447" s="176">
        <f>E162</f>
        <v/>
      </c>
      <c r="I447" s="157">
        <f>F162</f>
        <v/>
      </c>
      <c r="J447" s="177">
        <f>J162</f>
        <v/>
      </c>
      <c r="K447" s="156">
        <f>IF(AND(F447=0,I447=0),"",IF(F447&gt;I447,B447&amp;E447,IF(F447&lt;I447,B447&amp;H447,"Tie")))</f>
        <v/>
      </c>
      <c r="L447" s="156">
        <f>IFERROR(IF(AND(B447&lt;$L$1,F447&gt;I447),"Win",IF(AND(B447&lt;$L$1,F447&lt;I447),"Loss","")),"")</f>
        <v/>
      </c>
      <c r="M447" s="156">
        <f>IF(B447&lt;_CurWeek,"In","")</f>
        <v/>
      </c>
      <c r="N447" s="156">
        <f>IF(M447="In",E447&amp;G447,"")</f>
        <v/>
      </c>
      <c r="O447" s="156">
        <f>IF(L447="Win",1,0)</f>
        <v/>
      </c>
    </row>
    <row r="448" ht="14.4" customHeight="1" s="152">
      <c r="A448" s="167">
        <f>B448&amp;E448</f>
        <v/>
      </c>
      <c r="B448" s="174">
        <f>B163</f>
        <v/>
      </c>
      <c r="C448" s="174">
        <f>C163</f>
        <v/>
      </c>
      <c r="D448" s="175">
        <f>D163</f>
        <v/>
      </c>
      <c r="E448" s="176">
        <f>H163</f>
        <v/>
      </c>
      <c r="F448" s="157">
        <f>I163</f>
        <v/>
      </c>
      <c r="G448" s="174" t="inlineStr">
        <is>
          <t>Home</t>
        </is>
      </c>
      <c r="H448" s="176">
        <f>E163</f>
        <v/>
      </c>
      <c r="I448" s="157">
        <f>F163</f>
        <v/>
      </c>
      <c r="J448" s="177">
        <f>J163</f>
        <v/>
      </c>
      <c r="K448" s="156">
        <f>IF(AND(F448=0,I448=0),"",IF(F448&gt;I448,B448&amp;E448,IF(F448&lt;I448,B448&amp;H448,"Tie")))</f>
        <v/>
      </c>
      <c r="L448" s="156">
        <f>IFERROR(IF(AND(B448&lt;$L$1,F448&gt;I448),"Win",IF(AND(B448&lt;$L$1,F448&lt;I448),"Loss","")),"")</f>
        <v/>
      </c>
      <c r="M448" s="156">
        <f>IF(B448&lt;_CurWeek,"In","")</f>
        <v/>
      </c>
      <c r="N448" s="156">
        <f>IF(M448="In",E448&amp;G448,"")</f>
        <v/>
      </c>
      <c r="O448" s="156">
        <f>IF(L448="Win",1,0)</f>
        <v/>
      </c>
    </row>
    <row r="449" ht="14.4" customHeight="1" s="152">
      <c r="A449" s="167">
        <f>B449&amp;E449</f>
        <v/>
      </c>
      <c r="B449" s="174">
        <f>B164</f>
        <v/>
      </c>
      <c r="C449" s="174">
        <f>C164</f>
        <v/>
      </c>
      <c r="D449" s="175">
        <f>D164</f>
        <v/>
      </c>
      <c r="E449" s="176">
        <f>H164</f>
        <v/>
      </c>
      <c r="F449" s="157">
        <f>I164</f>
        <v/>
      </c>
      <c r="G449" s="174" t="inlineStr">
        <is>
          <t>Home</t>
        </is>
      </c>
      <c r="H449" s="176">
        <f>E164</f>
        <v/>
      </c>
      <c r="I449" s="157">
        <f>F164</f>
        <v/>
      </c>
      <c r="J449" s="177">
        <f>J164</f>
        <v/>
      </c>
      <c r="K449" s="156">
        <f>IF(AND(F449=0,I449=0),"",IF(F449&gt;I449,B449&amp;E449,IF(F449&lt;I449,B449&amp;H449,"Tie")))</f>
        <v/>
      </c>
      <c r="L449" s="156">
        <f>IFERROR(IF(AND(B449&lt;$L$1,F449&gt;I449),"Win",IF(AND(B449&lt;$L$1,F449&lt;I449),"Loss","")),"")</f>
        <v/>
      </c>
      <c r="M449" s="156">
        <f>IF(B449&lt;_CurWeek,"In","")</f>
        <v/>
      </c>
      <c r="N449" s="156">
        <f>IF(M449="In",E449&amp;G449,"")</f>
        <v/>
      </c>
      <c r="O449" s="156">
        <f>IF(L449="Win",1,0)</f>
        <v/>
      </c>
    </row>
    <row r="450" ht="14.4" customHeight="1" s="152">
      <c r="A450" s="167">
        <f>B450&amp;E450</f>
        <v/>
      </c>
      <c r="B450" s="174">
        <f>B165</f>
        <v/>
      </c>
      <c r="C450" s="174">
        <f>C165</f>
        <v/>
      </c>
      <c r="D450" s="175">
        <f>D165</f>
        <v/>
      </c>
      <c r="E450" s="176">
        <f>H165</f>
        <v/>
      </c>
      <c r="F450" s="157">
        <f>I165</f>
        <v/>
      </c>
      <c r="G450" s="174" t="inlineStr">
        <is>
          <t>Home</t>
        </is>
      </c>
      <c r="H450" s="176">
        <f>E165</f>
        <v/>
      </c>
      <c r="I450" s="157">
        <f>F165</f>
        <v/>
      </c>
      <c r="J450" s="177">
        <f>J165</f>
        <v/>
      </c>
      <c r="K450" s="156">
        <f>IF(AND(F450=0,I450=0),"",IF(F450&gt;I450,B450&amp;E450,IF(F450&lt;I450,B450&amp;H450,"Tie")))</f>
        <v/>
      </c>
      <c r="L450" s="156">
        <f>IFERROR(IF(AND(B450&lt;$L$1,F450&gt;I450),"Win",IF(AND(B450&lt;$L$1,F450&lt;I450),"Loss","")),"")</f>
        <v/>
      </c>
      <c r="M450" s="156">
        <f>IF(B450&lt;_CurWeek,"In","")</f>
        <v/>
      </c>
      <c r="N450" s="156">
        <f>IF(M450="In",E450&amp;G450,"")</f>
        <v/>
      </c>
      <c r="O450" s="156">
        <f>IF(L450="Win",1,0)</f>
        <v/>
      </c>
    </row>
    <row r="451" ht="14.4" customHeight="1" s="152">
      <c r="A451" s="167">
        <f>B451&amp;E451</f>
        <v/>
      </c>
      <c r="B451" s="174">
        <f>B166</f>
        <v/>
      </c>
      <c r="C451" s="174">
        <f>C166</f>
        <v/>
      </c>
      <c r="D451" s="175">
        <f>D166</f>
        <v/>
      </c>
      <c r="E451" s="176">
        <f>H166</f>
        <v/>
      </c>
      <c r="F451" s="157">
        <f>I166</f>
        <v/>
      </c>
      <c r="G451" s="174" t="inlineStr">
        <is>
          <t>Home</t>
        </is>
      </c>
      <c r="H451" s="176">
        <f>E166</f>
        <v/>
      </c>
      <c r="I451" s="157">
        <f>F166</f>
        <v/>
      </c>
      <c r="J451" s="177">
        <f>J166</f>
        <v/>
      </c>
      <c r="K451" s="156">
        <f>IF(AND(F451=0,I451=0),"",IF(F451&gt;I451,B451&amp;E451,IF(F451&lt;I451,B451&amp;H451,"Tie")))</f>
        <v/>
      </c>
      <c r="L451" s="156">
        <f>IFERROR(IF(AND(B451&lt;$L$1,F451&gt;I451),"Win",IF(AND(B451&lt;$L$1,F451&lt;I451),"Loss","")),"")</f>
        <v/>
      </c>
      <c r="M451" s="156">
        <f>IF(B451&lt;_CurWeek,"In","")</f>
        <v/>
      </c>
      <c r="N451" s="156">
        <f>IF(M451="In",E451&amp;G451,"")</f>
        <v/>
      </c>
      <c r="O451" s="156">
        <f>IF(L451="Win",1,0)</f>
        <v/>
      </c>
    </row>
    <row r="452" ht="14.4" customHeight="1" s="152">
      <c r="A452" s="167">
        <f>B452&amp;E452</f>
        <v/>
      </c>
      <c r="B452" s="174">
        <f>B167</f>
        <v/>
      </c>
      <c r="C452" s="174">
        <f>C167</f>
        <v/>
      </c>
      <c r="D452" s="175">
        <f>D167</f>
        <v/>
      </c>
      <c r="E452" s="176">
        <f>H167</f>
        <v/>
      </c>
      <c r="F452" s="157">
        <f>I167</f>
        <v/>
      </c>
      <c r="G452" s="174" t="inlineStr">
        <is>
          <t>Home</t>
        </is>
      </c>
      <c r="H452" s="176">
        <f>E167</f>
        <v/>
      </c>
      <c r="I452" s="157">
        <f>F167</f>
        <v/>
      </c>
      <c r="J452" s="177">
        <f>J167</f>
        <v/>
      </c>
      <c r="K452" s="156">
        <f>IF(AND(F452=0,I452=0),"",IF(F452&gt;I452,B452&amp;E452,IF(F452&lt;I452,B452&amp;H452,"Tie")))</f>
        <v/>
      </c>
      <c r="L452" s="156">
        <f>IFERROR(IF(AND(B452&lt;$L$1,F452&gt;I452),"Win",IF(AND(B452&lt;$L$1,F452&lt;I452),"Loss","")),"")</f>
        <v/>
      </c>
      <c r="M452" s="156">
        <f>IF(B452&lt;_CurWeek,"In","")</f>
        <v/>
      </c>
      <c r="N452" s="156">
        <f>IF(M452="In",E452&amp;G452,"")</f>
        <v/>
      </c>
      <c r="O452" s="156">
        <f>IF(L452="Win",1,0)</f>
        <v/>
      </c>
    </row>
    <row r="453" ht="14.4" customHeight="1" s="152">
      <c r="A453" s="167">
        <f>B453&amp;E453</f>
        <v/>
      </c>
      <c r="B453" s="174">
        <f>B168</f>
        <v/>
      </c>
      <c r="C453" s="174">
        <f>C168</f>
        <v/>
      </c>
      <c r="D453" s="175">
        <f>D168</f>
        <v/>
      </c>
      <c r="E453" s="176">
        <f>H168</f>
        <v/>
      </c>
      <c r="F453" s="157">
        <f>I168</f>
        <v/>
      </c>
      <c r="G453" s="174" t="inlineStr">
        <is>
          <t>Home</t>
        </is>
      </c>
      <c r="H453" s="176">
        <f>E168</f>
        <v/>
      </c>
      <c r="I453" s="157">
        <f>F168</f>
        <v/>
      </c>
      <c r="J453" s="177">
        <f>J168</f>
        <v/>
      </c>
      <c r="K453" s="156">
        <f>IF(AND(F453=0,I453=0),"",IF(F453&gt;I453,B453&amp;E453,IF(F453&lt;I453,B453&amp;H453,"Tie")))</f>
        <v/>
      </c>
      <c r="L453" s="156">
        <f>IFERROR(IF(AND(B453&lt;$L$1,F453&gt;I453),"Win",IF(AND(B453&lt;$L$1,F453&lt;I453),"Loss","")),"")</f>
        <v/>
      </c>
      <c r="M453" s="156">
        <f>IF(B453&lt;_CurWeek,"In","")</f>
        <v/>
      </c>
      <c r="N453" s="156">
        <f>IF(M453="In",E453&amp;G453,"")</f>
        <v/>
      </c>
      <c r="O453" s="156">
        <f>IF(L453="Win",1,0)</f>
        <v/>
      </c>
    </row>
    <row r="454" ht="14.4" customHeight="1" s="152">
      <c r="A454" s="167">
        <f>B454&amp;E454</f>
        <v/>
      </c>
      <c r="B454" s="174">
        <f>B169</f>
        <v/>
      </c>
      <c r="C454" s="174">
        <f>C169</f>
        <v/>
      </c>
      <c r="D454" s="175">
        <f>D169</f>
        <v/>
      </c>
      <c r="E454" s="176">
        <f>H169</f>
        <v/>
      </c>
      <c r="F454" s="157">
        <f>I169</f>
        <v/>
      </c>
      <c r="G454" s="174" t="inlineStr">
        <is>
          <t>Home</t>
        </is>
      </c>
      <c r="H454" s="176">
        <f>E169</f>
        <v/>
      </c>
      <c r="I454" s="157">
        <f>F169</f>
        <v/>
      </c>
      <c r="J454" s="177">
        <f>J169</f>
        <v/>
      </c>
      <c r="K454" s="156">
        <f>IF(AND(F454=0,I454=0),"",IF(F454&gt;I454,B454&amp;E454,IF(F454&lt;I454,B454&amp;H454,"Tie")))</f>
        <v/>
      </c>
      <c r="L454" s="156">
        <f>IFERROR(IF(AND(B454&lt;$L$1,F454&gt;I454),"Win",IF(AND(B454&lt;$L$1,F454&lt;I454),"Loss","")),"")</f>
        <v/>
      </c>
      <c r="M454" s="156">
        <f>IF(B454&lt;_CurWeek,"In","")</f>
        <v/>
      </c>
      <c r="N454" s="156">
        <f>IF(M454="In",E454&amp;G454,"")</f>
        <v/>
      </c>
      <c r="O454" s="156">
        <f>IF(L454="Win",1,0)</f>
        <v/>
      </c>
    </row>
    <row r="455" ht="14.4" customHeight="1" s="152">
      <c r="A455" s="167">
        <f>B455&amp;E455</f>
        <v/>
      </c>
      <c r="B455" s="174">
        <f>B170</f>
        <v/>
      </c>
      <c r="C455" s="174">
        <f>C170</f>
        <v/>
      </c>
      <c r="D455" s="175">
        <f>D170</f>
        <v/>
      </c>
      <c r="E455" s="176">
        <f>H170</f>
        <v/>
      </c>
      <c r="F455" s="157">
        <f>I170</f>
        <v/>
      </c>
      <c r="G455" s="174" t="inlineStr">
        <is>
          <t>Home</t>
        </is>
      </c>
      <c r="H455" s="176">
        <f>E170</f>
        <v/>
      </c>
      <c r="I455" s="157">
        <f>F170</f>
        <v/>
      </c>
      <c r="J455" s="177">
        <f>J170</f>
        <v/>
      </c>
      <c r="K455" s="156">
        <f>IF(AND(F455=0,I455=0),"",IF(F455&gt;I455,B455&amp;E455,IF(F455&lt;I455,B455&amp;H455,"Tie")))</f>
        <v/>
      </c>
      <c r="L455" s="156">
        <f>IFERROR(IF(AND(B455&lt;$L$1,F455&gt;I455),"Win",IF(AND(B455&lt;$L$1,F455&lt;I455),"Loss","")),"")</f>
        <v/>
      </c>
      <c r="M455" s="156">
        <f>IF(B455&lt;_CurWeek,"In","")</f>
        <v/>
      </c>
      <c r="N455" s="156">
        <f>IF(M455="In",E455&amp;G455,"")</f>
        <v/>
      </c>
      <c r="O455" s="156">
        <f>IF(L455="Win",1,0)</f>
        <v/>
      </c>
    </row>
    <row r="456" ht="14.4" customHeight="1" s="152">
      <c r="A456" s="167">
        <f>B456&amp;E456</f>
        <v/>
      </c>
      <c r="B456" s="174">
        <f>B171</f>
        <v/>
      </c>
      <c r="C456" s="174">
        <f>C171</f>
        <v/>
      </c>
      <c r="D456" s="175">
        <f>D171</f>
        <v/>
      </c>
      <c r="E456" s="176">
        <f>H171</f>
        <v/>
      </c>
      <c r="F456" s="157">
        <f>I171</f>
        <v/>
      </c>
      <c r="G456" s="174" t="inlineStr">
        <is>
          <t>Home</t>
        </is>
      </c>
      <c r="H456" s="176">
        <f>E171</f>
        <v/>
      </c>
      <c r="I456" s="157">
        <f>F171</f>
        <v/>
      </c>
      <c r="J456" s="177">
        <f>J171</f>
        <v/>
      </c>
      <c r="K456" s="156">
        <f>IF(AND(F456=0,I456=0),"",IF(F456&gt;I456,B456&amp;E456,IF(F456&lt;I456,B456&amp;H456,"Tie")))</f>
        <v/>
      </c>
      <c r="L456" s="156">
        <f>IFERROR(IF(AND(B456&lt;$L$1,F456&gt;I456),"Win",IF(AND(B456&lt;$L$1,F456&lt;I456),"Loss","")),"")</f>
        <v/>
      </c>
      <c r="M456" s="156">
        <f>IF(B456&lt;_CurWeek,"In","")</f>
        <v/>
      </c>
      <c r="N456" s="156">
        <f>IF(M456="In",E456&amp;G456,"")</f>
        <v/>
      </c>
      <c r="O456" s="156">
        <f>IF(L456="Win",1,0)</f>
        <v/>
      </c>
    </row>
    <row r="457" ht="14.4" customHeight="1" s="152">
      <c r="A457" s="167">
        <f>B457&amp;E457</f>
        <v/>
      </c>
      <c r="B457" s="174">
        <f>B172</f>
        <v/>
      </c>
      <c r="C457" s="174">
        <f>C172</f>
        <v/>
      </c>
      <c r="D457" s="175">
        <f>D172</f>
        <v/>
      </c>
      <c r="E457" s="176">
        <f>H172</f>
        <v/>
      </c>
      <c r="F457" s="157">
        <f>I172</f>
        <v/>
      </c>
      <c r="G457" s="174" t="inlineStr">
        <is>
          <t>Home</t>
        </is>
      </c>
      <c r="H457" s="176">
        <f>E172</f>
        <v/>
      </c>
      <c r="I457" s="157">
        <f>F172</f>
        <v/>
      </c>
      <c r="J457" s="177">
        <f>J172</f>
        <v/>
      </c>
      <c r="K457" s="156">
        <f>IF(AND(F457=0,I457=0),"",IF(F457&gt;I457,B457&amp;E457,IF(F457&lt;I457,B457&amp;H457,"Tie")))</f>
        <v/>
      </c>
      <c r="L457" s="156">
        <f>IFERROR(IF(AND(B457&lt;$L$1,F457&gt;I457),"Win",IF(AND(B457&lt;$L$1,F457&lt;I457),"Loss","")),"")</f>
        <v/>
      </c>
      <c r="M457" s="156">
        <f>IF(B457&lt;_CurWeek,"In","")</f>
        <v/>
      </c>
      <c r="N457" s="156">
        <f>IF(M457="In",E457&amp;G457,"")</f>
        <v/>
      </c>
      <c r="O457" s="156">
        <f>IF(L457="Win",1,0)</f>
        <v/>
      </c>
    </row>
    <row r="458" ht="14.4" customHeight="1" s="152">
      <c r="A458" s="167">
        <f>B458&amp;E458</f>
        <v/>
      </c>
      <c r="B458" s="174">
        <f>B173</f>
        <v/>
      </c>
      <c r="C458" s="174">
        <f>C173</f>
        <v/>
      </c>
      <c r="D458" s="175">
        <f>D173</f>
        <v/>
      </c>
      <c r="E458" s="176">
        <f>H173</f>
        <v/>
      </c>
      <c r="F458" s="157">
        <f>I173</f>
        <v/>
      </c>
      <c r="G458" s="174" t="inlineStr">
        <is>
          <t>Home</t>
        </is>
      </c>
      <c r="H458" s="176">
        <f>E173</f>
        <v/>
      </c>
      <c r="I458" s="157">
        <f>F173</f>
        <v/>
      </c>
      <c r="J458" s="177">
        <f>J173</f>
        <v/>
      </c>
      <c r="K458" s="156">
        <f>IF(AND(F458=0,I458=0),"",IF(F458&gt;I458,B458&amp;E458,IF(F458&lt;I458,B458&amp;H458,"Tie")))</f>
        <v/>
      </c>
      <c r="L458" s="156">
        <f>IFERROR(IF(AND(B458&lt;$L$1,F458&gt;I458),"Win",IF(AND(B458&lt;$L$1,F458&lt;I458),"Loss","")),"")</f>
        <v/>
      </c>
      <c r="M458" s="156">
        <f>IF(B458&lt;_CurWeek,"In","")</f>
        <v/>
      </c>
      <c r="N458" s="156">
        <f>IF(M458="In",E458&amp;G458,"")</f>
        <v/>
      </c>
      <c r="O458" s="156">
        <f>IF(L458="Win",1,0)</f>
        <v/>
      </c>
    </row>
    <row r="459" ht="14.4" customHeight="1" s="152">
      <c r="A459" s="167">
        <f>B459&amp;E459</f>
        <v/>
      </c>
      <c r="B459" s="174">
        <f>B174</f>
        <v/>
      </c>
      <c r="C459" s="174">
        <f>C174</f>
        <v/>
      </c>
      <c r="D459" s="175">
        <f>D174</f>
        <v/>
      </c>
      <c r="E459" s="176">
        <f>H174</f>
        <v/>
      </c>
      <c r="F459" s="157">
        <f>I174</f>
        <v/>
      </c>
      <c r="G459" s="174" t="inlineStr">
        <is>
          <t>Home</t>
        </is>
      </c>
      <c r="H459" s="176">
        <f>E174</f>
        <v/>
      </c>
      <c r="I459" s="157">
        <f>F174</f>
        <v/>
      </c>
      <c r="J459" s="177">
        <f>J174</f>
        <v/>
      </c>
      <c r="K459" s="156">
        <f>IF(AND(F459=0,I459=0),"",IF(F459&gt;I459,B459&amp;E459,IF(F459&lt;I459,B459&amp;H459,"Tie")))</f>
        <v/>
      </c>
      <c r="L459" s="156">
        <f>IFERROR(IF(AND(B459&lt;$L$1,F459&gt;I459),"Win",IF(AND(B459&lt;$L$1,F459&lt;I459),"Loss","")),"")</f>
        <v/>
      </c>
      <c r="M459" s="156">
        <f>IF(B459&lt;_CurWeek,"In","")</f>
        <v/>
      </c>
      <c r="N459" s="156">
        <f>IF(M459="In",E459&amp;G459,"")</f>
        <v/>
      </c>
      <c r="O459" s="156">
        <f>IF(L459="Win",1,0)</f>
        <v/>
      </c>
    </row>
    <row r="460" ht="14.4" customHeight="1" s="152">
      <c r="A460" s="167">
        <f>B460&amp;E460</f>
        <v/>
      </c>
      <c r="B460" s="174">
        <f>B175</f>
        <v/>
      </c>
      <c r="C460" s="174">
        <f>C175</f>
        <v/>
      </c>
      <c r="D460" s="175">
        <f>D175</f>
        <v/>
      </c>
      <c r="E460" s="176">
        <f>H175</f>
        <v/>
      </c>
      <c r="F460" s="157">
        <f>I175</f>
        <v/>
      </c>
      <c r="G460" s="174" t="inlineStr">
        <is>
          <t>Home</t>
        </is>
      </c>
      <c r="H460" s="176">
        <f>E175</f>
        <v/>
      </c>
      <c r="I460" s="157">
        <f>F175</f>
        <v/>
      </c>
      <c r="J460" s="177">
        <f>J175</f>
        <v/>
      </c>
      <c r="K460" s="156">
        <f>IF(AND(F460=0,I460=0),"",IF(F460&gt;I460,B460&amp;E460,IF(F460&lt;I460,B460&amp;H460,"Tie")))</f>
        <v/>
      </c>
      <c r="L460" s="156">
        <f>IFERROR(IF(AND(B460&lt;$L$1,F460&gt;I460),"Win",IF(AND(B460&lt;$L$1,F460&lt;I460),"Loss","")),"")</f>
        <v/>
      </c>
      <c r="M460" s="156">
        <f>IF(B460&lt;_CurWeek,"In","")</f>
        <v/>
      </c>
      <c r="N460" s="156">
        <f>IF(M460="In",E460&amp;G460,"")</f>
        <v/>
      </c>
      <c r="O460" s="156">
        <f>IF(L460="Win",1,0)</f>
        <v/>
      </c>
    </row>
    <row r="461" ht="14.4" customHeight="1" s="152">
      <c r="A461" s="167">
        <f>B461&amp;E461</f>
        <v/>
      </c>
      <c r="B461" s="174">
        <f>B176</f>
        <v/>
      </c>
      <c r="C461" s="174">
        <f>C176</f>
        <v/>
      </c>
      <c r="D461" s="175">
        <f>D176</f>
        <v/>
      </c>
      <c r="E461" s="176">
        <f>H176</f>
        <v/>
      </c>
      <c r="F461" s="157">
        <f>I176</f>
        <v/>
      </c>
      <c r="G461" s="174" t="inlineStr">
        <is>
          <t>Home</t>
        </is>
      </c>
      <c r="H461" s="176">
        <f>E176</f>
        <v/>
      </c>
      <c r="I461" s="157">
        <f>F176</f>
        <v/>
      </c>
      <c r="J461" s="177">
        <f>J176</f>
        <v/>
      </c>
      <c r="K461" s="156">
        <f>IF(AND(F461=0,I461=0),"",IF(F461&gt;I461,B461&amp;E461,IF(F461&lt;I461,B461&amp;H461,"Tie")))</f>
        <v/>
      </c>
      <c r="L461" s="156">
        <f>IFERROR(IF(AND(B461&lt;$L$1,F461&gt;I461),"Win",IF(AND(B461&lt;$L$1,F461&lt;I461),"Loss","")),"")</f>
        <v/>
      </c>
      <c r="M461" s="156">
        <f>IF(B461&lt;_CurWeek,"In","")</f>
        <v/>
      </c>
      <c r="N461" s="156">
        <f>IF(M461="In",E461&amp;G461,"")</f>
        <v/>
      </c>
      <c r="O461" s="156">
        <f>IF(L461="Win",1,0)</f>
        <v/>
      </c>
    </row>
    <row r="462" ht="14.4" customHeight="1" s="152">
      <c r="A462" s="167">
        <f>B462&amp;E462</f>
        <v/>
      </c>
      <c r="B462" s="174">
        <f>B177</f>
        <v/>
      </c>
      <c r="C462" s="174">
        <f>C177</f>
        <v/>
      </c>
      <c r="D462" s="175">
        <f>D177</f>
        <v/>
      </c>
      <c r="E462" s="176">
        <f>H177</f>
        <v/>
      </c>
      <c r="F462" s="157">
        <f>I177</f>
        <v/>
      </c>
      <c r="G462" s="174" t="inlineStr">
        <is>
          <t>Home</t>
        </is>
      </c>
      <c r="H462" s="176">
        <f>E177</f>
        <v/>
      </c>
      <c r="I462" s="157">
        <f>F177</f>
        <v/>
      </c>
      <c r="J462" s="177">
        <f>J177</f>
        <v/>
      </c>
      <c r="K462" s="156">
        <f>IF(AND(F462=0,I462=0),"",IF(F462&gt;I462,B462&amp;E462,IF(F462&lt;I462,B462&amp;H462,"Tie")))</f>
        <v/>
      </c>
      <c r="L462" s="156">
        <f>IFERROR(IF(AND(B462&lt;$L$1,F462&gt;I462),"Win",IF(AND(B462&lt;$L$1,F462&lt;I462),"Loss","")),"")</f>
        <v/>
      </c>
      <c r="M462" s="156">
        <f>IF(B462&lt;_CurWeek,"In","")</f>
        <v/>
      </c>
      <c r="N462" s="156">
        <f>IF(M462="In",E462&amp;G462,"")</f>
        <v/>
      </c>
      <c r="O462" s="156">
        <f>IF(L462="Win",1,0)</f>
        <v/>
      </c>
    </row>
    <row r="463" ht="14.4" customHeight="1" s="152">
      <c r="A463" s="167">
        <f>B463&amp;E463</f>
        <v/>
      </c>
      <c r="B463" s="174">
        <f>B178</f>
        <v/>
      </c>
      <c r="C463" s="174">
        <f>C178</f>
        <v/>
      </c>
      <c r="D463" s="175">
        <f>D178</f>
        <v/>
      </c>
      <c r="E463" s="176">
        <f>H178</f>
        <v/>
      </c>
      <c r="F463" s="157">
        <f>I178</f>
        <v/>
      </c>
      <c r="G463" s="174" t="inlineStr">
        <is>
          <t>Home</t>
        </is>
      </c>
      <c r="H463" s="176">
        <f>E178</f>
        <v/>
      </c>
      <c r="I463" s="157">
        <f>F178</f>
        <v/>
      </c>
      <c r="J463" s="177">
        <f>J178</f>
        <v/>
      </c>
      <c r="K463" s="156">
        <f>IF(AND(F463=0,I463=0),"",IF(F463&gt;I463,B463&amp;E463,IF(F463&lt;I463,B463&amp;H463,"Tie")))</f>
        <v/>
      </c>
      <c r="L463" s="156">
        <f>IFERROR(IF(AND(B463&lt;$L$1,F463&gt;I463),"Win",IF(AND(B463&lt;$L$1,F463&lt;I463),"Loss","")),"")</f>
        <v/>
      </c>
      <c r="M463" s="156">
        <f>IF(B463&lt;_CurWeek,"In","")</f>
        <v/>
      </c>
      <c r="N463" s="156">
        <f>IF(M463="In",E463&amp;G463,"")</f>
        <v/>
      </c>
      <c r="O463" s="156">
        <f>IF(L463="Win",1,0)</f>
        <v/>
      </c>
    </row>
    <row r="464" ht="14.4" customHeight="1" s="152">
      <c r="A464" s="167">
        <f>B464&amp;E464</f>
        <v/>
      </c>
      <c r="B464" s="174">
        <f>B179</f>
        <v/>
      </c>
      <c r="C464" s="174">
        <f>C179</f>
        <v/>
      </c>
      <c r="D464" s="175">
        <f>D179</f>
        <v/>
      </c>
      <c r="E464" s="176">
        <f>H179</f>
        <v/>
      </c>
      <c r="F464" s="157">
        <f>I179</f>
        <v/>
      </c>
      <c r="G464" s="174" t="inlineStr">
        <is>
          <t>Home</t>
        </is>
      </c>
      <c r="H464" s="176">
        <f>E179</f>
        <v/>
      </c>
      <c r="I464" s="157">
        <f>F179</f>
        <v/>
      </c>
      <c r="J464" s="177">
        <f>J179</f>
        <v/>
      </c>
      <c r="K464" s="156">
        <f>IF(AND(F464=0,I464=0),"",IF(F464&gt;I464,B464&amp;E464,IF(F464&lt;I464,B464&amp;H464,"Tie")))</f>
        <v/>
      </c>
      <c r="L464" s="156">
        <f>IFERROR(IF(AND(B464&lt;$L$1,F464&gt;I464),"Win",IF(AND(B464&lt;$L$1,F464&lt;I464),"Loss","")),"")</f>
        <v/>
      </c>
      <c r="M464" s="156">
        <f>IF(B464&lt;_CurWeek,"In","")</f>
        <v/>
      </c>
      <c r="N464" s="156">
        <f>IF(M464="In",E464&amp;G464,"")</f>
        <v/>
      </c>
      <c r="O464" s="156">
        <f>IF(L464="Win",1,0)</f>
        <v/>
      </c>
    </row>
    <row r="465" ht="14.4" customHeight="1" s="152">
      <c r="A465" s="167">
        <f>B465&amp;E465</f>
        <v/>
      </c>
      <c r="B465" s="174">
        <f>B180</f>
        <v/>
      </c>
      <c r="C465" s="174">
        <f>C180</f>
        <v/>
      </c>
      <c r="D465" s="175">
        <f>D180</f>
        <v/>
      </c>
      <c r="E465" s="176">
        <f>H180</f>
        <v/>
      </c>
      <c r="F465" s="157">
        <f>I180</f>
        <v/>
      </c>
      <c r="G465" s="174" t="inlineStr">
        <is>
          <t>Home</t>
        </is>
      </c>
      <c r="H465" s="176">
        <f>E180</f>
        <v/>
      </c>
      <c r="I465" s="157">
        <f>F180</f>
        <v/>
      </c>
      <c r="J465" s="177">
        <f>J180</f>
        <v/>
      </c>
      <c r="K465" s="156">
        <f>IF(AND(F465=0,I465=0),"",IF(F465&gt;I465,B465&amp;E465,IF(F465&lt;I465,B465&amp;H465,"Tie")))</f>
        <v/>
      </c>
      <c r="L465" s="156">
        <f>IFERROR(IF(AND(B465&lt;$L$1,F465&gt;I465),"Win",IF(AND(B465&lt;$L$1,F465&lt;I465),"Loss","")),"")</f>
        <v/>
      </c>
      <c r="M465" s="156">
        <f>IF(B465&lt;_CurWeek,"In","")</f>
        <v/>
      </c>
      <c r="N465" s="156">
        <f>IF(M465="In",E465&amp;G465,"")</f>
        <v/>
      </c>
      <c r="O465" s="156">
        <f>IF(L465="Win",1,0)</f>
        <v/>
      </c>
    </row>
    <row r="466" ht="14.4" customHeight="1" s="152">
      <c r="A466" s="167">
        <f>B466&amp;E466</f>
        <v/>
      </c>
      <c r="B466" s="174">
        <f>B181</f>
        <v/>
      </c>
      <c r="C466" s="174">
        <f>C181</f>
        <v/>
      </c>
      <c r="D466" s="175">
        <f>D181</f>
        <v/>
      </c>
      <c r="E466" s="176">
        <f>H181</f>
        <v/>
      </c>
      <c r="F466" s="157">
        <f>I181</f>
        <v/>
      </c>
      <c r="G466" s="174" t="inlineStr">
        <is>
          <t>Home</t>
        </is>
      </c>
      <c r="H466" s="176">
        <f>E181</f>
        <v/>
      </c>
      <c r="I466" s="157">
        <f>F181</f>
        <v/>
      </c>
      <c r="J466" s="177">
        <f>J181</f>
        <v/>
      </c>
      <c r="K466" s="156">
        <f>IF(AND(F466=0,I466=0),"",IF(F466&gt;I466,B466&amp;E466,IF(F466&lt;I466,B466&amp;H466,"Tie")))</f>
        <v/>
      </c>
      <c r="L466" s="156">
        <f>IFERROR(IF(AND(B466&lt;$L$1,F466&gt;I466),"Win",IF(AND(B466&lt;$L$1,F466&lt;I466),"Loss","")),"")</f>
        <v/>
      </c>
      <c r="M466" s="156">
        <f>IF(B466&lt;_CurWeek,"In","")</f>
        <v/>
      </c>
      <c r="N466" s="156">
        <f>IF(M466="In",E466&amp;G466,"")</f>
        <v/>
      </c>
      <c r="O466" s="156">
        <f>IF(L466="Win",1,0)</f>
        <v/>
      </c>
    </row>
    <row r="467" ht="14.4" customHeight="1" s="152">
      <c r="A467" s="167">
        <f>B467&amp;E467</f>
        <v/>
      </c>
      <c r="B467" s="174">
        <f>B182</f>
        <v/>
      </c>
      <c r="C467" s="174">
        <f>C182</f>
        <v/>
      </c>
      <c r="D467" s="175">
        <f>D182</f>
        <v/>
      </c>
      <c r="E467" s="176">
        <f>H182</f>
        <v/>
      </c>
      <c r="F467" s="157">
        <f>I182</f>
        <v/>
      </c>
      <c r="G467" s="174" t="inlineStr">
        <is>
          <t>Home</t>
        </is>
      </c>
      <c r="H467" s="176">
        <f>E182</f>
        <v/>
      </c>
      <c r="I467" s="157">
        <f>F182</f>
        <v/>
      </c>
      <c r="J467" s="177">
        <f>J182</f>
        <v/>
      </c>
      <c r="K467" s="156">
        <f>IF(AND(F467=0,I467=0),"",IF(F467&gt;I467,B467&amp;E467,IF(F467&lt;I467,B467&amp;H467,"Tie")))</f>
        <v/>
      </c>
      <c r="L467" s="156">
        <f>IFERROR(IF(AND(B467&lt;$L$1,F467&gt;I467),"Win",IF(AND(B467&lt;$L$1,F467&lt;I467),"Loss","")),"")</f>
        <v/>
      </c>
      <c r="M467" s="156">
        <f>IF(B467&lt;_CurWeek,"In","")</f>
        <v/>
      </c>
      <c r="N467" s="156">
        <f>IF(M467="In",E467&amp;G467,"")</f>
        <v/>
      </c>
      <c r="O467" s="156">
        <f>IF(L467="Win",1,0)</f>
        <v/>
      </c>
    </row>
    <row r="468" ht="14.4" customHeight="1" s="152">
      <c r="A468" s="167">
        <f>B468&amp;E468</f>
        <v/>
      </c>
      <c r="B468" s="174">
        <f>B183</f>
        <v/>
      </c>
      <c r="C468" s="174">
        <f>C183</f>
        <v/>
      </c>
      <c r="D468" s="175">
        <f>D183</f>
        <v/>
      </c>
      <c r="E468" s="176">
        <f>H183</f>
        <v/>
      </c>
      <c r="F468" s="157">
        <f>I183</f>
        <v/>
      </c>
      <c r="G468" s="174" t="inlineStr">
        <is>
          <t>Home</t>
        </is>
      </c>
      <c r="H468" s="176">
        <f>E183</f>
        <v/>
      </c>
      <c r="I468" s="157">
        <f>F183</f>
        <v/>
      </c>
      <c r="J468" s="177">
        <f>J183</f>
        <v/>
      </c>
      <c r="K468" s="156">
        <f>IF(AND(F468=0,I468=0),"",IF(F468&gt;I468,B468&amp;E468,IF(F468&lt;I468,B468&amp;H468,"Tie")))</f>
        <v/>
      </c>
      <c r="L468" s="156">
        <f>IFERROR(IF(AND(B468&lt;$L$1,F468&gt;I468),"Win",IF(AND(B468&lt;$L$1,F468&lt;I468),"Loss","")),"")</f>
        <v/>
      </c>
      <c r="M468" s="156">
        <f>IF(B468&lt;_CurWeek,"In","")</f>
        <v/>
      </c>
      <c r="N468" s="156">
        <f>IF(M468="In",E468&amp;G468,"")</f>
        <v/>
      </c>
      <c r="O468" s="156">
        <f>IF(L468="Win",1,0)</f>
        <v/>
      </c>
    </row>
    <row r="469" ht="14.4" customHeight="1" s="152">
      <c r="A469" s="167">
        <f>B469&amp;E469</f>
        <v/>
      </c>
      <c r="B469" s="174">
        <f>B184</f>
        <v/>
      </c>
      <c r="C469" s="174">
        <f>C184</f>
        <v/>
      </c>
      <c r="D469" s="175">
        <f>D184</f>
        <v/>
      </c>
      <c r="E469" s="176">
        <f>H184</f>
        <v/>
      </c>
      <c r="F469" s="157">
        <f>I184</f>
        <v/>
      </c>
      <c r="G469" s="174" t="inlineStr">
        <is>
          <t>Home</t>
        </is>
      </c>
      <c r="H469" s="176">
        <f>E184</f>
        <v/>
      </c>
      <c r="I469" s="157">
        <f>F184</f>
        <v/>
      </c>
      <c r="J469" s="177">
        <f>J184</f>
        <v/>
      </c>
      <c r="K469" s="156">
        <f>IF(AND(F469=0,I469=0),"",IF(F469&gt;I469,B469&amp;E469,IF(F469&lt;I469,B469&amp;H469,"Tie")))</f>
        <v/>
      </c>
      <c r="L469" s="156">
        <f>IFERROR(IF(AND(B469&lt;$L$1,F469&gt;I469),"Win",IF(AND(B469&lt;$L$1,F469&lt;I469),"Loss","")),"")</f>
        <v/>
      </c>
      <c r="M469" s="156">
        <f>IF(B469&lt;_CurWeek,"In","")</f>
        <v/>
      </c>
      <c r="N469" s="156">
        <f>IF(M469="In",E469&amp;G469,"")</f>
        <v/>
      </c>
      <c r="O469" s="156">
        <f>IF(L469="Win",1,0)</f>
        <v/>
      </c>
    </row>
    <row r="470" ht="14.4" customHeight="1" s="152">
      <c r="A470" s="167">
        <f>B470&amp;E470</f>
        <v/>
      </c>
      <c r="B470" s="174">
        <f>B185</f>
        <v/>
      </c>
      <c r="C470" s="174">
        <f>C185</f>
        <v/>
      </c>
      <c r="D470" s="175">
        <f>D185</f>
        <v/>
      </c>
      <c r="E470" s="176">
        <f>H185</f>
        <v/>
      </c>
      <c r="F470" s="157">
        <f>I185</f>
        <v/>
      </c>
      <c r="G470" s="174" t="inlineStr">
        <is>
          <t>Home</t>
        </is>
      </c>
      <c r="H470" s="176">
        <f>E185</f>
        <v/>
      </c>
      <c r="I470" s="157">
        <f>F185</f>
        <v/>
      </c>
      <c r="J470" s="177">
        <f>J185</f>
        <v/>
      </c>
      <c r="K470" s="156">
        <f>IF(AND(F470=0,I470=0),"",IF(F470&gt;I470,B470&amp;E470,IF(F470&lt;I470,B470&amp;H470,"Tie")))</f>
        <v/>
      </c>
      <c r="L470" s="156">
        <f>IFERROR(IF(AND(B470&lt;$L$1,F470&gt;I470),"Win",IF(AND(B470&lt;$L$1,F470&lt;I470),"Loss","")),"")</f>
        <v/>
      </c>
      <c r="M470" s="156">
        <f>IF(B470&lt;_CurWeek,"In","")</f>
        <v/>
      </c>
      <c r="N470" s="156">
        <f>IF(M470="In",E470&amp;G470,"")</f>
        <v/>
      </c>
      <c r="O470" s="156">
        <f>IF(L470="Win",1,0)</f>
        <v/>
      </c>
    </row>
    <row r="471" ht="14.4" customHeight="1" s="152">
      <c r="A471" s="167">
        <f>B471&amp;E471</f>
        <v/>
      </c>
      <c r="B471" s="174">
        <f>B186</f>
        <v/>
      </c>
      <c r="C471" s="174">
        <f>C186</f>
        <v/>
      </c>
      <c r="D471" s="175">
        <f>D186</f>
        <v/>
      </c>
      <c r="E471" s="176">
        <f>H186</f>
        <v/>
      </c>
      <c r="F471" s="157">
        <f>I186</f>
        <v/>
      </c>
      <c r="G471" s="174" t="inlineStr">
        <is>
          <t>Home</t>
        </is>
      </c>
      <c r="H471" s="176">
        <f>E186</f>
        <v/>
      </c>
      <c r="I471" s="157">
        <f>F186</f>
        <v/>
      </c>
      <c r="J471" s="177">
        <f>J186</f>
        <v/>
      </c>
      <c r="K471" s="156">
        <f>IF(AND(F471=0,I471=0),"",IF(F471&gt;I471,B471&amp;E471,IF(F471&lt;I471,B471&amp;H471,"Tie")))</f>
        <v/>
      </c>
      <c r="L471" s="156">
        <f>IFERROR(IF(AND(B471&lt;$L$1,F471&gt;I471),"Win",IF(AND(B471&lt;$L$1,F471&lt;I471),"Loss","")),"")</f>
        <v/>
      </c>
      <c r="M471" s="156">
        <f>IF(B471&lt;_CurWeek,"In","")</f>
        <v/>
      </c>
      <c r="N471" s="156">
        <f>IF(M471="In",E471&amp;G471,"")</f>
        <v/>
      </c>
      <c r="O471" s="156">
        <f>IF(L471="Win",1,0)</f>
        <v/>
      </c>
    </row>
    <row r="472" ht="14.4" customHeight="1" s="152">
      <c r="A472" s="167">
        <f>B472&amp;E472</f>
        <v/>
      </c>
      <c r="B472" s="174">
        <f>B187</f>
        <v/>
      </c>
      <c r="C472" s="174">
        <f>C187</f>
        <v/>
      </c>
      <c r="D472" s="175">
        <f>D187</f>
        <v/>
      </c>
      <c r="E472" s="176">
        <f>H187</f>
        <v/>
      </c>
      <c r="F472" s="157">
        <f>I187</f>
        <v/>
      </c>
      <c r="G472" s="174" t="inlineStr">
        <is>
          <t>Home</t>
        </is>
      </c>
      <c r="H472" s="176">
        <f>E187</f>
        <v/>
      </c>
      <c r="I472" s="157">
        <f>F187</f>
        <v/>
      </c>
      <c r="J472" s="177">
        <f>J187</f>
        <v/>
      </c>
      <c r="K472" s="156">
        <f>IF(AND(F472=0,I472=0),"",IF(F472&gt;I472,B472&amp;E472,IF(F472&lt;I472,B472&amp;H472,"Tie")))</f>
        <v/>
      </c>
      <c r="L472" s="156">
        <f>IFERROR(IF(AND(B472&lt;$L$1,F472&gt;I472),"Win",IF(AND(B472&lt;$L$1,F472&lt;I472),"Loss","")),"")</f>
        <v/>
      </c>
      <c r="M472" s="156">
        <f>IF(B472&lt;_CurWeek,"In","")</f>
        <v/>
      </c>
      <c r="N472" s="156">
        <f>IF(M472="In",E472&amp;G472,"")</f>
        <v/>
      </c>
      <c r="O472" s="156">
        <f>IF(L472="Win",1,0)</f>
        <v/>
      </c>
    </row>
    <row r="473" ht="14.4" customHeight="1" s="152">
      <c r="A473" s="167">
        <f>B473&amp;E473</f>
        <v/>
      </c>
      <c r="B473" s="174">
        <f>B188</f>
        <v/>
      </c>
      <c r="C473" s="174">
        <f>C188</f>
        <v/>
      </c>
      <c r="D473" s="175">
        <f>D188</f>
        <v/>
      </c>
      <c r="E473" s="176">
        <f>H188</f>
        <v/>
      </c>
      <c r="F473" s="157">
        <f>I188</f>
        <v/>
      </c>
      <c r="G473" s="174" t="inlineStr">
        <is>
          <t>Home</t>
        </is>
      </c>
      <c r="H473" s="176">
        <f>E188</f>
        <v/>
      </c>
      <c r="I473" s="157">
        <f>F188</f>
        <v/>
      </c>
      <c r="J473" s="177">
        <f>J188</f>
        <v/>
      </c>
      <c r="K473" s="156">
        <f>IF(AND(F473=0,I473=0),"",IF(F473&gt;I473,B473&amp;E473,IF(F473&lt;I473,B473&amp;H473,"Tie")))</f>
        <v/>
      </c>
      <c r="L473" s="156">
        <f>IFERROR(IF(AND(B473&lt;$L$1,F473&gt;I473),"Win",IF(AND(B473&lt;$L$1,F473&lt;I473),"Loss","")),"")</f>
        <v/>
      </c>
      <c r="M473" s="156">
        <f>IF(B473&lt;_CurWeek,"In","")</f>
        <v/>
      </c>
      <c r="N473" s="156">
        <f>IF(M473="In",E473&amp;G473,"")</f>
        <v/>
      </c>
      <c r="O473" s="156">
        <f>IF(L473="Win",1,0)</f>
        <v/>
      </c>
    </row>
    <row r="474" ht="14.4" customHeight="1" s="152">
      <c r="A474" s="167">
        <f>B474&amp;E474</f>
        <v/>
      </c>
      <c r="B474" s="174">
        <f>B189</f>
        <v/>
      </c>
      <c r="C474" s="174">
        <f>C189</f>
        <v/>
      </c>
      <c r="D474" s="175">
        <f>D189</f>
        <v/>
      </c>
      <c r="E474" s="176">
        <f>H189</f>
        <v/>
      </c>
      <c r="F474" s="157">
        <f>I189</f>
        <v/>
      </c>
      <c r="G474" s="174" t="inlineStr">
        <is>
          <t>Home</t>
        </is>
      </c>
      <c r="H474" s="176">
        <f>E189</f>
        <v/>
      </c>
      <c r="I474" s="157">
        <f>F189</f>
        <v/>
      </c>
      <c r="J474" s="177">
        <f>J189</f>
        <v/>
      </c>
      <c r="K474" s="156">
        <f>IF(AND(F474=0,I474=0),"",IF(F474&gt;I474,B474&amp;E474,IF(F474&lt;I474,B474&amp;H474,"Tie")))</f>
        <v/>
      </c>
      <c r="L474" s="156">
        <f>IFERROR(IF(AND(B474&lt;$L$1,F474&gt;I474),"Win",IF(AND(B474&lt;$L$1,F474&lt;I474),"Loss","")),"")</f>
        <v/>
      </c>
      <c r="M474" s="156">
        <f>IF(B474&lt;_CurWeek,"In","")</f>
        <v/>
      </c>
      <c r="N474" s="156">
        <f>IF(M474="In",E474&amp;G474,"")</f>
        <v/>
      </c>
      <c r="O474" s="156">
        <f>IF(L474="Win",1,0)</f>
        <v/>
      </c>
    </row>
    <row r="475" ht="14.4" customHeight="1" s="152">
      <c r="A475" s="167">
        <f>B475&amp;E475</f>
        <v/>
      </c>
      <c r="B475" s="174">
        <f>B190</f>
        <v/>
      </c>
      <c r="C475" s="174">
        <f>C190</f>
        <v/>
      </c>
      <c r="D475" s="175">
        <f>D190</f>
        <v/>
      </c>
      <c r="E475" s="176">
        <f>H190</f>
        <v/>
      </c>
      <c r="F475" s="157">
        <f>I190</f>
        <v/>
      </c>
      <c r="G475" s="174" t="inlineStr">
        <is>
          <t>Home</t>
        </is>
      </c>
      <c r="H475" s="176">
        <f>E190</f>
        <v/>
      </c>
      <c r="I475" s="157">
        <f>F190</f>
        <v/>
      </c>
      <c r="J475" s="177">
        <f>J190</f>
        <v/>
      </c>
      <c r="K475" s="156">
        <f>IF(AND(F475=0,I475=0),"",IF(F475&gt;I475,B475&amp;E475,IF(F475&lt;I475,B475&amp;H475,"Tie")))</f>
        <v/>
      </c>
      <c r="L475" s="156">
        <f>IFERROR(IF(AND(B475&lt;$L$1,F475&gt;I475),"Win",IF(AND(B475&lt;$L$1,F475&lt;I475),"Loss","")),"")</f>
        <v/>
      </c>
      <c r="M475" s="156">
        <f>IF(B475&lt;_CurWeek,"In","")</f>
        <v/>
      </c>
      <c r="N475" s="156">
        <f>IF(M475="In",E475&amp;G475,"")</f>
        <v/>
      </c>
      <c r="O475" s="156">
        <f>IF(L475="Win",1,0)</f>
        <v/>
      </c>
    </row>
    <row r="476" ht="14.4" customHeight="1" s="152">
      <c r="A476" s="167">
        <f>B476&amp;E476</f>
        <v/>
      </c>
      <c r="B476" s="174">
        <f>B191</f>
        <v/>
      </c>
      <c r="C476" s="174">
        <f>C191</f>
        <v/>
      </c>
      <c r="D476" s="175">
        <f>D191</f>
        <v/>
      </c>
      <c r="E476" s="176">
        <f>H191</f>
        <v/>
      </c>
      <c r="F476" s="157">
        <f>I191</f>
        <v/>
      </c>
      <c r="G476" s="174" t="inlineStr">
        <is>
          <t>Home</t>
        </is>
      </c>
      <c r="H476" s="176">
        <f>E191</f>
        <v/>
      </c>
      <c r="I476" s="157">
        <f>F191</f>
        <v/>
      </c>
      <c r="J476" s="177">
        <f>J191</f>
        <v/>
      </c>
      <c r="K476" s="156">
        <f>IF(AND(F476=0,I476=0),"",IF(F476&gt;I476,B476&amp;E476,IF(F476&lt;I476,B476&amp;H476,"Tie")))</f>
        <v/>
      </c>
      <c r="L476" s="156">
        <f>IFERROR(IF(AND(B476&lt;$L$1,F476&gt;I476),"Win",IF(AND(B476&lt;$L$1,F476&lt;I476),"Loss","")),"")</f>
        <v/>
      </c>
      <c r="M476" s="156">
        <f>IF(B476&lt;_CurWeek,"In","")</f>
        <v/>
      </c>
      <c r="N476" s="156">
        <f>IF(M476="In",E476&amp;G476,"")</f>
        <v/>
      </c>
      <c r="O476" s="156">
        <f>IF(L476="Win",1,0)</f>
        <v/>
      </c>
    </row>
    <row r="477" ht="14.4" customHeight="1" s="152">
      <c r="A477" s="167">
        <f>B477&amp;E477</f>
        <v/>
      </c>
      <c r="B477" s="174">
        <f>B192</f>
        <v/>
      </c>
      <c r="C477" s="174">
        <f>C192</f>
        <v/>
      </c>
      <c r="D477" s="175">
        <f>D192</f>
        <v/>
      </c>
      <c r="E477" s="176">
        <f>H192</f>
        <v/>
      </c>
      <c r="F477" s="157">
        <f>I192</f>
        <v/>
      </c>
      <c r="G477" s="174" t="inlineStr">
        <is>
          <t>Home</t>
        </is>
      </c>
      <c r="H477" s="176">
        <f>E192</f>
        <v/>
      </c>
      <c r="I477" s="157">
        <f>F192</f>
        <v/>
      </c>
      <c r="J477" s="177">
        <f>J192</f>
        <v/>
      </c>
      <c r="K477" s="156">
        <f>IF(AND(F477=0,I477=0),"",IF(F477&gt;I477,B477&amp;E477,IF(F477&lt;I477,B477&amp;H477,"Tie")))</f>
        <v/>
      </c>
      <c r="L477" s="156">
        <f>IFERROR(IF(AND(B477&lt;$L$1,F477&gt;I477),"Win",IF(AND(B477&lt;$L$1,F477&lt;I477),"Loss","")),"")</f>
        <v/>
      </c>
      <c r="M477" s="156">
        <f>IF(B477&lt;_CurWeek,"In","")</f>
        <v/>
      </c>
      <c r="N477" s="156">
        <f>IF(M477="In",E477&amp;G477,"")</f>
        <v/>
      </c>
      <c r="O477" s="156">
        <f>IF(L477="Win",1,0)</f>
        <v/>
      </c>
    </row>
    <row r="478" ht="14.4" customHeight="1" s="152">
      <c r="A478" s="167">
        <f>B478&amp;E478</f>
        <v/>
      </c>
      <c r="B478" s="174">
        <f>B193</f>
        <v/>
      </c>
      <c r="C478" s="174">
        <f>C193</f>
        <v/>
      </c>
      <c r="D478" s="175">
        <f>D193</f>
        <v/>
      </c>
      <c r="E478" s="176">
        <f>H193</f>
        <v/>
      </c>
      <c r="F478" s="157">
        <f>I193</f>
        <v/>
      </c>
      <c r="G478" s="174" t="inlineStr">
        <is>
          <t>Home</t>
        </is>
      </c>
      <c r="H478" s="176">
        <f>E193</f>
        <v/>
      </c>
      <c r="I478" s="157">
        <f>F193</f>
        <v/>
      </c>
      <c r="J478" s="177">
        <f>J193</f>
        <v/>
      </c>
      <c r="K478" s="156">
        <f>IF(AND(F478=0,I478=0),"",IF(F478&gt;I478,B478&amp;E478,IF(F478&lt;I478,B478&amp;H478,"Tie")))</f>
        <v/>
      </c>
      <c r="L478" s="156">
        <f>IFERROR(IF(AND(B478&lt;$L$1,F478&gt;I478),"Win",IF(AND(B478&lt;$L$1,F478&lt;I478),"Loss","")),"")</f>
        <v/>
      </c>
      <c r="M478" s="156">
        <f>IF(B478&lt;_CurWeek,"In","")</f>
        <v/>
      </c>
      <c r="N478" s="156">
        <f>IF(M478="In",E478&amp;G478,"")</f>
        <v/>
      </c>
      <c r="O478" s="156">
        <f>IF(L478="Win",1,0)</f>
        <v/>
      </c>
    </row>
    <row r="479" ht="14.4" customHeight="1" s="152">
      <c r="A479" s="167">
        <f>B479&amp;E479</f>
        <v/>
      </c>
      <c r="B479" s="174">
        <f>B194</f>
        <v/>
      </c>
      <c r="C479" s="174">
        <f>C194</f>
        <v/>
      </c>
      <c r="D479" s="175">
        <f>D194</f>
        <v/>
      </c>
      <c r="E479" s="176">
        <f>H194</f>
        <v/>
      </c>
      <c r="F479" s="157">
        <f>I194</f>
        <v/>
      </c>
      <c r="G479" s="174" t="inlineStr">
        <is>
          <t>Home</t>
        </is>
      </c>
      <c r="H479" s="176">
        <f>E194</f>
        <v/>
      </c>
      <c r="I479" s="157">
        <f>F194</f>
        <v/>
      </c>
      <c r="J479" s="177">
        <f>J194</f>
        <v/>
      </c>
      <c r="K479" s="156">
        <f>IF(AND(F479=0,I479=0),"",IF(F479&gt;I479,B479&amp;E479,IF(F479&lt;I479,B479&amp;H479,"Tie")))</f>
        <v/>
      </c>
      <c r="L479" s="156">
        <f>IFERROR(IF(AND(B479&lt;$L$1,F479&gt;I479),"Win",IF(AND(B479&lt;$L$1,F479&lt;I479),"Loss","")),"")</f>
        <v/>
      </c>
      <c r="M479" s="156">
        <f>IF(B479&lt;_CurWeek,"In","")</f>
        <v/>
      </c>
      <c r="N479" s="156">
        <f>IF(M479="In",E479&amp;G479,"")</f>
        <v/>
      </c>
      <c r="O479" s="156">
        <f>IF(L479="Win",1,0)</f>
        <v/>
      </c>
    </row>
    <row r="480" ht="14.4" customHeight="1" s="152">
      <c r="A480" s="167">
        <f>B480&amp;E480</f>
        <v/>
      </c>
      <c r="B480" s="174">
        <f>B195</f>
        <v/>
      </c>
      <c r="C480" s="174">
        <f>C195</f>
        <v/>
      </c>
      <c r="D480" s="175">
        <f>D195</f>
        <v/>
      </c>
      <c r="E480" s="176">
        <f>H195</f>
        <v/>
      </c>
      <c r="F480" s="157">
        <f>I195</f>
        <v/>
      </c>
      <c r="G480" s="174" t="inlineStr">
        <is>
          <t>Home</t>
        </is>
      </c>
      <c r="H480" s="176">
        <f>E195</f>
        <v/>
      </c>
      <c r="I480" s="157">
        <f>F195</f>
        <v/>
      </c>
      <c r="J480" s="177">
        <f>J195</f>
        <v/>
      </c>
      <c r="K480" s="156">
        <f>IF(AND(F480=0,I480=0),"",IF(F480&gt;I480,B480&amp;E480,IF(F480&lt;I480,B480&amp;H480,"Tie")))</f>
        <v/>
      </c>
      <c r="L480" s="156">
        <f>IFERROR(IF(AND(B480&lt;$L$1,F480&gt;I480),"Win",IF(AND(B480&lt;$L$1,F480&lt;I480),"Loss","")),"")</f>
        <v/>
      </c>
      <c r="M480" s="156">
        <f>IF(B480&lt;_CurWeek,"In","")</f>
        <v/>
      </c>
      <c r="N480" s="156">
        <f>IF(M480="In",E480&amp;G480,"")</f>
        <v/>
      </c>
      <c r="O480" s="156">
        <f>IF(L480="Win",1,0)</f>
        <v/>
      </c>
    </row>
    <row r="481" ht="14.4" customHeight="1" s="152">
      <c r="A481" s="167">
        <f>B481&amp;E481</f>
        <v/>
      </c>
      <c r="B481" s="174">
        <f>B196</f>
        <v/>
      </c>
      <c r="C481" s="174">
        <f>C196</f>
        <v/>
      </c>
      <c r="D481" s="175">
        <f>D196</f>
        <v/>
      </c>
      <c r="E481" s="176">
        <f>H196</f>
        <v/>
      </c>
      <c r="F481" s="157">
        <f>I196</f>
        <v/>
      </c>
      <c r="G481" s="174" t="inlineStr">
        <is>
          <t>Home</t>
        </is>
      </c>
      <c r="H481" s="176">
        <f>E196</f>
        <v/>
      </c>
      <c r="I481" s="157">
        <f>F196</f>
        <v/>
      </c>
      <c r="J481" s="177">
        <f>J196</f>
        <v/>
      </c>
      <c r="K481" s="156">
        <f>IF(AND(F481=0,I481=0),"",IF(F481&gt;I481,B481&amp;E481,IF(F481&lt;I481,B481&amp;H481,"Tie")))</f>
        <v/>
      </c>
      <c r="L481" s="156">
        <f>IFERROR(IF(AND(B481&lt;$L$1,F481&gt;I481),"Win",IF(AND(B481&lt;$L$1,F481&lt;I481),"Loss","")),"")</f>
        <v/>
      </c>
      <c r="M481" s="156">
        <f>IF(B481&lt;_CurWeek,"In","")</f>
        <v/>
      </c>
      <c r="N481" s="156">
        <f>IF(M481="In",E481&amp;G481,"")</f>
        <v/>
      </c>
      <c r="O481" s="156">
        <f>IF(L481="Win",1,0)</f>
        <v/>
      </c>
    </row>
    <row r="482" ht="14.4" customHeight="1" s="152">
      <c r="A482" s="167">
        <f>B482&amp;E482</f>
        <v/>
      </c>
      <c r="B482" s="174">
        <f>B197</f>
        <v/>
      </c>
      <c r="C482" s="174">
        <f>C197</f>
        <v/>
      </c>
      <c r="D482" s="175">
        <f>D197</f>
        <v/>
      </c>
      <c r="E482" s="176">
        <f>H197</f>
        <v/>
      </c>
      <c r="F482" s="157">
        <f>I197</f>
        <v/>
      </c>
      <c r="G482" s="174" t="inlineStr">
        <is>
          <t>Home</t>
        </is>
      </c>
      <c r="H482" s="176">
        <f>E197</f>
        <v/>
      </c>
      <c r="I482" s="157">
        <f>F197</f>
        <v/>
      </c>
      <c r="J482" s="177">
        <f>J197</f>
        <v/>
      </c>
      <c r="K482" s="156">
        <f>IF(AND(F482=0,I482=0),"",IF(F482&gt;I482,B482&amp;E482,IF(F482&lt;I482,B482&amp;H482,"Tie")))</f>
        <v/>
      </c>
      <c r="L482" s="156">
        <f>IFERROR(IF(AND(B482&lt;$L$1,F482&gt;I482),"Win",IF(AND(B482&lt;$L$1,F482&lt;I482),"Loss","")),"")</f>
        <v/>
      </c>
      <c r="M482" s="156">
        <f>IF(B482&lt;_CurWeek,"In","")</f>
        <v/>
      </c>
      <c r="N482" s="156">
        <f>IF(M482="In",E482&amp;G482,"")</f>
        <v/>
      </c>
      <c r="O482" s="156">
        <f>IF(L482="Win",1,0)</f>
        <v/>
      </c>
    </row>
    <row r="483" ht="14.4" customHeight="1" s="152">
      <c r="A483" s="167">
        <f>B483&amp;E483</f>
        <v/>
      </c>
      <c r="B483" s="174">
        <f>B198</f>
        <v/>
      </c>
      <c r="C483" s="174">
        <f>C198</f>
        <v/>
      </c>
      <c r="D483" s="175">
        <f>D198</f>
        <v/>
      </c>
      <c r="E483" s="176">
        <f>H198</f>
        <v/>
      </c>
      <c r="F483" s="157">
        <f>I198</f>
        <v/>
      </c>
      <c r="G483" s="174" t="inlineStr">
        <is>
          <t>Home</t>
        </is>
      </c>
      <c r="H483" s="176">
        <f>E198</f>
        <v/>
      </c>
      <c r="I483" s="157">
        <f>F198</f>
        <v/>
      </c>
      <c r="J483" s="177">
        <f>J198</f>
        <v/>
      </c>
      <c r="K483" s="156">
        <f>IF(AND(F483=0,I483=0),"",IF(F483&gt;I483,B483&amp;E483,IF(F483&lt;I483,B483&amp;H483,"Tie")))</f>
        <v/>
      </c>
      <c r="L483" s="156">
        <f>IFERROR(IF(AND(B483&lt;$L$1,F483&gt;I483),"Win",IF(AND(B483&lt;$L$1,F483&lt;I483),"Loss","")),"")</f>
        <v/>
      </c>
      <c r="M483" s="156">
        <f>IF(B483&lt;_CurWeek,"In","")</f>
        <v/>
      </c>
      <c r="N483" s="156">
        <f>IF(M483="In",E483&amp;G483,"")</f>
        <v/>
      </c>
      <c r="O483" s="156">
        <f>IF(L483="Win",1,0)</f>
        <v/>
      </c>
    </row>
    <row r="484" ht="14.4" customHeight="1" s="152">
      <c r="A484" s="167">
        <f>B484&amp;E484</f>
        <v/>
      </c>
      <c r="B484" s="174">
        <f>B199</f>
        <v/>
      </c>
      <c r="C484" s="174">
        <f>C199</f>
        <v/>
      </c>
      <c r="D484" s="175">
        <f>D199</f>
        <v/>
      </c>
      <c r="E484" s="176">
        <f>H199</f>
        <v/>
      </c>
      <c r="F484" s="157">
        <f>I199</f>
        <v/>
      </c>
      <c r="G484" s="174" t="inlineStr">
        <is>
          <t>Home</t>
        </is>
      </c>
      <c r="H484" s="176">
        <f>E199</f>
        <v/>
      </c>
      <c r="I484" s="157">
        <f>F199</f>
        <v/>
      </c>
      <c r="J484" s="177">
        <f>J199</f>
        <v/>
      </c>
      <c r="K484" s="156">
        <f>IF(AND(F484=0,I484=0),"",IF(F484&gt;I484,B484&amp;E484,IF(F484&lt;I484,B484&amp;H484,"Tie")))</f>
        <v/>
      </c>
      <c r="L484" s="156">
        <f>IFERROR(IF(AND(B484&lt;$L$1,F484&gt;I484),"Win",IF(AND(B484&lt;$L$1,F484&lt;I484),"Loss","")),"")</f>
        <v/>
      </c>
      <c r="M484" s="156">
        <f>IF(B484&lt;_CurWeek,"In","")</f>
        <v/>
      </c>
      <c r="N484" s="156">
        <f>IF(M484="In",E484&amp;G484,"")</f>
        <v/>
      </c>
      <c r="O484" s="156">
        <f>IF(L484="Win",1,0)</f>
        <v/>
      </c>
    </row>
    <row r="485" ht="14.4" customHeight="1" s="152">
      <c r="A485" s="167">
        <f>B485&amp;E485</f>
        <v/>
      </c>
      <c r="B485" s="174">
        <f>B200</f>
        <v/>
      </c>
      <c r="C485" s="174">
        <f>C200</f>
        <v/>
      </c>
      <c r="D485" s="175">
        <f>D200</f>
        <v/>
      </c>
      <c r="E485" s="176">
        <f>H200</f>
        <v/>
      </c>
      <c r="F485" s="157">
        <f>I200</f>
        <v/>
      </c>
      <c r="G485" s="174" t="inlineStr">
        <is>
          <t>Home</t>
        </is>
      </c>
      <c r="H485" s="176">
        <f>E200</f>
        <v/>
      </c>
      <c r="I485" s="157">
        <f>F200</f>
        <v/>
      </c>
      <c r="J485" s="177">
        <f>J200</f>
        <v/>
      </c>
      <c r="K485" s="156">
        <f>IF(AND(F485=0,I485=0),"",IF(F485&gt;I485,B485&amp;E485,IF(F485&lt;I485,B485&amp;H485,"Tie")))</f>
        <v/>
      </c>
      <c r="L485" s="156">
        <f>IFERROR(IF(AND(B485&lt;$L$1,F485&gt;I485),"Win",IF(AND(B485&lt;$L$1,F485&lt;I485),"Loss","")),"")</f>
        <v/>
      </c>
      <c r="M485" s="156">
        <f>IF(B485&lt;_CurWeek,"In","")</f>
        <v/>
      </c>
      <c r="N485" s="156">
        <f>IF(M485="In",E485&amp;G485,"")</f>
        <v/>
      </c>
      <c r="O485" s="156">
        <f>IF(L485="Win",1,0)</f>
        <v/>
      </c>
    </row>
    <row r="486" ht="14.4" customHeight="1" s="152">
      <c r="A486" s="167">
        <f>B486&amp;E486</f>
        <v/>
      </c>
      <c r="B486" s="174">
        <f>B201</f>
        <v/>
      </c>
      <c r="C486" s="174">
        <f>C201</f>
        <v/>
      </c>
      <c r="D486" s="175">
        <f>D201</f>
        <v/>
      </c>
      <c r="E486" s="176">
        <f>H201</f>
        <v/>
      </c>
      <c r="F486" s="157">
        <f>I201</f>
        <v/>
      </c>
      <c r="G486" s="174" t="inlineStr">
        <is>
          <t>Home</t>
        </is>
      </c>
      <c r="H486" s="176">
        <f>E201</f>
        <v/>
      </c>
      <c r="I486" s="157">
        <f>F201</f>
        <v/>
      </c>
      <c r="J486" s="177">
        <f>J201</f>
        <v/>
      </c>
      <c r="K486" s="156">
        <f>IF(AND(F486=0,I486=0),"",IF(F486&gt;I486,B486&amp;E486,IF(F486&lt;I486,B486&amp;H486,"Tie")))</f>
        <v/>
      </c>
      <c r="L486" s="156">
        <f>IFERROR(IF(AND(B486&lt;$L$1,F486&gt;I486),"Win",IF(AND(B486&lt;$L$1,F486&lt;I486),"Loss","")),"")</f>
        <v/>
      </c>
      <c r="M486" s="156">
        <f>IF(B486&lt;_CurWeek,"In","")</f>
        <v/>
      </c>
      <c r="N486" s="156">
        <f>IF(M486="In",E486&amp;G486,"")</f>
        <v/>
      </c>
      <c r="O486" s="156">
        <f>IF(L486="Win",1,0)</f>
        <v/>
      </c>
    </row>
    <row r="487" ht="14.4" customHeight="1" s="152">
      <c r="A487" s="167">
        <f>B487&amp;E487</f>
        <v/>
      </c>
      <c r="B487" s="174">
        <f>B202</f>
        <v/>
      </c>
      <c r="C487" s="174">
        <f>C202</f>
        <v/>
      </c>
      <c r="D487" s="175">
        <f>D202</f>
        <v/>
      </c>
      <c r="E487" s="176">
        <f>H202</f>
        <v/>
      </c>
      <c r="F487" s="157">
        <f>I202</f>
        <v/>
      </c>
      <c r="G487" s="174" t="inlineStr">
        <is>
          <t>Home</t>
        </is>
      </c>
      <c r="H487" s="176">
        <f>E202</f>
        <v/>
      </c>
      <c r="I487" s="157">
        <f>F202</f>
        <v/>
      </c>
      <c r="J487" s="177">
        <f>J202</f>
        <v/>
      </c>
      <c r="K487" s="156">
        <f>IF(AND(F487=0,I487=0),"",IF(F487&gt;I487,B487&amp;E487,IF(F487&lt;I487,B487&amp;H487,"Tie")))</f>
        <v/>
      </c>
      <c r="L487" s="156">
        <f>IFERROR(IF(AND(B487&lt;$L$1,F487&gt;I487),"Win",IF(AND(B487&lt;$L$1,F487&lt;I487),"Loss","")),"")</f>
        <v/>
      </c>
      <c r="M487" s="156">
        <f>IF(B487&lt;_CurWeek,"In","")</f>
        <v/>
      </c>
      <c r="N487" s="156">
        <f>IF(M487="In",E487&amp;G487,"")</f>
        <v/>
      </c>
      <c r="O487" s="156">
        <f>IF(L487="Win",1,0)</f>
        <v/>
      </c>
    </row>
    <row r="488" ht="14.4" customHeight="1" s="152">
      <c r="A488" s="167">
        <f>B488&amp;E488</f>
        <v/>
      </c>
      <c r="B488" s="174">
        <f>B203</f>
        <v/>
      </c>
      <c r="C488" s="174">
        <f>C203</f>
        <v/>
      </c>
      <c r="D488" s="175">
        <f>D203</f>
        <v/>
      </c>
      <c r="E488" s="176">
        <f>H203</f>
        <v/>
      </c>
      <c r="F488" s="157">
        <f>I203</f>
        <v/>
      </c>
      <c r="G488" s="174" t="inlineStr">
        <is>
          <t>Home</t>
        </is>
      </c>
      <c r="H488" s="176">
        <f>E203</f>
        <v/>
      </c>
      <c r="I488" s="157">
        <f>F203</f>
        <v/>
      </c>
      <c r="J488" s="177">
        <f>J203</f>
        <v/>
      </c>
      <c r="K488" s="156">
        <f>IF(AND(F488=0,I488=0),"",IF(F488&gt;I488,B488&amp;E488,IF(F488&lt;I488,B488&amp;H488,"Tie")))</f>
        <v/>
      </c>
      <c r="L488" s="156">
        <f>IFERROR(IF(AND(B488&lt;$L$1,F488&gt;I488),"Win",IF(AND(B488&lt;$L$1,F488&lt;I488),"Loss","")),"")</f>
        <v/>
      </c>
      <c r="M488" s="156">
        <f>IF(B488&lt;_CurWeek,"In","")</f>
        <v/>
      </c>
      <c r="N488" s="156">
        <f>IF(M488="In",E488&amp;G488,"")</f>
        <v/>
      </c>
      <c r="O488" s="156">
        <f>IF(L488="Win",1,0)</f>
        <v/>
      </c>
    </row>
    <row r="489" ht="14.4" customHeight="1" s="152">
      <c r="A489" s="167">
        <f>B489&amp;E489</f>
        <v/>
      </c>
      <c r="B489" s="174">
        <f>B204</f>
        <v/>
      </c>
      <c r="C489" s="174">
        <f>C204</f>
        <v/>
      </c>
      <c r="D489" s="175">
        <f>D204</f>
        <v/>
      </c>
      <c r="E489" s="176">
        <f>H204</f>
        <v/>
      </c>
      <c r="F489" s="157">
        <f>I204</f>
        <v/>
      </c>
      <c r="G489" s="174" t="inlineStr">
        <is>
          <t>Home</t>
        </is>
      </c>
      <c r="H489" s="176">
        <f>E204</f>
        <v/>
      </c>
      <c r="I489" s="157">
        <f>F204</f>
        <v/>
      </c>
      <c r="J489" s="177">
        <f>J204</f>
        <v/>
      </c>
      <c r="K489" s="156">
        <f>IF(AND(F489=0,I489=0),"",IF(F489&gt;I489,B489&amp;E489,IF(F489&lt;I489,B489&amp;H489,"Tie")))</f>
        <v/>
      </c>
      <c r="L489" s="156">
        <f>IFERROR(IF(AND(B489&lt;$L$1,F489&gt;I489),"Win",IF(AND(B489&lt;$L$1,F489&lt;I489),"Loss","")),"")</f>
        <v/>
      </c>
      <c r="M489" s="156">
        <f>IF(B489&lt;_CurWeek,"In","")</f>
        <v/>
      </c>
      <c r="N489" s="156">
        <f>IF(M489="In",E489&amp;G489,"")</f>
        <v/>
      </c>
      <c r="O489" s="156">
        <f>IF(L489="Win",1,0)</f>
        <v/>
      </c>
    </row>
    <row r="490" ht="14.4" customHeight="1" s="152">
      <c r="A490" s="167">
        <f>B490&amp;E490</f>
        <v/>
      </c>
      <c r="B490" s="174">
        <f>B205</f>
        <v/>
      </c>
      <c r="C490" s="174">
        <f>C205</f>
        <v/>
      </c>
      <c r="D490" s="175">
        <f>D205</f>
        <v/>
      </c>
      <c r="E490" s="176">
        <f>H205</f>
        <v/>
      </c>
      <c r="F490" s="157">
        <f>I205</f>
        <v/>
      </c>
      <c r="G490" s="174" t="inlineStr">
        <is>
          <t>Home</t>
        </is>
      </c>
      <c r="H490" s="176">
        <f>E205</f>
        <v/>
      </c>
      <c r="I490" s="157">
        <f>F205</f>
        <v/>
      </c>
      <c r="J490" s="177">
        <f>J205</f>
        <v/>
      </c>
      <c r="K490" s="156">
        <f>IF(AND(F490=0,I490=0),"",IF(F490&gt;I490,B490&amp;E490,IF(F490&lt;I490,B490&amp;H490,"Tie")))</f>
        <v/>
      </c>
      <c r="L490" s="156">
        <f>IFERROR(IF(AND(B490&lt;$L$1,F490&gt;I490),"Win",IF(AND(B490&lt;$L$1,F490&lt;I490),"Loss","")),"")</f>
        <v/>
      </c>
      <c r="M490" s="156">
        <f>IF(B490&lt;_CurWeek,"In","")</f>
        <v/>
      </c>
      <c r="N490" s="156">
        <f>IF(M490="In",E490&amp;G490,"")</f>
        <v/>
      </c>
      <c r="O490" s="156">
        <f>IF(L490="Win",1,0)</f>
        <v/>
      </c>
    </row>
    <row r="491" ht="14.4" customHeight="1" s="152">
      <c r="A491" s="167">
        <f>B491&amp;E491</f>
        <v/>
      </c>
      <c r="B491" s="174">
        <f>B206</f>
        <v/>
      </c>
      <c r="C491" s="174">
        <f>C206</f>
        <v/>
      </c>
      <c r="D491" s="175">
        <f>D206</f>
        <v/>
      </c>
      <c r="E491" s="176">
        <f>H206</f>
        <v/>
      </c>
      <c r="F491" s="157">
        <f>I206</f>
        <v/>
      </c>
      <c r="G491" s="174" t="inlineStr">
        <is>
          <t>Home</t>
        </is>
      </c>
      <c r="H491" s="176">
        <f>E206</f>
        <v/>
      </c>
      <c r="I491" s="157">
        <f>F206</f>
        <v/>
      </c>
      <c r="J491" s="177">
        <f>J206</f>
        <v/>
      </c>
      <c r="K491" s="156">
        <f>IF(AND(F491=0,I491=0),"",IF(F491&gt;I491,B491&amp;E491,IF(F491&lt;I491,B491&amp;H491,"Tie")))</f>
        <v/>
      </c>
      <c r="L491" s="156">
        <f>IFERROR(IF(AND(B491&lt;$L$1,F491&gt;I491),"Win",IF(AND(B491&lt;$L$1,F491&lt;I491),"Loss","")),"")</f>
        <v/>
      </c>
      <c r="M491" s="156">
        <f>IF(B491&lt;_CurWeek,"In","")</f>
        <v/>
      </c>
      <c r="N491" s="156">
        <f>IF(M491="In",E491&amp;G491,"")</f>
        <v/>
      </c>
      <c r="O491" s="156">
        <f>IF(L491="Win",1,0)</f>
        <v/>
      </c>
    </row>
    <row r="492" ht="14.4" customHeight="1" s="152">
      <c r="A492" s="167">
        <f>B492&amp;E492</f>
        <v/>
      </c>
      <c r="B492" s="174">
        <f>B207</f>
        <v/>
      </c>
      <c r="C492" s="174">
        <f>C207</f>
        <v/>
      </c>
      <c r="D492" s="175">
        <f>D207</f>
        <v/>
      </c>
      <c r="E492" s="176">
        <f>H207</f>
        <v/>
      </c>
      <c r="F492" s="157">
        <f>I207</f>
        <v/>
      </c>
      <c r="G492" s="174" t="inlineStr">
        <is>
          <t>Home</t>
        </is>
      </c>
      <c r="H492" s="176">
        <f>E207</f>
        <v/>
      </c>
      <c r="I492" s="157">
        <f>F207</f>
        <v/>
      </c>
      <c r="J492" s="177">
        <f>J207</f>
        <v/>
      </c>
      <c r="K492" s="156">
        <f>IF(AND(F492=0,I492=0),"",IF(F492&gt;I492,B492&amp;E492,IF(F492&lt;I492,B492&amp;H492,"Tie")))</f>
        <v/>
      </c>
      <c r="L492" s="156">
        <f>IFERROR(IF(AND(B492&lt;$L$1,F492&gt;I492),"Win",IF(AND(B492&lt;$L$1,F492&lt;I492),"Loss","")),"")</f>
        <v/>
      </c>
      <c r="M492" s="156">
        <f>IF(B492&lt;_CurWeek,"In","")</f>
        <v/>
      </c>
      <c r="N492" s="156">
        <f>IF(M492="In",E492&amp;G492,"")</f>
        <v/>
      </c>
      <c r="O492" s="156">
        <f>IF(L492="Win",1,0)</f>
        <v/>
      </c>
    </row>
    <row r="493" ht="14.4" customHeight="1" s="152">
      <c r="A493" s="167">
        <f>B493&amp;E493</f>
        <v/>
      </c>
      <c r="B493" s="174">
        <f>B208</f>
        <v/>
      </c>
      <c r="C493" s="174">
        <f>C208</f>
        <v/>
      </c>
      <c r="D493" s="175">
        <f>D208</f>
        <v/>
      </c>
      <c r="E493" s="176">
        <f>H208</f>
        <v/>
      </c>
      <c r="F493" s="157">
        <f>I208</f>
        <v/>
      </c>
      <c r="G493" s="174" t="inlineStr">
        <is>
          <t>Home</t>
        </is>
      </c>
      <c r="H493" s="176">
        <f>E208</f>
        <v/>
      </c>
      <c r="I493" s="157">
        <f>F208</f>
        <v/>
      </c>
      <c r="J493" s="177">
        <f>J208</f>
        <v/>
      </c>
      <c r="K493" s="156">
        <f>IF(AND(F493=0,I493=0),"",IF(F493&gt;I493,B493&amp;E493,IF(F493&lt;I493,B493&amp;H493,"Tie")))</f>
        <v/>
      </c>
      <c r="L493" s="156">
        <f>IFERROR(IF(AND(B493&lt;$L$1,F493&gt;I493),"Win",IF(AND(B493&lt;$L$1,F493&lt;I493),"Loss","")),"")</f>
        <v/>
      </c>
      <c r="M493" s="156">
        <f>IF(B493&lt;_CurWeek,"In","")</f>
        <v/>
      </c>
      <c r="N493" s="156">
        <f>IF(M493="In",E493&amp;G493,"")</f>
        <v/>
      </c>
      <c r="O493" s="156">
        <f>IF(L493="Win",1,0)</f>
        <v/>
      </c>
    </row>
    <row r="494" ht="14.4" customHeight="1" s="152">
      <c r="A494" s="167">
        <f>B494&amp;E494</f>
        <v/>
      </c>
      <c r="B494" s="174">
        <f>B209</f>
        <v/>
      </c>
      <c r="C494" s="174">
        <f>C209</f>
        <v/>
      </c>
      <c r="D494" s="175">
        <f>D209</f>
        <v/>
      </c>
      <c r="E494" s="176">
        <f>H209</f>
        <v/>
      </c>
      <c r="F494" s="157">
        <f>I209</f>
        <v/>
      </c>
      <c r="G494" s="174" t="inlineStr">
        <is>
          <t>Home</t>
        </is>
      </c>
      <c r="H494" s="176">
        <f>E209</f>
        <v/>
      </c>
      <c r="I494" s="157">
        <f>F209</f>
        <v/>
      </c>
      <c r="J494" s="177">
        <f>J209</f>
        <v/>
      </c>
      <c r="K494" s="156">
        <f>IF(AND(F494=0,I494=0),"",IF(F494&gt;I494,B494&amp;E494,IF(F494&lt;I494,B494&amp;H494,"Tie")))</f>
        <v/>
      </c>
      <c r="L494" s="156">
        <f>IFERROR(IF(AND(B494&lt;$L$1,F494&gt;I494),"Win",IF(AND(B494&lt;$L$1,F494&lt;I494),"Loss","")),"")</f>
        <v/>
      </c>
      <c r="M494" s="156">
        <f>IF(B494&lt;_CurWeek,"In","")</f>
        <v/>
      </c>
      <c r="N494" s="156">
        <f>IF(M494="In",E494&amp;G494,"")</f>
        <v/>
      </c>
      <c r="O494" s="156">
        <f>IF(L494="Win",1,0)</f>
        <v/>
      </c>
    </row>
    <row r="495" ht="14.4" customHeight="1" s="152">
      <c r="A495" s="167">
        <f>B495&amp;E495</f>
        <v/>
      </c>
      <c r="B495" s="174">
        <f>B210</f>
        <v/>
      </c>
      <c r="C495" s="174">
        <f>C210</f>
        <v/>
      </c>
      <c r="D495" s="175">
        <f>D210</f>
        <v/>
      </c>
      <c r="E495" s="176">
        <f>H210</f>
        <v/>
      </c>
      <c r="F495" s="157">
        <f>I210</f>
        <v/>
      </c>
      <c r="G495" s="174" t="inlineStr">
        <is>
          <t>Home</t>
        </is>
      </c>
      <c r="H495" s="176">
        <f>E210</f>
        <v/>
      </c>
      <c r="I495" s="157">
        <f>F210</f>
        <v/>
      </c>
      <c r="J495" s="177">
        <f>J210</f>
        <v/>
      </c>
      <c r="K495" s="156">
        <f>IF(AND(F495=0,I495=0),"",IF(F495&gt;I495,B495&amp;E495,IF(F495&lt;I495,B495&amp;H495,"Tie")))</f>
        <v/>
      </c>
      <c r="L495" s="156">
        <f>IFERROR(IF(AND(B495&lt;$L$1,F495&gt;I495),"Win",IF(AND(B495&lt;$L$1,F495&lt;I495),"Loss","")),"")</f>
        <v/>
      </c>
      <c r="M495" s="156">
        <f>IF(B495&lt;_CurWeek,"In","")</f>
        <v/>
      </c>
      <c r="N495" s="156">
        <f>IF(M495="In",E495&amp;G495,"")</f>
        <v/>
      </c>
      <c r="O495" s="156">
        <f>IF(L495="Win",1,0)</f>
        <v/>
      </c>
    </row>
    <row r="496" ht="14.4" customHeight="1" s="152">
      <c r="A496" s="167">
        <f>B496&amp;E496</f>
        <v/>
      </c>
      <c r="B496" s="174">
        <f>B211</f>
        <v/>
      </c>
      <c r="C496" s="174">
        <f>C211</f>
        <v/>
      </c>
      <c r="D496" s="175">
        <f>D211</f>
        <v/>
      </c>
      <c r="E496" s="176">
        <f>H211</f>
        <v/>
      </c>
      <c r="F496" s="157">
        <f>I211</f>
        <v/>
      </c>
      <c r="G496" s="174" t="inlineStr">
        <is>
          <t>Home</t>
        </is>
      </c>
      <c r="H496" s="176">
        <f>E211</f>
        <v/>
      </c>
      <c r="I496" s="157">
        <f>F211</f>
        <v/>
      </c>
      <c r="J496" s="177">
        <f>J211</f>
        <v/>
      </c>
      <c r="K496" s="156">
        <f>IF(AND(F496=0,I496=0),"",IF(F496&gt;I496,B496&amp;E496,IF(F496&lt;I496,B496&amp;H496,"Tie")))</f>
        <v/>
      </c>
      <c r="L496" s="156">
        <f>IFERROR(IF(AND(B496&lt;$L$1,F496&gt;I496),"Win",IF(AND(B496&lt;$L$1,F496&lt;I496),"Loss","")),"")</f>
        <v/>
      </c>
      <c r="M496" s="156">
        <f>IF(B496&lt;_CurWeek,"In","")</f>
        <v/>
      </c>
      <c r="N496" s="156">
        <f>IF(M496="In",E496&amp;G496,"")</f>
        <v/>
      </c>
      <c r="O496" s="156">
        <f>IF(L496="Win",1,0)</f>
        <v/>
      </c>
    </row>
    <row r="497" ht="14.4" customHeight="1" s="152">
      <c r="A497" s="167">
        <f>B497&amp;E497</f>
        <v/>
      </c>
      <c r="B497" s="174">
        <f>B212</f>
        <v/>
      </c>
      <c r="C497" s="174">
        <f>C212</f>
        <v/>
      </c>
      <c r="D497" s="175">
        <f>D212</f>
        <v/>
      </c>
      <c r="E497" s="176">
        <f>H212</f>
        <v/>
      </c>
      <c r="F497" s="157">
        <f>I212</f>
        <v/>
      </c>
      <c r="G497" s="174" t="inlineStr">
        <is>
          <t>Home</t>
        </is>
      </c>
      <c r="H497" s="176">
        <f>E212</f>
        <v/>
      </c>
      <c r="I497" s="157">
        <f>F212</f>
        <v/>
      </c>
      <c r="J497" s="177">
        <f>J212</f>
        <v/>
      </c>
      <c r="K497" s="156">
        <f>IF(AND(F497=0,I497=0),"",IF(F497&gt;I497,B497&amp;E497,IF(F497&lt;I497,B497&amp;H497,"Tie")))</f>
        <v/>
      </c>
      <c r="L497" s="156">
        <f>IFERROR(IF(AND(B497&lt;$L$1,F497&gt;I497),"Win",IF(AND(B497&lt;$L$1,F497&lt;I497),"Loss","")),"")</f>
        <v/>
      </c>
      <c r="M497" s="156">
        <f>IF(B497&lt;_CurWeek,"In","")</f>
        <v/>
      </c>
      <c r="N497" s="156">
        <f>IF(M497="In",E497&amp;G497,"")</f>
        <v/>
      </c>
      <c r="O497" s="156">
        <f>IF(L497="Win",1,0)</f>
        <v/>
      </c>
    </row>
    <row r="498" ht="14.4" customHeight="1" s="152">
      <c r="A498" s="167">
        <f>B498&amp;E498</f>
        <v/>
      </c>
      <c r="B498" s="174">
        <f>B213</f>
        <v/>
      </c>
      <c r="C498" s="174">
        <f>C213</f>
        <v/>
      </c>
      <c r="D498" s="175">
        <f>D213</f>
        <v/>
      </c>
      <c r="E498" s="176">
        <f>H213</f>
        <v/>
      </c>
      <c r="F498" s="157">
        <f>I213</f>
        <v/>
      </c>
      <c r="G498" s="174" t="inlineStr">
        <is>
          <t>Home</t>
        </is>
      </c>
      <c r="H498" s="176">
        <f>E213</f>
        <v/>
      </c>
      <c r="I498" s="157">
        <f>F213</f>
        <v/>
      </c>
      <c r="J498" s="177">
        <f>J213</f>
        <v/>
      </c>
      <c r="K498" s="156">
        <f>IF(AND(F498=0,I498=0),"",IF(F498&gt;I498,B498&amp;E498,IF(F498&lt;I498,B498&amp;H498,"Tie")))</f>
        <v/>
      </c>
      <c r="L498" s="156">
        <f>IFERROR(IF(AND(B498&lt;$L$1,F498&gt;I498),"Win",IF(AND(B498&lt;$L$1,F498&lt;I498),"Loss","")),"")</f>
        <v/>
      </c>
      <c r="M498" s="156">
        <f>IF(B498&lt;_CurWeek,"In","")</f>
        <v/>
      </c>
      <c r="N498" s="156">
        <f>IF(M498="In",E498&amp;G498,"")</f>
        <v/>
      </c>
      <c r="O498" s="156">
        <f>IF(L498="Win",1,0)</f>
        <v/>
      </c>
    </row>
    <row r="499" ht="14.4" customHeight="1" s="152">
      <c r="A499" s="167">
        <f>B499&amp;E499</f>
        <v/>
      </c>
      <c r="B499" s="174">
        <f>B214</f>
        <v/>
      </c>
      <c r="C499" s="174">
        <f>C214</f>
        <v/>
      </c>
      <c r="D499" s="175">
        <f>D214</f>
        <v/>
      </c>
      <c r="E499" s="176">
        <f>H214</f>
        <v/>
      </c>
      <c r="F499" s="157">
        <f>I214</f>
        <v/>
      </c>
      <c r="G499" s="174" t="inlineStr">
        <is>
          <t>Home</t>
        </is>
      </c>
      <c r="H499" s="176">
        <f>E214</f>
        <v/>
      </c>
      <c r="I499" s="157">
        <f>F214</f>
        <v/>
      </c>
      <c r="J499" s="177">
        <f>J214</f>
        <v/>
      </c>
      <c r="K499" s="156">
        <f>IF(AND(F499=0,I499=0),"",IF(F499&gt;I499,B499&amp;E499,IF(F499&lt;I499,B499&amp;H499,"Tie")))</f>
        <v/>
      </c>
      <c r="L499" s="156">
        <f>IFERROR(IF(AND(B499&lt;$L$1,F499&gt;I499),"Win",IF(AND(B499&lt;$L$1,F499&lt;I499),"Loss","")),"")</f>
        <v/>
      </c>
      <c r="M499" s="156">
        <f>IF(B499&lt;_CurWeek,"In","")</f>
        <v/>
      </c>
      <c r="N499" s="156">
        <f>IF(M499="In",E499&amp;G499,"")</f>
        <v/>
      </c>
      <c r="O499" s="156">
        <f>IF(L499="Win",1,0)</f>
        <v/>
      </c>
    </row>
    <row r="500" ht="14.4" customHeight="1" s="152">
      <c r="A500" s="167">
        <f>B500&amp;E500</f>
        <v/>
      </c>
      <c r="B500" s="174">
        <f>B215</f>
        <v/>
      </c>
      <c r="C500" s="174">
        <f>C215</f>
        <v/>
      </c>
      <c r="D500" s="175">
        <f>D215</f>
        <v/>
      </c>
      <c r="E500" s="176">
        <f>H215</f>
        <v/>
      </c>
      <c r="F500" s="157">
        <f>I215</f>
        <v/>
      </c>
      <c r="G500" s="174" t="inlineStr">
        <is>
          <t>Home</t>
        </is>
      </c>
      <c r="H500" s="176">
        <f>E215</f>
        <v/>
      </c>
      <c r="I500" s="157">
        <f>F215</f>
        <v/>
      </c>
      <c r="J500" s="177">
        <f>J215</f>
        <v/>
      </c>
      <c r="K500" s="156">
        <f>IF(AND(F500=0,I500=0),"",IF(F500&gt;I500,B500&amp;E500,IF(F500&lt;I500,B500&amp;H500,"Tie")))</f>
        <v/>
      </c>
      <c r="L500" s="156">
        <f>IFERROR(IF(AND(B500&lt;$L$1,F500&gt;I500),"Win",IF(AND(B500&lt;$L$1,F500&lt;I500),"Loss","")),"")</f>
        <v/>
      </c>
      <c r="M500" s="156">
        <f>IF(B500&lt;_CurWeek,"In","")</f>
        <v/>
      </c>
      <c r="N500" s="156">
        <f>IF(M500="In",E500&amp;G500,"")</f>
        <v/>
      </c>
      <c r="O500" s="156">
        <f>IF(L500="Win",1,0)</f>
        <v/>
      </c>
    </row>
    <row r="501" ht="14.4" customHeight="1" s="152">
      <c r="A501" s="167">
        <f>B501&amp;E501</f>
        <v/>
      </c>
      <c r="B501" s="174">
        <f>B216</f>
        <v/>
      </c>
      <c r="C501" s="174">
        <f>C216</f>
        <v/>
      </c>
      <c r="D501" s="175">
        <f>D216</f>
        <v/>
      </c>
      <c r="E501" s="176">
        <f>H216</f>
        <v/>
      </c>
      <c r="F501" s="157">
        <f>I216</f>
        <v/>
      </c>
      <c r="G501" s="174" t="inlineStr">
        <is>
          <t>Home</t>
        </is>
      </c>
      <c r="H501" s="176">
        <f>E216</f>
        <v/>
      </c>
      <c r="I501" s="157">
        <f>F216</f>
        <v/>
      </c>
      <c r="J501" s="177">
        <f>J216</f>
        <v/>
      </c>
      <c r="K501" s="156">
        <f>IF(AND(F501=0,I501=0),"",IF(F501&gt;I501,B501&amp;E501,IF(F501&lt;I501,B501&amp;H501,"Tie")))</f>
        <v/>
      </c>
      <c r="L501" s="156">
        <f>IFERROR(IF(AND(B501&lt;$L$1,F501&gt;I501),"Win",IF(AND(B501&lt;$L$1,F501&lt;I501),"Loss","")),"")</f>
        <v/>
      </c>
      <c r="M501" s="156">
        <f>IF(B501&lt;_CurWeek,"In","")</f>
        <v/>
      </c>
      <c r="N501" s="156">
        <f>IF(M501="In",E501&amp;G501,"")</f>
        <v/>
      </c>
      <c r="O501" s="156">
        <f>IF(L501="Win",1,0)</f>
        <v/>
      </c>
    </row>
    <row r="502" ht="14.4" customHeight="1" s="152">
      <c r="A502" s="167">
        <f>B502&amp;E502</f>
        <v/>
      </c>
      <c r="B502" s="174">
        <f>B217</f>
        <v/>
      </c>
      <c r="C502" s="174">
        <f>C217</f>
        <v/>
      </c>
      <c r="D502" s="175">
        <f>D217</f>
        <v/>
      </c>
      <c r="E502" s="176">
        <f>H217</f>
        <v/>
      </c>
      <c r="F502" s="157">
        <f>I217</f>
        <v/>
      </c>
      <c r="G502" s="174" t="inlineStr">
        <is>
          <t>Home</t>
        </is>
      </c>
      <c r="H502" s="176">
        <f>E217</f>
        <v/>
      </c>
      <c r="I502" s="157">
        <f>F217</f>
        <v/>
      </c>
      <c r="J502" s="177">
        <f>J217</f>
        <v/>
      </c>
      <c r="K502" s="156">
        <f>IF(AND(F502=0,I502=0),"",IF(F502&gt;I502,B502&amp;E502,IF(F502&lt;I502,B502&amp;H502,"Tie")))</f>
        <v/>
      </c>
      <c r="L502" s="156">
        <f>IFERROR(IF(AND(B502&lt;$L$1,F502&gt;I502),"Win",IF(AND(B502&lt;$L$1,F502&lt;I502),"Loss","")),"")</f>
        <v/>
      </c>
      <c r="M502" s="156">
        <f>IF(B502&lt;_CurWeek,"In","")</f>
        <v/>
      </c>
      <c r="N502" s="156">
        <f>IF(M502="In",E502&amp;G502,"")</f>
        <v/>
      </c>
      <c r="O502" s="156">
        <f>IF(L502="Win",1,0)</f>
        <v/>
      </c>
    </row>
    <row r="503" ht="14.4" customHeight="1" s="152">
      <c r="A503" s="167">
        <f>B503&amp;E503</f>
        <v/>
      </c>
      <c r="B503" s="174">
        <f>B218</f>
        <v/>
      </c>
      <c r="C503" s="174">
        <f>C218</f>
        <v/>
      </c>
      <c r="D503" s="175">
        <f>D218</f>
        <v/>
      </c>
      <c r="E503" s="176">
        <f>H218</f>
        <v/>
      </c>
      <c r="F503" s="157">
        <f>I218</f>
        <v/>
      </c>
      <c r="G503" s="174" t="inlineStr">
        <is>
          <t>Home</t>
        </is>
      </c>
      <c r="H503" s="176">
        <f>E218</f>
        <v/>
      </c>
      <c r="I503" s="157">
        <f>F218</f>
        <v/>
      </c>
      <c r="J503" s="177">
        <f>J218</f>
        <v/>
      </c>
      <c r="K503" s="156">
        <f>IF(AND(F503=0,I503=0),"",IF(F503&gt;I503,B503&amp;E503,IF(F503&lt;I503,B503&amp;H503,"Tie")))</f>
        <v/>
      </c>
      <c r="L503" s="156">
        <f>IFERROR(IF(AND(B503&lt;$L$1,F503&gt;I503),"Win",IF(AND(B503&lt;$L$1,F503&lt;I503),"Loss","")),"")</f>
        <v/>
      </c>
      <c r="M503" s="156">
        <f>IF(B503&lt;_CurWeek,"In","")</f>
        <v/>
      </c>
      <c r="N503" s="156">
        <f>IF(M503="In",E503&amp;G503,"")</f>
        <v/>
      </c>
      <c r="O503" s="156">
        <f>IF(L503="Win",1,0)</f>
        <v/>
      </c>
    </row>
    <row r="504" ht="14.4" customHeight="1" s="152">
      <c r="A504" s="167">
        <f>B504&amp;E504</f>
        <v/>
      </c>
      <c r="B504" s="174">
        <f>B219</f>
        <v/>
      </c>
      <c r="C504" s="174">
        <f>C219</f>
        <v/>
      </c>
      <c r="D504" s="175">
        <f>D219</f>
        <v/>
      </c>
      <c r="E504" s="176">
        <f>H219</f>
        <v/>
      </c>
      <c r="F504" s="157">
        <f>I219</f>
        <v/>
      </c>
      <c r="G504" s="174" t="inlineStr">
        <is>
          <t>Home</t>
        </is>
      </c>
      <c r="H504" s="176">
        <f>E219</f>
        <v/>
      </c>
      <c r="I504" s="157">
        <f>F219</f>
        <v/>
      </c>
      <c r="J504" s="177">
        <f>J219</f>
        <v/>
      </c>
      <c r="K504" s="156">
        <f>IF(AND(F504=0,I504=0),"",IF(F504&gt;I504,B504&amp;E504,IF(F504&lt;I504,B504&amp;H504,"Tie")))</f>
        <v/>
      </c>
      <c r="L504" s="156">
        <f>IFERROR(IF(AND(B504&lt;$L$1,F504&gt;I504),"Win",IF(AND(B504&lt;$L$1,F504&lt;I504),"Loss","")),"")</f>
        <v/>
      </c>
      <c r="M504" s="156">
        <f>IF(B504&lt;_CurWeek,"In","")</f>
        <v/>
      </c>
      <c r="N504" s="156">
        <f>IF(M504="In",E504&amp;G504,"")</f>
        <v/>
      </c>
      <c r="O504" s="156">
        <f>IF(L504="Win",1,0)</f>
        <v/>
      </c>
    </row>
    <row r="505" ht="14.4" customHeight="1" s="152">
      <c r="A505" s="167">
        <f>B505&amp;E505</f>
        <v/>
      </c>
      <c r="B505" s="174">
        <f>B220</f>
        <v/>
      </c>
      <c r="C505" s="174">
        <f>C220</f>
        <v/>
      </c>
      <c r="D505" s="175">
        <f>D220</f>
        <v/>
      </c>
      <c r="E505" s="176">
        <f>H220</f>
        <v/>
      </c>
      <c r="F505" s="157">
        <f>I220</f>
        <v/>
      </c>
      <c r="G505" s="174" t="inlineStr">
        <is>
          <t>Home</t>
        </is>
      </c>
      <c r="H505" s="176">
        <f>E220</f>
        <v/>
      </c>
      <c r="I505" s="157">
        <f>F220</f>
        <v/>
      </c>
      <c r="J505" s="177">
        <f>J220</f>
        <v/>
      </c>
      <c r="K505" s="156">
        <f>IF(AND(F505=0,I505=0),"",IF(F505&gt;I505,B505&amp;E505,IF(F505&lt;I505,B505&amp;H505,"Tie")))</f>
        <v/>
      </c>
      <c r="L505" s="156">
        <f>IFERROR(IF(AND(B505&lt;$L$1,F505&gt;I505),"Win",IF(AND(B505&lt;$L$1,F505&lt;I505),"Loss","")),"")</f>
        <v/>
      </c>
      <c r="M505" s="156">
        <f>IF(B505&lt;_CurWeek,"In","")</f>
        <v/>
      </c>
      <c r="N505" s="156">
        <f>IF(M505="In",E505&amp;G505,"")</f>
        <v/>
      </c>
      <c r="O505" s="156">
        <f>IF(L505="Win",1,0)</f>
        <v/>
      </c>
    </row>
    <row r="506" ht="14.4" customHeight="1" s="152">
      <c r="A506" s="167">
        <f>B506&amp;E506</f>
        <v/>
      </c>
      <c r="B506" s="174">
        <f>B221</f>
        <v/>
      </c>
      <c r="C506" s="174">
        <f>C221</f>
        <v/>
      </c>
      <c r="D506" s="175">
        <f>D221</f>
        <v/>
      </c>
      <c r="E506" s="176">
        <f>H221</f>
        <v/>
      </c>
      <c r="F506" s="157">
        <f>I221</f>
        <v/>
      </c>
      <c r="G506" s="174" t="inlineStr">
        <is>
          <t>Home</t>
        </is>
      </c>
      <c r="H506" s="176">
        <f>E221</f>
        <v/>
      </c>
      <c r="I506" s="157">
        <f>F221</f>
        <v/>
      </c>
      <c r="J506" s="177">
        <f>J221</f>
        <v/>
      </c>
      <c r="K506" s="156">
        <f>IF(AND(F506=0,I506=0),"",IF(F506&gt;I506,B506&amp;E506,IF(F506&lt;I506,B506&amp;H506,"Tie")))</f>
        <v/>
      </c>
      <c r="L506" s="156">
        <f>IFERROR(IF(AND(B506&lt;$L$1,F506&gt;I506),"Win",IF(AND(B506&lt;$L$1,F506&lt;I506),"Loss","")),"")</f>
        <v/>
      </c>
      <c r="M506" s="156">
        <f>IF(B506&lt;_CurWeek,"In","")</f>
        <v/>
      </c>
      <c r="N506" s="156">
        <f>IF(M506="In",E506&amp;G506,"")</f>
        <v/>
      </c>
      <c r="O506" s="156">
        <f>IF(L506="Win",1,0)</f>
        <v/>
      </c>
    </row>
    <row r="507" ht="14.4" customHeight="1" s="152">
      <c r="A507" s="167">
        <f>B507&amp;E507</f>
        <v/>
      </c>
      <c r="B507" s="174">
        <f>B222</f>
        <v/>
      </c>
      <c r="C507" s="174">
        <f>C222</f>
        <v/>
      </c>
      <c r="D507" s="175">
        <f>D222</f>
        <v/>
      </c>
      <c r="E507" s="176">
        <f>H222</f>
        <v/>
      </c>
      <c r="F507" s="157">
        <f>I222</f>
        <v/>
      </c>
      <c r="G507" s="174" t="inlineStr">
        <is>
          <t>Home</t>
        </is>
      </c>
      <c r="H507" s="176">
        <f>E222</f>
        <v/>
      </c>
      <c r="I507" s="157">
        <f>F222</f>
        <v/>
      </c>
      <c r="J507" s="177">
        <f>J222</f>
        <v/>
      </c>
      <c r="K507" s="156">
        <f>IF(AND(F507=0,I507=0),"",IF(F507&gt;I507,B507&amp;E507,IF(F507&lt;I507,B507&amp;H507,"Tie")))</f>
        <v/>
      </c>
      <c r="L507" s="156">
        <f>IFERROR(IF(AND(B507&lt;$L$1,F507&gt;I507),"Win",IF(AND(B507&lt;$L$1,F507&lt;I507),"Loss","")),"")</f>
        <v/>
      </c>
      <c r="M507" s="156">
        <f>IF(B507&lt;_CurWeek,"In","")</f>
        <v/>
      </c>
      <c r="N507" s="156">
        <f>IF(M507="In",E507&amp;G507,"")</f>
        <v/>
      </c>
      <c r="O507" s="156">
        <f>IF(L507="Win",1,0)</f>
        <v/>
      </c>
    </row>
    <row r="508" ht="14.4" customHeight="1" s="152">
      <c r="A508" s="167">
        <f>B508&amp;E508</f>
        <v/>
      </c>
      <c r="B508" s="174">
        <f>B223</f>
        <v/>
      </c>
      <c r="C508" s="174">
        <f>C223</f>
        <v/>
      </c>
      <c r="D508" s="175">
        <f>D223</f>
        <v/>
      </c>
      <c r="E508" s="176">
        <f>H223</f>
        <v/>
      </c>
      <c r="F508" s="157">
        <f>I223</f>
        <v/>
      </c>
      <c r="G508" s="174" t="inlineStr">
        <is>
          <t>Home</t>
        </is>
      </c>
      <c r="H508" s="176">
        <f>E223</f>
        <v/>
      </c>
      <c r="I508" s="157">
        <f>F223</f>
        <v/>
      </c>
      <c r="J508" s="177">
        <f>J223</f>
        <v/>
      </c>
      <c r="K508" s="156">
        <f>IF(AND(F508=0,I508=0),"",IF(F508&gt;I508,B508&amp;E508,IF(F508&lt;I508,B508&amp;H508,"Tie")))</f>
        <v/>
      </c>
      <c r="L508" s="156">
        <f>IFERROR(IF(AND(B508&lt;$L$1,F508&gt;I508),"Win",IF(AND(B508&lt;$L$1,F508&lt;I508),"Loss","")),"")</f>
        <v/>
      </c>
      <c r="M508" s="156">
        <f>IF(B508&lt;_CurWeek,"In","")</f>
        <v/>
      </c>
      <c r="N508" s="156">
        <f>IF(M508="In",E508&amp;G508,"")</f>
        <v/>
      </c>
      <c r="O508" s="156">
        <f>IF(L508="Win",1,0)</f>
        <v/>
      </c>
    </row>
    <row r="509" ht="14.4" customHeight="1" s="152">
      <c r="A509" s="167">
        <f>B509&amp;E509</f>
        <v/>
      </c>
      <c r="B509" s="174">
        <f>B224</f>
        <v/>
      </c>
      <c r="C509" s="174">
        <f>C224</f>
        <v/>
      </c>
      <c r="D509" s="175">
        <f>D224</f>
        <v/>
      </c>
      <c r="E509" s="176">
        <f>H224</f>
        <v/>
      </c>
      <c r="F509" s="157">
        <f>I224</f>
        <v/>
      </c>
      <c r="G509" s="174" t="inlineStr">
        <is>
          <t>Home</t>
        </is>
      </c>
      <c r="H509" s="176">
        <f>E224</f>
        <v/>
      </c>
      <c r="I509" s="157">
        <f>F224</f>
        <v/>
      </c>
      <c r="J509" s="177">
        <f>J224</f>
        <v/>
      </c>
      <c r="K509" s="156">
        <f>IF(AND(F509=0,I509=0),"",IF(F509&gt;I509,B509&amp;E509,IF(F509&lt;I509,B509&amp;H509,"Tie")))</f>
        <v/>
      </c>
      <c r="L509" s="156">
        <f>IFERROR(IF(AND(B509&lt;$L$1,F509&gt;I509),"Win",IF(AND(B509&lt;$L$1,F509&lt;I509),"Loss","")),"")</f>
        <v/>
      </c>
      <c r="M509" s="156">
        <f>IF(B509&lt;_CurWeek,"In","")</f>
        <v/>
      </c>
      <c r="N509" s="156">
        <f>IF(M509="In",E509&amp;G509,"")</f>
        <v/>
      </c>
      <c r="O509" s="156">
        <f>IF(L509="Win",1,0)</f>
        <v/>
      </c>
    </row>
    <row r="510" ht="14.4" customHeight="1" s="152">
      <c r="A510" s="167">
        <f>B510&amp;E510</f>
        <v/>
      </c>
      <c r="B510" s="174">
        <f>B225</f>
        <v/>
      </c>
      <c r="C510" s="174">
        <f>C225</f>
        <v/>
      </c>
      <c r="D510" s="175">
        <f>D225</f>
        <v/>
      </c>
      <c r="E510" s="176">
        <f>H225</f>
        <v/>
      </c>
      <c r="F510" s="157">
        <f>I225</f>
        <v/>
      </c>
      <c r="G510" s="174" t="inlineStr">
        <is>
          <t>Home</t>
        </is>
      </c>
      <c r="H510" s="176">
        <f>E225</f>
        <v/>
      </c>
      <c r="I510" s="157">
        <f>F225</f>
        <v/>
      </c>
      <c r="J510" s="177">
        <f>J225</f>
        <v/>
      </c>
      <c r="K510" s="156">
        <f>IF(AND(F510=0,I510=0),"",IF(F510&gt;I510,B510&amp;E510,IF(F510&lt;I510,B510&amp;H510,"Tie")))</f>
        <v/>
      </c>
      <c r="L510" s="156">
        <f>IFERROR(IF(AND(B510&lt;$L$1,F510&gt;I510),"Win",IF(AND(B510&lt;$L$1,F510&lt;I510),"Loss","")),"")</f>
        <v/>
      </c>
      <c r="M510" s="156">
        <f>IF(B510&lt;_CurWeek,"In","")</f>
        <v/>
      </c>
      <c r="N510" s="156">
        <f>IF(M510="In",E510&amp;G510,"")</f>
        <v/>
      </c>
      <c r="O510" s="156">
        <f>IF(L510="Win",1,0)</f>
        <v/>
      </c>
    </row>
    <row r="511" ht="14.4" customHeight="1" s="152">
      <c r="A511" s="167">
        <f>B511&amp;E511</f>
        <v/>
      </c>
      <c r="B511" s="174">
        <f>B226</f>
        <v/>
      </c>
      <c r="C511" s="174">
        <f>C226</f>
        <v/>
      </c>
      <c r="D511" s="175">
        <f>D226</f>
        <v/>
      </c>
      <c r="E511" s="176">
        <f>H226</f>
        <v/>
      </c>
      <c r="F511" s="157">
        <f>I226</f>
        <v/>
      </c>
      <c r="G511" s="174" t="inlineStr">
        <is>
          <t>Home</t>
        </is>
      </c>
      <c r="H511" s="176">
        <f>E226</f>
        <v/>
      </c>
      <c r="I511" s="157">
        <f>F226</f>
        <v/>
      </c>
      <c r="J511" s="177">
        <f>J226</f>
        <v/>
      </c>
      <c r="K511" s="156">
        <f>IF(AND(F511=0,I511=0),"",IF(F511&gt;I511,B511&amp;E511,IF(F511&lt;I511,B511&amp;H511,"Tie")))</f>
        <v/>
      </c>
      <c r="L511" s="156">
        <f>IFERROR(IF(AND(B511&lt;$L$1,F511&gt;I511),"Win",IF(AND(B511&lt;$L$1,F511&lt;I511),"Loss","")),"")</f>
        <v/>
      </c>
      <c r="M511" s="156">
        <f>IF(B511&lt;_CurWeek,"In","")</f>
        <v/>
      </c>
      <c r="N511" s="156">
        <f>IF(M511="In",E511&amp;G511,"")</f>
        <v/>
      </c>
      <c r="O511" s="156">
        <f>IF(L511="Win",1,0)</f>
        <v/>
      </c>
    </row>
    <row r="512" ht="14.4" customHeight="1" s="152">
      <c r="A512" s="167">
        <f>B512&amp;E512</f>
        <v/>
      </c>
      <c r="B512" s="174">
        <f>B227</f>
        <v/>
      </c>
      <c r="C512" s="174">
        <f>C227</f>
        <v/>
      </c>
      <c r="D512" s="175">
        <f>D227</f>
        <v/>
      </c>
      <c r="E512" s="176">
        <f>H227</f>
        <v/>
      </c>
      <c r="F512" s="157">
        <f>I227</f>
        <v/>
      </c>
      <c r="G512" s="174" t="inlineStr">
        <is>
          <t>Home</t>
        </is>
      </c>
      <c r="H512" s="176">
        <f>E227</f>
        <v/>
      </c>
      <c r="I512" s="157">
        <f>F227</f>
        <v/>
      </c>
      <c r="J512" s="177">
        <f>J227</f>
        <v/>
      </c>
      <c r="K512" s="156">
        <f>IF(AND(F512=0,I512=0),"",IF(F512&gt;I512,B512&amp;E512,IF(F512&lt;I512,B512&amp;H512,"Tie")))</f>
        <v/>
      </c>
      <c r="L512" s="156">
        <f>IFERROR(IF(AND(B512&lt;$L$1,F512&gt;I512),"Win",IF(AND(B512&lt;$L$1,F512&lt;I512),"Loss","")),"")</f>
        <v/>
      </c>
      <c r="M512" s="156">
        <f>IF(B512&lt;_CurWeek,"In","")</f>
        <v/>
      </c>
      <c r="N512" s="156">
        <f>IF(M512="In",E512&amp;G512,"")</f>
        <v/>
      </c>
      <c r="O512" s="156">
        <f>IF(L512="Win",1,0)</f>
        <v/>
      </c>
    </row>
    <row r="513" ht="14.4" customHeight="1" s="152">
      <c r="A513" s="167">
        <f>B513&amp;E513</f>
        <v/>
      </c>
      <c r="B513" s="174">
        <f>B228</f>
        <v/>
      </c>
      <c r="C513" s="174">
        <f>C228</f>
        <v/>
      </c>
      <c r="D513" s="175">
        <f>D228</f>
        <v/>
      </c>
      <c r="E513" s="176">
        <f>H228</f>
        <v/>
      </c>
      <c r="F513" s="157">
        <f>I228</f>
        <v/>
      </c>
      <c r="G513" s="174" t="inlineStr">
        <is>
          <t>Home</t>
        </is>
      </c>
      <c r="H513" s="176">
        <f>E228</f>
        <v/>
      </c>
      <c r="I513" s="157">
        <f>F228</f>
        <v/>
      </c>
      <c r="J513" s="177">
        <f>J228</f>
        <v/>
      </c>
      <c r="K513" s="156">
        <f>IF(AND(F513=0,I513=0),"",IF(F513&gt;I513,B513&amp;E513,IF(F513&lt;I513,B513&amp;H513,"Tie")))</f>
        <v/>
      </c>
      <c r="L513" s="156">
        <f>IFERROR(IF(AND(B513&lt;$L$1,F513&gt;I513),"Win",IF(AND(B513&lt;$L$1,F513&lt;I513),"Loss","")),"")</f>
        <v/>
      </c>
      <c r="M513" s="156">
        <f>IF(B513&lt;_CurWeek,"In","")</f>
        <v/>
      </c>
      <c r="N513" s="156">
        <f>IF(M513="In",E513&amp;G513,"")</f>
        <v/>
      </c>
      <c r="O513" s="156">
        <f>IF(L513="Win",1,0)</f>
        <v/>
      </c>
    </row>
    <row r="514" ht="14.4" customHeight="1" s="152">
      <c r="A514" s="167">
        <f>B514&amp;E514</f>
        <v/>
      </c>
      <c r="B514" s="174">
        <f>B229</f>
        <v/>
      </c>
      <c r="C514" s="174">
        <f>C229</f>
        <v/>
      </c>
      <c r="D514" s="175">
        <f>D229</f>
        <v/>
      </c>
      <c r="E514" s="176">
        <f>H229</f>
        <v/>
      </c>
      <c r="F514" s="157">
        <f>I229</f>
        <v/>
      </c>
      <c r="G514" s="174" t="inlineStr">
        <is>
          <t>Home</t>
        </is>
      </c>
      <c r="H514" s="176">
        <f>E229</f>
        <v/>
      </c>
      <c r="I514" s="157">
        <f>F229</f>
        <v/>
      </c>
      <c r="J514" s="177">
        <f>J229</f>
        <v/>
      </c>
      <c r="K514" s="156">
        <f>IF(AND(F514=0,I514=0),"",IF(F514&gt;I514,B514&amp;E514,IF(F514&lt;I514,B514&amp;H514,"Tie")))</f>
        <v/>
      </c>
      <c r="L514" s="156">
        <f>IFERROR(IF(AND(B514&lt;$L$1,F514&gt;I514),"Win",IF(AND(B514&lt;$L$1,F514&lt;I514),"Loss","")),"")</f>
        <v/>
      </c>
      <c r="M514" s="156">
        <f>IF(B514&lt;_CurWeek,"In","")</f>
        <v/>
      </c>
      <c r="N514" s="156">
        <f>IF(M514="In",E514&amp;G514,"")</f>
        <v/>
      </c>
      <c r="O514" s="156">
        <f>IF(L514="Win",1,0)</f>
        <v/>
      </c>
    </row>
    <row r="515" ht="14.4" customHeight="1" s="152">
      <c r="A515" s="167">
        <f>B515&amp;E515</f>
        <v/>
      </c>
      <c r="B515" s="174">
        <f>B230</f>
        <v/>
      </c>
      <c r="C515" s="174">
        <f>C230</f>
        <v/>
      </c>
      <c r="D515" s="175">
        <f>D230</f>
        <v/>
      </c>
      <c r="E515" s="176">
        <f>H230</f>
        <v/>
      </c>
      <c r="F515" s="157">
        <f>I230</f>
        <v/>
      </c>
      <c r="G515" s="174" t="inlineStr">
        <is>
          <t>Home</t>
        </is>
      </c>
      <c r="H515" s="176">
        <f>E230</f>
        <v/>
      </c>
      <c r="I515" s="157">
        <f>F230</f>
        <v/>
      </c>
      <c r="J515" s="177">
        <f>J230</f>
        <v/>
      </c>
      <c r="K515" s="156">
        <f>IF(AND(F515=0,I515=0),"",IF(F515&gt;I515,B515&amp;E515,IF(F515&lt;I515,B515&amp;H515,"Tie")))</f>
        <v/>
      </c>
      <c r="L515" s="156">
        <f>IFERROR(IF(AND(B515&lt;$L$1,F515&gt;I515),"Win",IF(AND(B515&lt;$L$1,F515&lt;I515),"Loss","")),"")</f>
        <v/>
      </c>
      <c r="M515" s="156">
        <f>IF(B515&lt;_CurWeek,"In","")</f>
        <v/>
      </c>
      <c r="N515" s="156">
        <f>IF(M515="In",E515&amp;G515,"")</f>
        <v/>
      </c>
      <c r="O515" s="156">
        <f>IF(L515="Win",1,0)</f>
        <v/>
      </c>
    </row>
    <row r="516" ht="14.4" customHeight="1" s="152">
      <c r="A516" s="167">
        <f>B516&amp;E516</f>
        <v/>
      </c>
      <c r="B516" s="174">
        <f>B231</f>
        <v/>
      </c>
      <c r="C516" s="174">
        <f>C231</f>
        <v/>
      </c>
      <c r="D516" s="175">
        <f>D231</f>
        <v/>
      </c>
      <c r="E516" s="176">
        <f>H231</f>
        <v/>
      </c>
      <c r="F516" s="157">
        <f>I231</f>
        <v/>
      </c>
      <c r="G516" s="174" t="inlineStr">
        <is>
          <t>Home</t>
        </is>
      </c>
      <c r="H516" s="176">
        <f>E231</f>
        <v/>
      </c>
      <c r="I516" s="157">
        <f>F231</f>
        <v/>
      </c>
      <c r="J516" s="177">
        <f>J231</f>
        <v/>
      </c>
      <c r="K516" s="156">
        <f>IF(AND(F516=0,I516=0),"",IF(F516&gt;I516,B516&amp;E516,IF(F516&lt;I516,B516&amp;H516,"Tie")))</f>
        <v/>
      </c>
      <c r="L516" s="156">
        <f>IFERROR(IF(AND(B516&lt;$L$1,F516&gt;I516),"Win",IF(AND(B516&lt;$L$1,F516&lt;I516),"Loss","")),"")</f>
        <v/>
      </c>
      <c r="M516" s="156">
        <f>IF(B516&lt;_CurWeek,"In","")</f>
        <v/>
      </c>
      <c r="N516" s="156">
        <f>IF(M516="In",E516&amp;G516,"")</f>
        <v/>
      </c>
      <c r="O516" s="156">
        <f>IF(L516="Win",1,0)</f>
        <v/>
      </c>
    </row>
    <row r="517" ht="14.4" customHeight="1" s="152">
      <c r="A517" s="167">
        <f>B517&amp;E517</f>
        <v/>
      </c>
      <c r="B517" s="174">
        <f>B232</f>
        <v/>
      </c>
      <c r="C517" s="174">
        <f>C232</f>
        <v/>
      </c>
      <c r="D517" s="175">
        <f>D232</f>
        <v/>
      </c>
      <c r="E517" s="176">
        <f>H232</f>
        <v/>
      </c>
      <c r="F517" s="157">
        <f>I232</f>
        <v/>
      </c>
      <c r="G517" s="174" t="inlineStr">
        <is>
          <t>Home</t>
        </is>
      </c>
      <c r="H517" s="176">
        <f>E232</f>
        <v/>
      </c>
      <c r="I517" s="157">
        <f>F232</f>
        <v/>
      </c>
      <c r="J517" s="177">
        <f>J232</f>
        <v/>
      </c>
      <c r="K517" s="156">
        <f>IF(AND(F517=0,I517=0),"",IF(F517&gt;I517,B517&amp;E517,IF(F517&lt;I517,B517&amp;H517,"Tie")))</f>
        <v/>
      </c>
      <c r="L517" s="156">
        <f>IFERROR(IF(AND(B517&lt;$L$1,F517&gt;I517),"Win",IF(AND(B517&lt;$L$1,F517&lt;I517),"Loss","")),"")</f>
        <v/>
      </c>
      <c r="M517" s="156">
        <f>IF(B517&lt;_CurWeek,"In","")</f>
        <v/>
      </c>
      <c r="N517" s="156">
        <f>IF(M517="In",E517&amp;G517,"")</f>
        <v/>
      </c>
      <c r="O517" s="156">
        <f>IF(L517="Win",1,0)</f>
        <v/>
      </c>
    </row>
    <row r="518" ht="14.4" customHeight="1" s="152">
      <c r="A518" s="167">
        <f>B518&amp;E518</f>
        <v/>
      </c>
      <c r="B518" s="174">
        <f>B233</f>
        <v/>
      </c>
      <c r="C518" s="174">
        <f>C233</f>
        <v/>
      </c>
      <c r="D518" s="175">
        <f>D233</f>
        <v/>
      </c>
      <c r="E518" s="176">
        <f>H233</f>
        <v/>
      </c>
      <c r="F518" s="157">
        <f>I233</f>
        <v/>
      </c>
      <c r="G518" s="174" t="inlineStr">
        <is>
          <t>Home</t>
        </is>
      </c>
      <c r="H518" s="176">
        <f>E233</f>
        <v/>
      </c>
      <c r="I518" s="157">
        <f>F233</f>
        <v/>
      </c>
      <c r="J518" s="177">
        <f>J233</f>
        <v/>
      </c>
      <c r="K518" s="156">
        <f>IF(AND(F518=0,I518=0),"",IF(F518&gt;I518,B518&amp;E518,IF(F518&lt;I518,B518&amp;H518,"Tie")))</f>
        <v/>
      </c>
      <c r="L518" s="156">
        <f>IFERROR(IF(AND(B518&lt;$L$1,F518&gt;I518),"Win",IF(AND(B518&lt;$L$1,F518&lt;I518),"Loss","")),"")</f>
        <v/>
      </c>
      <c r="M518" s="156">
        <f>IF(B518&lt;_CurWeek,"In","")</f>
        <v/>
      </c>
      <c r="N518" s="156">
        <f>IF(M518="In",E518&amp;G518,"")</f>
        <v/>
      </c>
      <c r="O518" s="156">
        <f>IF(L518="Win",1,0)</f>
        <v/>
      </c>
    </row>
    <row r="519" ht="14.4" customHeight="1" s="152">
      <c r="A519" s="167">
        <f>B519&amp;E519</f>
        <v/>
      </c>
      <c r="B519" s="174">
        <f>B234</f>
        <v/>
      </c>
      <c r="C519" s="174">
        <f>C234</f>
        <v/>
      </c>
      <c r="D519" s="175">
        <f>D234</f>
        <v/>
      </c>
      <c r="E519" s="176">
        <f>H234</f>
        <v/>
      </c>
      <c r="F519" s="157">
        <f>I234</f>
        <v/>
      </c>
      <c r="G519" s="174" t="inlineStr">
        <is>
          <t>Home</t>
        </is>
      </c>
      <c r="H519" s="176">
        <f>E234</f>
        <v/>
      </c>
      <c r="I519" s="157">
        <f>F234</f>
        <v/>
      </c>
      <c r="J519" s="177">
        <f>J234</f>
        <v/>
      </c>
      <c r="K519" s="156">
        <f>IF(AND(F519=0,I519=0),"",IF(F519&gt;I519,B519&amp;E519,IF(F519&lt;I519,B519&amp;H519,"Tie")))</f>
        <v/>
      </c>
      <c r="L519" s="156">
        <f>IFERROR(IF(AND(B519&lt;$L$1,F519&gt;I519),"Win",IF(AND(B519&lt;$L$1,F519&lt;I519),"Loss","")),"")</f>
        <v/>
      </c>
      <c r="M519" s="156">
        <f>IF(B519&lt;_CurWeek,"In","")</f>
        <v/>
      </c>
      <c r="N519" s="156">
        <f>IF(M519="In",E519&amp;G519,"")</f>
        <v/>
      </c>
      <c r="O519" s="156">
        <f>IF(L519="Win",1,0)</f>
        <v/>
      </c>
    </row>
    <row r="520" ht="14.4" customHeight="1" s="152">
      <c r="A520" s="167">
        <f>B520&amp;E520</f>
        <v/>
      </c>
      <c r="B520" s="174">
        <f>B235</f>
        <v/>
      </c>
      <c r="C520" s="174">
        <f>C235</f>
        <v/>
      </c>
      <c r="D520" s="175">
        <f>D235</f>
        <v/>
      </c>
      <c r="E520" s="176">
        <f>H235</f>
        <v/>
      </c>
      <c r="F520" s="157">
        <f>I235</f>
        <v/>
      </c>
      <c r="G520" s="174" t="inlineStr">
        <is>
          <t>Home</t>
        </is>
      </c>
      <c r="H520" s="176">
        <f>E235</f>
        <v/>
      </c>
      <c r="I520" s="157">
        <f>F235</f>
        <v/>
      </c>
      <c r="J520" s="177">
        <f>J235</f>
        <v/>
      </c>
      <c r="K520" s="156">
        <f>IF(AND(F520=0,I520=0),"",IF(F520&gt;I520,B520&amp;E520,IF(F520&lt;I520,B520&amp;H520,"Tie")))</f>
        <v/>
      </c>
      <c r="L520" s="156">
        <f>IFERROR(IF(AND(B520&lt;$L$1,F520&gt;I520),"Win",IF(AND(B520&lt;$L$1,F520&lt;I520),"Loss","")),"")</f>
        <v/>
      </c>
      <c r="M520" s="156">
        <f>IF(B520&lt;_CurWeek,"In","")</f>
        <v/>
      </c>
      <c r="N520" s="156">
        <f>IF(M520="In",E520&amp;G520,"")</f>
        <v/>
      </c>
      <c r="O520" s="156">
        <f>IF(L520="Win",1,0)</f>
        <v/>
      </c>
    </row>
    <row r="521" ht="14.4" customHeight="1" s="152">
      <c r="A521" s="167">
        <f>B521&amp;E521</f>
        <v/>
      </c>
      <c r="B521" s="174">
        <f>B236</f>
        <v/>
      </c>
      <c r="C521" s="174">
        <f>C236</f>
        <v/>
      </c>
      <c r="D521" s="175">
        <f>D236</f>
        <v/>
      </c>
      <c r="E521" s="176">
        <f>H236</f>
        <v/>
      </c>
      <c r="F521" s="157">
        <f>I236</f>
        <v/>
      </c>
      <c r="G521" s="174" t="inlineStr">
        <is>
          <t>Home</t>
        </is>
      </c>
      <c r="H521" s="176">
        <f>E236</f>
        <v/>
      </c>
      <c r="I521" s="157">
        <f>F236</f>
        <v/>
      </c>
      <c r="J521" s="177">
        <f>J236</f>
        <v/>
      </c>
      <c r="K521" s="156">
        <f>IF(AND(F521=0,I521=0),"",IF(F521&gt;I521,B521&amp;E521,IF(F521&lt;I521,B521&amp;H521,"Tie")))</f>
        <v/>
      </c>
      <c r="L521" s="156">
        <f>IFERROR(IF(AND(B521&lt;$L$1,F521&gt;I521),"Win",IF(AND(B521&lt;$L$1,F521&lt;I521),"Loss","")),"")</f>
        <v/>
      </c>
      <c r="M521" s="156">
        <f>IF(B521&lt;_CurWeek,"In","")</f>
        <v/>
      </c>
      <c r="N521" s="156">
        <f>IF(M521="In",E521&amp;G521,"")</f>
        <v/>
      </c>
      <c r="O521" s="156">
        <f>IF(L521="Win",1,0)</f>
        <v/>
      </c>
    </row>
    <row r="522" ht="14.4" customHeight="1" s="152">
      <c r="A522" s="167">
        <f>B522&amp;E522</f>
        <v/>
      </c>
      <c r="B522" s="174">
        <f>B237</f>
        <v/>
      </c>
      <c r="C522" s="174">
        <f>C237</f>
        <v/>
      </c>
      <c r="D522" s="175">
        <f>D237</f>
        <v/>
      </c>
      <c r="E522" s="176">
        <f>H237</f>
        <v/>
      </c>
      <c r="F522" s="157">
        <f>I237</f>
        <v/>
      </c>
      <c r="G522" s="174" t="inlineStr">
        <is>
          <t>Home</t>
        </is>
      </c>
      <c r="H522" s="176">
        <f>E237</f>
        <v/>
      </c>
      <c r="I522" s="157">
        <f>F237</f>
        <v/>
      </c>
      <c r="J522" s="177">
        <f>J237</f>
        <v/>
      </c>
      <c r="K522" s="156">
        <f>IF(AND(F522=0,I522=0),"",IF(F522&gt;I522,B522&amp;E522,IF(F522&lt;I522,B522&amp;H522,"Tie")))</f>
        <v/>
      </c>
      <c r="L522" s="156">
        <f>IFERROR(IF(AND(B522&lt;$L$1,F522&gt;I522),"Win",IF(AND(B522&lt;$L$1,F522&lt;I522),"Loss","")),"")</f>
        <v/>
      </c>
      <c r="M522" s="156">
        <f>IF(B522&lt;_CurWeek,"In","")</f>
        <v/>
      </c>
      <c r="N522" s="156">
        <f>IF(M522="In",E522&amp;G522,"")</f>
        <v/>
      </c>
      <c r="O522" s="156">
        <f>IF(L522="Win",1,0)</f>
        <v/>
      </c>
    </row>
    <row r="523" ht="14.4" customHeight="1" s="152">
      <c r="A523" s="167">
        <f>B523&amp;E523</f>
        <v/>
      </c>
      <c r="B523" s="174">
        <f>B238</f>
        <v/>
      </c>
      <c r="C523" s="174">
        <f>C238</f>
        <v/>
      </c>
      <c r="D523" s="175">
        <f>D238</f>
        <v/>
      </c>
      <c r="E523" s="176">
        <f>H238</f>
        <v/>
      </c>
      <c r="F523" s="157">
        <f>I238</f>
        <v/>
      </c>
      <c r="G523" s="174" t="inlineStr">
        <is>
          <t>Home</t>
        </is>
      </c>
      <c r="H523" s="176">
        <f>E238</f>
        <v/>
      </c>
      <c r="I523" s="157">
        <f>F238</f>
        <v/>
      </c>
      <c r="J523" s="177">
        <f>J238</f>
        <v/>
      </c>
      <c r="K523" s="156">
        <f>IF(AND(F523=0,I523=0),"",IF(F523&gt;I523,B523&amp;E523,IF(F523&lt;I523,B523&amp;H523,"Tie")))</f>
        <v/>
      </c>
      <c r="L523" s="156">
        <f>IFERROR(IF(AND(B523&lt;$L$1,F523&gt;I523),"Win",IF(AND(B523&lt;$L$1,F523&lt;I523),"Loss","")),"")</f>
        <v/>
      </c>
      <c r="M523" s="156">
        <f>IF(B523&lt;_CurWeek,"In","")</f>
        <v/>
      </c>
      <c r="N523" s="156">
        <f>IF(M523="In",E523&amp;G523,"")</f>
        <v/>
      </c>
      <c r="O523" s="156">
        <f>IF(L523="Win",1,0)</f>
        <v/>
      </c>
    </row>
    <row r="524" ht="14.4" customHeight="1" s="152">
      <c r="A524" s="167">
        <f>B524&amp;E524</f>
        <v/>
      </c>
      <c r="B524" s="174">
        <f>B239</f>
        <v/>
      </c>
      <c r="C524" s="174">
        <f>C239</f>
        <v/>
      </c>
      <c r="D524" s="175">
        <f>D239</f>
        <v/>
      </c>
      <c r="E524" s="176">
        <f>H239</f>
        <v/>
      </c>
      <c r="F524" s="157">
        <f>I239</f>
        <v/>
      </c>
      <c r="G524" s="174" t="inlineStr">
        <is>
          <t>Home</t>
        </is>
      </c>
      <c r="H524" s="176">
        <f>E239</f>
        <v/>
      </c>
      <c r="I524" s="157">
        <f>F239</f>
        <v/>
      </c>
      <c r="J524" s="177">
        <f>J239</f>
        <v/>
      </c>
      <c r="K524" s="156">
        <f>IF(AND(F524=0,I524=0),"",IF(F524&gt;I524,B524&amp;E524,IF(F524&lt;I524,B524&amp;H524,"Tie")))</f>
        <v/>
      </c>
      <c r="L524" s="156">
        <f>IFERROR(IF(AND(B524&lt;$L$1,F524&gt;I524),"Win",IF(AND(B524&lt;$L$1,F524&lt;I524),"Loss","")),"")</f>
        <v/>
      </c>
      <c r="M524" s="156">
        <f>IF(B524&lt;_CurWeek,"In","")</f>
        <v/>
      </c>
      <c r="N524" s="156">
        <f>IF(M524="In",E524&amp;G524,"")</f>
        <v/>
      </c>
      <c r="O524" s="156">
        <f>IF(L524="Win",1,0)</f>
        <v/>
      </c>
    </row>
    <row r="525" ht="14.4" customHeight="1" s="152">
      <c r="A525" s="167">
        <f>B525&amp;E525</f>
        <v/>
      </c>
      <c r="B525" s="174">
        <f>B240</f>
        <v/>
      </c>
      <c r="C525" s="174">
        <f>C240</f>
        <v/>
      </c>
      <c r="D525" s="175">
        <f>D240</f>
        <v/>
      </c>
      <c r="E525" s="176">
        <f>H240</f>
        <v/>
      </c>
      <c r="F525" s="157">
        <f>I240</f>
        <v/>
      </c>
      <c r="G525" s="174" t="inlineStr">
        <is>
          <t>Home</t>
        </is>
      </c>
      <c r="H525" s="176">
        <f>E240</f>
        <v/>
      </c>
      <c r="I525" s="157">
        <f>F240</f>
        <v/>
      </c>
      <c r="J525" s="177">
        <f>J240</f>
        <v/>
      </c>
      <c r="K525" s="156">
        <f>IF(AND(F525=0,I525=0),"",IF(F525&gt;I525,B525&amp;E525,IF(F525&lt;I525,B525&amp;H525,"Tie")))</f>
        <v/>
      </c>
      <c r="L525" s="156">
        <f>IFERROR(IF(AND(B525&lt;$L$1,F525&gt;I525),"Win",IF(AND(B525&lt;$L$1,F525&lt;I525),"Loss","")),"")</f>
        <v/>
      </c>
      <c r="M525" s="156">
        <f>IF(B525&lt;_CurWeek,"In","")</f>
        <v/>
      </c>
      <c r="N525" s="156">
        <f>IF(M525="In",E525&amp;G525,"")</f>
        <v/>
      </c>
      <c r="O525" s="156">
        <f>IF(L525="Win",1,0)</f>
        <v/>
      </c>
    </row>
    <row r="526" ht="14.4" customHeight="1" s="152">
      <c r="A526" s="167">
        <f>B526&amp;E526</f>
        <v/>
      </c>
      <c r="B526" s="174">
        <f>B241</f>
        <v/>
      </c>
      <c r="C526" s="174">
        <f>C241</f>
        <v/>
      </c>
      <c r="D526" s="175">
        <f>D241</f>
        <v/>
      </c>
      <c r="E526" s="176">
        <f>H241</f>
        <v/>
      </c>
      <c r="F526" s="157">
        <f>I241</f>
        <v/>
      </c>
      <c r="G526" s="174" t="inlineStr">
        <is>
          <t>Home</t>
        </is>
      </c>
      <c r="H526" s="176">
        <f>E241</f>
        <v/>
      </c>
      <c r="I526" s="157">
        <f>F241</f>
        <v/>
      </c>
      <c r="J526" s="177">
        <f>J241</f>
        <v/>
      </c>
      <c r="K526" s="156">
        <f>IF(AND(F526=0,I526=0),"",IF(F526&gt;I526,B526&amp;E526,IF(F526&lt;I526,B526&amp;H526,"Tie")))</f>
        <v/>
      </c>
      <c r="L526" s="156">
        <f>IFERROR(IF(AND(B526&lt;$L$1,F526&gt;I526),"Win",IF(AND(B526&lt;$L$1,F526&lt;I526),"Loss","")),"")</f>
        <v/>
      </c>
      <c r="M526" s="156">
        <f>IF(B526&lt;_CurWeek,"In","")</f>
        <v/>
      </c>
      <c r="N526" s="156">
        <f>IF(M526="In",E526&amp;G526,"")</f>
        <v/>
      </c>
      <c r="O526" s="156">
        <f>IF(L526="Win",1,0)</f>
        <v/>
      </c>
    </row>
    <row r="527" ht="14.4" customHeight="1" s="152">
      <c r="A527" s="167">
        <f>B527&amp;E527</f>
        <v/>
      </c>
      <c r="B527" s="174">
        <f>B242</f>
        <v/>
      </c>
      <c r="C527" s="174">
        <f>C242</f>
        <v/>
      </c>
      <c r="D527" s="175">
        <f>D242</f>
        <v/>
      </c>
      <c r="E527" s="176">
        <f>H242</f>
        <v/>
      </c>
      <c r="F527" s="157">
        <f>I242</f>
        <v/>
      </c>
      <c r="G527" s="174" t="inlineStr">
        <is>
          <t>Home</t>
        </is>
      </c>
      <c r="H527" s="176">
        <f>E242</f>
        <v/>
      </c>
      <c r="I527" s="157">
        <f>F242</f>
        <v/>
      </c>
      <c r="J527" s="177">
        <f>J242</f>
        <v/>
      </c>
      <c r="K527" s="156">
        <f>IF(AND(F527=0,I527=0),"",IF(F527&gt;I527,B527&amp;E527,IF(F527&lt;I527,B527&amp;H527,"Tie")))</f>
        <v/>
      </c>
      <c r="L527" s="156">
        <f>IFERROR(IF(AND(B527&lt;$L$1,F527&gt;I527),"Win",IF(AND(B527&lt;$L$1,F527&lt;I527),"Loss","")),"")</f>
        <v/>
      </c>
      <c r="M527" s="156">
        <f>IF(B527&lt;_CurWeek,"In","")</f>
        <v/>
      </c>
      <c r="N527" s="156">
        <f>IF(M527="In",E527&amp;G527,"")</f>
        <v/>
      </c>
      <c r="O527" s="156">
        <f>IF(L527="Win",1,0)</f>
        <v/>
      </c>
    </row>
    <row r="528" ht="14.4" customHeight="1" s="152">
      <c r="A528" s="167">
        <f>B528&amp;E528</f>
        <v/>
      </c>
      <c r="B528" s="174">
        <f>B243</f>
        <v/>
      </c>
      <c r="C528" s="174">
        <f>C243</f>
        <v/>
      </c>
      <c r="D528" s="175">
        <f>D243</f>
        <v/>
      </c>
      <c r="E528" s="176">
        <f>H243</f>
        <v/>
      </c>
      <c r="F528" s="157">
        <f>I243</f>
        <v/>
      </c>
      <c r="G528" s="174" t="inlineStr">
        <is>
          <t>Home</t>
        </is>
      </c>
      <c r="H528" s="176">
        <f>E243</f>
        <v/>
      </c>
      <c r="I528" s="157">
        <f>F243</f>
        <v/>
      </c>
      <c r="J528" s="177">
        <f>J243</f>
        <v/>
      </c>
      <c r="K528" s="156">
        <f>IF(AND(F528=0,I528=0),"",IF(F528&gt;I528,B528&amp;E528,IF(F528&lt;I528,B528&amp;H528,"Tie")))</f>
        <v/>
      </c>
      <c r="L528" s="156">
        <f>IFERROR(IF(AND(B528&lt;$L$1,F528&gt;I528),"Win",IF(AND(B528&lt;$L$1,F528&lt;I528),"Loss","")),"")</f>
        <v/>
      </c>
      <c r="M528" s="156">
        <f>IF(B528&lt;_CurWeek,"In","")</f>
        <v/>
      </c>
      <c r="N528" s="156">
        <f>IF(M528="In",E528&amp;G528,"")</f>
        <v/>
      </c>
      <c r="O528" s="156">
        <f>IF(L528="Win",1,0)</f>
        <v/>
      </c>
    </row>
    <row r="529" ht="14.4" customHeight="1" s="152">
      <c r="A529" s="167">
        <f>B529&amp;E529</f>
        <v/>
      </c>
      <c r="B529" s="174">
        <f>B244</f>
        <v/>
      </c>
      <c r="C529" s="174">
        <f>C244</f>
        <v/>
      </c>
      <c r="D529" s="175">
        <f>D244</f>
        <v/>
      </c>
      <c r="E529" s="176">
        <f>H244</f>
        <v/>
      </c>
      <c r="F529" s="157">
        <f>I244</f>
        <v/>
      </c>
      <c r="G529" s="174" t="inlineStr">
        <is>
          <t>Home</t>
        </is>
      </c>
      <c r="H529" s="176">
        <f>E244</f>
        <v/>
      </c>
      <c r="I529" s="157">
        <f>F244</f>
        <v/>
      </c>
      <c r="J529" s="177">
        <f>J244</f>
        <v/>
      </c>
      <c r="K529" s="156">
        <f>IF(AND(F529=0,I529=0),"",IF(F529&gt;I529,B529&amp;E529,IF(F529&lt;I529,B529&amp;H529,"Tie")))</f>
        <v/>
      </c>
      <c r="L529" s="156">
        <f>IFERROR(IF(AND(B529&lt;$L$1,F529&gt;I529),"Win",IF(AND(B529&lt;$L$1,F529&lt;I529),"Loss","")),"")</f>
        <v/>
      </c>
      <c r="M529" s="156">
        <f>IF(B529&lt;_CurWeek,"In","")</f>
        <v/>
      </c>
      <c r="N529" s="156">
        <f>IF(M529="In",E529&amp;G529,"")</f>
        <v/>
      </c>
      <c r="O529" s="156">
        <f>IF(L529="Win",1,0)</f>
        <v/>
      </c>
    </row>
    <row r="530" ht="14.4" customHeight="1" s="152">
      <c r="A530" s="167">
        <f>B530&amp;E530</f>
        <v/>
      </c>
      <c r="B530" s="174">
        <f>B245</f>
        <v/>
      </c>
      <c r="C530" s="174">
        <f>C245</f>
        <v/>
      </c>
      <c r="D530" s="175">
        <f>D245</f>
        <v/>
      </c>
      <c r="E530" s="176">
        <f>H245</f>
        <v/>
      </c>
      <c r="F530" s="157">
        <f>I245</f>
        <v/>
      </c>
      <c r="G530" s="174" t="inlineStr">
        <is>
          <t>Home</t>
        </is>
      </c>
      <c r="H530" s="176">
        <f>E245</f>
        <v/>
      </c>
      <c r="I530" s="157">
        <f>F245</f>
        <v/>
      </c>
      <c r="J530" s="177">
        <f>J245</f>
        <v/>
      </c>
      <c r="K530" s="156">
        <f>IF(AND(F530=0,I530=0),"",IF(F530&gt;I530,B530&amp;E530,IF(F530&lt;I530,B530&amp;H530,"Tie")))</f>
        <v/>
      </c>
      <c r="L530" s="156">
        <f>IFERROR(IF(AND(B530&lt;$L$1,F530&gt;I530),"Win",IF(AND(B530&lt;$L$1,F530&lt;I530),"Loss","")),"")</f>
        <v/>
      </c>
      <c r="M530" s="156">
        <f>IF(B530&lt;_CurWeek,"In","")</f>
        <v/>
      </c>
      <c r="N530" s="156">
        <f>IF(M530="In",E530&amp;G530,"")</f>
        <v/>
      </c>
      <c r="O530" s="156">
        <f>IF(L530="Win",1,0)</f>
        <v/>
      </c>
    </row>
    <row r="531" ht="14.4" customHeight="1" s="152">
      <c r="A531" s="167">
        <f>B531&amp;E531</f>
        <v/>
      </c>
      <c r="B531" s="174">
        <f>B246</f>
        <v/>
      </c>
      <c r="C531" s="174">
        <f>C246</f>
        <v/>
      </c>
      <c r="D531" s="175">
        <f>D246</f>
        <v/>
      </c>
      <c r="E531" s="176">
        <f>H246</f>
        <v/>
      </c>
      <c r="F531" s="157">
        <f>I246</f>
        <v/>
      </c>
      <c r="G531" s="174" t="inlineStr">
        <is>
          <t>Home</t>
        </is>
      </c>
      <c r="H531" s="176">
        <f>E246</f>
        <v/>
      </c>
      <c r="I531" s="157">
        <f>F246</f>
        <v/>
      </c>
      <c r="J531" s="177">
        <f>J246</f>
        <v/>
      </c>
      <c r="K531" s="156">
        <f>IF(AND(F531=0,I531=0),"",IF(F531&gt;I531,B531&amp;E531,IF(F531&lt;I531,B531&amp;H531,"Tie")))</f>
        <v/>
      </c>
      <c r="L531" s="156">
        <f>IFERROR(IF(AND(B531&lt;$L$1,F531&gt;I531),"Win",IF(AND(B531&lt;$L$1,F531&lt;I531),"Loss","")),"")</f>
        <v/>
      </c>
      <c r="M531" s="156">
        <f>IF(B531&lt;_CurWeek,"In","")</f>
        <v/>
      </c>
      <c r="N531" s="156">
        <f>IF(M531="In",E531&amp;G531,"")</f>
        <v/>
      </c>
      <c r="O531" s="156">
        <f>IF(L531="Win",1,0)</f>
        <v/>
      </c>
    </row>
    <row r="532" ht="14.4" customHeight="1" s="152">
      <c r="A532" s="167">
        <f>B532&amp;E532</f>
        <v/>
      </c>
      <c r="B532" s="174">
        <f>B247</f>
        <v/>
      </c>
      <c r="C532" s="174">
        <f>C247</f>
        <v/>
      </c>
      <c r="D532" s="175">
        <f>D247</f>
        <v/>
      </c>
      <c r="E532" s="176">
        <f>H247</f>
        <v/>
      </c>
      <c r="F532" s="157">
        <f>I247</f>
        <v/>
      </c>
      <c r="G532" s="174" t="inlineStr">
        <is>
          <t>Home</t>
        </is>
      </c>
      <c r="H532" s="176">
        <f>E247</f>
        <v/>
      </c>
      <c r="I532" s="157">
        <f>F247</f>
        <v/>
      </c>
      <c r="J532" s="177">
        <f>J247</f>
        <v/>
      </c>
      <c r="K532" s="156">
        <f>IF(AND(F532=0,I532=0),"",IF(F532&gt;I532,B532&amp;E532,IF(F532&lt;I532,B532&amp;H532,"Tie")))</f>
        <v/>
      </c>
      <c r="L532" s="156">
        <f>IFERROR(IF(AND(B532&lt;$L$1,F532&gt;I532),"Win",IF(AND(B532&lt;$L$1,F532&lt;I532),"Loss","")),"")</f>
        <v/>
      </c>
      <c r="M532" s="156">
        <f>IF(B532&lt;_CurWeek,"In","")</f>
        <v/>
      </c>
      <c r="N532" s="156">
        <f>IF(M532="In",E532&amp;G532,"")</f>
        <v/>
      </c>
      <c r="O532" s="156">
        <f>IF(L532="Win",1,0)</f>
        <v/>
      </c>
    </row>
    <row r="533" ht="14.4" customHeight="1" s="152">
      <c r="A533" s="167">
        <f>B533&amp;E533</f>
        <v/>
      </c>
      <c r="B533" s="174">
        <f>B248</f>
        <v/>
      </c>
      <c r="C533" s="174">
        <f>C248</f>
        <v/>
      </c>
      <c r="D533" s="175">
        <f>D248</f>
        <v/>
      </c>
      <c r="E533" s="176">
        <f>H248</f>
        <v/>
      </c>
      <c r="F533" s="157">
        <f>I248</f>
        <v/>
      </c>
      <c r="G533" s="174" t="inlineStr">
        <is>
          <t>Home</t>
        </is>
      </c>
      <c r="H533" s="176">
        <f>E248</f>
        <v/>
      </c>
      <c r="I533" s="157">
        <f>F248</f>
        <v/>
      </c>
      <c r="J533" s="177">
        <f>J248</f>
        <v/>
      </c>
      <c r="K533" s="156">
        <f>IF(AND(F533=0,I533=0),"",IF(F533&gt;I533,B533&amp;E533,IF(F533&lt;I533,B533&amp;H533,"Tie")))</f>
        <v/>
      </c>
      <c r="L533" s="156">
        <f>IFERROR(IF(AND(B533&lt;$L$1,F533&gt;I533),"Win",IF(AND(B533&lt;$L$1,F533&lt;I533),"Loss","")),"")</f>
        <v/>
      </c>
      <c r="M533" s="156">
        <f>IF(B533&lt;_CurWeek,"In","")</f>
        <v/>
      </c>
      <c r="N533" s="156">
        <f>IF(M533="In",E533&amp;G533,"")</f>
        <v/>
      </c>
      <c r="O533" s="156">
        <f>IF(L533="Win",1,0)</f>
        <v/>
      </c>
    </row>
    <row r="534" ht="14.4" customHeight="1" s="152">
      <c r="A534" s="167">
        <f>B534&amp;E534</f>
        <v/>
      </c>
      <c r="B534" s="174">
        <f>B249</f>
        <v/>
      </c>
      <c r="C534" s="174">
        <f>C249</f>
        <v/>
      </c>
      <c r="D534" s="175">
        <f>D249</f>
        <v/>
      </c>
      <c r="E534" s="176">
        <f>H249</f>
        <v/>
      </c>
      <c r="F534" s="157">
        <f>I249</f>
        <v/>
      </c>
      <c r="G534" s="174" t="inlineStr">
        <is>
          <t>Home</t>
        </is>
      </c>
      <c r="H534" s="176">
        <f>E249</f>
        <v/>
      </c>
      <c r="I534" s="157">
        <f>F249</f>
        <v/>
      </c>
      <c r="J534" s="177">
        <f>J249</f>
        <v/>
      </c>
      <c r="K534" s="156">
        <f>IF(AND(F534=0,I534=0),"",IF(F534&gt;I534,B534&amp;E534,IF(F534&lt;I534,B534&amp;H534,"Tie")))</f>
        <v/>
      </c>
      <c r="L534" s="156">
        <f>IFERROR(IF(AND(B534&lt;$L$1,F534&gt;I534),"Win",IF(AND(B534&lt;$L$1,F534&lt;I534),"Loss","")),"")</f>
        <v/>
      </c>
      <c r="M534" s="156">
        <f>IF(B534&lt;_CurWeek,"In","")</f>
        <v/>
      </c>
      <c r="N534" s="156">
        <f>IF(M534="In",E534&amp;G534,"")</f>
        <v/>
      </c>
      <c r="O534" s="156">
        <f>IF(L534="Win",1,0)</f>
        <v/>
      </c>
    </row>
    <row r="535" ht="14.4" customHeight="1" s="152">
      <c r="A535" s="167">
        <f>B535&amp;E535</f>
        <v/>
      </c>
      <c r="B535" s="174">
        <f>B250</f>
        <v/>
      </c>
      <c r="C535" s="174">
        <f>C250</f>
        <v/>
      </c>
      <c r="D535" s="175">
        <f>D250</f>
        <v/>
      </c>
      <c r="E535" s="176">
        <f>H250</f>
        <v/>
      </c>
      <c r="F535" s="157">
        <f>I250</f>
        <v/>
      </c>
      <c r="G535" s="174" t="inlineStr">
        <is>
          <t>Home</t>
        </is>
      </c>
      <c r="H535" s="176">
        <f>E250</f>
        <v/>
      </c>
      <c r="I535" s="157">
        <f>F250</f>
        <v/>
      </c>
      <c r="J535" s="177">
        <f>J250</f>
        <v/>
      </c>
      <c r="K535" s="156">
        <f>IF(AND(F535=0,I535=0),"",IF(F535&gt;I535,B535&amp;E535,IF(F535&lt;I535,B535&amp;H535,"Tie")))</f>
        <v/>
      </c>
      <c r="L535" s="156">
        <f>IFERROR(IF(AND(B535&lt;$L$1,F535&gt;I535),"Win",IF(AND(B535&lt;$L$1,F535&lt;I535),"Loss","")),"")</f>
        <v/>
      </c>
      <c r="M535" s="156">
        <f>IF(B535&lt;_CurWeek,"In","")</f>
        <v/>
      </c>
      <c r="N535" s="156">
        <f>IF(M535="In",E535&amp;G535,"")</f>
        <v/>
      </c>
      <c r="O535" s="156">
        <f>IF(L535="Win",1,0)</f>
        <v/>
      </c>
    </row>
    <row r="536" ht="14.4" customHeight="1" s="152">
      <c r="A536" s="167">
        <f>B536&amp;E536</f>
        <v/>
      </c>
      <c r="B536" s="174">
        <f>B251</f>
        <v/>
      </c>
      <c r="C536" s="174">
        <f>C251</f>
        <v/>
      </c>
      <c r="D536" s="175">
        <f>D251</f>
        <v/>
      </c>
      <c r="E536" s="176">
        <f>H251</f>
        <v/>
      </c>
      <c r="F536" s="157">
        <f>I251</f>
        <v/>
      </c>
      <c r="G536" s="174" t="inlineStr">
        <is>
          <t>Home</t>
        </is>
      </c>
      <c r="H536" s="176">
        <f>E251</f>
        <v/>
      </c>
      <c r="I536" s="157">
        <f>F251</f>
        <v/>
      </c>
      <c r="J536" s="177">
        <f>J251</f>
        <v/>
      </c>
      <c r="K536" s="156">
        <f>IF(AND(F536=0,I536=0),"",IF(F536&gt;I536,B536&amp;E536,IF(F536&lt;I536,B536&amp;H536,"Tie")))</f>
        <v/>
      </c>
      <c r="L536" s="156">
        <f>IFERROR(IF(AND(B536&lt;$L$1,F536&gt;I536),"Win",IF(AND(B536&lt;$L$1,F536&lt;I536),"Loss","")),"")</f>
        <v/>
      </c>
      <c r="M536" s="156">
        <f>IF(B536&lt;_CurWeek,"In","")</f>
        <v/>
      </c>
      <c r="N536" s="156">
        <f>IF(M536="In",E536&amp;G536,"")</f>
        <v/>
      </c>
      <c r="O536" s="156">
        <f>IF(L536="Win",1,0)</f>
        <v/>
      </c>
    </row>
    <row r="537" ht="14.4" customHeight="1" s="152">
      <c r="A537" s="167">
        <f>B537&amp;E537</f>
        <v/>
      </c>
      <c r="B537" s="174">
        <f>B252</f>
        <v/>
      </c>
      <c r="C537" s="174">
        <f>C252</f>
        <v/>
      </c>
      <c r="D537" s="175">
        <f>D252</f>
        <v/>
      </c>
      <c r="E537" s="176">
        <f>H252</f>
        <v/>
      </c>
      <c r="F537" s="157">
        <f>I252</f>
        <v/>
      </c>
      <c r="G537" s="174" t="inlineStr">
        <is>
          <t>Home</t>
        </is>
      </c>
      <c r="H537" s="176">
        <f>E252</f>
        <v/>
      </c>
      <c r="I537" s="157">
        <f>F252</f>
        <v/>
      </c>
      <c r="J537" s="177">
        <f>J252</f>
        <v/>
      </c>
      <c r="K537" s="156">
        <f>IF(AND(F537=0,I537=0),"",IF(F537&gt;I537,B537&amp;E537,IF(F537&lt;I537,B537&amp;H537,"Tie")))</f>
        <v/>
      </c>
      <c r="L537" s="156">
        <f>IFERROR(IF(AND(B537&lt;$L$1,F537&gt;I537),"Win",IF(AND(B537&lt;$L$1,F537&lt;I537),"Loss","")),"")</f>
        <v/>
      </c>
      <c r="M537" s="156">
        <f>IF(B537&lt;_CurWeek,"In","")</f>
        <v/>
      </c>
      <c r="N537" s="156">
        <f>IF(M537="In",E537&amp;G537,"")</f>
        <v/>
      </c>
      <c r="O537" s="156">
        <f>IF(L537="Win",1,0)</f>
        <v/>
      </c>
    </row>
    <row r="538" ht="14.4" customHeight="1" s="152">
      <c r="A538" s="167">
        <f>B538&amp;E538</f>
        <v/>
      </c>
      <c r="B538" s="174">
        <f>B253</f>
        <v/>
      </c>
      <c r="C538" s="174">
        <f>C253</f>
        <v/>
      </c>
      <c r="D538" s="175">
        <f>D253</f>
        <v/>
      </c>
      <c r="E538" s="176">
        <f>H253</f>
        <v/>
      </c>
      <c r="F538" s="157">
        <f>I253</f>
        <v/>
      </c>
      <c r="G538" s="174" t="inlineStr">
        <is>
          <t>Home</t>
        </is>
      </c>
      <c r="H538" s="176">
        <f>E253</f>
        <v/>
      </c>
      <c r="I538" s="157">
        <f>F253</f>
        <v/>
      </c>
      <c r="J538" s="177">
        <f>J253</f>
        <v/>
      </c>
      <c r="K538" s="156">
        <f>IF(AND(F538=0,I538=0),"",IF(F538&gt;I538,B538&amp;E538,IF(F538&lt;I538,B538&amp;H538,"Tie")))</f>
        <v/>
      </c>
      <c r="L538" s="156">
        <f>IFERROR(IF(AND(B538&lt;$L$1,F538&gt;I538),"Win",IF(AND(B538&lt;$L$1,F538&lt;I538),"Loss","")),"")</f>
        <v/>
      </c>
      <c r="M538" s="156">
        <f>IF(B538&lt;_CurWeek,"In","")</f>
        <v/>
      </c>
      <c r="N538" s="156">
        <f>IF(M538="In",E538&amp;G538,"")</f>
        <v/>
      </c>
      <c r="O538" s="156">
        <f>IF(L538="Win",1,0)</f>
        <v/>
      </c>
    </row>
    <row r="539" ht="14.4" customHeight="1" s="152">
      <c r="A539" s="167">
        <f>B539&amp;E539</f>
        <v/>
      </c>
      <c r="B539" s="174">
        <f>B254</f>
        <v/>
      </c>
      <c r="C539" s="174">
        <f>C254</f>
        <v/>
      </c>
      <c r="D539" s="175">
        <f>D254</f>
        <v/>
      </c>
      <c r="E539" s="176">
        <f>H254</f>
        <v/>
      </c>
      <c r="F539" s="157">
        <f>I254</f>
        <v/>
      </c>
      <c r="G539" s="174" t="inlineStr">
        <is>
          <t>Home</t>
        </is>
      </c>
      <c r="H539" s="176">
        <f>E254</f>
        <v/>
      </c>
      <c r="I539" s="157">
        <f>F254</f>
        <v/>
      </c>
      <c r="J539" s="177">
        <f>J254</f>
        <v/>
      </c>
      <c r="K539" s="156">
        <f>IF(AND(F539=0,I539=0),"",IF(F539&gt;I539,B539&amp;E539,IF(F539&lt;I539,B539&amp;H539,"Tie")))</f>
        <v/>
      </c>
      <c r="L539" s="156">
        <f>IFERROR(IF(AND(B539&lt;$L$1,F539&gt;I539),"Win",IF(AND(B539&lt;$L$1,F539&lt;I539),"Loss","")),"")</f>
        <v/>
      </c>
      <c r="M539" s="156">
        <f>IF(B539&lt;_CurWeek,"In","")</f>
        <v/>
      </c>
      <c r="N539" s="156">
        <f>IF(M539="In",E539&amp;G539,"")</f>
        <v/>
      </c>
      <c r="O539" s="156">
        <f>IF(L539="Win",1,0)</f>
        <v/>
      </c>
    </row>
    <row r="540" ht="14.4" customHeight="1" s="152">
      <c r="A540" s="167">
        <f>B540&amp;E540</f>
        <v/>
      </c>
      <c r="B540" s="174">
        <f>B255</f>
        <v/>
      </c>
      <c r="C540" s="174">
        <f>C255</f>
        <v/>
      </c>
      <c r="D540" s="175">
        <f>D255</f>
        <v/>
      </c>
      <c r="E540" s="176">
        <f>H255</f>
        <v/>
      </c>
      <c r="F540" s="157">
        <f>I255</f>
        <v/>
      </c>
      <c r="G540" s="174" t="inlineStr">
        <is>
          <t>Home</t>
        </is>
      </c>
      <c r="H540" s="176">
        <f>E255</f>
        <v/>
      </c>
      <c r="I540" s="157">
        <f>F255</f>
        <v/>
      </c>
      <c r="J540" s="177">
        <f>J255</f>
        <v/>
      </c>
      <c r="K540" s="156">
        <f>IF(AND(F540=0,I540=0),"",IF(F540&gt;I540,B540&amp;E540,IF(F540&lt;I540,B540&amp;H540,"Tie")))</f>
        <v/>
      </c>
      <c r="L540" s="156">
        <f>IFERROR(IF(AND(B540&lt;$L$1,F540&gt;I540),"Win",IF(AND(B540&lt;$L$1,F540&lt;I540),"Loss","")),"")</f>
        <v/>
      </c>
      <c r="M540" s="156">
        <f>IF(B540&lt;_CurWeek,"In","")</f>
        <v/>
      </c>
      <c r="N540" s="156">
        <f>IF(M540="In",E540&amp;G540,"")</f>
        <v/>
      </c>
      <c r="O540" s="156">
        <f>IF(L540="Win",1,0)</f>
        <v/>
      </c>
    </row>
    <row r="541" ht="14.4" customHeight="1" s="152">
      <c r="A541" s="167">
        <f>B541&amp;E541</f>
        <v/>
      </c>
      <c r="B541" s="174">
        <f>B256</f>
        <v/>
      </c>
      <c r="C541" s="174">
        <f>C256</f>
        <v/>
      </c>
      <c r="D541" s="175">
        <f>D256</f>
        <v/>
      </c>
      <c r="E541" s="176">
        <f>H256</f>
        <v/>
      </c>
      <c r="F541" s="157">
        <f>I256</f>
        <v/>
      </c>
      <c r="G541" s="174" t="inlineStr">
        <is>
          <t>Home</t>
        </is>
      </c>
      <c r="H541" s="176">
        <f>E256</f>
        <v/>
      </c>
      <c r="I541" s="157">
        <f>F256</f>
        <v/>
      </c>
      <c r="J541" s="177">
        <f>J256</f>
        <v/>
      </c>
      <c r="K541" s="156">
        <f>IF(AND(F541=0,I541=0),"",IF(F541&gt;I541,B541&amp;E541,IF(F541&lt;I541,B541&amp;H541,"Tie")))</f>
        <v/>
      </c>
      <c r="L541" s="156">
        <f>IFERROR(IF(AND(B541&lt;$L$1,F541&gt;I541),"Win",IF(AND(B541&lt;$L$1,F541&lt;I541),"Loss","")),"")</f>
        <v/>
      </c>
      <c r="M541" s="156">
        <f>IF(B541&lt;_CurWeek,"In","")</f>
        <v/>
      </c>
      <c r="N541" s="156">
        <f>IF(M541="In",E541&amp;G541,"")</f>
        <v/>
      </c>
      <c r="O541" s="156">
        <f>IF(L541="Win",1,0)</f>
        <v/>
      </c>
    </row>
    <row r="542" ht="14.4" customHeight="1" s="152">
      <c r="A542" s="167">
        <f>B542&amp;E542</f>
        <v/>
      </c>
      <c r="B542" s="174">
        <f>B257</f>
        <v/>
      </c>
      <c r="C542" s="174">
        <f>C257</f>
        <v/>
      </c>
      <c r="D542" s="175">
        <f>D257</f>
        <v/>
      </c>
      <c r="E542" s="176">
        <f>H257</f>
        <v/>
      </c>
      <c r="F542" s="157">
        <f>I257</f>
        <v/>
      </c>
      <c r="G542" s="174" t="inlineStr">
        <is>
          <t>Home</t>
        </is>
      </c>
      <c r="H542" s="176">
        <f>E257</f>
        <v/>
      </c>
      <c r="I542" s="157">
        <f>F257</f>
        <v/>
      </c>
      <c r="J542" s="177">
        <f>J257</f>
        <v/>
      </c>
      <c r="K542" s="156">
        <f>IF(AND(F542=0,I542=0),"",IF(F542&gt;I542,B542&amp;E542,IF(F542&lt;I542,B542&amp;H542,"Tie")))</f>
        <v/>
      </c>
      <c r="L542" s="156">
        <f>IFERROR(IF(AND(B542&lt;$L$1,F542&gt;I542),"Win",IF(AND(B542&lt;$L$1,F542&lt;I542),"Loss","")),"")</f>
        <v/>
      </c>
      <c r="M542" s="156">
        <f>IF(B542&lt;_CurWeek,"In","")</f>
        <v/>
      </c>
      <c r="N542" s="156">
        <f>IF(M542="In",E542&amp;G542,"")</f>
        <v/>
      </c>
      <c r="O542" s="156">
        <f>IF(L542="Win",1,0)</f>
        <v/>
      </c>
    </row>
    <row r="543" ht="14.4" customHeight="1" s="152">
      <c r="A543" s="167">
        <f>B543&amp;E543</f>
        <v/>
      </c>
      <c r="B543" s="174">
        <f>B258</f>
        <v/>
      </c>
      <c r="C543" s="174">
        <f>C258</f>
        <v/>
      </c>
      <c r="D543" s="175">
        <f>D258</f>
        <v/>
      </c>
      <c r="E543" s="176">
        <f>H258</f>
        <v/>
      </c>
      <c r="F543" s="157">
        <f>I258</f>
        <v/>
      </c>
      <c r="G543" s="174" t="inlineStr">
        <is>
          <t>Home</t>
        </is>
      </c>
      <c r="H543" s="176">
        <f>E258</f>
        <v/>
      </c>
      <c r="I543" s="157">
        <f>F258</f>
        <v/>
      </c>
      <c r="J543" s="177">
        <f>J258</f>
        <v/>
      </c>
      <c r="K543" s="156">
        <f>IF(AND(F543=0,I543=0),"",IF(F543&gt;I543,B543&amp;E543,IF(F543&lt;I543,B543&amp;H543,"Tie")))</f>
        <v/>
      </c>
      <c r="L543" s="156">
        <f>IFERROR(IF(AND(B543&lt;$L$1,F543&gt;I543),"Win",IF(AND(B543&lt;$L$1,F543&lt;I543),"Loss","")),"")</f>
        <v/>
      </c>
      <c r="M543" s="156">
        <f>IF(B543&lt;_CurWeek,"In","")</f>
        <v/>
      </c>
      <c r="N543" s="156">
        <f>IF(M543="In",E543&amp;G543,"")</f>
        <v/>
      </c>
      <c r="O543" s="156">
        <f>IF(L543="Win",1,0)</f>
        <v/>
      </c>
    </row>
    <row r="544" ht="14.4" customHeight="1" s="152">
      <c r="A544" s="167">
        <f>B544&amp;E544</f>
        <v/>
      </c>
      <c r="B544" s="174">
        <f>B259</f>
        <v/>
      </c>
      <c r="C544" s="174">
        <f>C259</f>
        <v/>
      </c>
      <c r="D544" s="175">
        <f>D259</f>
        <v/>
      </c>
      <c r="E544" s="176">
        <f>H259</f>
        <v/>
      </c>
      <c r="F544" s="157">
        <f>I259</f>
        <v/>
      </c>
      <c r="G544" s="174" t="inlineStr">
        <is>
          <t>Home</t>
        </is>
      </c>
      <c r="H544" s="176">
        <f>E259</f>
        <v/>
      </c>
      <c r="I544" s="157">
        <f>F259</f>
        <v/>
      </c>
      <c r="J544" s="177">
        <f>J259</f>
        <v/>
      </c>
      <c r="K544" s="156">
        <f>IF(AND(F544=0,I544=0),"",IF(F544&gt;I544,B544&amp;E544,IF(F544&lt;I544,B544&amp;H544,"Tie")))</f>
        <v/>
      </c>
      <c r="L544" s="156">
        <f>IFERROR(IF(AND(B544&lt;$L$1,F544&gt;I544),"Win",IF(AND(B544&lt;$L$1,F544&lt;I544),"Loss","")),"")</f>
        <v/>
      </c>
      <c r="M544" s="156">
        <f>IF(B544&lt;_CurWeek,"In","")</f>
        <v/>
      </c>
      <c r="N544" s="156">
        <f>IF(M544="In",E544&amp;G544,"")</f>
        <v/>
      </c>
      <c r="O544" s="156">
        <f>IF(L544="Win",1,0)</f>
        <v/>
      </c>
    </row>
    <row r="545" ht="14.4" customHeight="1" s="152">
      <c r="A545" s="167">
        <f>B545&amp;E545</f>
        <v/>
      </c>
      <c r="B545" s="174">
        <f>B260</f>
        <v/>
      </c>
      <c r="C545" s="174">
        <f>C260</f>
        <v/>
      </c>
      <c r="D545" s="175">
        <f>D260</f>
        <v/>
      </c>
      <c r="E545" s="176">
        <f>H260</f>
        <v/>
      </c>
      <c r="F545" s="157">
        <f>I260</f>
        <v/>
      </c>
      <c r="G545" s="174" t="inlineStr">
        <is>
          <t>Home</t>
        </is>
      </c>
      <c r="H545" s="176">
        <f>E260</f>
        <v/>
      </c>
      <c r="I545" s="157">
        <f>F260</f>
        <v/>
      </c>
      <c r="J545" s="177">
        <f>J260</f>
        <v/>
      </c>
      <c r="K545" s="156">
        <f>IF(AND(F545=0,I545=0),"",IF(F545&gt;I545,B545&amp;E545,IF(F545&lt;I545,B545&amp;H545,"Tie")))</f>
        <v/>
      </c>
      <c r="L545" s="156">
        <f>IFERROR(IF(AND(B545&lt;$L$1,F545&gt;I545),"Win",IF(AND(B545&lt;$L$1,F545&lt;I545),"Loss","")),"")</f>
        <v/>
      </c>
      <c r="M545" s="156">
        <f>IF(B545&lt;_CurWeek,"In","")</f>
        <v/>
      </c>
      <c r="N545" s="156">
        <f>IF(M545="In",E545&amp;G545,"")</f>
        <v/>
      </c>
      <c r="O545" s="156">
        <f>IF(L545="Win",1,0)</f>
        <v/>
      </c>
    </row>
    <row r="546" ht="14.4" customHeight="1" s="152">
      <c r="A546" s="167">
        <f>B546&amp;E546</f>
        <v/>
      </c>
      <c r="B546" s="174">
        <f>B261</f>
        <v/>
      </c>
      <c r="C546" s="174">
        <f>C261</f>
        <v/>
      </c>
      <c r="D546" s="175">
        <f>D261</f>
        <v/>
      </c>
      <c r="E546" s="176">
        <f>H261</f>
        <v/>
      </c>
      <c r="F546" s="157">
        <f>I261</f>
        <v/>
      </c>
      <c r="G546" s="174" t="inlineStr">
        <is>
          <t>Home</t>
        </is>
      </c>
      <c r="H546" s="176">
        <f>E261</f>
        <v/>
      </c>
      <c r="I546" s="157">
        <f>F261</f>
        <v/>
      </c>
      <c r="J546" s="177">
        <f>J261</f>
        <v/>
      </c>
      <c r="K546" s="156">
        <f>IF(AND(F546=0,I546=0),"",IF(F546&gt;I546,B546&amp;E546,IF(F546&lt;I546,B546&amp;H546,"Tie")))</f>
        <v/>
      </c>
      <c r="L546" s="156">
        <f>IFERROR(IF(AND(B546&lt;$L$1,F546&gt;I546),"Win",IF(AND(B546&lt;$L$1,F546&lt;I546),"Loss","")),"")</f>
        <v/>
      </c>
      <c r="M546" s="156">
        <f>IF(B546&lt;_CurWeek,"In","")</f>
        <v/>
      </c>
      <c r="N546" s="156">
        <f>IF(M546="In",E546&amp;G546,"")</f>
        <v/>
      </c>
      <c r="O546" s="156">
        <f>IF(L546="Win",1,0)</f>
        <v/>
      </c>
    </row>
    <row r="547" ht="14.4" customHeight="1" s="152">
      <c r="A547" s="167">
        <f>B547&amp;E547</f>
        <v/>
      </c>
      <c r="B547" s="174">
        <f>B262</f>
        <v/>
      </c>
      <c r="C547" s="174">
        <f>C262</f>
        <v/>
      </c>
      <c r="D547" s="175">
        <f>D262</f>
        <v/>
      </c>
      <c r="E547" s="176">
        <f>H262</f>
        <v/>
      </c>
      <c r="F547" s="157">
        <f>I262</f>
        <v/>
      </c>
      <c r="G547" s="174" t="inlineStr">
        <is>
          <t>Home</t>
        </is>
      </c>
      <c r="H547" s="176">
        <f>E262</f>
        <v/>
      </c>
      <c r="I547" s="157">
        <f>F262</f>
        <v/>
      </c>
      <c r="J547" s="177">
        <f>J262</f>
        <v/>
      </c>
      <c r="K547" s="156">
        <f>IF(AND(F547=0,I547=0),"",IF(F547&gt;I547,B547&amp;E547,IF(F547&lt;I547,B547&amp;H547,"Tie")))</f>
        <v/>
      </c>
      <c r="L547" s="156">
        <f>IFERROR(IF(AND(B547&lt;$L$1,F547&gt;I547),"Win",IF(AND(B547&lt;$L$1,F547&lt;I547),"Loss","")),"")</f>
        <v/>
      </c>
      <c r="M547" s="156">
        <f>IF(B547&lt;_CurWeek,"In","")</f>
        <v/>
      </c>
      <c r="N547" s="156">
        <f>IF(M547="In",E547&amp;G547,"")</f>
        <v/>
      </c>
      <c r="O547" s="156">
        <f>IF(L547="Win",1,0)</f>
        <v/>
      </c>
    </row>
    <row r="548" ht="14.4" customHeight="1" s="152">
      <c r="A548" s="167">
        <f>B548&amp;E548</f>
        <v/>
      </c>
      <c r="B548" s="174">
        <f>B263</f>
        <v/>
      </c>
      <c r="C548" s="174">
        <f>C263</f>
        <v/>
      </c>
      <c r="D548" s="175">
        <f>D263</f>
        <v/>
      </c>
      <c r="E548" s="176">
        <f>H263</f>
        <v/>
      </c>
      <c r="F548" s="157">
        <f>I263</f>
        <v/>
      </c>
      <c r="G548" s="174" t="inlineStr">
        <is>
          <t>Home</t>
        </is>
      </c>
      <c r="H548" s="176">
        <f>E263</f>
        <v/>
      </c>
      <c r="I548" s="157">
        <f>F263</f>
        <v/>
      </c>
      <c r="J548" s="177">
        <f>J263</f>
        <v/>
      </c>
      <c r="K548" s="156">
        <f>IF(AND(F548=0,I548=0),"",IF(F548&gt;I548,B548&amp;E548,IF(F548&lt;I548,B548&amp;H548,"Tie")))</f>
        <v/>
      </c>
      <c r="L548" s="156">
        <f>IFERROR(IF(AND(B548&lt;$L$1,F548&gt;I548),"Win",IF(AND(B548&lt;$L$1,F548&lt;I548),"Loss","")),"")</f>
        <v/>
      </c>
      <c r="M548" s="156">
        <f>IF(B548&lt;_CurWeek,"In","")</f>
        <v/>
      </c>
      <c r="N548" s="156">
        <f>IF(M548="In",E548&amp;G548,"")</f>
        <v/>
      </c>
      <c r="O548" s="156">
        <f>IF(L548="Win",1,0)</f>
        <v/>
      </c>
    </row>
    <row r="549" ht="14.4" customHeight="1" s="152">
      <c r="A549" s="167">
        <f>B549&amp;E549</f>
        <v/>
      </c>
      <c r="B549" s="174">
        <f>B264</f>
        <v/>
      </c>
      <c r="C549" s="174">
        <f>C264</f>
        <v/>
      </c>
      <c r="D549" s="175">
        <f>D264</f>
        <v/>
      </c>
      <c r="E549" s="176">
        <f>H264</f>
        <v/>
      </c>
      <c r="F549" s="157">
        <f>I264</f>
        <v/>
      </c>
      <c r="G549" s="174" t="inlineStr">
        <is>
          <t>Home</t>
        </is>
      </c>
      <c r="H549" s="176">
        <f>E264</f>
        <v/>
      </c>
      <c r="I549" s="157">
        <f>F264</f>
        <v/>
      </c>
      <c r="J549" s="177">
        <f>J264</f>
        <v/>
      </c>
      <c r="K549" s="156">
        <f>IF(AND(F549=0,I549=0),"",IF(F549&gt;I549,B549&amp;E549,IF(F549&lt;I549,B549&amp;H549,"Tie")))</f>
        <v/>
      </c>
      <c r="L549" s="156">
        <f>IFERROR(IF(AND(B549&lt;$L$1,F549&gt;I549),"Win",IF(AND(B549&lt;$L$1,F549&lt;I549),"Loss","")),"")</f>
        <v/>
      </c>
      <c r="M549" s="156">
        <f>IF(B549&lt;_CurWeek,"In","")</f>
        <v/>
      </c>
      <c r="N549" s="156">
        <f>IF(M549="In",E549&amp;G549,"")</f>
        <v/>
      </c>
      <c r="O549" s="156">
        <f>IF(L549="Win",1,0)</f>
        <v/>
      </c>
    </row>
    <row r="550" ht="14.4" customHeight="1" s="152">
      <c r="A550" s="167">
        <f>B550&amp;E550</f>
        <v/>
      </c>
      <c r="B550" s="174">
        <f>B265</f>
        <v/>
      </c>
      <c r="C550" s="174">
        <f>C265</f>
        <v/>
      </c>
      <c r="D550" s="175">
        <f>D265</f>
        <v/>
      </c>
      <c r="E550" s="176">
        <f>H265</f>
        <v/>
      </c>
      <c r="F550" s="157">
        <f>I265</f>
        <v/>
      </c>
      <c r="G550" s="174" t="inlineStr">
        <is>
          <t>Home</t>
        </is>
      </c>
      <c r="H550" s="176">
        <f>E265</f>
        <v/>
      </c>
      <c r="I550" s="157">
        <f>F265</f>
        <v/>
      </c>
      <c r="J550" s="177">
        <f>J265</f>
        <v/>
      </c>
      <c r="K550" s="156">
        <f>IF(AND(F550=0,I550=0),"",IF(F550&gt;I550,B550&amp;E550,IF(F550&lt;I550,B550&amp;H550,"Tie")))</f>
        <v/>
      </c>
      <c r="L550" s="156">
        <f>IFERROR(IF(AND(B550&lt;$L$1,F550&gt;I550),"Win",IF(AND(B550&lt;$L$1,F550&lt;I550),"Loss","")),"")</f>
        <v/>
      </c>
      <c r="M550" s="156">
        <f>IF(B550&lt;_CurWeek,"In","")</f>
        <v/>
      </c>
      <c r="N550" s="156">
        <f>IF(M550="In",E550&amp;G550,"")</f>
        <v/>
      </c>
      <c r="O550" s="156">
        <f>IF(L550="Win",1,0)</f>
        <v/>
      </c>
    </row>
    <row r="551" ht="14.4" customHeight="1" s="152">
      <c r="A551" s="167">
        <f>B551&amp;E551</f>
        <v/>
      </c>
      <c r="B551" s="174">
        <f>B266</f>
        <v/>
      </c>
      <c r="C551" s="174">
        <f>C266</f>
        <v/>
      </c>
      <c r="D551" s="175">
        <f>D266</f>
        <v/>
      </c>
      <c r="E551" s="176">
        <f>H266</f>
        <v/>
      </c>
      <c r="F551" s="157">
        <f>I266</f>
        <v/>
      </c>
      <c r="G551" s="174" t="inlineStr">
        <is>
          <t>Home</t>
        </is>
      </c>
      <c r="H551" s="176">
        <f>E266</f>
        <v/>
      </c>
      <c r="I551" s="157">
        <f>F266</f>
        <v/>
      </c>
      <c r="J551" s="177">
        <f>J266</f>
        <v/>
      </c>
      <c r="K551" s="156">
        <f>IF(AND(F551=0,I551=0),"",IF(F551&gt;I551,B551&amp;E551,IF(F551&lt;I551,B551&amp;H551,"Tie")))</f>
        <v/>
      </c>
      <c r="L551" s="156">
        <f>IFERROR(IF(AND(B551&lt;$L$1,F551&gt;I551),"Win",IF(AND(B551&lt;$L$1,F551&lt;I551),"Loss","")),"")</f>
        <v/>
      </c>
      <c r="M551" s="156">
        <f>IF(B551&lt;_CurWeek,"In","")</f>
        <v/>
      </c>
      <c r="N551" s="156">
        <f>IF(M551="In",E551&amp;G551,"")</f>
        <v/>
      </c>
      <c r="O551" s="156">
        <f>IF(L551="Win",1,0)</f>
        <v/>
      </c>
    </row>
    <row r="552" ht="14.4" customHeight="1" s="152">
      <c r="A552" s="167">
        <f>B552&amp;E552</f>
        <v/>
      </c>
      <c r="B552" s="174">
        <f>B267</f>
        <v/>
      </c>
      <c r="C552" s="174">
        <f>C267</f>
        <v/>
      </c>
      <c r="D552" s="175">
        <f>D267</f>
        <v/>
      </c>
      <c r="E552" s="176">
        <f>H267</f>
        <v/>
      </c>
      <c r="F552" s="157">
        <f>I267</f>
        <v/>
      </c>
      <c r="G552" s="174" t="inlineStr">
        <is>
          <t>Home</t>
        </is>
      </c>
      <c r="H552" s="176">
        <f>E267</f>
        <v/>
      </c>
      <c r="I552" s="157">
        <f>F267</f>
        <v/>
      </c>
      <c r="J552" s="177">
        <f>J267</f>
        <v/>
      </c>
      <c r="K552" s="156">
        <f>IF(AND(F552=0,I552=0),"",IF(F552&gt;I552,B552&amp;E552,IF(F552&lt;I552,B552&amp;H552,"Tie")))</f>
        <v/>
      </c>
      <c r="L552" s="156">
        <f>IFERROR(IF(AND(B552&lt;$L$1,F552&gt;I552),"Win",IF(AND(B552&lt;$L$1,F552&lt;I552),"Loss","")),"")</f>
        <v/>
      </c>
      <c r="M552" s="156">
        <f>IF(B552&lt;_CurWeek,"In","")</f>
        <v/>
      </c>
      <c r="N552" s="156">
        <f>IF(M552="In",E552&amp;G552,"")</f>
        <v/>
      </c>
      <c r="O552" s="156">
        <f>IF(L552="Win",1,0)</f>
        <v/>
      </c>
    </row>
    <row r="553" ht="14.4" customHeight="1" s="152">
      <c r="A553" s="167">
        <f>B553&amp;E553</f>
        <v/>
      </c>
      <c r="B553" s="174">
        <f>B268</f>
        <v/>
      </c>
      <c r="C553" s="174">
        <f>C268</f>
        <v/>
      </c>
      <c r="D553" s="175">
        <f>D268</f>
        <v/>
      </c>
      <c r="E553" s="176">
        <f>H268</f>
        <v/>
      </c>
      <c r="F553" s="157">
        <f>I268</f>
        <v/>
      </c>
      <c r="G553" s="174" t="inlineStr">
        <is>
          <t>Home</t>
        </is>
      </c>
      <c r="H553" s="176">
        <f>E268</f>
        <v/>
      </c>
      <c r="I553" s="157">
        <f>F268</f>
        <v/>
      </c>
      <c r="J553" s="177">
        <f>J268</f>
        <v/>
      </c>
      <c r="K553" s="156">
        <f>IF(AND(F553=0,I553=0),"",IF(F553&gt;I553,B553&amp;E553,IF(F553&lt;I553,B553&amp;H553,"Tie")))</f>
        <v/>
      </c>
      <c r="L553" s="156">
        <f>IFERROR(IF(AND(B553&lt;$L$1,F553&gt;I553),"Win",IF(AND(B553&lt;$L$1,F553&lt;I553),"Loss","")),"")</f>
        <v/>
      </c>
      <c r="M553" s="156">
        <f>IF(B553&lt;_CurWeek,"In","")</f>
        <v/>
      </c>
      <c r="N553" s="156">
        <f>IF(M553="In",E553&amp;G553,"")</f>
        <v/>
      </c>
      <c r="O553" s="156">
        <f>IF(L553="Win",1,0)</f>
        <v/>
      </c>
    </row>
    <row r="554" ht="14.4" customHeight="1" s="152">
      <c r="A554" s="167">
        <f>B554&amp;E554</f>
        <v/>
      </c>
      <c r="B554" s="174">
        <f>B269</f>
        <v/>
      </c>
      <c r="C554" s="174">
        <f>C269</f>
        <v/>
      </c>
      <c r="D554" s="175">
        <f>D269</f>
        <v/>
      </c>
      <c r="E554" s="176">
        <f>H269</f>
        <v/>
      </c>
      <c r="F554" s="157">
        <f>I269</f>
        <v/>
      </c>
      <c r="G554" s="174" t="inlineStr">
        <is>
          <t>Home</t>
        </is>
      </c>
      <c r="H554" s="176">
        <f>E269</f>
        <v/>
      </c>
      <c r="I554" s="157">
        <f>F269</f>
        <v/>
      </c>
      <c r="J554" s="177">
        <f>J269</f>
        <v/>
      </c>
      <c r="K554" s="156">
        <f>IF(AND(F554=0,I554=0),"",IF(F554&gt;I554,B554&amp;E554,IF(F554&lt;I554,B554&amp;H554,"Tie")))</f>
        <v/>
      </c>
      <c r="L554" s="156">
        <f>IFERROR(IF(AND(B554&lt;$L$1,F554&gt;I554),"Win",IF(AND(B554&lt;$L$1,F554&lt;I554),"Loss","")),"")</f>
        <v/>
      </c>
      <c r="M554" s="156">
        <f>IF(B554&lt;_CurWeek,"In","")</f>
        <v/>
      </c>
      <c r="N554" s="156">
        <f>IF(M554="In",E554&amp;G554,"")</f>
        <v/>
      </c>
      <c r="O554" s="156">
        <f>IF(L554="Win",1,0)</f>
        <v/>
      </c>
    </row>
    <row r="555" ht="14.4" customHeight="1" s="152">
      <c r="A555" s="167">
        <f>B555&amp;E555</f>
        <v/>
      </c>
      <c r="B555" s="174">
        <f>B270</f>
        <v/>
      </c>
      <c r="C555" s="174">
        <f>C270</f>
        <v/>
      </c>
      <c r="D555" s="175">
        <f>D270</f>
        <v/>
      </c>
      <c r="E555" s="176">
        <f>H270</f>
        <v/>
      </c>
      <c r="F555" s="157">
        <f>I270</f>
        <v/>
      </c>
      <c r="G555" s="174" t="inlineStr">
        <is>
          <t>Home</t>
        </is>
      </c>
      <c r="H555" s="176">
        <f>E270</f>
        <v/>
      </c>
      <c r="I555" s="157">
        <f>F270</f>
        <v/>
      </c>
      <c r="J555" s="177">
        <f>J270</f>
        <v/>
      </c>
      <c r="K555" s="156">
        <f>IF(AND(F555=0,I555=0),"",IF(F555&gt;I555,B555&amp;E555,IF(F555&lt;I555,B555&amp;H555,"Tie")))</f>
        <v/>
      </c>
      <c r="L555" s="156">
        <f>IFERROR(IF(AND(B555&lt;$L$1,F555&gt;I555),"Win",IF(AND(B555&lt;$L$1,F555&lt;I555),"Loss","")),"")</f>
        <v/>
      </c>
      <c r="M555" s="156">
        <f>IF(B555&lt;_CurWeek,"In","")</f>
        <v/>
      </c>
      <c r="N555" s="156">
        <f>IF(M555="In",E555&amp;G555,"")</f>
        <v/>
      </c>
      <c r="O555" s="156">
        <f>IF(L555="Win",1,0)</f>
        <v/>
      </c>
    </row>
    <row r="556" ht="14.4" customHeight="1" s="152">
      <c r="A556" s="167">
        <f>B556&amp;E556</f>
        <v/>
      </c>
      <c r="B556" s="174">
        <f>B271</f>
        <v/>
      </c>
      <c r="C556" s="174">
        <f>C271</f>
        <v/>
      </c>
      <c r="D556" s="175">
        <f>D271</f>
        <v/>
      </c>
      <c r="E556" s="176">
        <f>H271</f>
        <v/>
      </c>
      <c r="F556" s="157">
        <f>I271</f>
        <v/>
      </c>
      <c r="G556" s="174" t="inlineStr">
        <is>
          <t>Home</t>
        </is>
      </c>
      <c r="H556" s="176">
        <f>E271</f>
        <v/>
      </c>
      <c r="I556" s="157">
        <f>F271</f>
        <v/>
      </c>
      <c r="J556" s="177">
        <f>J271</f>
        <v/>
      </c>
      <c r="K556" s="156">
        <f>IF(AND(F556=0,I556=0),"",IF(F556&gt;I556,B556&amp;E556,IF(F556&lt;I556,B556&amp;H556,"Tie")))</f>
        <v/>
      </c>
      <c r="L556" s="156">
        <f>IFERROR(IF(AND(B556&lt;$L$1,F556&gt;I556),"Win",IF(AND(B556&lt;$L$1,F556&lt;I556),"Loss","")),"")</f>
        <v/>
      </c>
      <c r="M556" s="156">
        <f>IF(B556&lt;_CurWeek,"In","")</f>
        <v/>
      </c>
      <c r="N556" s="156">
        <f>IF(M556="In",E556&amp;G556,"")</f>
        <v/>
      </c>
      <c r="O556" s="156">
        <f>IF(L556="Win",1,0)</f>
        <v/>
      </c>
    </row>
    <row r="557" ht="14.4" customHeight="1" s="152">
      <c r="A557" s="167">
        <f>B557&amp;E557</f>
        <v/>
      </c>
      <c r="B557" s="174">
        <f>B272</f>
        <v/>
      </c>
      <c r="C557" s="174">
        <f>C272</f>
        <v/>
      </c>
      <c r="D557" s="175">
        <f>D272</f>
        <v/>
      </c>
      <c r="E557" s="176">
        <f>H272</f>
        <v/>
      </c>
      <c r="F557" s="157">
        <f>I272</f>
        <v/>
      </c>
      <c r="G557" s="174" t="inlineStr">
        <is>
          <t>Home</t>
        </is>
      </c>
      <c r="H557" s="176">
        <f>E272</f>
        <v/>
      </c>
      <c r="I557" s="157">
        <f>F272</f>
        <v/>
      </c>
      <c r="J557" s="177">
        <f>J272</f>
        <v/>
      </c>
      <c r="K557" s="156">
        <f>IF(AND(F557=0,I557=0),"",IF(F557&gt;I557,B557&amp;E557,IF(F557&lt;I557,B557&amp;H557,"Tie")))</f>
        <v/>
      </c>
      <c r="L557" s="156">
        <f>IFERROR(IF(AND(B557&lt;$L$1,F557&gt;I557),"Win",IF(AND(B557&lt;$L$1,F557&lt;I557),"Loss","")),"")</f>
        <v/>
      </c>
      <c r="M557" s="156">
        <f>IF(B557&lt;_CurWeek,"In","")</f>
        <v/>
      </c>
      <c r="N557" s="156">
        <f>IF(M557="In",E557&amp;G557,"")</f>
        <v/>
      </c>
      <c r="O557" s="156">
        <f>IF(L557="Win",1,0)</f>
        <v/>
      </c>
    </row>
    <row r="558" ht="14.4" customHeight="1" s="152">
      <c r="A558" s="167">
        <f>B558&amp;E558</f>
        <v/>
      </c>
      <c r="B558" s="174">
        <f>B273</f>
        <v/>
      </c>
      <c r="C558" s="174">
        <f>C273</f>
        <v/>
      </c>
      <c r="D558" s="175">
        <f>D273</f>
        <v/>
      </c>
      <c r="E558" s="176">
        <f>H273</f>
        <v/>
      </c>
      <c r="F558" s="157">
        <f>I273</f>
        <v/>
      </c>
      <c r="G558" s="174" t="inlineStr">
        <is>
          <t>Home</t>
        </is>
      </c>
      <c r="H558" s="176">
        <f>E273</f>
        <v/>
      </c>
      <c r="I558" s="157">
        <f>F273</f>
        <v/>
      </c>
      <c r="J558" s="177">
        <f>J273</f>
        <v/>
      </c>
      <c r="K558" s="156">
        <f>IF(AND(F558=0,I558=0),"",IF(F558&gt;I558,B558&amp;E558,IF(F558&lt;I558,B558&amp;H558,"Tie")))</f>
        <v/>
      </c>
      <c r="L558" s="156">
        <f>IFERROR(IF(AND(B558&lt;$L$1,F558&gt;I558),"Win",IF(AND(B558&lt;$L$1,F558&lt;I558),"Loss","")),"")</f>
        <v/>
      </c>
      <c r="M558" s="156">
        <f>IF(B558&lt;_CurWeek,"In","")</f>
        <v/>
      </c>
      <c r="N558" s="156">
        <f>IF(M558="In",E558&amp;G558,"")</f>
        <v/>
      </c>
      <c r="O558" s="156">
        <f>IF(L558="Win",1,0)</f>
        <v/>
      </c>
    </row>
    <row r="559" ht="14.4" customHeight="1" s="152">
      <c r="A559" s="167">
        <f>B559&amp;E559</f>
        <v/>
      </c>
      <c r="B559" s="174">
        <f>B274</f>
        <v/>
      </c>
      <c r="C559" s="174">
        <f>C274</f>
        <v/>
      </c>
      <c r="D559" s="175">
        <f>D274</f>
        <v/>
      </c>
      <c r="E559" s="176">
        <f>H274</f>
        <v/>
      </c>
      <c r="F559" s="157">
        <f>I274</f>
        <v/>
      </c>
      <c r="G559" s="174" t="inlineStr">
        <is>
          <t>Home</t>
        </is>
      </c>
      <c r="H559" s="176">
        <f>E274</f>
        <v/>
      </c>
      <c r="I559" s="157">
        <f>F274</f>
        <v/>
      </c>
      <c r="J559" s="177">
        <f>J274</f>
        <v/>
      </c>
      <c r="K559" s="156">
        <f>IF(AND(F559=0,I559=0),"",IF(F559&gt;I559,B559&amp;E559,IF(F559&lt;I559,B559&amp;H559,"Tie")))</f>
        <v/>
      </c>
      <c r="L559" s="156">
        <f>IFERROR(IF(AND(B559&lt;$L$1,F559&gt;I559),"Win",IF(AND(B559&lt;$L$1,F559&lt;I559),"Loss","")),"")</f>
        <v/>
      </c>
      <c r="M559" s="156">
        <f>IF(B559&lt;_CurWeek,"In","")</f>
        <v/>
      </c>
      <c r="N559" s="156">
        <f>IF(M559="In",E559&amp;G559,"")</f>
        <v/>
      </c>
      <c r="O559" s="156">
        <f>IF(L559="Win",1,0)</f>
        <v/>
      </c>
    </row>
    <row r="560" ht="14.4" customHeight="1" s="152">
      <c r="A560" s="167">
        <f>B560&amp;E560</f>
        <v/>
      </c>
      <c r="B560" s="174">
        <f>B275</f>
        <v/>
      </c>
      <c r="C560" s="174">
        <f>C275</f>
        <v/>
      </c>
      <c r="D560" s="175">
        <f>D275</f>
        <v/>
      </c>
      <c r="E560" s="176">
        <f>H275</f>
        <v/>
      </c>
      <c r="F560" s="157">
        <f>I275</f>
        <v/>
      </c>
      <c r="G560" s="174" t="inlineStr">
        <is>
          <t>Home</t>
        </is>
      </c>
      <c r="H560" s="176">
        <f>E275</f>
        <v/>
      </c>
      <c r="I560" s="157">
        <f>F275</f>
        <v/>
      </c>
      <c r="J560" s="177">
        <f>J275</f>
        <v/>
      </c>
      <c r="K560" s="156">
        <f>IF(AND(F560=0,I560=0),"",IF(F560&gt;I560,B560&amp;E560,IF(F560&lt;I560,B560&amp;H560,"Tie")))</f>
        <v/>
      </c>
      <c r="L560" s="156">
        <f>IFERROR(IF(AND(B560&lt;$L$1,F560&gt;I560),"Win",IF(AND(B560&lt;$L$1,F560&lt;I560),"Loss","")),"")</f>
        <v/>
      </c>
      <c r="M560" s="156">
        <f>IF(B560&lt;_CurWeek,"In","")</f>
        <v/>
      </c>
      <c r="N560" s="156">
        <f>IF(M560="In",E560&amp;G560,"")</f>
        <v/>
      </c>
      <c r="O560" s="156">
        <f>IF(L560="Win",1,0)</f>
        <v/>
      </c>
    </row>
    <row r="561" ht="14.4" customHeight="1" s="152">
      <c r="A561" s="167">
        <f>B561&amp;E561</f>
        <v/>
      </c>
      <c r="B561" s="174">
        <f>B276</f>
        <v/>
      </c>
      <c r="C561" s="174">
        <f>C276</f>
        <v/>
      </c>
      <c r="D561" s="175">
        <f>D276</f>
        <v/>
      </c>
      <c r="E561" s="176">
        <f>H276</f>
        <v/>
      </c>
      <c r="F561" s="157">
        <f>I276</f>
        <v/>
      </c>
      <c r="G561" s="174" t="inlineStr">
        <is>
          <t>Home</t>
        </is>
      </c>
      <c r="H561" s="176">
        <f>E276</f>
        <v/>
      </c>
      <c r="I561" s="157">
        <f>F276</f>
        <v/>
      </c>
      <c r="J561" s="177">
        <f>J276</f>
        <v/>
      </c>
      <c r="K561" s="156">
        <f>IF(AND(F561=0,I561=0),"",IF(F561&gt;I561,B561&amp;E561,IF(F561&lt;I561,B561&amp;H561,"Tie")))</f>
        <v/>
      </c>
      <c r="L561" s="156">
        <f>IFERROR(IF(AND(B561&lt;$L$1,F561&gt;I561),"Win",IF(AND(B561&lt;$L$1,F561&lt;I561),"Loss","")),"")</f>
        <v/>
      </c>
      <c r="M561" s="156">
        <f>IF(B561&lt;_CurWeek,"In","")</f>
        <v/>
      </c>
      <c r="N561" s="156">
        <f>IF(M561="In",E561&amp;G561,"")</f>
        <v/>
      </c>
      <c r="O561" s="156">
        <f>IF(L561="Win",1,0)</f>
        <v/>
      </c>
    </row>
    <row r="562" ht="14.4" customHeight="1" s="152">
      <c r="A562" s="167">
        <f>B562&amp;E562</f>
        <v/>
      </c>
      <c r="B562" s="174">
        <f>B277</f>
        <v/>
      </c>
      <c r="C562" s="174">
        <f>C277</f>
        <v/>
      </c>
      <c r="D562" s="175">
        <f>D277</f>
        <v/>
      </c>
      <c r="E562" s="176">
        <f>H277</f>
        <v/>
      </c>
      <c r="F562" s="157">
        <f>I277</f>
        <v/>
      </c>
      <c r="G562" s="174" t="inlineStr">
        <is>
          <t>Home</t>
        </is>
      </c>
      <c r="H562" s="176">
        <f>E277</f>
        <v/>
      </c>
      <c r="I562" s="157">
        <f>F277</f>
        <v/>
      </c>
      <c r="J562" s="177">
        <f>J277</f>
        <v/>
      </c>
      <c r="K562" s="156">
        <f>IF(AND(F562=0,I562=0),"",IF(F562&gt;I562,B562&amp;E562,IF(F562&lt;I562,B562&amp;H562,"Tie")))</f>
        <v/>
      </c>
      <c r="L562" s="156">
        <f>IFERROR(IF(AND(B562&lt;$L$1,F562&gt;I562),"Win",IF(AND(B562&lt;$L$1,F562&lt;I562),"Loss","")),"")</f>
        <v/>
      </c>
      <c r="M562" s="156">
        <f>IF(B562&lt;_CurWeek,"In","")</f>
        <v/>
      </c>
      <c r="N562" s="156">
        <f>IF(M562="In",E562&amp;G562,"")</f>
        <v/>
      </c>
      <c r="O562" s="156">
        <f>IF(L562="Win",1,0)</f>
        <v/>
      </c>
    </row>
    <row r="563" ht="14.4" customHeight="1" s="152">
      <c r="A563" s="167">
        <f>B563&amp;E563</f>
        <v/>
      </c>
      <c r="B563" s="174">
        <f>B278</f>
        <v/>
      </c>
      <c r="C563" s="174">
        <f>C278</f>
        <v/>
      </c>
      <c r="D563" s="175">
        <f>D278</f>
        <v/>
      </c>
      <c r="E563" s="176">
        <f>H278</f>
        <v/>
      </c>
      <c r="F563" s="157">
        <f>I278</f>
        <v/>
      </c>
      <c r="G563" s="174" t="inlineStr">
        <is>
          <t>Home</t>
        </is>
      </c>
      <c r="H563" s="176">
        <f>E278</f>
        <v/>
      </c>
      <c r="I563" s="157">
        <f>F278</f>
        <v/>
      </c>
      <c r="J563" s="177">
        <f>J278</f>
        <v/>
      </c>
      <c r="K563" s="156">
        <f>IF(AND(F563=0,I563=0),"",IF(F563&gt;I563,B563&amp;E563,IF(F563&lt;I563,B563&amp;H563,"Tie")))</f>
        <v/>
      </c>
      <c r="L563" s="156">
        <f>IFERROR(IF(AND(B563&lt;$L$1,F563&gt;I563),"Win",IF(AND(B563&lt;$L$1,F563&lt;I563),"Loss","")),"")</f>
        <v/>
      </c>
      <c r="M563" s="156">
        <f>IF(B563&lt;_CurWeek,"In","")</f>
        <v/>
      </c>
      <c r="N563" s="156">
        <f>IF(M563="In",E563&amp;G563,"")</f>
        <v/>
      </c>
      <c r="O563" s="156">
        <f>IF(L563="Win",1,0)</f>
        <v/>
      </c>
    </row>
    <row r="564" ht="14.4" customHeight="1" s="152">
      <c r="A564" s="167">
        <f>B564&amp;E564</f>
        <v/>
      </c>
      <c r="B564" s="174">
        <f>B279</f>
        <v/>
      </c>
      <c r="C564" s="174">
        <f>C279</f>
        <v/>
      </c>
      <c r="D564" s="175">
        <f>D279</f>
        <v/>
      </c>
      <c r="E564" s="176">
        <f>H279</f>
        <v/>
      </c>
      <c r="F564" s="157">
        <f>I279</f>
        <v/>
      </c>
      <c r="G564" s="174" t="inlineStr">
        <is>
          <t>Home</t>
        </is>
      </c>
      <c r="H564" s="176">
        <f>E279</f>
        <v/>
      </c>
      <c r="I564" s="157">
        <f>F279</f>
        <v/>
      </c>
      <c r="J564" s="177">
        <f>J279</f>
        <v/>
      </c>
      <c r="K564" s="156">
        <f>IF(AND(F564=0,I564=0),"",IF(F564&gt;I564,B564&amp;E564,IF(F564&lt;I564,B564&amp;H564,"Tie")))</f>
        <v/>
      </c>
      <c r="L564" s="156">
        <f>IFERROR(IF(AND(B564&lt;$L$1,F564&gt;I564),"Win",IF(AND(B564&lt;$L$1,F564&lt;I564),"Loss","")),"")</f>
        <v/>
      </c>
      <c r="M564" s="156">
        <f>IF(B564&lt;_CurWeek,"In","")</f>
        <v/>
      </c>
      <c r="N564" s="156">
        <f>IF(M564="In",E564&amp;G564,"")</f>
        <v/>
      </c>
      <c r="O564" s="156">
        <f>IF(L564="Win",1,0)</f>
        <v/>
      </c>
    </row>
    <row r="565" ht="14.4" customHeight="1" s="152">
      <c r="A565" s="167">
        <f>B565&amp;E565</f>
        <v/>
      </c>
      <c r="B565" s="174">
        <f>B280</f>
        <v/>
      </c>
      <c r="C565" s="174">
        <f>C280</f>
        <v/>
      </c>
      <c r="D565" s="175">
        <f>D280</f>
        <v/>
      </c>
      <c r="E565" s="176">
        <f>H280</f>
        <v/>
      </c>
      <c r="F565" s="157">
        <f>I280</f>
        <v/>
      </c>
      <c r="G565" s="174" t="inlineStr">
        <is>
          <t>Home</t>
        </is>
      </c>
      <c r="H565" s="176">
        <f>E280</f>
        <v/>
      </c>
      <c r="I565" s="157">
        <f>F280</f>
        <v/>
      </c>
      <c r="J565" s="177">
        <f>J280</f>
        <v/>
      </c>
      <c r="K565" s="156">
        <f>IF(AND(F565=0,I565=0),"",IF(F565&gt;I565,B565&amp;E565,IF(F565&lt;I565,B565&amp;H565,"Tie")))</f>
        <v/>
      </c>
      <c r="L565" s="156">
        <f>IFERROR(IF(AND(B565&lt;$L$1,F565&gt;I565),"Win",IF(AND(B565&lt;$L$1,F565&lt;I565),"Loss","")),"")</f>
        <v/>
      </c>
      <c r="M565" s="156">
        <f>IF(B565&lt;_CurWeek,"In","")</f>
        <v/>
      </c>
      <c r="N565" s="156">
        <f>IF(M565="In",E565&amp;G565,"")</f>
        <v/>
      </c>
      <c r="O565" s="156">
        <f>IF(L565="Win",1,0)</f>
        <v/>
      </c>
    </row>
    <row r="566" ht="14.4" customHeight="1" s="152">
      <c r="A566" s="167">
        <f>B566&amp;E566</f>
        <v/>
      </c>
      <c r="B566" s="174">
        <f>B281</f>
        <v/>
      </c>
      <c r="C566" s="174">
        <f>C281</f>
        <v/>
      </c>
      <c r="D566" s="175">
        <f>D281</f>
        <v/>
      </c>
      <c r="E566" s="176">
        <f>H281</f>
        <v/>
      </c>
      <c r="F566" s="157">
        <f>I281</f>
        <v/>
      </c>
      <c r="G566" s="174" t="inlineStr">
        <is>
          <t>Home</t>
        </is>
      </c>
      <c r="H566" s="176">
        <f>E281</f>
        <v/>
      </c>
      <c r="I566" s="157">
        <f>F281</f>
        <v/>
      </c>
      <c r="J566" s="177">
        <f>J281</f>
        <v/>
      </c>
      <c r="K566" s="156">
        <f>IF(AND(F566=0,I566=0),"",IF(F566&gt;I566,B566&amp;E566,IF(F566&lt;I566,B566&amp;H566,"Tie")))</f>
        <v/>
      </c>
      <c r="L566" s="156">
        <f>IFERROR(IF(AND(B566&lt;$L$1,F566&gt;I566),"Win",IF(AND(B566&lt;$L$1,F566&lt;I566),"Loss","")),"")</f>
        <v/>
      </c>
      <c r="M566" s="156">
        <f>IF(B566&lt;_CurWeek,"In","")</f>
        <v/>
      </c>
      <c r="N566" s="156">
        <f>IF(M566="In",E566&amp;G566,"")</f>
        <v/>
      </c>
      <c r="O566" s="156">
        <f>IF(L566="Win",1,0)</f>
        <v/>
      </c>
    </row>
    <row r="567" ht="14.4" customHeight="1" s="152">
      <c r="A567" s="167">
        <f>B567&amp;E567</f>
        <v/>
      </c>
      <c r="B567" s="174">
        <f>B282</f>
        <v/>
      </c>
      <c r="C567" s="174">
        <f>C282</f>
        <v/>
      </c>
      <c r="D567" s="175">
        <f>D282</f>
        <v/>
      </c>
      <c r="E567" s="176">
        <f>H282</f>
        <v/>
      </c>
      <c r="F567" s="157">
        <f>I282</f>
        <v/>
      </c>
      <c r="G567" s="174" t="inlineStr">
        <is>
          <t>Home</t>
        </is>
      </c>
      <c r="H567" s="176">
        <f>E282</f>
        <v/>
      </c>
      <c r="I567" s="157">
        <f>F282</f>
        <v/>
      </c>
      <c r="J567" s="177">
        <f>J282</f>
        <v/>
      </c>
      <c r="K567" s="156">
        <f>IF(AND(F567=0,I567=0),"",IF(F567&gt;I567,B567&amp;E567,IF(F567&lt;I567,B567&amp;H567,"Tie")))</f>
        <v/>
      </c>
      <c r="L567" s="156">
        <f>IFERROR(IF(AND(B567&lt;$L$1,F567&gt;I567),"Win",IF(AND(B567&lt;$L$1,F567&lt;I567),"Loss","")),"")</f>
        <v/>
      </c>
      <c r="M567" s="156">
        <f>IF(B567&lt;_CurWeek,"In","")</f>
        <v/>
      </c>
      <c r="N567" s="156">
        <f>IF(M567="In",E567&amp;G567,"")</f>
        <v/>
      </c>
      <c r="O567" s="156">
        <f>IF(L567="Win",1,0)</f>
        <v/>
      </c>
    </row>
    <row r="568" ht="14.4" customHeight="1" s="152">
      <c r="A568" s="167">
        <f>B568&amp;E568</f>
        <v/>
      </c>
      <c r="B568" s="174">
        <f>B283</f>
        <v/>
      </c>
      <c r="C568" s="174">
        <f>C283</f>
        <v/>
      </c>
      <c r="D568" s="175">
        <f>D283</f>
        <v/>
      </c>
      <c r="E568" s="176">
        <f>H283</f>
        <v/>
      </c>
      <c r="F568" s="157">
        <f>I283</f>
        <v/>
      </c>
      <c r="G568" s="174" t="inlineStr">
        <is>
          <t>Home</t>
        </is>
      </c>
      <c r="H568" s="176">
        <f>E283</f>
        <v/>
      </c>
      <c r="I568" s="157">
        <f>F283</f>
        <v/>
      </c>
      <c r="J568" s="177">
        <f>J283</f>
        <v/>
      </c>
      <c r="K568" s="156">
        <f>IF(AND(F568=0,I568=0),"",IF(F568&gt;I568,B568&amp;E568,IF(F568&lt;I568,B568&amp;H568,"Tie")))</f>
        <v/>
      </c>
      <c r="L568" s="156">
        <f>IFERROR(IF(AND(B568&lt;$L$1,F568&gt;I568),"Win",IF(AND(B568&lt;$L$1,F568&lt;I568),"Loss","")),"")</f>
        <v/>
      </c>
      <c r="M568" s="156">
        <f>IF(B568&lt;_CurWeek,"In","")</f>
        <v/>
      </c>
      <c r="N568" s="156">
        <f>IF(M568="In",E568&amp;G568,"")</f>
        <v/>
      </c>
      <c r="O568" s="156">
        <f>IF(L568="Win",1,0)</f>
        <v/>
      </c>
    </row>
    <row r="569" ht="14.4" customHeight="1" s="152">
      <c r="A569" s="167">
        <f>B569&amp;E569</f>
        <v/>
      </c>
      <c r="B569" s="174">
        <f>B284</f>
        <v/>
      </c>
      <c r="C569" s="174">
        <f>C284</f>
        <v/>
      </c>
      <c r="D569" s="175">
        <f>D284</f>
        <v/>
      </c>
      <c r="E569" s="176">
        <f>H284</f>
        <v/>
      </c>
      <c r="F569" s="157">
        <f>I284</f>
        <v/>
      </c>
      <c r="G569" s="174" t="inlineStr">
        <is>
          <t>Home</t>
        </is>
      </c>
      <c r="H569" s="176">
        <f>E284</f>
        <v/>
      </c>
      <c r="I569" s="157">
        <f>F284</f>
        <v/>
      </c>
      <c r="J569" s="177">
        <f>J284</f>
        <v/>
      </c>
      <c r="K569" s="156">
        <f>IF(AND(F569=0,I569=0),"",IF(F569&gt;I569,B569&amp;E569,IF(F569&lt;I569,B569&amp;H569,"Tie")))</f>
        <v/>
      </c>
      <c r="L569" s="156">
        <f>IFERROR(IF(AND(B569&lt;$L$1,F569&gt;I569),"Win",IF(AND(B569&lt;$L$1,F569&lt;I569),"Loss","")),"")</f>
        <v/>
      </c>
      <c r="M569" s="156">
        <f>IF(B569&lt;_CurWeek,"In","")</f>
        <v/>
      </c>
      <c r="N569" s="156">
        <f>IF(M569="In",E569&amp;G569,"")</f>
        <v/>
      </c>
      <c r="O569" s="156">
        <f>IF(L569="Win",1,0)</f>
        <v/>
      </c>
    </row>
    <row r="570" ht="14.4" customHeight="1" s="152">
      <c r="A570" s="167">
        <f>B570&amp;E570</f>
        <v/>
      </c>
      <c r="B570" s="174">
        <f>B285</f>
        <v/>
      </c>
      <c r="C570" s="174">
        <f>C285</f>
        <v/>
      </c>
      <c r="D570" s="175">
        <f>D285</f>
        <v/>
      </c>
      <c r="E570" s="176">
        <f>H285</f>
        <v/>
      </c>
      <c r="F570" s="157">
        <f>I285</f>
        <v/>
      </c>
      <c r="G570" s="174" t="inlineStr">
        <is>
          <t>Home</t>
        </is>
      </c>
      <c r="H570" s="176">
        <f>E285</f>
        <v/>
      </c>
      <c r="I570" s="157">
        <f>F285</f>
        <v/>
      </c>
      <c r="J570" s="177">
        <f>J285</f>
        <v/>
      </c>
    </row>
    <row r="571" ht="14.4" customHeight="1" s="152">
      <c r="A571" s="167">
        <f>B571&amp;E571</f>
        <v/>
      </c>
      <c r="B571" s="174">
        <f>B286</f>
        <v/>
      </c>
      <c r="C571" s="174">
        <f>C286</f>
        <v/>
      </c>
      <c r="D571" s="175">
        <f>D286</f>
        <v/>
      </c>
      <c r="E571" s="176">
        <f>H286</f>
        <v/>
      </c>
      <c r="F571" s="157">
        <f>I286</f>
        <v/>
      </c>
      <c r="G571" s="174" t="inlineStr">
        <is>
          <t>Away</t>
        </is>
      </c>
      <c r="H571" s="176">
        <f>E286</f>
        <v/>
      </c>
      <c r="I571" s="157">
        <f>F286</f>
        <v/>
      </c>
      <c r="J571" s="177">
        <f>J286</f>
        <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tabColor rgb="FFFFD966"/>
    <outlinePr summaryBelow="1" summaryRight="1"/>
    <pageSetUpPr fitToPage="0"/>
  </sheetPr>
  <dimension ref="A1:Y545"/>
  <sheetViews>
    <sheetView showFormulas="0" showGridLines="0"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B33" activeCellId="0" sqref="B33"/>
    </sheetView>
  </sheetViews>
  <sheetFormatPr baseColWidth="8" defaultColWidth="8.796875" defaultRowHeight="14.4" zeroHeight="0" outlineLevelRow="0"/>
  <cols>
    <col width="27.45" customWidth="1" style="156" min="1" max="1"/>
    <col width="10.12" customWidth="1" style="157" min="2" max="2"/>
    <col width="7.11" customWidth="1" style="157" min="3" max="3"/>
    <col width="17.11" customWidth="1" style="158" min="4" max="4"/>
    <col width="28.45" customWidth="1" style="157" min="5" max="5"/>
    <col width="8.56" customWidth="1" style="157" min="6" max="6"/>
    <col width="12.66" customWidth="1" style="157" min="7" max="7"/>
    <col width="28.45" customWidth="1" style="157" min="8" max="8"/>
    <col width="8.44" customWidth="1" style="156" min="9" max="9"/>
    <col width="13.43" customWidth="1" style="156" min="10" max="10"/>
    <col width="25.11" customWidth="1" style="156" min="11" max="11"/>
    <col width="48.55" customWidth="1" style="156" min="13" max="13"/>
    <col width="8" customWidth="1" style="156" min="14" max="14"/>
    <col width="8.33" customWidth="1" style="156" min="16" max="16"/>
    <col width="13.43" customWidth="1" style="156" min="17" max="17"/>
    <col width="4.1" customWidth="1" style="156" min="18" max="18"/>
    <col width="18.33" customWidth="1" style="156" min="19" max="19"/>
    <col width="9.66" customWidth="1" style="156" min="20" max="20"/>
  </cols>
  <sheetData>
    <row r="1" ht="27.6" customHeight="1" s="152">
      <c r="A1" s="159" t="n"/>
      <c r="B1" s="160" t="inlineStr">
        <is>
          <t>Week</t>
        </is>
      </c>
      <c r="C1" s="161" t="inlineStr">
        <is>
          <t>Day</t>
        </is>
      </c>
      <c r="D1" s="161" t="inlineStr">
        <is>
          <t>Date</t>
        </is>
      </c>
      <c r="E1" s="162" t="inlineStr">
        <is>
          <t>Team</t>
        </is>
      </c>
      <c r="F1" s="163" t="inlineStr">
        <is>
          <t>Team PTS</t>
        </is>
      </c>
      <c r="G1" s="161" t="inlineStr">
        <is>
          <t>Home or Away</t>
        </is>
      </c>
      <c r="H1" s="161" t="inlineStr">
        <is>
          <t>Opposing Team</t>
        </is>
      </c>
      <c r="I1" s="163" t="inlineStr">
        <is>
          <t>OPP PTS</t>
        </is>
      </c>
      <c r="J1" s="161" t="inlineStr">
        <is>
          <t>Time</t>
        </is>
      </c>
      <c r="K1" s="164" t="inlineStr">
        <is>
          <t>WinString</t>
        </is>
      </c>
      <c r="L1" s="165">
        <f>2025Schedule!L1</f>
        <v/>
      </c>
      <c r="M1" s="166" t="inlineStr">
        <is>
          <t xml:space="preserve"> &lt;-- Should be the Current Week Number</t>
        </is>
      </c>
      <c r="O1" s="156" t="inlineStr">
        <is>
          <t>Win Count</t>
        </is>
      </c>
    </row>
    <row r="2" ht="14.4" customHeight="1" s="152">
      <c r="A2" s="167">
        <f>B2&amp;E2</f>
        <v/>
      </c>
      <c r="B2" s="168">
        <f>2025Schedule!B2</f>
        <v/>
      </c>
      <c r="C2" s="168">
        <f>2025Schedule!C2</f>
        <v/>
      </c>
      <c r="D2" s="168">
        <f>2025Schedule!D2</f>
        <v/>
      </c>
      <c r="E2" s="168">
        <f>2025Schedule!E2</f>
        <v/>
      </c>
      <c r="F2" s="168">
        <f>2025Schedule!F2</f>
        <v/>
      </c>
      <c r="G2" s="168">
        <f>2025Schedule!G2</f>
        <v/>
      </c>
      <c r="H2" s="168">
        <f>2025Schedule!H2</f>
        <v/>
      </c>
      <c r="I2" s="168">
        <f>2025Schedule!I2</f>
        <v/>
      </c>
      <c r="J2" s="168">
        <f>2025Schedule!J2</f>
        <v/>
      </c>
      <c r="K2" s="156">
        <f>IF(AND(F2=0,I2=0),"",IF(F2&gt;I2,B2&amp;E2,IF(F2&lt;I2,B2&amp;H2,"Tie")))</f>
        <v/>
      </c>
      <c r="L2" s="156">
        <f>IFERROR(IF(AND(B2&lt;$L$1,F2&gt;I2),"Win",IF(AND(B2&lt;$L$1,F2&lt;I2),"Loss","")),"")</f>
        <v/>
      </c>
      <c r="M2" s="156">
        <f>IF(B2&lt;_CurWeek,"In","")</f>
        <v/>
      </c>
      <c r="N2" s="156">
        <f>IF(M2="In",E2&amp;G2,"")</f>
        <v/>
      </c>
      <c r="O2" s="156">
        <f>IF(L2="Win",1,0)</f>
        <v/>
      </c>
      <c r="S2" s="178" t="n"/>
      <c r="U2" s="172" t="n"/>
      <c r="Y2" s="172" t="n"/>
    </row>
    <row r="3" ht="14.4" customHeight="1" s="152">
      <c r="A3" s="167">
        <f>B3&amp;E3</f>
        <v/>
      </c>
      <c r="B3" s="168">
        <f>2025Schedule!B3</f>
        <v/>
      </c>
      <c r="C3" s="168">
        <f>2025Schedule!C3</f>
        <v/>
      </c>
      <c r="D3" s="168">
        <f>2025Schedule!D3</f>
        <v/>
      </c>
      <c r="E3" s="168">
        <f>2025Schedule!E3</f>
        <v/>
      </c>
      <c r="F3" s="168">
        <f>2025Schedule!F3</f>
        <v/>
      </c>
      <c r="G3" s="168">
        <f>2025Schedule!G3</f>
        <v/>
      </c>
      <c r="H3" s="168">
        <f>2025Schedule!H3</f>
        <v/>
      </c>
      <c r="I3" s="168">
        <f>2025Schedule!I3</f>
        <v/>
      </c>
      <c r="J3" s="168">
        <f>2025Schedule!J3</f>
        <v/>
      </c>
      <c r="K3" s="156">
        <f>IF(AND(F3=0,I3=0),"",IF(F3&gt;I3,B3&amp;E3,IF(F3&lt;I3,B3&amp;H3,"Tie")))</f>
        <v/>
      </c>
      <c r="L3" s="156">
        <f>IFERROR(IF(AND(B3&lt;$L$1,F3&gt;I3),"Win",IF(AND(B3&lt;$L$1,F3&lt;I3),"Loss","")),"")</f>
        <v/>
      </c>
      <c r="M3" s="156">
        <f>IF(B3&lt;_CurWeek,"In","")</f>
        <v/>
      </c>
      <c r="N3" s="156">
        <f>IF(M3="In",E3&amp;G3,"")</f>
        <v/>
      </c>
      <c r="O3" s="156">
        <f>IF(L3="Win",1,0)</f>
        <v/>
      </c>
      <c r="S3" s="178" t="n"/>
      <c r="U3" s="172" t="n"/>
      <c r="Y3" s="172" t="n"/>
    </row>
    <row r="4" ht="14.4" customHeight="1" s="152">
      <c r="A4" s="167">
        <f>B4&amp;E4</f>
        <v/>
      </c>
      <c r="B4" s="168">
        <f>2025Schedule!B4</f>
        <v/>
      </c>
      <c r="C4" s="168">
        <f>2025Schedule!C4</f>
        <v/>
      </c>
      <c r="D4" s="168">
        <f>2025Schedule!D4</f>
        <v/>
      </c>
      <c r="E4" s="168">
        <f>2025Schedule!E4</f>
        <v/>
      </c>
      <c r="F4" s="168">
        <f>2025Schedule!F4</f>
        <v/>
      </c>
      <c r="G4" s="168">
        <f>2025Schedule!G4</f>
        <v/>
      </c>
      <c r="H4" s="168">
        <f>2025Schedule!H4</f>
        <v/>
      </c>
      <c r="I4" s="168">
        <f>2025Schedule!I4</f>
        <v/>
      </c>
      <c r="J4" s="168">
        <f>2025Schedule!J4</f>
        <v/>
      </c>
      <c r="K4" s="156">
        <f>IF(AND(F4=0,I4=0),"",IF(F4&gt;I4,B4&amp;E4,IF(F4&lt;I4,B4&amp;H4,"Tie")))</f>
        <v/>
      </c>
      <c r="L4" s="156">
        <f>IFERROR(IF(AND(B4&lt;$L$1,F4&gt;I4),"Win",IF(AND(B4&lt;$L$1,F4&lt;I4),"Loss","")),"")</f>
        <v/>
      </c>
      <c r="M4" s="156">
        <f>IF(B4&lt;_CurWeek,"In","")</f>
        <v/>
      </c>
      <c r="N4" s="156">
        <f>IF(M4="In",E4&amp;G4,"")</f>
        <v/>
      </c>
      <c r="O4" s="156">
        <f>IF(L4="Win",1,0)</f>
        <v/>
      </c>
      <c r="S4" s="178" t="n"/>
      <c r="U4" s="172" t="n"/>
      <c r="Y4" s="172" t="n"/>
    </row>
    <row r="5" ht="14.4" customHeight="1" s="152">
      <c r="A5" s="167">
        <f>B5&amp;E5</f>
        <v/>
      </c>
      <c r="B5" s="168">
        <f>2025Schedule!B5</f>
        <v/>
      </c>
      <c r="C5" s="168">
        <f>2025Schedule!C5</f>
        <v/>
      </c>
      <c r="D5" s="168">
        <f>2025Schedule!D5</f>
        <v/>
      </c>
      <c r="E5" s="168">
        <f>2025Schedule!E5</f>
        <v/>
      </c>
      <c r="F5" s="168">
        <f>2025Schedule!F5</f>
        <v/>
      </c>
      <c r="G5" s="168">
        <f>2025Schedule!G5</f>
        <v/>
      </c>
      <c r="H5" s="168">
        <f>2025Schedule!H5</f>
        <v/>
      </c>
      <c r="I5" s="168">
        <f>2025Schedule!I5</f>
        <v/>
      </c>
      <c r="J5" s="168">
        <f>2025Schedule!J5</f>
        <v/>
      </c>
      <c r="K5" s="156">
        <f>IF(AND(F5=0,I5=0),"",IF(F5&gt;I5,B5&amp;E5,IF(F5&lt;I5,B5&amp;H5,"Tie")))</f>
        <v/>
      </c>
      <c r="L5" s="156">
        <f>IFERROR(IF(AND(B5&lt;$L$1,F5&gt;I5),"Win",IF(AND(B5&lt;$L$1,F5&lt;I5),"Loss","")),"")</f>
        <v/>
      </c>
      <c r="M5" s="156">
        <f>IF(B5&lt;_CurWeek,"In","")</f>
        <v/>
      </c>
      <c r="N5" s="156">
        <f>IF(M5="In",E5&amp;G5,"")</f>
        <v/>
      </c>
      <c r="O5" s="156">
        <f>IF(L5="Win",1,0)</f>
        <v/>
      </c>
      <c r="S5" s="178" t="n"/>
      <c r="U5" s="172" t="n"/>
      <c r="Y5" s="172" t="n"/>
    </row>
    <row r="6" ht="14.4" customHeight="1" s="152">
      <c r="A6" s="167">
        <f>B6&amp;E6</f>
        <v/>
      </c>
      <c r="B6" s="168">
        <f>2025Schedule!B6</f>
        <v/>
      </c>
      <c r="C6" s="168">
        <f>2025Schedule!C6</f>
        <v/>
      </c>
      <c r="D6" s="168">
        <f>2025Schedule!D6</f>
        <v/>
      </c>
      <c r="E6" s="168">
        <f>2025Schedule!E6</f>
        <v/>
      </c>
      <c r="F6" s="168">
        <f>2025Schedule!F6</f>
        <v/>
      </c>
      <c r="G6" s="168">
        <f>2025Schedule!G6</f>
        <v/>
      </c>
      <c r="H6" s="168">
        <f>2025Schedule!H6</f>
        <v/>
      </c>
      <c r="I6" s="168">
        <f>2025Schedule!I6</f>
        <v/>
      </c>
      <c r="J6" s="168">
        <f>2025Schedule!J6</f>
        <v/>
      </c>
      <c r="K6" s="156">
        <f>IF(AND(F6=0,I6=0),"",IF(F6&gt;I6,B6&amp;E6,IF(F6&lt;I6,B6&amp;H6,"Tie")))</f>
        <v/>
      </c>
      <c r="L6" s="156">
        <f>IFERROR(IF(AND(B6&lt;$L$1,F6&gt;I6),"Win",IF(AND(B6&lt;$L$1,F6&lt;I6),"Loss","")),"")</f>
        <v/>
      </c>
      <c r="M6" s="156">
        <f>IF(B6&lt;_CurWeek,"In","")</f>
        <v/>
      </c>
      <c r="N6" s="156">
        <f>IF(M6="In",E6&amp;G6,"")</f>
        <v/>
      </c>
      <c r="O6" s="156">
        <f>IF(L6="Win",1,0)</f>
        <v/>
      </c>
      <c r="S6" s="178" t="n"/>
      <c r="U6" s="172" t="n"/>
      <c r="Y6" s="172" t="n"/>
    </row>
    <row r="7" ht="14.4" customHeight="1" s="152">
      <c r="A7" s="167">
        <f>B7&amp;E7</f>
        <v/>
      </c>
      <c r="B7" s="168">
        <f>2025Schedule!B7</f>
        <v/>
      </c>
      <c r="C7" s="168">
        <f>2025Schedule!C7</f>
        <v/>
      </c>
      <c r="D7" s="168">
        <f>2025Schedule!D7</f>
        <v/>
      </c>
      <c r="E7" s="168">
        <f>2025Schedule!E7</f>
        <v/>
      </c>
      <c r="F7" s="168">
        <f>2025Schedule!F7</f>
        <v/>
      </c>
      <c r="G7" s="168">
        <f>2025Schedule!G7</f>
        <v/>
      </c>
      <c r="H7" s="168">
        <f>2025Schedule!H7</f>
        <v/>
      </c>
      <c r="I7" s="168">
        <f>2025Schedule!I7</f>
        <v/>
      </c>
      <c r="J7" s="168">
        <f>2025Schedule!J7</f>
        <v/>
      </c>
      <c r="K7" s="156">
        <f>IF(AND(F7=0,I7=0),"",IF(F7&gt;I7,B7&amp;E7,IF(F7&lt;I7,B7&amp;H7,"Tie")))</f>
        <v/>
      </c>
      <c r="L7" s="156">
        <f>IFERROR(IF(AND(B7&lt;$L$1,F7&gt;I7),"Win",IF(AND(B7&lt;$L$1,F7&lt;I7),"Loss","")),"")</f>
        <v/>
      </c>
      <c r="M7" s="156">
        <f>IF(B7&lt;_CurWeek,"In","")</f>
        <v/>
      </c>
      <c r="N7" s="156">
        <f>IF(M7="In",E7&amp;G7,"")</f>
        <v/>
      </c>
      <c r="O7" s="156">
        <f>IF(L7="Win",1,0)</f>
        <v/>
      </c>
      <c r="S7" s="178" t="n"/>
      <c r="U7" s="172" t="n"/>
      <c r="Y7" s="172" t="n"/>
    </row>
    <row r="8" ht="14.4" customHeight="1" s="152">
      <c r="A8" s="167">
        <f>B8&amp;E8</f>
        <v/>
      </c>
      <c r="B8" s="168">
        <f>2025Schedule!B8</f>
        <v/>
      </c>
      <c r="C8" s="168">
        <f>2025Schedule!C8</f>
        <v/>
      </c>
      <c r="D8" s="168">
        <f>2025Schedule!D8</f>
        <v/>
      </c>
      <c r="E8" s="168">
        <f>2025Schedule!E8</f>
        <v/>
      </c>
      <c r="F8" s="168">
        <f>2025Schedule!F8</f>
        <v/>
      </c>
      <c r="G8" s="168">
        <f>2025Schedule!G8</f>
        <v/>
      </c>
      <c r="H8" s="168">
        <f>2025Schedule!H8</f>
        <v/>
      </c>
      <c r="I8" s="168">
        <f>2025Schedule!I8</f>
        <v/>
      </c>
      <c r="J8" s="168">
        <f>2025Schedule!J8</f>
        <v/>
      </c>
      <c r="K8" s="156">
        <f>IF(AND(F8=0,I8=0),"",IF(F8&gt;I8,B8&amp;E8,IF(F8&lt;I8,B8&amp;H8,"Tie")))</f>
        <v/>
      </c>
      <c r="L8" s="156">
        <f>IFERROR(IF(AND(B8&lt;$L$1,F8&gt;I8),"Win",IF(AND(B8&lt;$L$1,F8&lt;I8),"Loss","")),"")</f>
        <v/>
      </c>
      <c r="M8" s="156">
        <f>IF(B8&lt;_CurWeek,"In","")</f>
        <v/>
      </c>
      <c r="N8" s="156">
        <f>IF(M8="In",E8&amp;G8,"")</f>
        <v/>
      </c>
      <c r="O8" s="156">
        <f>IF(L8="Win",1,0)</f>
        <v/>
      </c>
      <c r="S8" s="178" t="n"/>
      <c r="U8" s="172" t="n"/>
      <c r="Y8" s="172" t="n"/>
    </row>
    <row r="9" ht="14.4" customHeight="1" s="152">
      <c r="A9" s="167">
        <f>B9&amp;E9</f>
        <v/>
      </c>
      <c r="B9" s="168">
        <f>2025Schedule!B9</f>
        <v/>
      </c>
      <c r="C9" s="168">
        <f>2025Schedule!C9</f>
        <v/>
      </c>
      <c r="D9" s="168">
        <f>2025Schedule!D9</f>
        <v/>
      </c>
      <c r="E9" s="168">
        <f>2025Schedule!E9</f>
        <v/>
      </c>
      <c r="F9" s="168">
        <f>2025Schedule!F9</f>
        <v/>
      </c>
      <c r="G9" s="168">
        <f>2025Schedule!G9</f>
        <v/>
      </c>
      <c r="H9" s="168">
        <f>2025Schedule!H9</f>
        <v/>
      </c>
      <c r="I9" s="168">
        <f>2025Schedule!I9</f>
        <v/>
      </c>
      <c r="J9" s="168">
        <f>2025Schedule!J9</f>
        <v/>
      </c>
      <c r="K9" s="156">
        <f>IF(AND(F9=0,I9=0),"",IF(F9&gt;I9,B9&amp;E9,IF(F9&lt;I9,B9&amp;H9,"Tie")))</f>
        <v/>
      </c>
      <c r="L9" s="156">
        <f>IFERROR(IF(AND(B9&lt;$L$1,F9&gt;I9),"Win",IF(AND(B9&lt;$L$1,F9&lt;I9),"Loss","")),"")</f>
        <v/>
      </c>
      <c r="M9" s="156">
        <f>IF(B9&lt;_CurWeek,"In","")</f>
        <v/>
      </c>
      <c r="N9" s="156">
        <f>IF(M9="In",E9&amp;G9,"")</f>
        <v/>
      </c>
      <c r="O9" s="156">
        <f>IF(L9="Win",1,0)</f>
        <v/>
      </c>
      <c r="S9" s="178" t="n"/>
      <c r="U9" s="172" t="n"/>
      <c r="Y9" s="172" t="n"/>
    </row>
    <row r="10" ht="14.4" customHeight="1" s="152">
      <c r="A10" s="167">
        <f>B10&amp;E10</f>
        <v/>
      </c>
      <c r="B10" s="168">
        <f>2025Schedule!B10</f>
        <v/>
      </c>
      <c r="C10" s="168">
        <f>2025Schedule!C10</f>
        <v/>
      </c>
      <c r="D10" s="168">
        <f>2025Schedule!D10</f>
        <v/>
      </c>
      <c r="E10" s="168">
        <f>2025Schedule!E10</f>
        <v/>
      </c>
      <c r="F10" s="168">
        <f>2025Schedule!F10</f>
        <v/>
      </c>
      <c r="G10" s="168">
        <f>2025Schedule!G10</f>
        <v/>
      </c>
      <c r="H10" s="168">
        <f>2025Schedule!H10</f>
        <v/>
      </c>
      <c r="I10" s="168">
        <f>2025Schedule!I10</f>
        <v/>
      </c>
      <c r="J10" s="168">
        <f>2025Schedule!J10</f>
        <v/>
      </c>
      <c r="K10" s="156">
        <f>IF(AND(F10=0,I10=0),"",IF(F10&gt;I10,B10&amp;E10,IF(F10&lt;I10,B10&amp;H10,"Tie")))</f>
        <v/>
      </c>
      <c r="L10" s="156">
        <f>IFERROR(IF(AND(B10&lt;$L$1,F10&gt;I10),"Win",IF(AND(B10&lt;$L$1,F10&lt;I10),"Loss","")),"")</f>
        <v/>
      </c>
      <c r="M10" s="156">
        <f>IF(B10&lt;_CurWeek,"In","")</f>
        <v/>
      </c>
      <c r="N10" s="156">
        <f>IF(M10="In",E10&amp;G10,"")</f>
        <v/>
      </c>
      <c r="O10" s="156">
        <f>IF(L10="Win",1,0)</f>
        <v/>
      </c>
      <c r="S10" s="178" t="n"/>
      <c r="U10" s="172" t="n"/>
      <c r="Y10" s="172" t="n"/>
    </row>
    <row r="11" ht="14.4" customHeight="1" s="152">
      <c r="A11" s="167">
        <f>B11&amp;E11</f>
        <v/>
      </c>
      <c r="B11" s="168">
        <f>2025Schedule!B11</f>
        <v/>
      </c>
      <c r="C11" s="168">
        <f>2025Schedule!C11</f>
        <v/>
      </c>
      <c r="D11" s="168">
        <f>2025Schedule!D11</f>
        <v/>
      </c>
      <c r="E11" s="168">
        <f>2025Schedule!E11</f>
        <v/>
      </c>
      <c r="F11" s="168">
        <f>2025Schedule!F11</f>
        <v/>
      </c>
      <c r="G11" s="168">
        <f>2025Schedule!G11</f>
        <v/>
      </c>
      <c r="H11" s="168">
        <f>2025Schedule!H11</f>
        <v/>
      </c>
      <c r="I11" s="168">
        <f>2025Schedule!I11</f>
        <v/>
      </c>
      <c r="J11" s="168">
        <f>2025Schedule!J11</f>
        <v/>
      </c>
      <c r="K11" s="156">
        <f>IF(AND(F11=0,I11=0),"",IF(F11&gt;I11,B11&amp;E11,IF(F11&lt;I11,B11&amp;H11,"Tie")))</f>
        <v/>
      </c>
      <c r="L11" s="156">
        <f>IFERROR(IF(AND(B11&lt;$L$1,F11&gt;I11),"Win",IF(AND(B11&lt;$L$1,F11&lt;I11),"Loss","")),"")</f>
        <v/>
      </c>
      <c r="M11" s="156">
        <f>IF(B11&lt;_CurWeek,"In","")</f>
        <v/>
      </c>
      <c r="N11" s="156">
        <f>IF(M11="In",E11&amp;G11,"")</f>
        <v/>
      </c>
      <c r="O11" s="156">
        <f>IF(L11="Win",1,0)</f>
        <v/>
      </c>
      <c r="S11" s="178" t="n"/>
      <c r="U11" s="172" t="n"/>
      <c r="Y11" s="172" t="n"/>
    </row>
    <row r="12" ht="14.4" customHeight="1" s="152">
      <c r="A12" s="167">
        <f>B12&amp;E12</f>
        <v/>
      </c>
      <c r="B12" s="168">
        <f>2025Schedule!B12</f>
        <v/>
      </c>
      <c r="C12" s="168">
        <f>2025Schedule!C12</f>
        <v/>
      </c>
      <c r="D12" s="168">
        <f>2025Schedule!D12</f>
        <v/>
      </c>
      <c r="E12" s="168">
        <f>2025Schedule!E12</f>
        <v/>
      </c>
      <c r="F12" s="168">
        <f>2025Schedule!F12</f>
        <v/>
      </c>
      <c r="G12" s="168">
        <f>2025Schedule!G12</f>
        <v/>
      </c>
      <c r="H12" s="168">
        <f>2025Schedule!H12</f>
        <v/>
      </c>
      <c r="I12" s="168">
        <f>2025Schedule!I12</f>
        <v/>
      </c>
      <c r="J12" s="168">
        <f>2025Schedule!J12</f>
        <v/>
      </c>
      <c r="K12" s="156">
        <f>IF(AND(F12=0,I12=0),"",IF(F12&gt;I12,B12&amp;E12,IF(F12&lt;I12,B12&amp;H12,"Tie")))</f>
        <v/>
      </c>
      <c r="L12" s="156">
        <f>IFERROR(IF(AND(B12&lt;$L$1,F12&gt;I12),"Win",IF(AND(B12&lt;$L$1,F12&lt;I12),"Loss","")),"")</f>
        <v/>
      </c>
      <c r="M12" s="156">
        <f>IF(B12&lt;_CurWeek,"In","")</f>
        <v/>
      </c>
      <c r="N12" s="156">
        <f>IF(M12="In",E12&amp;G12,"")</f>
        <v/>
      </c>
      <c r="O12" s="156">
        <f>IF(L12="Win",1,0)</f>
        <v/>
      </c>
      <c r="S12" s="178" t="n"/>
      <c r="U12" s="172" t="n"/>
      <c r="Y12" s="172" t="n"/>
    </row>
    <row r="13" ht="14.4" customHeight="1" s="152">
      <c r="A13" s="167">
        <f>B13&amp;E13</f>
        <v/>
      </c>
      <c r="B13" s="168">
        <f>2025Schedule!B13</f>
        <v/>
      </c>
      <c r="C13" s="168">
        <f>2025Schedule!C13</f>
        <v/>
      </c>
      <c r="D13" s="168">
        <f>2025Schedule!D13</f>
        <v/>
      </c>
      <c r="E13" s="168">
        <f>2025Schedule!E13</f>
        <v/>
      </c>
      <c r="F13" s="168">
        <f>2025Schedule!F13</f>
        <v/>
      </c>
      <c r="G13" s="168">
        <f>2025Schedule!G13</f>
        <v/>
      </c>
      <c r="H13" s="168">
        <f>2025Schedule!H13</f>
        <v/>
      </c>
      <c r="I13" s="168">
        <f>2025Schedule!I13</f>
        <v/>
      </c>
      <c r="J13" s="168">
        <f>2025Schedule!J13</f>
        <v/>
      </c>
      <c r="K13" s="156">
        <f>IF(AND(F13=0,I13=0),"",IF(F13&gt;I13,B13&amp;E13,IF(F13&lt;I13,B13&amp;H13,"Tie")))</f>
        <v/>
      </c>
      <c r="L13" s="156">
        <f>IFERROR(IF(AND(B13&lt;$L$1,F13&gt;I13),"Win",IF(AND(B13&lt;$L$1,F13&lt;I13),"Loss","")),"")</f>
        <v/>
      </c>
      <c r="M13" s="156">
        <f>IF(B13&lt;_CurWeek,"In","")</f>
        <v/>
      </c>
      <c r="N13" s="156">
        <f>IF(M13="In",E13&amp;G13,"")</f>
        <v/>
      </c>
      <c r="O13" s="156">
        <f>IF(L13="Win",1,0)</f>
        <v/>
      </c>
      <c r="S13" s="178" t="n"/>
      <c r="U13" s="172" t="n"/>
      <c r="Y13" s="172" t="n"/>
    </row>
    <row r="14" ht="14.4" customHeight="1" s="152">
      <c r="A14" s="167">
        <f>B14&amp;E14</f>
        <v/>
      </c>
      <c r="B14" s="168">
        <f>2025Schedule!B14</f>
        <v/>
      </c>
      <c r="C14" s="168">
        <f>2025Schedule!C14</f>
        <v/>
      </c>
      <c r="D14" s="168">
        <f>2025Schedule!D14</f>
        <v/>
      </c>
      <c r="E14" s="168">
        <f>2025Schedule!E14</f>
        <v/>
      </c>
      <c r="F14" s="168">
        <f>2025Schedule!F14</f>
        <v/>
      </c>
      <c r="G14" s="168">
        <f>2025Schedule!G14</f>
        <v/>
      </c>
      <c r="H14" s="168">
        <f>2025Schedule!H14</f>
        <v/>
      </c>
      <c r="I14" s="168">
        <f>2025Schedule!I14</f>
        <v/>
      </c>
      <c r="J14" s="168">
        <f>2025Schedule!J14</f>
        <v/>
      </c>
      <c r="K14" s="156">
        <f>IF(AND(F14=0,I14=0),"",IF(F14&gt;I14,B14&amp;E14,IF(F14&lt;I14,B14&amp;H14,"Tie")))</f>
        <v/>
      </c>
      <c r="L14" s="156">
        <f>IFERROR(IF(AND(B14&lt;$L$1,F14&gt;I14),"Win",IF(AND(B14&lt;$L$1,F14&lt;I14),"Loss","")),"")</f>
        <v/>
      </c>
      <c r="M14" s="156">
        <f>IF(B14&lt;_CurWeek,"In","")</f>
        <v/>
      </c>
      <c r="N14" s="156">
        <f>IF(M14="In",E14&amp;G14,"")</f>
        <v/>
      </c>
      <c r="O14" s="156">
        <f>IF(L14="Win",1,0)</f>
        <v/>
      </c>
      <c r="S14" s="178" t="n"/>
      <c r="U14" s="172" t="n"/>
      <c r="Y14" s="172" t="n"/>
    </row>
    <row r="15" ht="14.4" customHeight="1" s="152">
      <c r="A15" s="167">
        <f>B15&amp;E15</f>
        <v/>
      </c>
      <c r="B15" s="168">
        <f>2025Schedule!B15</f>
        <v/>
      </c>
      <c r="C15" s="168">
        <f>2025Schedule!C15</f>
        <v/>
      </c>
      <c r="D15" s="168">
        <f>2025Schedule!D15</f>
        <v/>
      </c>
      <c r="E15" s="168">
        <f>2025Schedule!E15</f>
        <v/>
      </c>
      <c r="F15" s="168">
        <f>2025Schedule!F15</f>
        <v/>
      </c>
      <c r="G15" s="168">
        <f>2025Schedule!G15</f>
        <v/>
      </c>
      <c r="H15" s="168">
        <f>2025Schedule!H15</f>
        <v/>
      </c>
      <c r="I15" s="168">
        <f>2025Schedule!I15</f>
        <v/>
      </c>
      <c r="J15" s="168">
        <f>2025Schedule!J15</f>
        <v/>
      </c>
      <c r="K15" s="156">
        <f>IF(AND(F15=0,I15=0),"",IF(F15&gt;I15,B15&amp;E15,IF(F15&lt;I15,B15&amp;H15,"Tie")))</f>
        <v/>
      </c>
      <c r="L15" s="156">
        <f>IFERROR(IF(AND(B15&lt;$L$1,F15&gt;I15),"Win",IF(AND(B15&lt;$L$1,F15&lt;I15),"Loss","")),"")</f>
        <v/>
      </c>
      <c r="M15" s="156">
        <f>IF(B15&lt;_CurWeek,"In","")</f>
        <v/>
      </c>
      <c r="N15" s="156">
        <f>IF(M15="In",E15&amp;G15,"")</f>
        <v/>
      </c>
      <c r="O15" s="156">
        <f>IF(L15="Win",1,0)</f>
        <v/>
      </c>
      <c r="S15" s="178" t="n"/>
      <c r="U15" s="172" t="n"/>
      <c r="Y15" s="172" t="n"/>
    </row>
    <row r="16" ht="14.4" customHeight="1" s="152">
      <c r="A16" s="167">
        <f>B16&amp;E16</f>
        <v/>
      </c>
      <c r="B16" s="168">
        <f>2025Schedule!B16</f>
        <v/>
      </c>
      <c r="C16" s="168">
        <f>2025Schedule!C16</f>
        <v/>
      </c>
      <c r="D16" s="168">
        <f>2025Schedule!D16</f>
        <v/>
      </c>
      <c r="E16" s="168">
        <f>2025Schedule!E16</f>
        <v/>
      </c>
      <c r="F16" s="168">
        <f>2025Schedule!F16</f>
        <v/>
      </c>
      <c r="G16" s="168">
        <f>2025Schedule!G16</f>
        <v/>
      </c>
      <c r="H16" s="168">
        <f>2025Schedule!H16</f>
        <v/>
      </c>
      <c r="I16" s="168">
        <f>2025Schedule!I16</f>
        <v/>
      </c>
      <c r="J16" s="168">
        <f>2025Schedule!J16</f>
        <v/>
      </c>
      <c r="K16" s="156">
        <f>IF(AND(F16=0,I16=0),"",IF(F16&gt;I16,B16&amp;E16,IF(F16&lt;I16,B16&amp;H16,"Tie")))</f>
        <v/>
      </c>
      <c r="L16" s="156">
        <f>IFERROR(IF(AND(B16&lt;$L$1,F16&gt;I16),"Win",IF(AND(B16&lt;$L$1,F16&lt;I16),"Loss","")),"")</f>
        <v/>
      </c>
      <c r="M16" s="156">
        <f>IF(B16&lt;_CurWeek,"In","")</f>
        <v/>
      </c>
      <c r="N16" s="156">
        <f>IF(M16="In",E16&amp;G16,"")</f>
        <v/>
      </c>
      <c r="O16" s="156">
        <f>IF(L16="Win",1,0)</f>
        <v/>
      </c>
      <c r="S16" s="178" t="n"/>
      <c r="U16" s="172" t="n"/>
      <c r="Y16" s="172" t="n"/>
    </row>
    <row r="17" ht="14.4" customHeight="1" s="152">
      <c r="A17" s="167">
        <f>B17&amp;E17</f>
        <v/>
      </c>
      <c r="B17" s="168">
        <f>2025Schedule!B17</f>
        <v/>
      </c>
      <c r="C17" s="168">
        <f>2025Schedule!C17</f>
        <v/>
      </c>
      <c r="D17" s="168">
        <f>2025Schedule!D17</f>
        <v/>
      </c>
      <c r="E17" s="168">
        <f>2025Schedule!E17</f>
        <v/>
      </c>
      <c r="F17" s="168">
        <f>2025Schedule!F17</f>
        <v/>
      </c>
      <c r="G17" s="168">
        <f>2025Schedule!G17</f>
        <v/>
      </c>
      <c r="H17" s="168">
        <f>2025Schedule!H17</f>
        <v/>
      </c>
      <c r="I17" s="168">
        <f>2025Schedule!I17</f>
        <v/>
      </c>
      <c r="J17" s="168">
        <f>2025Schedule!J17</f>
        <v/>
      </c>
      <c r="K17" s="156">
        <f>IF(AND(F17=0,I17=0),"",IF(F17&gt;I17,B17&amp;E17,IF(F17&lt;I17,B17&amp;H17,"Tie")))</f>
        <v/>
      </c>
      <c r="L17" s="156">
        <f>IFERROR(IF(AND(B17&lt;$L$1,F17&gt;I17),"Win",IF(AND(B17&lt;$L$1,F17&lt;I17),"Loss","")),"")</f>
        <v/>
      </c>
      <c r="M17" s="156">
        <f>IF(B17&lt;_CurWeek,"In","")</f>
        <v/>
      </c>
      <c r="N17" s="156">
        <f>IF(M17="In",E17&amp;G17,"")</f>
        <v/>
      </c>
      <c r="O17" s="156">
        <f>IF(L17="Win",1,0)</f>
        <v/>
      </c>
      <c r="S17" s="178" t="n"/>
      <c r="U17" s="172" t="n"/>
      <c r="Y17" s="172" t="n"/>
    </row>
    <row r="18" ht="14.4" customHeight="1" s="152">
      <c r="A18" s="167">
        <f>B18&amp;E18</f>
        <v/>
      </c>
      <c r="B18" s="168">
        <f>2025Schedule!B18</f>
        <v/>
      </c>
      <c r="C18" s="168">
        <f>2025Schedule!C18</f>
        <v/>
      </c>
      <c r="D18" s="168">
        <f>2025Schedule!D18</f>
        <v/>
      </c>
      <c r="E18" s="168">
        <f>2025Schedule!E18</f>
        <v/>
      </c>
      <c r="F18" s="168">
        <f>2025Schedule!F18</f>
        <v/>
      </c>
      <c r="G18" s="168">
        <f>2025Schedule!G18</f>
        <v/>
      </c>
      <c r="H18" s="168">
        <f>2025Schedule!H18</f>
        <v/>
      </c>
      <c r="I18" s="168">
        <f>2025Schedule!I18</f>
        <v/>
      </c>
      <c r="J18" s="168">
        <f>2025Schedule!J18</f>
        <v/>
      </c>
      <c r="K18" s="156">
        <f>IF(AND(F18=0,I18=0),"",IF(F18&gt;I18,B18&amp;E18,IF(F18&lt;I18,B18&amp;H18,"Tie")))</f>
        <v/>
      </c>
      <c r="L18" s="156">
        <f>IFERROR(IF(AND(B18&lt;$L$1,F18&gt;I18),"Win",IF(AND(B18&lt;$L$1,F18&lt;I18),"Loss","")),"")</f>
        <v/>
      </c>
      <c r="M18" s="156">
        <f>IF(B18&lt;_CurWeek,"In","")</f>
        <v/>
      </c>
      <c r="N18" s="156">
        <f>IF(M18="In",E18&amp;G18,"")</f>
        <v/>
      </c>
      <c r="O18" s="156">
        <f>IF(L18="Win",1,0)</f>
        <v/>
      </c>
      <c r="S18" s="178" t="n"/>
      <c r="U18" s="172" t="n"/>
      <c r="Y18" s="172" t="n"/>
    </row>
    <row r="19" ht="14.4" customHeight="1" s="152">
      <c r="A19" s="167">
        <f>B19&amp;E19</f>
        <v/>
      </c>
      <c r="B19" s="168">
        <f>2025Schedule!B19</f>
        <v/>
      </c>
      <c r="C19" s="168">
        <f>2025Schedule!C19</f>
        <v/>
      </c>
      <c r="D19" s="168">
        <f>2025Schedule!D19</f>
        <v/>
      </c>
      <c r="E19" s="168">
        <f>2025Schedule!E19</f>
        <v/>
      </c>
      <c r="F19" s="168">
        <f>2025Schedule!F19</f>
        <v/>
      </c>
      <c r="G19" s="168">
        <f>2025Schedule!G19</f>
        <v/>
      </c>
      <c r="H19" s="168">
        <f>2025Schedule!H19</f>
        <v/>
      </c>
      <c r="I19" s="168">
        <f>2025Schedule!I19</f>
        <v/>
      </c>
      <c r="J19" s="168">
        <f>2025Schedule!J19</f>
        <v/>
      </c>
      <c r="K19" s="156">
        <f>IF(AND(F19=0,I19=0),"",IF(F19&gt;I19,B19&amp;E19,IF(F19&lt;I19,B19&amp;H19,"Tie")))</f>
        <v/>
      </c>
      <c r="L19" s="156">
        <f>IFERROR(IF(AND(B19&lt;$L$1,F19&gt;I19),"Win",IF(AND(B19&lt;$L$1,F19&lt;I19),"Loss","")),"")</f>
        <v/>
      </c>
      <c r="M19" s="156">
        <f>IF(B19&lt;_CurWeek,"In","")</f>
        <v/>
      </c>
      <c r="N19" s="156">
        <f>IF(M19="In",E19&amp;G19,"")</f>
        <v/>
      </c>
      <c r="O19" s="156">
        <f>IF(L19="Win",1,0)</f>
        <v/>
      </c>
      <c r="S19" s="178" t="n"/>
      <c r="U19" s="172" t="n"/>
      <c r="Y19" s="172" t="n"/>
    </row>
    <row r="20" ht="14.4" customHeight="1" s="152">
      <c r="A20" s="167">
        <f>B20&amp;E20</f>
        <v/>
      </c>
      <c r="B20" s="168">
        <f>2025Schedule!B20</f>
        <v/>
      </c>
      <c r="C20" s="168">
        <f>2025Schedule!C20</f>
        <v/>
      </c>
      <c r="D20" s="168">
        <f>2025Schedule!D20</f>
        <v/>
      </c>
      <c r="E20" s="168">
        <f>2025Schedule!E20</f>
        <v/>
      </c>
      <c r="F20" s="168">
        <f>2025Schedule!F20</f>
        <v/>
      </c>
      <c r="G20" s="168">
        <f>2025Schedule!G20</f>
        <v/>
      </c>
      <c r="H20" s="168">
        <f>2025Schedule!H20</f>
        <v/>
      </c>
      <c r="I20" s="168">
        <f>2025Schedule!I20</f>
        <v/>
      </c>
      <c r="J20" s="168">
        <f>2025Schedule!J20</f>
        <v/>
      </c>
      <c r="K20" s="156">
        <f>IF(AND(F20=0,I20=0),"",IF(F20&gt;I20,B20&amp;E20,IF(F20&lt;I20,B20&amp;H20,"Tie")))</f>
        <v/>
      </c>
      <c r="L20" s="156">
        <f>IFERROR(IF(AND(B20&lt;$L$1,F20&gt;I20),"Win",IF(AND(B20&lt;$L$1,F20&lt;I20),"Loss","")),"")</f>
        <v/>
      </c>
      <c r="M20" s="156">
        <f>IF(B20&lt;_CurWeek,"In","")</f>
        <v/>
      </c>
      <c r="N20" s="156">
        <f>IF(M20="In",E20&amp;G20,"")</f>
        <v/>
      </c>
      <c r="O20" s="156">
        <f>IF(L20="Win",1,0)</f>
        <v/>
      </c>
      <c r="S20" s="178" t="n"/>
      <c r="U20" s="172" t="n"/>
      <c r="Y20" s="172" t="n"/>
    </row>
    <row r="21" ht="14.4" customHeight="1" s="152">
      <c r="A21" s="167">
        <f>B21&amp;E21</f>
        <v/>
      </c>
      <c r="B21" s="168">
        <f>2025Schedule!B21</f>
        <v/>
      </c>
      <c r="C21" s="168">
        <f>2025Schedule!C21</f>
        <v/>
      </c>
      <c r="D21" s="168">
        <f>2025Schedule!D21</f>
        <v/>
      </c>
      <c r="E21" s="168">
        <f>2025Schedule!E21</f>
        <v/>
      </c>
      <c r="F21" s="168">
        <f>2025Schedule!F21</f>
        <v/>
      </c>
      <c r="G21" s="168">
        <f>2025Schedule!G21</f>
        <v/>
      </c>
      <c r="H21" s="168">
        <f>2025Schedule!H21</f>
        <v/>
      </c>
      <c r="I21" s="168">
        <f>2025Schedule!I21</f>
        <v/>
      </c>
      <c r="J21" s="168">
        <f>2025Schedule!J21</f>
        <v/>
      </c>
      <c r="K21" s="156">
        <f>IF(AND(F21=0,I21=0),"",IF(F21&gt;I21,B21&amp;E21,IF(F21&lt;I21,B21&amp;H21,"Tie")))</f>
        <v/>
      </c>
      <c r="L21" s="156">
        <f>IFERROR(IF(AND(B21&lt;$L$1,F21&gt;I21),"Win",IF(AND(B21&lt;$L$1,F21&lt;I21),"Loss","")),"")</f>
        <v/>
      </c>
      <c r="M21" s="156">
        <f>IF(B21&lt;_CurWeek,"In","")</f>
        <v/>
      </c>
      <c r="N21" s="156">
        <f>IF(M21="In",E21&amp;G21,"")</f>
        <v/>
      </c>
      <c r="O21" s="156">
        <f>IF(L21="Win",1,0)</f>
        <v/>
      </c>
      <c r="S21" s="178" t="n"/>
      <c r="U21" s="172" t="n"/>
      <c r="Y21" s="172" t="n"/>
    </row>
    <row r="22" ht="14.4" customHeight="1" s="152">
      <c r="A22" s="167">
        <f>B22&amp;E22</f>
        <v/>
      </c>
      <c r="B22" s="168">
        <f>2025Schedule!B22</f>
        <v/>
      </c>
      <c r="C22" s="168">
        <f>2025Schedule!C22</f>
        <v/>
      </c>
      <c r="D22" s="168">
        <f>2025Schedule!D22</f>
        <v/>
      </c>
      <c r="E22" s="168">
        <f>2025Schedule!E22</f>
        <v/>
      </c>
      <c r="F22" s="168">
        <f>2025Schedule!F22</f>
        <v/>
      </c>
      <c r="G22" s="168">
        <f>2025Schedule!G22</f>
        <v/>
      </c>
      <c r="H22" s="168">
        <f>2025Schedule!H22</f>
        <v/>
      </c>
      <c r="I22" s="168">
        <f>2025Schedule!I22</f>
        <v/>
      </c>
      <c r="J22" s="168">
        <f>2025Schedule!J22</f>
        <v/>
      </c>
      <c r="K22" s="156">
        <f>IF(AND(F22=0,I22=0),"",IF(F22&gt;I22,B22&amp;E22,IF(F22&lt;I22,B22&amp;H22,"Tie")))</f>
        <v/>
      </c>
      <c r="L22" s="156">
        <f>IFERROR(IF(AND(B22&lt;$L$1,F22&gt;I22),"Win",IF(AND(B22&lt;$L$1,F22&lt;I22),"Loss","")),"")</f>
        <v/>
      </c>
      <c r="M22" s="156">
        <f>IF(B22&lt;_CurWeek,"In","")</f>
        <v/>
      </c>
      <c r="N22" s="156">
        <f>IF(M22="In",E22&amp;G22,"")</f>
        <v/>
      </c>
      <c r="O22" s="156">
        <f>IF(L22="Win",1,0)</f>
        <v/>
      </c>
      <c r="S22" s="178" t="n"/>
      <c r="U22" s="172" t="n"/>
      <c r="Y22" s="172" t="n"/>
    </row>
    <row r="23" ht="14.4" customHeight="1" s="152">
      <c r="A23" s="167">
        <f>B23&amp;E23</f>
        <v/>
      </c>
      <c r="B23" s="168">
        <f>2025Schedule!B23</f>
        <v/>
      </c>
      <c r="C23" s="168">
        <f>2025Schedule!C23</f>
        <v/>
      </c>
      <c r="D23" s="168">
        <f>2025Schedule!D23</f>
        <v/>
      </c>
      <c r="E23" s="168">
        <f>2025Schedule!E23</f>
        <v/>
      </c>
      <c r="F23" s="168">
        <f>2025Schedule!F23</f>
        <v/>
      </c>
      <c r="G23" s="168">
        <f>2025Schedule!G23</f>
        <v/>
      </c>
      <c r="H23" s="168">
        <f>2025Schedule!H23</f>
        <v/>
      </c>
      <c r="I23" s="168">
        <f>2025Schedule!I23</f>
        <v/>
      </c>
      <c r="J23" s="168">
        <f>2025Schedule!J23</f>
        <v/>
      </c>
      <c r="K23" s="156">
        <f>IF(AND(F23=0,I23=0),"",IF(F23&gt;I23,B23&amp;E23,IF(F23&lt;I23,B23&amp;H23,"Tie")))</f>
        <v/>
      </c>
      <c r="L23" s="156">
        <f>IFERROR(IF(AND(B23&lt;$L$1,F23&gt;I23),"Win",IF(AND(B23&lt;$L$1,F23&lt;I23),"Loss","")),"")</f>
        <v/>
      </c>
      <c r="M23" s="156">
        <f>IF(B23&lt;_CurWeek,"In","")</f>
        <v/>
      </c>
      <c r="N23" s="156">
        <f>IF(M23="In",E23&amp;G23,"")</f>
        <v/>
      </c>
      <c r="O23" s="156">
        <f>IF(L23="Win",1,0)</f>
        <v/>
      </c>
      <c r="S23" s="178" t="n"/>
      <c r="U23" s="172" t="n"/>
      <c r="Y23" s="172" t="n"/>
    </row>
    <row r="24" ht="14.4" customHeight="1" s="152">
      <c r="A24" s="167">
        <f>B24&amp;E24</f>
        <v/>
      </c>
      <c r="B24" s="168">
        <f>2025Schedule!B24</f>
        <v/>
      </c>
      <c r="C24" s="168">
        <f>2025Schedule!C24</f>
        <v/>
      </c>
      <c r="D24" s="168">
        <f>2025Schedule!D24</f>
        <v/>
      </c>
      <c r="E24" s="168">
        <f>2025Schedule!E24</f>
        <v/>
      </c>
      <c r="F24" s="168">
        <f>2025Schedule!F24</f>
        <v/>
      </c>
      <c r="G24" s="168">
        <f>2025Schedule!G24</f>
        <v/>
      </c>
      <c r="H24" s="168">
        <f>2025Schedule!H24</f>
        <v/>
      </c>
      <c r="I24" s="168">
        <f>2025Schedule!I24</f>
        <v/>
      </c>
      <c r="J24" s="168">
        <f>2025Schedule!J24</f>
        <v/>
      </c>
      <c r="K24" s="156">
        <f>IF(AND(F24=0,I24=0),"",IF(F24&gt;I24,B24&amp;E24,IF(F24&lt;I24,B24&amp;H24,"Tie")))</f>
        <v/>
      </c>
      <c r="L24" s="156">
        <f>IFERROR(IF(AND(B24&lt;$L$1,F24&gt;I24),"Win",IF(AND(B24&lt;$L$1,F24&lt;I24),"Loss","")),"")</f>
        <v/>
      </c>
      <c r="M24" s="156">
        <f>IF(B24&lt;_CurWeek,"In","")</f>
        <v/>
      </c>
      <c r="N24" s="156">
        <f>IF(M24="In",E24&amp;G24,"")</f>
        <v/>
      </c>
      <c r="O24" s="156">
        <f>IF(L24="Win",1,0)</f>
        <v/>
      </c>
      <c r="S24" s="178" t="n"/>
      <c r="U24" s="172" t="n"/>
      <c r="Y24" s="172" t="n"/>
    </row>
    <row r="25" ht="14.4" customHeight="1" s="152">
      <c r="A25" s="167">
        <f>B25&amp;E25</f>
        <v/>
      </c>
      <c r="B25" s="168">
        <f>2025Schedule!B25</f>
        <v/>
      </c>
      <c r="C25" s="168">
        <f>2025Schedule!C25</f>
        <v/>
      </c>
      <c r="D25" s="168">
        <f>2025Schedule!D25</f>
        <v/>
      </c>
      <c r="E25" s="168">
        <f>2025Schedule!E25</f>
        <v/>
      </c>
      <c r="F25" s="168">
        <f>2025Schedule!F25</f>
        <v/>
      </c>
      <c r="G25" s="168">
        <f>2025Schedule!G25</f>
        <v/>
      </c>
      <c r="H25" s="168">
        <f>2025Schedule!H25</f>
        <v/>
      </c>
      <c r="I25" s="168">
        <f>2025Schedule!I25</f>
        <v/>
      </c>
      <c r="J25" s="168">
        <f>2025Schedule!J25</f>
        <v/>
      </c>
      <c r="K25" s="156">
        <f>IF(AND(F25=0,I25=0),"",IF(F25&gt;I25,B25&amp;E25,IF(F25&lt;I25,B25&amp;H25,"Tie")))</f>
        <v/>
      </c>
      <c r="L25" s="156">
        <f>IFERROR(IF(AND(B25&lt;$L$1,F25&gt;I25),"Win",IF(AND(B25&lt;$L$1,F25&lt;I25),"Loss","")),"")</f>
        <v/>
      </c>
      <c r="M25" s="156">
        <f>IF(B25&lt;_CurWeek,"In","")</f>
        <v/>
      </c>
      <c r="N25" s="156">
        <f>IF(M25="In",E25&amp;G25,"")</f>
        <v/>
      </c>
      <c r="O25" s="156">
        <f>IF(L25="Win",1,0)</f>
        <v/>
      </c>
      <c r="S25" s="178" t="n"/>
      <c r="U25" s="172" t="n"/>
      <c r="Y25" s="172" t="n"/>
    </row>
    <row r="26" ht="14.4" customHeight="1" s="152">
      <c r="A26" s="167">
        <f>B26&amp;E26</f>
        <v/>
      </c>
      <c r="B26" s="168">
        <f>2025Schedule!B26</f>
        <v/>
      </c>
      <c r="C26" s="168">
        <f>2025Schedule!C26</f>
        <v/>
      </c>
      <c r="D26" s="168">
        <f>2025Schedule!D26</f>
        <v/>
      </c>
      <c r="E26" s="168">
        <f>2025Schedule!E26</f>
        <v/>
      </c>
      <c r="F26" s="168">
        <f>2025Schedule!F26</f>
        <v/>
      </c>
      <c r="G26" s="168">
        <f>2025Schedule!G26</f>
        <v/>
      </c>
      <c r="H26" s="168">
        <f>2025Schedule!H26</f>
        <v/>
      </c>
      <c r="I26" s="168">
        <f>2025Schedule!I26</f>
        <v/>
      </c>
      <c r="J26" s="168">
        <f>2025Schedule!J26</f>
        <v/>
      </c>
      <c r="K26" s="156">
        <f>IF(AND(F26=0,I26=0),"",IF(F26&gt;I26,B26&amp;E26,IF(F26&lt;I26,B26&amp;H26,"Tie")))</f>
        <v/>
      </c>
      <c r="L26" s="156">
        <f>IFERROR(IF(AND(B26&lt;$L$1,F26&gt;I26),"Win",IF(AND(B26&lt;$L$1,F26&lt;I26),"Loss","")),"")</f>
        <v/>
      </c>
      <c r="M26" s="156">
        <f>IF(B26&lt;_CurWeek,"In","")</f>
        <v/>
      </c>
      <c r="N26" s="156">
        <f>IF(M26="In",E26&amp;G26,"")</f>
        <v/>
      </c>
      <c r="O26" s="156">
        <f>IF(L26="Win",1,0)</f>
        <v/>
      </c>
      <c r="S26" s="178" t="n"/>
      <c r="U26" s="172" t="n"/>
      <c r="Y26" s="172" t="n"/>
    </row>
    <row r="27" ht="14.4" customHeight="1" s="152">
      <c r="A27" s="167">
        <f>B27&amp;E27</f>
        <v/>
      </c>
      <c r="B27" s="168">
        <f>2025Schedule!B27</f>
        <v/>
      </c>
      <c r="C27" s="168">
        <f>2025Schedule!C27</f>
        <v/>
      </c>
      <c r="D27" s="168">
        <f>2025Schedule!D27</f>
        <v/>
      </c>
      <c r="E27" s="168">
        <f>2025Schedule!E27</f>
        <v/>
      </c>
      <c r="F27" s="168">
        <f>2025Schedule!F27</f>
        <v/>
      </c>
      <c r="G27" s="168">
        <f>2025Schedule!G27</f>
        <v/>
      </c>
      <c r="H27" s="168">
        <f>2025Schedule!H27</f>
        <v/>
      </c>
      <c r="I27" s="168">
        <f>2025Schedule!I27</f>
        <v/>
      </c>
      <c r="J27" s="168">
        <f>2025Schedule!J27</f>
        <v/>
      </c>
      <c r="K27" s="156">
        <f>IF(AND(F27=0,I27=0),"",IF(F27&gt;I27,B27&amp;E27,IF(F27&lt;I27,B27&amp;H27,"Tie")))</f>
        <v/>
      </c>
      <c r="L27" s="156">
        <f>IFERROR(IF(AND(B27&lt;$L$1,F27&gt;I27),"Win",IF(AND(B27&lt;$L$1,F27&lt;I27),"Loss","")),"")</f>
        <v/>
      </c>
      <c r="M27" s="156">
        <f>IF(B27&lt;_CurWeek,"In","")</f>
        <v/>
      </c>
      <c r="N27" s="156">
        <f>IF(M27="In",E27&amp;G27,"")</f>
        <v/>
      </c>
      <c r="O27" s="156">
        <f>IF(L27="Win",1,0)</f>
        <v/>
      </c>
      <c r="S27" s="178" t="n"/>
      <c r="U27" s="172" t="n"/>
      <c r="Y27" s="172" t="n"/>
    </row>
    <row r="28" ht="14.4" customHeight="1" s="152">
      <c r="A28" s="167">
        <f>B28&amp;E28</f>
        <v/>
      </c>
      <c r="B28" s="168">
        <f>2025Schedule!B28</f>
        <v/>
      </c>
      <c r="C28" s="168">
        <f>2025Schedule!C28</f>
        <v/>
      </c>
      <c r="D28" s="168">
        <f>2025Schedule!D28</f>
        <v/>
      </c>
      <c r="E28" s="168">
        <f>2025Schedule!E28</f>
        <v/>
      </c>
      <c r="F28" s="168">
        <f>2025Schedule!F28</f>
        <v/>
      </c>
      <c r="G28" s="168">
        <f>2025Schedule!G28</f>
        <v/>
      </c>
      <c r="H28" s="168">
        <f>2025Schedule!H28</f>
        <v/>
      </c>
      <c r="I28" s="168">
        <f>2025Schedule!I28</f>
        <v/>
      </c>
      <c r="J28" s="168">
        <f>2025Schedule!J28</f>
        <v/>
      </c>
      <c r="K28" s="156">
        <f>IF(AND(F28=0,I28=0),"",IF(F28&gt;I28,B28&amp;E28,IF(F28&lt;I28,B28&amp;H28,"Tie")))</f>
        <v/>
      </c>
      <c r="L28" s="156">
        <f>IFERROR(IF(AND(B28&lt;$L$1,F28&gt;I28),"Win",IF(AND(B28&lt;$L$1,F28&lt;I28),"Loss","")),"")</f>
        <v/>
      </c>
      <c r="M28" s="156">
        <f>IF(B28&lt;_CurWeek,"In","")</f>
        <v/>
      </c>
      <c r="N28" s="156">
        <f>IF(M28="In",E28&amp;G28,"")</f>
        <v/>
      </c>
      <c r="O28" s="156">
        <f>IF(L28="Win",1,0)</f>
        <v/>
      </c>
      <c r="S28" s="178" t="n"/>
      <c r="U28" s="172" t="n"/>
      <c r="Y28" s="172" t="n"/>
    </row>
    <row r="29" ht="14.4" customHeight="1" s="152">
      <c r="A29" s="167">
        <f>B29&amp;E29</f>
        <v/>
      </c>
      <c r="B29" s="168">
        <f>2025Schedule!B29</f>
        <v/>
      </c>
      <c r="C29" s="168">
        <f>2025Schedule!C29</f>
        <v/>
      </c>
      <c r="D29" s="168">
        <f>2025Schedule!D29</f>
        <v/>
      </c>
      <c r="E29" s="168">
        <f>2025Schedule!E29</f>
        <v/>
      </c>
      <c r="F29" s="168">
        <f>2025Schedule!F29</f>
        <v/>
      </c>
      <c r="G29" s="168">
        <f>2025Schedule!G29</f>
        <v/>
      </c>
      <c r="H29" s="168">
        <f>2025Schedule!H29</f>
        <v/>
      </c>
      <c r="I29" s="168">
        <f>2025Schedule!I29</f>
        <v/>
      </c>
      <c r="J29" s="168">
        <f>2025Schedule!J29</f>
        <v/>
      </c>
      <c r="K29" s="156">
        <f>IF(AND(F29=0,I29=0),"",IF(F29&gt;I29,B29&amp;E29,IF(F29&lt;I29,B29&amp;H29,"Tie")))</f>
        <v/>
      </c>
      <c r="L29" s="156">
        <f>IFERROR(IF(AND(B29&lt;$L$1,F29&gt;I29),"Win",IF(AND(B29&lt;$L$1,F29&lt;I29),"Loss","")),"")</f>
        <v/>
      </c>
      <c r="M29" s="156">
        <f>IF(B29&lt;_CurWeek,"In","")</f>
        <v/>
      </c>
      <c r="N29" s="156">
        <f>IF(M29="In",E29&amp;G29,"")</f>
        <v/>
      </c>
      <c r="O29" s="156">
        <f>IF(L29="Win",1,0)</f>
        <v/>
      </c>
      <c r="S29" s="178" t="n"/>
      <c r="U29" s="172" t="n"/>
      <c r="Y29" s="172" t="n"/>
    </row>
    <row r="30" ht="14.4" customHeight="1" s="152">
      <c r="A30" s="167">
        <f>B30&amp;E30</f>
        <v/>
      </c>
      <c r="B30" s="168">
        <f>2025Schedule!B30</f>
        <v/>
      </c>
      <c r="C30" s="168">
        <f>2025Schedule!C30</f>
        <v/>
      </c>
      <c r="D30" s="168">
        <f>2025Schedule!D30</f>
        <v/>
      </c>
      <c r="E30" s="168">
        <f>2025Schedule!E30</f>
        <v/>
      </c>
      <c r="F30" s="168">
        <f>2025Schedule!F30</f>
        <v/>
      </c>
      <c r="G30" s="168">
        <f>2025Schedule!G30</f>
        <v/>
      </c>
      <c r="H30" s="168">
        <f>2025Schedule!H30</f>
        <v/>
      </c>
      <c r="I30" s="168">
        <f>2025Schedule!I30</f>
        <v/>
      </c>
      <c r="J30" s="168">
        <f>2025Schedule!J30</f>
        <v/>
      </c>
      <c r="K30" s="156">
        <f>IF(AND(F30=0,I30=0),"",IF(F30&gt;I30,B30&amp;E30,IF(F30&lt;I30,B30&amp;H30,"Tie")))</f>
        <v/>
      </c>
      <c r="L30" s="156">
        <f>IFERROR(IF(AND(B30&lt;$L$1,F30&gt;I30),"Win",IF(AND(B30&lt;$L$1,F30&lt;I30),"Loss","")),"")</f>
        <v/>
      </c>
      <c r="M30" s="156">
        <f>IF(B30&lt;_CurWeek,"In","")</f>
        <v/>
      </c>
      <c r="N30" s="156">
        <f>IF(M30="In",E30&amp;G30,"")</f>
        <v/>
      </c>
      <c r="O30" s="156">
        <f>IF(L30="Win",1,0)</f>
        <v/>
      </c>
      <c r="S30" s="178" t="n"/>
      <c r="U30" s="172" t="n"/>
      <c r="Y30" s="172" t="n"/>
    </row>
    <row r="31" ht="14.4" customHeight="1" s="152">
      <c r="A31" s="167">
        <f>B31&amp;E31</f>
        <v/>
      </c>
      <c r="B31" s="168">
        <f>2025Schedule!B31</f>
        <v/>
      </c>
      <c r="C31" s="168">
        <f>2025Schedule!C31</f>
        <v/>
      </c>
      <c r="D31" s="168">
        <f>2025Schedule!D31</f>
        <v/>
      </c>
      <c r="E31" s="168">
        <f>2025Schedule!E31</f>
        <v/>
      </c>
      <c r="F31" s="168">
        <f>2025Schedule!F31</f>
        <v/>
      </c>
      <c r="G31" s="168">
        <f>2025Schedule!G31</f>
        <v/>
      </c>
      <c r="H31" s="168">
        <f>2025Schedule!H31</f>
        <v/>
      </c>
      <c r="I31" s="168">
        <f>2025Schedule!I31</f>
        <v/>
      </c>
      <c r="J31" s="168">
        <f>2025Schedule!J31</f>
        <v/>
      </c>
      <c r="K31" s="156">
        <f>IF(AND(F31=0,I31=0),"",IF(F31&gt;I31,B31&amp;E31,IF(F31&lt;I31,B31&amp;H31,"Tie")))</f>
        <v/>
      </c>
      <c r="L31" s="156">
        <f>IFERROR(IF(AND(B31&lt;$L$1,F31&gt;I31),"Win",IF(AND(B31&lt;$L$1,F31&lt;I31),"Loss","")),"")</f>
        <v/>
      </c>
      <c r="M31" s="156">
        <f>IF(B31&lt;_CurWeek,"In","")</f>
        <v/>
      </c>
      <c r="N31" s="156">
        <f>IF(M31="In",E31&amp;G31,"")</f>
        <v/>
      </c>
      <c r="O31" s="156">
        <f>IF(L31="Win",1,0)</f>
        <v/>
      </c>
      <c r="S31" s="178" t="n"/>
      <c r="U31" s="172" t="n"/>
      <c r="Y31" s="172" t="n"/>
    </row>
    <row r="32" ht="14.4" customHeight="1" s="152">
      <c r="A32" s="167">
        <f>B32&amp;E32</f>
        <v/>
      </c>
      <c r="B32" s="168">
        <f>2025Schedule!B32</f>
        <v/>
      </c>
      <c r="C32" s="168">
        <f>2025Schedule!C32</f>
        <v/>
      </c>
      <c r="D32" s="168">
        <f>2025Schedule!D32</f>
        <v/>
      </c>
      <c r="E32" s="168">
        <f>2025Schedule!E32</f>
        <v/>
      </c>
      <c r="F32" s="168">
        <f>2025Schedule!F32</f>
        <v/>
      </c>
      <c r="G32" s="168">
        <f>2025Schedule!G32</f>
        <v/>
      </c>
      <c r="H32" s="168">
        <f>2025Schedule!H32</f>
        <v/>
      </c>
      <c r="I32" s="168">
        <f>2025Schedule!I32</f>
        <v/>
      </c>
      <c r="J32" s="168">
        <f>2025Schedule!J32</f>
        <v/>
      </c>
      <c r="K32" s="156">
        <f>IF(AND(F32=0,I32=0),"",IF(F32&gt;I32,B32&amp;E32,IF(F32&lt;I32,B32&amp;H32,"Tie")))</f>
        <v/>
      </c>
      <c r="L32" s="156">
        <f>IFERROR(IF(AND(B32&lt;$L$1,F32&gt;I32),"Win",IF(AND(B32&lt;$L$1,F32&lt;I32),"Loss","")),"")</f>
        <v/>
      </c>
      <c r="M32" s="156">
        <f>IF(B32&lt;_CurWeek,"In","")</f>
        <v/>
      </c>
      <c r="N32" s="156">
        <f>IF(M32="In",E32&amp;G32,"")</f>
        <v/>
      </c>
      <c r="O32" s="156">
        <f>IF(L32="Win",1,0)</f>
        <v/>
      </c>
      <c r="S32" s="178" t="n"/>
      <c r="U32" s="172" t="n"/>
      <c r="Y32" s="172" t="n"/>
    </row>
    <row r="33" ht="14.4" customHeight="1" s="152">
      <c r="A33" s="167">
        <f>B33&amp;E33</f>
        <v/>
      </c>
      <c r="B33" s="168">
        <f>2025Schedule!B33</f>
        <v/>
      </c>
      <c r="C33" s="168">
        <f>2025Schedule!C33</f>
        <v/>
      </c>
      <c r="D33" s="168">
        <f>2025Schedule!D33</f>
        <v/>
      </c>
      <c r="E33" s="168">
        <f>2025Schedule!E33</f>
        <v/>
      </c>
      <c r="F33" s="168">
        <f>2025Schedule!F33</f>
        <v/>
      </c>
      <c r="G33" s="168">
        <f>2025Schedule!G33</f>
        <v/>
      </c>
      <c r="H33" s="168">
        <f>2025Schedule!H33</f>
        <v/>
      </c>
      <c r="I33" s="168">
        <f>2025Schedule!I33</f>
        <v/>
      </c>
      <c r="J33" s="168">
        <f>2025Schedule!J33</f>
        <v/>
      </c>
      <c r="K33" s="156">
        <f>IF(AND(F33=0,I33=0),"",IF(F33&gt;I33,B33&amp;E33,IF(F33&lt;I33,B33&amp;H33,"Tie")))</f>
        <v/>
      </c>
      <c r="L33" s="156">
        <f>IFERROR(IF(AND(B33&lt;$L$1,F33&gt;I33),"Win",IF(AND(B33&lt;$L$1,F33&lt;I33),"Loss","")),"")</f>
        <v/>
      </c>
      <c r="M33" s="156">
        <f>IF(B33&lt;_CurWeek,"In","")</f>
        <v/>
      </c>
      <c r="N33" s="156">
        <f>IF(M33="In",E33&amp;G33,"")</f>
        <v/>
      </c>
      <c r="O33" s="156">
        <f>IF(L33="Win",1,0)</f>
        <v/>
      </c>
      <c r="S33" s="178" t="n"/>
      <c r="U33" s="172" t="n"/>
      <c r="Y33" s="172" t="n"/>
    </row>
    <row r="34" ht="14.4" customHeight="1" s="152">
      <c r="A34" s="167">
        <f>B34&amp;E34</f>
        <v/>
      </c>
      <c r="B34" s="168">
        <f>2025Schedule!B34</f>
        <v/>
      </c>
      <c r="C34" s="168">
        <f>2025Schedule!C34</f>
        <v/>
      </c>
      <c r="D34" s="168">
        <f>2025Schedule!D34</f>
        <v/>
      </c>
      <c r="E34" s="168">
        <f>2025Schedule!E34</f>
        <v/>
      </c>
      <c r="F34" s="168">
        <f>2025Schedule!F34</f>
        <v/>
      </c>
      <c r="G34" s="168">
        <f>2025Schedule!G34</f>
        <v/>
      </c>
      <c r="H34" s="168">
        <f>2025Schedule!H34</f>
        <v/>
      </c>
      <c r="I34" s="168">
        <f>2025Schedule!I34</f>
        <v/>
      </c>
      <c r="J34" s="168">
        <f>2025Schedule!J34</f>
        <v/>
      </c>
      <c r="K34" s="156">
        <f>IF(AND(F34=0,I34=0),"",IF(F34&gt;I34,B34&amp;E34,IF(F34&lt;I34,B34&amp;H34,"Tie")))</f>
        <v/>
      </c>
      <c r="L34" s="156">
        <f>IFERROR(IF(AND(B34&lt;$L$1,F34&gt;I34),"Win",IF(AND(B34&lt;$L$1,F34&lt;I34),"Loss","")),"")</f>
        <v/>
      </c>
      <c r="M34" s="156">
        <f>IF(B34&lt;_CurWeek,"In","")</f>
        <v/>
      </c>
      <c r="N34" s="156">
        <f>IF(M34="In",E34&amp;G34,"")</f>
        <v/>
      </c>
      <c r="O34" s="156">
        <f>IF(L34="Win",1,0)</f>
        <v/>
      </c>
      <c r="S34" s="178" t="n"/>
      <c r="U34" s="172" t="n"/>
      <c r="Y34" s="172" t="n"/>
    </row>
    <row r="35" ht="14.4" customHeight="1" s="152">
      <c r="A35" s="167">
        <f>B35&amp;E35</f>
        <v/>
      </c>
      <c r="B35" s="168">
        <f>2025Schedule!B35</f>
        <v/>
      </c>
      <c r="C35" s="168">
        <f>2025Schedule!C35</f>
        <v/>
      </c>
      <c r="D35" s="168">
        <f>2025Schedule!D35</f>
        <v/>
      </c>
      <c r="E35" s="168">
        <f>2025Schedule!E35</f>
        <v/>
      </c>
      <c r="F35" s="168">
        <f>2025Schedule!F35</f>
        <v/>
      </c>
      <c r="G35" s="168">
        <f>2025Schedule!G35</f>
        <v/>
      </c>
      <c r="H35" s="168">
        <f>2025Schedule!H35</f>
        <v/>
      </c>
      <c r="I35" s="168">
        <f>2025Schedule!I35</f>
        <v/>
      </c>
      <c r="J35" s="168">
        <f>2025Schedule!J35</f>
        <v/>
      </c>
      <c r="K35" s="156">
        <f>IF(AND(F35=0,I35=0),"",IF(F35&gt;I35,B35&amp;E35,IF(F35&lt;I35,B35&amp;H35,"Tie")))</f>
        <v/>
      </c>
      <c r="L35" s="156">
        <f>IFERROR(IF(AND(B35&lt;$L$1,F35&gt;I35),"Win",IF(AND(B35&lt;$L$1,F35&lt;I35),"Loss","")),"")</f>
        <v/>
      </c>
      <c r="M35" s="156">
        <f>IF(B35&lt;_CurWeek,"In","")</f>
        <v/>
      </c>
      <c r="N35" s="156">
        <f>IF(M35="In",E35&amp;G35,"")</f>
        <v/>
      </c>
      <c r="O35" s="156">
        <f>IF(L35="Win",1,0)</f>
        <v/>
      </c>
      <c r="S35" s="178" t="n"/>
      <c r="U35" s="172" t="n"/>
      <c r="Y35" s="172" t="n"/>
    </row>
    <row r="36" ht="14.4" customHeight="1" s="152">
      <c r="A36" s="167">
        <f>B36&amp;E36</f>
        <v/>
      </c>
      <c r="B36" s="168">
        <f>2025Schedule!B36</f>
        <v/>
      </c>
      <c r="C36" s="168">
        <f>2025Schedule!C36</f>
        <v/>
      </c>
      <c r="D36" s="168">
        <f>2025Schedule!D36</f>
        <v/>
      </c>
      <c r="E36" s="168">
        <f>2025Schedule!E36</f>
        <v/>
      </c>
      <c r="F36" s="168">
        <f>2025Schedule!F36</f>
        <v/>
      </c>
      <c r="G36" s="168">
        <f>2025Schedule!G36</f>
        <v/>
      </c>
      <c r="H36" s="168">
        <f>2025Schedule!H36</f>
        <v/>
      </c>
      <c r="I36" s="168">
        <f>2025Schedule!I36</f>
        <v/>
      </c>
      <c r="J36" s="168">
        <f>2025Schedule!J36</f>
        <v/>
      </c>
      <c r="K36" s="156">
        <f>IF(AND(F36=0,I36=0),"",IF(F36&gt;I36,B36&amp;E36,IF(F36&lt;I36,B36&amp;H36,"Tie")))</f>
        <v/>
      </c>
      <c r="L36" s="156">
        <f>IFERROR(IF(AND(B36&lt;$L$1,F36&gt;I36),"Win",IF(AND(B36&lt;$L$1,F36&lt;I36),"Loss","")),"")</f>
        <v/>
      </c>
      <c r="M36" s="156">
        <f>IF(B36&lt;_CurWeek,"In","")</f>
        <v/>
      </c>
      <c r="N36" s="156">
        <f>IF(M36="In",E36&amp;G36,"")</f>
        <v/>
      </c>
      <c r="O36" s="156">
        <f>IF(L36="Win",1,0)</f>
        <v/>
      </c>
      <c r="S36" s="178" t="n"/>
      <c r="U36" s="172" t="n"/>
      <c r="Y36" s="172" t="n"/>
    </row>
    <row r="37" ht="14.4" customHeight="1" s="152">
      <c r="A37" s="167">
        <f>B37&amp;E37</f>
        <v/>
      </c>
      <c r="B37" s="168">
        <f>2025Schedule!B37</f>
        <v/>
      </c>
      <c r="C37" s="168">
        <f>2025Schedule!C37</f>
        <v/>
      </c>
      <c r="D37" s="168">
        <f>2025Schedule!D37</f>
        <v/>
      </c>
      <c r="E37" s="168">
        <f>2025Schedule!E37</f>
        <v/>
      </c>
      <c r="F37" s="168">
        <f>2025Schedule!F37</f>
        <v/>
      </c>
      <c r="G37" s="168">
        <f>2025Schedule!G37</f>
        <v/>
      </c>
      <c r="H37" s="168">
        <f>2025Schedule!H37</f>
        <v/>
      </c>
      <c r="I37" s="168">
        <f>2025Schedule!I37</f>
        <v/>
      </c>
      <c r="J37" s="168">
        <f>2025Schedule!J37</f>
        <v/>
      </c>
      <c r="K37" s="156">
        <f>IF(AND(F37=0,I37=0),"",IF(F37&gt;I37,B37&amp;E37,IF(F37&lt;I37,B37&amp;H37,"Tie")))</f>
        <v/>
      </c>
      <c r="L37" s="156">
        <f>IFERROR(IF(AND(B37&lt;$L$1,F37&gt;I37),"Win",IF(AND(B37&lt;$L$1,F37&lt;I37),"Loss","")),"")</f>
        <v/>
      </c>
      <c r="M37" s="156">
        <f>IF(B37&lt;_CurWeek,"In","")</f>
        <v/>
      </c>
      <c r="N37" s="156">
        <f>IF(M37="In",E37&amp;G37,"")</f>
        <v/>
      </c>
      <c r="O37" s="156">
        <f>IF(L37="Win",1,0)</f>
        <v/>
      </c>
      <c r="S37" s="178" t="n"/>
      <c r="U37" s="172" t="n"/>
      <c r="Y37" s="172" t="n"/>
    </row>
    <row r="38" ht="14.4" customHeight="1" s="152">
      <c r="A38" s="167">
        <f>B38&amp;E38</f>
        <v/>
      </c>
      <c r="B38" s="168">
        <f>2025Schedule!B38</f>
        <v/>
      </c>
      <c r="C38" s="168">
        <f>2025Schedule!C38</f>
        <v/>
      </c>
      <c r="D38" s="168">
        <f>2025Schedule!D38</f>
        <v/>
      </c>
      <c r="E38" s="168">
        <f>2025Schedule!E38</f>
        <v/>
      </c>
      <c r="F38" s="168">
        <f>2025Schedule!F38</f>
        <v/>
      </c>
      <c r="G38" s="168">
        <f>2025Schedule!G38</f>
        <v/>
      </c>
      <c r="H38" s="168">
        <f>2025Schedule!H38</f>
        <v/>
      </c>
      <c r="I38" s="168">
        <f>2025Schedule!I38</f>
        <v/>
      </c>
      <c r="J38" s="168">
        <f>2025Schedule!J38</f>
        <v/>
      </c>
      <c r="K38" s="156">
        <f>IF(AND(F38=0,I38=0),"",IF(F38&gt;I38,B38&amp;E38,IF(F38&lt;I38,B38&amp;H38,"Tie")))</f>
        <v/>
      </c>
      <c r="L38" s="156">
        <f>IFERROR(IF(AND(B38&lt;$L$1,F38&gt;I38),"Win",IF(AND(B38&lt;$L$1,F38&lt;I38),"Loss","")),"")</f>
        <v/>
      </c>
      <c r="M38" s="156">
        <f>IF(B38&lt;_CurWeek,"In","")</f>
        <v/>
      </c>
      <c r="N38" s="156">
        <f>IF(M38="In",E38&amp;G38,"")</f>
        <v/>
      </c>
      <c r="O38" s="156">
        <f>IF(L38="Win",1,0)</f>
        <v/>
      </c>
      <c r="S38" s="178" t="n"/>
      <c r="U38" s="172" t="n"/>
      <c r="Y38" s="172" t="n"/>
    </row>
    <row r="39" ht="14.4" customHeight="1" s="152">
      <c r="A39" s="167">
        <f>B39&amp;E39</f>
        <v/>
      </c>
      <c r="B39" s="168">
        <f>2025Schedule!B39</f>
        <v/>
      </c>
      <c r="C39" s="168">
        <f>2025Schedule!C39</f>
        <v/>
      </c>
      <c r="D39" s="168">
        <f>2025Schedule!D39</f>
        <v/>
      </c>
      <c r="E39" s="168">
        <f>2025Schedule!E39</f>
        <v/>
      </c>
      <c r="F39" s="168">
        <f>2025Schedule!F39</f>
        <v/>
      </c>
      <c r="G39" s="168">
        <f>2025Schedule!G39</f>
        <v/>
      </c>
      <c r="H39" s="168">
        <f>2025Schedule!H39</f>
        <v/>
      </c>
      <c r="I39" s="168">
        <f>2025Schedule!I39</f>
        <v/>
      </c>
      <c r="J39" s="168">
        <f>2025Schedule!J39</f>
        <v/>
      </c>
      <c r="K39" s="156">
        <f>IF(AND(F39=0,I39=0),"",IF(F39&gt;I39,B39&amp;E39,IF(F39&lt;I39,B39&amp;H39,"Tie")))</f>
        <v/>
      </c>
      <c r="L39" s="156">
        <f>IFERROR(IF(AND(B39&lt;$L$1,F39&gt;I39),"Win",IF(AND(B39&lt;$L$1,F39&lt;I39),"Loss","")),"")</f>
        <v/>
      </c>
      <c r="M39" s="156">
        <f>IF(B39&lt;_CurWeek,"In","")</f>
        <v/>
      </c>
      <c r="N39" s="156">
        <f>IF(M39="In",E39&amp;G39,"")</f>
        <v/>
      </c>
      <c r="O39" s="156">
        <f>IF(L39="Win",1,0)</f>
        <v/>
      </c>
      <c r="S39" s="178" t="n"/>
      <c r="U39" s="172" t="n"/>
      <c r="Y39" s="172" t="n"/>
    </row>
    <row r="40" ht="14.4" customHeight="1" s="152">
      <c r="A40" s="167">
        <f>B40&amp;E40</f>
        <v/>
      </c>
      <c r="B40" s="168">
        <f>2025Schedule!B40</f>
        <v/>
      </c>
      <c r="C40" s="168">
        <f>2025Schedule!C40</f>
        <v/>
      </c>
      <c r="D40" s="168">
        <f>2025Schedule!D40</f>
        <v/>
      </c>
      <c r="E40" s="168">
        <f>2025Schedule!E40</f>
        <v/>
      </c>
      <c r="F40" s="168">
        <f>2025Schedule!F40</f>
        <v/>
      </c>
      <c r="G40" s="168">
        <f>2025Schedule!G40</f>
        <v/>
      </c>
      <c r="H40" s="168">
        <f>2025Schedule!H40</f>
        <v/>
      </c>
      <c r="I40" s="168">
        <f>2025Schedule!I40</f>
        <v/>
      </c>
      <c r="J40" s="168">
        <f>2025Schedule!J40</f>
        <v/>
      </c>
      <c r="K40" s="156">
        <f>IF(AND(F40=0,I40=0),"",IF(F40&gt;I40,B40&amp;E40,IF(F40&lt;I40,B40&amp;H40,"Tie")))</f>
        <v/>
      </c>
      <c r="L40" s="156">
        <f>IFERROR(IF(AND(B40&lt;$L$1,F40&gt;I40),"Win",IF(AND(B40&lt;$L$1,F40&lt;I40),"Loss","")),"")</f>
        <v/>
      </c>
      <c r="M40" s="156">
        <f>IF(B40&lt;_CurWeek,"In","")</f>
        <v/>
      </c>
      <c r="N40" s="156">
        <f>IF(M40="In",E40&amp;G40,"")</f>
        <v/>
      </c>
      <c r="O40" s="156">
        <f>IF(L40="Win",1,0)</f>
        <v/>
      </c>
      <c r="S40" s="178" t="n"/>
      <c r="U40" s="172" t="n"/>
      <c r="Y40" s="172" t="n"/>
    </row>
    <row r="41" ht="14.4" customHeight="1" s="152">
      <c r="A41" s="167">
        <f>B41&amp;E41</f>
        <v/>
      </c>
      <c r="B41" s="168">
        <f>2025Schedule!B41</f>
        <v/>
      </c>
      <c r="C41" s="168">
        <f>2025Schedule!C41</f>
        <v/>
      </c>
      <c r="D41" s="168">
        <f>2025Schedule!D41</f>
        <v/>
      </c>
      <c r="E41" s="168">
        <f>2025Schedule!E41</f>
        <v/>
      </c>
      <c r="F41" s="168">
        <f>2025Schedule!F41</f>
        <v/>
      </c>
      <c r="G41" s="168">
        <f>2025Schedule!G41</f>
        <v/>
      </c>
      <c r="H41" s="168">
        <f>2025Schedule!H41</f>
        <v/>
      </c>
      <c r="I41" s="168">
        <f>2025Schedule!I41</f>
        <v/>
      </c>
      <c r="J41" s="168">
        <f>2025Schedule!J41</f>
        <v/>
      </c>
      <c r="K41" s="156">
        <f>IF(AND(F41=0,I41=0),"",IF(F41&gt;I41,B41&amp;E41,IF(F41&lt;I41,B41&amp;H41,"Tie")))</f>
        <v/>
      </c>
      <c r="L41" s="156">
        <f>IFERROR(IF(AND(B41&lt;$L$1,F41&gt;I41),"Win",IF(AND(B41&lt;$L$1,F41&lt;I41),"Loss","")),"")</f>
        <v/>
      </c>
      <c r="M41" s="156">
        <f>IF(B41&lt;_CurWeek,"In","")</f>
        <v/>
      </c>
      <c r="N41" s="156">
        <f>IF(M41="In",E41&amp;G41,"")</f>
        <v/>
      </c>
      <c r="O41" s="156">
        <f>IF(L41="Win",1,0)</f>
        <v/>
      </c>
      <c r="S41" s="178" t="n"/>
      <c r="U41" s="172" t="n"/>
      <c r="Y41" s="172" t="n"/>
    </row>
    <row r="42" ht="14.4" customHeight="1" s="152">
      <c r="A42" s="167">
        <f>B42&amp;E42</f>
        <v/>
      </c>
      <c r="B42" s="168">
        <f>2025Schedule!B42</f>
        <v/>
      </c>
      <c r="C42" s="168">
        <f>2025Schedule!C42</f>
        <v/>
      </c>
      <c r="D42" s="168">
        <f>2025Schedule!D42</f>
        <v/>
      </c>
      <c r="E42" s="168">
        <f>2025Schedule!E42</f>
        <v/>
      </c>
      <c r="F42" s="168">
        <f>2025Schedule!F42</f>
        <v/>
      </c>
      <c r="G42" s="168">
        <f>2025Schedule!G42</f>
        <v/>
      </c>
      <c r="H42" s="168">
        <f>2025Schedule!H42</f>
        <v/>
      </c>
      <c r="I42" s="168">
        <f>2025Schedule!I42</f>
        <v/>
      </c>
      <c r="J42" s="168">
        <f>2025Schedule!J42</f>
        <v/>
      </c>
      <c r="K42" s="156">
        <f>IF(AND(F42=0,I42=0),"",IF(F42&gt;I42,B42&amp;E42,IF(F42&lt;I42,B42&amp;H42,"Tie")))</f>
        <v/>
      </c>
      <c r="L42" s="156">
        <f>IFERROR(IF(AND(B42&lt;$L$1,F42&gt;I42),"Win",IF(AND(B42&lt;$L$1,F42&lt;I42),"Loss","")),"")</f>
        <v/>
      </c>
      <c r="M42" s="156">
        <f>IF(B42&lt;_CurWeek,"In","")</f>
        <v/>
      </c>
      <c r="N42" s="156">
        <f>IF(M42="In",E42&amp;G42,"")</f>
        <v/>
      </c>
      <c r="O42" s="156">
        <f>IF(L42="Win",1,0)</f>
        <v/>
      </c>
      <c r="S42" s="178" t="n"/>
      <c r="U42" s="172" t="n"/>
      <c r="Y42" s="172" t="n"/>
    </row>
    <row r="43" ht="14.4" customHeight="1" s="152">
      <c r="A43" s="167">
        <f>B43&amp;E43</f>
        <v/>
      </c>
      <c r="B43" s="168">
        <f>2025Schedule!B43</f>
        <v/>
      </c>
      <c r="C43" s="168">
        <f>2025Schedule!C43</f>
        <v/>
      </c>
      <c r="D43" s="168">
        <f>2025Schedule!D43</f>
        <v/>
      </c>
      <c r="E43" s="168">
        <f>2025Schedule!E43</f>
        <v/>
      </c>
      <c r="F43" s="168">
        <f>2025Schedule!F43</f>
        <v/>
      </c>
      <c r="G43" s="168">
        <f>2025Schedule!G43</f>
        <v/>
      </c>
      <c r="H43" s="168">
        <f>2025Schedule!H43</f>
        <v/>
      </c>
      <c r="I43" s="168">
        <f>2025Schedule!I43</f>
        <v/>
      </c>
      <c r="J43" s="168">
        <f>2025Schedule!J43</f>
        <v/>
      </c>
      <c r="K43" s="156">
        <f>IF(AND(F43=0,I43=0),"",IF(F43&gt;I43,B43&amp;E43,IF(F43&lt;I43,B43&amp;H43,"Tie")))</f>
        <v/>
      </c>
      <c r="L43" s="156">
        <f>IFERROR(IF(AND(B43&lt;$L$1,F43&gt;I43),"Win",IF(AND(B43&lt;$L$1,F43&lt;I43),"Loss","")),"")</f>
        <v/>
      </c>
      <c r="M43" s="156">
        <f>IF(B43&lt;_CurWeek,"In","")</f>
        <v/>
      </c>
      <c r="N43" s="156">
        <f>IF(M43="In",E43&amp;G43,"")</f>
        <v/>
      </c>
      <c r="O43" s="156">
        <f>IF(L43="Win",1,0)</f>
        <v/>
      </c>
      <c r="S43" s="178" t="n"/>
      <c r="U43" s="172" t="n"/>
      <c r="Y43" s="172" t="n"/>
    </row>
    <row r="44" ht="14.4" customHeight="1" s="152">
      <c r="A44" s="167">
        <f>B44&amp;E44</f>
        <v/>
      </c>
      <c r="B44" s="168">
        <f>2025Schedule!B44</f>
        <v/>
      </c>
      <c r="C44" s="168">
        <f>2025Schedule!C44</f>
        <v/>
      </c>
      <c r="D44" s="168">
        <f>2025Schedule!D44</f>
        <v/>
      </c>
      <c r="E44" s="168">
        <f>2025Schedule!E44</f>
        <v/>
      </c>
      <c r="F44" s="168">
        <f>2025Schedule!F44</f>
        <v/>
      </c>
      <c r="G44" s="168">
        <f>2025Schedule!G44</f>
        <v/>
      </c>
      <c r="H44" s="168">
        <f>2025Schedule!H44</f>
        <v/>
      </c>
      <c r="I44" s="168">
        <f>2025Schedule!I44</f>
        <v/>
      </c>
      <c r="J44" s="168">
        <f>2025Schedule!J44</f>
        <v/>
      </c>
      <c r="K44" s="156">
        <f>IF(AND(F44=0,I44=0),"",IF(F44&gt;I44,B44&amp;E44,IF(F44&lt;I44,B44&amp;H44,"Tie")))</f>
        <v/>
      </c>
      <c r="L44" s="156">
        <f>IFERROR(IF(AND(B44&lt;$L$1,F44&gt;I44),"Win",IF(AND(B44&lt;$L$1,F44&lt;I44),"Loss","")),"")</f>
        <v/>
      </c>
      <c r="M44" s="156">
        <f>IF(B44&lt;_CurWeek,"In","")</f>
        <v/>
      </c>
      <c r="N44" s="156">
        <f>IF(M44="In",E44&amp;G44,"")</f>
        <v/>
      </c>
      <c r="O44" s="156">
        <f>IF(L44="Win",1,0)</f>
        <v/>
      </c>
      <c r="S44" s="178" t="n"/>
      <c r="U44" s="172" t="n"/>
      <c r="Y44" s="172" t="n"/>
    </row>
    <row r="45" ht="14.4" customHeight="1" s="152">
      <c r="A45" s="167">
        <f>B45&amp;E45</f>
        <v/>
      </c>
      <c r="B45" s="168">
        <f>2025Schedule!B45</f>
        <v/>
      </c>
      <c r="C45" s="168">
        <f>2025Schedule!C45</f>
        <v/>
      </c>
      <c r="D45" s="168">
        <f>2025Schedule!D45</f>
        <v/>
      </c>
      <c r="E45" s="168">
        <f>2025Schedule!E45</f>
        <v/>
      </c>
      <c r="F45" s="168">
        <f>2025Schedule!F45</f>
        <v/>
      </c>
      <c r="G45" s="168">
        <f>2025Schedule!G45</f>
        <v/>
      </c>
      <c r="H45" s="168">
        <f>2025Schedule!H45</f>
        <v/>
      </c>
      <c r="I45" s="168">
        <f>2025Schedule!I45</f>
        <v/>
      </c>
      <c r="J45" s="168">
        <f>2025Schedule!J45</f>
        <v/>
      </c>
      <c r="K45" s="156">
        <f>IF(AND(F45=0,I45=0),"",IF(F45&gt;I45,B45&amp;E45,IF(F45&lt;I45,B45&amp;H45,"Tie")))</f>
        <v/>
      </c>
      <c r="L45" s="156">
        <f>IFERROR(IF(AND(B45&lt;$L$1,F45&gt;I45),"Win",IF(AND(B45&lt;$L$1,F45&lt;I45),"Loss","")),"")</f>
        <v/>
      </c>
      <c r="M45" s="156">
        <f>IF(B45&lt;_CurWeek,"In","")</f>
        <v/>
      </c>
      <c r="N45" s="156">
        <f>IF(M45="In",E45&amp;G45,"")</f>
        <v/>
      </c>
      <c r="O45" s="156">
        <f>IF(L45="Win",1,0)</f>
        <v/>
      </c>
      <c r="S45" s="178" t="n"/>
      <c r="U45" s="172" t="n"/>
      <c r="Y45" s="172" t="n"/>
    </row>
    <row r="46" ht="14.4" customHeight="1" s="152">
      <c r="A46" s="167">
        <f>B46&amp;E46</f>
        <v/>
      </c>
      <c r="B46" s="168">
        <f>2025Schedule!B46</f>
        <v/>
      </c>
      <c r="C46" s="168">
        <f>2025Schedule!C46</f>
        <v/>
      </c>
      <c r="D46" s="168">
        <f>2025Schedule!D46</f>
        <v/>
      </c>
      <c r="E46" s="168">
        <f>2025Schedule!E46</f>
        <v/>
      </c>
      <c r="F46" s="168">
        <f>2025Schedule!F46</f>
        <v/>
      </c>
      <c r="G46" s="168">
        <f>2025Schedule!G46</f>
        <v/>
      </c>
      <c r="H46" s="168">
        <f>2025Schedule!H46</f>
        <v/>
      </c>
      <c r="I46" s="168">
        <f>2025Schedule!I46</f>
        <v/>
      </c>
      <c r="J46" s="168">
        <f>2025Schedule!J46</f>
        <v/>
      </c>
      <c r="K46" s="156">
        <f>IF(AND(F46=0,I46=0),"",IF(F46&gt;I46,B46&amp;E46,IF(F46&lt;I46,B46&amp;H46,"Tie")))</f>
        <v/>
      </c>
      <c r="L46" s="156">
        <f>IFERROR(IF(AND(B46&lt;$L$1,F46&gt;I46),"Win",IF(AND(B46&lt;$L$1,F46&lt;I46),"Loss","")),"")</f>
        <v/>
      </c>
      <c r="M46" s="156">
        <f>IF(B46&lt;_CurWeek,"In","")</f>
        <v/>
      </c>
      <c r="N46" s="156">
        <f>IF(M46="In",E46&amp;G46,"")</f>
        <v/>
      </c>
      <c r="O46" s="156">
        <f>IF(L46="Win",1,0)</f>
        <v/>
      </c>
      <c r="S46" s="178" t="n"/>
      <c r="U46" s="172" t="n"/>
      <c r="Y46" s="172" t="n"/>
    </row>
    <row r="47" ht="14.4" customHeight="1" s="152">
      <c r="A47" s="167">
        <f>B47&amp;E47</f>
        <v/>
      </c>
      <c r="B47" s="168">
        <f>2025Schedule!B47</f>
        <v/>
      </c>
      <c r="C47" s="168">
        <f>2025Schedule!C47</f>
        <v/>
      </c>
      <c r="D47" s="168">
        <f>2025Schedule!D47</f>
        <v/>
      </c>
      <c r="E47" s="168">
        <f>2025Schedule!E47</f>
        <v/>
      </c>
      <c r="F47" s="168">
        <f>2025Schedule!F47</f>
        <v/>
      </c>
      <c r="G47" s="168">
        <f>2025Schedule!G47</f>
        <v/>
      </c>
      <c r="H47" s="168">
        <f>2025Schedule!H47</f>
        <v/>
      </c>
      <c r="I47" s="168">
        <f>2025Schedule!I47</f>
        <v/>
      </c>
      <c r="J47" s="168">
        <f>2025Schedule!J47</f>
        <v/>
      </c>
      <c r="K47" s="156">
        <f>IF(AND(F47=0,I47=0),"",IF(F47&gt;I47,B47&amp;E47,IF(F47&lt;I47,B47&amp;H47,"Tie")))</f>
        <v/>
      </c>
      <c r="L47" s="156">
        <f>IFERROR(IF(AND(B47&lt;$L$1,F47&gt;I47),"Win",IF(AND(B47&lt;$L$1,F47&lt;I47),"Loss","")),"")</f>
        <v/>
      </c>
      <c r="M47" s="156">
        <f>IF(B47&lt;_CurWeek,"In","")</f>
        <v/>
      </c>
      <c r="N47" s="156">
        <f>IF(M47="In",E47&amp;G47,"")</f>
        <v/>
      </c>
      <c r="O47" s="156">
        <f>IF(L47="Win",1,0)</f>
        <v/>
      </c>
      <c r="S47" s="178" t="n"/>
      <c r="U47" s="172" t="n"/>
      <c r="Y47" s="172" t="n"/>
    </row>
    <row r="48" ht="14.4" customHeight="1" s="152">
      <c r="A48" s="167">
        <f>B48&amp;E48</f>
        <v/>
      </c>
      <c r="B48" s="168">
        <f>2025Schedule!B48</f>
        <v/>
      </c>
      <c r="C48" s="168">
        <f>2025Schedule!C48</f>
        <v/>
      </c>
      <c r="D48" s="168">
        <f>2025Schedule!D48</f>
        <v/>
      </c>
      <c r="E48" s="168">
        <f>2025Schedule!E48</f>
        <v/>
      </c>
      <c r="F48" s="168">
        <f>2025Schedule!F48</f>
        <v/>
      </c>
      <c r="G48" s="168">
        <f>2025Schedule!G48</f>
        <v/>
      </c>
      <c r="H48" s="168">
        <f>2025Schedule!H48</f>
        <v/>
      </c>
      <c r="I48" s="168">
        <f>2025Schedule!I48</f>
        <v/>
      </c>
      <c r="J48" s="168">
        <f>2025Schedule!J48</f>
        <v/>
      </c>
      <c r="K48" s="156">
        <f>IF(AND(F48=0,I48=0),"",IF(F48&gt;I48,B48&amp;E48,IF(F48&lt;I48,B48&amp;H48,"Tie")))</f>
        <v/>
      </c>
      <c r="L48" s="156">
        <f>IFERROR(IF(AND(B48&lt;$L$1,F48&gt;I48),"Win",IF(AND(B48&lt;$L$1,F48&lt;I48),"Loss","")),"")</f>
        <v/>
      </c>
      <c r="M48" s="156">
        <f>IF(B48&lt;_CurWeek,"In","")</f>
        <v/>
      </c>
      <c r="N48" s="156">
        <f>IF(M48="In",E48&amp;G48,"")</f>
        <v/>
      </c>
      <c r="O48" s="156">
        <f>IF(L48="Win",1,0)</f>
        <v/>
      </c>
      <c r="S48" s="178" t="n"/>
      <c r="U48" s="172" t="n"/>
      <c r="Y48" s="172" t="n"/>
    </row>
    <row r="49" ht="14.4" customHeight="1" s="152">
      <c r="A49" s="167">
        <f>B49&amp;E49</f>
        <v/>
      </c>
      <c r="B49" s="168">
        <f>2025Schedule!B49</f>
        <v/>
      </c>
      <c r="C49" s="168">
        <f>2025Schedule!C49</f>
        <v/>
      </c>
      <c r="D49" s="168">
        <f>2025Schedule!D49</f>
        <v/>
      </c>
      <c r="E49" s="168">
        <f>2025Schedule!E49</f>
        <v/>
      </c>
      <c r="F49" s="168">
        <f>2025Schedule!F49</f>
        <v/>
      </c>
      <c r="G49" s="168">
        <f>2025Schedule!G49</f>
        <v/>
      </c>
      <c r="H49" s="168">
        <f>2025Schedule!H49</f>
        <v/>
      </c>
      <c r="I49" s="168">
        <f>2025Schedule!I49</f>
        <v/>
      </c>
      <c r="J49" s="168">
        <f>2025Schedule!J49</f>
        <v/>
      </c>
      <c r="K49" s="156">
        <f>IF(AND(F49=0,I49=0),"",IF(F49&gt;I49,B49&amp;E49,IF(F49&lt;I49,B49&amp;H49,"Tie")))</f>
        <v/>
      </c>
      <c r="L49" s="156">
        <f>IFERROR(IF(AND(B49&lt;$L$1,F49&gt;I49),"Win",IF(AND(B49&lt;$L$1,F49&lt;I49),"Loss","")),"")</f>
        <v/>
      </c>
      <c r="M49" s="156">
        <f>IF(B49&lt;_CurWeek,"In","")</f>
        <v/>
      </c>
      <c r="N49" s="156">
        <f>IF(M49="In",E49&amp;G49,"")</f>
        <v/>
      </c>
      <c r="O49" s="156">
        <f>IF(L49="Win",1,0)</f>
        <v/>
      </c>
      <c r="S49" s="178" t="n"/>
      <c r="U49" s="172" t="n"/>
      <c r="Y49" s="172" t="n"/>
    </row>
    <row r="50" ht="14.4" customHeight="1" s="152">
      <c r="A50" s="167">
        <f>B50&amp;E50</f>
        <v/>
      </c>
      <c r="B50" s="168">
        <f>2025Schedule!B50</f>
        <v/>
      </c>
      <c r="C50" s="168">
        <f>2025Schedule!C50</f>
        <v/>
      </c>
      <c r="D50" s="168">
        <f>2025Schedule!D50</f>
        <v/>
      </c>
      <c r="E50" s="168">
        <f>2025Schedule!E50</f>
        <v/>
      </c>
      <c r="F50" s="168">
        <f>2025Schedule!F50</f>
        <v/>
      </c>
      <c r="G50" s="168">
        <f>2025Schedule!G50</f>
        <v/>
      </c>
      <c r="H50" s="168">
        <f>2025Schedule!H50</f>
        <v/>
      </c>
      <c r="I50" s="168">
        <f>2025Schedule!I50</f>
        <v/>
      </c>
      <c r="J50" s="168">
        <f>2025Schedule!J50</f>
        <v/>
      </c>
      <c r="K50" s="156">
        <f>IF(AND(F50=0,I50=0),"",IF(F50&gt;I50,B50&amp;E50,IF(F50&lt;I50,B50&amp;H50,"Tie")))</f>
        <v/>
      </c>
      <c r="L50" s="156">
        <f>IFERROR(IF(AND(B50&lt;$L$1,F50&gt;I50),"Win",IF(AND(B50&lt;$L$1,F50&lt;I50),"Loss","")),"")</f>
        <v/>
      </c>
      <c r="M50" s="156">
        <f>IF(B50&lt;_CurWeek,"In","")</f>
        <v/>
      </c>
      <c r="N50" s="156">
        <f>IF(M50="In",E50&amp;G50,"")</f>
        <v/>
      </c>
      <c r="O50" s="156">
        <f>IF(L50="Win",1,0)</f>
        <v/>
      </c>
      <c r="S50" s="178" t="n"/>
      <c r="U50" s="172" t="n"/>
      <c r="Y50" s="172" t="n"/>
    </row>
    <row r="51" ht="14.4" customHeight="1" s="152">
      <c r="A51" s="167">
        <f>B51&amp;E51</f>
        <v/>
      </c>
      <c r="B51" s="168">
        <f>2025Schedule!B51</f>
        <v/>
      </c>
      <c r="C51" s="168">
        <f>2025Schedule!C51</f>
        <v/>
      </c>
      <c r="D51" s="168">
        <f>2025Schedule!D51</f>
        <v/>
      </c>
      <c r="E51" s="168">
        <f>2025Schedule!E51</f>
        <v/>
      </c>
      <c r="F51" s="168">
        <f>2025Schedule!F51</f>
        <v/>
      </c>
      <c r="G51" s="168">
        <f>2025Schedule!G51</f>
        <v/>
      </c>
      <c r="H51" s="168">
        <f>2025Schedule!H51</f>
        <v/>
      </c>
      <c r="I51" s="168">
        <f>2025Schedule!I51</f>
        <v/>
      </c>
      <c r="J51" s="168">
        <f>2025Schedule!J51</f>
        <v/>
      </c>
      <c r="K51" s="156">
        <f>IF(AND(F51=0,I51=0),"",IF(F51&gt;I51,B51&amp;E51,IF(F51&lt;I51,B51&amp;H51,"Tie")))</f>
        <v/>
      </c>
      <c r="L51" s="156">
        <f>IFERROR(IF(AND(B51&lt;$L$1,F51&gt;I51),"Win",IF(AND(B51&lt;$L$1,F51&lt;I51),"Loss","")),"")</f>
        <v/>
      </c>
      <c r="M51" s="156">
        <f>IF(B51&lt;_CurWeek,"In","")</f>
        <v/>
      </c>
      <c r="N51" s="156">
        <f>IF(M51="In",E51&amp;G51,"")</f>
        <v/>
      </c>
      <c r="O51" s="156">
        <f>IF(L51="Win",1,0)</f>
        <v/>
      </c>
      <c r="S51" s="178" t="n"/>
      <c r="U51" s="172" t="n"/>
      <c r="Y51" s="172" t="n"/>
    </row>
    <row r="52" ht="14.4" customHeight="1" s="152">
      <c r="A52" s="167">
        <f>B52&amp;E52</f>
        <v/>
      </c>
      <c r="B52" s="168">
        <f>2025Schedule!B52</f>
        <v/>
      </c>
      <c r="C52" s="168">
        <f>2025Schedule!C52</f>
        <v/>
      </c>
      <c r="D52" s="168">
        <f>2025Schedule!D52</f>
        <v/>
      </c>
      <c r="E52" s="168">
        <f>2025Schedule!E52</f>
        <v/>
      </c>
      <c r="F52" s="168">
        <f>2025Schedule!F52</f>
        <v/>
      </c>
      <c r="G52" s="168">
        <f>2025Schedule!G52</f>
        <v/>
      </c>
      <c r="H52" s="168">
        <f>2025Schedule!H52</f>
        <v/>
      </c>
      <c r="I52" s="168">
        <f>2025Schedule!I52</f>
        <v/>
      </c>
      <c r="J52" s="168">
        <f>2025Schedule!J52</f>
        <v/>
      </c>
      <c r="K52" s="156">
        <f>IF(AND(F52=0,I52=0),"",IF(F52&gt;I52,B52&amp;E52,IF(F52&lt;I52,B52&amp;H52,"Tie")))</f>
        <v/>
      </c>
      <c r="L52" s="156">
        <f>IFERROR(IF(AND(B52&lt;$L$1,F52&gt;I52),"Win",IF(AND(B52&lt;$L$1,F52&lt;I52),"Loss","")),"")</f>
        <v/>
      </c>
      <c r="M52" s="156">
        <f>IF(B52&lt;_CurWeek,"In","")</f>
        <v/>
      </c>
      <c r="N52" s="156">
        <f>IF(M52="In",E52&amp;G52,"")</f>
        <v/>
      </c>
      <c r="O52" s="156">
        <f>IF(L52="Win",1,0)</f>
        <v/>
      </c>
      <c r="S52" s="178" t="n"/>
      <c r="U52" s="172" t="n"/>
      <c r="Y52" s="172" t="n"/>
    </row>
    <row r="53" ht="14.4" customHeight="1" s="152">
      <c r="A53" s="167">
        <f>B53&amp;E53</f>
        <v/>
      </c>
      <c r="B53" s="168">
        <f>2025Schedule!B53</f>
        <v/>
      </c>
      <c r="C53" s="168">
        <f>2025Schedule!C53</f>
        <v/>
      </c>
      <c r="D53" s="168">
        <f>2025Schedule!D53</f>
        <v/>
      </c>
      <c r="E53" s="168">
        <f>2025Schedule!E53</f>
        <v/>
      </c>
      <c r="F53" s="168">
        <f>2025Schedule!F53</f>
        <v/>
      </c>
      <c r="G53" s="168">
        <f>2025Schedule!G53</f>
        <v/>
      </c>
      <c r="H53" s="168">
        <f>2025Schedule!H53</f>
        <v/>
      </c>
      <c r="I53" s="168">
        <f>2025Schedule!I53</f>
        <v/>
      </c>
      <c r="J53" s="168">
        <f>2025Schedule!J53</f>
        <v/>
      </c>
      <c r="K53" s="156">
        <f>IF(AND(F53=0,I53=0),"",IF(F53&gt;I53,B53&amp;E53,IF(F53&lt;I53,B53&amp;H53,"Tie")))</f>
        <v/>
      </c>
      <c r="L53" s="156">
        <f>IFERROR(IF(AND(B53&lt;$L$1,F53&gt;I53),"Win",IF(AND(B53&lt;$L$1,F53&lt;I53),"Loss","")),"")</f>
        <v/>
      </c>
      <c r="M53" s="156">
        <f>IF(B53&lt;_CurWeek,"In","")</f>
        <v/>
      </c>
      <c r="N53" s="156">
        <f>IF(M53="In",E53&amp;G53,"")</f>
        <v/>
      </c>
      <c r="O53" s="156">
        <f>IF(L53="Win",1,0)</f>
        <v/>
      </c>
      <c r="S53" s="178" t="n"/>
      <c r="U53" s="172" t="n"/>
      <c r="Y53" s="172" t="n"/>
    </row>
    <row r="54" ht="14.4" customHeight="1" s="152">
      <c r="A54" s="167">
        <f>B54&amp;E54</f>
        <v/>
      </c>
      <c r="B54" s="168">
        <f>2025Schedule!B54</f>
        <v/>
      </c>
      <c r="C54" s="168">
        <f>2025Schedule!C54</f>
        <v/>
      </c>
      <c r="D54" s="168">
        <f>2025Schedule!D54</f>
        <v/>
      </c>
      <c r="E54" s="168">
        <f>2025Schedule!E54</f>
        <v/>
      </c>
      <c r="F54" s="168">
        <f>2025Schedule!F54</f>
        <v/>
      </c>
      <c r="G54" s="168">
        <f>2025Schedule!G54</f>
        <v/>
      </c>
      <c r="H54" s="168">
        <f>2025Schedule!H54</f>
        <v/>
      </c>
      <c r="I54" s="168">
        <f>2025Schedule!I54</f>
        <v/>
      </c>
      <c r="J54" s="168">
        <f>2025Schedule!J54</f>
        <v/>
      </c>
      <c r="K54" s="156">
        <f>IF(AND(F54=0,I54=0),"",IF(F54&gt;I54,B54&amp;E54,IF(F54&lt;I54,B54&amp;H54,"Tie")))</f>
        <v/>
      </c>
      <c r="L54" s="156">
        <f>IFERROR(IF(AND(B54&lt;$L$1,F54&gt;I54),"Win",IF(AND(B54&lt;$L$1,F54&lt;I54),"Loss","")),"")</f>
        <v/>
      </c>
      <c r="M54" s="156">
        <f>IF(B54&lt;_CurWeek,"In","")</f>
        <v/>
      </c>
      <c r="N54" s="156">
        <f>IF(M54="In",E54&amp;G54,"")</f>
        <v/>
      </c>
      <c r="O54" s="156">
        <f>IF(L54="Win",1,0)</f>
        <v/>
      </c>
      <c r="S54" s="178" t="n"/>
      <c r="U54" s="172" t="n"/>
      <c r="Y54" s="172" t="n"/>
    </row>
    <row r="55" ht="14.4" customHeight="1" s="152">
      <c r="A55" s="167">
        <f>B55&amp;E55</f>
        <v/>
      </c>
      <c r="B55" s="168">
        <f>2025Schedule!B55</f>
        <v/>
      </c>
      <c r="C55" s="168">
        <f>2025Schedule!C55</f>
        <v/>
      </c>
      <c r="D55" s="168">
        <f>2025Schedule!D55</f>
        <v/>
      </c>
      <c r="E55" s="168">
        <f>2025Schedule!E55</f>
        <v/>
      </c>
      <c r="F55" s="168">
        <f>2025Schedule!F55</f>
        <v/>
      </c>
      <c r="G55" s="168">
        <f>2025Schedule!G55</f>
        <v/>
      </c>
      <c r="H55" s="168">
        <f>2025Schedule!H55</f>
        <v/>
      </c>
      <c r="I55" s="168">
        <f>2025Schedule!I55</f>
        <v/>
      </c>
      <c r="J55" s="168">
        <f>2025Schedule!J55</f>
        <v/>
      </c>
      <c r="K55" s="156">
        <f>IF(AND(F55=0,I55=0),"",IF(F55&gt;I55,B55&amp;E55,IF(F55&lt;I55,B55&amp;H55,"Tie")))</f>
        <v/>
      </c>
      <c r="L55" s="156">
        <f>IFERROR(IF(AND(B55&lt;$L$1,F55&gt;I55),"Win",IF(AND(B55&lt;$L$1,F55&lt;I55),"Loss","")),"")</f>
        <v/>
      </c>
      <c r="M55" s="156">
        <f>IF(B55&lt;_CurWeek,"In","")</f>
        <v/>
      </c>
      <c r="N55" s="156">
        <f>IF(M55="In",E55&amp;G55,"")</f>
        <v/>
      </c>
      <c r="O55" s="156">
        <f>IF(L55="Win",1,0)</f>
        <v/>
      </c>
      <c r="S55" s="178" t="n"/>
      <c r="U55" s="172" t="n"/>
      <c r="Y55" s="172" t="n"/>
    </row>
    <row r="56" ht="14.4" customHeight="1" s="152">
      <c r="A56" s="167">
        <f>B56&amp;E56</f>
        <v/>
      </c>
      <c r="B56" s="168">
        <f>2025Schedule!B56</f>
        <v/>
      </c>
      <c r="C56" s="168">
        <f>2025Schedule!C56</f>
        <v/>
      </c>
      <c r="D56" s="168">
        <f>2025Schedule!D56</f>
        <v/>
      </c>
      <c r="E56" s="168">
        <f>2025Schedule!E56</f>
        <v/>
      </c>
      <c r="F56" s="168">
        <f>2025Schedule!F56</f>
        <v/>
      </c>
      <c r="G56" s="168">
        <f>2025Schedule!G56</f>
        <v/>
      </c>
      <c r="H56" s="168">
        <f>2025Schedule!H56</f>
        <v/>
      </c>
      <c r="I56" s="168">
        <f>2025Schedule!I56</f>
        <v/>
      </c>
      <c r="J56" s="168">
        <f>2025Schedule!J56</f>
        <v/>
      </c>
      <c r="K56" s="156">
        <f>IF(AND(F56=0,I56=0),"",IF(F56&gt;I56,B56&amp;E56,IF(F56&lt;I56,B56&amp;H56,"Tie")))</f>
        <v/>
      </c>
      <c r="L56" s="156">
        <f>IFERROR(IF(AND(B56&lt;$L$1,F56&gt;I56),"Win",IF(AND(B56&lt;$L$1,F56&lt;I56),"Loss","")),"")</f>
        <v/>
      </c>
      <c r="M56" s="156">
        <f>IF(B56&lt;_CurWeek,"In","")</f>
        <v/>
      </c>
      <c r="N56" s="156">
        <f>IF(M56="In",E56&amp;G56,"")</f>
        <v/>
      </c>
      <c r="O56" s="156">
        <f>IF(L56="Win",1,0)</f>
        <v/>
      </c>
      <c r="S56" s="178" t="n"/>
      <c r="U56" s="172" t="n"/>
      <c r="Y56" s="172" t="n"/>
    </row>
    <row r="57" ht="14.4" customHeight="1" s="152">
      <c r="A57" s="167">
        <f>B57&amp;E57</f>
        <v/>
      </c>
      <c r="B57" s="168">
        <f>2025Schedule!B57</f>
        <v/>
      </c>
      <c r="C57" s="168">
        <f>2025Schedule!C57</f>
        <v/>
      </c>
      <c r="D57" s="168">
        <f>2025Schedule!D57</f>
        <v/>
      </c>
      <c r="E57" s="168">
        <f>2025Schedule!E57</f>
        <v/>
      </c>
      <c r="F57" s="168">
        <f>2025Schedule!F57</f>
        <v/>
      </c>
      <c r="G57" s="168">
        <f>2025Schedule!G57</f>
        <v/>
      </c>
      <c r="H57" s="168">
        <f>2025Schedule!H57</f>
        <v/>
      </c>
      <c r="I57" s="168">
        <f>2025Schedule!I57</f>
        <v/>
      </c>
      <c r="J57" s="168">
        <f>2025Schedule!J57</f>
        <v/>
      </c>
      <c r="K57" s="156">
        <f>IF(AND(F57=0,I57=0),"",IF(F57&gt;I57,B57&amp;E57,IF(F57&lt;I57,B57&amp;H57,"Tie")))</f>
        <v/>
      </c>
      <c r="L57" s="156">
        <f>IFERROR(IF(AND(B57&lt;$L$1,F57&gt;I57),"Win",IF(AND(B57&lt;$L$1,F57&lt;I57),"Loss","")),"")</f>
        <v/>
      </c>
      <c r="M57" s="156">
        <f>IF(B57&lt;_CurWeek,"In","")</f>
        <v/>
      </c>
      <c r="N57" s="156">
        <f>IF(M57="In",E57&amp;G57,"")</f>
        <v/>
      </c>
      <c r="O57" s="156">
        <f>IF(L57="Win",1,0)</f>
        <v/>
      </c>
      <c r="S57" s="178" t="n"/>
      <c r="U57" s="172" t="n"/>
      <c r="Y57" s="172" t="n"/>
    </row>
    <row r="58" ht="14.4" customHeight="1" s="152">
      <c r="A58" s="167">
        <f>B58&amp;E58</f>
        <v/>
      </c>
      <c r="B58" s="168">
        <f>2025Schedule!B58</f>
        <v/>
      </c>
      <c r="C58" s="168">
        <f>2025Schedule!C58</f>
        <v/>
      </c>
      <c r="D58" s="168">
        <f>2025Schedule!D58</f>
        <v/>
      </c>
      <c r="E58" s="168">
        <f>2025Schedule!E58</f>
        <v/>
      </c>
      <c r="F58" s="168">
        <f>2025Schedule!F58</f>
        <v/>
      </c>
      <c r="G58" s="168">
        <f>2025Schedule!G58</f>
        <v/>
      </c>
      <c r="H58" s="168">
        <f>2025Schedule!H58</f>
        <v/>
      </c>
      <c r="I58" s="168">
        <f>2025Schedule!I58</f>
        <v/>
      </c>
      <c r="J58" s="168">
        <f>2025Schedule!J58</f>
        <v/>
      </c>
      <c r="K58" s="156">
        <f>IF(AND(F58=0,I58=0),"",IF(F58&gt;I58,B58&amp;E58,IF(F58&lt;I58,B58&amp;H58,"Tie")))</f>
        <v/>
      </c>
      <c r="L58" s="156">
        <f>IFERROR(IF(AND(B58&lt;$L$1,F58&gt;I58),"Win",IF(AND(B58&lt;$L$1,F58&lt;I58),"Loss","")),"")</f>
        <v/>
      </c>
      <c r="M58" s="156">
        <f>IF(B58&lt;_CurWeek,"In","")</f>
        <v/>
      </c>
      <c r="N58" s="156">
        <f>IF(M58="In",E58&amp;G58,"")</f>
        <v/>
      </c>
      <c r="O58" s="156">
        <f>IF(L58="Win",1,0)</f>
        <v/>
      </c>
      <c r="S58" s="178" t="n"/>
      <c r="U58" s="172" t="n"/>
      <c r="Y58" s="172" t="n"/>
    </row>
    <row r="59" ht="14.4" customHeight="1" s="152">
      <c r="A59" s="167">
        <f>B59&amp;E59</f>
        <v/>
      </c>
      <c r="B59" s="168">
        <f>2025Schedule!B59</f>
        <v/>
      </c>
      <c r="C59" s="168">
        <f>2025Schedule!C59</f>
        <v/>
      </c>
      <c r="D59" s="168">
        <f>2025Schedule!D59</f>
        <v/>
      </c>
      <c r="E59" s="168">
        <f>2025Schedule!E59</f>
        <v/>
      </c>
      <c r="F59" s="168">
        <f>2025Schedule!F59</f>
        <v/>
      </c>
      <c r="G59" s="168">
        <f>2025Schedule!G59</f>
        <v/>
      </c>
      <c r="H59" s="168">
        <f>2025Schedule!H59</f>
        <v/>
      </c>
      <c r="I59" s="168">
        <f>2025Schedule!I59</f>
        <v/>
      </c>
      <c r="J59" s="168">
        <f>2025Schedule!J59</f>
        <v/>
      </c>
      <c r="K59" s="156">
        <f>IF(AND(F59=0,I59=0),"",IF(F59&gt;I59,B59&amp;E59,IF(F59&lt;I59,B59&amp;H59,"Tie")))</f>
        <v/>
      </c>
      <c r="L59" s="156">
        <f>IFERROR(IF(AND(B59&lt;$L$1,F59&gt;I59),"Win",IF(AND(B59&lt;$L$1,F59&lt;I59),"Loss","")),"")</f>
        <v/>
      </c>
      <c r="M59" s="156">
        <f>IF(B59&lt;_CurWeek,"In","")</f>
        <v/>
      </c>
      <c r="N59" s="156">
        <f>IF(M59="In",E59&amp;G59,"")</f>
        <v/>
      </c>
      <c r="O59" s="156">
        <f>IF(L59="Win",1,0)</f>
        <v/>
      </c>
      <c r="S59" s="178" t="n"/>
      <c r="U59" s="172" t="n"/>
      <c r="Y59" s="172" t="n"/>
    </row>
    <row r="60" ht="14.4" customHeight="1" s="152">
      <c r="A60" s="167">
        <f>B60&amp;E60</f>
        <v/>
      </c>
      <c r="B60" s="168">
        <f>2025Schedule!B60</f>
        <v/>
      </c>
      <c r="C60" s="168">
        <f>2025Schedule!C60</f>
        <v/>
      </c>
      <c r="D60" s="168">
        <f>2025Schedule!D60</f>
        <v/>
      </c>
      <c r="E60" s="168">
        <f>2025Schedule!E60</f>
        <v/>
      </c>
      <c r="F60" s="168">
        <f>2025Schedule!F60</f>
        <v/>
      </c>
      <c r="G60" s="168">
        <f>2025Schedule!G60</f>
        <v/>
      </c>
      <c r="H60" s="168">
        <f>2025Schedule!H60</f>
        <v/>
      </c>
      <c r="I60" s="168">
        <f>2025Schedule!I60</f>
        <v/>
      </c>
      <c r="J60" s="168">
        <f>2025Schedule!J60</f>
        <v/>
      </c>
      <c r="K60" s="156">
        <f>IF(AND(F60=0,I60=0),"",IF(F60&gt;I60,B60&amp;E60,IF(F60&lt;I60,B60&amp;H60,"Tie")))</f>
        <v/>
      </c>
      <c r="L60" s="156">
        <f>IFERROR(IF(AND(B60&lt;$L$1,F60&gt;I60),"Win",IF(AND(B60&lt;$L$1,F60&lt;I60),"Loss","")),"")</f>
        <v/>
      </c>
      <c r="M60" s="156">
        <f>IF(B60&lt;_CurWeek,"In","")</f>
        <v/>
      </c>
      <c r="N60" s="156">
        <f>IF(M60="In",E60&amp;G60,"")</f>
        <v/>
      </c>
      <c r="O60" s="156">
        <f>IF(L60="Win",1,0)</f>
        <v/>
      </c>
      <c r="S60" s="178" t="n"/>
      <c r="U60" s="172" t="n"/>
      <c r="Y60" s="172" t="n"/>
    </row>
    <row r="61" ht="14.4" customHeight="1" s="152">
      <c r="A61" s="167">
        <f>B61&amp;E61</f>
        <v/>
      </c>
      <c r="B61" s="168">
        <f>2025Schedule!B61</f>
        <v/>
      </c>
      <c r="C61" s="168">
        <f>2025Schedule!C61</f>
        <v/>
      </c>
      <c r="D61" s="168">
        <f>2025Schedule!D61</f>
        <v/>
      </c>
      <c r="E61" s="168">
        <f>2025Schedule!E61</f>
        <v/>
      </c>
      <c r="F61" s="168">
        <f>2025Schedule!F61</f>
        <v/>
      </c>
      <c r="G61" s="168">
        <f>2025Schedule!G61</f>
        <v/>
      </c>
      <c r="H61" s="168">
        <f>2025Schedule!H61</f>
        <v/>
      </c>
      <c r="I61" s="168">
        <f>2025Schedule!I61</f>
        <v/>
      </c>
      <c r="J61" s="168">
        <f>2025Schedule!J61</f>
        <v/>
      </c>
      <c r="K61" s="156">
        <f>IF(AND(F61=0,I61=0),"",IF(F61&gt;I61,B61&amp;E61,IF(F61&lt;I61,B61&amp;H61,"Tie")))</f>
        <v/>
      </c>
      <c r="L61" s="156">
        <f>IFERROR(IF(AND(B61&lt;$L$1,F61&gt;I61),"Win",IF(AND(B61&lt;$L$1,F61&lt;I61),"Loss","")),"")</f>
        <v/>
      </c>
      <c r="M61" s="156">
        <f>IF(B61&lt;_CurWeek,"In","")</f>
        <v/>
      </c>
      <c r="N61" s="156">
        <f>IF(M61="In",E61&amp;G61,"")</f>
        <v/>
      </c>
      <c r="O61" s="156">
        <f>IF(L61="Win",1,0)</f>
        <v/>
      </c>
      <c r="S61" s="178" t="n"/>
      <c r="U61" s="172" t="n"/>
      <c r="Y61" s="172" t="n"/>
    </row>
    <row r="62" ht="14.4" customHeight="1" s="152">
      <c r="A62" s="167">
        <f>B62&amp;E62</f>
        <v/>
      </c>
      <c r="B62" s="168">
        <f>2025Schedule!B62</f>
        <v/>
      </c>
      <c r="C62" s="168">
        <f>2025Schedule!C62</f>
        <v/>
      </c>
      <c r="D62" s="168">
        <f>2025Schedule!D62</f>
        <v/>
      </c>
      <c r="E62" s="168">
        <f>2025Schedule!E62</f>
        <v/>
      </c>
      <c r="F62" s="168">
        <f>2025Schedule!F62</f>
        <v/>
      </c>
      <c r="G62" s="168">
        <f>2025Schedule!G62</f>
        <v/>
      </c>
      <c r="H62" s="168">
        <f>2025Schedule!H62</f>
        <v/>
      </c>
      <c r="I62" s="168">
        <f>2025Schedule!I62</f>
        <v/>
      </c>
      <c r="J62" s="168">
        <f>2025Schedule!J62</f>
        <v/>
      </c>
      <c r="K62" s="156">
        <f>IF(AND(F62=0,I62=0),"",IF(F62&gt;I62,B62&amp;E62,IF(F62&lt;I62,B62&amp;H62,"Tie")))</f>
        <v/>
      </c>
      <c r="L62" s="156">
        <f>IFERROR(IF(AND(B62&lt;$L$1,F62&gt;I62),"Win",IF(AND(B62&lt;$L$1,F62&lt;I62),"Loss","")),"")</f>
        <v/>
      </c>
      <c r="M62" s="156">
        <f>IF(B62&lt;_CurWeek,"In","")</f>
        <v/>
      </c>
      <c r="N62" s="156">
        <f>IF(M62="In",E62&amp;G62,"")</f>
        <v/>
      </c>
      <c r="O62" s="156">
        <f>IF(L62="Win",1,0)</f>
        <v/>
      </c>
      <c r="S62" s="178" t="n"/>
      <c r="U62" s="172" t="n"/>
      <c r="Y62" s="172" t="n"/>
    </row>
    <row r="63" ht="14.4" customHeight="1" s="152">
      <c r="A63" s="167">
        <f>B63&amp;E63</f>
        <v/>
      </c>
      <c r="B63" s="168">
        <f>2025Schedule!B63</f>
        <v/>
      </c>
      <c r="C63" s="168">
        <f>2025Schedule!C63</f>
        <v/>
      </c>
      <c r="D63" s="168">
        <f>2025Schedule!D63</f>
        <v/>
      </c>
      <c r="E63" s="168">
        <f>2025Schedule!E63</f>
        <v/>
      </c>
      <c r="F63" s="168">
        <f>2025Schedule!F63</f>
        <v/>
      </c>
      <c r="G63" s="168">
        <f>2025Schedule!G63</f>
        <v/>
      </c>
      <c r="H63" s="168">
        <f>2025Schedule!H63</f>
        <v/>
      </c>
      <c r="I63" s="168">
        <f>2025Schedule!I63</f>
        <v/>
      </c>
      <c r="J63" s="168">
        <f>2025Schedule!J63</f>
        <v/>
      </c>
      <c r="K63" s="156">
        <f>IF(AND(F63=0,I63=0),"",IF(F63&gt;I63,B63&amp;E63,IF(F63&lt;I63,B63&amp;H63,"Tie")))</f>
        <v/>
      </c>
      <c r="L63" s="156">
        <f>IFERROR(IF(AND(B63&lt;$L$1,F63&gt;I63),"Win",IF(AND(B63&lt;$L$1,F63&lt;I63),"Loss","")),"")</f>
        <v/>
      </c>
      <c r="M63" s="156">
        <f>IF(B63&lt;_CurWeek,"In","")</f>
        <v/>
      </c>
      <c r="N63" s="156">
        <f>IF(M63="In",E63&amp;G63,"")</f>
        <v/>
      </c>
      <c r="O63" s="156">
        <f>IF(L63="Win",1,0)</f>
        <v/>
      </c>
      <c r="S63" s="178" t="n"/>
      <c r="U63" s="172" t="n"/>
      <c r="Y63" s="172" t="n"/>
    </row>
    <row r="64" ht="14.4" customHeight="1" s="152">
      <c r="A64" s="167">
        <f>B64&amp;E64</f>
        <v/>
      </c>
      <c r="B64" s="168">
        <f>2025Schedule!B64</f>
        <v/>
      </c>
      <c r="C64" s="168">
        <f>2025Schedule!C64</f>
        <v/>
      </c>
      <c r="D64" s="168">
        <f>2025Schedule!D64</f>
        <v/>
      </c>
      <c r="E64" s="168">
        <f>2025Schedule!E64</f>
        <v/>
      </c>
      <c r="F64" s="168">
        <f>2025Schedule!F64</f>
        <v/>
      </c>
      <c r="G64" s="168">
        <f>2025Schedule!G64</f>
        <v/>
      </c>
      <c r="H64" s="168">
        <f>2025Schedule!H64</f>
        <v/>
      </c>
      <c r="I64" s="168">
        <f>2025Schedule!I64</f>
        <v/>
      </c>
      <c r="J64" s="168">
        <f>2025Schedule!J64</f>
        <v/>
      </c>
      <c r="K64" s="156">
        <f>IF(AND(F64=0,I64=0),"",IF(F64&gt;I64,B64&amp;E64,IF(F64&lt;I64,B64&amp;H64,"Tie")))</f>
        <v/>
      </c>
      <c r="L64" s="156">
        <f>IFERROR(IF(AND(B64&lt;$L$1,F64&gt;I64),"Win",IF(AND(B64&lt;$L$1,F64&lt;I64),"Loss","")),"")</f>
        <v/>
      </c>
      <c r="M64" s="156">
        <f>IF(B64&lt;_CurWeek,"In","")</f>
        <v/>
      </c>
      <c r="N64" s="156">
        <f>IF(M64="In",E64&amp;G64,"")</f>
        <v/>
      </c>
      <c r="O64" s="156">
        <f>IF(L64="Win",1,0)</f>
        <v/>
      </c>
      <c r="S64" s="178" t="n"/>
      <c r="U64" s="172" t="n"/>
      <c r="Y64" s="172" t="n"/>
    </row>
    <row r="65" ht="14.4" customHeight="1" s="152">
      <c r="A65" s="167">
        <f>B65&amp;E65</f>
        <v/>
      </c>
      <c r="B65" s="168">
        <f>2025Schedule!B65</f>
        <v/>
      </c>
      <c r="C65" s="168">
        <f>2025Schedule!C65</f>
        <v/>
      </c>
      <c r="D65" s="168">
        <f>2025Schedule!D65</f>
        <v/>
      </c>
      <c r="E65" s="168">
        <f>2025Schedule!E65</f>
        <v/>
      </c>
      <c r="F65" s="168">
        <f>2025Schedule!F65</f>
        <v/>
      </c>
      <c r="G65" s="168">
        <f>2025Schedule!G65</f>
        <v/>
      </c>
      <c r="H65" s="168">
        <f>2025Schedule!H65</f>
        <v/>
      </c>
      <c r="I65" s="168">
        <f>2025Schedule!I65</f>
        <v/>
      </c>
      <c r="J65" s="168">
        <f>2025Schedule!J65</f>
        <v/>
      </c>
      <c r="K65" s="156">
        <f>IF(AND(F65=0,I65=0),"",IF(F65&gt;I65,B65&amp;E65,IF(F65&lt;I65,B65&amp;H65,"Tie")))</f>
        <v/>
      </c>
      <c r="L65" s="156">
        <f>IFERROR(IF(AND(B65&lt;$L$1,F65&gt;I65),"Win",IF(AND(B65&lt;$L$1,F65&lt;I65),"Loss","")),"")</f>
        <v/>
      </c>
      <c r="M65" s="156">
        <f>IF(B65&lt;_CurWeek,"In","")</f>
        <v/>
      </c>
      <c r="N65" s="156">
        <f>IF(M65="In",E65&amp;G65,"")</f>
        <v/>
      </c>
      <c r="O65" s="156">
        <f>IF(L65="Win",1,0)</f>
        <v/>
      </c>
      <c r="S65" s="178" t="n"/>
      <c r="U65" s="172" t="n"/>
      <c r="Y65" s="172" t="n"/>
    </row>
    <row r="66" ht="14.4" customHeight="1" s="152">
      <c r="A66" s="167">
        <f>B66&amp;E66</f>
        <v/>
      </c>
      <c r="B66" s="168">
        <f>2025Schedule!B66</f>
        <v/>
      </c>
      <c r="C66" s="168">
        <f>2025Schedule!C66</f>
        <v/>
      </c>
      <c r="D66" s="168">
        <f>2025Schedule!D66</f>
        <v/>
      </c>
      <c r="E66" s="168">
        <f>2025Schedule!E66</f>
        <v/>
      </c>
      <c r="F66" s="168">
        <f>2025Schedule!F66</f>
        <v/>
      </c>
      <c r="G66" s="168">
        <f>2025Schedule!G66</f>
        <v/>
      </c>
      <c r="H66" s="168">
        <f>2025Schedule!H66</f>
        <v/>
      </c>
      <c r="I66" s="168">
        <f>2025Schedule!I66</f>
        <v/>
      </c>
      <c r="J66" s="168">
        <f>2025Schedule!J66</f>
        <v/>
      </c>
      <c r="K66" s="156">
        <f>IF(AND(F66=0,I66=0),"",IF(F66&gt;I66,B66&amp;E66,IF(F66&lt;I66,B66&amp;H66,"Tie")))</f>
        <v/>
      </c>
      <c r="L66" s="156">
        <f>IFERROR(IF(AND(B66&lt;$L$1,F66&gt;I66),"Win",IF(AND(B66&lt;$L$1,F66&lt;I66),"Loss","")),"")</f>
        <v/>
      </c>
      <c r="M66" s="156">
        <f>IF(B66&lt;_CurWeek,"In","")</f>
        <v/>
      </c>
      <c r="N66" s="156">
        <f>IF(M66="In",E66&amp;G66,"")</f>
        <v/>
      </c>
      <c r="O66" s="156">
        <f>IF(L66="Win",1,0)</f>
        <v/>
      </c>
      <c r="S66" s="178" t="n"/>
      <c r="U66" s="172" t="n"/>
      <c r="Y66" s="172" t="n"/>
    </row>
    <row r="67" ht="14.4" customHeight="1" s="152">
      <c r="A67" s="167">
        <f>B67&amp;E67</f>
        <v/>
      </c>
      <c r="B67" s="168">
        <f>2025Schedule!B67</f>
        <v/>
      </c>
      <c r="C67" s="168">
        <f>2025Schedule!C67</f>
        <v/>
      </c>
      <c r="D67" s="168">
        <f>2025Schedule!D67</f>
        <v/>
      </c>
      <c r="E67" s="168">
        <f>2025Schedule!E67</f>
        <v/>
      </c>
      <c r="F67" s="168">
        <f>2025Schedule!F67</f>
        <v/>
      </c>
      <c r="G67" s="168">
        <f>2025Schedule!G67</f>
        <v/>
      </c>
      <c r="H67" s="168">
        <f>2025Schedule!H67</f>
        <v/>
      </c>
      <c r="I67" s="168">
        <f>2025Schedule!I67</f>
        <v/>
      </c>
      <c r="J67" s="168">
        <f>2025Schedule!J67</f>
        <v/>
      </c>
      <c r="K67" s="156">
        <f>IF(AND(F67=0,I67=0),"",IF(F67&gt;I67,B67&amp;E67,IF(F67&lt;I67,B67&amp;H67,"Tie")))</f>
        <v/>
      </c>
      <c r="L67" s="156">
        <f>IFERROR(IF(AND(B67&lt;$L$1,F67&gt;I67),"Win",IF(AND(B67&lt;$L$1,F67&lt;I67),"Loss","")),"")</f>
        <v/>
      </c>
      <c r="M67" s="156">
        <f>IF(B67&lt;_CurWeek,"In","")</f>
        <v/>
      </c>
      <c r="N67" s="156">
        <f>IF(M67="In",E67&amp;G67,"")</f>
        <v/>
      </c>
      <c r="O67" s="156">
        <f>IF(L67="Win",1,0)</f>
        <v/>
      </c>
      <c r="S67" s="178" t="n"/>
      <c r="U67" s="172" t="n"/>
      <c r="Y67" s="172" t="n"/>
    </row>
    <row r="68" ht="14.4" customHeight="1" s="152">
      <c r="A68" s="167">
        <f>B68&amp;E68</f>
        <v/>
      </c>
      <c r="B68" s="168">
        <f>2025Schedule!B68</f>
        <v/>
      </c>
      <c r="C68" s="168">
        <f>2025Schedule!C68</f>
        <v/>
      </c>
      <c r="D68" s="168">
        <f>2025Schedule!D68</f>
        <v/>
      </c>
      <c r="E68" s="168">
        <f>2025Schedule!E68</f>
        <v/>
      </c>
      <c r="F68" s="168">
        <f>2025Schedule!F68</f>
        <v/>
      </c>
      <c r="G68" s="168">
        <f>2025Schedule!G68</f>
        <v/>
      </c>
      <c r="H68" s="168">
        <f>2025Schedule!H68</f>
        <v/>
      </c>
      <c r="I68" s="168">
        <f>2025Schedule!I68</f>
        <v/>
      </c>
      <c r="J68" s="168">
        <f>2025Schedule!J68</f>
        <v/>
      </c>
      <c r="K68" s="156">
        <f>IF(AND(F68=0,I68=0),"",IF(F68&gt;I68,B68&amp;E68,IF(F68&lt;I68,B68&amp;H68,"Tie")))</f>
        <v/>
      </c>
      <c r="L68" s="156">
        <f>IFERROR(IF(AND(B68&lt;$L$1,F68&gt;I68),"Win",IF(AND(B68&lt;$L$1,F68&lt;I68),"Loss","")),"")</f>
        <v/>
      </c>
      <c r="M68" s="156">
        <f>IF(B68&lt;_CurWeek,"In","")</f>
        <v/>
      </c>
      <c r="N68" s="156">
        <f>IF(M68="In",E68&amp;G68,"")</f>
        <v/>
      </c>
      <c r="O68" s="156">
        <f>IF(L68="Win",1,0)</f>
        <v/>
      </c>
      <c r="S68" s="178" t="n"/>
      <c r="U68" s="172" t="n"/>
      <c r="Y68" s="172" t="n"/>
    </row>
    <row r="69" ht="14.4" customHeight="1" s="152">
      <c r="A69" s="167">
        <f>B69&amp;E69</f>
        <v/>
      </c>
      <c r="B69" s="168">
        <f>2025Schedule!B69</f>
        <v/>
      </c>
      <c r="C69" s="168">
        <f>2025Schedule!C69</f>
        <v/>
      </c>
      <c r="D69" s="168">
        <f>2025Schedule!D69</f>
        <v/>
      </c>
      <c r="E69" s="168">
        <f>2025Schedule!E69</f>
        <v/>
      </c>
      <c r="F69" s="168">
        <f>2025Schedule!F69</f>
        <v/>
      </c>
      <c r="G69" s="168">
        <f>2025Schedule!G69</f>
        <v/>
      </c>
      <c r="H69" s="168">
        <f>2025Schedule!H69</f>
        <v/>
      </c>
      <c r="I69" s="168">
        <f>2025Schedule!I69</f>
        <v/>
      </c>
      <c r="J69" s="168">
        <f>2025Schedule!J69</f>
        <v/>
      </c>
      <c r="K69" s="156">
        <f>IF(AND(F69=0,I69=0),"",IF(F69&gt;I69,B69&amp;E69,IF(F69&lt;I69,B69&amp;H69,"Tie")))</f>
        <v/>
      </c>
      <c r="L69" s="156">
        <f>IFERROR(IF(AND(B69&lt;$L$1,F69&gt;I69),"Win",IF(AND(B69&lt;$L$1,F69&lt;I69),"Loss","")),"")</f>
        <v/>
      </c>
      <c r="M69" s="156">
        <f>IF(B69&lt;_CurWeek,"In","")</f>
        <v/>
      </c>
      <c r="N69" s="156">
        <f>IF(M69="In",E69&amp;G69,"")</f>
        <v/>
      </c>
      <c r="O69" s="156">
        <f>IF(L69="Win",1,0)</f>
        <v/>
      </c>
      <c r="S69" s="178" t="n"/>
      <c r="U69" s="172" t="n"/>
      <c r="Y69" s="172" t="n"/>
    </row>
    <row r="70" ht="14.4" customHeight="1" s="152">
      <c r="A70" s="167">
        <f>B70&amp;E70</f>
        <v/>
      </c>
      <c r="B70" s="168">
        <f>2025Schedule!B70</f>
        <v/>
      </c>
      <c r="C70" s="168">
        <f>2025Schedule!C70</f>
        <v/>
      </c>
      <c r="D70" s="168">
        <f>2025Schedule!D70</f>
        <v/>
      </c>
      <c r="E70" s="168">
        <f>2025Schedule!E70</f>
        <v/>
      </c>
      <c r="F70" s="168">
        <f>2025Schedule!F70</f>
        <v/>
      </c>
      <c r="G70" s="168">
        <f>2025Schedule!G70</f>
        <v/>
      </c>
      <c r="H70" s="168">
        <f>2025Schedule!H70</f>
        <v/>
      </c>
      <c r="I70" s="168">
        <f>2025Schedule!I70</f>
        <v/>
      </c>
      <c r="J70" s="168">
        <f>2025Schedule!J70</f>
        <v/>
      </c>
      <c r="K70" s="156">
        <f>IF(AND(F70=0,I70=0),"",IF(F70&gt;I70,B70&amp;E70,IF(F70&lt;I70,B70&amp;H70,"Tie")))</f>
        <v/>
      </c>
      <c r="L70" s="156">
        <f>IFERROR(IF(AND(B70&lt;$L$1,F70&gt;I70),"Win",IF(AND(B70&lt;$L$1,F70&lt;I70),"Loss","")),"")</f>
        <v/>
      </c>
      <c r="M70" s="156">
        <f>IF(B70&lt;_CurWeek,"In","")</f>
        <v/>
      </c>
      <c r="N70" s="156">
        <f>IF(M70="In",E70&amp;G70,"")</f>
        <v/>
      </c>
      <c r="O70" s="156">
        <f>IF(L70="Win",1,0)</f>
        <v/>
      </c>
      <c r="S70" s="178" t="n"/>
      <c r="U70" s="172" t="n"/>
      <c r="Y70" s="172" t="n"/>
    </row>
    <row r="71" ht="14.4" customHeight="1" s="152">
      <c r="A71" s="167">
        <f>B71&amp;E71</f>
        <v/>
      </c>
      <c r="B71" s="168">
        <f>2025Schedule!B71</f>
        <v/>
      </c>
      <c r="C71" s="168">
        <f>2025Schedule!C71</f>
        <v/>
      </c>
      <c r="D71" s="168">
        <f>2025Schedule!D71</f>
        <v/>
      </c>
      <c r="E71" s="168">
        <f>2025Schedule!E71</f>
        <v/>
      </c>
      <c r="F71" s="168">
        <f>2025Schedule!F71</f>
        <v/>
      </c>
      <c r="G71" s="168">
        <f>2025Schedule!G71</f>
        <v/>
      </c>
      <c r="H71" s="168">
        <f>2025Schedule!H71</f>
        <v/>
      </c>
      <c r="I71" s="168">
        <f>2025Schedule!I71</f>
        <v/>
      </c>
      <c r="J71" s="168">
        <f>2025Schedule!J71</f>
        <v/>
      </c>
      <c r="K71" s="156">
        <f>IF(AND(F71=0,I71=0),"",IF(F71&gt;I71,B71&amp;E71,IF(F71&lt;I71,B71&amp;H71,"Tie")))</f>
        <v/>
      </c>
      <c r="L71" s="156">
        <f>IFERROR(IF(AND(B71&lt;$L$1,F71&gt;I71),"Win",IF(AND(B71&lt;$L$1,F71&lt;I71),"Loss","")),"")</f>
        <v/>
      </c>
      <c r="M71" s="156">
        <f>IF(B71&lt;_CurWeek,"In","")</f>
        <v/>
      </c>
      <c r="N71" s="156">
        <f>IF(M71="In",E71&amp;G71,"")</f>
        <v/>
      </c>
      <c r="O71" s="156">
        <f>IF(L71="Win",1,0)</f>
        <v/>
      </c>
      <c r="S71" s="178" t="n"/>
      <c r="U71" s="172" t="n"/>
      <c r="Y71" s="172" t="n"/>
    </row>
    <row r="72" ht="14.4" customHeight="1" s="152">
      <c r="A72" s="167">
        <f>B72&amp;E72</f>
        <v/>
      </c>
      <c r="B72" s="168">
        <f>2025Schedule!B72</f>
        <v/>
      </c>
      <c r="C72" s="168">
        <f>2025Schedule!C72</f>
        <v/>
      </c>
      <c r="D72" s="168">
        <f>2025Schedule!D72</f>
        <v/>
      </c>
      <c r="E72" s="168">
        <f>2025Schedule!E72</f>
        <v/>
      </c>
      <c r="F72" s="168">
        <f>2025Schedule!F72</f>
        <v/>
      </c>
      <c r="G72" s="168">
        <f>2025Schedule!G72</f>
        <v/>
      </c>
      <c r="H72" s="168">
        <f>2025Schedule!H72</f>
        <v/>
      </c>
      <c r="I72" s="168">
        <f>2025Schedule!I72</f>
        <v/>
      </c>
      <c r="J72" s="168">
        <f>2025Schedule!J72</f>
        <v/>
      </c>
      <c r="K72" s="156">
        <f>IF(AND(F72=0,I72=0),"",IF(F72&gt;I72,B72&amp;E72,IF(F72&lt;I72,B72&amp;H72,"Tie")))</f>
        <v/>
      </c>
      <c r="L72" s="156">
        <f>IFERROR(IF(AND(B72&lt;$L$1,F72&gt;I72),"Win",IF(AND(B72&lt;$L$1,F72&lt;I72),"Loss","")),"")</f>
        <v/>
      </c>
      <c r="M72" s="156">
        <f>IF(B72&lt;_CurWeek,"In","")</f>
        <v/>
      </c>
      <c r="N72" s="156">
        <f>IF(M72="In",E72&amp;G72,"")</f>
        <v/>
      </c>
      <c r="O72" s="156">
        <f>IF(L72="Win",1,0)</f>
        <v/>
      </c>
      <c r="S72" s="178" t="n"/>
      <c r="U72" s="172" t="n"/>
      <c r="Y72" s="172" t="n"/>
    </row>
    <row r="73" ht="14.4" customHeight="1" s="152">
      <c r="A73" s="167">
        <f>B73&amp;E73</f>
        <v/>
      </c>
      <c r="B73" s="168">
        <f>2025Schedule!B73</f>
        <v/>
      </c>
      <c r="C73" s="168">
        <f>2025Schedule!C73</f>
        <v/>
      </c>
      <c r="D73" s="168">
        <f>2025Schedule!D73</f>
        <v/>
      </c>
      <c r="E73" s="168">
        <f>2025Schedule!E73</f>
        <v/>
      </c>
      <c r="F73" s="168">
        <f>2025Schedule!F73</f>
        <v/>
      </c>
      <c r="G73" s="168">
        <f>2025Schedule!G73</f>
        <v/>
      </c>
      <c r="H73" s="168">
        <f>2025Schedule!H73</f>
        <v/>
      </c>
      <c r="I73" s="168">
        <f>2025Schedule!I73</f>
        <v/>
      </c>
      <c r="J73" s="168">
        <f>2025Schedule!J73</f>
        <v/>
      </c>
      <c r="K73" s="156">
        <f>IF(AND(F73=0,I73=0),"",IF(F73&gt;I73,B73&amp;E73,IF(F73&lt;I73,B73&amp;H73,"Tie")))</f>
        <v/>
      </c>
      <c r="L73" s="156">
        <f>IFERROR(IF(AND(B73&lt;$L$1,F73&gt;I73),"Win",IF(AND(B73&lt;$L$1,F73&lt;I73),"Loss","")),"")</f>
        <v/>
      </c>
      <c r="M73" s="156">
        <f>IF(B73&lt;_CurWeek,"In","")</f>
        <v/>
      </c>
      <c r="N73" s="156">
        <f>IF(M73="In",E73&amp;G73,"")</f>
        <v/>
      </c>
      <c r="O73" s="156">
        <f>IF(L73="Win",1,0)</f>
        <v/>
      </c>
      <c r="S73" s="178" t="n"/>
      <c r="U73" s="172" t="n"/>
      <c r="Y73" s="172" t="n"/>
    </row>
    <row r="74" ht="14.4" customHeight="1" s="152">
      <c r="A74" s="167">
        <f>B74&amp;E74</f>
        <v/>
      </c>
      <c r="B74" s="168">
        <f>2025Schedule!B74</f>
        <v/>
      </c>
      <c r="C74" s="168">
        <f>2025Schedule!C74</f>
        <v/>
      </c>
      <c r="D74" s="168">
        <f>2025Schedule!D74</f>
        <v/>
      </c>
      <c r="E74" s="168">
        <f>2025Schedule!E74</f>
        <v/>
      </c>
      <c r="F74" s="168">
        <f>2025Schedule!F74</f>
        <v/>
      </c>
      <c r="G74" s="168">
        <f>2025Schedule!G74</f>
        <v/>
      </c>
      <c r="H74" s="168">
        <f>2025Schedule!H74</f>
        <v/>
      </c>
      <c r="I74" s="168">
        <f>2025Schedule!I74</f>
        <v/>
      </c>
      <c r="J74" s="168">
        <f>2025Schedule!J74</f>
        <v/>
      </c>
      <c r="K74" s="156">
        <f>IF(AND(F74=0,I74=0),"",IF(F74&gt;I74,B74&amp;E74,IF(F74&lt;I74,B74&amp;H74,"Tie")))</f>
        <v/>
      </c>
      <c r="L74" s="156">
        <f>IFERROR(IF(AND(B74&lt;$L$1,F74&gt;I74),"Win",IF(AND(B74&lt;$L$1,F74&lt;I74),"Loss","")),"")</f>
        <v/>
      </c>
      <c r="M74" s="156">
        <f>IF(B74&lt;_CurWeek,"In","")</f>
        <v/>
      </c>
      <c r="N74" s="156">
        <f>IF(M74="In",E74&amp;G74,"")</f>
        <v/>
      </c>
      <c r="O74" s="156">
        <f>IF(L74="Win",1,0)</f>
        <v/>
      </c>
      <c r="S74" s="178" t="n"/>
      <c r="U74" s="172" t="n"/>
      <c r="Y74" s="172" t="n"/>
    </row>
    <row r="75" ht="14.4" customHeight="1" s="152">
      <c r="A75" s="167">
        <f>B75&amp;E75</f>
        <v/>
      </c>
      <c r="B75" s="168">
        <f>2025Schedule!B75</f>
        <v/>
      </c>
      <c r="C75" s="168">
        <f>2025Schedule!C75</f>
        <v/>
      </c>
      <c r="D75" s="168">
        <f>2025Schedule!D75</f>
        <v/>
      </c>
      <c r="E75" s="168">
        <f>2025Schedule!E75</f>
        <v/>
      </c>
      <c r="F75" s="168">
        <f>2025Schedule!F75</f>
        <v/>
      </c>
      <c r="G75" s="168">
        <f>2025Schedule!G75</f>
        <v/>
      </c>
      <c r="H75" s="168">
        <f>2025Schedule!H75</f>
        <v/>
      </c>
      <c r="I75" s="168">
        <f>2025Schedule!I75</f>
        <v/>
      </c>
      <c r="J75" s="168">
        <f>2025Schedule!J75</f>
        <v/>
      </c>
      <c r="K75" s="156">
        <f>IF(AND(F75=0,I75=0),"",IF(F75&gt;I75,B75&amp;E75,IF(F75&lt;I75,B75&amp;H75,"Tie")))</f>
        <v/>
      </c>
      <c r="L75" s="156">
        <f>IFERROR(IF(AND(B75&lt;$L$1,F75&gt;I75),"Win",IF(AND(B75&lt;$L$1,F75&lt;I75),"Loss","")),"")</f>
        <v/>
      </c>
      <c r="M75" s="156">
        <f>IF(B75&lt;_CurWeek,"In","")</f>
        <v/>
      </c>
      <c r="N75" s="156">
        <f>IF(M75="In",E75&amp;G75,"")</f>
        <v/>
      </c>
      <c r="O75" s="156">
        <f>IF(L75="Win",1,0)</f>
        <v/>
      </c>
      <c r="S75" s="178" t="n"/>
      <c r="U75" s="172" t="n"/>
      <c r="Y75" s="172" t="n"/>
    </row>
    <row r="76" ht="14.4" customHeight="1" s="152">
      <c r="A76" s="167">
        <f>B76&amp;E76</f>
        <v/>
      </c>
      <c r="B76" s="168">
        <f>2025Schedule!B76</f>
        <v/>
      </c>
      <c r="C76" s="168">
        <f>2025Schedule!C76</f>
        <v/>
      </c>
      <c r="D76" s="168">
        <f>2025Schedule!D76</f>
        <v/>
      </c>
      <c r="E76" s="168">
        <f>2025Schedule!E76</f>
        <v/>
      </c>
      <c r="F76" s="168">
        <f>2025Schedule!F76</f>
        <v/>
      </c>
      <c r="G76" s="168">
        <f>2025Schedule!G76</f>
        <v/>
      </c>
      <c r="H76" s="168">
        <f>2025Schedule!H76</f>
        <v/>
      </c>
      <c r="I76" s="168">
        <f>2025Schedule!I76</f>
        <v/>
      </c>
      <c r="J76" s="168">
        <f>2025Schedule!J76</f>
        <v/>
      </c>
      <c r="K76" s="156">
        <f>IF(AND(F76=0,I76=0),"",IF(F76&gt;I76,B76&amp;E76,IF(F76&lt;I76,B76&amp;H76,"Tie")))</f>
        <v/>
      </c>
      <c r="L76" s="156">
        <f>IFERROR(IF(AND(B76&lt;$L$1,F76&gt;I76),"Win",IF(AND(B76&lt;$L$1,F76&lt;I76),"Loss","")),"")</f>
        <v/>
      </c>
      <c r="M76" s="156">
        <f>IF(B76&lt;_CurWeek,"In","")</f>
        <v/>
      </c>
      <c r="N76" s="156">
        <f>IF(M76="In",E76&amp;G76,"")</f>
        <v/>
      </c>
      <c r="O76" s="156">
        <f>IF(L76="Win",1,0)</f>
        <v/>
      </c>
      <c r="S76" s="178" t="n"/>
      <c r="U76" s="172" t="n"/>
      <c r="Y76" s="172" t="n"/>
    </row>
    <row r="77" ht="14.4" customHeight="1" s="152">
      <c r="A77" s="167">
        <f>B77&amp;E77</f>
        <v/>
      </c>
      <c r="B77" s="168">
        <f>2025Schedule!B77</f>
        <v/>
      </c>
      <c r="C77" s="168">
        <f>2025Schedule!C77</f>
        <v/>
      </c>
      <c r="D77" s="168">
        <f>2025Schedule!D77</f>
        <v/>
      </c>
      <c r="E77" s="168">
        <f>2025Schedule!E77</f>
        <v/>
      </c>
      <c r="F77" s="168">
        <f>2025Schedule!F77</f>
        <v/>
      </c>
      <c r="G77" s="168">
        <f>2025Schedule!G77</f>
        <v/>
      </c>
      <c r="H77" s="168">
        <f>2025Schedule!H77</f>
        <v/>
      </c>
      <c r="I77" s="168">
        <f>2025Schedule!I77</f>
        <v/>
      </c>
      <c r="J77" s="168">
        <f>2025Schedule!J77</f>
        <v/>
      </c>
      <c r="K77" s="156">
        <f>IF(AND(F77=0,I77=0),"",IF(F77&gt;I77,B77&amp;E77,IF(F77&lt;I77,B77&amp;H77,"Tie")))</f>
        <v/>
      </c>
      <c r="L77" s="156">
        <f>IFERROR(IF(AND(B77&lt;$L$1,F77&gt;I77),"Win",IF(AND(B77&lt;$L$1,F77&lt;I77),"Loss","")),"")</f>
        <v/>
      </c>
      <c r="M77" s="156">
        <f>IF(B77&lt;_CurWeek,"In","")</f>
        <v/>
      </c>
      <c r="N77" s="156">
        <f>IF(M77="In",E77&amp;G77,"")</f>
        <v/>
      </c>
      <c r="O77" s="156">
        <f>IF(L77="Win",1,0)</f>
        <v/>
      </c>
      <c r="S77" s="178" t="n"/>
      <c r="U77" s="172" t="n"/>
      <c r="Y77" s="172" t="n"/>
    </row>
    <row r="78" ht="14.4" customHeight="1" s="152">
      <c r="A78" s="167">
        <f>B78&amp;E78</f>
        <v/>
      </c>
      <c r="B78" s="168">
        <f>2025Schedule!B78</f>
        <v/>
      </c>
      <c r="C78" s="168">
        <f>2025Schedule!C78</f>
        <v/>
      </c>
      <c r="D78" s="168">
        <f>2025Schedule!D78</f>
        <v/>
      </c>
      <c r="E78" s="168">
        <f>2025Schedule!E78</f>
        <v/>
      </c>
      <c r="F78" s="168">
        <f>2025Schedule!F78</f>
        <v/>
      </c>
      <c r="G78" s="168">
        <f>2025Schedule!G78</f>
        <v/>
      </c>
      <c r="H78" s="168">
        <f>2025Schedule!H78</f>
        <v/>
      </c>
      <c r="I78" s="168">
        <f>2025Schedule!I78</f>
        <v/>
      </c>
      <c r="J78" s="168">
        <f>2025Schedule!J78</f>
        <v/>
      </c>
      <c r="K78" s="156">
        <f>IF(AND(F78=0,I78=0),"",IF(F78&gt;I78,B78&amp;E78,IF(F78&lt;I78,B78&amp;H78,"Tie")))</f>
        <v/>
      </c>
      <c r="L78" s="156">
        <f>IFERROR(IF(AND(B78&lt;$L$1,F78&gt;I78),"Win",IF(AND(B78&lt;$L$1,F78&lt;I78),"Loss","")),"")</f>
        <v/>
      </c>
      <c r="M78" s="156">
        <f>IF(B78&lt;_CurWeek,"In","")</f>
        <v/>
      </c>
      <c r="N78" s="156">
        <f>IF(M78="In",E78&amp;G78,"")</f>
        <v/>
      </c>
      <c r="O78" s="156">
        <f>IF(L78="Win",1,0)</f>
        <v/>
      </c>
      <c r="S78" s="178" t="n"/>
      <c r="U78" s="172" t="n"/>
      <c r="Y78" s="172" t="n"/>
    </row>
    <row r="79" ht="14.4" customHeight="1" s="152">
      <c r="A79" s="167">
        <f>B79&amp;E79</f>
        <v/>
      </c>
      <c r="B79" s="168">
        <f>2025Schedule!B79</f>
        <v/>
      </c>
      <c r="C79" s="168">
        <f>2025Schedule!C79</f>
        <v/>
      </c>
      <c r="D79" s="168">
        <f>2025Schedule!D79</f>
        <v/>
      </c>
      <c r="E79" s="168">
        <f>2025Schedule!E79</f>
        <v/>
      </c>
      <c r="F79" s="168">
        <f>2025Schedule!F79</f>
        <v/>
      </c>
      <c r="G79" s="168">
        <f>2025Schedule!G79</f>
        <v/>
      </c>
      <c r="H79" s="168">
        <f>2025Schedule!H79</f>
        <v/>
      </c>
      <c r="I79" s="168">
        <f>2025Schedule!I79</f>
        <v/>
      </c>
      <c r="J79" s="168">
        <f>2025Schedule!J79</f>
        <v/>
      </c>
      <c r="K79" s="156">
        <f>IF(AND(F79=0,I79=0),"",IF(F79&gt;I79,B79&amp;E79,IF(F79&lt;I79,B79&amp;H79,"Tie")))</f>
        <v/>
      </c>
      <c r="L79" s="156">
        <f>IFERROR(IF(AND(B79&lt;$L$1,F79&gt;I79),"Win",IF(AND(B79&lt;$L$1,F79&lt;I79),"Loss","")),"")</f>
        <v/>
      </c>
      <c r="M79" s="156">
        <f>IF(B79&lt;_CurWeek,"In","")</f>
        <v/>
      </c>
      <c r="N79" s="156">
        <f>IF(M79="In",E79&amp;G79,"")</f>
        <v/>
      </c>
      <c r="O79" s="156">
        <f>IF(L79="Win",1,0)</f>
        <v/>
      </c>
      <c r="S79" s="178" t="n"/>
      <c r="U79" s="172" t="n"/>
      <c r="Y79" s="172" t="n"/>
    </row>
    <row r="80" ht="14.4" customHeight="1" s="152">
      <c r="A80" s="167">
        <f>B80&amp;E80</f>
        <v/>
      </c>
      <c r="B80" s="168">
        <f>2025Schedule!B80</f>
        <v/>
      </c>
      <c r="C80" s="168">
        <f>2025Schedule!C80</f>
        <v/>
      </c>
      <c r="D80" s="168">
        <f>2025Schedule!D80</f>
        <v/>
      </c>
      <c r="E80" s="168">
        <f>2025Schedule!E80</f>
        <v/>
      </c>
      <c r="F80" s="168">
        <f>2025Schedule!F80</f>
        <v/>
      </c>
      <c r="G80" s="168">
        <f>2025Schedule!G80</f>
        <v/>
      </c>
      <c r="H80" s="168">
        <f>2025Schedule!H80</f>
        <v/>
      </c>
      <c r="I80" s="168">
        <f>2025Schedule!I80</f>
        <v/>
      </c>
      <c r="J80" s="168">
        <f>2025Schedule!J80</f>
        <v/>
      </c>
      <c r="K80" s="156">
        <f>IF(AND(F80=0,I80=0),"",IF(F80&gt;I80,B80&amp;E80,IF(F80&lt;I80,B80&amp;H80,"Tie")))</f>
        <v/>
      </c>
      <c r="L80" s="156">
        <f>IFERROR(IF(AND(B80&lt;$L$1,F80&gt;I80),"Win",IF(AND(B80&lt;$L$1,F80&lt;I80),"Loss","")),"")</f>
        <v/>
      </c>
      <c r="M80" s="156">
        <f>IF(B80&lt;_CurWeek,"In","")</f>
        <v/>
      </c>
      <c r="N80" s="156">
        <f>IF(M80="In",E80&amp;G80,"")</f>
        <v/>
      </c>
      <c r="O80" s="156">
        <f>IF(L80="Win",1,0)</f>
        <v/>
      </c>
      <c r="S80" s="178" t="n"/>
      <c r="U80" s="172" t="n"/>
      <c r="Y80" s="172" t="n"/>
    </row>
    <row r="81" ht="14.4" customHeight="1" s="152">
      <c r="A81" s="167">
        <f>B81&amp;E81</f>
        <v/>
      </c>
      <c r="B81" s="168">
        <f>2025Schedule!B81</f>
        <v/>
      </c>
      <c r="C81" s="168">
        <f>2025Schedule!C81</f>
        <v/>
      </c>
      <c r="D81" s="168">
        <f>2025Schedule!D81</f>
        <v/>
      </c>
      <c r="E81" s="168">
        <f>2025Schedule!E81</f>
        <v/>
      </c>
      <c r="F81" s="168">
        <f>2025Schedule!F81</f>
        <v/>
      </c>
      <c r="G81" s="168">
        <f>2025Schedule!G81</f>
        <v/>
      </c>
      <c r="H81" s="168">
        <f>2025Schedule!H81</f>
        <v/>
      </c>
      <c r="I81" s="168">
        <f>2025Schedule!I81</f>
        <v/>
      </c>
      <c r="J81" s="168">
        <f>2025Schedule!J81</f>
        <v/>
      </c>
      <c r="K81" s="156">
        <f>IF(AND(F81=0,I81=0),"",IF(F81&gt;I81,B81&amp;E81,IF(F81&lt;I81,B81&amp;H81,"Tie")))</f>
        <v/>
      </c>
      <c r="L81" s="156">
        <f>IFERROR(IF(AND(B81&lt;$L$1,F81&gt;I81),"Win",IF(AND(B81&lt;$L$1,F81&lt;I81),"Loss","")),"")</f>
        <v/>
      </c>
      <c r="M81" s="156">
        <f>IF(B81&lt;_CurWeek,"In","")</f>
        <v/>
      </c>
      <c r="N81" s="156">
        <f>IF(M81="In",E81&amp;G81,"")</f>
        <v/>
      </c>
      <c r="O81" s="156">
        <f>IF(L81="Win",1,0)</f>
        <v/>
      </c>
      <c r="S81" s="178" t="n"/>
      <c r="U81" s="172" t="n"/>
      <c r="Y81" s="172" t="n"/>
    </row>
    <row r="82" ht="14.4" customHeight="1" s="152">
      <c r="A82" s="167">
        <f>B82&amp;E82</f>
        <v/>
      </c>
      <c r="B82" s="168">
        <f>2025Schedule!B82</f>
        <v/>
      </c>
      <c r="C82" s="168">
        <f>2025Schedule!C82</f>
        <v/>
      </c>
      <c r="D82" s="168">
        <f>2025Schedule!D82</f>
        <v/>
      </c>
      <c r="E82" s="168">
        <f>2025Schedule!E82</f>
        <v/>
      </c>
      <c r="F82" s="168">
        <f>2025Schedule!F82</f>
        <v/>
      </c>
      <c r="G82" s="168">
        <f>2025Schedule!G82</f>
        <v/>
      </c>
      <c r="H82" s="168">
        <f>2025Schedule!H82</f>
        <v/>
      </c>
      <c r="I82" s="168">
        <f>2025Schedule!I82</f>
        <v/>
      </c>
      <c r="J82" s="168">
        <f>2025Schedule!J82</f>
        <v/>
      </c>
      <c r="K82" s="156">
        <f>IF(AND(F82=0,I82=0),"",IF(F82&gt;I82,B82&amp;E82,IF(F82&lt;I82,B82&amp;H82,"Tie")))</f>
        <v/>
      </c>
      <c r="L82" s="156">
        <f>IFERROR(IF(AND(B82&lt;$L$1,F82&gt;I82),"Win",IF(AND(B82&lt;$L$1,F82&lt;I82),"Loss","")),"")</f>
        <v/>
      </c>
      <c r="M82" s="156">
        <f>IF(B82&lt;_CurWeek,"In","")</f>
        <v/>
      </c>
      <c r="N82" s="156">
        <f>IF(M82="In",E82&amp;G82,"")</f>
        <v/>
      </c>
      <c r="O82" s="156">
        <f>IF(L82="Win",1,0)</f>
        <v/>
      </c>
      <c r="S82" s="178" t="n"/>
      <c r="U82" s="172" t="n"/>
      <c r="Y82" s="172" t="n"/>
    </row>
    <row r="83" ht="14.4" customHeight="1" s="152">
      <c r="A83" s="167">
        <f>B83&amp;E83</f>
        <v/>
      </c>
      <c r="B83" s="168">
        <f>2025Schedule!B83</f>
        <v/>
      </c>
      <c r="C83" s="168">
        <f>2025Schedule!C83</f>
        <v/>
      </c>
      <c r="D83" s="168">
        <f>2025Schedule!D83</f>
        <v/>
      </c>
      <c r="E83" s="168">
        <f>2025Schedule!E83</f>
        <v/>
      </c>
      <c r="F83" s="168">
        <f>2025Schedule!F83</f>
        <v/>
      </c>
      <c r="G83" s="168">
        <f>2025Schedule!G83</f>
        <v/>
      </c>
      <c r="H83" s="168">
        <f>2025Schedule!H83</f>
        <v/>
      </c>
      <c r="I83" s="168">
        <f>2025Schedule!I83</f>
        <v/>
      </c>
      <c r="J83" s="168">
        <f>2025Schedule!J83</f>
        <v/>
      </c>
      <c r="K83" s="156">
        <f>IF(AND(F83=0,I83=0),"",IF(F83&gt;I83,B83&amp;E83,IF(F83&lt;I83,B83&amp;H83,"Tie")))</f>
        <v/>
      </c>
      <c r="L83" s="156">
        <f>IFERROR(IF(AND(B83&lt;$L$1,F83&gt;I83),"Win",IF(AND(B83&lt;$L$1,F83&lt;I83),"Loss","")),"")</f>
        <v/>
      </c>
      <c r="M83" s="156">
        <f>IF(B83&lt;_CurWeek,"In","")</f>
        <v/>
      </c>
      <c r="N83" s="156">
        <f>IF(M83="In",E83&amp;G83,"")</f>
        <v/>
      </c>
      <c r="O83" s="156">
        <f>IF(L83="Win",1,0)</f>
        <v/>
      </c>
      <c r="S83" s="178" t="n"/>
      <c r="U83" s="172" t="n"/>
      <c r="Y83" s="172" t="n"/>
    </row>
    <row r="84" ht="14.4" customHeight="1" s="152">
      <c r="A84" s="167">
        <f>B84&amp;E84</f>
        <v/>
      </c>
      <c r="B84" s="168">
        <f>2025Schedule!B84</f>
        <v/>
      </c>
      <c r="C84" s="168">
        <f>2025Schedule!C84</f>
        <v/>
      </c>
      <c r="D84" s="168">
        <f>2025Schedule!D84</f>
        <v/>
      </c>
      <c r="E84" s="168">
        <f>2025Schedule!E84</f>
        <v/>
      </c>
      <c r="F84" s="168">
        <f>2025Schedule!F84</f>
        <v/>
      </c>
      <c r="G84" s="168">
        <f>2025Schedule!G84</f>
        <v/>
      </c>
      <c r="H84" s="168">
        <f>2025Schedule!H84</f>
        <v/>
      </c>
      <c r="I84" s="168">
        <f>2025Schedule!I84</f>
        <v/>
      </c>
      <c r="J84" s="168">
        <f>2025Schedule!J84</f>
        <v/>
      </c>
      <c r="K84" s="156">
        <f>IF(AND(F84=0,I84=0),"",IF(F84&gt;I84,B84&amp;E84,IF(F84&lt;I84,B84&amp;H84,"Tie")))</f>
        <v/>
      </c>
      <c r="L84" s="156">
        <f>IFERROR(IF(AND(B84&lt;$L$1,F84&gt;I84),"Win",IF(AND(B84&lt;$L$1,F84&lt;I84),"Loss","")),"")</f>
        <v/>
      </c>
      <c r="M84" s="156">
        <f>IF(B84&lt;_CurWeek,"In","")</f>
        <v/>
      </c>
      <c r="N84" s="156">
        <f>IF(M84="In",E84&amp;G84,"")</f>
        <v/>
      </c>
      <c r="O84" s="156">
        <f>IF(L84="Win",1,0)</f>
        <v/>
      </c>
      <c r="S84" s="178" t="n"/>
      <c r="U84" s="172" t="n"/>
      <c r="Y84" s="172" t="n"/>
    </row>
    <row r="85" ht="14.4" customHeight="1" s="152">
      <c r="A85" s="167">
        <f>B85&amp;E85</f>
        <v/>
      </c>
      <c r="B85" s="168">
        <f>2025Schedule!B85</f>
        <v/>
      </c>
      <c r="C85" s="168">
        <f>2025Schedule!C85</f>
        <v/>
      </c>
      <c r="D85" s="168">
        <f>2025Schedule!D85</f>
        <v/>
      </c>
      <c r="E85" s="168">
        <f>2025Schedule!E85</f>
        <v/>
      </c>
      <c r="F85" s="168">
        <f>2025Schedule!F85</f>
        <v/>
      </c>
      <c r="G85" s="168">
        <f>2025Schedule!G85</f>
        <v/>
      </c>
      <c r="H85" s="168">
        <f>2025Schedule!H85</f>
        <v/>
      </c>
      <c r="I85" s="168">
        <f>2025Schedule!I85</f>
        <v/>
      </c>
      <c r="J85" s="168">
        <f>2025Schedule!J85</f>
        <v/>
      </c>
      <c r="K85" s="156">
        <f>IF(AND(F85=0,I85=0),"",IF(F85&gt;I85,B85&amp;E85,IF(F85&lt;I85,B85&amp;H85,"Tie")))</f>
        <v/>
      </c>
      <c r="L85" s="156">
        <f>IFERROR(IF(AND(B85&lt;$L$1,F85&gt;I85),"Win",IF(AND(B85&lt;$L$1,F85&lt;I85),"Loss","")),"")</f>
        <v/>
      </c>
      <c r="M85" s="156">
        <f>IF(B85&lt;_CurWeek,"In","")</f>
        <v/>
      </c>
      <c r="N85" s="156">
        <f>IF(M85="In",E85&amp;G85,"")</f>
        <v/>
      </c>
      <c r="O85" s="156">
        <f>IF(L85="Win",1,0)</f>
        <v/>
      </c>
      <c r="S85" s="178" t="n"/>
      <c r="U85" s="172" t="n"/>
      <c r="Y85" s="172" t="n"/>
    </row>
    <row r="86" ht="14.4" customHeight="1" s="152">
      <c r="A86" s="167">
        <f>B86&amp;E86</f>
        <v/>
      </c>
      <c r="B86" s="168">
        <f>2025Schedule!B86</f>
        <v/>
      </c>
      <c r="C86" s="168">
        <f>2025Schedule!C86</f>
        <v/>
      </c>
      <c r="D86" s="168">
        <f>2025Schedule!D86</f>
        <v/>
      </c>
      <c r="E86" s="168">
        <f>2025Schedule!E86</f>
        <v/>
      </c>
      <c r="F86" s="168">
        <f>2025Schedule!F86</f>
        <v/>
      </c>
      <c r="G86" s="168">
        <f>2025Schedule!G86</f>
        <v/>
      </c>
      <c r="H86" s="168">
        <f>2025Schedule!H86</f>
        <v/>
      </c>
      <c r="I86" s="168">
        <f>2025Schedule!I86</f>
        <v/>
      </c>
      <c r="J86" s="168">
        <f>2025Schedule!J86</f>
        <v/>
      </c>
      <c r="K86" s="156">
        <f>IF(AND(F86=0,I86=0),"",IF(F86&gt;I86,B86&amp;E86,IF(F86&lt;I86,B86&amp;H86,"Tie")))</f>
        <v/>
      </c>
      <c r="L86" s="156">
        <f>IFERROR(IF(AND(B86&lt;$L$1,F86&gt;I86),"Win",IF(AND(B86&lt;$L$1,F86&lt;I86),"Loss","")),"")</f>
        <v/>
      </c>
      <c r="M86" s="156">
        <f>IF(B86&lt;_CurWeek,"In","")</f>
        <v/>
      </c>
      <c r="N86" s="156">
        <f>IF(M86="In",E86&amp;G86,"")</f>
        <v/>
      </c>
      <c r="O86" s="156">
        <f>IF(L86="Win",1,0)</f>
        <v/>
      </c>
      <c r="S86" s="178" t="n"/>
      <c r="U86" s="172" t="n"/>
      <c r="Y86" s="172" t="n"/>
    </row>
    <row r="87" ht="14.4" customHeight="1" s="152">
      <c r="A87" s="167">
        <f>B87&amp;E87</f>
        <v/>
      </c>
      <c r="B87" s="168">
        <f>2025Schedule!B87</f>
        <v/>
      </c>
      <c r="C87" s="168">
        <f>2025Schedule!C87</f>
        <v/>
      </c>
      <c r="D87" s="168">
        <f>2025Schedule!D87</f>
        <v/>
      </c>
      <c r="E87" s="168">
        <f>2025Schedule!E87</f>
        <v/>
      </c>
      <c r="F87" s="168">
        <f>2025Schedule!F87</f>
        <v/>
      </c>
      <c r="G87" s="168">
        <f>2025Schedule!G87</f>
        <v/>
      </c>
      <c r="H87" s="168">
        <f>2025Schedule!H87</f>
        <v/>
      </c>
      <c r="I87" s="168">
        <f>2025Schedule!I87</f>
        <v/>
      </c>
      <c r="J87" s="168">
        <f>2025Schedule!J87</f>
        <v/>
      </c>
      <c r="K87" s="156">
        <f>IF(AND(F87=0,I87=0),"",IF(F87&gt;I87,B87&amp;E87,IF(F87&lt;I87,B87&amp;H87,"Tie")))</f>
        <v/>
      </c>
      <c r="L87" s="156">
        <f>IFERROR(IF(AND(B87&lt;$L$1,F87&gt;I87),"Win",IF(AND(B87&lt;$L$1,F87&lt;I87),"Loss","")),"")</f>
        <v/>
      </c>
      <c r="M87" s="156">
        <f>IF(B87&lt;_CurWeek,"In","")</f>
        <v/>
      </c>
      <c r="N87" s="156">
        <f>IF(M87="In",E87&amp;G87,"")</f>
        <v/>
      </c>
      <c r="O87" s="156">
        <f>IF(L87="Win",1,0)</f>
        <v/>
      </c>
      <c r="S87" s="178" t="n"/>
      <c r="U87" s="172" t="n"/>
      <c r="Y87" s="172" t="n"/>
    </row>
    <row r="88" ht="14.4" customHeight="1" s="152">
      <c r="A88" s="167">
        <f>B88&amp;E88</f>
        <v/>
      </c>
      <c r="B88" s="168">
        <f>2025Schedule!B88</f>
        <v/>
      </c>
      <c r="C88" s="168">
        <f>2025Schedule!C88</f>
        <v/>
      </c>
      <c r="D88" s="168">
        <f>2025Schedule!D88</f>
        <v/>
      </c>
      <c r="E88" s="168">
        <f>2025Schedule!E88</f>
        <v/>
      </c>
      <c r="F88" s="168">
        <f>2025Schedule!F88</f>
        <v/>
      </c>
      <c r="G88" s="168">
        <f>2025Schedule!G88</f>
        <v/>
      </c>
      <c r="H88" s="168">
        <f>2025Schedule!H88</f>
        <v/>
      </c>
      <c r="I88" s="168">
        <f>2025Schedule!I88</f>
        <v/>
      </c>
      <c r="J88" s="168">
        <f>2025Schedule!J88</f>
        <v/>
      </c>
      <c r="K88" s="156">
        <f>IF(AND(F88=0,I88=0),"",IF(F88&gt;I88,B88&amp;E88,IF(F88&lt;I88,B88&amp;H88,"Tie")))</f>
        <v/>
      </c>
      <c r="L88" s="156">
        <f>IFERROR(IF(AND(B88&lt;$L$1,F88&gt;I88),"Win",IF(AND(B88&lt;$L$1,F88&lt;I88),"Loss","")),"")</f>
        <v/>
      </c>
      <c r="M88" s="156">
        <f>IF(B88&lt;_CurWeek,"In","")</f>
        <v/>
      </c>
      <c r="N88" s="156">
        <f>IF(M88="In",E88&amp;G88,"")</f>
        <v/>
      </c>
      <c r="O88" s="156">
        <f>IF(L88="Win",1,0)</f>
        <v/>
      </c>
      <c r="S88" s="178" t="n"/>
      <c r="U88" s="172" t="n"/>
      <c r="Y88" s="172" t="n"/>
    </row>
    <row r="89" ht="14.4" customHeight="1" s="152">
      <c r="A89" s="167">
        <f>B89&amp;E89</f>
        <v/>
      </c>
      <c r="B89" s="168">
        <f>2025Schedule!B89</f>
        <v/>
      </c>
      <c r="C89" s="168">
        <f>2025Schedule!C89</f>
        <v/>
      </c>
      <c r="D89" s="168">
        <f>2025Schedule!D89</f>
        <v/>
      </c>
      <c r="E89" s="168">
        <f>2025Schedule!E89</f>
        <v/>
      </c>
      <c r="F89" s="168">
        <f>2025Schedule!F89</f>
        <v/>
      </c>
      <c r="G89" s="168">
        <f>2025Schedule!G89</f>
        <v/>
      </c>
      <c r="H89" s="168">
        <f>2025Schedule!H89</f>
        <v/>
      </c>
      <c r="I89" s="168">
        <f>2025Schedule!I89</f>
        <v/>
      </c>
      <c r="J89" s="168">
        <f>2025Schedule!J89</f>
        <v/>
      </c>
      <c r="K89" s="156">
        <f>IF(AND(F89=0,I89=0),"",IF(F89&gt;I89,B89&amp;E89,IF(F89&lt;I89,B89&amp;H89,"Tie")))</f>
        <v/>
      </c>
      <c r="L89" s="156">
        <f>IFERROR(IF(AND(B89&lt;$L$1,F89&gt;I89),"Win",IF(AND(B89&lt;$L$1,F89&lt;I89),"Loss","")),"")</f>
        <v/>
      </c>
      <c r="M89" s="156">
        <f>IF(B89&lt;_CurWeek,"In","")</f>
        <v/>
      </c>
      <c r="N89" s="156">
        <f>IF(M89="In",E89&amp;G89,"")</f>
        <v/>
      </c>
      <c r="O89" s="156">
        <f>IF(L89="Win",1,0)</f>
        <v/>
      </c>
      <c r="S89" s="178" t="n"/>
      <c r="U89" s="172" t="n"/>
      <c r="Y89" s="172" t="n"/>
    </row>
    <row r="90" ht="14.4" customHeight="1" s="152">
      <c r="A90" s="167">
        <f>B90&amp;E90</f>
        <v/>
      </c>
      <c r="B90" s="168">
        <f>2025Schedule!B90</f>
        <v/>
      </c>
      <c r="C90" s="168">
        <f>2025Schedule!C90</f>
        <v/>
      </c>
      <c r="D90" s="168">
        <f>2025Schedule!D90</f>
        <v/>
      </c>
      <c r="E90" s="168">
        <f>2025Schedule!E90</f>
        <v/>
      </c>
      <c r="F90" s="168">
        <f>2025Schedule!F90</f>
        <v/>
      </c>
      <c r="G90" s="168">
        <f>2025Schedule!G90</f>
        <v/>
      </c>
      <c r="H90" s="168">
        <f>2025Schedule!H90</f>
        <v/>
      </c>
      <c r="I90" s="168">
        <f>2025Schedule!I90</f>
        <v/>
      </c>
      <c r="J90" s="168">
        <f>2025Schedule!J90</f>
        <v/>
      </c>
      <c r="K90" s="156">
        <f>IF(AND(F90=0,I90=0),"",IF(F90&gt;I90,B90&amp;E90,IF(F90&lt;I90,B90&amp;H90,"Tie")))</f>
        <v/>
      </c>
      <c r="L90" s="156">
        <f>IFERROR(IF(AND(B90&lt;$L$1,F90&gt;I90),"Win",IF(AND(B90&lt;$L$1,F90&lt;I90),"Loss","")),"")</f>
        <v/>
      </c>
      <c r="M90" s="156">
        <f>IF(B90&lt;_CurWeek,"In","")</f>
        <v/>
      </c>
      <c r="N90" s="156">
        <f>IF(M90="In",E90&amp;G90,"")</f>
        <v/>
      </c>
      <c r="O90" s="156">
        <f>IF(L90="Win",1,0)</f>
        <v/>
      </c>
      <c r="S90" s="178" t="n"/>
      <c r="U90" s="172" t="n"/>
      <c r="Y90" s="172" t="n"/>
    </row>
    <row r="91" ht="14.4" customHeight="1" s="152">
      <c r="A91" s="167">
        <f>B91&amp;E91</f>
        <v/>
      </c>
      <c r="B91" s="168">
        <f>2025Schedule!B91</f>
        <v/>
      </c>
      <c r="C91" s="168">
        <f>2025Schedule!C91</f>
        <v/>
      </c>
      <c r="D91" s="168">
        <f>2025Schedule!D91</f>
        <v/>
      </c>
      <c r="E91" s="168">
        <f>2025Schedule!E91</f>
        <v/>
      </c>
      <c r="F91" s="168">
        <f>2025Schedule!F91</f>
        <v/>
      </c>
      <c r="G91" s="168">
        <f>2025Schedule!G91</f>
        <v/>
      </c>
      <c r="H91" s="168">
        <f>2025Schedule!H91</f>
        <v/>
      </c>
      <c r="I91" s="168">
        <f>2025Schedule!I91</f>
        <v/>
      </c>
      <c r="J91" s="168">
        <f>2025Schedule!J91</f>
        <v/>
      </c>
      <c r="K91" s="156">
        <f>IF(AND(F91=0,I91=0),"",IF(F91&gt;I91,B91&amp;E91,IF(F91&lt;I91,B91&amp;H91,"Tie")))</f>
        <v/>
      </c>
      <c r="L91" s="156">
        <f>IFERROR(IF(AND(B91&lt;$L$1,F91&gt;I91),"Win",IF(AND(B91&lt;$L$1,F91&lt;I91),"Loss","")),"")</f>
        <v/>
      </c>
      <c r="M91" s="156">
        <f>IF(B91&lt;_CurWeek,"In","")</f>
        <v/>
      </c>
      <c r="N91" s="156">
        <f>IF(M91="In",E91&amp;G91,"")</f>
        <v/>
      </c>
      <c r="O91" s="156">
        <f>IF(L91="Win",1,0)</f>
        <v/>
      </c>
      <c r="S91" s="178" t="n"/>
      <c r="U91" s="172" t="n"/>
      <c r="Y91" s="172" t="n"/>
    </row>
    <row r="92" ht="14.4" customHeight="1" s="152">
      <c r="A92" s="167">
        <f>B92&amp;E92</f>
        <v/>
      </c>
      <c r="B92" s="168">
        <f>2025Schedule!B92</f>
        <v/>
      </c>
      <c r="C92" s="168">
        <f>2025Schedule!C92</f>
        <v/>
      </c>
      <c r="D92" s="168">
        <f>2025Schedule!D92</f>
        <v/>
      </c>
      <c r="E92" s="168">
        <f>2025Schedule!E92</f>
        <v/>
      </c>
      <c r="F92" s="168">
        <f>2025Schedule!F92</f>
        <v/>
      </c>
      <c r="G92" s="168">
        <f>2025Schedule!G92</f>
        <v/>
      </c>
      <c r="H92" s="168">
        <f>2025Schedule!H92</f>
        <v/>
      </c>
      <c r="I92" s="168">
        <f>2025Schedule!I92</f>
        <v/>
      </c>
      <c r="J92" s="168">
        <f>2025Schedule!J92</f>
        <v/>
      </c>
      <c r="K92" s="156">
        <f>IF(AND(F92=0,I92=0),"",IF(F92&gt;I92,B92&amp;E92,IF(F92&lt;I92,B92&amp;H92,"Tie")))</f>
        <v/>
      </c>
      <c r="L92" s="156">
        <f>IFERROR(IF(AND(B92&lt;$L$1,F92&gt;I92),"Win",IF(AND(B92&lt;$L$1,F92&lt;I92),"Loss","")),"")</f>
        <v/>
      </c>
      <c r="M92" s="156">
        <f>IF(B92&lt;_CurWeek,"In","")</f>
        <v/>
      </c>
      <c r="N92" s="156">
        <f>IF(M92="In",E92&amp;G92,"")</f>
        <v/>
      </c>
      <c r="O92" s="156">
        <f>IF(L92="Win",1,0)</f>
        <v/>
      </c>
      <c r="S92" s="178" t="n"/>
      <c r="U92" s="172" t="n"/>
      <c r="Y92" s="172" t="n"/>
    </row>
    <row r="93" ht="14.4" customHeight="1" s="152">
      <c r="A93" s="167">
        <f>B93&amp;E93</f>
        <v/>
      </c>
      <c r="B93" s="168">
        <f>2025Schedule!B93</f>
        <v/>
      </c>
      <c r="C93" s="168">
        <f>2025Schedule!C93</f>
        <v/>
      </c>
      <c r="D93" s="168">
        <f>2025Schedule!D93</f>
        <v/>
      </c>
      <c r="E93" s="168">
        <f>2025Schedule!E93</f>
        <v/>
      </c>
      <c r="F93" s="168">
        <f>2025Schedule!F93</f>
        <v/>
      </c>
      <c r="G93" s="168">
        <f>2025Schedule!G93</f>
        <v/>
      </c>
      <c r="H93" s="168">
        <f>2025Schedule!H93</f>
        <v/>
      </c>
      <c r="I93" s="168">
        <f>2025Schedule!I93</f>
        <v/>
      </c>
      <c r="J93" s="168">
        <f>2025Schedule!J93</f>
        <v/>
      </c>
      <c r="K93" s="156">
        <f>IF(AND(F93=0,I93=0),"",IF(F93&gt;I93,B93&amp;E93,IF(F93&lt;I93,B93&amp;H93,"Tie")))</f>
        <v/>
      </c>
      <c r="L93" s="156">
        <f>IFERROR(IF(AND(B93&lt;$L$1,F93&gt;I93),"Win",IF(AND(B93&lt;$L$1,F93&lt;I93),"Loss","")),"")</f>
        <v/>
      </c>
      <c r="M93" s="156">
        <f>IF(B93&lt;_CurWeek,"In","")</f>
        <v/>
      </c>
      <c r="N93" s="156">
        <f>IF(M93="In",E93&amp;G93,"")</f>
        <v/>
      </c>
      <c r="O93" s="156">
        <f>IF(L93="Win",1,0)</f>
        <v/>
      </c>
      <c r="S93" s="178" t="n"/>
      <c r="U93" s="172" t="n"/>
      <c r="Y93" s="172" t="n"/>
    </row>
    <row r="94" ht="14.4" customHeight="1" s="152">
      <c r="A94" s="167">
        <f>B94&amp;E94</f>
        <v/>
      </c>
      <c r="B94" s="168">
        <f>2025Schedule!B94</f>
        <v/>
      </c>
      <c r="C94" s="168">
        <f>2025Schedule!C94</f>
        <v/>
      </c>
      <c r="D94" s="168">
        <f>2025Schedule!D94</f>
        <v/>
      </c>
      <c r="E94" s="168">
        <f>2025Schedule!E94</f>
        <v/>
      </c>
      <c r="F94" s="168">
        <f>2025Schedule!F94</f>
        <v/>
      </c>
      <c r="G94" s="168">
        <f>2025Schedule!G94</f>
        <v/>
      </c>
      <c r="H94" s="168">
        <f>2025Schedule!H94</f>
        <v/>
      </c>
      <c r="I94" s="168">
        <f>2025Schedule!I94</f>
        <v/>
      </c>
      <c r="J94" s="168">
        <f>2025Schedule!J94</f>
        <v/>
      </c>
      <c r="K94" s="156">
        <f>IF(AND(F94=0,I94=0),"",IF(F94&gt;I94,B94&amp;E94,IF(F94&lt;I94,B94&amp;H94,"Tie")))</f>
        <v/>
      </c>
      <c r="L94" s="156">
        <f>IFERROR(IF(AND(B94&lt;$L$1,F94&gt;I94),"Win",IF(AND(B94&lt;$L$1,F94&lt;I94),"Loss","")),"")</f>
        <v/>
      </c>
      <c r="M94" s="156">
        <f>IF(B94&lt;_CurWeek,"In","")</f>
        <v/>
      </c>
      <c r="N94" s="156">
        <f>IF(M94="In",E94&amp;G94,"")</f>
        <v/>
      </c>
      <c r="O94" s="156">
        <f>IF(L94="Win",1,0)</f>
        <v/>
      </c>
      <c r="S94" s="178" t="n"/>
      <c r="U94" s="172" t="n"/>
      <c r="Y94" s="172" t="n"/>
    </row>
    <row r="95" ht="14.4" customHeight="1" s="152">
      <c r="A95" s="167">
        <f>B95&amp;E95</f>
        <v/>
      </c>
      <c r="B95" s="168">
        <f>2025Schedule!B95</f>
        <v/>
      </c>
      <c r="C95" s="168">
        <f>2025Schedule!C95</f>
        <v/>
      </c>
      <c r="D95" s="168">
        <f>2025Schedule!D95</f>
        <v/>
      </c>
      <c r="E95" s="168">
        <f>2025Schedule!E95</f>
        <v/>
      </c>
      <c r="F95" s="168">
        <f>2025Schedule!F95</f>
        <v/>
      </c>
      <c r="G95" s="168">
        <f>2025Schedule!G95</f>
        <v/>
      </c>
      <c r="H95" s="168">
        <f>2025Schedule!H95</f>
        <v/>
      </c>
      <c r="I95" s="168">
        <f>2025Schedule!I95</f>
        <v/>
      </c>
      <c r="J95" s="168">
        <f>2025Schedule!J95</f>
        <v/>
      </c>
      <c r="K95" s="156">
        <f>IF(AND(F95=0,I95=0),"",IF(F95&gt;I95,B95&amp;E95,IF(F95&lt;I95,B95&amp;H95,"Tie")))</f>
        <v/>
      </c>
      <c r="L95" s="156">
        <f>IFERROR(IF(AND(B95&lt;$L$1,F95&gt;I95),"Win",IF(AND(B95&lt;$L$1,F95&lt;I95),"Loss","")),"")</f>
        <v/>
      </c>
      <c r="M95" s="156">
        <f>IF(B95&lt;_CurWeek,"In","")</f>
        <v/>
      </c>
      <c r="N95" s="156">
        <f>IF(M95="In",E95&amp;G95,"")</f>
        <v/>
      </c>
      <c r="O95" s="156">
        <f>IF(L95="Win",1,0)</f>
        <v/>
      </c>
      <c r="S95" s="178" t="n"/>
      <c r="U95" s="172" t="n"/>
      <c r="Y95" s="172" t="n"/>
    </row>
    <row r="96" ht="14.4" customHeight="1" s="152">
      <c r="A96" s="167">
        <f>B96&amp;E96</f>
        <v/>
      </c>
      <c r="B96" s="168">
        <f>2025Schedule!B96</f>
        <v/>
      </c>
      <c r="C96" s="168">
        <f>2025Schedule!C96</f>
        <v/>
      </c>
      <c r="D96" s="168">
        <f>2025Schedule!D96</f>
        <v/>
      </c>
      <c r="E96" s="168">
        <f>2025Schedule!E96</f>
        <v/>
      </c>
      <c r="F96" s="168">
        <f>2025Schedule!F96</f>
        <v/>
      </c>
      <c r="G96" s="168">
        <f>2025Schedule!G96</f>
        <v/>
      </c>
      <c r="H96" s="168">
        <f>2025Schedule!H96</f>
        <v/>
      </c>
      <c r="I96" s="168">
        <f>2025Schedule!I96</f>
        <v/>
      </c>
      <c r="J96" s="168">
        <f>2025Schedule!J96</f>
        <v/>
      </c>
      <c r="K96" s="156">
        <f>IF(AND(F96=0,I96=0),"",IF(F96&gt;I96,B96&amp;E96,IF(F96&lt;I96,B96&amp;H96,"Tie")))</f>
        <v/>
      </c>
      <c r="L96" s="156">
        <f>IFERROR(IF(AND(B96&lt;$L$1,F96&gt;I96),"Win",IF(AND(B96&lt;$L$1,F96&lt;I96),"Loss","")),"")</f>
        <v/>
      </c>
      <c r="M96" s="156">
        <f>IF(B96&lt;_CurWeek,"In","")</f>
        <v/>
      </c>
      <c r="N96" s="156">
        <f>IF(M96="In",E96&amp;G96,"")</f>
        <v/>
      </c>
      <c r="O96" s="156">
        <f>IF(L96="Win",1,0)</f>
        <v/>
      </c>
      <c r="S96" s="178" t="n"/>
      <c r="U96" s="172" t="n"/>
      <c r="Y96" s="172" t="n"/>
    </row>
    <row r="97" ht="14.4" customHeight="1" s="152">
      <c r="A97" s="167">
        <f>B97&amp;E97</f>
        <v/>
      </c>
      <c r="B97" s="168">
        <f>2025Schedule!B97</f>
        <v/>
      </c>
      <c r="C97" s="168">
        <f>2025Schedule!C97</f>
        <v/>
      </c>
      <c r="D97" s="168">
        <f>2025Schedule!D97</f>
        <v/>
      </c>
      <c r="E97" s="168">
        <f>2025Schedule!E97</f>
        <v/>
      </c>
      <c r="F97" s="168">
        <f>2025Schedule!F97</f>
        <v/>
      </c>
      <c r="G97" s="168">
        <f>2025Schedule!G97</f>
        <v/>
      </c>
      <c r="H97" s="168">
        <f>2025Schedule!H97</f>
        <v/>
      </c>
      <c r="I97" s="168">
        <f>2025Schedule!I97</f>
        <v/>
      </c>
      <c r="J97" s="168">
        <f>2025Schedule!J97</f>
        <v/>
      </c>
      <c r="K97" s="156">
        <f>IF(AND(F97=0,I97=0),"",IF(F97&gt;I97,B97&amp;E97,IF(F97&lt;I97,B97&amp;H97,"Tie")))</f>
        <v/>
      </c>
      <c r="L97" s="156">
        <f>IFERROR(IF(AND(B97&lt;$L$1,F97&gt;I97),"Win",IF(AND(B97&lt;$L$1,F97&lt;I97),"Loss","")),"")</f>
        <v/>
      </c>
      <c r="M97" s="156">
        <f>IF(B97&lt;_CurWeek,"In","")</f>
        <v/>
      </c>
      <c r="N97" s="156">
        <f>IF(M97="In",E97&amp;G97,"")</f>
        <v/>
      </c>
      <c r="O97" s="156">
        <f>IF(L97="Win",1,0)</f>
        <v/>
      </c>
      <c r="S97" s="178" t="n"/>
      <c r="U97" s="172" t="n"/>
      <c r="Y97" s="172" t="n"/>
    </row>
    <row r="98" ht="14.4" customHeight="1" s="152">
      <c r="A98" s="167">
        <f>B98&amp;E98</f>
        <v/>
      </c>
      <c r="B98" s="168">
        <f>2025Schedule!B98</f>
        <v/>
      </c>
      <c r="C98" s="168">
        <f>2025Schedule!C98</f>
        <v/>
      </c>
      <c r="D98" s="168">
        <f>2025Schedule!D98</f>
        <v/>
      </c>
      <c r="E98" s="168">
        <f>2025Schedule!E98</f>
        <v/>
      </c>
      <c r="F98" s="168">
        <f>2025Schedule!F98</f>
        <v/>
      </c>
      <c r="G98" s="168">
        <f>2025Schedule!G98</f>
        <v/>
      </c>
      <c r="H98" s="168">
        <f>2025Schedule!H98</f>
        <v/>
      </c>
      <c r="I98" s="168">
        <f>2025Schedule!I98</f>
        <v/>
      </c>
      <c r="J98" s="168">
        <f>2025Schedule!J98</f>
        <v/>
      </c>
      <c r="K98" s="156">
        <f>IF(AND(F98=0,I98=0),"",IF(F98&gt;I98,B98&amp;E98,IF(F98&lt;I98,B98&amp;H98,"Tie")))</f>
        <v/>
      </c>
      <c r="L98" s="156">
        <f>IFERROR(IF(AND(B98&lt;$L$1,F98&gt;I98),"Win",IF(AND(B98&lt;$L$1,F98&lt;I98),"Loss","")),"")</f>
        <v/>
      </c>
      <c r="M98" s="156">
        <f>IF(B98&lt;_CurWeek,"In","")</f>
        <v/>
      </c>
      <c r="N98" s="156">
        <f>IF(M98="In",E98&amp;G98,"")</f>
        <v/>
      </c>
      <c r="O98" s="156">
        <f>IF(L98="Win",1,0)</f>
        <v/>
      </c>
      <c r="S98" s="178" t="n"/>
      <c r="U98" s="172" t="n"/>
      <c r="Y98" s="172" t="n"/>
    </row>
    <row r="99" ht="14.4" customHeight="1" s="152">
      <c r="A99" s="167">
        <f>B99&amp;E99</f>
        <v/>
      </c>
      <c r="B99" s="168">
        <f>2025Schedule!B99</f>
        <v/>
      </c>
      <c r="C99" s="168">
        <f>2025Schedule!C99</f>
        <v/>
      </c>
      <c r="D99" s="168">
        <f>2025Schedule!D99</f>
        <v/>
      </c>
      <c r="E99" s="168">
        <f>2025Schedule!E99</f>
        <v/>
      </c>
      <c r="F99" s="168">
        <f>2025Schedule!F99</f>
        <v/>
      </c>
      <c r="G99" s="168">
        <f>2025Schedule!G99</f>
        <v/>
      </c>
      <c r="H99" s="168">
        <f>2025Schedule!H99</f>
        <v/>
      </c>
      <c r="I99" s="168">
        <f>2025Schedule!I99</f>
        <v/>
      </c>
      <c r="J99" s="168">
        <f>2025Schedule!J99</f>
        <v/>
      </c>
      <c r="K99" s="156">
        <f>IF(AND(F99=0,I99=0),"",IF(F99&gt;I99,B99&amp;E99,IF(F99&lt;I99,B99&amp;H99,"Tie")))</f>
        <v/>
      </c>
      <c r="L99" s="156">
        <f>IFERROR(IF(AND(B99&lt;$L$1,F99&gt;I99),"Win",IF(AND(B99&lt;$L$1,F99&lt;I99),"Loss","")),"")</f>
        <v/>
      </c>
      <c r="M99" s="156">
        <f>IF(B99&lt;_CurWeek,"In","")</f>
        <v/>
      </c>
      <c r="N99" s="156">
        <f>IF(M99="In",E99&amp;G99,"")</f>
        <v/>
      </c>
      <c r="O99" s="156">
        <f>IF(L99="Win",1,0)</f>
        <v/>
      </c>
      <c r="S99" s="178" t="n"/>
      <c r="U99" s="172" t="n"/>
      <c r="Y99" s="172" t="n"/>
    </row>
    <row r="100" ht="14.4" customHeight="1" s="152">
      <c r="A100" s="167">
        <f>B100&amp;E100</f>
        <v/>
      </c>
      <c r="B100" s="168">
        <f>2025Schedule!B100</f>
        <v/>
      </c>
      <c r="C100" s="168">
        <f>2025Schedule!C100</f>
        <v/>
      </c>
      <c r="D100" s="168">
        <f>2025Schedule!D100</f>
        <v/>
      </c>
      <c r="E100" s="168">
        <f>2025Schedule!E100</f>
        <v/>
      </c>
      <c r="F100" s="168">
        <f>2025Schedule!F100</f>
        <v/>
      </c>
      <c r="G100" s="168">
        <f>2025Schedule!G100</f>
        <v/>
      </c>
      <c r="H100" s="168">
        <f>2025Schedule!H100</f>
        <v/>
      </c>
      <c r="I100" s="168">
        <f>2025Schedule!I100</f>
        <v/>
      </c>
      <c r="J100" s="168">
        <f>2025Schedule!J100</f>
        <v/>
      </c>
      <c r="K100" s="156">
        <f>IF(AND(F100=0,I100=0),"",IF(F100&gt;I100,B100&amp;E100,IF(F100&lt;I100,B100&amp;H100,"Tie")))</f>
        <v/>
      </c>
      <c r="L100" s="156">
        <f>IFERROR(IF(AND(B100&lt;$L$1,F100&gt;I100),"Win",IF(AND(B100&lt;$L$1,F100&lt;I100),"Loss","")),"")</f>
        <v/>
      </c>
      <c r="M100" s="156">
        <f>IF(B100&lt;_CurWeek,"In","")</f>
        <v/>
      </c>
      <c r="N100" s="156">
        <f>IF(M100="In",E100&amp;G100,"")</f>
        <v/>
      </c>
      <c r="O100" s="156">
        <f>IF(L100="Win",1,0)</f>
        <v/>
      </c>
      <c r="S100" s="178" t="n"/>
      <c r="U100" s="172" t="n"/>
      <c r="Y100" s="172" t="n"/>
    </row>
    <row r="101" ht="14.4" customHeight="1" s="152">
      <c r="A101" s="167">
        <f>B101&amp;E101</f>
        <v/>
      </c>
      <c r="B101" s="168">
        <f>2025Schedule!B101</f>
        <v/>
      </c>
      <c r="C101" s="168">
        <f>2025Schedule!C101</f>
        <v/>
      </c>
      <c r="D101" s="168">
        <f>2025Schedule!D101</f>
        <v/>
      </c>
      <c r="E101" s="168">
        <f>2025Schedule!E101</f>
        <v/>
      </c>
      <c r="F101" s="168">
        <f>2025Schedule!F101</f>
        <v/>
      </c>
      <c r="G101" s="168">
        <f>2025Schedule!G101</f>
        <v/>
      </c>
      <c r="H101" s="168">
        <f>2025Schedule!H101</f>
        <v/>
      </c>
      <c r="I101" s="168">
        <f>2025Schedule!I101</f>
        <v/>
      </c>
      <c r="J101" s="168">
        <f>2025Schedule!J101</f>
        <v/>
      </c>
      <c r="K101" s="156">
        <f>IF(AND(F101=0,I101=0),"",IF(F101&gt;I101,B101&amp;E101,IF(F101&lt;I101,B101&amp;H101,"Tie")))</f>
        <v/>
      </c>
      <c r="L101" s="156">
        <f>IFERROR(IF(AND(B101&lt;$L$1,F101&gt;I101),"Win",IF(AND(B101&lt;$L$1,F101&lt;I101),"Loss","")),"")</f>
        <v/>
      </c>
      <c r="M101" s="156">
        <f>IF(B101&lt;_CurWeek,"In","")</f>
        <v/>
      </c>
      <c r="N101" s="156">
        <f>IF(M101="In",E101&amp;G101,"")</f>
        <v/>
      </c>
      <c r="O101" s="156">
        <f>IF(L101="Win",1,0)</f>
        <v/>
      </c>
      <c r="S101" s="178" t="n"/>
      <c r="U101" s="172" t="n"/>
      <c r="Y101" s="172" t="n"/>
    </row>
    <row r="102" ht="14.4" customHeight="1" s="152">
      <c r="A102" s="167">
        <f>B102&amp;E102</f>
        <v/>
      </c>
      <c r="B102" s="168">
        <f>2025Schedule!B102</f>
        <v/>
      </c>
      <c r="C102" s="168">
        <f>2025Schedule!C102</f>
        <v/>
      </c>
      <c r="D102" s="168">
        <f>2025Schedule!D102</f>
        <v/>
      </c>
      <c r="E102" s="168">
        <f>2025Schedule!E102</f>
        <v/>
      </c>
      <c r="F102" s="168">
        <f>2025Schedule!F102</f>
        <v/>
      </c>
      <c r="G102" s="168">
        <f>2025Schedule!G102</f>
        <v/>
      </c>
      <c r="H102" s="168">
        <f>2025Schedule!H102</f>
        <v/>
      </c>
      <c r="I102" s="168">
        <f>2025Schedule!I102</f>
        <v/>
      </c>
      <c r="J102" s="168">
        <f>2025Schedule!J102</f>
        <v/>
      </c>
      <c r="K102" s="156">
        <f>IF(AND(F102=0,I102=0),"",IF(F102&gt;I102,B102&amp;E102,IF(F102&lt;I102,B102&amp;H102,"Tie")))</f>
        <v/>
      </c>
      <c r="L102" s="156">
        <f>IFERROR(IF(AND(B102&lt;$L$1,F102&gt;I102),"Win",IF(AND(B102&lt;$L$1,F102&lt;I102),"Loss","")),"")</f>
        <v/>
      </c>
      <c r="M102" s="156">
        <f>IF(B102&lt;_CurWeek,"In","")</f>
        <v/>
      </c>
      <c r="N102" s="156">
        <f>IF(M102="In",E102&amp;G102,"")</f>
        <v/>
      </c>
      <c r="O102" s="156">
        <f>IF(L102="Win",1,0)</f>
        <v/>
      </c>
      <c r="S102" s="178" t="n"/>
      <c r="U102" s="172" t="n"/>
      <c r="Y102" s="172" t="n"/>
    </row>
    <row r="103" ht="14.4" customHeight="1" s="152">
      <c r="A103" s="167">
        <f>B103&amp;E103</f>
        <v/>
      </c>
      <c r="B103" s="168">
        <f>2025Schedule!B103</f>
        <v/>
      </c>
      <c r="C103" s="168">
        <f>2025Schedule!C103</f>
        <v/>
      </c>
      <c r="D103" s="168">
        <f>2025Schedule!D103</f>
        <v/>
      </c>
      <c r="E103" s="168">
        <f>2025Schedule!E103</f>
        <v/>
      </c>
      <c r="F103" s="168">
        <f>2025Schedule!F103</f>
        <v/>
      </c>
      <c r="G103" s="168">
        <f>2025Schedule!G103</f>
        <v/>
      </c>
      <c r="H103" s="168">
        <f>2025Schedule!H103</f>
        <v/>
      </c>
      <c r="I103" s="168">
        <f>2025Schedule!I103</f>
        <v/>
      </c>
      <c r="J103" s="168">
        <f>2025Schedule!J103</f>
        <v/>
      </c>
      <c r="K103" s="156">
        <f>IF(AND(F103=0,I103=0),"",IF(F103&gt;I103,B103&amp;E103,IF(F103&lt;I103,B103&amp;H103,"Tie")))</f>
        <v/>
      </c>
      <c r="L103" s="156">
        <f>IFERROR(IF(AND(B103&lt;$L$1,F103&gt;I103),"Win",IF(AND(B103&lt;$L$1,F103&lt;I103),"Loss","")),"")</f>
        <v/>
      </c>
      <c r="M103" s="156">
        <f>IF(B103&lt;_CurWeek,"In","")</f>
        <v/>
      </c>
      <c r="N103" s="156">
        <f>IF(M103="In",E103&amp;G103,"")</f>
        <v/>
      </c>
      <c r="O103" s="156">
        <f>IF(L103="Win",1,0)</f>
        <v/>
      </c>
      <c r="S103" s="178" t="n"/>
      <c r="U103" s="172" t="n"/>
      <c r="Y103" s="172" t="n"/>
    </row>
    <row r="104" ht="14.4" customHeight="1" s="152">
      <c r="A104" s="167">
        <f>B104&amp;E104</f>
        <v/>
      </c>
      <c r="B104" s="168">
        <f>2025Schedule!B104</f>
        <v/>
      </c>
      <c r="C104" s="168">
        <f>2025Schedule!C104</f>
        <v/>
      </c>
      <c r="D104" s="168">
        <f>2025Schedule!D104</f>
        <v/>
      </c>
      <c r="E104" s="168">
        <f>2025Schedule!E104</f>
        <v/>
      </c>
      <c r="F104" s="168">
        <f>2025Schedule!F104</f>
        <v/>
      </c>
      <c r="G104" s="168">
        <f>2025Schedule!G104</f>
        <v/>
      </c>
      <c r="H104" s="168">
        <f>2025Schedule!H104</f>
        <v/>
      </c>
      <c r="I104" s="168">
        <f>2025Schedule!I104</f>
        <v/>
      </c>
      <c r="J104" s="168">
        <f>2025Schedule!J104</f>
        <v/>
      </c>
      <c r="K104" s="156">
        <f>IF(AND(F104=0,I104=0),"",IF(F104&gt;I104,B104&amp;E104,IF(F104&lt;I104,B104&amp;H104,"Tie")))</f>
        <v/>
      </c>
      <c r="L104" s="156">
        <f>IFERROR(IF(AND(B104&lt;$L$1,F104&gt;I104),"Win",IF(AND(B104&lt;$L$1,F104&lt;I104),"Loss","")),"")</f>
        <v/>
      </c>
      <c r="M104" s="156">
        <f>IF(B104&lt;_CurWeek,"In","")</f>
        <v/>
      </c>
      <c r="N104" s="156">
        <f>IF(M104="In",E104&amp;G104,"")</f>
        <v/>
      </c>
      <c r="O104" s="156">
        <f>IF(L104="Win",1,0)</f>
        <v/>
      </c>
      <c r="S104" s="178" t="n"/>
      <c r="U104" s="172" t="n"/>
      <c r="Y104" s="172" t="n"/>
    </row>
    <row r="105" ht="14.4" customHeight="1" s="152">
      <c r="A105" s="167">
        <f>B105&amp;E105</f>
        <v/>
      </c>
      <c r="B105" s="168">
        <f>2025Schedule!B105</f>
        <v/>
      </c>
      <c r="C105" s="168">
        <f>2025Schedule!C105</f>
        <v/>
      </c>
      <c r="D105" s="168">
        <f>2025Schedule!D105</f>
        <v/>
      </c>
      <c r="E105" s="168">
        <f>2025Schedule!E105</f>
        <v/>
      </c>
      <c r="F105" s="168">
        <f>2025Schedule!F105</f>
        <v/>
      </c>
      <c r="G105" s="168">
        <f>2025Schedule!G105</f>
        <v/>
      </c>
      <c r="H105" s="168">
        <f>2025Schedule!H105</f>
        <v/>
      </c>
      <c r="I105" s="168">
        <f>2025Schedule!I105</f>
        <v/>
      </c>
      <c r="J105" s="168">
        <f>2025Schedule!J105</f>
        <v/>
      </c>
      <c r="K105" s="156">
        <f>IF(AND(F105=0,I105=0),"",IF(F105&gt;I105,B105&amp;E105,IF(F105&lt;I105,B105&amp;H105,"Tie")))</f>
        <v/>
      </c>
      <c r="L105" s="156">
        <f>IFERROR(IF(AND(B105&lt;$L$1,F105&gt;I105),"Win",IF(AND(B105&lt;$L$1,F105&lt;I105),"Loss","")),"")</f>
        <v/>
      </c>
      <c r="M105" s="156">
        <f>IF(B105&lt;_CurWeek,"In","")</f>
        <v/>
      </c>
      <c r="N105" s="156">
        <f>IF(M105="In",E105&amp;G105,"")</f>
        <v/>
      </c>
      <c r="O105" s="156">
        <f>IF(L105="Win",1,0)</f>
        <v/>
      </c>
      <c r="S105" s="178" t="n"/>
      <c r="U105" s="172" t="n"/>
      <c r="Y105" s="172" t="n"/>
    </row>
    <row r="106" ht="14.4" customHeight="1" s="152">
      <c r="A106" s="167">
        <f>B106&amp;E106</f>
        <v/>
      </c>
      <c r="B106" s="168">
        <f>2025Schedule!B106</f>
        <v/>
      </c>
      <c r="C106" s="168">
        <f>2025Schedule!C106</f>
        <v/>
      </c>
      <c r="D106" s="168">
        <f>2025Schedule!D106</f>
        <v/>
      </c>
      <c r="E106" s="168">
        <f>2025Schedule!E106</f>
        <v/>
      </c>
      <c r="F106" s="168">
        <f>2025Schedule!F106</f>
        <v/>
      </c>
      <c r="G106" s="168">
        <f>2025Schedule!G106</f>
        <v/>
      </c>
      <c r="H106" s="168">
        <f>2025Schedule!H106</f>
        <v/>
      </c>
      <c r="I106" s="168">
        <f>2025Schedule!I106</f>
        <v/>
      </c>
      <c r="J106" s="168">
        <f>2025Schedule!J106</f>
        <v/>
      </c>
      <c r="K106" s="156">
        <f>IF(AND(F106=0,I106=0),"",IF(F106&gt;I106,B106&amp;E106,IF(F106&lt;I106,B106&amp;H106,"Tie")))</f>
        <v/>
      </c>
      <c r="L106" s="156">
        <f>IFERROR(IF(AND(B106&lt;$L$1,F106&gt;I106),"Win",IF(AND(B106&lt;$L$1,F106&lt;I106),"Loss","")),"")</f>
        <v/>
      </c>
      <c r="M106" s="156">
        <f>IF(B106&lt;_CurWeek,"In","")</f>
        <v/>
      </c>
      <c r="N106" s="156">
        <f>IF(M106="In",E106&amp;G106,"")</f>
        <v/>
      </c>
      <c r="O106" s="156">
        <f>IF(L106="Win",1,0)</f>
        <v/>
      </c>
      <c r="S106" s="178" t="n"/>
      <c r="U106" s="172" t="n"/>
      <c r="Y106" s="172" t="n"/>
    </row>
    <row r="107" ht="14.4" customHeight="1" s="152">
      <c r="A107" s="167">
        <f>B107&amp;E107</f>
        <v/>
      </c>
      <c r="B107" s="168">
        <f>2025Schedule!B107</f>
        <v/>
      </c>
      <c r="C107" s="168">
        <f>2025Schedule!C107</f>
        <v/>
      </c>
      <c r="D107" s="168">
        <f>2025Schedule!D107</f>
        <v/>
      </c>
      <c r="E107" s="168">
        <f>2025Schedule!E107</f>
        <v/>
      </c>
      <c r="F107" s="168">
        <f>2025Schedule!F107</f>
        <v/>
      </c>
      <c r="G107" s="168">
        <f>2025Schedule!G107</f>
        <v/>
      </c>
      <c r="H107" s="168">
        <f>2025Schedule!H107</f>
        <v/>
      </c>
      <c r="I107" s="168">
        <f>2025Schedule!I107</f>
        <v/>
      </c>
      <c r="J107" s="168">
        <f>2025Schedule!J107</f>
        <v/>
      </c>
      <c r="K107" s="156">
        <f>IF(AND(F107=0,I107=0),"",IF(F107&gt;I107,B107&amp;E107,IF(F107&lt;I107,B107&amp;H107,"Tie")))</f>
        <v/>
      </c>
      <c r="L107" s="156">
        <f>IFERROR(IF(AND(B107&lt;$L$1,F107&gt;I107),"Win",IF(AND(B107&lt;$L$1,F107&lt;I107),"Loss","")),"")</f>
        <v/>
      </c>
      <c r="M107" s="156">
        <f>IF(B107&lt;_CurWeek,"In","")</f>
        <v/>
      </c>
      <c r="N107" s="156">
        <f>IF(M107="In",E107&amp;G107,"")</f>
        <v/>
      </c>
      <c r="O107" s="156">
        <f>IF(L107="Win",1,0)</f>
        <v/>
      </c>
      <c r="S107" s="178" t="n"/>
      <c r="U107" s="172" t="n"/>
      <c r="Y107" s="172" t="n"/>
    </row>
    <row r="108" ht="14.4" customHeight="1" s="152">
      <c r="A108" s="167">
        <f>B108&amp;E108</f>
        <v/>
      </c>
      <c r="B108" s="168">
        <f>2025Schedule!B108</f>
        <v/>
      </c>
      <c r="C108" s="168">
        <f>2025Schedule!C108</f>
        <v/>
      </c>
      <c r="D108" s="168">
        <f>2025Schedule!D108</f>
        <v/>
      </c>
      <c r="E108" s="168">
        <f>2025Schedule!E108</f>
        <v/>
      </c>
      <c r="F108" s="168">
        <f>2025Schedule!F108</f>
        <v/>
      </c>
      <c r="G108" s="168">
        <f>2025Schedule!G108</f>
        <v/>
      </c>
      <c r="H108" s="168">
        <f>2025Schedule!H108</f>
        <v/>
      </c>
      <c r="I108" s="168">
        <f>2025Schedule!I108</f>
        <v/>
      </c>
      <c r="J108" s="168">
        <f>2025Schedule!J108</f>
        <v/>
      </c>
      <c r="K108" s="156">
        <f>IF(AND(F108=0,I108=0),"",IF(F108&gt;I108,B108&amp;E108,IF(F108&lt;I108,B108&amp;H108,"Tie")))</f>
        <v/>
      </c>
      <c r="L108" s="156">
        <f>IFERROR(IF(AND(B108&lt;$L$1,F108&gt;I108),"Win",IF(AND(B108&lt;$L$1,F108&lt;I108),"Loss","")),"")</f>
        <v/>
      </c>
      <c r="M108" s="156">
        <f>IF(B108&lt;_CurWeek,"In","")</f>
        <v/>
      </c>
      <c r="N108" s="156">
        <f>IF(M108="In",E108&amp;G108,"")</f>
        <v/>
      </c>
      <c r="O108" s="156">
        <f>IF(L108="Win",1,0)</f>
        <v/>
      </c>
      <c r="S108" s="178" t="n"/>
      <c r="U108" s="172" t="n"/>
      <c r="Y108" s="172" t="n"/>
    </row>
    <row r="109" ht="14.4" customHeight="1" s="152">
      <c r="A109" s="167">
        <f>B109&amp;E109</f>
        <v/>
      </c>
      <c r="B109" s="168">
        <f>2025Schedule!B109</f>
        <v/>
      </c>
      <c r="C109" s="168">
        <f>2025Schedule!C109</f>
        <v/>
      </c>
      <c r="D109" s="168">
        <f>2025Schedule!D109</f>
        <v/>
      </c>
      <c r="E109" s="168">
        <f>2025Schedule!E109</f>
        <v/>
      </c>
      <c r="F109" s="168">
        <f>2025Schedule!F109</f>
        <v/>
      </c>
      <c r="G109" s="168">
        <f>2025Schedule!G109</f>
        <v/>
      </c>
      <c r="H109" s="168">
        <f>2025Schedule!H109</f>
        <v/>
      </c>
      <c r="I109" s="168">
        <f>2025Schedule!I109</f>
        <v/>
      </c>
      <c r="J109" s="168">
        <f>2025Schedule!J109</f>
        <v/>
      </c>
      <c r="K109" s="156">
        <f>IF(AND(F109=0,I109=0),"",IF(F109&gt;I109,B109&amp;E109,IF(F109&lt;I109,B109&amp;H109,"Tie")))</f>
        <v/>
      </c>
      <c r="L109" s="156">
        <f>IFERROR(IF(AND(B109&lt;$L$1,F109&gt;I109),"Win",IF(AND(B109&lt;$L$1,F109&lt;I109),"Loss","")),"")</f>
        <v/>
      </c>
      <c r="M109" s="156">
        <f>IF(B109&lt;_CurWeek,"In","")</f>
        <v/>
      </c>
      <c r="N109" s="156">
        <f>IF(M109="In",E109&amp;G109,"")</f>
        <v/>
      </c>
      <c r="O109" s="156">
        <f>IF(L109="Win",1,0)</f>
        <v/>
      </c>
      <c r="S109" s="178" t="n"/>
      <c r="U109" s="172" t="n"/>
      <c r="Y109" s="172" t="n"/>
    </row>
    <row r="110" ht="14.4" customHeight="1" s="152">
      <c r="A110" s="167">
        <f>B110&amp;E110</f>
        <v/>
      </c>
      <c r="B110" s="168">
        <f>2025Schedule!B110</f>
        <v/>
      </c>
      <c r="C110" s="168">
        <f>2025Schedule!C110</f>
        <v/>
      </c>
      <c r="D110" s="168">
        <f>2025Schedule!D110</f>
        <v/>
      </c>
      <c r="E110" s="168">
        <f>2025Schedule!E110</f>
        <v/>
      </c>
      <c r="F110" s="168">
        <f>2025Schedule!F110</f>
        <v/>
      </c>
      <c r="G110" s="168">
        <f>2025Schedule!G110</f>
        <v/>
      </c>
      <c r="H110" s="168">
        <f>2025Schedule!H110</f>
        <v/>
      </c>
      <c r="I110" s="168">
        <f>2025Schedule!I110</f>
        <v/>
      </c>
      <c r="J110" s="168">
        <f>2025Schedule!J110</f>
        <v/>
      </c>
      <c r="K110" s="156">
        <f>IF(AND(F110=0,I110=0),"",IF(F110&gt;I110,B110&amp;E110,IF(F110&lt;I110,B110&amp;H110,"Tie")))</f>
        <v/>
      </c>
      <c r="L110" s="156">
        <f>IFERROR(IF(AND(B110&lt;$L$1,F110&gt;I110),"Win",IF(AND(B110&lt;$L$1,F110&lt;I110),"Loss","")),"")</f>
        <v/>
      </c>
      <c r="M110" s="156">
        <f>IF(B110&lt;_CurWeek,"In","")</f>
        <v/>
      </c>
      <c r="N110" s="156">
        <f>IF(M110="In",E110&amp;G110,"")</f>
        <v/>
      </c>
      <c r="O110" s="156">
        <f>IF(L110="Win",1,0)</f>
        <v/>
      </c>
      <c r="S110" s="178" t="n"/>
      <c r="U110" s="172" t="n"/>
      <c r="Y110" s="172" t="n"/>
    </row>
    <row r="111" ht="14.4" customHeight="1" s="152">
      <c r="A111" s="167">
        <f>B111&amp;E111</f>
        <v/>
      </c>
      <c r="B111" s="168">
        <f>2025Schedule!B111</f>
        <v/>
      </c>
      <c r="C111" s="168">
        <f>2025Schedule!C111</f>
        <v/>
      </c>
      <c r="D111" s="168">
        <f>2025Schedule!D111</f>
        <v/>
      </c>
      <c r="E111" s="168">
        <f>2025Schedule!E111</f>
        <v/>
      </c>
      <c r="F111" s="168">
        <f>2025Schedule!F111</f>
        <v/>
      </c>
      <c r="G111" s="168">
        <f>2025Schedule!G111</f>
        <v/>
      </c>
      <c r="H111" s="168">
        <f>2025Schedule!H111</f>
        <v/>
      </c>
      <c r="I111" s="168">
        <f>2025Schedule!I111</f>
        <v/>
      </c>
      <c r="J111" s="168">
        <f>2025Schedule!J111</f>
        <v/>
      </c>
      <c r="K111" s="156">
        <f>IF(AND(F111=0,I111=0),"",IF(F111&gt;I111,B111&amp;E111,IF(F111&lt;I111,B111&amp;H111,"Tie")))</f>
        <v/>
      </c>
      <c r="L111" s="156">
        <f>IFERROR(IF(AND(B111&lt;$L$1,F111&gt;I111),"Win",IF(AND(B111&lt;$L$1,F111&lt;I111),"Loss","")),"")</f>
        <v/>
      </c>
      <c r="M111" s="156">
        <f>IF(B111&lt;_CurWeek,"In","")</f>
        <v/>
      </c>
      <c r="N111" s="156">
        <f>IF(M111="In",E111&amp;G111,"")</f>
        <v/>
      </c>
      <c r="O111" s="156">
        <f>IF(L111="Win",1,0)</f>
        <v/>
      </c>
      <c r="S111" s="178" t="n"/>
      <c r="U111" s="172" t="n"/>
      <c r="Y111" s="172" t="n"/>
    </row>
    <row r="112" ht="14.4" customHeight="1" s="152">
      <c r="A112" s="167">
        <f>B112&amp;E112</f>
        <v/>
      </c>
      <c r="B112" s="168">
        <f>2025Schedule!B112</f>
        <v/>
      </c>
      <c r="C112" s="168">
        <f>2025Schedule!C112</f>
        <v/>
      </c>
      <c r="D112" s="168">
        <f>2025Schedule!D112</f>
        <v/>
      </c>
      <c r="E112" s="168">
        <f>2025Schedule!E112</f>
        <v/>
      </c>
      <c r="F112" s="168">
        <f>2025Schedule!F112</f>
        <v/>
      </c>
      <c r="G112" s="168">
        <f>2025Schedule!G112</f>
        <v/>
      </c>
      <c r="H112" s="168">
        <f>2025Schedule!H112</f>
        <v/>
      </c>
      <c r="I112" s="168">
        <f>2025Schedule!I112</f>
        <v/>
      </c>
      <c r="J112" s="168">
        <f>2025Schedule!J112</f>
        <v/>
      </c>
      <c r="K112" s="156">
        <f>IF(AND(F112=0,I112=0),"",IF(F112&gt;I112,B112&amp;E112,IF(F112&lt;I112,B112&amp;H112,"Tie")))</f>
        <v/>
      </c>
      <c r="L112" s="156">
        <f>IFERROR(IF(AND(B112&lt;$L$1,F112&gt;I112),"Win",IF(AND(B112&lt;$L$1,F112&lt;I112),"Loss","")),"")</f>
        <v/>
      </c>
      <c r="M112" s="156">
        <f>IF(B112&lt;_CurWeek,"In","")</f>
        <v/>
      </c>
      <c r="N112" s="156">
        <f>IF(M112="In",E112&amp;G112,"")</f>
        <v/>
      </c>
      <c r="O112" s="156">
        <f>IF(L112="Win",1,0)</f>
        <v/>
      </c>
      <c r="S112" s="178" t="n"/>
      <c r="U112" s="172" t="n"/>
      <c r="Y112" s="172" t="n"/>
    </row>
    <row r="113" ht="14.4" customHeight="1" s="152">
      <c r="A113" s="167">
        <f>B113&amp;E113</f>
        <v/>
      </c>
      <c r="B113" s="168">
        <f>2025Schedule!B113</f>
        <v/>
      </c>
      <c r="C113" s="168">
        <f>2025Schedule!C113</f>
        <v/>
      </c>
      <c r="D113" s="168">
        <f>2025Schedule!D113</f>
        <v/>
      </c>
      <c r="E113" s="168">
        <f>2025Schedule!E113</f>
        <v/>
      </c>
      <c r="F113" s="168">
        <f>2025Schedule!F113</f>
        <v/>
      </c>
      <c r="G113" s="168">
        <f>2025Schedule!G113</f>
        <v/>
      </c>
      <c r="H113" s="168">
        <f>2025Schedule!H113</f>
        <v/>
      </c>
      <c r="I113" s="168">
        <f>2025Schedule!I113</f>
        <v/>
      </c>
      <c r="J113" s="168">
        <f>2025Schedule!J113</f>
        <v/>
      </c>
      <c r="K113" s="156">
        <f>IF(AND(F113=0,I113=0),"",IF(F113&gt;I113,B113&amp;E113,IF(F113&lt;I113,B113&amp;H113,"Tie")))</f>
        <v/>
      </c>
      <c r="L113" s="156">
        <f>IFERROR(IF(AND(B113&lt;$L$1,F113&gt;I113),"Win",IF(AND(B113&lt;$L$1,F113&lt;I113),"Loss","")),"")</f>
        <v/>
      </c>
      <c r="M113" s="156">
        <f>IF(B113&lt;_CurWeek,"In","")</f>
        <v/>
      </c>
      <c r="N113" s="156">
        <f>IF(M113="In",E113&amp;G113,"")</f>
        <v/>
      </c>
      <c r="O113" s="156">
        <f>IF(L113="Win",1,0)</f>
        <v/>
      </c>
      <c r="S113" s="178" t="n"/>
      <c r="U113" s="172" t="n"/>
      <c r="Y113" s="172" t="n"/>
    </row>
    <row r="114" ht="14.4" customHeight="1" s="152">
      <c r="A114" s="167">
        <f>B114&amp;E114</f>
        <v/>
      </c>
      <c r="B114" s="168">
        <f>2025Schedule!B114</f>
        <v/>
      </c>
      <c r="C114" s="168">
        <f>2025Schedule!C114</f>
        <v/>
      </c>
      <c r="D114" s="168">
        <f>2025Schedule!D114</f>
        <v/>
      </c>
      <c r="E114" s="168">
        <f>2025Schedule!E114</f>
        <v/>
      </c>
      <c r="F114" s="168">
        <f>2025Schedule!F114</f>
        <v/>
      </c>
      <c r="G114" s="168">
        <f>2025Schedule!G114</f>
        <v/>
      </c>
      <c r="H114" s="168">
        <f>2025Schedule!H114</f>
        <v/>
      </c>
      <c r="I114" s="168">
        <f>2025Schedule!I114</f>
        <v/>
      </c>
      <c r="J114" s="168">
        <f>2025Schedule!J114</f>
        <v/>
      </c>
      <c r="K114" s="156">
        <f>IF(AND(F114=0,I114=0),"",IF(F114&gt;I114,B114&amp;E114,IF(F114&lt;I114,B114&amp;H114,"Tie")))</f>
        <v/>
      </c>
      <c r="L114" s="156">
        <f>IFERROR(IF(AND(B114&lt;$L$1,F114&gt;I114),"Win",IF(AND(B114&lt;$L$1,F114&lt;I114),"Loss","")),"")</f>
        <v/>
      </c>
      <c r="M114" s="156">
        <f>IF(B114&lt;_CurWeek,"In","")</f>
        <v/>
      </c>
      <c r="N114" s="156">
        <f>IF(M114="In",E114&amp;G114,"")</f>
        <v/>
      </c>
      <c r="O114" s="156">
        <f>IF(L114="Win",1,0)</f>
        <v/>
      </c>
      <c r="S114" s="178" t="n"/>
      <c r="U114" s="172" t="n"/>
      <c r="Y114" s="172" t="n"/>
    </row>
    <row r="115" ht="14.4" customHeight="1" s="152">
      <c r="A115" s="167">
        <f>B115&amp;E115</f>
        <v/>
      </c>
      <c r="B115" s="168">
        <f>2025Schedule!B115</f>
        <v/>
      </c>
      <c r="C115" s="168">
        <f>2025Schedule!C115</f>
        <v/>
      </c>
      <c r="D115" s="168">
        <f>2025Schedule!D115</f>
        <v/>
      </c>
      <c r="E115" s="168">
        <f>2025Schedule!E115</f>
        <v/>
      </c>
      <c r="F115" s="168">
        <f>2025Schedule!F115</f>
        <v/>
      </c>
      <c r="G115" s="168">
        <f>2025Schedule!G115</f>
        <v/>
      </c>
      <c r="H115" s="168">
        <f>2025Schedule!H115</f>
        <v/>
      </c>
      <c r="I115" s="168">
        <f>2025Schedule!I115</f>
        <v/>
      </c>
      <c r="J115" s="168">
        <f>2025Schedule!J115</f>
        <v/>
      </c>
      <c r="K115" s="156">
        <f>IF(AND(F115=0,I115=0),"",IF(F115&gt;I115,B115&amp;E115,IF(F115&lt;I115,B115&amp;H115,"Tie")))</f>
        <v/>
      </c>
      <c r="L115" s="156">
        <f>IFERROR(IF(AND(B115&lt;$L$1,F115&gt;I115),"Win",IF(AND(B115&lt;$L$1,F115&lt;I115),"Loss","")),"")</f>
        <v/>
      </c>
      <c r="M115" s="156">
        <f>IF(B115&lt;_CurWeek,"In","")</f>
        <v/>
      </c>
      <c r="N115" s="156">
        <f>IF(M115="In",E115&amp;G115,"")</f>
        <v/>
      </c>
      <c r="O115" s="156">
        <f>IF(L115="Win",1,0)</f>
        <v/>
      </c>
      <c r="S115" s="178" t="n"/>
      <c r="U115" s="172" t="n"/>
      <c r="Y115" s="172" t="n"/>
    </row>
    <row r="116" ht="14.4" customHeight="1" s="152">
      <c r="A116" s="167">
        <f>B116&amp;E116</f>
        <v/>
      </c>
      <c r="B116" s="168">
        <f>2025Schedule!B116</f>
        <v/>
      </c>
      <c r="C116" s="168">
        <f>2025Schedule!C116</f>
        <v/>
      </c>
      <c r="D116" s="168">
        <f>2025Schedule!D116</f>
        <v/>
      </c>
      <c r="E116" s="168">
        <f>2025Schedule!E116</f>
        <v/>
      </c>
      <c r="F116" s="168">
        <f>2025Schedule!F116</f>
        <v/>
      </c>
      <c r="G116" s="168">
        <f>2025Schedule!G116</f>
        <v/>
      </c>
      <c r="H116" s="168">
        <f>2025Schedule!H116</f>
        <v/>
      </c>
      <c r="I116" s="168">
        <f>2025Schedule!I116</f>
        <v/>
      </c>
      <c r="J116" s="168">
        <f>2025Schedule!J116</f>
        <v/>
      </c>
      <c r="K116" s="156">
        <f>IF(AND(F116=0,I116=0),"",IF(F116&gt;I116,B116&amp;E116,IF(F116&lt;I116,B116&amp;H116,"Tie")))</f>
        <v/>
      </c>
      <c r="L116" s="156">
        <f>IFERROR(IF(AND(B116&lt;$L$1,F116&gt;I116),"Win",IF(AND(B116&lt;$L$1,F116&lt;I116),"Loss","")),"")</f>
        <v/>
      </c>
      <c r="M116" s="156">
        <f>IF(B116&lt;_CurWeek,"In","")</f>
        <v/>
      </c>
      <c r="N116" s="156">
        <f>IF(M116="In",E116&amp;G116,"")</f>
        <v/>
      </c>
      <c r="O116" s="156">
        <f>IF(L116="Win",1,0)</f>
        <v/>
      </c>
      <c r="S116" s="178" t="n"/>
      <c r="U116" s="172" t="n"/>
      <c r="Y116" s="172" t="n"/>
    </row>
    <row r="117" ht="14.4" customHeight="1" s="152">
      <c r="A117" s="167">
        <f>B117&amp;E117</f>
        <v/>
      </c>
      <c r="B117" s="168">
        <f>2025Schedule!B117</f>
        <v/>
      </c>
      <c r="C117" s="168">
        <f>2025Schedule!C117</f>
        <v/>
      </c>
      <c r="D117" s="168">
        <f>2025Schedule!D117</f>
        <v/>
      </c>
      <c r="E117" s="168">
        <f>2025Schedule!E117</f>
        <v/>
      </c>
      <c r="F117" s="168">
        <f>2025Schedule!F117</f>
        <v/>
      </c>
      <c r="G117" s="168">
        <f>2025Schedule!G117</f>
        <v/>
      </c>
      <c r="H117" s="168">
        <f>2025Schedule!H117</f>
        <v/>
      </c>
      <c r="I117" s="168">
        <f>2025Schedule!I117</f>
        <v/>
      </c>
      <c r="J117" s="168">
        <f>2025Schedule!J117</f>
        <v/>
      </c>
      <c r="K117" s="156">
        <f>IF(AND(F117=0,I117=0),"",IF(F117&gt;I117,B117&amp;E117,IF(F117&lt;I117,B117&amp;H117,"Tie")))</f>
        <v/>
      </c>
      <c r="L117" s="156">
        <f>IFERROR(IF(AND(B117&lt;$L$1,F117&gt;I117),"Win",IF(AND(B117&lt;$L$1,F117&lt;I117),"Loss","")),"")</f>
        <v/>
      </c>
      <c r="M117" s="156">
        <f>IF(B117&lt;_CurWeek,"In","")</f>
        <v/>
      </c>
      <c r="N117" s="156">
        <f>IF(M117="In",E117&amp;G117,"")</f>
        <v/>
      </c>
      <c r="O117" s="156">
        <f>IF(L117="Win",1,0)</f>
        <v/>
      </c>
      <c r="S117" s="178" t="n"/>
      <c r="U117" s="172" t="n"/>
      <c r="Y117" s="172" t="n"/>
    </row>
    <row r="118" ht="14.4" customHeight="1" s="152">
      <c r="A118" s="167">
        <f>B118&amp;E118</f>
        <v/>
      </c>
      <c r="B118" s="168">
        <f>2025Schedule!B118</f>
        <v/>
      </c>
      <c r="C118" s="168">
        <f>2025Schedule!C118</f>
        <v/>
      </c>
      <c r="D118" s="168">
        <f>2025Schedule!D118</f>
        <v/>
      </c>
      <c r="E118" s="168">
        <f>2025Schedule!E118</f>
        <v/>
      </c>
      <c r="F118" s="168">
        <f>2025Schedule!F118</f>
        <v/>
      </c>
      <c r="G118" s="168">
        <f>2025Schedule!G118</f>
        <v/>
      </c>
      <c r="H118" s="168">
        <f>2025Schedule!H118</f>
        <v/>
      </c>
      <c r="I118" s="168">
        <f>2025Schedule!I118</f>
        <v/>
      </c>
      <c r="J118" s="168">
        <f>2025Schedule!J118</f>
        <v/>
      </c>
      <c r="K118" s="156">
        <f>IF(AND(F118=0,I118=0),"",IF(F118&gt;I118,B118&amp;E118,IF(F118&lt;I118,B118&amp;H118,"Tie")))</f>
        <v/>
      </c>
      <c r="L118" s="156">
        <f>IFERROR(IF(AND(B118&lt;$L$1,F118&gt;I118),"Win",IF(AND(B118&lt;$L$1,F118&lt;I118),"Loss","")),"")</f>
        <v/>
      </c>
      <c r="M118" s="156">
        <f>IF(B118&lt;_CurWeek,"In","")</f>
        <v/>
      </c>
      <c r="N118" s="156">
        <f>IF(M118="In",E118&amp;G118,"")</f>
        <v/>
      </c>
      <c r="O118" s="156">
        <f>IF(L118="Win",1,0)</f>
        <v/>
      </c>
      <c r="S118" s="178" t="n"/>
      <c r="U118" s="172" t="n"/>
      <c r="Y118" s="172" t="n"/>
    </row>
    <row r="119" ht="14.4" customHeight="1" s="152">
      <c r="A119" s="167">
        <f>B119&amp;E119</f>
        <v/>
      </c>
      <c r="B119" s="168">
        <f>2025Schedule!B119</f>
        <v/>
      </c>
      <c r="C119" s="168">
        <f>2025Schedule!C119</f>
        <v/>
      </c>
      <c r="D119" s="168">
        <f>2025Schedule!D119</f>
        <v/>
      </c>
      <c r="E119" s="168">
        <f>2025Schedule!E119</f>
        <v/>
      </c>
      <c r="F119" s="168">
        <f>2025Schedule!F119</f>
        <v/>
      </c>
      <c r="G119" s="168">
        <f>2025Schedule!G119</f>
        <v/>
      </c>
      <c r="H119" s="168">
        <f>2025Schedule!H119</f>
        <v/>
      </c>
      <c r="I119" s="168">
        <f>2025Schedule!I119</f>
        <v/>
      </c>
      <c r="J119" s="168">
        <f>2025Schedule!J119</f>
        <v/>
      </c>
      <c r="K119" s="156">
        <f>IF(AND(F119=0,I119=0),"",IF(F119&gt;I119,B119&amp;E119,IF(F119&lt;I119,B119&amp;H119,"Tie")))</f>
        <v/>
      </c>
      <c r="L119" s="156">
        <f>IFERROR(IF(AND(B119&lt;$L$1,F119&gt;I119),"Win",IF(AND(B119&lt;$L$1,F119&lt;I119),"Loss","")),"")</f>
        <v/>
      </c>
      <c r="M119" s="156">
        <f>IF(B119&lt;_CurWeek,"In","")</f>
        <v/>
      </c>
      <c r="N119" s="156">
        <f>IF(M119="In",E119&amp;G119,"")</f>
        <v/>
      </c>
      <c r="O119" s="156">
        <f>IF(L119="Win",1,0)</f>
        <v/>
      </c>
      <c r="S119" s="178" t="n"/>
      <c r="U119" s="172" t="n"/>
      <c r="Y119" s="172" t="n"/>
    </row>
    <row r="120" ht="14.4" customHeight="1" s="152">
      <c r="A120" s="167">
        <f>B120&amp;E120</f>
        <v/>
      </c>
      <c r="B120" s="168">
        <f>2025Schedule!B120</f>
        <v/>
      </c>
      <c r="C120" s="168">
        <f>2025Schedule!C120</f>
        <v/>
      </c>
      <c r="D120" s="168">
        <f>2025Schedule!D120</f>
        <v/>
      </c>
      <c r="E120" s="168">
        <f>2025Schedule!E120</f>
        <v/>
      </c>
      <c r="F120" s="168">
        <f>2025Schedule!F120</f>
        <v/>
      </c>
      <c r="G120" s="168">
        <f>2025Schedule!G120</f>
        <v/>
      </c>
      <c r="H120" s="168">
        <f>2025Schedule!H120</f>
        <v/>
      </c>
      <c r="I120" s="168">
        <f>2025Schedule!I120</f>
        <v/>
      </c>
      <c r="J120" s="168">
        <f>2025Schedule!J120</f>
        <v/>
      </c>
      <c r="K120" s="156">
        <f>IF(AND(F120=0,I120=0),"",IF(F120&gt;I120,B120&amp;E120,IF(F120&lt;I120,B120&amp;H120,"Tie")))</f>
        <v/>
      </c>
      <c r="L120" s="156">
        <f>IFERROR(IF(AND(B120&lt;$L$1,F120&gt;I120),"Win",IF(AND(B120&lt;$L$1,F120&lt;I120),"Loss","")),"")</f>
        <v/>
      </c>
      <c r="M120" s="156">
        <f>IF(B120&lt;_CurWeek,"In","")</f>
        <v/>
      </c>
      <c r="N120" s="156">
        <f>IF(M120="In",E120&amp;G120,"")</f>
        <v/>
      </c>
      <c r="O120" s="156">
        <f>IF(L120="Win",1,0)</f>
        <v/>
      </c>
      <c r="S120" s="178" t="n"/>
      <c r="U120" s="172" t="n"/>
      <c r="Y120" s="172" t="n"/>
    </row>
    <row r="121" ht="14.4" customHeight="1" s="152">
      <c r="A121" s="167">
        <f>B121&amp;E121</f>
        <v/>
      </c>
      <c r="B121" s="168">
        <f>2025Schedule!B121</f>
        <v/>
      </c>
      <c r="C121" s="168">
        <f>2025Schedule!C121</f>
        <v/>
      </c>
      <c r="D121" s="168">
        <f>2025Schedule!D121</f>
        <v/>
      </c>
      <c r="E121" s="168">
        <f>2025Schedule!E121</f>
        <v/>
      </c>
      <c r="F121" s="168">
        <f>2025Schedule!F121</f>
        <v/>
      </c>
      <c r="G121" s="168">
        <f>2025Schedule!G121</f>
        <v/>
      </c>
      <c r="H121" s="168">
        <f>2025Schedule!H121</f>
        <v/>
      </c>
      <c r="I121" s="168">
        <f>2025Schedule!I121</f>
        <v/>
      </c>
      <c r="J121" s="168">
        <f>2025Schedule!J121</f>
        <v/>
      </c>
      <c r="K121" s="156">
        <f>IF(AND(F121=0,I121=0),"",IF(F121&gt;I121,B121&amp;E121,IF(F121&lt;I121,B121&amp;H121,"Tie")))</f>
        <v/>
      </c>
      <c r="L121" s="156">
        <f>IFERROR(IF(AND(B121&lt;$L$1,F121&gt;I121),"Win",IF(AND(B121&lt;$L$1,F121&lt;I121),"Loss","")),"")</f>
        <v/>
      </c>
      <c r="M121" s="156">
        <f>IF(B121&lt;_CurWeek,"In","")</f>
        <v/>
      </c>
      <c r="N121" s="156">
        <f>IF(M121="In",E121&amp;G121,"")</f>
        <v/>
      </c>
      <c r="O121" s="156">
        <f>IF(L121="Win",1,0)</f>
        <v/>
      </c>
      <c r="S121" s="178" t="n"/>
      <c r="U121" s="172" t="n"/>
      <c r="Y121" s="172" t="n"/>
    </row>
    <row r="122" ht="14.4" customHeight="1" s="152">
      <c r="A122" s="167">
        <f>B122&amp;E122</f>
        <v/>
      </c>
      <c r="B122" s="168">
        <f>2025Schedule!B122</f>
        <v/>
      </c>
      <c r="C122" s="168">
        <f>2025Schedule!C122</f>
        <v/>
      </c>
      <c r="D122" s="168">
        <f>2025Schedule!D122</f>
        <v/>
      </c>
      <c r="E122" s="168">
        <f>2025Schedule!E122</f>
        <v/>
      </c>
      <c r="F122" s="168">
        <f>2025Schedule!F122</f>
        <v/>
      </c>
      <c r="G122" s="168">
        <f>2025Schedule!G122</f>
        <v/>
      </c>
      <c r="H122" s="168">
        <f>2025Schedule!H122</f>
        <v/>
      </c>
      <c r="I122" s="168">
        <f>2025Schedule!I122</f>
        <v/>
      </c>
      <c r="J122" s="168">
        <f>2025Schedule!J122</f>
        <v/>
      </c>
      <c r="K122" s="156">
        <f>IF(AND(F122=0,I122=0),"",IF(F122&gt;I122,B122&amp;E122,IF(F122&lt;I122,B122&amp;H122,"Tie")))</f>
        <v/>
      </c>
      <c r="L122" s="156">
        <f>IFERROR(IF(AND(B122&lt;$L$1,F122&gt;I122),"Win",IF(AND(B122&lt;$L$1,F122&lt;I122),"Loss","")),"")</f>
        <v/>
      </c>
      <c r="M122" s="156">
        <f>IF(B122&lt;_CurWeek,"In","")</f>
        <v/>
      </c>
      <c r="N122" s="156">
        <f>IF(M122="In",E122&amp;G122,"")</f>
        <v/>
      </c>
      <c r="O122" s="156">
        <f>IF(L122="Win",1,0)</f>
        <v/>
      </c>
      <c r="S122" s="178" t="n"/>
      <c r="U122" s="172" t="n"/>
      <c r="Y122" s="172" t="n"/>
    </row>
    <row r="123" ht="14.4" customHeight="1" s="152">
      <c r="A123" s="167">
        <f>B123&amp;E123</f>
        <v/>
      </c>
      <c r="B123" s="168">
        <f>2025Schedule!B123</f>
        <v/>
      </c>
      <c r="C123" s="168">
        <f>2025Schedule!C123</f>
        <v/>
      </c>
      <c r="D123" s="168">
        <f>2025Schedule!D123</f>
        <v/>
      </c>
      <c r="E123" s="168">
        <f>2025Schedule!E123</f>
        <v/>
      </c>
      <c r="F123" s="168">
        <f>2025Schedule!F123</f>
        <v/>
      </c>
      <c r="G123" s="168">
        <f>2025Schedule!G123</f>
        <v/>
      </c>
      <c r="H123" s="168">
        <f>2025Schedule!H123</f>
        <v/>
      </c>
      <c r="I123" s="168">
        <f>2025Schedule!I123</f>
        <v/>
      </c>
      <c r="J123" s="168">
        <f>2025Schedule!J123</f>
        <v/>
      </c>
      <c r="K123" s="156">
        <f>IF(AND(F123=0,I123=0),"",IF(F123&gt;I123,B123&amp;E123,IF(F123&lt;I123,B123&amp;H123,"Tie")))</f>
        <v/>
      </c>
      <c r="L123" s="156">
        <f>IFERROR(IF(AND(B123&lt;$L$1,F123&gt;I123),"Win",IF(AND(B123&lt;$L$1,F123&lt;I123),"Loss","")),"")</f>
        <v/>
      </c>
      <c r="M123" s="156">
        <f>IF(B123&lt;_CurWeek,"In","")</f>
        <v/>
      </c>
      <c r="N123" s="156">
        <f>IF(M123="In",E123&amp;G123,"")</f>
        <v/>
      </c>
      <c r="O123" s="156">
        <f>IF(L123="Win",1,0)</f>
        <v/>
      </c>
      <c r="S123" s="178" t="n"/>
      <c r="U123" s="172" t="n"/>
      <c r="Y123" s="172" t="n"/>
    </row>
    <row r="124" ht="14.4" customHeight="1" s="152">
      <c r="A124" s="167">
        <f>B124&amp;E124</f>
        <v/>
      </c>
      <c r="B124" s="168">
        <f>2025Schedule!B124</f>
        <v/>
      </c>
      <c r="C124" s="168">
        <f>2025Schedule!C124</f>
        <v/>
      </c>
      <c r="D124" s="168">
        <f>2025Schedule!D124</f>
        <v/>
      </c>
      <c r="E124" s="168">
        <f>2025Schedule!E124</f>
        <v/>
      </c>
      <c r="F124" s="168">
        <f>2025Schedule!F124</f>
        <v/>
      </c>
      <c r="G124" s="168">
        <f>2025Schedule!G124</f>
        <v/>
      </c>
      <c r="H124" s="168">
        <f>2025Schedule!H124</f>
        <v/>
      </c>
      <c r="I124" s="168">
        <f>2025Schedule!I124</f>
        <v/>
      </c>
      <c r="J124" s="168">
        <f>2025Schedule!J124</f>
        <v/>
      </c>
      <c r="K124" s="156">
        <f>IF(AND(F124=0,I124=0),"",IF(F124&gt;I124,B124&amp;E124,IF(F124&lt;I124,B124&amp;H124,"Tie")))</f>
        <v/>
      </c>
      <c r="L124" s="156">
        <f>IFERROR(IF(AND(B124&lt;$L$1,F124&gt;I124),"Win",IF(AND(B124&lt;$L$1,F124&lt;I124),"Loss","")),"")</f>
        <v/>
      </c>
      <c r="M124" s="156">
        <f>IF(B124&lt;_CurWeek,"In","")</f>
        <v/>
      </c>
      <c r="N124" s="156">
        <f>IF(M124="In",E124&amp;G124,"")</f>
        <v/>
      </c>
      <c r="O124" s="156">
        <f>IF(L124="Win",1,0)</f>
        <v/>
      </c>
      <c r="S124" s="178" t="n"/>
      <c r="U124" s="172" t="n"/>
      <c r="Y124" s="172" t="n"/>
    </row>
    <row r="125" ht="14.4" customHeight="1" s="152">
      <c r="A125" s="167">
        <f>B125&amp;E125</f>
        <v/>
      </c>
      <c r="B125" s="168">
        <f>2025Schedule!B125</f>
        <v/>
      </c>
      <c r="C125" s="168">
        <f>2025Schedule!C125</f>
        <v/>
      </c>
      <c r="D125" s="168">
        <f>2025Schedule!D125</f>
        <v/>
      </c>
      <c r="E125" s="168">
        <f>2025Schedule!E125</f>
        <v/>
      </c>
      <c r="F125" s="168">
        <f>2025Schedule!F125</f>
        <v/>
      </c>
      <c r="G125" s="168">
        <f>2025Schedule!G125</f>
        <v/>
      </c>
      <c r="H125" s="168">
        <f>2025Schedule!H125</f>
        <v/>
      </c>
      <c r="I125" s="168">
        <f>2025Schedule!I125</f>
        <v/>
      </c>
      <c r="J125" s="168">
        <f>2025Schedule!J125</f>
        <v/>
      </c>
      <c r="K125" s="156">
        <f>IF(AND(F125=0,I125=0),"",IF(F125&gt;I125,B125&amp;E125,IF(F125&lt;I125,B125&amp;H125,"Tie")))</f>
        <v/>
      </c>
      <c r="L125" s="156">
        <f>IFERROR(IF(AND(B125&lt;$L$1,F125&gt;I125),"Win",IF(AND(B125&lt;$L$1,F125&lt;I125),"Loss","")),"")</f>
        <v/>
      </c>
      <c r="M125" s="156">
        <f>IF(B125&lt;_CurWeek,"In","")</f>
        <v/>
      </c>
      <c r="N125" s="156">
        <f>IF(M125="In",E125&amp;G125,"")</f>
        <v/>
      </c>
      <c r="O125" s="156">
        <f>IF(L125="Win",1,0)</f>
        <v/>
      </c>
      <c r="S125" s="178" t="n"/>
      <c r="U125" s="172" t="n"/>
      <c r="Y125" s="172" t="n"/>
    </row>
    <row r="126" ht="14.4" customHeight="1" s="152">
      <c r="A126" s="167">
        <f>B126&amp;E126</f>
        <v/>
      </c>
      <c r="B126" s="168">
        <f>2025Schedule!B126</f>
        <v/>
      </c>
      <c r="C126" s="168">
        <f>2025Schedule!C126</f>
        <v/>
      </c>
      <c r="D126" s="168">
        <f>2025Schedule!D126</f>
        <v/>
      </c>
      <c r="E126" s="168">
        <f>2025Schedule!E126</f>
        <v/>
      </c>
      <c r="F126" s="168">
        <f>2025Schedule!F126</f>
        <v/>
      </c>
      <c r="G126" s="168">
        <f>2025Schedule!G126</f>
        <v/>
      </c>
      <c r="H126" s="168">
        <f>2025Schedule!H126</f>
        <v/>
      </c>
      <c r="I126" s="168">
        <f>2025Schedule!I126</f>
        <v/>
      </c>
      <c r="J126" s="168">
        <f>2025Schedule!J126</f>
        <v/>
      </c>
      <c r="K126" s="156">
        <f>IF(AND(F126=0,I126=0),"",IF(F126&gt;I126,B126&amp;E126,IF(F126&lt;I126,B126&amp;H126,"Tie")))</f>
        <v/>
      </c>
      <c r="L126" s="156">
        <f>IFERROR(IF(AND(B126&lt;$L$1,F126&gt;I126),"Win",IF(AND(B126&lt;$L$1,F126&lt;I126),"Loss","")),"")</f>
        <v/>
      </c>
      <c r="M126" s="156">
        <f>IF(B126&lt;_CurWeek,"In","")</f>
        <v/>
      </c>
      <c r="N126" s="156">
        <f>IF(M126="In",E126&amp;G126,"")</f>
        <v/>
      </c>
      <c r="O126" s="156">
        <f>IF(L126="Win",1,0)</f>
        <v/>
      </c>
      <c r="S126" s="178" t="n"/>
      <c r="U126" s="172" t="n"/>
      <c r="Y126" s="172" t="n"/>
    </row>
    <row r="127" ht="14.4" customHeight="1" s="152">
      <c r="A127" s="167">
        <f>B127&amp;E127</f>
        <v/>
      </c>
      <c r="B127" s="168">
        <f>2025Schedule!B127</f>
        <v/>
      </c>
      <c r="C127" s="168">
        <f>2025Schedule!C127</f>
        <v/>
      </c>
      <c r="D127" s="168">
        <f>2025Schedule!D127</f>
        <v/>
      </c>
      <c r="E127" s="168">
        <f>2025Schedule!E127</f>
        <v/>
      </c>
      <c r="F127" s="168">
        <f>2025Schedule!F127</f>
        <v/>
      </c>
      <c r="G127" s="168">
        <f>2025Schedule!G127</f>
        <v/>
      </c>
      <c r="H127" s="168">
        <f>2025Schedule!H127</f>
        <v/>
      </c>
      <c r="I127" s="168">
        <f>2025Schedule!I127</f>
        <v/>
      </c>
      <c r="J127" s="168">
        <f>2025Schedule!J127</f>
        <v/>
      </c>
      <c r="K127" s="156">
        <f>IF(AND(F127=0,I127=0),"",IF(F127&gt;I127,B127&amp;E127,IF(F127&lt;I127,B127&amp;H127,"Tie")))</f>
        <v/>
      </c>
      <c r="L127" s="156">
        <f>IFERROR(IF(AND(B127&lt;$L$1,F127&gt;I127),"Win",IF(AND(B127&lt;$L$1,F127&lt;I127),"Loss","")),"")</f>
        <v/>
      </c>
      <c r="M127" s="156">
        <f>IF(B127&lt;_CurWeek,"In","")</f>
        <v/>
      </c>
      <c r="N127" s="156">
        <f>IF(M127="In",E127&amp;G127,"")</f>
        <v/>
      </c>
      <c r="O127" s="156">
        <f>IF(L127="Win",1,0)</f>
        <v/>
      </c>
      <c r="S127" s="178" t="n"/>
      <c r="U127" s="172" t="n"/>
      <c r="Y127" s="172" t="n"/>
    </row>
    <row r="128" ht="14.4" customHeight="1" s="152">
      <c r="A128" s="167">
        <f>B128&amp;E128</f>
        <v/>
      </c>
      <c r="B128" s="168">
        <f>2025Schedule!B128</f>
        <v/>
      </c>
      <c r="C128" s="168">
        <f>2025Schedule!C128</f>
        <v/>
      </c>
      <c r="D128" s="168">
        <f>2025Schedule!D128</f>
        <v/>
      </c>
      <c r="E128" s="168">
        <f>2025Schedule!E128</f>
        <v/>
      </c>
      <c r="F128" s="168">
        <f>2025Schedule!F128</f>
        <v/>
      </c>
      <c r="G128" s="168">
        <f>2025Schedule!G128</f>
        <v/>
      </c>
      <c r="H128" s="168">
        <f>2025Schedule!H128</f>
        <v/>
      </c>
      <c r="I128" s="168">
        <f>2025Schedule!I128</f>
        <v/>
      </c>
      <c r="J128" s="168">
        <f>2025Schedule!J128</f>
        <v/>
      </c>
      <c r="K128" s="156">
        <f>IF(AND(F128=0,I128=0),"",IF(F128&gt;I128,B128&amp;E128,IF(F128&lt;I128,B128&amp;H128,"Tie")))</f>
        <v/>
      </c>
      <c r="L128" s="156">
        <f>IFERROR(IF(AND(B128&lt;$L$1,F128&gt;I128),"Win",IF(AND(B128&lt;$L$1,F128&lt;I128),"Loss","")),"")</f>
        <v/>
      </c>
      <c r="M128" s="156">
        <f>IF(B128&lt;_CurWeek,"In","")</f>
        <v/>
      </c>
      <c r="N128" s="156">
        <f>IF(M128="In",E128&amp;G128,"")</f>
        <v/>
      </c>
      <c r="O128" s="156">
        <f>IF(L128="Win",1,0)</f>
        <v/>
      </c>
      <c r="S128" s="178" t="n"/>
      <c r="U128" s="172" t="n"/>
      <c r="Y128" s="172" t="n"/>
    </row>
    <row r="129" ht="14.4" customHeight="1" s="152">
      <c r="A129" s="167">
        <f>B129&amp;E129</f>
        <v/>
      </c>
      <c r="B129" s="168">
        <f>2025Schedule!B129</f>
        <v/>
      </c>
      <c r="C129" s="168">
        <f>2025Schedule!C129</f>
        <v/>
      </c>
      <c r="D129" s="168">
        <f>2025Schedule!D129</f>
        <v/>
      </c>
      <c r="E129" s="168">
        <f>2025Schedule!E129</f>
        <v/>
      </c>
      <c r="F129" s="168">
        <f>2025Schedule!F129</f>
        <v/>
      </c>
      <c r="G129" s="168">
        <f>2025Schedule!G129</f>
        <v/>
      </c>
      <c r="H129" s="168">
        <f>2025Schedule!H129</f>
        <v/>
      </c>
      <c r="I129" s="168">
        <f>2025Schedule!I129</f>
        <v/>
      </c>
      <c r="J129" s="168">
        <f>2025Schedule!J129</f>
        <v/>
      </c>
      <c r="K129" s="156">
        <f>IF(AND(F129=0,I129=0),"",IF(F129&gt;I129,B129&amp;E129,IF(F129&lt;I129,B129&amp;H129,"Tie")))</f>
        <v/>
      </c>
      <c r="L129" s="156">
        <f>IFERROR(IF(AND(B129&lt;$L$1,F129&gt;I129),"Win",IF(AND(B129&lt;$L$1,F129&lt;I129),"Loss","")),"")</f>
        <v/>
      </c>
      <c r="M129" s="156">
        <f>IF(B129&lt;_CurWeek,"In","")</f>
        <v/>
      </c>
      <c r="N129" s="156">
        <f>IF(M129="In",E129&amp;G129,"")</f>
        <v/>
      </c>
      <c r="O129" s="156">
        <f>IF(L129="Win",1,0)</f>
        <v/>
      </c>
      <c r="S129" s="178" t="n"/>
      <c r="U129" s="172" t="n"/>
      <c r="Y129" s="172" t="n"/>
    </row>
    <row r="130" ht="14.4" customHeight="1" s="152">
      <c r="A130" s="167">
        <f>B130&amp;E130</f>
        <v/>
      </c>
      <c r="B130" s="168">
        <f>2025Schedule!B130</f>
        <v/>
      </c>
      <c r="C130" s="168">
        <f>2025Schedule!C130</f>
        <v/>
      </c>
      <c r="D130" s="168">
        <f>2025Schedule!D130</f>
        <v/>
      </c>
      <c r="E130" s="168">
        <f>2025Schedule!E130</f>
        <v/>
      </c>
      <c r="F130" s="168">
        <f>2025Schedule!F130</f>
        <v/>
      </c>
      <c r="G130" s="168">
        <f>2025Schedule!G130</f>
        <v/>
      </c>
      <c r="H130" s="168">
        <f>2025Schedule!H130</f>
        <v/>
      </c>
      <c r="I130" s="168">
        <f>2025Schedule!I130</f>
        <v/>
      </c>
      <c r="J130" s="168">
        <f>2025Schedule!J130</f>
        <v/>
      </c>
      <c r="K130" s="156">
        <f>IF(AND(F130=0,I130=0),"",IF(F130&gt;I130,B130&amp;E130,IF(F130&lt;I130,B130&amp;H130,"Tie")))</f>
        <v/>
      </c>
      <c r="L130" s="156">
        <f>IFERROR(IF(AND(B130&lt;$L$1,F130&gt;I130),"Win",IF(AND(B130&lt;$L$1,F130&lt;I130),"Loss","")),"")</f>
        <v/>
      </c>
      <c r="M130" s="156">
        <f>IF(B130&lt;_CurWeek,"In","")</f>
        <v/>
      </c>
      <c r="N130" s="156">
        <f>IF(M130="In",E130&amp;G130,"")</f>
        <v/>
      </c>
      <c r="O130" s="156">
        <f>IF(L130="Win",1,0)</f>
        <v/>
      </c>
      <c r="S130" s="178" t="n"/>
      <c r="U130" s="172" t="n"/>
      <c r="Y130" s="172" t="n"/>
    </row>
    <row r="131" ht="14.4" customHeight="1" s="152">
      <c r="A131" s="167">
        <f>B131&amp;E131</f>
        <v/>
      </c>
      <c r="B131" s="168">
        <f>2025Schedule!B131</f>
        <v/>
      </c>
      <c r="C131" s="168">
        <f>2025Schedule!C131</f>
        <v/>
      </c>
      <c r="D131" s="168">
        <f>2025Schedule!D131</f>
        <v/>
      </c>
      <c r="E131" s="168">
        <f>2025Schedule!E131</f>
        <v/>
      </c>
      <c r="F131" s="168">
        <f>2025Schedule!F131</f>
        <v/>
      </c>
      <c r="G131" s="168">
        <f>2025Schedule!G131</f>
        <v/>
      </c>
      <c r="H131" s="168">
        <f>2025Schedule!H131</f>
        <v/>
      </c>
      <c r="I131" s="168">
        <f>2025Schedule!I131</f>
        <v/>
      </c>
      <c r="J131" s="168">
        <f>2025Schedule!J131</f>
        <v/>
      </c>
      <c r="K131" s="156">
        <f>IF(AND(F131=0,I131=0),"",IF(F131&gt;I131,B131&amp;E131,IF(F131&lt;I131,B131&amp;H131,"Tie")))</f>
        <v/>
      </c>
      <c r="L131" s="156">
        <f>IFERROR(IF(AND(B131&lt;$L$1,F131&gt;I131),"Win",IF(AND(B131&lt;$L$1,F131&lt;I131),"Loss","")),"")</f>
        <v/>
      </c>
      <c r="M131" s="156">
        <f>IF(B131&lt;_CurWeek,"In","")</f>
        <v/>
      </c>
      <c r="N131" s="156">
        <f>IF(M131="In",E131&amp;G131,"")</f>
        <v/>
      </c>
      <c r="O131" s="156">
        <f>IF(L131="Win",1,0)</f>
        <v/>
      </c>
      <c r="S131" s="178" t="n"/>
      <c r="U131" s="172" t="n"/>
      <c r="Y131" s="172" t="n"/>
    </row>
    <row r="132" ht="14.4" customHeight="1" s="152">
      <c r="A132" s="167">
        <f>B132&amp;E132</f>
        <v/>
      </c>
      <c r="B132" s="168">
        <f>2025Schedule!B132</f>
        <v/>
      </c>
      <c r="C132" s="168">
        <f>2025Schedule!C132</f>
        <v/>
      </c>
      <c r="D132" s="168">
        <f>2025Schedule!D132</f>
        <v/>
      </c>
      <c r="E132" s="168">
        <f>2025Schedule!E132</f>
        <v/>
      </c>
      <c r="F132" s="168">
        <f>2025Schedule!F132</f>
        <v/>
      </c>
      <c r="G132" s="168">
        <f>2025Schedule!G132</f>
        <v/>
      </c>
      <c r="H132" s="168">
        <f>2025Schedule!H132</f>
        <v/>
      </c>
      <c r="I132" s="168">
        <f>2025Schedule!I132</f>
        <v/>
      </c>
      <c r="J132" s="168">
        <f>2025Schedule!J132</f>
        <v/>
      </c>
      <c r="K132" s="156">
        <f>IF(AND(F132=0,I132=0),"",IF(F132&gt;I132,B132&amp;E132,IF(F132&lt;I132,B132&amp;H132,"Tie")))</f>
        <v/>
      </c>
      <c r="L132" s="156">
        <f>IFERROR(IF(AND(B132&lt;$L$1,F132&gt;I132),"Win",IF(AND(B132&lt;$L$1,F132&lt;I132),"Loss","")),"")</f>
        <v/>
      </c>
      <c r="M132" s="156">
        <f>IF(B132&lt;_CurWeek,"In","")</f>
        <v/>
      </c>
      <c r="N132" s="156">
        <f>IF(M132="In",E132&amp;G132,"")</f>
        <v/>
      </c>
      <c r="O132" s="156">
        <f>IF(L132="Win",1,0)</f>
        <v/>
      </c>
      <c r="S132" s="178" t="n"/>
      <c r="U132" s="172" t="n"/>
      <c r="Y132" s="172" t="n"/>
    </row>
    <row r="133" ht="14.4" customHeight="1" s="152">
      <c r="A133" s="167">
        <f>B133&amp;E133</f>
        <v/>
      </c>
      <c r="B133" s="168">
        <f>2025Schedule!B133</f>
        <v/>
      </c>
      <c r="C133" s="168">
        <f>2025Schedule!C133</f>
        <v/>
      </c>
      <c r="D133" s="168">
        <f>2025Schedule!D133</f>
        <v/>
      </c>
      <c r="E133" s="168">
        <f>2025Schedule!E133</f>
        <v/>
      </c>
      <c r="F133" s="168">
        <f>2025Schedule!F133</f>
        <v/>
      </c>
      <c r="G133" s="168">
        <f>2025Schedule!G133</f>
        <v/>
      </c>
      <c r="H133" s="168">
        <f>2025Schedule!H133</f>
        <v/>
      </c>
      <c r="I133" s="168">
        <f>2025Schedule!I133</f>
        <v/>
      </c>
      <c r="J133" s="168">
        <f>2025Schedule!J133</f>
        <v/>
      </c>
      <c r="K133" s="156">
        <f>IF(AND(F133=0,I133=0),"",IF(F133&gt;I133,B133&amp;E133,IF(F133&lt;I133,B133&amp;H133,"Tie")))</f>
        <v/>
      </c>
      <c r="L133" s="156">
        <f>IFERROR(IF(AND(B133&lt;$L$1,F133&gt;I133),"Win",IF(AND(B133&lt;$L$1,F133&lt;I133),"Loss","")),"")</f>
        <v/>
      </c>
      <c r="M133" s="156">
        <f>IF(B133&lt;_CurWeek,"In","")</f>
        <v/>
      </c>
      <c r="N133" s="156">
        <f>IF(M133="In",E133&amp;G133,"")</f>
        <v/>
      </c>
      <c r="O133" s="156">
        <f>IF(L133="Win",1,0)</f>
        <v/>
      </c>
      <c r="S133" s="178" t="n"/>
      <c r="U133" s="172" t="n"/>
      <c r="Y133" s="172" t="n"/>
    </row>
    <row r="134" ht="14.4" customHeight="1" s="152">
      <c r="A134" s="167">
        <f>B134&amp;E134</f>
        <v/>
      </c>
      <c r="B134" s="168">
        <f>2025Schedule!B134</f>
        <v/>
      </c>
      <c r="C134" s="168">
        <f>2025Schedule!C134</f>
        <v/>
      </c>
      <c r="D134" s="168">
        <f>2025Schedule!D134</f>
        <v/>
      </c>
      <c r="E134" s="168">
        <f>2025Schedule!E134</f>
        <v/>
      </c>
      <c r="F134" s="168">
        <f>2025Schedule!F134</f>
        <v/>
      </c>
      <c r="G134" s="168">
        <f>2025Schedule!G134</f>
        <v/>
      </c>
      <c r="H134" s="168">
        <f>2025Schedule!H134</f>
        <v/>
      </c>
      <c r="I134" s="168">
        <f>2025Schedule!I134</f>
        <v/>
      </c>
      <c r="J134" s="168">
        <f>2025Schedule!J134</f>
        <v/>
      </c>
      <c r="K134" s="156">
        <f>IF(AND(F134=0,I134=0),"",IF(F134&gt;I134,B134&amp;E134,IF(F134&lt;I134,B134&amp;H134,"Tie")))</f>
        <v/>
      </c>
      <c r="L134" s="156">
        <f>IFERROR(IF(AND(B134&lt;$L$1,F134&gt;I134),"Win",IF(AND(B134&lt;$L$1,F134&lt;I134),"Loss","")),"")</f>
        <v/>
      </c>
      <c r="M134" s="156">
        <f>IF(B134&lt;_CurWeek,"In","")</f>
        <v/>
      </c>
      <c r="N134" s="156">
        <f>IF(M134="In",E134&amp;G134,"")</f>
        <v/>
      </c>
      <c r="O134" s="156">
        <f>IF(L134="Win",1,0)</f>
        <v/>
      </c>
      <c r="S134" s="178" t="n"/>
      <c r="U134" s="172" t="n"/>
      <c r="Y134" s="172" t="n"/>
    </row>
    <row r="135" ht="14.4" customHeight="1" s="152">
      <c r="A135" s="167">
        <f>B135&amp;E135</f>
        <v/>
      </c>
      <c r="B135" s="168">
        <f>2025Schedule!B135</f>
        <v/>
      </c>
      <c r="C135" s="168">
        <f>2025Schedule!C135</f>
        <v/>
      </c>
      <c r="D135" s="168">
        <f>2025Schedule!D135</f>
        <v/>
      </c>
      <c r="E135" s="168">
        <f>2025Schedule!E135</f>
        <v/>
      </c>
      <c r="F135" s="168">
        <f>2025Schedule!F135</f>
        <v/>
      </c>
      <c r="G135" s="168">
        <f>2025Schedule!G135</f>
        <v/>
      </c>
      <c r="H135" s="168">
        <f>2025Schedule!H135</f>
        <v/>
      </c>
      <c r="I135" s="168">
        <f>2025Schedule!I135</f>
        <v/>
      </c>
      <c r="J135" s="168">
        <f>2025Schedule!J135</f>
        <v/>
      </c>
      <c r="K135" s="156">
        <f>IF(AND(F135=0,I135=0),"",IF(F135&gt;I135,B135&amp;E135,IF(F135&lt;I135,B135&amp;H135,"Tie")))</f>
        <v/>
      </c>
      <c r="L135" s="156">
        <f>IFERROR(IF(AND(B135&lt;$L$1,F135&gt;I135),"Win",IF(AND(B135&lt;$L$1,F135&lt;I135),"Loss","")),"")</f>
        <v/>
      </c>
      <c r="M135" s="156">
        <f>IF(B135&lt;_CurWeek,"In","")</f>
        <v/>
      </c>
      <c r="N135" s="156">
        <f>IF(M135="In",E135&amp;G135,"")</f>
        <v/>
      </c>
      <c r="O135" s="156">
        <f>IF(L135="Win",1,0)</f>
        <v/>
      </c>
      <c r="S135" s="178" t="n"/>
      <c r="U135" s="172" t="n"/>
      <c r="Y135" s="172" t="n"/>
    </row>
    <row r="136" ht="14.4" customHeight="1" s="152">
      <c r="A136" s="167">
        <f>B136&amp;E136</f>
        <v/>
      </c>
      <c r="B136" s="168">
        <f>2025Schedule!B136</f>
        <v/>
      </c>
      <c r="C136" s="168">
        <f>2025Schedule!C136</f>
        <v/>
      </c>
      <c r="D136" s="168">
        <f>2025Schedule!D136</f>
        <v/>
      </c>
      <c r="E136" s="168">
        <f>2025Schedule!E136</f>
        <v/>
      </c>
      <c r="F136" s="168">
        <f>2025Schedule!F136</f>
        <v/>
      </c>
      <c r="G136" s="168">
        <f>2025Schedule!G136</f>
        <v/>
      </c>
      <c r="H136" s="168">
        <f>2025Schedule!H136</f>
        <v/>
      </c>
      <c r="I136" s="168">
        <f>2025Schedule!I136</f>
        <v/>
      </c>
      <c r="J136" s="168">
        <f>2025Schedule!J136</f>
        <v/>
      </c>
      <c r="K136" s="156">
        <f>IF(AND(F136=0,I136=0),"",IF(F136&gt;I136,B136&amp;E136,IF(F136&lt;I136,B136&amp;H136,"Tie")))</f>
        <v/>
      </c>
      <c r="L136" s="156">
        <f>IFERROR(IF(AND(B136&lt;$L$1,F136&gt;I136),"Win",IF(AND(B136&lt;$L$1,F136&lt;I136),"Loss","")),"")</f>
        <v/>
      </c>
      <c r="M136" s="156">
        <f>IF(B136&lt;_CurWeek,"In","")</f>
        <v/>
      </c>
      <c r="N136" s="156">
        <f>IF(M136="In",E136&amp;G136,"")</f>
        <v/>
      </c>
      <c r="O136" s="156">
        <f>IF(L136="Win",1,0)</f>
        <v/>
      </c>
      <c r="S136" s="178" t="n"/>
      <c r="U136" s="172" t="n"/>
      <c r="Y136" s="172" t="n"/>
    </row>
    <row r="137" ht="14.4" customHeight="1" s="152">
      <c r="A137" s="167">
        <f>B137&amp;E137</f>
        <v/>
      </c>
      <c r="B137" s="168">
        <f>2025Schedule!B137</f>
        <v/>
      </c>
      <c r="C137" s="168">
        <f>2025Schedule!C137</f>
        <v/>
      </c>
      <c r="D137" s="168">
        <f>2025Schedule!D137</f>
        <v/>
      </c>
      <c r="E137" s="168">
        <f>2025Schedule!E137</f>
        <v/>
      </c>
      <c r="F137" s="168">
        <f>2025Schedule!F137</f>
        <v/>
      </c>
      <c r="G137" s="168">
        <f>2025Schedule!G137</f>
        <v/>
      </c>
      <c r="H137" s="168">
        <f>2025Schedule!H137</f>
        <v/>
      </c>
      <c r="I137" s="168">
        <f>2025Schedule!I137</f>
        <v/>
      </c>
      <c r="J137" s="168">
        <f>2025Schedule!J137</f>
        <v/>
      </c>
      <c r="K137" s="156">
        <f>IF(AND(F137=0,I137=0),"",IF(F137&gt;I137,B137&amp;E137,IF(F137&lt;I137,B137&amp;H137,"Tie")))</f>
        <v/>
      </c>
      <c r="L137" s="156">
        <f>IFERROR(IF(AND(B137&lt;$L$1,F137&gt;I137),"Win",IF(AND(B137&lt;$L$1,F137&lt;I137),"Loss","")),"")</f>
        <v/>
      </c>
      <c r="M137" s="156">
        <f>IF(B137&lt;_CurWeek,"In","")</f>
        <v/>
      </c>
      <c r="N137" s="156">
        <f>IF(M137="In",E137&amp;G137,"")</f>
        <v/>
      </c>
      <c r="O137" s="156">
        <f>IF(L137="Win",1,0)</f>
        <v/>
      </c>
      <c r="S137" s="178" t="n"/>
      <c r="U137" s="172" t="n"/>
      <c r="Y137" s="172" t="n"/>
    </row>
    <row r="138" ht="14.4" customHeight="1" s="152">
      <c r="A138" s="167">
        <f>B138&amp;E138</f>
        <v/>
      </c>
      <c r="B138" s="168">
        <f>2025Schedule!B138</f>
        <v/>
      </c>
      <c r="C138" s="168">
        <f>2025Schedule!C138</f>
        <v/>
      </c>
      <c r="D138" s="168">
        <f>2025Schedule!D138</f>
        <v/>
      </c>
      <c r="E138" s="168">
        <f>2025Schedule!E138</f>
        <v/>
      </c>
      <c r="F138" s="168">
        <f>2025Schedule!F138</f>
        <v/>
      </c>
      <c r="G138" s="168">
        <f>2025Schedule!G138</f>
        <v/>
      </c>
      <c r="H138" s="168">
        <f>2025Schedule!H138</f>
        <v/>
      </c>
      <c r="I138" s="168">
        <f>2025Schedule!I138</f>
        <v/>
      </c>
      <c r="J138" s="168">
        <f>2025Schedule!J138</f>
        <v/>
      </c>
      <c r="K138" s="156">
        <f>IF(AND(F138=0,I138=0),"",IF(F138&gt;I138,B138&amp;E138,IF(F138&lt;I138,B138&amp;H138,"Tie")))</f>
        <v/>
      </c>
      <c r="L138" s="156">
        <f>IFERROR(IF(AND(B138&lt;$L$1,F138&gt;I138),"Win",IF(AND(B138&lt;$L$1,F138&lt;I138),"Loss","")),"")</f>
        <v/>
      </c>
      <c r="M138" s="156">
        <f>IF(B138&lt;_CurWeek,"In","")</f>
        <v/>
      </c>
      <c r="N138" s="156">
        <f>IF(M138="In",E138&amp;G138,"")</f>
        <v/>
      </c>
      <c r="O138" s="156">
        <f>IF(L138="Win",1,0)</f>
        <v/>
      </c>
      <c r="S138" s="178" t="n"/>
      <c r="U138" s="172" t="n"/>
      <c r="Y138" s="172" t="n"/>
    </row>
    <row r="139" ht="14.4" customHeight="1" s="152">
      <c r="A139" s="167">
        <f>B139&amp;E139</f>
        <v/>
      </c>
      <c r="B139" s="168">
        <f>2025Schedule!B139</f>
        <v/>
      </c>
      <c r="C139" s="168">
        <f>2025Schedule!C139</f>
        <v/>
      </c>
      <c r="D139" s="168">
        <f>2025Schedule!D139</f>
        <v/>
      </c>
      <c r="E139" s="168">
        <f>2025Schedule!E139</f>
        <v/>
      </c>
      <c r="F139" s="168">
        <f>2025Schedule!F139</f>
        <v/>
      </c>
      <c r="G139" s="168">
        <f>2025Schedule!G139</f>
        <v/>
      </c>
      <c r="H139" s="168">
        <f>2025Schedule!H139</f>
        <v/>
      </c>
      <c r="I139" s="168">
        <f>2025Schedule!I139</f>
        <v/>
      </c>
      <c r="J139" s="168">
        <f>2025Schedule!J139</f>
        <v/>
      </c>
      <c r="K139" s="156">
        <f>IF(AND(F139=0,I139=0),"",IF(F139&gt;I139,B139&amp;E139,IF(F139&lt;I139,B139&amp;H139,"Tie")))</f>
        <v/>
      </c>
      <c r="L139" s="156">
        <f>IFERROR(IF(AND(B139&lt;$L$1,F139&gt;I139),"Win",IF(AND(B139&lt;$L$1,F139&lt;I139),"Loss","")),"")</f>
        <v/>
      </c>
      <c r="M139" s="156">
        <f>IF(B139&lt;_CurWeek,"In","")</f>
        <v/>
      </c>
      <c r="N139" s="156">
        <f>IF(M139="In",E139&amp;G139,"")</f>
        <v/>
      </c>
      <c r="O139" s="156">
        <f>IF(L139="Win",1,0)</f>
        <v/>
      </c>
      <c r="S139" s="178" t="n"/>
      <c r="U139" s="172" t="n"/>
      <c r="Y139" s="172" t="n"/>
    </row>
    <row r="140" ht="14.4" customHeight="1" s="152">
      <c r="A140" s="167">
        <f>B140&amp;E140</f>
        <v/>
      </c>
      <c r="B140" s="168">
        <f>2025Schedule!B140</f>
        <v/>
      </c>
      <c r="C140" s="168">
        <f>2025Schedule!C140</f>
        <v/>
      </c>
      <c r="D140" s="168">
        <f>2025Schedule!D140</f>
        <v/>
      </c>
      <c r="E140" s="168">
        <f>2025Schedule!E140</f>
        <v/>
      </c>
      <c r="F140" s="168">
        <f>2025Schedule!F140</f>
        <v/>
      </c>
      <c r="G140" s="168">
        <f>2025Schedule!G140</f>
        <v/>
      </c>
      <c r="H140" s="168">
        <f>2025Schedule!H140</f>
        <v/>
      </c>
      <c r="I140" s="168">
        <f>2025Schedule!I140</f>
        <v/>
      </c>
      <c r="J140" s="168">
        <f>2025Schedule!J140</f>
        <v/>
      </c>
      <c r="K140" s="156">
        <f>IF(AND(F140=0,I140=0),"",IF(F140&gt;I140,B140&amp;E140,IF(F140&lt;I140,B140&amp;H140,"Tie")))</f>
        <v/>
      </c>
      <c r="L140" s="156">
        <f>IFERROR(IF(AND(B140&lt;$L$1,F140&gt;I140),"Win",IF(AND(B140&lt;$L$1,F140&lt;I140),"Loss","")),"")</f>
        <v/>
      </c>
      <c r="M140" s="156">
        <f>IF(B140&lt;_CurWeek,"In","")</f>
        <v/>
      </c>
      <c r="N140" s="156">
        <f>IF(M140="In",E140&amp;G140,"")</f>
        <v/>
      </c>
      <c r="O140" s="156">
        <f>IF(L140="Win",1,0)</f>
        <v/>
      </c>
      <c r="S140" s="178" t="n"/>
      <c r="U140" s="172" t="n"/>
      <c r="Y140" s="172" t="n"/>
    </row>
    <row r="141" ht="14.4" customHeight="1" s="152">
      <c r="A141" s="167">
        <f>B141&amp;E141</f>
        <v/>
      </c>
      <c r="B141" s="168">
        <f>2025Schedule!B141</f>
        <v/>
      </c>
      <c r="C141" s="168">
        <f>2025Schedule!C141</f>
        <v/>
      </c>
      <c r="D141" s="168">
        <f>2025Schedule!D141</f>
        <v/>
      </c>
      <c r="E141" s="168">
        <f>2025Schedule!E141</f>
        <v/>
      </c>
      <c r="F141" s="168">
        <f>2025Schedule!F141</f>
        <v/>
      </c>
      <c r="G141" s="168">
        <f>2025Schedule!G141</f>
        <v/>
      </c>
      <c r="H141" s="168">
        <f>2025Schedule!H141</f>
        <v/>
      </c>
      <c r="I141" s="168">
        <f>2025Schedule!I141</f>
        <v/>
      </c>
      <c r="J141" s="168">
        <f>2025Schedule!J141</f>
        <v/>
      </c>
      <c r="K141" s="156">
        <f>IF(AND(F141=0,I141=0),"",IF(F141&gt;I141,B141&amp;E141,IF(F141&lt;I141,B141&amp;H141,"Tie")))</f>
        <v/>
      </c>
      <c r="L141" s="156">
        <f>IFERROR(IF(AND(B141&lt;$L$1,F141&gt;I141),"Win",IF(AND(B141&lt;$L$1,F141&lt;I141),"Loss","")),"")</f>
        <v/>
      </c>
      <c r="M141" s="156">
        <f>IF(B141&lt;_CurWeek,"In","")</f>
        <v/>
      </c>
      <c r="N141" s="156">
        <f>IF(M141="In",E141&amp;G141,"")</f>
        <v/>
      </c>
      <c r="O141" s="156">
        <f>IF(L141="Win",1,0)</f>
        <v/>
      </c>
      <c r="S141" s="178" t="n"/>
      <c r="U141" s="172" t="n"/>
      <c r="Y141" s="172" t="n"/>
    </row>
    <row r="142" ht="14.4" customHeight="1" s="152">
      <c r="A142" s="167">
        <f>B142&amp;E142</f>
        <v/>
      </c>
      <c r="B142" s="168">
        <f>2025Schedule!B142</f>
        <v/>
      </c>
      <c r="C142" s="168">
        <f>2025Schedule!C142</f>
        <v/>
      </c>
      <c r="D142" s="168">
        <f>2025Schedule!D142</f>
        <v/>
      </c>
      <c r="E142" s="168">
        <f>2025Schedule!E142</f>
        <v/>
      </c>
      <c r="F142" s="168">
        <f>2025Schedule!F142</f>
        <v/>
      </c>
      <c r="G142" s="168">
        <f>2025Schedule!G142</f>
        <v/>
      </c>
      <c r="H142" s="168">
        <f>2025Schedule!H142</f>
        <v/>
      </c>
      <c r="I142" s="168">
        <f>2025Schedule!I142</f>
        <v/>
      </c>
      <c r="J142" s="168">
        <f>2025Schedule!J142</f>
        <v/>
      </c>
      <c r="K142" s="156">
        <f>IF(AND(F142=0,I142=0),"",IF(F142&gt;I142,B142&amp;E142,IF(F142&lt;I142,B142&amp;H142,"Tie")))</f>
        <v/>
      </c>
      <c r="L142" s="156">
        <f>IFERROR(IF(AND(B142&lt;$L$1,F142&gt;I142),"Win",IF(AND(B142&lt;$L$1,F142&lt;I142),"Loss","")),"")</f>
        <v/>
      </c>
      <c r="M142" s="156">
        <f>IF(B142&lt;_CurWeek,"In","")</f>
        <v/>
      </c>
      <c r="N142" s="156">
        <f>IF(M142="In",E142&amp;G142,"")</f>
        <v/>
      </c>
      <c r="O142" s="156">
        <f>IF(L142="Win",1,0)</f>
        <v/>
      </c>
      <c r="S142" s="178" t="n"/>
      <c r="U142" s="172" t="n"/>
      <c r="Y142" s="172" t="n"/>
    </row>
    <row r="143" ht="14.4" customHeight="1" s="152">
      <c r="A143" s="167">
        <f>B143&amp;E143</f>
        <v/>
      </c>
      <c r="B143" s="168">
        <f>2025Schedule!B143</f>
        <v/>
      </c>
      <c r="C143" s="168">
        <f>2025Schedule!C143</f>
        <v/>
      </c>
      <c r="D143" s="168">
        <f>2025Schedule!D143</f>
        <v/>
      </c>
      <c r="E143" s="168">
        <f>2025Schedule!E143</f>
        <v/>
      </c>
      <c r="F143" s="168">
        <f>2025Schedule!F143</f>
        <v/>
      </c>
      <c r="G143" s="168">
        <f>2025Schedule!G143</f>
        <v/>
      </c>
      <c r="H143" s="168">
        <f>2025Schedule!H143</f>
        <v/>
      </c>
      <c r="I143" s="168">
        <f>2025Schedule!I143</f>
        <v/>
      </c>
      <c r="J143" s="168">
        <f>2025Schedule!J143</f>
        <v/>
      </c>
      <c r="K143" s="156">
        <f>IF(AND(F143=0,I143=0),"",IF(F143&gt;I143,B143&amp;E143,IF(F143&lt;I143,B143&amp;H143,"Tie")))</f>
        <v/>
      </c>
      <c r="L143" s="156">
        <f>IFERROR(IF(AND(B143&lt;$L$1,F143&gt;I143),"Win",IF(AND(B143&lt;$L$1,F143&lt;I143),"Loss","")),"")</f>
        <v/>
      </c>
      <c r="M143" s="156">
        <f>IF(B143&lt;_CurWeek,"In","")</f>
        <v/>
      </c>
      <c r="N143" s="156">
        <f>IF(M143="In",E143&amp;G143,"")</f>
        <v/>
      </c>
      <c r="O143" s="156">
        <f>IF(L143="Win",1,0)</f>
        <v/>
      </c>
      <c r="S143" s="178" t="n"/>
      <c r="U143" s="172" t="n"/>
      <c r="Y143" s="172" t="n"/>
    </row>
    <row r="144" ht="14.4" customHeight="1" s="152">
      <c r="A144" s="167">
        <f>B144&amp;E144</f>
        <v/>
      </c>
      <c r="B144" s="168">
        <f>2025Schedule!B144</f>
        <v/>
      </c>
      <c r="C144" s="168">
        <f>2025Schedule!C144</f>
        <v/>
      </c>
      <c r="D144" s="168">
        <f>2025Schedule!D144</f>
        <v/>
      </c>
      <c r="E144" s="168">
        <f>2025Schedule!E144</f>
        <v/>
      </c>
      <c r="F144" s="168">
        <f>2025Schedule!F144</f>
        <v/>
      </c>
      <c r="G144" s="168">
        <f>2025Schedule!G144</f>
        <v/>
      </c>
      <c r="H144" s="168">
        <f>2025Schedule!H144</f>
        <v/>
      </c>
      <c r="I144" s="168">
        <f>2025Schedule!I144</f>
        <v/>
      </c>
      <c r="J144" s="168">
        <f>2025Schedule!J144</f>
        <v/>
      </c>
      <c r="K144" s="156">
        <f>IF(AND(F144=0,I144=0),"",IF(F144&gt;I144,B144&amp;E144,IF(F144&lt;I144,B144&amp;H144,"Tie")))</f>
        <v/>
      </c>
      <c r="L144" s="156">
        <f>IFERROR(IF(AND(B144&lt;$L$1,F144&gt;I144),"Win",IF(AND(B144&lt;$L$1,F144&lt;I144),"Loss","")),"")</f>
        <v/>
      </c>
      <c r="M144" s="156">
        <f>IF(B144&lt;_CurWeek,"In","")</f>
        <v/>
      </c>
      <c r="N144" s="156">
        <f>IF(M144="In",E144&amp;G144,"")</f>
        <v/>
      </c>
      <c r="O144" s="156">
        <f>IF(L144="Win",1,0)</f>
        <v/>
      </c>
      <c r="S144" s="178" t="n"/>
      <c r="U144" s="172" t="n"/>
      <c r="Y144" s="172" t="n"/>
    </row>
    <row r="145" ht="14.4" customHeight="1" s="152">
      <c r="A145" s="167">
        <f>B145&amp;E145</f>
        <v/>
      </c>
      <c r="B145" s="168">
        <f>2025Schedule!B145</f>
        <v/>
      </c>
      <c r="C145" s="168">
        <f>2025Schedule!C145</f>
        <v/>
      </c>
      <c r="D145" s="168">
        <f>2025Schedule!D145</f>
        <v/>
      </c>
      <c r="E145" s="168">
        <f>2025Schedule!E145</f>
        <v/>
      </c>
      <c r="F145" s="168">
        <f>2025Schedule!F145</f>
        <v/>
      </c>
      <c r="G145" s="168">
        <f>2025Schedule!G145</f>
        <v/>
      </c>
      <c r="H145" s="168">
        <f>2025Schedule!H145</f>
        <v/>
      </c>
      <c r="I145" s="168">
        <f>2025Schedule!I145</f>
        <v/>
      </c>
      <c r="J145" s="168">
        <f>2025Schedule!J145</f>
        <v/>
      </c>
      <c r="K145" s="156">
        <f>IF(AND(F145=0,I145=0),"",IF(F145&gt;I145,B145&amp;E145,IF(F145&lt;I145,B145&amp;H145,"Tie")))</f>
        <v/>
      </c>
      <c r="L145" s="156">
        <f>IFERROR(IF(AND(B145&lt;$L$1,F145&gt;I145),"Win",IF(AND(B145&lt;$L$1,F145&lt;I145),"Loss","")),"")</f>
        <v/>
      </c>
      <c r="M145" s="156">
        <f>IF(B145&lt;_CurWeek,"In","")</f>
        <v/>
      </c>
      <c r="N145" s="156">
        <f>IF(M145="In",E145&amp;G145,"")</f>
        <v/>
      </c>
      <c r="O145" s="156">
        <f>IF(L145="Win",1,0)</f>
        <v/>
      </c>
      <c r="S145" s="178" t="n"/>
      <c r="U145" s="172" t="n"/>
      <c r="Y145" s="172" t="n"/>
    </row>
    <row r="146" ht="14.4" customHeight="1" s="152">
      <c r="A146" s="167">
        <f>B146&amp;E146</f>
        <v/>
      </c>
      <c r="B146" s="168">
        <f>2025Schedule!B146</f>
        <v/>
      </c>
      <c r="C146" s="168">
        <f>2025Schedule!C146</f>
        <v/>
      </c>
      <c r="D146" s="168">
        <f>2025Schedule!D146</f>
        <v/>
      </c>
      <c r="E146" s="168">
        <f>2025Schedule!E146</f>
        <v/>
      </c>
      <c r="F146" s="168">
        <f>2025Schedule!F146</f>
        <v/>
      </c>
      <c r="G146" s="168">
        <f>2025Schedule!G146</f>
        <v/>
      </c>
      <c r="H146" s="168">
        <f>2025Schedule!H146</f>
        <v/>
      </c>
      <c r="I146" s="168">
        <f>2025Schedule!I146</f>
        <v/>
      </c>
      <c r="J146" s="168">
        <f>2025Schedule!J146</f>
        <v/>
      </c>
      <c r="K146" s="156">
        <f>IF(AND(F146=0,I146=0),"",IF(F146&gt;I146,B146&amp;E146,IF(F146&lt;I146,B146&amp;H146,"Tie")))</f>
        <v/>
      </c>
      <c r="L146" s="156">
        <f>IFERROR(IF(AND(B146&lt;$L$1,F146&gt;I146),"Win",IF(AND(B146&lt;$L$1,F146&lt;I146),"Loss","")),"")</f>
        <v/>
      </c>
      <c r="M146" s="156">
        <f>IF(B146&lt;_CurWeek,"In","")</f>
        <v/>
      </c>
      <c r="N146" s="156">
        <f>IF(M146="In",E146&amp;G146,"")</f>
        <v/>
      </c>
      <c r="O146" s="156">
        <f>IF(L146="Win",1,0)</f>
        <v/>
      </c>
      <c r="S146" s="178" t="n"/>
      <c r="U146" s="172" t="n"/>
      <c r="Y146" s="172" t="n"/>
    </row>
    <row r="147" ht="14.4" customHeight="1" s="152">
      <c r="A147" s="167">
        <f>B147&amp;E147</f>
        <v/>
      </c>
      <c r="B147" s="168">
        <f>2025Schedule!B147</f>
        <v/>
      </c>
      <c r="C147" s="168">
        <f>2025Schedule!C147</f>
        <v/>
      </c>
      <c r="D147" s="168">
        <f>2025Schedule!D147</f>
        <v/>
      </c>
      <c r="E147" s="168">
        <f>2025Schedule!E147</f>
        <v/>
      </c>
      <c r="F147" s="168">
        <f>2025Schedule!F147</f>
        <v/>
      </c>
      <c r="G147" s="168">
        <f>2025Schedule!G147</f>
        <v/>
      </c>
      <c r="H147" s="168">
        <f>2025Schedule!H147</f>
        <v/>
      </c>
      <c r="I147" s="168">
        <f>2025Schedule!I147</f>
        <v/>
      </c>
      <c r="J147" s="168">
        <f>2025Schedule!J147</f>
        <v/>
      </c>
      <c r="K147" s="156">
        <f>IF(AND(F147=0,I147=0),"",IF(F147&gt;I147,B147&amp;E147,IF(F147&lt;I147,B147&amp;H147,"Tie")))</f>
        <v/>
      </c>
      <c r="L147" s="156">
        <f>IFERROR(IF(AND(B147&lt;$L$1,F147&gt;I147),"Win",IF(AND(B147&lt;$L$1,F147&lt;I147),"Loss","")),"")</f>
        <v/>
      </c>
      <c r="M147" s="156">
        <f>IF(B147&lt;_CurWeek,"In","")</f>
        <v/>
      </c>
      <c r="N147" s="156">
        <f>IF(M147="In",E147&amp;G147,"")</f>
        <v/>
      </c>
      <c r="O147" s="156">
        <f>IF(L147="Win",1,0)</f>
        <v/>
      </c>
      <c r="S147" s="178" t="n"/>
      <c r="U147" s="172" t="n"/>
      <c r="Y147" s="172" t="n"/>
    </row>
    <row r="148" ht="14.4" customHeight="1" s="152">
      <c r="A148" s="167">
        <f>B148&amp;E148</f>
        <v/>
      </c>
      <c r="B148" s="168">
        <f>2025Schedule!B148</f>
        <v/>
      </c>
      <c r="C148" s="168">
        <f>2025Schedule!C148</f>
        <v/>
      </c>
      <c r="D148" s="168">
        <f>2025Schedule!D148</f>
        <v/>
      </c>
      <c r="E148" s="168">
        <f>2025Schedule!E148</f>
        <v/>
      </c>
      <c r="F148" s="168">
        <f>2025Schedule!F148</f>
        <v/>
      </c>
      <c r="G148" s="168">
        <f>2025Schedule!G148</f>
        <v/>
      </c>
      <c r="H148" s="168">
        <f>2025Schedule!H148</f>
        <v/>
      </c>
      <c r="I148" s="168">
        <f>2025Schedule!I148</f>
        <v/>
      </c>
      <c r="J148" s="168">
        <f>2025Schedule!J148</f>
        <v/>
      </c>
      <c r="K148" s="156">
        <f>IF(AND(F148=0,I148=0),"",IF(F148&gt;I148,B148&amp;E148,IF(F148&lt;I148,B148&amp;H148,"Tie")))</f>
        <v/>
      </c>
      <c r="L148" s="156">
        <f>IFERROR(IF(AND(B148&lt;$L$1,F148&gt;I148),"Win",IF(AND(B148&lt;$L$1,F148&lt;I148),"Loss","")),"")</f>
        <v/>
      </c>
      <c r="M148" s="156">
        <f>IF(B148&lt;_CurWeek,"In","")</f>
        <v/>
      </c>
      <c r="N148" s="156">
        <f>IF(M148="In",E148&amp;G148,"")</f>
        <v/>
      </c>
      <c r="O148" s="156">
        <f>IF(L148="Win",1,0)</f>
        <v/>
      </c>
      <c r="S148" s="178" t="n"/>
      <c r="U148" s="172" t="n"/>
      <c r="Y148" s="172" t="n"/>
    </row>
    <row r="149" ht="14.4" customHeight="1" s="152">
      <c r="A149" s="167">
        <f>B149&amp;E149</f>
        <v/>
      </c>
      <c r="B149" s="168">
        <f>2025Schedule!B149</f>
        <v/>
      </c>
      <c r="C149" s="168">
        <f>2025Schedule!C149</f>
        <v/>
      </c>
      <c r="D149" s="168">
        <f>2025Schedule!D149</f>
        <v/>
      </c>
      <c r="E149" s="168">
        <f>2025Schedule!E149</f>
        <v/>
      </c>
      <c r="F149" s="168">
        <f>2025Schedule!F149</f>
        <v/>
      </c>
      <c r="G149" s="168">
        <f>2025Schedule!G149</f>
        <v/>
      </c>
      <c r="H149" s="168">
        <f>2025Schedule!H149</f>
        <v/>
      </c>
      <c r="I149" s="168">
        <f>2025Schedule!I149</f>
        <v/>
      </c>
      <c r="J149" s="168">
        <f>2025Schedule!J149</f>
        <v/>
      </c>
      <c r="K149" s="156">
        <f>IF(AND(F149=0,I149=0),"",IF(F149&gt;I149,B149&amp;E149,IF(F149&lt;I149,B149&amp;H149,"Tie")))</f>
        <v/>
      </c>
      <c r="L149" s="156">
        <f>IFERROR(IF(AND(B149&lt;$L$1,F149&gt;I149),"Win",IF(AND(B149&lt;$L$1,F149&lt;I149),"Loss","")),"")</f>
        <v/>
      </c>
      <c r="M149" s="156">
        <f>IF(B149&lt;_CurWeek,"In","")</f>
        <v/>
      </c>
      <c r="N149" s="156">
        <f>IF(M149="In",E149&amp;G149,"")</f>
        <v/>
      </c>
      <c r="O149" s="156">
        <f>IF(L149="Win",1,0)</f>
        <v/>
      </c>
      <c r="S149" s="178" t="n"/>
      <c r="U149" s="172" t="n"/>
      <c r="Y149" s="172" t="n"/>
    </row>
    <row r="150" ht="14.4" customHeight="1" s="152">
      <c r="A150" s="167">
        <f>B150&amp;E150</f>
        <v/>
      </c>
      <c r="B150" s="168">
        <f>2025Schedule!B150</f>
        <v/>
      </c>
      <c r="C150" s="168">
        <f>2025Schedule!C150</f>
        <v/>
      </c>
      <c r="D150" s="168">
        <f>2025Schedule!D150</f>
        <v/>
      </c>
      <c r="E150" s="168">
        <f>2025Schedule!E150</f>
        <v/>
      </c>
      <c r="F150" s="168">
        <f>2025Schedule!F150</f>
        <v/>
      </c>
      <c r="G150" s="168">
        <f>2025Schedule!G150</f>
        <v/>
      </c>
      <c r="H150" s="168">
        <f>2025Schedule!H150</f>
        <v/>
      </c>
      <c r="I150" s="168">
        <f>2025Schedule!I150</f>
        <v/>
      </c>
      <c r="J150" s="168">
        <f>2025Schedule!J150</f>
        <v/>
      </c>
      <c r="K150" s="156">
        <f>IF(AND(F150=0,I150=0),"",IF(F150&gt;I150,B150&amp;E150,IF(F150&lt;I150,B150&amp;H150,"Tie")))</f>
        <v/>
      </c>
      <c r="L150" s="156">
        <f>IFERROR(IF(AND(B150&lt;$L$1,F150&gt;I150),"Win",IF(AND(B150&lt;$L$1,F150&lt;I150),"Loss","")),"")</f>
        <v/>
      </c>
      <c r="M150" s="156">
        <f>IF(B150&lt;_CurWeek,"In","")</f>
        <v/>
      </c>
      <c r="N150" s="156">
        <f>IF(M150="In",E150&amp;G150,"")</f>
        <v/>
      </c>
      <c r="O150" s="156">
        <f>IF(L150="Win",1,0)</f>
        <v/>
      </c>
      <c r="S150" s="178" t="n"/>
      <c r="U150" s="172" t="n"/>
      <c r="Y150" s="172" t="n"/>
    </row>
    <row r="151" ht="14.4" customHeight="1" s="152">
      <c r="A151" s="167">
        <f>B151&amp;E151</f>
        <v/>
      </c>
      <c r="B151" s="168">
        <f>2025Schedule!B151</f>
        <v/>
      </c>
      <c r="C151" s="168">
        <f>2025Schedule!C151</f>
        <v/>
      </c>
      <c r="D151" s="168">
        <f>2025Schedule!D151</f>
        <v/>
      </c>
      <c r="E151" s="168">
        <f>2025Schedule!E151</f>
        <v/>
      </c>
      <c r="F151" s="168">
        <f>2025Schedule!F151</f>
        <v/>
      </c>
      <c r="G151" s="168">
        <f>2025Schedule!G151</f>
        <v/>
      </c>
      <c r="H151" s="168">
        <f>2025Schedule!H151</f>
        <v/>
      </c>
      <c r="I151" s="168">
        <f>2025Schedule!I151</f>
        <v/>
      </c>
      <c r="J151" s="168">
        <f>2025Schedule!J151</f>
        <v/>
      </c>
      <c r="K151" s="156">
        <f>IF(AND(F151=0,I151=0),"",IF(F151&gt;I151,B151&amp;E151,IF(F151&lt;I151,B151&amp;H151,"Tie")))</f>
        <v/>
      </c>
      <c r="L151" s="156">
        <f>IFERROR(IF(AND(B151&lt;$L$1,F151&gt;I151),"Win",IF(AND(B151&lt;$L$1,F151&lt;I151),"Loss","")),"")</f>
        <v/>
      </c>
      <c r="M151" s="156">
        <f>IF(B151&lt;_CurWeek,"In","")</f>
        <v/>
      </c>
      <c r="N151" s="156">
        <f>IF(M151="In",E151&amp;G151,"")</f>
        <v/>
      </c>
      <c r="O151" s="156">
        <f>IF(L151="Win",1,0)</f>
        <v/>
      </c>
      <c r="S151" s="178" t="n"/>
      <c r="U151" s="172" t="n"/>
      <c r="Y151" s="172" t="n"/>
    </row>
    <row r="152" ht="14.4" customHeight="1" s="152">
      <c r="A152" s="167">
        <f>B152&amp;E152</f>
        <v/>
      </c>
      <c r="B152" s="168">
        <f>2025Schedule!B152</f>
        <v/>
      </c>
      <c r="C152" s="168">
        <f>2025Schedule!C152</f>
        <v/>
      </c>
      <c r="D152" s="168">
        <f>2025Schedule!D152</f>
        <v/>
      </c>
      <c r="E152" s="168">
        <f>2025Schedule!E152</f>
        <v/>
      </c>
      <c r="F152" s="168">
        <f>2025Schedule!F152</f>
        <v/>
      </c>
      <c r="G152" s="168">
        <f>2025Schedule!G152</f>
        <v/>
      </c>
      <c r="H152" s="168">
        <f>2025Schedule!H152</f>
        <v/>
      </c>
      <c r="I152" s="168">
        <f>2025Schedule!I152</f>
        <v/>
      </c>
      <c r="J152" s="168">
        <f>2025Schedule!J152</f>
        <v/>
      </c>
      <c r="K152" s="156">
        <f>IF(AND(F152=0,I152=0),"",IF(F152&gt;I152,B152&amp;E152,IF(F152&lt;I152,B152&amp;H152,"Tie")))</f>
        <v/>
      </c>
      <c r="L152" s="156">
        <f>IFERROR(IF(AND(B152&lt;$L$1,F152&gt;I152),"Win",IF(AND(B152&lt;$L$1,F152&lt;I152),"Loss","")),"")</f>
        <v/>
      </c>
      <c r="M152" s="156">
        <f>IF(B152&lt;_CurWeek,"In","")</f>
        <v/>
      </c>
      <c r="N152" s="156">
        <f>IF(M152="In",E152&amp;G152,"")</f>
        <v/>
      </c>
      <c r="O152" s="156">
        <f>IF(L152="Win",1,0)</f>
        <v/>
      </c>
      <c r="S152" s="178" t="n"/>
      <c r="U152" s="172" t="n"/>
      <c r="Y152" s="172" t="n"/>
    </row>
    <row r="153" ht="14.4" customHeight="1" s="152">
      <c r="A153" s="167">
        <f>B153&amp;E153</f>
        <v/>
      </c>
      <c r="B153" s="168">
        <f>2025Schedule!B153</f>
        <v/>
      </c>
      <c r="C153" s="168">
        <f>2025Schedule!C153</f>
        <v/>
      </c>
      <c r="D153" s="168">
        <f>2025Schedule!D153</f>
        <v/>
      </c>
      <c r="E153" s="168">
        <f>2025Schedule!E153</f>
        <v/>
      </c>
      <c r="F153" s="168">
        <f>2025Schedule!F153</f>
        <v/>
      </c>
      <c r="G153" s="168">
        <f>2025Schedule!G153</f>
        <v/>
      </c>
      <c r="H153" s="168">
        <f>2025Schedule!H153</f>
        <v/>
      </c>
      <c r="I153" s="168">
        <f>2025Schedule!I153</f>
        <v/>
      </c>
      <c r="J153" s="168">
        <f>2025Schedule!J153</f>
        <v/>
      </c>
      <c r="K153" s="156">
        <f>IF(AND(F153=0,I153=0),"",IF(F153&gt;I153,B153&amp;E153,IF(F153&lt;I153,B153&amp;H153,"Tie")))</f>
        <v/>
      </c>
      <c r="L153" s="156">
        <f>IFERROR(IF(AND(B153&lt;$L$1,F153&gt;I153),"Win",IF(AND(B153&lt;$L$1,F153&lt;I153),"Loss","")),"")</f>
        <v/>
      </c>
      <c r="M153" s="156">
        <f>IF(B153&lt;_CurWeek,"In","")</f>
        <v/>
      </c>
      <c r="N153" s="156">
        <f>IF(M153="In",E153&amp;G153,"")</f>
        <v/>
      </c>
      <c r="O153" s="156">
        <f>IF(L153="Win",1,0)</f>
        <v/>
      </c>
      <c r="S153" s="178" t="n"/>
      <c r="U153" s="172" t="n"/>
      <c r="Y153" s="172" t="n"/>
    </row>
    <row r="154" ht="14.4" customHeight="1" s="152">
      <c r="A154" s="167">
        <f>B154&amp;E154</f>
        <v/>
      </c>
      <c r="B154" s="168">
        <f>2025Schedule!B154</f>
        <v/>
      </c>
      <c r="C154" s="168">
        <f>2025Schedule!C154</f>
        <v/>
      </c>
      <c r="D154" s="168">
        <f>2025Schedule!D154</f>
        <v/>
      </c>
      <c r="E154" s="168">
        <f>2025Schedule!E154</f>
        <v/>
      </c>
      <c r="F154" s="168">
        <f>2025Schedule!F154</f>
        <v/>
      </c>
      <c r="G154" s="168">
        <f>2025Schedule!G154</f>
        <v/>
      </c>
      <c r="H154" s="168">
        <f>2025Schedule!H154</f>
        <v/>
      </c>
      <c r="I154" s="168">
        <f>2025Schedule!I154</f>
        <v/>
      </c>
      <c r="J154" s="168">
        <f>2025Schedule!J154</f>
        <v/>
      </c>
      <c r="K154" s="156">
        <f>IF(AND(F154=0,I154=0),"",IF(F154&gt;I154,B154&amp;E154,IF(F154&lt;I154,B154&amp;H154,"Tie")))</f>
        <v/>
      </c>
      <c r="L154" s="156">
        <f>IFERROR(IF(AND(B154&lt;$L$1,F154&gt;I154),"Win",IF(AND(B154&lt;$L$1,F154&lt;I154),"Loss","")),"")</f>
        <v/>
      </c>
      <c r="M154" s="156">
        <f>IF(B154&lt;_CurWeek,"In","")</f>
        <v/>
      </c>
      <c r="N154" s="156">
        <f>IF(M154="In",E154&amp;G154,"")</f>
        <v/>
      </c>
      <c r="O154" s="156">
        <f>IF(L154="Win",1,0)</f>
        <v/>
      </c>
      <c r="S154" s="178" t="n"/>
      <c r="U154" s="172" t="n"/>
      <c r="Y154" s="172" t="n"/>
    </row>
    <row r="155" ht="14.4" customHeight="1" s="152">
      <c r="A155" s="167">
        <f>B155&amp;E155</f>
        <v/>
      </c>
      <c r="B155" s="168">
        <f>2025Schedule!B155</f>
        <v/>
      </c>
      <c r="C155" s="168">
        <f>2025Schedule!C155</f>
        <v/>
      </c>
      <c r="D155" s="168">
        <f>2025Schedule!D155</f>
        <v/>
      </c>
      <c r="E155" s="168">
        <f>2025Schedule!E155</f>
        <v/>
      </c>
      <c r="F155" s="168">
        <f>2025Schedule!F155</f>
        <v/>
      </c>
      <c r="G155" s="168">
        <f>2025Schedule!G155</f>
        <v/>
      </c>
      <c r="H155" s="168">
        <f>2025Schedule!H155</f>
        <v/>
      </c>
      <c r="I155" s="168">
        <f>2025Schedule!I155</f>
        <v/>
      </c>
      <c r="J155" s="168">
        <f>2025Schedule!J155</f>
        <v/>
      </c>
      <c r="K155" s="156">
        <f>IF(AND(F155=0,I155=0),"",IF(F155&gt;I155,B155&amp;E155,IF(F155&lt;I155,B155&amp;H155,"Tie")))</f>
        <v/>
      </c>
      <c r="L155" s="156">
        <f>IFERROR(IF(AND(B155&lt;$L$1,F155&gt;I155),"Win",IF(AND(B155&lt;$L$1,F155&lt;I155),"Loss","")),"")</f>
        <v/>
      </c>
      <c r="M155" s="156">
        <f>IF(B155&lt;_CurWeek,"In","")</f>
        <v/>
      </c>
      <c r="N155" s="156">
        <f>IF(M155="In",E155&amp;G155,"")</f>
        <v/>
      </c>
      <c r="O155" s="156">
        <f>IF(L155="Win",1,0)</f>
        <v/>
      </c>
      <c r="S155" s="178" t="n"/>
      <c r="U155" s="172" t="n"/>
      <c r="Y155" s="172" t="n"/>
    </row>
    <row r="156" ht="14.4" customHeight="1" s="152">
      <c r="A156" s="167">
        <f>B156&amp;E156</f>
        <v/>
      </c>
      <c r="B156" s="168">
        <f>2025Schedule!B156</f>
        <v/>
      </c>
      <c r="C156" s="168">
        <f>2025Schedule!C156</f>
        <v/>
      </c>
      <c r="D156" s="168">
        <f>2025Schedule!D156</f>
        <v/>
      </c>
      <c r="E156" s="168">
        <f>2025Schedule!E156</f>
        <v/>
      </c>
      <c r="F156" s="168">
        <f>2025Schedule!F156</f>
        <v/>
      </c>
      <c r="G156" s="168">
        <f>2025Schedule!G156</f>
        <v/>
      </c>
      <c r="H156" s="168">
        <f>2025Schedule!H156</f>
        <v/>
      </c>
      <c r="I156" s="168">
        <f>2025Schedule!I156</f>
        <v/>
      </c>
      <c r="J156" s="168">
        <f>2025Schedule!J156</f>
        <v/>
      </c>
      <c r="K156" s="156">
        <f>IF(AND(F156=0,I156=0),"",IF(F156&gt;I156,B156&amp;E156,IF(F156&lt;I156,B156&amp;H156,"Tie")))</f>
        <v/>
      </c>
      <c r="L156" s="156">
        <f>IFERROR(IF(AND(B156&lt;$L$1,F156&gt;I156),"Win",IF(AND(B156&lt;$L$1,F156&lt;I156),"Loss","")),"")</f>
        <v/>
      </c>
      <c r="M156" s="156">
        <f>IF(B156&lt;_CurWeek,"In","")</f>
        <v/>
      </c>
      <c r="N156" s="156">
        <f>IF(M156="In",E156&amp;G156,"")</f>
        <v/>
      </c>
      <c r="O156" s="156">
        <f>IF(L156="Win",1,0)</f>
        <v/>
      </c>
      <c r="S156" s="178" t="n"/>
      <c r="U156" s="172" t="n"/>
      <c r="Y156" s="172" t="n"/>
    </row>
    <row r="157" ht="14.4" customHeight="1" s="152">
      <c r="A157" s="167">
        <f>B157&amp;E157</f>
        <v/>
      </c>
      <c r="B157" s="168">
        <f>2025Schedule!B157</f>
        <v/>
      </c>
      <c r="C157" s="168">
        <f>2025Schedule!C157</f>
        <v/>
      </c>
      <c r="D157" s="168">
        <f>2025Schedule!D157</f>
        <v/>
      </c>
      <c r="E157" s="168">
        <f>2025Schedule!E157</f>
        <v/>
      </c>
      <c r="F157" s="168">
        <f>2025Schedule!F157</f>
        <v/>
      </c>
      <c r="G157" s="168">
        <f>2025Schedule!G157</f>
        <v/>
      </c>
      <c r="H157" s="168">
        <f>2025Schedule!H157</f>
        <v/>
      </c>
      <c r="I157" s="168">
        <f>2025Schedule!I157</f>
        <v/>
      </c>
      <c r="J157" s="168">
        <f>2025Schedule!J157</f>
        <v/>
      </c>
      <c r="K157" s="156">
        <f>IF(AND(F157=0,I157=0),"",IF(F157&gt;I157,B157&amp;E157,IF(F157&lt;I157,B157&amp;H157,"Tie")))</f>
        <v/>
      </c>
      <c r="L157" s="156">
        <f>IFERROR(IF(AND(B157&lt;$L$1,F157&gt;I157),"Win",IF(AND(B157&lt;$L$1,F157&lt;I157),"Loss","")),"")</f>
        <v/>
      </c>
      <c r="M157" s="156">
        <f>IF(B157&lt;_CurWeek,"In","")</f>
        <v/>
      </c>
      <c r="N157" s="156">
        <f>IF(M157="In",E157&amp;G157,"")</f>
        <v/>
      </c>
      <c r="O157" s="156">
        <f>IF(L157="Win",1,0)</f>
        <v/>
      </c>
      <c r="S157" s="178" t="n"/>
      <c r="U157" s="172" t="n"/>
      <c r="Y157" s="172" t="n"/>
    </row>
    <row r="158" ht="14.4" customHeight="1" s="152">
      <c r="A158" s="167">
        <f>B158&amp;E158</f>
        <v/>
      </c>
      <c r="B158" s="168">
        <f>2025Schedule!B158</f>
        <v/>
      </c>
      <c r="C158" s="168">
        <f>2025Schedule!C158</f>
        <v/>
      </c>
      <c r="D158" s="168">
        <f>2025Schedule!D158</f>
        <v/>
      </c>
      <c r="E158" s="168">
        <f>2025Schedule!E158</f>
        <v/>
      </c>
      <c r="F158" s="168">
        <f>2025Schedule!F158</f>
        <v/>
      </c>
      <c r="G158" s="168">
        <f>2025Schedule!G158</f>
        <v/>
      </c>
      <c r="H158" s="168">
        <f>2025Schedule!H158</f>
        <v/>
      </c>
      <c r="I158" s="168">
        <f>2025Schedule!I158</f>
        <v/>
      </c>
      <c r="J158" s="168">
        <f>2025Schedule!J158</f>
        <v/>
      </c>
      <c r="K158" s="156">
        <f>IF(AND(F158=0,I158=0),"",IF(F158&gt;I158,B158&amp;E158,IF(F158&lt;I158,B158&amp;H158,"Tie")))</f>
        <v/>
      </c>
      <c r="L158" s="156">
        <f>IFERROR(IF(AND(B158&lt;$L$1,F158&gt;I158),"Win",IF(AND(B158&lt;$L$1,F158&lt;I158),"Loss","")),"")</f>
        <v/>
      </c>
      <c r="M158" s="156">
        <f>IF(B158&lt;_CurWeek,"In","")</f>
        <v/>
      </c>
      <c r="N158" s="156">
        <f>IF(M158="In",E158&amp;G158,"")</f>
        <v/>
      </c>
      <c r="O158" s="156">
        <f>IF(L158="Win",1,0)</f>
        <v/>
      </c>
      <c r="S158" s="178" t="n"/>
      <c r="U158" s="172" t="n"/>
      <c r="Y158" s="172" t="n"/>
    </row>
    <row r="159" ht="14.4" customHeight="1" s="152">
      <c r="A159" s="167">
        <f>B159&amp;E159</f>
        <v/>
      </c>
      <c r="B159" s="168">
        <f>2025Schedule!B159</f>
        <v/>
      </c>
      <c r="C159" s="168">
        <f>2025Schedule!C159</f>
        <v/>
      </c>
      <c r="D159" s="168">
        <f>2025Schedule!D159</f>
        <v/>
      </c>
      <c r="E159" s="168">
        <f>2025Schedule!E159</f>
        <v/>
      </c>
      <c r="F159" s="168">
        <f>2025Schedule!F159</f>
        <v/>
      </c>
      <c r="G159" s="168">
        <f>2025Schedule!G159</f>
        <v/>
      </c>
      <c r="H159" s="168">
        <f>2025Schedule!H159</f>
        <v/>
      </c>
      <c r="I159" s="168">
        <f>2025Schedule!I159</f>
        <v/>
      </c>
      <c r="J159" s="168">
        <f>2025Schedule!J159</f>
        <v/>
      </c>
      <c r="K159" s="156">
        <f>IF(AND(F159=0,I159=0),"",IF(F159&gt;I159,B159&amp;E159,IF(F159&lt;I159,B159&amp;H159,"Tie")))</f>
        <v/>
      </c>
      <c r="L159" s="156">
        <f>IFERROR(IF(AND(B159&lt;$L$1,F159&gt;I159),"Win",IF(AND(B159&lt;$L$1,F159&lt;I159),"Loss","")),"")</f>
        <v/>
      </c>
      <c r="M159" s="156">
        <f>IF(B159&lt;_CurWeek,"In","")</f>
        <v/>
      </c>
      <c r="N159" s="156">
        <f>IF(M159="In",E159&amp;G159,"")</f>
        <v/>
      </c>
      <c r="O159" s="156">
        <f>IF(L159="Win",1,0)</f>
        <v/>
      </c>
      <c r="S159" s="178" t="n"/>
      <c r="U159" s="172" t="n"/>
      <c r="Y159" s="172" t="n"/>
    </row>
    <row r="160" ht="14.4" customHeight="1" s="152">
      <c r="A160" s="167">
        <f>B160&amp;E160</f>
        <v/>
      </c>
      <c r="B160" s="168">
        <f>2025Schedule!B160</f>
        <v/>
      </c>
      <c r="C160" s="168">
        <f>2025Schedule!C160</f>
        <v/>
      </c>
      <c r="D160" s="168">
        <f>2025Schedule!D160</f>
        <v/>
      </c>
      <c r="E160" s="168">
        <f>2025Schedule!E160</f>
        <v/>
      </c>
      <c r="F160" s="168">
        <f>2025Schedule!F160</f>
        <v/>
      </c>
      <c r="G160" s="168">
        <f>2025Schedule!G160</f>
        <v/>
      </c>
      <c r="H160" s="168">
        <f>2025Schedule!H160</f>
        <v/>
      </c>
      <c r="I160" s="168">
        <f>2025Schedule!I160</f>
        <v/>
      </c>
      <c r="J160" s="168">
        <f>2025Schedule!J160</f>
        <v/>
      </c>
      <c r="K160" s="156">
        <f>IF(AND(F160=0,I160=0),"",IF(F160&gt;I160,B160&amp;E160,IF(F160&lt;I160,B160&amp;H160,"Tie")))</f>
        <v/>
      </c>
      <c r="L160" s="156">
        <f>IFERROR(IF(AND(B160&lt;$L$1,F160&gt;I160),"Win",IF(AND(B160&lt;$L$1,F160&lt;I160),"Loss","")),"")</f>
        <v/>
      </c>
      <c r="M160" s="156">
        <f>IF(B160&lt;_CurWeek,"In","")</f>
        <v/>
      </c>
      <c r="N160" s="156">
        <f>IF(M160="In",E160&amp;G160,"")</f>
        <v/>
      </c>
      <c r="O160" s="156">
        <f>IF(L160="Win",1,0)</f>
        <v/>
      </c>
      <c r="S160" s="178" t="n"/>
      <c r="U160" s="172" t="n"/>
      <c r="Y160" s="172" t="n"/>
    </row>
    <row r="161" ht="14.4" customHeight="1" s="152">
      <c r="A161" s="167">
        <f>B161&amp;E161</f>
        <v/>
      </c>
      <c r="B161" s="168">
        <f>2025Schedule!B161</f>
        <v/>
      </c>
      <c r="C161" s="168">
        <f>2025Schedule!C161</f>
        <v/>
      </c>
      <c r="D161" s="168">
        <f>2025Schedule!D161</f>
        <v/>
      </c>
      <c r="E161" s="168">
        <f>2025Schedule!E161</f>
        <v/>
      </c>
      <c r="F161" s="168">
        <f>2025Schedule!F161</f>
        <v/>
      </c>
      <c r="G161" s="168">
        <f>2025Schedule!G161</f>
        <v/>
      </c>
      <c r="H161" s="168">
        <f>2025Schedule!H161</f>
        <v/>
      </c>
      <c r="I161" s="168">
        <f>2025Schedule!I161</f>
        <v/>
      </c>
      <c r="J161" s="168">
        <f>2025Schedule!J161</f>
        <v/>
      </c>
      <c r="K161" s="156">
        <f>IF(AND(F161=0,I161=0),"",IF(F161&gt;I161,B161&amp;E161,IF(F161&lt;I161,B161&amp;H161,"Tie")))</f>
        <v/>
      </c>
      <c r="L161" s="156">
        <f>IFERROR(IF(AND(B161&lt;$L$1,F161&gt;I161),"Win",IF(AND(B161&lt;$L$1,F161&lt;I161),"Loss","")),"")</f>
        <v/>
      </c>
      <c r="M161" s="156">
        <f>IF(B161&lt;_CurWeek,"In","")</f>
        <v/>
      </c>
      <c r="N161" s="156">
        <f>IF(M161="In",E161&amp;G161,"")</f>
        <v/>
      </c>
      <c r="O161" s="156">
        <f>IF(L161="Win",1,0)</f>
        <v/>
      </c>
      <c r="S161" s="178" t="n"/>
      <c r="U161" s="172" t="n"/>
      <c r="Y161" s="172" t="n"/>
    </row>
    <row r="162" ht="14.4" customHeight="1" s="152">
      <c r="A162" s="167">
        <f>B162&amp;E162</f>
        <v/>
      </c>
      <c r="B162" s="168">
        <f>2025Schedule!B162</f>
        <v/>
      </c>
      <c r="C162" s="168">
        <f>2025Schedule!C162</f>
        <v/>
      </c>
      <c r="D162" s="168">
        <f>2025Schedule!D162</f>
        <v/>
      </c>
      <c r="E162" s="168">
        <f>2025Schedule!E162</f>
        <v/>
      </c>
      <c r="F162" s="168">
        <f>2025Schedule!F162</f>
        <v/>
      </c>
      <c r="G162" s="168">
        <f>2025Schedule!G162</f>
        <v/>
      </c>
      <c r="H162" s="168">
        <f>2025Schedule!H162</f>
        <v/>
      </c>
      <c r="I162" s="168">
        <f>2025Schedule!I162</f>
        <v/>
      </c>
      <c r="J162" s="168">
        <f>2025Schedule!J162</f>
        <v/>
      </c>
      <c r="K162" s="156">
        <f>IF(AND(F162=0,I162=0),"",IF(F162&gt;I162,B162&amp;E162,IF(F162&lt;I162,B162&amp;H162,"Tie")))</f>
        <v/>
      </c>
      <c r="L162" s="156">
        <f>IFERROR(IF(AND(B162&lt;$L$1,F162&gt;I162),"Win",IF(AND(B162&lt;$L$1,F162&lt;I162),"Loss","")),"")</f>
        <v/>
      </c>
      <c r="M162" s="156">
        <f>IF(B162&lt;_CurWeek,"In","")</f>
        <v/>
      </c>
      <c r="N162" s="156">
        <f>IF(M162="In",E162&amp;G162,"")</f>
        <v/>
      </c>
      <c r="O162" s="156">
        <f>IF(L162="Win",1,0)</f>
        <v/>
      </c>
      <c r="S162" s="178" t="n"/>
      <c r="U162" s="172" t="n"/>
      <c r="Y162" s="172" t="n"/>
    </row>
    <row r="163" ht="14.4" customHeight="1" s="152">
      <c r="A163" s="167">
        <f>B163&amp;E163</f>
        <v/>
      </c>
      <c r="B163" s="168">
        <f>2025Schedule!B163</f>
        <v/>
      </c>
      <c r="C163" s="168">
        <f>2025Schedule!C163</f>
        <v/>
      </c>
      <c r="D163" s="168">
        <f>2025Schedule!D163</f>
        <v/>
      </c>
      <c r="E163" s="168">
        <f>2025Schedule!E163</f>
        <v/>
      </c>
      <c r="F163" s="168">
        <f>2025Schedule!F163</f>
        <v/>
      </c>
      <c r="G163" s="168">
        <f>2025Schedule!G163</f>
        <v/>
      </c>
      <c r="H163" s="168">
        <f>2025Schedule!H163</f>
        <v/>
      </c>
      <c r="I163" s="168">
        <f>2025Schedule!I163</f>
        <v/>
      </c>
      <c r="J163" s="168">
        <f>2025Schedule!J163</f>
        <v/>
      </c>
      <c r="K163" s="156">
        <f>IF(AND(F163=0,I163=0),"",IF(F163&gt;I163,B163&amp;E163,IF(F163&lt;I163,B163&amp;H163,"Tie")))</f>
        <v/>
      </c>
      <c r="L163" s="156">
        <f>IFERROR(IF(AND(B163&lt;$L$1,F163&gt;I163),"Win",IF(AND(B163&lt;$L$1,F163&lt;I163),"Loss","")),"")</f>
        <v/>
      </c>
      <c r="M163" s="156">
        <f>IF(B163&lt;_CurWeek,"In","")</f>
        <v/>
      </c>
      <c r="N163" s="156">
        <f>IF(M163="In",E163&amp;G163,"")</f>
        <v/>
      </c>
      <c r="O163" s="156">
        <f>IF(L163="Win",1,0)</f>
        <v/>
      </c>
      <c r="S163" s="178" t="n"/>
      <c r="U163" s="172" t="n"/>
      <c r="Y163" s="172" t="n"/>
    </row>
    <row r="164" ht="14.4" customHeight="1" s="152">
      <c r="A164" s="167">
        <f>B164&amp;E164</f>
        <v/>
      </c>
      <c r="B164" s="168">
        <f>2025Schedule!B164</f>
        <v/>
      </c>
      <c r="C164" s="168">
        <f>2025Schedule!C164</f>
        <v/>
      </c>
      <c r="D164" s="168">
        <f>2025Schedule!D164</f>
        <v/>
      </c>
      <c r="E164" s="168">
        <f>2025Schedule!E164</f>
        <v/>
      </c>
      <c r="F164" s="168">
        <f>2025Schedule!F164</f>
        <v/>
      </c>
      <c r="G164" s="168">
        <f>2025Schedule!G164</f>
        <v/>
      </c>
      <c r="H164" s="168">
        <f>2025Schedule!H164</f>
        <v/>
      </c>
      <c r="I164" s="168">
        <f>2025Schedule!I164</f>
        <v/>
      </c>
      <c r="J164" s="168">
        <f>2025Schedule!J164</f>
        <v/>
      </c>
      <c r="K164" s="156">
        <f>IF(AND(F164=0,I164=0),"",IF(F164&gt;I164,B164&amp;E164,IF(F164&lt;I164,B164&amp;H164,"Tie")))</f>
        <v/>
      </c>
      <c r="L164" s="156">
        <f>IFERROR(IF(AND(B164&lt;$L$1,F164&gt;I164),"Win",IF(AND(B164&lt;$L$1,F164&lt;I164),"Loss","")),"")</f>
        <v/>
      </c>
      <c r="M164" s="156">
        <f>IF(B164&lt;_CurWeek,"In","")</f>
        <v/>
      </c>
      <c r="N164" s="156">
        <f>IF(M164="In",E164&amp;G164,"")</f>
        <v/>
      </c>
      <c r="O164" s="156">
        <f>IF(L164="Win",1,0)</f>
        <v/>
      </c>
      <c r="S164" s="178" t="n"/>
      <c r="U164" s="172" t="n"/>
      <c r="Y164" s="172" t="n"/>
    </row>
    <row r="165" ht="14.4" customHeight="1" s="152">
      <c r="A165" s="167">
        <f>B165&amp;E165</f>
        <v/>
      </c>
      <c r="B165" s="168">
        <f>2025Schedule!B165</f>
        <v/>
      </c>
      <c r="C165" s="168">
        <f>2025Schedule!C165</f>
        <v/>
      </c>
      <c r="D165" s="168">
        <f>2025Schedule!D165</f>
        <v/>
      </c>
      <c r="E165" s="168">
        <f>2025Schedule!E165</f>
        <v/>
      </c>
      <c r="F165" s="168">
        <f>2025Schedule!F165</f>
        <v/>
      </c>
      <c r="G165" s="168">
        <f>2025Schedule!G165</f>
        <v/>
      </c>
      <c r="H165" s="168">
        <f>2025Schedule!H165</f>
        <v/>
      </c>
      <c r="I165" s="168">
        <f>2025Schedule!I165</f>
        <v/>
      </c>
      <c r="J165" s="168">
        <f>2025Schedule!J165</f>
        <v/>
      </c>
      <c r="K165" s="156">
        <f>IF(AND(F165=0,I165=0),"",IF(F165&gt;I165,B165&amp;E165,IF(F165&lt;I165,B165&amp;H165,"Tie")))</f>
        <v/>
      </c>
      <c r="L165" s="156">
        <f>IFERROR(IF(AND(B165&lt;$L$1,F165&gt;I165),"Win",IF(AND(B165&lt;$L$1,F165&lt;I165),"Loss","")),"")</f>
        <v/>
      </c>
      <c r="M165" s="156">
        <f>IF(B165&lt;_CurWeek,"In","")</f>
        <v/>
      </c>
      <c r="N165" s="156">
        <f>IF(M165="In",E165&amp;G165,"")</f>
        <v/>
      </c>
      <c r="O165" s="156">
        <f>IF(L165="Win",1,0)</f>
        <v/>
      </c>
      <c r="S165" s="178" t="n"/>
      <c r="U165" s="172" t="n"/>
      <c r="Y165" s="172" t="n"/>
    </row>
    <row r="166" ht="14.4" customHeight="1" s="152">
      <c r="A166" s="167">
        <f>B166&amp;E166</f>
        <v/>
      </c>
      <c r="B166" s="168">
        <f>2025Schedule!B166</f>
        <v/>
      </c>
      <c r="C166" s="168">
        <f>2025Schedule!C166</f>
        <v/>
      </c>
      <c r="D166" s="168">
        <f>2025Schedule!D166</f>
        <v/>
      </c>
      <c r="E166" s="168">
        <f>2025Schedule!E166</f>
        <v/>
      </c>
      <c r="F166" s="168">
        <f>2025Schedule!F166</f>
        <v/>
      </c>
      <c r="G166" s="168">
        <f>2025Schedule!G166</f>
        <v/>
      </c>
      <c r="H166" s="168">
        <f>2025Schedule!H166</f>
        <v/>
      </c>
      <c r="I166" s="168">
        <f>2025Schedule!I166</f>
        <v/>
      </c>
      <c r="J166" s="168">
        <f>2025Schedule!J166</f>
        <v/>
      </c>
      <c r="K166" s="156">
        <f>IF(AND(F166=0,I166=0),"",IF(F166&gt;I166,B166&amp;E166,IF(F166&lt;I166,B166&amp;H166,"Tie")))</f>
        <v/>
      </c>
      <c r="L166" s="156">
        <f>IFERROR(IF(AND(B166&lt;$L$1,F166&gt;I166),"Win",IF(AND(B166&lt;$L$1,F166&lt;I166),"Loss","")),"")</f>
        <v/>
      </c>
      <c r="M166" s="156">
        <f>IF(B166&lt;_CurWeek,"In","")</f>
        <v/>
      </c>
      <c r="N166" s="156">
        <f>IF(M166="In",E166&amp;G166,"")</f>
        <v/>
      </c>
      <c r="O166" s="156">
        <f>IF(L166="Win",1,0)</f>
        <v/>
      </c>
      <c r="S166" s="178" t="n"/>
      <c r="U166" s="172" t="n"/>
      <c r="Y166" s="172" t="n"/>
    </row>
    <row r="167" ht="14.4" customHeight="1" s="152">
      <c r="A167" s="167">
        <f>B167&amp;E167</f>
        <v/>
      </c>
      <c r="B167" s="168">
        <f>2025Schedule!B167</f>
        <v/>
      </c>
      <c r="C167" s="168">
        <f>2025Schedule!C167</f>
        <v/>
      </c>
      <c r="D167" s="168">
        <f>2025Schedule!D167</f>
        <v/>
      </c>
      <c r="E167" s="168">
        <f>2025Schedule!E167</f>
        <v/>
      </c>
      <c r="F167" s="168">
        <f>2025Schedule!F167</f>
        <v/>
      </c>
      <c r="G167" s="168">
        <f>2025Schedule!G167</f>
        <v/>
      </c>
      <c r="H167" s="168">
        <f>2025Schedule!H167</f>
        <v/>
      </c>
      <c r="I167" s="168">
        <f>2025Schedule!I167</f>
        <v/>
      </c>
      <c r="J167" s="168">
        <f>2025Schedule!J167</f>
        <v/>
      </c>
      <c r="K167" s="156">
        <f>IF(AND(F167=0,I167=0),"",IF(F167&gt;I167,B167&amp;E167,IF(F167&lt;I167,B167&amp;H167,"Tie")))</f>
        <v/>
      </c>
      <c r="L167" s="156">
        <f>IFERROR(IF(AND(B167&lt;$L$1,F167&gt;I167),"Win",IF(AND(B167&lt;$L$1,F167&lt;I167),"Loss","")),"")</f>
        <v/>
      </c>
      <c r="M167" s="156">
        <f>IF(B167&lt;_CurWeek,"In","")</f>
        <v/>
      </c>
      <c r="N167" s="156">
        <f>IF(M167="In",E167&amp;G167,"")</f>
        <v/>
      </c>
      <c r="O167" s="156">
        <f>IF(L167="Win",1,0)</f>
        <v/>
      </c>
      <c r="S167" s="178" t="n"/>
      <c r="U167" s="172" t="n"/>
      <c r="Y167" s="172" t="n"/>
    </row>
    <row r="168" ht="14.4" customHeight="1" s="152">
      <c r="A168" s="167">
        <f>B168&amp;E168</f>
        <v/>
      </c>
      <c r="B168" s="168">
        <f>2025Schedule!B168</f>
        <v/>
      </c>
      <c r="C168" s="168">
        <f>2025Schedule!C168</f>
        <v/>
      </c>
      <c r="D168" s="168">
        <f>2025Schedule!D168</f>
        <v/>
      </c>
      <c r="E168" s="168">
        <f>2025Schedule!E168</f>
        <v/>
      </c>
      <c r="F168" s="168">
        <f>2025Schedule!F168</f>
        <v/>
      </c>
      <c r="G168" s="168">
        <f>2025Schedule!G168</f>
        <v/>
      </c>
      <c r="H168" s="168">
        <f>2025Schedule!H168</f>
        <v/>
      </c>
      <c r="I168" s="168">
        <f>2025Schedule!I168</f>
        <v/>
      </c>
      <c r="J168" s="168">
        <f>2025Schedule!J168</f>
        <v/>
      </c>
      <c r="K168" s="156">
        <f>IF(AND(F168=0,I168=0),"",IF(F168&gt;I168,B168&amp;E168,IF(F168&lt;I168,B168&amp;H168,"Tie")))</f>
        <v/>
      </c>
      <c r="L168" s="156">
        <f>IFERROR(IF(AND(B168&lt;$L$1,F168&gt;I168),"Win",IF(AND(B168&lt;$L$1,F168&lt;I168),"Loss","")),"")</f>
        <v/>
      </c>
      <c r="M168" s="156">
        <f>IF(B168&lt;_CurWeek,"In","")</f>
        <v/>
      </c>
      <c r="N168" s="156">
        <f>IF(M168="In",E168&amp;G168,"")</f>
        <v/>
      </c>
      <c r="O168" s="156">
        <f>IF(L168="Win",1,0)</f>
        <v/>
      </c>
      <c r="S168" s="178" t="n"/>
      <c r="U168" s="172" t="n"/>
      <c r="Y168" s="172" t="n"/>
    </row>
    <row r="169" ht="14.4" customHeight="1" s="152">
      <c r="A169" s="167">
        <f>B169&amp;E169</f>
        <v/>
      </c>
      <c r="B169" s="168">
        <f>2025Schedule!B169</f>
        <v/>
      </c>
      <c r="C169" s="168">
        <f>2025Schedule!C169</f>
        <v/>
      </c>
      <c r="D169" s="168">
        <f>2025Schedule!D169</f>
        <v/>
      </c>
      <c r="E169" s="168">
        <f>2025Schedule!E169</f>
        <v/>
      </c>
      <c r="F169" s="168">
        <f>2025Schedule!F169</f>
        <v/>
      </c>
      <c r="G169" s="168">
        <f>2025Schedule!G169</f>
        <v/>
      </c>
      <c r="H169" s="168">
        <f>2025Schedule!H169</f>
        <v/>
      </c>
      <c r="I169" s="168">
        <f>2025Schedule!I169</f>
        <v/>
      </c>
      <c r="J169" s="168">
        <f>2025Schedule!J169</f>
        <v/>
      </c>
      <c r="K169" s="156">
        <f>IF(AND(F169=0,I169=0),"",IF(F169&gt;I169,B169&amp;E169,IF(F169&lt;I169,B169&amp;H169,"Tie")))</f>
        <v/>
      </c>
      <c r="L169" s="156">
        <f>IFERROR(IF(AND(B169&lt;$L$1,F169&gt;I169),"Win",IF(AND(B169&lt;$L$1,F169&lt;I169),"Loss","")),"")</f>
        <v/>
      </c>
      <c r="M169" s="156">
        <f>IF(B169&lt;_CurWeek,"In","")</f>
        <v/>
      </c>
      <c r="N169" s="156">
        <f>IF(M169="In",E169&amp;G169,"")</f>
        <v/>
      </c>
      <c r="O169" s="156">
        <f>IF(L169="Win",1,0)</f>
        <v/>
      </c>
      <c r="S169" s="178" t="n"/>
      <c r="U169" s="172" t="n"/>
      <c r="Y169" s="172" t="n"/>
    </row>
    <row r="170" ht="14.4" customHeight="1" s="152">
      <c r="A170" s="167">
        <f>B170&amp;E170</f>
        <v/>
      </c>
      <c r="B170" s="168">
        <f>2025Schedule!B170</f>
        <v/>
      </c>
      <c r="C170" s="168">
        <f>2025Schedule!C170</f>
        <v/>
      </c>
      <c r="D170" s="168">
        <f>2025Schedule!D170</f>
        <v/>
      </c>
      <c r="E170" s="168">
        <f>2025Schedule!E170</f>
        <v/>
      </c>
      <c r="F170" s="168">
        <f>2025Schedule!F170</f>
        <v/>
      </c>
      <c r="G170" s="168">
        <f>2025Schedule!G170</f>
        <v/>
      </c>
      <c r="H170" s="168">
        <f>2025Schedule!H170</f>
        <v/>
      </c>
      <c r="I170" s="168">
        <f>2025Schedule!I170</f>
        <v/>
      </c>
      <c r="J170" s="168">
        <f>2025Schedule!J170</f>
        <v/>
      </c>
      <c r="K170" s="156">
        <f>IF(AND(F170=0,I170=0),"",IF(F170&gt;I170,B170&amp;E170,IF(F170&lt;I170,B170&amp;H170,"Tie")))</f>
        <v/>
      </c>
      <c r="L170" s="156">
        <f>IFERROR(IF(AND(B170&lt;$L$1,F170&gt;I170),"Win",IF(AND(B170&lt;$L$1,F170&lt;I170),"Loss","")),"")</f>
        <v/>
      </c>
      <c r="M170" s="156">
        <f>IF(B170&lt;_CurWeek,"In","")</f>
        <v/>
      </c>
      <c r="N170" s="156">
        <f>IF(M170="In",E170&amp;G170,"")</f>
        <v/>
      </c>
      <c r="O170" s="156">
        <f>IF(L170="Win",1,0)</f>
        <v/>
      </c>
      <c r="S170" s="178" t="n"/>
      <c r="U170" s="172" t="n"/>
      <c r="Y170" s="172" t="n"/>
    </row>
    <row r="171" ht="14.4" customHeight="1" s="152">
      <c r="A171" s="167">
        <f>B171&amp;E171</f>
        <v/>
      </c>
      <c r="B171" s="168">
        <f>2025Schedule!B171</f>
        <v/>
      </c>
      <c r="C171" s="168">
        <f>2025Schedule!C171</f>
        <v/>
      </c>
      <c r="D171" s="168">
        <f>2025Schedule!D171</f>
        <v/>
      </c>
      <c r="E171" s="168">
        <f>2025Schedule!E171</f>
        <v/>
      </c>
      <c r="F171" s="168">
        <f>2025Schedule!F171</f>
        <v/>
      </c>
      <c r="G171" s="168">
        <f>2025Schedule!G171</f>
        <v/>
      </c>
      <c r="H171" s="168">
        <f>2025Schedule!H171</f>
        <v/>
      </c>
      <c r="I171" s="168">
        <f>2025Schedule!I171</f>
        <v/>
      </c>
      <c r="J171" s="168">
        <f>2025Schedule!J171</f>
        <v/>
      </c>
      <c r="K171" s="156">
        <f>IF(AND(F171=0,I171=0),"",IF(F171&gt;I171,B171&amp;E171,IF(F171&lt;I171,B171&amp;H171,"Tie")))</f>
        <v/>
      </c>
      <c r="L171" s="156">
        <f>IFERROR(IF(AND(B171&lt;$L$1,F171&gt;I171),"Win",IF(AND(B171&lt;$L$1,F171&lt;I171),"Loss","")),"")</f>
        <v/>
      </c>
      <c r="M171" s="156">
        <f>IF(B171&lt;_CurWeek,"In","")</f>
        <v/>
      </c>
      <c r="N171" s="156">
        <f>IF(M171="In",E171&amp;G171,"")</f>
        <v/>
      </c>
      <c r="O171" s="156">
        <f>IF(L171="Win",1,0)</f>
        <v/>
      </c>
      <c r="S171" s="178" t="n"/>
      <c r="U171" s="172" t="n"/>
      <c r="Y171" s="172" t="n"/>
    </row>
    <row r="172" ht="14.4" customHeight="1" s="152">
      <c r="A172" s="167">
        <f>B172&amp;E172</f>
        <v/>
      </c>
      <c r="B172" s="168">
        <f>2025Schedule!B172</f>
        <v/>
      </c>
      <c r="C172" s="168">
        <f>2025Schedule!C172</f>
        <v/>
      </c>
      <c r="D172" s="168">
        <f>2025Schedule!D172</f>
        <v/>
      </c>
      <c r="E172" s="168">
        <f>2025Schedule!E172</f>
        <v/>
      </c>
      <c r="F172" s="168">
        <f>2025Schedule!F172</f>
        <v/>
      </c>
      <c r="G172" s="168">
        <f>2025Schedule!G172</f>
        <v/>
      </c>
      <c r="H172" s="168">
        <f>2025Schedule!H172</f>
        <v/>
      </c>
      <c r="I172" s="168">
        <f>2025Schedule!I172</f>
        <v/>
      </c>
      <c r="J172" s="168">
        <f>2025Schedule!J172</f>
        <v/>
      </c>
      <c r="K172" s="156">
        <f>IF(AND(F172=0,I172=0),"",IF(F172&gt;I172,B172&amp;E172,IF(F172&lt;I172,B172&amp;H172,"Tie")))</f>
        <v/>
      </c>
      <c r="L172" s="156">
        <f>IFERROR(IF(AND(B172&lt;$L$1,F172&gt;I172),"Win",IF(AND(B172&lt;$L$1,F172&lt;I172),"Loss","")),"")</f>
        <v/>
      </c>
      <c r="M172" s="156">
        <f>IF(B172&lt;_CurWeek,"In","")</f>
        <v/>
      </c>
      <c r="N172" s="156">
        <f>IF(M172="In",E172&amp;G172,"")</f>
        <v/>
      </c>
      <c r="O172" s="156">
        <f>IF(L172="Win",1,0)</f>
        <v/>
      </c>
      <c r="S172" s="178" t="n"/>
      <c r="U172" s="172" t="n"/>
      <c r="Y172" s="172" t="n"/>
    </row>
    <row r="173" ht="14.4" customHeight="1" s="152">
      <c r="A173" s="167">
        <f>B173&amp;E173</f>
        <v/>
      </c>
      <c r="B173" s="168">
        <f>2025Schedule!B173</f>
        <v/>
      </c>
      <c r="C173" s="168">
        <f>2025Schedule!C173</f>
        <v/>
      </c>
      <c r="D173" s="168">
        <f>2025Schedule!D173</f>
        <v/>
      </c>
      <c r="E173" s="168">
        <f>2025Schedule!E173</f>
        <v/>
      </c>
      <c r="F173" s="168">
        <f>2025Schedule!F173</f>
        <v/>
      </c>
      <c r="G173" s="168">
        <f>2025Schedule!G173</f>
        <v/>
      </c>
      <c r="H173" s="168">
        <f>2025Schedule!H173</f>
        <v/>
      </c>
      <c r="I173" s="168">
        <f>2025Schedule!I173</f>
        <v/>
      </c>
      <c r="J173" s="168">
        <f>2025Schedule!J173</f>
        <v/>
      </c>
      <c r="K173" s="156">
        <f>IF(AND(F173=0,I173=0),"",IF(F173&gt;I173,B173&amp;E173,IF(F173&lt;I173,B173&amp;H173,"Tie")))</f>
        <v/>
      </c>
      <c r="L173" s="156">
        <f>IFERROR(IF(AND(B173&lt;$L$1,F173&gt;I173),"Win",IF(AND(B173&lt;$L$1,F173&lt;I173),"Loss","")),"")</f>
        <v/>
      </c>
      <c r="M173" s="156">
        <f>IF(B173&lt;_CurWeek,"In","")</f>
        <v/>
      </c>
      <c r="N173" s="156">
        <f>IF(M173="In",E173&amp;G173,"")</f>
        <v/>
      </c>
      <c r="O173" s="156">
        <f>IF(L173="Win",1,0)</f>
        <v/>
      </c>
      <c r="S173" s="178" t="n"/>
      <c r="U173" s="172" t="n"/>
      <c r="Y173" s="172" t="n"/>
    </row>
    <row r="174" ht="14.4" customHeight="1" s="152">
      <c r="A174" s="167">
        <f>B174&amp;E174</f>
        <v/>
      </c>
      <c r="B174" s="168">
        <f>2025Schedule!B174</f>
        <v/>
      </c>
      <c r="C174" s="168">
        <f>2025Schedule!C174</f>
        <v/>
      </c>
      <c r="D174" s="168">
        <f>2025Schedule!D174</f>
        <v/>
      </c>
      <c r="E174" s="168">
        <f>2025Schedule!E174</f>
        <v/>
      </c>
      <c r="F174" s="168">
        <f>2025Schedule!F174</f>
        <v/>
      </c>
      <c r="G174" s="168">
        <f>2025Schedule!G174</f>
        <v/>
      </c>
      <c r="H174" s="168">
        <f>2025Schedule!H174</f>
        <v/>
      </c>
      <c r="I174" s="168">
        <f>2025Schedule!I174</f>
        <v/>
      </c>
      <c r="J174" s="168">
        <f>2025Schedule!J174</f>
        <v/>
      </c>
      <c r="K174" s="156">
        <f>IF(AND(F174=0,I174=0),"",IF(F174&gt;I174,B174&amp;E174,IF(F174&lt;I174,B174&amp;H174,"Tie")))</f>
        <v/>
      </c>
      <c r="L174" s="156">
        <f>IFERROR(IF(AND(B174&lt;$L$1,F174&gt;I174),"Win",IF(AND(B174&lt;$L$1,F174&lt;I174),"Loss","")),"")</f>
        <v/>
      </c>
      <c r="M174" s="156">
        <f>IF(B174&lt;_CurWeek,"In","")</f>
        <v/>
      </c>
      <c r="N174" s="156">
        <f>IF(M174="In",E174&amp;G174,"")</f>
        <v/>
      </c>
      <c r="O174" s="156">
        <f>IF(L174="Win",1,0)</f>
        <v/>
      </c>
      <c r="S174" s="178" t="n"/>
      <c r="U174" s="172" t="n"/>
      <c r="Y174" s="172" t="n"/>
    </row>
    <row r="175" ht="14.4" customHeight="1" s="152">
      <c r="A175" s="167">
        <f>B175&amp;E175</f>
        <v/>
      </c>
      <c r="B175" s="168">
        <f>2025Schedule!B175</f>
        <v/>
      </c>
      <c r="C175" s="168">
        <f>2025Schedule!C175</f>
        <v/>
      </c>
      <c r="D175" s="168">
        <f>2025Schedule!D175</f>
        <v/>
      </c>
      <c r="E175" s="168">
        <f>2025Schedule!E175</f>
        <v/>
      </c>
      <c r="F175" s="168">
        <f>2025Schedule!F175</f>
        <v/>
      </c>
      <c r="G175" s="168">
        <f>2025Schedule!G175</f>
        <v/>
      </c>
      <c r="H175" s="168">
        <f>2025Schedule!H175</f>
        <v/>
      </c>
      <c r="I175" s="168">
        <f>2025Schedule!I175</f>
        <v/>
      </c>
      <c r="J175" s="168">
        <f>2025Schedule!J175</f>
        <v/>
      </c>
      <c r="K175" s="156">
        <f>IF(AND(F175=0,I175=0),"",IF(F175&gt;I175,B175&amp;E175,IF(F175&lt;I175,B175&amp;H175,"Tie")))</f>
        <v/>
      </c>
      <c r="L175" s="156">
        <f>IFERROR(IF(AND(B175&lt;$L$1,F175&gt;I175),"Win",IF(AND(B175&lt;$L$1,F175&lt;I175),"Loss","")),"")</f>
        <v/>
      </c>
      <c r="M175" s="156">
        <f>IF(B175&lt;_CurWeek,"In","")</f>
        <v/>
      </c>
      <c r="N175" s="156">
        <f>IF(M175="In",E175&amp;G175,"")</f>
        <v/>
      </c>
      <c r="O175" s="156">
        <f>IF(L175="Win",1,0)</f>
        <v/>
      </c>
      <c r="S175" s="173" t="n"/>
      <c r="U175" s="172" t="n"/>
      <c r="Y175" s="172" t="n"/>
    </row>
    <row r="176" ht="14.4" customHeight="1" s="152">
      <c r="A176" s="167">
        <f>B176&amp;E176</f>
        <v/>
      </c>
      <c r="B176" s="168">
        <f>2025Schedule!B176</f>
        <v/>
      </c>
      <c r="C176" s="168">
        <f>2025Schedule!C176</f>
        <v/>
      </c>
      <c r="D176" s="168">
        <f>2025Schedule!D176</f>
        <v/>
      </c>
      <c r="E176" s="168">
        <f>2025Schedule!E176</f>
        <v/>
      </c>
      <c r="F176" s="168">
        <f>2025Schedule!F176</f>
        <v/>
      </c>
      <c r="G176" s="168">
        <f>2025Schedule!G176</f>
        <v/>
      </c>
      <c r="H176" s="168">
        <f>2025Schedule!H176</f>
        <v/>
      </c>
      <c r="I176" s="168">
        <f>2025Schedule!I176</f>
        <v/>
      </c>
      <c r="J176" s="168">
        <f>2025Schedule!J176</f>
        <v/>
      </c>
      <c r="K176" s="156">
        <f>IF(AND(F176=0,I176=0),"",IF(F176&gt;I176,B176&amp;E176,IF(F176&lt;I176,B176&amp;H176,"Tie")))</f>
        <v/>
      </c>
      <c r="L176" s="156">
        <f>IFERROR(IF(AND(B176&lt;$L$1,F176&gt;I176),"Win",IF(AND(B176&lt;$L$1,F176&lt;I176),"Loss","")),"")</f>
        <v/>
      </c>
      <c r="M176" s="156">
        <f>IF(B176&lt;_CurWeek,"In","")</f>
        <v/>
      </c>
      <c r="N176" s="156">
        <f>IF(M176="In",E176&amp;G176,"")</f>
        <v/>
      </c>
      <c r="O176" s="156">
        <f>IF(L176="Win",1,0)</f>
        <v/>
      </c>
      <c r="S176" s="173" t="n"/>
      <c r="U176" s="172" t="n"/>
      <c r="Y176" s="172" t="n"/>
    </row>
    <row r="177" ht="14.4" customHeight="1" s="152">
      <c r="A177" s="167">
        <f>B177&amp;E177</f>
        <v/>
      </c>
      <c r="B177" s="168">
        <f>2025Schedule!B177</f>
        <v/>
      </c>
      <c r="C177" s="168">
        <f>2025Schedule!C177</f>
        <v/>
      </c>
      <c r="D177" s="168">
        <f>2025Schedule!D177</f>
        <v/>
      </c>
      <c r="E177" s="168">
        <f>2025Schedule!E177</f>
        <v/>
      </c>
      <c r="F177" s="168">
        <f>2025Schedule!F177</f>
        <v/>
      </c>
      <c r="G177" s="168">
        <f>2025Schedule!G177</f>
        <v/>
      </c>
      <c r="H177" s="168">
        <f>2025Schedule!H177</f>
        <v/>
      </c>
      <c r="I177" s="168">
        <f>2025Schedule!I177</f>
        <v/>
      </c>
      <c r="J177" s="168">
        <f>2025Schedule!J177</f>
        <v/>
      </c>
      <c r="K177" s="156">
        <f>IF(AND(F177=0,I177=0),"",IF(F177&gt;I177,B177&amp;E177,IF(F177&lt;I177,B177&amp;H177,"Tie")))</f>
        <v/>
      </c>
      <c r="L177" s="156">
        <f>IFERROR(IF(AND(B177&lt;$L$1,F177&gt;I177),"Win",IF(AND(B177&lt;$L$1,F177&lt;I177),"Loss","")),"")</f>
        <v/>
      </c>
      <c r="M177" s="156">
        <f>IF(B177&lt;_CurWeek,"In","")</f>
        <v/>
      </c>
      <c r="N177" s="156">
        <f>IF(M177="In",E177&amp;G177,"")</f>
        <v/>
      </c>
      <c r="O177" s="156">
        <f>IF(L177="Win",1,0)</f>
        <v/>
      </c>
      <c r="S177" s="173" t="n"/>
      <c r="U177" s="172" t="n"/>
      <c r="Y177" s="172" t="n"/>
    </row>
    <row r="178" ht="14.4" customHeight="1" s="152">
      <c r="A178" s="167">
        <f>B178&amp;E178</f>
        <v/>
      </c>
      <c r="B178" s="168">
        <f>2025Schedule!B178</f>
        <v/>
      </c>
      <c r="C178" s="168">
        <f>2025Schedule!C178</f>
        <v/>
      </c>
      <c r="D178" s="168">
        <f>2025Schedule!D178</f>
        <v/>
      </c>
      <c r="E178" s="168">
        <f>2025Schedule!E178</f>
        <v/>
      </c>
      <c r="F178" s="168">
        <f>2025Schedule!F178</f>
        <v/>
      </c>
      <c r="G178" s="168">
        <f>2025Schedule!G178</f>
        <v/>
      </c>
      <c r="H178" s="168">
        <f>2025Schedule!H178</f>
        <v/>
      </c>
      <c r="I178" s="168">
        <f>2025Schedule!I178</f>
        <v/>
      </c>
      <c r="J178" s="168">
        <f>2025Schedule!J178</f>
        <v/>
      </c>
      <c r="K178" s="156">
        <f>IF(AND(F178=0,I178=0),"",IF(F178&gt;I178,B178&amp;E178,IF(F178&lt;I178,B178&amp;H178,"Tie")))</f>
        <v/>
      </c>
      <c r="L178" s="156">
        <f>IFERROR(IF(AND(B178&lt;$L$1,F178&gt;I178),"Win",IF(AND(B178&lt;$L$1,F178&lt;I178),"Loss","")),"")</f>
        <v/>
      </c>
      <c r="M178" s="156">
        <f>IF(B178&lt;_CurWeek,"In","")</f>
        <v/>
      </c>
      <c r="N178" s="156">
        <f>IF(M178="In",E178&amp;G178,"")</f>
        <v/>
      </c>
      <c r="O178" s="156">
        <f>IF(L178="Win",1,0)</f>
        <v/>
      </c>
      <c r="S178" s="173" t="n"/>
      <c r="U178" s="172" t="n"/>
      <c r="Y178" s="172" t="n"/>
    </row>
    <row r="179" ht="14.4" customHeight="1" s="152">
      <c r="A179" s="167">
        <f>B179&amp;E179</f>
        <v/>
      </c>
      <c r="B179" s="168">
        <f>2025Schedule!B179</f>
        <v/>
      </c>
      <c r="C179" s="168">
        <f>2025Schedule!C179</f>
        <v/>
      </c>
      <c r="D179" s="168">
        <f>2025Schedule!D179</f>
        <v/>
      </c>
      <c r="E179" s="168">
        <f>2025Schedule!E179</f>
        <v/>
      </c>
      <c r="F179" s="168">
        <f>2025Schedule!F179</f>
        <v/>
      </c>
      <c r="G179" s="168">
        <f>2025Schedule!G179</f>
        <v/>
      </c>
      <c r="H179" s="168">
        <f>2025Schedule!H179</f>
        <v/>
      </c>
      <c r="I179" s="168">
        <f>2025Schedule!I179</f>
        <v/>
      </c>
      <c r="J179" s="168">
        <f>2025Schedule!J179</f>
        <v/>
      </c>
      <c r="K179" s="156">
        <f>IF(AND(F179=0,I179=0),"",IF(F179&gt;I179,B179&amp;E179,IF(F179&lt;I179,B179&amp;H179,"Tie")))</f>
        <v/>
      </c>
      <c r="L179" s="156">
        <f>IFERROR(IF(AND(B179&lt;$L$1,F179&gt;I179),"Win",IF(AND(B179&lt;$L$1,F179&lt;I179),"Loss","")),"")</f>
        <v/>
      </c>
      <c r="M179" s="156">
        <f>IF(B179&lt;_CurWeek,"In","")</f>
        <v/>
      </c>
      <c r="N179" s="156">
        <f>IF(M179="In",E179&amp;G179,"")</f>
        <v/>
      </c>
      <c r="O179" s="156">
        <f>IF(L179="Win",1,0)</f>
        <v/>
      </c>
      <c r="S179" s="173" t="n"/>
      <c r="U179" s="172" t="n"/>
      <c r="Y179" s="172" t="n"/>
    </row>
    <row r="180" ht="14.4" customHeight="1" s="152">
      <c r="A180" s="167">
        <f>B180&amp;E180</f>
        <v/>
      </c>
      <c r="B180" s="168">
        <f>2025Schedule!B180</f>
        <v/>
      </c>
      <c r="C180" s="168">
        <f>2025Schedule!C180</f>
        <v/>
      </c>
      <c r="D180" s="168">
        <f>2025Schedule!D180</f>
        <v/>
      </c>
      <c r="E180" s="168">
        <f>2025Schedule!E180</f>
        <v/>
      </c>
      <c r="F180" s="168">
        <f>2025Schedule!F180</f>
        <v/>
      </c>
      <c r="G180" s="168">
        <f>2025Schedule!G180</f>
        <v/>
      </c>
      <c r="H180" s="168">
        <f>2025Schedule!H180</f>
        <v/>
      </c>
      <c r="I180" s="168">
        <f>2025Schedule!I180</f>
        <v/>
      </c>
      <c r="J180" s="168">
        <f>2025Schedule!J180</f>
        <v/>
      </c>
      <c r="K180" s="156">
        <f>IF(AND(F180=0,I180=0),"",IF(F180&gt;I180,B180&amp;E180,IF(F180&lt;I180,B180&amp;H180,"Tie")))</f>
        <v/>
      </c>
      <c r="L180" s="156">
        <f>IFERROR(IF(AND(B180&lt;$L$1,F180&gt;I180),"Win",IF(AND(B180&lt;$L$1,F180&lt;I180),"Loss","")),"")</f>
        <v/>
      </c>
      <c r="M180" s="156">
        <f>IF(B180&lt;_CurWeek,"In","")</f>
        <v/>
      </c>
      <c r="N180" s="156">
        <f>IF(M180="In",E180&amp;G180,"")</f>
        <v/>
      </c>
      <c r="O180" s="156">
        <f>IF(L180="Win",1,0)</f>
        <v/>
      </c>
      <c r="S180" s="173" t="n"/>
      <c r="U180" s="172" t="n"/>
      <c r="Y180" s="172" t="n"/>
    </row>
    <row r="181" ht="14.4" customHeight="1" s="152">
      <c r="A181" s="167">
        <f>B181&amp;E181</f>
        <v/>
      </c>
      <c r="B181" s="168">
        <f>2025Schedule!B181</f>
        <v/>
      </c>
      <c r="C181" s="168">
        <f>2025Schedule!C181</f>
        <v/>
      </c>
      <c r="D181" s="168">
        <f>2025Schedule!D181</f>
        <v/>
      </c>
      <c r="E181" s="168">
        <f>2025Schedule!E181</f>
        <v/>
      </c>
      <c r="F181" s="168">
        <f>2025Schedule!F181</f>
        <v/>
      </c>
      <c r="G181" s="168">
        <f>2025Schedule!G181</f>
        <v/>
      </c>
      <c r="H181" s="168">
        <f>2025Schedule!H181</f>
        <v/>
      </c>
      <c r="I181" s="168">
        <f>2025Schedule!I181</f>
        <v/>
      </c>
      <c r="J181" s="168">
        <f>2025Schedule!J181</f>
        <v/>
      </c>
      <c r="K181" s="156">
        <f>IF(AND(F181=0,I181=0),"",IF(F181&gt;I181,B181&amp;E181,IF(F181&lt;I181,B181&amp;H181,"Tie")))</f>
        <v/>
      </c>
      <c r="L181" s="156">
        <f>IFERROR(IF(AND(B181&lt;$L$1,F181&gt;I181),"Win",IF(AND(B181&lt;$L$1,F181&lt;I181),"Loss","")),"")</f>
        <v/>
      </c>
      <c r="M181" s="156">
        <f>IF(B181&lt;_CurWeek,"In","")</f>
        <v/>
      </c>
      <c r="N181" s="156">
        <f>IF(M181="In",E181&amp;G181,"")</f>
        <v/>
      </c>
      <c r="O181" s="156">
        <f>IF(L181="Win",1,0)</f>
        <v/>
      </c>
      <c r="S181" s="173" t="n"/>
      <c r="U181" s="172" t="n"/>
      <c r="Y181" s="172" t="n"/>
    </row>
    <row r="182" ht="14.4" customHeight="1" s="152">
      <c r="A182" s="167">
        <f>B182&amp;E182</f>
        <v/>
      </c>
      <c r="B182" s="168">
        <f>2025Schedule!B182</f>
        <v/>
      </c>
      <c r="C182" s="168">
        <f>2025Schedule!C182</f>
        <v/>
      </c>
      <c r="D182" s="168">
        <f>2025Schedule!D182</f>
        <v/>
      </c>
      <c r="E182" s="168">
        <f>2025Schedule!E182</f>
        <v/>
      </c>
      <c r="F182" s="168">
        <f>2025Schedule!F182</f>
        <v/>
      </c>
      <c r="G182" s="168">
        <f>2025Schedule!G182</f>
        <v/>
      </c>
      <c r="H182" s="168">
        <f>2025Schedule!H182</f>
        <v/>
      </c>
      <c r="I182" s="168">
        <f>2025Schedule!I182</f>
        <v/>
      </c>
      <c r="J182" s="168">
        <f>2025Schedule!J182</f>
        <v/>
      </c>
      <c r="K182" s="156">
        <f>IF(AND(F182=0,I182=0),"",IF(F182&gt;I182,B182&amp;E182,IF(F182&lt;I182,B182&amp;H182,"Tie")))</f>
        <v/>
      </c>
      <c r="L182" s="156">
        <f>IFERROR(IF(AND(B182&lt;$L$1,F182&gt;I182),"Win",IF(AND(B182&lt;$L$1,F182&lt;I182),"Loss","")),"")</f>
        <v/>
      </c>
      <c r="M182" s="156">
        <f>IF(B182&lt;_CurWeek,"In","")</f>
        <v/>
      </c>
      <c r="N182" s="156">
        <f>IF(M182="In",E182&amp;G182,"")</f>
        <v/>
      </c>
      <c r="O182" s="156">
        <f>IF(L182="Win",1,0)</f>
        <v/>
      </c>
      <c r="S182" s="173" t="n"/>
      <c r="U182" s="172" t="n"/>
      <c r="Y182" s="172" t="n"/>
    </row>
    <row r="183" ht="14.4" customHeight="1" s="152">
      <c r="A183" s="167">
        <f>B183&amp;E183</f>
        <v/>
      </c>
      <c r="B183" s="168">
        <f>2025Schedule!B183</f>
        <v/>
      </c>
      <c r="C183" s="168">
        <f>2025Schedule!C183</f>
        <v/>
      </c>
      <c r="D183" s="168">
        <f>2025Schedule!D183</f>
        <v/>
      </c>
      <c r="E183" s="168">
        <f>2025Schedule!E183</f>
        <v/>
      </c>
      <c r="F183" s="168">
        <f>2025Schedule!F183</f>
        <v/>
      </c>
      <c r="G183" s="168">
        <f>2025Schedule!G183</f>
        <v/>
      </c>
      <c r="H183" s="168">
        <f>2025Schedule!H183</f>
        <v/>
      </c>
      <c r="I183" s="168">
        <f>2025Schedule!I183</f>
        <v/>
      </c>
      <c r="J183" s="168">
        <f>2025Schedule!J183</f>
        <v/>
      </c>
      <c r="K183" s="156">
        <f>IF(AND(F183=0,I183=0),"",IF(F183&gt;I183,B183&amp;E183,IF(F183&lt;I183,B183&amp;H183,"Tie")))</f>
        <v/>
      </c>
      <c r="L183" s="156">
        <f>IFERROR(IF(AND(B183&lt;$L$1,F183&gt;I183),"Win",IF(AND(B183&lt;$L$1,F183&lt;I183),"Loss","")),"")</f>
        <v/>
      </c>
      <c r="M183" s="156">
        <f>IF(B183&lt;_CurWeek,"In","")</f>
        <v/>
      </c>
      <c r="N183" s="156">
        <f>IF(M183="In",E183&amp;G183,"")</f>
        <v/>
      </c>
      <c r="O183" s="156">
        <f>IF(L183="Win",1,0)</f>
        <v/>
      </c>
      <c r="S183" s="173" t="n"/>
      <c r="U183" s="172" t="n"/>
      <c r="Y183" s="172" t="n"/>
    </row>
    <row r="184" ht="14.4" customHeight="1" s="152">
      <c r="A184" s="167">
        <f>B184&amp;E184</f>
        <v/>
      </c>
      <c r="B184" s="168">
        <f>2025Schedule!B184</f>
        <v/>
      </c>
      <c r="C184" s="168">
        <f>2025Schedule!C184</f>
        <v/>
      </c>
      <c r="D184" s="168">
        <f>2025Schedule!D184</f>
        <v/>
      </c>
      <c r="E184" s="168">
        <f>2025Schedule!E184</f>
        <v/>
      </c>
      <c r="F184" s="168">
        <f>2025Schedule!F184</f>
        <v/>
      </c>
      <c r="G184" s="168">
        <f>2025Schedule!G184</f>
        <v/>
      </c>
      <c r="H184" s="168">
        <f>2025Schedule!H184</f>
        <v/>
      </c>
      <c r="I184" s="168">
        <f>2025Schedule!I184</f>
        <v/>
      </c>
      <c r="J184" s="168">
        <f>2025Schedule!J184</f>
        <v/>
      </c>
      <c r="K184" s="156">
        <f>IF(AND(F184=0,I184=0),"",IF(F184&gt;I184,B184&amp;E184,IF(F184&lt;I184,B184&amp;H184,"Tie")))</f>
        <v/>
      </c>
      <c r="L184" s="156">
        <f>IFERROR(IF(AND(B184&lt;$L$1,F184&gt;I184),"Win",IF(AND(B184&lt;$L$1,F184&lt;I184),"Loss","")),"")</f>
        <v/>
      </c>
      <c r="M184" s="156">
        <f>IF(B184&lt;_CurWeek,"In","")</f>
        <v/>
      </c>
      <c r="N184" s="156">
        <f>IF(M184="In",E184&amp;G184,"")</f>
        <v/>
      </c>
      <c r="O184" s="156">
        <f>IF(L184="Win",1,0)</f>
        <v/>
      </c>
      <c r="S184" s="173" t="n"/>
      <c r="U184" s="172" t="n"/>
      <c r="Y184" s="172" t="n"/>
    </row>
    <row r="185" ht="14.4" customHeight="1" s="152">
      <c r="A185" s="167">
        <f>B185&amp;E185</f>
        <v/>
      </c>
      <c r="B185" s="168">
        <f>2025Schedule!B185</f>
        <v/>
      </c>
      <c r="C185" s="168">
        <f>2025Schedule!C185</f>
        <v/>
      </c>
      <c r="D185" s="168">
        <f>2025Schedule!D185</f>
        <v/>
      </c>
      <c r="E185" s="168">
        <f>2025Schedule!E185</f>
        <v/>
      </c>
      <c r="F185" s="168">
        <f>2025Schedule!F185</f>
        <v/>
      </c>
      <c r="G185" s="168">
        <f>2025Schedule!G185</f>
        <v/>
      </c>
      <c r="H185" s="168">
        <f>2025Schedule!H185</f>
        <v/>
      </c>
      <c r="I185" s="168">
        <f>2025Schedule!I185</f>
        <v/>
      </c>
      <c r="J185" s="168">
        <f>2025Schedule!J185</f>
        <v/>
      </c>
      <c r="K185" s="156">
        <f>IF(AND(F185=0,I185=0),"",IF(F185&gt;I185,B185&amp;E185,IF(F185&lt;I185,B185&amp;H185,"Tie")))</f>
        <v/>
      </c>
      <c r="L185" s="156">
        <f>IFERROR(IF(AND(B185&lt;$L$1,F185&gt;I185),"Win",IF(AND(B185&lt;$L$1,F185&lt;I185),"Loss","")),"")</f>
        <v/>
      </c>
      <c r="M185" s="156">
        <f>IF(B185&lt;_CurWeek,"In","")</f>
        <v/>
      </c>
      <c r="N185" s="156">
        <f>IF(M185="In",E185&amp;G185,"")</f>
        <v/>
      </c>
      <c r="O185" s="156">
        <f>IF(L185="Win",1,0)</f>
        <v/>
      </c>
      <c r="S185" s="173" t="n"/>
      <c r="U185" s="172" t="n"/>
      <c r="Y185" s="172" t="n"/>
    </row>
    <row r="186" ht="14.4" customHeight="1" s="152">
      <c r="A186" s="167">
        <f>B186&amp;E186</f>
        <v/>
      </c>
      <c r="B186" s="168">
        <f>2025Schedule!B186</f>
        <v/>
      </c>
      <c r="C186" s="168">
        <f>2025Schedule!C186</f>
        <v/>
      </c>
      <c r="D186" s="168">
        <f>2025Schedule!D186</f>
        <v/>
      </c>
      <c r="E186" s="168">
        <f>2025Schedule!E186</f>
        <v/>
      </c>
      <c r="F186" s="168">
        <f>2025Schedule!F186</f>
        <v/>
      </c>
      <c r="G186" s="168">
        <f>2025Schedule!G186</f>
        <v/>
      </c>
      <c r="H186" s="168">
        <f>2025Schedule!H186</f>
        <v/>
      </c>
      <c r="I186" s="168">
        <f>2025Schedule!I186</f>
        <v/>
      </c>
      <c r="J186" s="168">
        <f>2025Schedule!J186</f>
        <v/>
      </c>
      <c r="K186" s="156">
        <f>IF(AND(F186=0,I186=0),"",IF(F186&gt;I186,B186&amp;E186,IF(F186&lt;I186,B186&amp;H186,"Tie")))</f>
        <v/>
      </c>
      <c r="L186" s="156">
        <f>IFERROR(IF(AND(B186&lt;$L$1,F186&gt;I186),"Win",IF(AND(B186&lt;$L$1,F186&lt;I186),"Loss","")),"")</f>
        <v/>
      </c>
      <c r="M186" s="156">
        <f>IF(B186&lt;_CurWeek,"In","")</f>
        <v/>
      </c>
      <c r="N186" s="156">
        <f>IF(M186="In",E186&amp;G186,"")</f>
        <v/>
      </c>
      <c r="O186" s="156">
        <f>IF(L186="Win",1,0)</f>
        <v/>
      </c>
      <c r="S186" s="173" t="n"/>
      <c r="U186" s="172" t="n"/>
      <c r="Y186" s="172" t="n"/>
    </row>
    <row r="187" ht="14.4" customHeight="1" s="152">
      <c r="A187" s="167">
        <f>B187&amp;E187</f>
        <v/>
      </c>
      <c r="B187" s="168">
        <f>2025Schedule!B187</f>
        <v/>
      </c>
      <c r="C187" s="168">
        <f>2025Schedule!C187</f>
        <v/>
      </c>
      <c r="D187" s="168">
        <f>2025Schedule!D187</f>
        <v/>
      </c>
      <c r="E187" s="168">
        <f>2025Schedule!E187</f>
        <v/>
      </c>
      <c r="F187" s="168">
        <f>2025Schedule!F187</f>
        <v/>
      </c>
      <c r="G187" s="168">
        <f>2025Schedule!G187</f>
        <v/>
      </c>
      <c r="H187" s="168">
        <f>2025Schedule!H187</f>
        <v/>
      </c>
      <c r="I187" s="168">
        <f>2025Schedule!I187</f>
        <v/>
      </c>
      <c r="J187" s="168">
        <f>2025Schedule!J187</f>
        <v/>
      </c>
      <c r="K187" s="156">
        <f>IF(AND(F187=0,I187=0),"",IF(F187&gt;I187,B187&amp;E187,IF(F187&lt;I187,B187&amp;H187,"Tie")))</f>
        <v/>
      </c>
      <c r="L187" s="156">
        <f>IFERROR(IF(AND(B187&lt;$L$1,F187&gt;I187),"Win",IF(AND(B187&lt;$L$1,F187&lt;I187),"Loss","")),"")</f>
        <v/>
      </c>
      <c r="M187" s="156">
        <f>IF(B187&lt;_CurWeek,"In","")</f>
        <v/>
      </c>
      <c r="N187" s="156">
        <f>IF(M187="In",E187&amp;G187,"")</f>
        <v/>
      </c>
      <c r="O187" s="156">
        <f>IF(L187="Win",1,0)</f>
        <v/>
      </c>
      <c r="S187" s="173" t="n"/>
      <c r="U187" s="172" t="n"/>
      <c r="Y187" s="172" t="n"/>
    </row>
    <row r="188" ht="14.4" customHeight="1" s="152">
      <c r="A188" s="167">
        <f>B188&amp;E188</f>
        <v/>
      </c>
      <c r="B188" s="168">
        <f>2025Schedule!B188</f>
        <v/>
      </c>
      <c r="C188" s="168">
        <f>2025Schedule!C188</f>
        <v/>
      </c>
      <c r="D188" s="168">
        <f>2025Schedule!D188</f>
        <v/>
      </c>
      <c r="E188" s="168">
        <f>2025Schedule!E188</f>
        <v/>
      </c>
      <c r="F188" s="168">
        <f>2025Schedule!F188</f>
        <v/>
      </c>
      <c r="G188" s="168">
        <f>2025Schedule!G188</f>
        <v/>
      </c>
      <c r="H188" s="168">
        <f>2025Schedule!H188</f>
        <v/>
      </c>
      <c r="I188" s="168">
        <f>2025Schedule!I188</f>
        <v/>
      </c>
      <c r="J188" s="168">
        <f>2025Schedule!J188</f>
        <v/>
      </c>
      <c r="K188" s="156">
        <f>IF(AND(F188=0,I188=0),"",IF(F188&gt;I188,B188&amp;E188,IF(F188&lt;I188,B188&amp;H188,"Tie")))</f>
        <v/>
      </c>
      <c r="L188" s="156">
        <f>IFERROR(IF(AND(B188&lt;$L$1,F188&gt;I188),"Win",IF(AND(B188&lt;$L$1,F188&lt;I188),"Loss","")),"")</f>
        <v/>
      </c>
      <c r="M188" s="156">
        <f>IF(B188&lt;_CurWeek,"In","")</f>
        <v/>
      </c>
      <c r="N188" s="156">
        <f>IF(M188="In",E188&amp;G188,"")</f>
        <v/>
      </c>
      <c r="O188" s="156">
        <f>IF(L188="Win",1,0)</f>
        <v/>
      </c>
      <c r="S188" s="173" t="n"/>
      <c r="Y188" s="172" t="n"/>
    </row>
    <row r="189" ht="14.4" customHeight="1" s="152">
      <c r="A189" s="167">
        <f>B189&amp;E189</f>
        <v/>
      </c>
      <c r="B189" s="168">
        <f>2025Schedule!B189</f>
        <v/>
      </c>
      <c r="C189" s="168">
        <f>2025Schedule!C189</f>
        <v/>
      </c>
      <c r="D189" s="168">
        <f>2025Schedule!D189</f>
        <v/>
      </c>
      <c r="E189" s="168">
        <f>2025Schedule!E189</f>
        <v/>
      </c>
      <c r="F189" s="168">
        <f>2025Schedule!F189</f>
        <v/>
      </c>
      <c r="G189" s="168">
        <f>2025Schedule!G189</f>
        <v/>
      </c>
      <c r="H189" s="168">
        <f>2025Schedule!H189</f>
        <v/>
      </c>
      <c r="I189" s="168">
        <f>2025Schedule!I189</f>
        <v/>
      </c>
      <c r="J189" s="168">
        <f>2025Schedule!J189</f>
        <v/>
      </c>
      <c r="K189" s="156">
        <f>IF(AND(F189=0,I189=0),"",IF(F189&gt;I189,B189&amp;E189,IF(F189&lt;I189,B189&amp;H189,"Tie")))</f>
        <v/>
      </c>
      <c r="L189" s="156">
        <f>IFERROR(IF(AND(B189&lt;$L$1,F189&gt;I189),"Win",IF(AND(B189&lt;$L$1,F189&lt;I189),"Loss","")),"")</f>
        <v/>
      </c>
      <c r="M189" s="156">
        <f>IF(B189&lt;_CurWeek,"In","")</f>
        <v/>
      </c>
      <c r="N189" s="156">
        <f>IF(M189="In",E189&amp;G189,"")</f>
        <v/>
      </c>
      <c r="O189" s="156">
        <f>IF(L189="Win",1,0)</f>
        <v/>
      </c>
      <c r="S189" s="173" t="n"/>
      <c r="Y189" s="172" t="n"/>
    </row>
    <row r="190" ht="14.4" customHeight="1" s="152">
      <c r="A190" s="167">
        <f>B190&amp;E190</f>
        <v/>
      </c>
      <c r="B190" s="168">
        <f>2025Schedule!B190</f>
        <v/>
      </c>
      <c r="C190" s="168">
        <f>2025Schedule!C190</f>
        <v/>
      </c>
      <c r="D190" s="168">
        <f>2025Schedule!D190</f>
        <v/>
      </c>
      <c r="E190" s="168">
        <f>2025Schedule!E190</f>
        <v/>
      </c>
      <c r="F190" s="168">
        <f>2025Schedule!F190</f>
        <v/>
      </c>
      <c r="G190" s="168">
        <f>2025Schedule!G190</f>
        <v/>
      </c>
      <c r="H190" s="168">
        <f>2025Schedule!H190</f>
        <v/>
      </c>
      <c r="I190" s="168">
        <f>2025Schedule!I190</f>
        <v/>
      </c>
      <c r="J190" s="168">
        <f>2025Schedule!J190</f>
        <v/>
      </c>
      <c r="K190" s="156">
        <f>IF(AND(F190=0,I190=0),"",IF(F190&gt;I190,B190&amp;E190,IF(F190&lt;I190,B190&amp;H190,"Tie")))</f>
        <v/>
      </c>
      <c r="L190" s="156">
        <f>IFERROR(IF(AND(B190&lt;$L$1,F190&gt;I190),"Win",IF(AND(B190&lt;$L$1,F190&lt;I190),"Loss","")),"")</f>
        <v/>
      </c>
      <c r="M190" s="156">
        <f>IF(B190&lt;_CurWeek,"In","")</f>
        <v/>
      </c>
      <c r="N190" s="156">
        <f>IF(M190="In",E190&amp;G190,"")</f>
        <v/>
      </c>
      <c r="O190" s="156">
        <f>IF(L190="Win",1,0)</f>
        <v/>
      </c>
      <c r="S190" s="173" t="n"/>
      <c r="Y190" s="172" t="n"/>
    </row>
    <row r="191" ht="14.4" customHeight="1" s="152">
      <c r="A191" s="167">
        <f>B191&amp;E191</f>
        <v/>
      </c>
      <c r="B191" s="168">
        <f>2025Schedule!B191</f>
        <v/>
      </c>
      <c r="C191" s="168">
        <f>2025Schedule!C191</f>
        <v/>
      </c>
      <c r="D191" s="168">
        <f>2025Schedule!D191</f>
        <v/>
      </c>
      <c r="E191" s="168">
        <f>2025Schedule!E191</f>
        <v/>
      </c>
      <c r="F191" s="168">
        <f>2025Schedule!F191</f>
        <v/>
      </c>
      <c r="G191" s="168">
        <f>2025Schedule!G191</f>
        <v/>
      </c>
      <c r="H191" s="168">
        <f>2025Schedule!H191</f>
        <v/>
      </c>
      <c r="I191" s="168">
        <f>2025Schedule!I191</f>
        <v/>
      </c>
      <c r="J191" s="168">
        <f>2025Schedule!J191</f>
        <v/>
      </c>
      <c r="K191" s="156">
        <f>IF(AND(F191=0,I191=0),"",IF(F191&gt;I191,B191&amp;E191,IF(F191&lt;I191,B191&amp;H191,"Tie")))</f>
        <v/>
      </c>
      <c r="L191" s="156">
        <f>IFERROR(IF(AND(B191&lt;$L$1,F191&gt;I191),"Win",IF(AND(B191&lt;$L$1,F191&lt;I191),"Loss","")),"")</f>
        <v/>
      </c>
      <c r="M191" s="156">
        <f>IF(B191&lt;_CurWeek,"In","")</f>
        <v/>
      </c>
      <c r="N191" s="156">
        <f>IF(M191="In",E191&amp;G191,"")</f>
        <v/>
      </c>
      <c r="O191" s="156">
        <f>IF(L191="Win",1,0)</f>
        <v/>
      </c>
      <c r="S191" s="178" t="n"/>
      <c r="Y191" s="172" t="n"/>
    </row>
    <row r="192" ht="14.4" customHeight="1" s="152">
      <c r="A192" s="167">
        <f>B192&amp;E192</f>
        <v/>
      </c>
      <c r="B192" s="168">
        <f>2025Schedule!B192</f>
        <v/>
      </c>
      <c r="C192" s="168">
        <f>2025Schedule!C192</f>
        <v/>
      </c>
      <c r="D192" s="168">
        <f>2025Schedule!D192</f>
        <v/>
      </c>
      <c r="E192" s="168">
        <f>2025Schedule!E192</f>
        <v/>
      </c>
      <c r="F192" s="168">
        <f>2025Schedule!F192</f>
        <v/>
      </c>
      <c r="G192" s="168">
        <f>2025Schedule!G192</f>
        <v/>
      </c>
      <c r="H192" s="168">
        <f>2025Schedule!H192</f>
        <v/>
      </c>
      <c r="I192" s="168">
        <f>2025Schedule!I192</f>
        <v/>
      </c>
      <c r="J192" s="168">
        <f>2025Schedule!J192</f>
        <v/>
      </c>
      <c r="K192" s="156">
        <f>IF(AND(F192=0,I192=0),"",IF(F192&gt;I192,B192&amp;E192,IF(F192&lt;I192,B192&amp;H192,"Tie")))</f>
        <v/>
      </c>
      <c r="L192" s="156">
        <f>IFERROR(IF(AND(B192&lt;$L$1,F192&gt;I192),"Win",IF(AND(B192&lt;$L$1,F192&lt;I192),"Loss","")),"")</f>
        <v/>
      </c>
      <c r="M192" s="156">
        <f>IF(B192&lt;_CurWeek,"In","")</f>
        <v/>
      </c>
      <c r="N192" s="156">
        <f>IF(M192="In",E192&amp;G192,"")</f>
        <v/>
      </c>
      <c r="O192" s="156">
        <f>IF(L192="Win",1,0)</f>
        <v/>
      </c>
      <c r="S192" s="178" t="n"/>
      <c r="Y192" s="172" t="n"/>
    </row>
    <row r="193" ht="14.4" customHeight="1" s="152">
      <c r="A193" s="167">
        <f>B193&amp;E193</f>
        <v/>
      </c>
      <c r="B193" s="168">
        <f>2025Schedule!B193</f>
        <v/>
      </c>
      <c r="C193" s="168">
        <f>2025Schedule!C193</f>
        <v/>
      </c>
      <c r="D193" s="168">
        <f>2025Schedule!D193</f>
        <v/>
      </c>
      <c r="E193" s="168">
        <f>2025Schedule!E193</f>
        <v/>
      </c>
      <c r="F193" s="168">
        <f>2025Schedule!F193</f>
        <v/>
      </c>
      <c r="G193" s="168">
        <f>2025Schedule!G193</f>
        <v/>
      </c>
      <c r="H193" s="168">
        <f>2025Schedule!H193</f>
        <v/>
      </c>
      <c r="I193" s="168">
        <f>2025Schedule!I193</f>
        <v/>
      </c>
      <c r="J193" s="168">
        <f>2025Schedule!J193</f>
        <v/>
      </c>
      <c r="K193" s="156">
        <f>IF(AND(F193=0,I193=0),"",IF(F193&gt;I193,B193&amp;E193,IF(F193&lt;I193,B193&amp;H193,"Tie")))</f>
        <v/>
      </c>
      <c r="L193" s="156">
        <f>IFERROR(IF(AND(B193&lt;$L$1,F193&gt;I193),"Win",IF(AND(B193&lt;$L$1,F193&lt;I193),"Loss","")),"")</f>
        <v/>
      </c>
      <c r="M193" s="156">
        <f>IF(B193&lt;_CurWeek,"In","")</f>
        <v/>
      </c>
      <c r="N193" s="156">
        <f>IF(M193="In",E193&amp;G193,"")</f>
        <v/>
      </c>
      <c r="O193" s="156">
        <f>IF(L193="Win",1,0)</f>
        <v/>
      </c>
      <c r="S193" s="178" t="n"/>
      <c r="Y193" s="172" t="n"/>
    </row>
    <row r="194" ht="14.4" customHeight="1" s="152">
      <c r="A194" s="167">
        <f>B194&amp;E194</f>
        <v/>
      </c>
      <c r="B194" s="168">
        <f>2025Schedule!B194</f>
        <v/>
      </c>
      <c r="C194" s="168">
        <f>2025Schedule!C194</f>
        <v/>
      </c>
      <c r="D194" s="168">
        <f>2025Schedule!D194</f>
        <v/>
      </c>
      <c r="E194" s="168">
        <f>2025Schedule!E194</f>
        <v/>
      </c>
      <c r="F194" s="168">
        <f>2025Schedule!F194</f>
        <v/>
      </c>
      <c r="G194" s="168">
        <f>2025Schedule!G194</f>
        <v/>
      </c>
      <c r="H194" s="168">
        <f>2025Schedule!H194</f>
        <v/>
      </c>
      <c r="I194" s="168">
        <f>2025Schedule!I194</f>
        <v/>
      </c>
      <c r="J194" s="168">
        <f>2025Schedule!J194</f>
        <v/>
      </c>
      <c r="K194" s="156">
        <f>IF(AND(F194=0,I194=0),"",IF(F194&gt;I194,B194&amp;E194,IF(F194&lt;I194,B194&amp;H194,"Tie")))</f>
        <v/>
      </c>
      <c r="L194" s="156">
        <f>IFERROR(IF(AND(B194&lt;$L$1,F194&gt;I194),"Win",IF(AND(B194&lt;$L$1,F194&lt;I194),"Loss","")),"")</f>
        <v/>
      </c>
      <c r="M194" s="156">
        <f>IF(B194&lt;_CurWeek,"In","")</f>
        <v/>
      </c>
      <c r="N194" s="156">
        <f>IF(M194="In",E194&amp;G194,"")</f>
        <v/>
      </c>
      <c r="O194" s="156">
        <f>IF(L194="Win",1,0)</f>
        <v/>
      </c>
      <c r="S194" s="178" t="n"/>
      <c r="Y194" s="172" t="n"/>
    </row>
    <row r="195" ht="14.4" customHeight="1" s="152">
      <c r="A195" s="167">
        <f>B195&amp;E195</f>
        <v/>
      </c>
      <c r="B195" s="168">
        <f>2025Schedule!B195</f>
        <v/>
      </c>
      <c r="C195" s="168">
        <f>2025Schedule!C195</f>
        <v/>
      </c>
      <c r="D195" s="168">
        <f>2025Schedule!D195</f>
        <v/>
      </c>
      <c r="E195" s="168">
        <f>2025Schedule!E195</f>
        <v/>
      </c>
      <c r="F195" s="168">
        <f>2025Schedule!F195</f>
        <v/>
      </c>
      <c r="G195" s="168">
        <f>2025Schedule!G195</f>
        <v/>
      </c>
      <c r="H195" s="168">
        <f>2025Schedule!H195</f>
        <v/>
      </c>
      <c r="I195" s="168">
        <f>2025Schedule!I195</f>
        <v/>
      </c>
      <c r="J195" s="168">
        <f>2025Schedule!J195</f>
        <v/>
      </c>
      <c r="K195" s="156">
        <f>IF(AND(F195=0,I195=0),"",IF(F195&gt;I195,B195&amp;E195,IF(F195&lt;I195,B195&amp;H195,"Tie")))</f>
        <v/>
      </c>
      <c r="L195" s="156">
        <f>IFERROR(IF(AND(B195&lt;$L$1,F195&gt;I195),"Win",IF(AND(B195&lt;$L$1,F195&lt;I195),"Loss","")),"")</f>
        <v/>
      </c>
      <c r="M195" s="156">
        <f>IF(B195&lt;_CurWeek,"In","")</f>
        <v/>
      </c>
      <c r="N195" s="156">
        <f>IF(M195="In",E195&amp;G195,"")</f>
        <v/>
      </c>
      <c r="O195" s="156">
        <f>IF(L195="Win",1,0)</f>
        <v/>
      </c>
      <c r="S195" s="178" t="n"/>
      <c r="Y195" s="172" t="n"/>
    </row>
    <row r="196" ht="14.4" customHeight="1" s="152">
      <c r="A196" s="167">
        <f>B196&amp;E196</f>
        <v/>
      </c>
      <c r="B196" s="168">
        <f>2025Schedule!B196</f>
        <v/>
      </c>
      <c r="C196" s="168">
        <f>2025Schedule!C196</f>
        <v/>
      </c>
      <c r="D196" s="168">
        <f>2025Schedule!D196</f>
        <v/>
      </c>
      <c r="E196" s="168">
        <f>2025Schedule!E196</f>
        <v/>
      </c>
      <c r="F196" s="168">
        <f>2025Schedule!F196</f>
        <v/>
      </c>
      <c r="G196" s="168">
        <f>2025Schedule!G196</f>
        <v/>
      </c>
      <c r="H196" s="168">
        <f>2025Schedule!H196</f>
        <v/>
      </c>
      <c r="I196" s="168">
        <f>2025Schedule!I196</f>
        <v/>
      </c>
      <c r="J196" s="168">
        <f>2025Schedule!J196</f>
        <v/>
      </c>
      <c r="K196" s="156">
        <f>IF(AND(F196=0,I196=0),"",IF(F196&gt;I196,B196&amp;E196,IF(F196&lt;I196,B196&amp;H196,"Tie")))</f>
        <v/>
      </c>
      <c r="L196" s="156">
        <f>IFERROR(IF(AND(B196&lt;$L$1,F196&gt;I196),"Win",IF(AND(B196&lt;$L$1,F196&lt;I196),"Loss","")),"")</f>
        <v/>
      </c>
      <c r="M196" s="156">
        <f>IF(B196&lt;_CurWeek,"In","")</f>
        <v/>
      </c>
      <c r="N196" s="156">
        <f>IF(M196="In",E196&amp;G196,"")</f>
        <v/>
      </c>
      <c r="O196" s="156">
        <f>IF(L196="Win",1,0)</f>
        <v/>
      </c>
      <c r="S196" s="178" t="n"/>
      <c r="Y196" s="172" t="n"/>
    </row>
    <row r="197" ht="14.4" customHeight="1" s="152">
      <c r="A197" s="167">
        <f>B197&amp;E197</f>
        <v/>
      </c>
      <c r="B197" s="168">
        <f>2025Schedule!B197</f>
        <v/>
      </c>
      <c r="C197" s="168">
        <f>2025Schedule!C197</f>
        <v/>
      </c>
      <c r="D197" s="168">
        <f>2025Schedule!D197</f>
        <v/>
      </c>
      <c r="E197" s="168">
        <f>2025Schedule!E197</f>
        <v/>
      </c>
      <c r="F197" s="168">
        <f>2025Schedule!F197</f>
        <v/>
      </c>
      <c r="G197" s="168">
        <f>2025Schedule!G197</f>
        <v/>
      </c>
      <c r="H197" s="168">
        <f>2025Schedule!H197</f>
        <v/>
      </c>
      <c r="I197" s="168">
        <f>2025Schedule!I197</f>
        <v/>
      </c>
      <c r="J197" s="168">
        <f>2025Schedule!J197</f>
        <v/>
      </c>
      <c r="K197" s="156">
        <f>IF(AND(F197=0,I197=0),"",IF(F197&gt;I197,B197&amp;E197,IF(F197&lt;I197,B197&amp;H197,"Tie")))</f>
        <v/>
      </c>
      <c r="L197" s="156">
        <f>IFERROR(IF(AND(B197&lt;$L$1,F197&gt;I197),"Win",IF(AND(B197&lt;$L$1,F197&lt;I197),"Loss","")),"")</f>
        <v/>
      </c>
      <c r="M197" s="156">
        <f>IF(B197&lt;_CurWeek,"In","")</f>
        <v/>
      </c>
      <c r="N197" s="156">
        <f>IF(M197="In",E197&amp;G197,"")</f>
        <v/>
      </c>
      <c r="O197" s="156">
        <f>IF(L197="Win",1,0)</f>
        <v/>
      </c>
      <c r="S197" s="178" t="n"/>
      <c r="Y197" s="172" t="n"/>
    </row>
    <row r="198" ht="14.4" customHeight="1" s="152">
      <c r="A198" s="167">
        <f>B198&amp;E198</f>
        <v/>
      </c>
      <c r="B198" s="168">
        <f>2025Schedule!B198</f>
        <v/>
      </c>
      <c r="C198" s="168">
        <f>2025Schedule!C198</f>
        <v/>
      </c>
      <c r="D198" s="168">
        <f>2025Schedule!D198</f>
        <v/>
      </c>
      <c r="E198" s="168">
        <f>2025Schedule!E198</f>
        <v/>
      </c>
      <c r="F198" s="168">
        <f>2025Schedule!F198</f>
        <v/>
      </c>
      <c r="G198" s="168">
        <f>2025Schedule!G198</f>
        <v/>
      </c>
      <c r="H198" s="168">
        <f>2025Schedule!H198</f>
        <v/>
      </c>
      <c r="I198" s="168">
        <f>2025Schedule!I198</f>
        <v/>
      </c>
      <c r="J198" s="168">
        <f>2025Schedule!J198</f>
        <v/>
      </c>
      <c r="K198" s="156">
        <f>IF(AND(F198=0,I198=0),"",IF(F198&gt;I198,B198&amp;E198,IF(F198&lt;I198,B198&amp;H198,"Tie")))</f>
        <v/>
      </c>
      <c r="L198" s="156">
        <f>IFERROR(IF(AND(B198&lt;$L$1,F198&gt;I198),"Win",IF(AND(B198&lt;$L$1,F198&lt;I198),"Loss","")),"")</f>
        <v/>
      </c>
      <c r="M198" s="156">
        <f>IF(B198&lt;_CurWeek,"In","")</f>
        <v/>
      </c>
      <c r="N198" s="156">
        <f>IF(M198="In",E198&amp;G198,"")</f>
        <v/>
      </c>
      <c r="O198" s="156">
        <f>IF(L198="Win",1,0)</f>
        <v/>
      </c>
      <c r="S198" s="178" t="n"/>
      <c r="Y198" s="172" t="n"/>
    </row>
    <row r="199" ht="14.4" customHeight="1" s="152">
      <c r="A199" s="167">
        <f>B199&amp;E199</f>
        <v/>
      </c>
      <c r="B199" s="168">
        <f>2025Schedule!B199</f>
        <v/>
      </c>
      <c r="C199" s="168">
        <f>2025Schedule!C199</f>
        <v/>
      </c>
      <c r="D199" s="168">
        <f>2025Schedule!D199</f>
        <v/>
      </c>
      <c r="E199" s="168">
        <f>2025Schedule!E199</f>
        <v/>
      </c>
      <c r="F199" s="168">
        <f>2025Schedule!F199</f>
        <v/>
      </c>
      <c r="G199" s="168">
        <f>2025Schedule!G199</f>
        <v/>
      </c>
      <c r="H199" s="168">
        <f>2025Schedule!H199</f>
        <v/>
      </c>
      <c r="I199" s="168">
        <f>2025Schedule!I199</f>
        <v/>
      </c>
      <c r="J199" s="168">
        <f>2025Schedule!J199</f>
        <v/>
      </c>
      <c r="K199" s="156">
        <f>IF(AND(F199=0,I199=0),"",IF(F199&gt;I199,B199&amp;E199,IF(F199&lt;I199,B199&amp;H199,"Tie")))</f>
        <v/>
      </c>
      <c r="L199" s="156">
        <f>IFERROR(IF(AND(B199&lt;$L$1,F199&gt;I199),"Win",IF(AND(B199&lt;$L$1,F199&lt;I199),"Loss","")),"")</f>
        <v/>
      </c>
      <c r="M199" s="156">
        <f>IF(B199&lt;_CurWeek,"In","")</f>
        <v/>
      </c>
      <c r="N199" s="156">
        <f>IF(M199="In",E199&amp;G199,"")</f>
        <v/>
      </c>
      <c r="O199" s="156">
        <f>IF(L199="Win",1,0)</f>
        <v/>
      </c>
      <c r="S199" s="178" t="n"/>
      <c r="Y199" s="172" t="n"/>
    </row>
    <row r="200" ht="14.4" customHeight="1" s="152">
      <c r="A200" s="167">
        <f>B200&amp;E200</f>
        <v/>
      </c>
      <c r="B200" s="168">
        <f>2025Schedule!B200</f>
        <v/>
      </c>
      <c r="C200" s="168">
        <f>2025Schedule!C200</f>
        <v/>
      </c>
      <c r="D200" s="168">
        <f>2025Schedule!D200</f>
        <v/>
      </c>
      <c r="E200" s="168">
        <f>2025Schedule!E200</f>
        <v/>
      </c>
      <c r="F200" s="168">
        <f>2025Schedule!F200</f>
        <v/>
      </c>
      <c r="G200" s="168">
        <f>2025Schedule!G200</f>
        <v/>
      </c>
      <c r="H200" s="168">
        <f>2025Schedule!H200</f>
        <v/>
      </c>
      <c r="I200" s="168">
        <f>2025Schedule!I200</f>
        <v/>
      </c>
      <c r="J200" s="168">
        <f>2025Schedule!J200</f>
        <v/>
      </c>
      <c r="K200" s="156">
        <f>IF(AND(F200=0,I200=0),"",IF(F200&gt;I200,B200&amp;E200,IF(F200&lt;I200,B200&amp;H200,"Tie")))</f>
        <v/>
      </c>
      <c r="L200" s="156">
        <f>IFERROR(IF(AND(B200&lt;$L$1,F200&gt;I200),"Win",IF(AND(B200&lt;$L$1,F200&lt;I200),"Loss","")),"")</f>
        <v/>
      </c>
      <c r="M200" s="156">
        <f>IF(B200&lt;_CurWeek,"In","")</f>
        <v/>
      </c>
      <c r="N200" s="156">
        <f>IF(M200="In",E200&amp;G200,"")</f>
        <v/>
      </c>
      <c r="O200" s="156">
        <f>IF(L200="Win",1,0)</f>
        <v/>
      </c>
      <c r="S200" s="178" t="n"/>
      <c r="Y200" s="172" t="n"/>
    </row>
    <row r="201" ht="14.4" customHeight="1" s="152">
      <c r="A201" s="167">
        <f>B201&amp;E201</f>
        <v/>
      </c>
      <c r="B201" s="168">
        <f>2025Schedule!B201</f>
        <v/>
      </c>
      <c r="C201" s="168">
        <f>2025Schedule!C201</f>
        <v/>
      </c>
      <c r="D201" s="168">
        <f>2025Schedule!D201</f>
        <v/>
      </c>
      <c r="E201" s="168">
        <f>2025Schedule!E201</f>
        <v/>
      </c>
      <c r="F201" s="168">
        <f>2025Schedule!F201</f>
        <v/>
      </c>
      <c r="G201" s="168">
        <f>2025Schedule!G201</f>
        <v/>
      </c>
      <c r="H201" s="168">
        <f>2025Schedule!H201</f>
        <v/>
      </c>
      <c r="I201" s="168">
        <f>2025Schedule!I201</f>
        <v/>
      </c>
      <c r="J201" s="168">
        <f>2025Schedule!J201</f>
        <v/>
      </c>
      <c r="K201" s="156">
        <f>IF(AND(F201=0,I201=0),"",IF(F201&gt;I201,B201&amp;E201,IF(F201&lt;I201,B201&amp;H201,"Tie")))</f>
        <v/>
      </c>
      <c r="L201" s="156">
        <f>IFERROR(IF(AND(B201&lt;$L$1,F201&gt;I201),"Win",IF(AND(B201&lt;$L$1,F201&lt;I201),"Loss","")),"")</f>
        <v/>
      </c>
      <c r="M201" s="156">
        <f>IF(B201&lt;_CurWeek,"In","")</f>
        <v/>
      </c>
      <c r="N201" s="156">
        <f>IF(M201="In",E201&amp;G201,"")</f>
        <v/>
      </c>
      <c r="O201" s="156">
        <f>IF(L201="Win",1,0)</f>
        <v/>
      </c>
      <c r="S201" s="178" t="n"/>
      <c r="Y201" s="172" t="n"/>
    </row>
    <row r="202" ht="14.4" customHeight="1" s="152">
      <c r="A202" s="167">
        <f>B202&amp;E202</f>
        <v/>
      </c>
      <c r="B202" s="168">
        <f>2025Schedule!B202</f>
        <v/>
      </c>
      <c r="C202" s="168">
        <f>2025Schedule!C202</f>
        <v/>
      </c>
      <c r="D202" s="168">
        <f>2025Schedule!D202</f>
        <v/>
      </c>
      <c r="E202" s="168">
        <f>2025Schedule!E202</f>
        <v/>
      </c>
      <c r="F202" s="168">
        <f>2025Schedule!F202</f>
        <v/>
      </c>
      <c r="G202" s="168">
        <f>2025Schedule!G202</f>
        <v/>
      </c>
      <c r="H202" s="168">
        <f>2025Schedule!H202</f>
        <v/>
      </c>
      <c r="I202" s="168">
        <f>2025Schedule!I202</f>
        <v/>
      </c>
      <c r="J202" s="168">
        <f>2025Schedule!J202</f>
        <v/>
      </c>
      <c r="K202" s="156">
        <f>IF(AND(F202=0,I202=0),"",IF(F202&gt;I202,B202&amp;E202,IF(F202&lt;I202,B202&amp;H202,"Tie")))</f>
        <v/>
      </c>
      <c r="L202" s="156">
        <f>IFERROR(IF(AND(B202&lt;$L$1,F202&gt;I202),"Win",IF(AND(B202&lt;$L$1,F202&lt;I202),"Loss","")),"")</f>
        <v/>
      </c>
      <c r="M202" s="156">
        <f>IF(B202&lt;_CurWeek,"In","")</f>
        <v/>
      </c>
      <c r="N202" s="156">
        <f>IF(M202="In",E202&amp;G202,"")</f>
        <v/>
      </c>
      <c r="O202" s="156">
        <f>IF(L202="Win",1,0)</f>
        <v/>
      </c>
      <c r="S202" s="178" t="n"/>
      <c r="Y202" s="172" t="n"/>
    </row>
    <row r="203" ht="14.4" customHeight="1" s="152">
      <c r="A203" s="167">
        <f>B203&amp;E203</f>
        <v/>
      </c>
      <c r="B203" s="168">
        <f>2025Schedule!B203</f>
        <v/>
      </c>
      <c r="C203" s="168">
        <f>2025Schedule!C203</f>
        <v/>
      </c>
      <c r="D203" s="168">
        <f>2025Schedule!D203</f>
        <v/>
      </c>
      <c r="E203" s="168">
        <f>2025Schedule!E203</f>
        <v/>
      </c>
      <c r="F203" s="168">
        <f>2025Schedule!F203</f>
        <v/>
      </c>
      <c r="G203" s="168">
        <f>2025Schedule!G203</f>
        <v/>
      </c>
      <c r="H203" s="168">
        <f>2025Schedule!H203</f>
        <v/>
      </c>
      <c r="I203" s="168">
        <f>2025Schedule!I203</f>
        <v/>
      </c>
      <c r="J203" s="168">
        <f>2025Schedule!J203</f>
        <v/>
      </c>
      <c r="K203" s="156">
        <f>IF(AND(F203=0,I203=0),"",IF(F203&gt;I203,B203&amp;E203,IF(F203&lt;I203,B203&amp;H203,"Tie")))</f>
        <v/>
      </c>
      <c r="L203" s="156">
        <f>IFERROR(IF(AND(B203&lt;$L$1,F203&gt;I203),"Win",IF(AND(B203&lt;$L$1,F203&lt;I203),"Loss","")),"")</f>
        <v/>
      </c>
      <c r="M203" s="156">
        <f>IF(B203&lt;_CurWeek,"In","")</f>
        <v/>
      </c>
      <c r="N203" s="156">
        <f>IF(M203="In",E203&amp;G203,"")</f>
        <v/>
      </c>
      <c r="O203" s="156">
        <f>IF(L203="Win",1,0)</f>
        <v/>
      </c>
      <c r="S203" s="178" t="n"/>
      <c r="Y203" s="172" t="n"/>
    </row>
    <row r="204" ht="14.4" customHeight="1" s="152">
      <c r="A204" s="167">
        <f>B204&amp;E204</f>
        <v/>
      </c>
      <c r="B204" s="168">
        <f>2025Schedule!B204</f>
        <v/>
      </c>
      <c r="C204" s="168">
        <f>2025Schedule!C204</f>
        <v/>
      </c>
      <c r="D204" s="168">
        <f>2025Schedule!D204</f>
        <v/>
      </c>
      <c r="E204" s="168">
        <f>2025Schedule!E204</f>
        <v/>
      </c>
      <c r="F204" s="168">
        <f>2025Schedule!F204</f>
        <v/>
      </c>
      <c r="G204" s="168">
        <f>2025Schedule!G204</f>
        <v/>
      </c>
      <c r="H204" s="168">
        <f>2025Schedule!H204</f>
        <v/>
      </c>
      <c r="I204" s="168">
        <f>2025Schedule!I204</f>
        <v/>
      </c>
      <c r="J204" s="168">
        <f>2025Schedule!J204</f>
        <v/>
      </c>
      <c r="K204" s="156">
        <f>IF(AND(F204=0,I204=0),"",IF(F204&gt;I204,B204&amp;E204,IF(F204&lt;I204,B204&amp;H204,"Tie")))</f>
        <v/>
      </c>
      <c r="L204" s="156">
        <f>IFERROR(IF(AND(B204&lt;$L$1,F204&gt;I204),"Win",IF(AND(B204&lt;$L$1,F204&lt;I204),"Loss","")),"")</f>
        <v/>
      </c>
      <c r="M204" s="156">
        <f>IF(B204&lt;_CurWeek,"In","")</f>
        <v/>
      </c>
      <c r="N204" s="156">
        <f>IF(M204="In",E204&amp;G204,"")</f>
        <v/>
      </c>
      <c r="O204" s="156">
        <f>IF(L204="Win",1,0)</f>
        <v/>
      </c>
      <c r="S204" s="178" t="n"/>
      <c r="Y204" s="172" t="n"/>
    </row>
    <row r="205" ht="14.4" customHeight="1" s="152">
      <c r="A205" s="167">
        <f>B205&amp;E205</f>
        <v/>
      </c>
      <c r="B205" s="168">
        <f>2025Schedule!B205</f>
        <v/>
      </c>
      <c r="C205" s="168">
        <f>2025Schedule!C205</f>
        <v/>
      </c>
      <c r="D205" s="168">
        <f>2025Schedule!D205</f>
        <v/>
      </c>
      <c r="E205" s="168">
        <f>2025Schedule!E205</f>
        <v/>
      </c>
      <c r="F205" s="168">
        <f>2025Schedule!F205</f>
        <v/>
      </c>
      <c r="G205" s="168">
        <f>2025Schedule!G205</f>
        <v/>
      </c>
      <c r="H205" s="168">
        <f>2025Schedule!H205</f>
        <v/>
      </c>
      <c r="I205" s="168">
        <f>2025Schedule!I205</f>
        <v/>
      </c>
      <c r="J205" s="168">
        <f>2025Schedule!J205</f>
        <v/>
      </c>
      <c r="K205" s="156">
        <f>IF(AND(F205=0,I205=0),"",IF(F205&gt;I205,B205&amp;E205,IF(F205&lt;I205,B205&amp;H205,"Tie")))</f>
        <v/>
      </c>
      <c r="L205" s="156">
        <f>IFERROR(IF(AND(B205&lt;$L$1,F205&gt;I205),"Win",IF(AND(B205&lt;$L$1,F205&lt;I205),"Loss","")),"")</f>
        <v/>
      </c>
      <c r="M205" s="156">
        <f>IF(B205&lt;_CurWeek,"In","")</f>
        <v/>
      </c>
      <c r="N205" s="156">
        <f>IF(M205="In",E205&amp;G205,"")</f>
        <v/>
      </c>
      <c r="O205" s="156">
        <f>IF(L205="Win",1,0)</f>
        <v/>
      </c>
      <c r="S205" s="178" t="n"/>
      <c r="Y205" s="172" t="n"/>
    </row>
    <row r="206" ht="14.4" customHeight="1" s="152">
      <c r="A206" s="167">
        <f>B206&amp;E206</f>
        <v/>
      </c>
      <c r="B206" s="168">
        <f>2025Schedule!B206</f>
        <v/>
      </c>
      <c r="C206" s="168">
        <f>2025Schedule!C206</f>
        <v/>
      </c>
      <c r="D206" s="168">
        <f>2025Schedule!D206</f>
        <v/>
      </c>
      <c r="E206" s="168">
        <f>2025Schedule!E206</f>
        <v/>
      </c>
      <c r="F206" s="168">
        <f>2025Schedule!F206</f>
        <v/>
      </c>
      <c r="G206" s="168">
        <f>2025Schedule!G206</f>
        <v/>
      </c>
      <c r="H206" s="168">
        <f>2025Schedule!H206</f>
        <v/>
      </c>
      <c r="I206" s="168">
        <f>2025Schedule!I206</f>
        <v/>
      </c>
      <c r="J206" s="168">
        <f>2025Schedule!J206</f>
        <v/>
      </c>
      <c r="K206" s="156">
        <f>IF(AND(F206=0,I206=0),"",IF(F206&gt;I206,B206&amp;E206,IF(F206&lt;I206,B206&amp;H206,"Tie")))</f>
        <v/>
      </c>
      <c r="L206" s="156">
        <f>IFERROR(IF(AND(B206&lt;$L$1,F206&gt;I206),"Win",IF(AND(B206&lt;$L$1,F206&lt;I206),"Loss","")),"")</f>
        <v/>
      </c>
      <c r="M206" s="156">
        <f>IF(B206&lt;_CurWeek,"In","")</f>
        <v/>
      </c>
      <c r="N206" s="156">
        <f>IF(M206="In",E206&amp;G206,"")</f>
        <v/>
      </c>
      <c r="O206" s="156">
        <f>IF(L206="Win",1,0)</f>
        <v/>
      </c>
      <c r="S206" s="178" t="n"/>
      <c r="Y206" s="172" t="n"/>
    </row>
    <row r="207" ht="14.4" customHeight="1" s="152">
      <c r="A207" s="167">
        <f>B207&amp;E207</f>
        <v/>
      </c>
      <c r="B207" s="168">
        <f>2025Schedule!B207</f>
        <v/>
      </c>
      <c r="C207" s="168">
        <f>2025Schedule!C207</f>
        <v/>
      </c>
      <c r="D207" s="168">
        <f>2025Schedule!D207</f>
        <v/>
      </c>
      <c r="E207" s="168">
        <f>2025Schedule!E207</f>
        <v/>
      </c>
      <c r="F207" s="168">
        <f>2025Schedule!F207</f>
        <v/>
      </c>
      <c r="G207" s="168">
        <f>2025Schedule!G207</f>
        <v/>
      </c>
      <c r="H207" s="168">
        <f>2025Schedule!H207</f>
        <v/>
      </c>
      <c r="I207" s="168">
        <f>2025Schedule!I207</f>
        <v/>
      </c>
      <c r="J207" s="168">
        <f>2025Schedule!J207</f>
        <v/>
      </c>
      <c r="K207" s="156">
        <f>IF(AND(F207=0,I207=0),"",IF(F207&gt;I207,B207&amp;E207,IF(F207&lt;I207,B207&amp;H207,"Tie")))</f>
        <v/>
      </c>
      <c r="L207" s="156">
        <f>IFERROR(IF(AND(B207&lt;$L$1,F207&gt;I207),"Win",IF(AND(B207&lt;$L$1,F207&lt;I207),"Loss","")),"")</f>
        <v/>
      </c>
      <c r="M207" s="156">
        <f>IF(B207&lt;_CurWeek,"In","")</f>
        <v/>
      </c>
      <c r="N207" s="156">
        <f>IF(M207="In",E207&amp;G207,"")</f>
        <v/>
      </c>
      <c r="O207" s="156">
        <f>IF(L207="Win",1,0)</f>
        <v/>
      </c>
      <c r="S207" s="178" t="n"/>
      <c r="Y207" s="172" t="n"/>
    </row>
    <row r="208" ht="14.4" customHeight="1" s="152">
      <c r="A208" s="167">
        <f>B208&amp;E208</f>
        <v/>
      </c>
      <c r="B208" s="168">
        <f>2025Schedule!B208</f>
        <v/>
      </c>
      <c r="C208" s="168">
        <f>2025Schedule!C208</f>
        <v/>
      </c>
      <c r="D208" s="168">
        <f>2025Schedule!D208</f>
        <v/>
      </c>
      <c r="E208" s="168">
        <f>2025Schedule!E208</f>
        <v/>
      </c>
      <c r="F208" s="168">
        <f>2025Schedule!F208</f>
        <v/>
      </c>
      <c r="G208" s="168">
        <f>2025Schedule!G208</f>
        <v/>
      </c>
      <c r="H208" s="168">
        <f>2025Schedule!H208</f>
        <v/>
      </c>
      <c r="I208" s="168">
        <f>2025Schedule!I208</f>
        <v/>
      </c>
      <c r="J208" s="168">
        <f>2025Schedule!J208</f>
        <v/>
      </c>
      <c r="K208" s="156">
        <f>IF(AND(F208=0,I208=0),"",IF(F208&gt;I208,B208&amp;E208,IF(F208&lt;I208,B208&amp;H208,"Tie")))</f>
        <v/>
      </c>
      <c r="L208" s="156">
        <f>IFERROR(IF(AND(B208&lt;$L$1,F208&gt;I208),"Win",IF(AND(B208&lt;$L$1,F208&lt;I208),"Loss","")),"")</f>
        <v/>
      </c>
      <c r="M208" s="156">
        <f>IF(B208&lt;_CurWeek,"In","")</f>
        <v/>
      </c>
      <c r="N208" s="156">
        <f>IF(M208="In",E208&amp;G208,"")</f>
        <v/>
      </c>
      <c r="O208" s="156">
        <f>IF(L208="Win",1,0)</f>
        <v/>
      </c>
      <c r="S208" s="178" t="n"/>
      <c r="T208" s="173" t="n"/>
      <c r="Y208" s="172" t="n"/>
    </row>
    <row r="209" ht="14.4" customHeight="1" s="152">
      <c r="A209" s="167">
        <f>B209&amp;E209</f>
        <v/>
      </c>
      <c r="B209" s="168">
        <f>2025Schedule!B209</f>
        <v/>
      </c>
      <c r="C209" s="168">
        <f>2025Schedule!C209</f>
        <v/>
      </c>
      <c r="D209" s="168">
        <f>2025Schedule!D209</f>
        <v/>
      </c>
      <c r="E209" s="168">
        <f>2025Schedule!E209</f>
        <v/>
      </c>
      <c r="F209" s="168">
        <f>2025Schedule!F209</f>
        <v/>
      </c>
      <c r="G209" s="168">
        <f>2025Schedule!G209</f>
        <v/>
      </c>
      <c r="H209" s="168">
        <f>2025Schedule!H209</f>
        <v/>
      </c>
      <c r="I209" s="168">
        <f>2025Schedule!I209</f>
        <v/>
      </c>
      <c r="J209" s="168">
        <f>2025Schedule!J209</f>
        <v/>
      </c>
      <c r="K209" s="156">
        <f>IF(AND(F209=0,I209=0),"",IF(F209&gt;I209,B209&amp;E209,IF(F209&lt;I209,B209&amp;H209,"Tie")))</f>
        <v/>
      </c>
      <c r="L209" s="156">
        <f>IFERROR(IF(AND(B209&lt;$L$1,F209&gt;I209),"Win",IF(AND(B209&lt;$L$1,F209&lt;I209),"Loss","")),"")</f>
        <v/>
      </c>
      <c r="M209" s="156">
        <f>IF(B209&lt;_CurWeek,"In","")</f>
        <v/>
      </c>
      <c r="N209" s="156">
        <f>IF(M209="In",E209&amp;G209,"")</f>
        <v/>
      </c>
      <c r="O209" s="156">
        <f>IF(L209="Win",1,0)</f>
        <v/>
      </c>
      <c r="S209" s="178" t="n"/>
      <c r="T209" s="173" t="n"/>
      <c r="Y209" s="172" t="n"/>
    </row>
    <row r="210" ht="14.4" customHeight="1" s="152">
      <c r="A210" s="167">
        <f>B210&amp;E210</f>
        <v/>
      </c>
      <c r="B210" s="168">
        <f>2025Schedule!B210</f>
        <v/>
      </c>
      <c r="C210" s="168">
        <f>2025Schedule!C210</f>
        <v/>
      </c>
      <c r="D210" s="168">
        <f>2025Schedule!D210</f>
        <v/>
      </c>
      <c r="E210" s="168">
        <f>2025Schedule!E210</f>
        <v/>
      </c>
      <c r="F210" s="168">
        <f>2025Schedule!F210</f>
        <v/>
      </c>
      <c r="G210" s="168">
        <f>2025Schedule!G210</f>
        <v/>
      </c>
      <c r="H210" s="168">
        <f>2025Schedule!H210</f>
        <v/>
      </c>
      <c r="I210" s="168">
        <f>2025Schedule!I210</f>
        <v/>
      </c>
      <c r="J210" s="168">
        <f>2025Schedule!J210</f>
        <v/>
      </c>
      <c r="K210" s="156">
        <f>IF(AND(F210=0,I210=0),"",IF(F210&gt;I210,B210&amp;E210,IF(F210&lt;I210,B210&amp;H210,"Tie")))</f>
        <v/>
      </c>
      <c r="L210" s="156">
        <f>IFERROR(IF(AND(B210&lt;$L$1,F210&gt;I210),"Win",IF(AND(B210&lt;$L$1,F210&lt;I210),"Loss","")),"")</f>
        <v/>
      </c>
      <c r="M210" s="156">
        <f>IF(B210&lt;_CurWeek,"In","")</f>
        <v/>
      </c>
      <c r="N210" s="156">
        <f>IF(M210="In",E210&amp;G210,"")</f>
        <v/>
      </c>
      <c r="O210" s="156">
        <f>IF(L210="Win",1,0)</f>
        <v/>
      </c>
      <c r="S210" s="178" t="n"/>
      <c r="T210" s="173" t="n"/>
      <c r="Y210" s="172" t="n"/>
    </row>
    <row r="211" ht="14.4" customHeight="1" s="152">
      <c r="A211" s="167">
        <f>B211&amp;E211</f>
        <v/>
      </c>
      <c r="B211" s="168">
        <f>2025Schedule!B211</f>
        <v/>
      </c>
      <c r="C211" s="168">
        <f>2025Schedule!C211</f>
        <v/>
      </c>
      <c r="D211" s="168">
        <f>2025Schedule!D211</f>
        <v/>
      </c>
      <c r="E211" s="168">
        <f>2025Schedule!E211</f>
        <v/>
      </c>
      <c r="F211" s="168">
        <f>2025Schedule!F211</f>
        <v/>
      </c>
      <c r="G211" s="168">
        <f>2025Schedule!G211</f>
        <v/>
      </c>
      <c r="H211" s="168">
        <f>2025Schedule!H211</f>
        <v/>
      </c>
      <c r="I211" s="168">
        <f>2025Schedule!I211</f>
        <v/>
      </c>
      <c r="J211" s="168">
        <f>2025Schedule!J211</f>
        <v/>
      </c>
      <c r="K211" s="156">
        <f>IF(AND(F211=0,I211=0),"",IF(F211&gt;I211,B211&amp;E211,IF(F211&lt;I211,B211&amp;H211,"Tie")))</f>
        <v/>
      </c>
      <c r="L211" s="156">
        <f>IFERROR(IF(AND(B211&lt;$L$1,F211&gt;I211),"Win",IF(AND(B211&lt;$L$1,F211&lt;I211),"Loss","")),"")</f>
        <v/>
      </c>
      <c r="M211" s="156">
        <f>IF(B211&lt;_CurWeek,"In","")</f>
        <v/>
      </c>
      <c r="N211" s="156">
        <f>IF(M211="In",E211&amp;G211,"")</f>
        <v/>
      </c>
      <c r="O211" s="156">
        <f>IF(L211="Win",1,0)</f>
        <v/>
      </c>
      <c r="S211" s="178" t="n"/>
      <c r="T211" s="173" t="n"/>
      <c r="Y211" s="172" t="n"/>
    </row>
    <row r="212" ht="14.4" customHeight="1" s="152">
      <c r="A212" s="167">
        <f>B212&amp;E212</f>
        <v/>
      </c>
      <c r="B212" s="168">
        <f>2025Schedule!B212</f>
        <v/>
      </c>
      <c r="C212" s="168">
        <f>2025Schedule!C212</f>
        <v/>
      </c>
      <c r="D212" s="168">
        <f>2025Schedule!D212</f>
        <v/>
      </c>
      <c r="E212" s="168">
        <f>2025Schedule!E212</f>
        <v/>
      </c>
      <c r="F212" s="168">
        <f>2025Schedule!F212</f>
        <v/>
      </c>
      <c r="G212" s="168">
        <f>2025Schedule!G212</f>
        <v/>
      </c>
      <c r="H212" s="168">
        <f>2025Schedule!H212</f>
        <v/>
      </c>
      <c r="I212" s="168">
        <f>2025Schedule!I212</f>
        <v/>
      </c>
      <c r="J212" s="168">
        <f>2025Schedule!J212</f>
        <v/>
      </c>
      <c r="K212" s="156">
        <f>IF(AND(F212=0,I212=0),"",IF(F212&gt;I212,B212&amp;E212,IF(F212&lt;I212,B212&amp;H212,"Tie")))</f>
        <v/>
      </c>
      <c r="L212" s="156">
        <f>IFERROR(IF(AND(B212&lt;$L$1,F212&gt;I212),"Win",IF(AND(B212&lt;$L$1,F212&lt;I212),"Loss","")),"")</f>
        <v/>
      </c>
      <c r="M212" s="156">
        <f>IF(B212&lt;_CurWeek,"In","")</f>
        <v/>
      </c>
      <c r="N212" s="156">
        <f>IF(M212="In",E212&amp;G212,"")</f>
        <v/>
      </c>
      <c r="O212" s="156">
        <f>IF(L212="Win",1,0)</f>
        <v/>
      </c>
      <c r="S212" s="178" t="n"/>
      <c r="T212" s="173" t="n"/>
      <c r="Y212" s="172" t="n"/>
    </row>
    <row r="213" ht="14.4" customHeight="1" s="152">
      <c r="A213" s="167">
        <f>B213&amp;E213</f>
        <v/>
      </c>
      <c r="B213" s="168">
        <f>2025Schedule!B213</f>
        <v/>
      </c>
      <c r="C213" s="168">
        <f>2025Schedule!C213</f>
        <v/>
      </c>
      <c r="D213" s="168">
        <f>2025Schedule!D213</f>
        <v/>
      </c>
      <c r="E213" s="168">
        <f>2025Schedule!E213</f>
        <v/>
      </c>
      <c r="F213" s="168">
        <f>2025Schedule!F213</f>
        <v/>
      </c>
      <c r="G213" s="168">
        <f>2025Schedule!G213</f>
        <v/>
      </c>
      <c r="H213" s="168">
        <f>2025Schedule!H213</f>
        <v/>
      </c>
      <c r="I213" s="168">
        <f>2025Schedule!I213</f>
        <v/>
      </c>
      <c r="J213" s="168">
        <f>2025Schedule!J213</f>
        <v/>
      </c>
      <c r="K213" s="156">
        <f>IF(AND(F213=0,I213=0),"",IF(F213&gt;I213,B213&amp;E213,IF(F213&lt;I213,B213&amp;H213,"Tie")))</f>
        <v/>
      </c>
      <c r="L213" s="156">
        <f>IFERROR(IF(AND(B213&lt;$L$1,F213&gt;I213),"Win",IF(AND(B213&lt;$L$1,F213&lt;I213),"Loss","")),"")</f>
        <v/>
      </c>
      <c r="M213" s="156">
        <f>IF(B213&lt;_CurWeek,"In","")</f>
        <v/>
      </c>
      <c r="N213" s="156">
        <f>IF(M213="In",E213&amp;G213,"")</f>
        <v/>
      </c>
      <c r="O213" s="156">
        <f>IF(L213="Win",1,0)</f>
        <v/>
      </c>
      <c r="S213" s="178" t="n"/>
      <c r="T213" s="173" t="n"/>
      <c r="Y213" s="172" t="n"/>
    </row>
    <row r="214" ht="14.4" customHeight="1" s="152">
      <c r="A214" s="167">
        <f>B214&amp;E214</f>
        <v/>
      </c>
      <c r="B214" s="168">
        <f>2025Schedule!B214</f>
        <v/>
      </c>
      <c r="C214" s="168">
        <f>2025Schedule!C214</f>
        <v/>
      </c>
      <c r="D214" s="168">
        <f>2025Schedule!D214</f>
        <v/>
      </c>
      <c r="E214" s="168">
        <f>2025Schedule!E214</f>
        <v/>
      </c>
      <c r="F214" s="168">
        <f>2025Schedule!F214</f>
        <v/>
      </c>
      <c r="G214" s="168">
        <f>2025Schedule!G214</f>
        <v/>
      </c>
      <c r="H214" s="168">
        <f>2025Schedule!H214</f>
        <v/>
      </c>
      <c r="I214" s="168">
        <f>2025Schedule!I214</f>
        <v/>
      </c>
      <c r="J214" s="168">
        <f>2025Schedule!J214</f>
        <v/>
      </c>
      <c r="K214" s="156">
        <f>IF(AND(F214=0,I214=0),"",IF(F214&gt;I214,B214&amp;E214,IF(F214&lt;I214,B214&amp;H214,"Tie")))</f>
        <v/>
      </c>
      <c r="L214" s="156">
        <f>IFERROR(IF(AND(B214&lt;$L$1,F214&gt;I214),"Win",IF(AND(B214&lt;$L$1,F214&lt;I214),"Loss","")),"")</f>
        <v/>
      </c>
      <c r="M214" s="156">
        <f>IF(B214&lt;_CurWeek,"In","")</f>
        <v/>
      </c>
      <c r="N214" s="156">
        <f>IF(M214="In",E214&amp;G214,"")</f>
        <v/>
      </c>
      <c r="O214" s="156">
        <f>IF(L214="Win",1,0)</f>
        <v/>
      </c>
      <c r="S214" s="178" t="n"/>
      <c r="T214" s="173" t="n"/>
      <c r="Y214" s="172" t="n"/>
    </row>
    <row r="215" ht="14.4" customHeight="1" s="152">
      <c r="A215" s="167">
        <f>B215&amp;E215</f>
        <v/>
      </c>
      <c r="B215" s="168">
        <f>2025Schedule!B215</f>
        <v/>
      </c>
      <c r="C215" s="168">
        <f>2025Schedule!C215</f>
        <v/>
      </c>
      <c r="D215" s="168">
        <f>2025Schedule!D215</f>
        <v/>
      </c>
      <c r="E215" s="168">
        <f>2025Schedule!E215</f>
        <v/>
      </c>
      <c r="F215" s="168">
        <f>2025Schedule!F215</f>
        <v/>
      </c>
      <c r="G215" s="168">
        <f>2025Schedule!G215</f>
        <v/>
      </c>
      <c r="H215" s="168">
        <f>2025Schedule!H215</f>
        <v/>
      </c>
      <c r="I215" s="168">
        <f>2025Schedule!I215</f>
        <v/>
      </c>
      <c r="J215" s="168">
        <f>2025Schedule!J215</f>
        <v/>
      </c>
      <c r="K215" s="156">
        <f>IF(AND(F215=0,I215=0),"",IF(F215&gt;I215,B215&amp;E215,IF(F215&lt;I215,B215&amp;H215,"Tie")))</f>
        <v/>
      </c>
      <c r="L215" s="156">
        <f>IFERROR(IF(AND(B215&lt;$L$1,F215&gt;I215),"Win",IF(AND(B215&lt;$L$1,F215&lt;I215),"Loss","")),"")</f>
        <v/>
      </c>
      <c r="M215" s="156">
        <f>IF(B215&lt;_CurWeek,"In","")</f>
        <v/>
      </c>
      <c r="N215" s="156">
        <f>IF(M215="In",E215&amp;G215,"")</f>
        <v/>
      </c>
      <c r="O215" s="156">
        <f>IF(L215="Win",1,0)</f>
        <v/>
      </c>
      <c r="S215" s="178" t="n"/>
      <c r="T215" s="173" t="n"/>
      <c r="Y215" s="172" t="n"/>
    </row>
    <row r="216" ht="14.4" customHeight="1" s="152">
      <c r="A216" s="167">
        <f>B216&amp;E216</f>
        <v/>
      </c>
      <c r="B216" s="168">
        <f>2025Schedule!B216</f>
        <v/>
      </c>
      <c r="C216" s="168">
        <f>2025Schedule!C216</f>
        <v/>
      </c>
      <c r="D216" s="168">
        <f>2025Schedule!D216</f>
        <v/>
      </c>
      <c r="E216" s="168">
        <f>2025Schedule!E216</f>
        <v/>
      </c>
      <c r="F216" s="168">
        <f>2025Schedule!F216</f>
        <v/>
      </c>
      <c r="G216" s="168">
        <f>2025Schedule!G216</f>
        <v/>
      </c>
      <c r="H216" s="168">
        <f>2025Schedule!H216</f>
        <v/>
      </c>
      <c r="I216" s="168">
        <f>2025Schedule!I216</f>
        <v/>
      </c>
      <c r="J216" s="168">
        <f>2025Schedule!J216</f>
        <v/>
      </c>
      <c r="K216" s="156">
        <f>IF(AND(F216=0,I216=0),"",IF(F216&gt;I216,B216&amp;E216,IF(F216&lt;I216,B216&amp;H216,"Tie")))</f>
        <v/>
      </c>
      <c r="L216" s="156">
        <f>IFERROR(IF(AND(B216&lt;$L$1,F216&gt;I216),"Win",IF(AND(B216&lt;$L$1,F216&lt;I216),"Loss","")),"")</f>
        <v/>
      </c>
      <c r="M216" s="156">
        <f>IF(B216&lt;_CurWeek,"In","")</f>
        <v/>
      </c>
      <c r="N216" s="156">
        <f>IF(M216="In",E216&amp;G216,"")</f>
        <v/>
      </c>
      <c r="O216" s="156">
        <f>IF(L216="Win",1,0)</f>
        <v/>
      </c>
      <c r="S216" s="178" t="n"/>
      <c r="T216" s="173" t="n"/>
      <c r="Y216" s="172" t="n"/>
    </row>
    <row r="217" ht="14.4" customHeight="1" s="152">
      <c r="A217" s="167">
        <f>B217&amp;E217</f>
        <v/>
      </c>
      <c r="B217" s="168">
        <f>2025Schedule!B217</f>
        <v/>
      </c>
      <c r="C217" s="168">
        <f>2025Schedule!C217</f>
        <v/>
      </c>
      <c r="D217" s="168">
        <f>2025Schedule!D217</f>
        <v/>
      </c>
      <c r="E217" s="168">
        <f>2025Schedule!E217</f>
        <v/>
      </c>
      <c r="F217" s="168">
        <f>2025Schedule!F217</f>
        <v/>
      </c>
      <c r="G217" s="168">
        <f>2025Schedule!G217</f>
        <v/>
      </c>
      <c r="H217" s="168">
        <f>2025Schedule!H217</f>
        <v/>
      </c>
      <c r="I217" s="168">
        <f>2025Schedule!I217</f>
        <v/>
      </c>
      <c r="J217" s="168">
        <f>2025Schedule!J217</f>
        <v/>
      </c>
      <c r="K217" s="156">
        <f>IF(AND(F217=0,I217=0),"",IF(F217&gt;I217,B217&amp;E217,IF(F217&lt;I217,B217&amp;H217,"Tie")))</f>
        <v/>
      </c>
      <c r="L217" s="156">
        <f>IFERROR(IF(AND(B217&lt;$L$1,F217&gt;I217),"Win",IF(AND(B217&lt;$L$1,F217&lt;I217),"Loss","")),"")</f>
        <v/>
      </c>
      <c r="M217" s="156">
        <f>IF(B217&lt;_CurWeek,"In","")</f>
        <v/>
      </c>
      <c r="N217" s="156">
        <f>IF(M217="In",E217&amp;G217,"")</f>
        <v/>
      </c>
      <c r="O217" s="156">
        <f>IF(L217="Win",1,0)</f>
        <v/>
      </c>
      <c r="S217" s="178" t="n"/>
      <c r="T217" s="173" t="n"/>
      <c r="Y217" s="172" t="n"/>
    </row>
    <row r="218" ht="14.4" customHeight="1" s="152">
      <c r="A218" s="167">
        <f>B218&amp;E218</f>
        <v/>
      </c>
      <c r="B218" s="168">
        <f>2025Schedule!B218</f>
        <v/>
      </c>
      <c r="C218" s="168">
        <f>2025Schedule!C218</f>
        <v/>
      </c>
      <c r="D218" s="168">
        <f>2025Schedule!D218</f>
        <v/>
      </c>
      <c r="E218" s="168">
        <f>2025Schedule!E218</f>
        <v/>
      </c>
      <c r="F218" s="168">
        <f>2025Schedule!F218</f>
        <v/>
      </c>
      <c r="G218" s="168">
        <f>2025Schedule!G218</f>
        <v/>
      </c>
      <c r="H218" s="168">
        <f>2025Schedule!H218</f>
        <v/>
      </c>
      <c r="I218" s="168">
        <f>2025Schedule!I218</f>
        <v/>
      </c>
      <c r="J218" s="168">
        <f>2025Schedule!J218</f>
        <v/>
      </c>
      <c r="K218" s="156">
        <f>IF(AND(F218=0,I218=0),"",IF(F218&gt;I218,B218&amp;E218,IF(F218&lt;I218,B218&amp;H218,"Tie")))</f>
        <v/>
      </c>
      <c r="L218" s="156">
        <f>IFERROR(IF(AND(B218&lt;$L$1,F218&gt;I218),"Win",IF(AND(B218&lt;$L$1,F218&lt;I218),"Loss","")),"")</f>
        <v/>
      </c>
      <c r="M218" s="156">
        <f>IF(B218&lt;_CurWeek,"In","")</f>
        <v/>
      </c>
      <c r="N218" s="156">
        <f>IF(M218="In",E218&amp;G218,"")</f>
        <v/>
      </c>
      <c r="O218" s="156">
        <f>IF(L218="Win",1,0)</f>
        <v/>
      </c>
      <c r="S218" s="178" t="n"/>
      <c r="T218" s="173" t="n"/>
      <c r="Y218" s="172" t="n"/>
    </row>
    <row r="219" ht="14.4" customHeight="1" s="152">
      <c r="A219" s="167">
        <f>B219&amp;E219</f>
        <v/>
      </c>
      <c r="B219" s="168">
        <f>2025Schedule!B219</f>
        <v/>
      </c>
      <c r="C219" s="168">
        <f>2025Schedule!C219</f>
        <v/>
      </c>
      <c r="D219" s="168">
        <f>2025Schedule!D219</f>
        <v/>
      </c>
      <c r="E219" s="168">
        <f>2025Schedule!E219</f>
        <v/>
      </c>
      <c r="F219" s="168">
        <f>2025Schedule!F219</f>
        <v/>
      </c>
      <c r="G219" s="168">
        <f>2025Schedule!G219</f>
        <v/>
      </c>
      <c r="H219" s="168">
        <f>2025Schedule!H219</f>
        <v/>
      </c>
      <c r="I219" s="168">
        <f>2025Schedule!I219</f>
        <v/>
      </c>
      <c r="J219" s="168">
        <f>2025Schedule!J219</f>
        <v/>
      </c>
      <c r="K219" s="156">
        <f>IF(AND(F219=0,I219=0),"",IF(F219&gt;I219,B219&amp;E219,IF(F219&lt;I219,B219&amp;H219,"Tie")))</f>
        <v/>
      </c>
      <c r="L219" s="156">
        <f>IFERROR(IF(AND(B219&lt;$L$1,F219&gt;I219),"Win",IF(AND(B219&lt;$L$1,F219&lt;I219),"Loss","")),"")</f>
        <v/>
      </c>
      <c r="M219" s="156">
        <f>IF(B219&lt;_CurWeek,"In","")</f>
        <v/>
      </c>
      <c r="N219" s="156">
        <f>IF(M219="In",E219&amp;G219,"")</f>
        <v/>
      </c>
      <c r="O219" s="156">
        <f>IF(L219="Win",1,0)</f>
        <v/>
      </c>
      <c r="S219" s="178" t="n"/>
      <c r="T219" s="173" t="n"/>
      <c r="Y219" s="172" t="n"/>
    </row>
    <row r="220" ht="14.4" customHeight="1" s="152">
      <c r="A220" s="167">
        <f>B220&amp;E220</f>
        <v/>
      </c>
      <c r="B220" s="168">
        <f>2025Schedule!B220</f>
        <v/>
      </c>
      <c r="C220" s="168">
        <f>2025Schedule!C220</f>
        <v/>
      </c>
      <c r="D220" s="168">
        <f>2025Schedule!D220</f>
        <v/>
      </c>
      <c r="E220" s="168">
        <f>2025Schedule!E220</f>
        <v/>
      </c>
      <c r="F220" s="168">
        <f>2025Schedule!F220</f>
        <v/>
      </c>
      <c r="G220" s="168">
        <f>2025Schedule!G220</f>
        <v/>
      </c>
      <c r="H220" s="168">
        <f>2025Schedule!H220</f>
        <v/>
      </c>
      <c r="I220" s="168">
        <f>2025Schedule!I220</f>
        <v/>
      </c>
      <c r="J220" s="168">
        <f>2025Schedule!J220</f>
        <v/>
      </c>
      <c r="K220" s="156">
        <f>IF(AND(F220=0,I220=0),"",IF(F220&gt;I220,B220&amp;E220,IF(F220&lt;I220,B220&amp;H220,"Tie")))</f>
        <v/>
      </c>
      <c r="L220" s="156">
        <f>IFERROR(IF(AND(B220&lt;$L$1,F220&gt;I220),"Win",IF(AND(B220&lt;$L$1,F220&lt;I220),"Loss","")),"")</f>
        <v/>
      </c>
      <c r="M220" s="156">
        <f>IF(B220&lt;_CurWeek,"In","")</f>
        <v/>
      </c>
      <c r="N220" s="156">
        <f>IF(M220="In",E220&amp;G220,"")</f>
        <v/>
      </c>
      <c r="O220" s="156">
        <f>IF(L220="Win",1,0)</f>
        <v/>
      </c>
      <c r="S220" s="178" t="n"/>
      <c r="T220" s="173" t="n"/>
      <c r="Y220" s="172" t="n"/>
    </row>
    <row r="221" ht="14.4" customHeight="1" s="152">
      <c r="A221" s="167">
        <f>B221&amp;E221</f>
        <v/>
      </c>
      <c r="B221" s="168">
        <f>2025Schedule!B221</f>
        <v/>
      </c>
      <c r="C221" s="168">
        <f>2025Schedule!C221</f>
        <v/>
      </c>
      <c r="D221" s="168">
        <f>2025Schedule!D221</f>
        <v/>
      </c>
      <c r="E221" s="168">
        <f>2025Schedule!E221</f>
        <v/>
      </c>
      <c r="F221" s="168">
        <f>2025Schedule!F221</f>
        <v/>
      </c>
      <c r="G221" s="168">
        <f>2025Schedule!G221</f>
        <v/>
      </c>
      <c r="H221" s="168">
        <f>2025Schedule!H221</f>
        <v/>
      </c>
      <c r="I221" s="168">
        <f>2025Schedule!I221</f>
        <v/>
      </c>
      <c r="J221" s="168">
        <f>2025Schedule!J221</f>
        <v/>
      </c>
      <c r="K221" s="156">
        <f>IF(AND(F221=0,I221=0),"",IF(F221&gt;I221,B221&amp;E221,IF(F221&lt;I221,B221&amp;H221,"Tie")))</f>
        <v/>
      </c>
      <c r="L221" s="156">
        <f>IFERROR(IF(AND(B221&lt;$L$1,F221&gt;I221),"Win",IF(AND(B221&lt;$L$1,F221&lt;I221),"Loss","")),"")</f>
        <v/>
      </c>
      <c r="M221" s="156">
        <f>IF(B221&lt;_CurWeek,"In","")</f>
        <v/>
      </c>
      <c r="N221" s="156">
        <f>IF(M221="In",E221&amp;G221,"")</f>
        <v/>
      </c>
      <c r="O221" s="156">
        <f>IF(L221="Win",1,0)</f>
        <v/>
      </c>
      <c r="S221" s="178" t="n"/>
      <c r="T221" s="173" t="n"/>
      <c r="Y221" s="172" t="n"/>
    </row>
    <row r="222" ht="14.4" customHeight="1" s="152">
      <c r="A222" s="167">
        <f>B222&amp;E222</f>
        <v/>
      </c>
      <c r="B222" s="168">
        <f>2025Schedule!B222</f>
        <v/>
      </c>
      <c r="C222" s="168">
        <f>2025Schedule!C222</f>
        <v/>
      </c>
      <c r="D222" s="168">
        <f>2025Schedule!D222</f>
        <v/>
      </c>
      <c r="E222" s="168">
        <f>2025Schedule!E222</f>
        <v/>
      </c>
      <c r="F222" s="168">
        <f>2025Schedule!F222</f>
        <v/>
      </c>
      <c r="G222" s="168">
        <f>2025Schedule!G222</f>
        <v/>
      </c>
      <c r="H222" s="168">
        <f>2025Schedule!H222</f>
        <v/>
      </c>
      <c r="I222" s="168">
        <f>2025Schedule!I222</f>
        <v/>
      </c>
      <c r="J222" s="168">
        <f>2025Schedule!J222</f>
        <v/>
      </c>
      <c r="K222" s="156">
        <f>IF(AND(F222=0,I222=0),"",IF(F222&gt;I222,B222&amp;E222,IF(F222&lt;I222,B222&amp;H222,"Tie")))</f>
        <v/>
      </c>
      <c r="L222" s="156">
        <f>IFERROR(IF(AND(B222&lt;$L$1,F222&gt;I222),"Win",IF(AND(B222&lt;$L$1,F222&lt;I222),"Loss","")),"")</f>
        <v/>
      </c>
      <c r="M222" s="156">
        <f>IF(B222&lt;_CurWeek,"In","")</f>
        <v/>
      </c>
      <c r="N222" s="156">
        <f>IF(M222="In",E222&amp;G222,"")</f>
        <v/>
      </c>
      <c r="O222" s="156">
        <f>IF(L222="Win",1,0)</f>
        <v/>
      </c>
      <c r="S222" s="178" t="n"/>
      <c r="T222" s="173" t="n"/>
      <c r="Y222" s="172" t="n"/>
    </row>
    <row r="223" ht="14.4" customHeight="1" s="152">
      <c r="A223" s="167">
        <f>B223&amp;E223</f>
        <v/>
      </c>
      <c r="B223" s="168">
        <f>2025Schedule!B223</f>
        <v/>
      </c>
      <c r="C223" s="168">
        <f>2025Schedule!C223</f>
        <v/>
      </c>
      <c r="D223" s="168">
        <f>2025Schedule!D223</f>
        <v/>
      </c>
      <c r="E223" s="168">
        <f>2025Schedule!E223</f>
        <v/>
      </c>
      <c r="F223" s="168">
        <f>2025Schedule!F223</f>
        <v/>
      </c>
      <c r="G223" s="168">
        <f>2025Schedule!G223</f>
        <v/>
      </c>
      <c r="H223" s="168">
        <f>2025Schedule!H223</f>
        <v/>
      </c>
      <c r="I223" s="168">
        <f>2025Schedule!I223</f>
        <v/>
      </c>
      <c r="J223" s="168">
        <f>2025Schedule!J223</f>
        <v/>
      </c>
      <c r="K223" s="156">
        <f>IF(AND(F223=0,I223=0),"",IF(F223&gt;I223,B223&amp;E223,IF(F223&lt;I223,B223&amp;H223,"Tie")))</f>
        <v/>
      </c>
      <c r="L223" s="156">
        <f>IFERROR(IF(AND(B223&lt;$L$1,F223&gt;I223),"Win",IF(AND(B223&lt;$L$1,F223&lt;I223),"Loss","")),"")</f>
        <v/>
      </c>
      <c r="M223" s="156">
        <f>IF(B223&lt;_CurWeek,"In","")</f>
        <v/>
      </c>
      <c r="N223" s="156">
        <f>IF(M223="In",E223&amp;G223,"")</f>
        <v/>
      </c>
      <c r="O223" s="156">
        <f>IF(L223="Win",1,0)</f>
        <v/>
      </c>
      <c r="S223" s="178" t="n"/>
      <c r="T223" s="173" t="n"/>
      <c r="Y223" s="172" t="n"/>
    </row>
    <row r="224" ht="14.4" customHeight="1" s="152">
      <c r="A224" s="167">
        <f>B224&amp;E224</f>
        <v/>
      </c>
      <c r="B224" s="168">
        <f>2025Schedule!B224</f>
        <v/>
      </c>
      <c r="C224" s="168">
        <f>2025Schedule!C224</f>
        <v/>
      </c>
      <c r="D224" s="168">
        <f>2025Schedule!D224</f>
        <v/>
      </c>
      <c r="E224" s="168">
        <f>2025Schedule!E224</f>
        <v/>
      </c>
      <c r="F224" s="168">
        <f>2025Schedule!F224</f>
        <v/>
      </c>
      <c r="G224" s="168">
        <f>2025Schedule!G224</f>
        <v/>
      </c>
      <c r="H224" s="168">
        <f>2025Schedule!H224</f>
        <v/>
      </c>
      <c r="I224" s="168">
        <f>2025Schedule!I224</f>
        <v/>
      </c>
      <c r="J224" s="168">
        <f>2025Schedule!J224</f>
        <v/>
      </c>
      <c r="K224" s="156">
        <f>IF(AND(F224=0,I224=0),"",IF(F224&gt;I224,B224&amp;E224,IF(F224&lt;I224,B224&amp;H224,"Tie")))</f>
        <v/>
      </c>
      <c r="L224" s="156">
        <f>IFERROR(IF(AND(B224&lt;$L$1,F224&gt;I224),"Win",IF(AND(B224&lt;$L$1,F224&lt;I224),"Loss","")),"")</f>
        <v/>
      </c>
      <c r="M224" s="156">
        <f>IF(B224&lt;_CurWeek,"In","")</f>
        <v/>
      </c>
      <c r="N224" s="156">
        <f>IF(M224="In",E224&amp;G224,"")</f>
        <v/>
      </c>
      <c r="O224" s="156">
        <f>IF(L224="Win",1,0)</f>
        <v/>
      </c>
      <c r="S224" s="178" t="n"/>
      <c r="Y224" s="172" t="n"/>
    </row>
    <row r="225" ht="14.4" customHeight="1" s="152">
      <c r="A225" s="167">
        <f>B225&amp;E225</f>
        <v/>
      </c>
      <c r="B225" s="168">
        <f>2025Schedule!B225</f>
        <v/>
      </c>
      <c r="C225" s="168">
        <f>2025Schedule!C225</f>
        <v/>
      </c>
      <c r="D225" s="168">
        <f>2025Schedule!D225</f>
        <v/>
      </c>
      <c r="E225" s="168">
        <f>2025Schedule!E225</f>
        <v/>
      </c>
      <c r="F225" s="168">
        <f>2025Schedule!F225</f>
        <v/>
      </c>
      <c r="G225" s="168">
        <f>2025Schedule!G225</f>
        <v/>
      </c>
      <c r="H225" s="168">
        <f>2025Schedule!H225</f>
        <v/>
      </c>
      <c r="I225" s="168">
        <f>2025Schedule!I225</f>
        <v/>
      </c>
      <c r="J225" s="168">
        <f>2025Schedule!J225</f>
        <v/>
      </c>
      <c r="K225" s="156">
        <f>IF(AND(F225=0,I225=0),"",IF(F225&gt;I225,B225&amp;E225,IF(F225&lt;I225,B225&amp;H225,"Tie")))</f>
        <v/>
      </c>
      <c r="L225" s="156">
        <f>IFERROR(IF(AND(B225&lt;$L$1,F225&gt;I225),"Win",IF(AND(B225&lt;$L$1,F225&lt;I225),"Loss","")),"")</f>
        <v/>
      </c>
      <c r="M225" s="156">
        <f>IF(B225&lt;_CurWeek,"In","")</f>
        <v/>
      </c>
      <c r="N225" s="156">
        <f>IF(M225="In",E225&amp;G225,"")</f>
        <v/>
      </c>
      <c r="O225" s="156">
        <f>IF(L225="Win",1,0)</f>
        <v/>
      </c>
      <c r="S225" s="178" t="n"/>
      <c r="Y225" s="172" t="n"/>
    </row>
    <row r="226" ht="14.4" customHeight="1" s="152">
      <c r="A226" s="167">
        <f>B226&amp;E226</f>
        <v/>
      </c>
      <c r="B226" s="168">
        <f>2025Schedule!B226</f>
        <v/>
      </c>
      <c r="C226" s="168">
        <f>2025Schedule!C226</f>
        <v/>
      </c>
      <c r="D226" s="168">
        <f>2025Schedule!D226</f>
        <v/>
      </c>
      <c r="E226" s="168">
        <f>2025Schedule!E226</f>
        <v/>
      </c>
      <c r="F226" s="168">
        <f>2025Schedule!F226</f>
        <v/>
      </c>
      <c r="G226" s="168">
        <f>2025Schedule!G226</f>
        <v/>
      </c>
      <c r="H226" s="168">
        <f>2025Schedule!H226</f>
        <v/>
      </c>
      <c r="I226" s="168">
        <f>2025Schedule!I226</f>
        <v/>
      </c>
      <c r="J226" s="168">
        <f>2025Schedule!J226</f>
        <v/>
      </c>
      <c r="K226" s="156">
        <f>IF(AND(F226=0,I226=0),"",IF(F226&gt;I226,B226&amp;E226,IF(F226&lt;I226,B226&amp;H226,"Tie")))</f>
        <v/>
      </c>
      <c r="L226" s="156">
        <f>IFERROR(IF(AND(B226&lt;$L$1,F226&gt;I226),"Win",IF(AND(B226&lt;$L$1,F226&lt;I226),"Loss","")),"")</f>
        <v/>
      </c>
      <c r="M226" s="156">
        <f>IF(B226&lt;_CurWeek,"In","")</f>
        <v/>
      </c>
      <c r="N226" s="156">
        <f>IF(M226="In",E226&amp;G226,"")</f>
        <v/>
      </c>
      <c r="O226" s="156">
        <f>IF(L226="Win",1,0)</f>
        <v/>
      </c>
      <c r="S226" s="178" t="n"/>
      <c r="Y226" s="172" t="n"/>
    </row>
    <row r="227" ht="14.4" customHeight="1" s="152">
      <c r="A227" s="167">
        <f>B227&amp;E227</f>
        <v/>
      </c>
      <c r="B227" s="168">
        <f>2025Schedule!B227</f>
        <v/>
      </c>
      <c r="C227" s="168">
        <f>2025Schedule!C227</f>
        <v/>
      </c>
      <c r="D227" s="168">
        <f>2025Schedule!D227</f>
        <v/>
      </c>
      <c r="E227" s="168">
        <f>2025Schedule!E227</f>
        <v/>
      </c>
      <c r="F227" s="168">
        <f>2025Schedule!F227</f>
        <v/>
      </c>
      <c r="G227" s="168">
        <f>2025Schedule!G227</f>
        <v/>
      </c>
      <c r="H227" s="168">
        <f>2025Schedule!H227</f>
        <v/>
      </c>
      <c r="I227" s="168">
        <f>2025Schedule!I227</f>
        <v/>
      </c>
      <c r="J227" s="168">
        <f>2025Schedule!J227</f>
        <v/>
      </c>
      <c r="K227" s="156">
        <f>IF(AND(F227=0,I227=0),"",IF(F227&gt;I227,B227&amp;E227,IF(F227&lt;I227,B227&amp;H227,"Tie")))</f>
        <v/>
      </c>
      <c r="L227" s="156">
        <f>IFERROR(IF(AND(B227&lt;$L$1,F227&gt;I227),"Win",IF(AND(B227&lt;$L$1,F227&lt;I227),"Loss","")),"")</f>
        <v/>
      </c>
      <c r="M227" s="156">
        <f>IF(B227&lt;_CurWeek,"In","")</f>
        <v/>
      </c>
      <c r="N227" s="156">
        <f>IF(M227="In",E227&amp;G227,"")</f>
        <v/>
      </c>
      <c r="O227" s="156">
        <f>IF(L227="Win",1,0)</f>
        <v/>
      </c>
      <c r="S227" s="178" t="n"/>
      <c r="Y227" s="172" t="n"/>
    </row>
    <row r="228" ht="14.4" customHeight="1" s="152">
      <c r="A228" s="167">
        <f>B228&amp;E228</f>
        <v/>
      </c>
      <c r="B228" s="168">
        <f>2025Schedule!B228</f>
        <v/>
      </c>
      <c r="C228" s="168">
        <f>2025Schedule!C228</f>
        <v/>
      </c>
      <c r="D228" s="168">
        <f>2025Schedule!D228</f>
        <v/>
      </c>
      <c r="E228" s="168">
        <f>2025Schedule!E228</f>
        <v/>
      </c>
      <c r="F228" s="168">
        <f>2025Schedule!F228</f>
        <v/>
      </c>
      <c r="G228" s="168">
        <f>2025Schedule!G228</f>
        <v/>
      </c>
      <c r="H228" s="168">
        <f>2025Schedule!H228</f>
        <v/>
      </c>
      <c r="I228" s="168">
        <f>2025Schedule!I228</f>
        <v/>
      </c>
      <c r="J228" s="168">
        <f>2025Schedule!J228</f>
        <v/>
      </c>
      <c r="K228" s="156">
        <f>IF(AND(F228=0,I228=0),"",IF(F228&gt;I228,B228&amp;E228,IF(F228&lt;I228,B228&amp;H228,"Tie")))</f>
        <v/>
      </c>
      <c r="L228" s="156">
        <f>IFERROR(IF(AND(B228&lt;$L$1,F228&gt;I228),"Win",IF(AND(B228&lt;$L$1,F228&lt;I228),"Loss","")),"")</f>
        <v/>
      </c>
      <c r="M228" s="156">
        <f>IF(B228&lt;_CurWeek,"In","")</f>
        <v/>
      </c>
      <c r="N228" s="156">
        <f>IF(M228="In",E228&amp;G228,"")</f>
        <v/>
      </c>
      <c r="O228" s="156">
        <f>IF(L228="Win",1,0)</f>
        <v/>
      </c>
      <c r="S228" s="178" t="n"/>
      <c r="Y228" s="172" t="n"/>
    </row>
    <row r="229" ht="14.4" customHeight="1" s="152">
      <c r="A229" s="167">
        <f>B229&amp;E229</f>
        <v/>
      </c>
      <c r="B229" s="168">
        <f>2025Schedule!B229</f>
        <v/>
      </c>
      <c r="C229" s="168">
        <f>2025Schedule!C229</f>
        <v/>
      </c>
      <c r="D229" s="168">
        <f>2025Schedule!D229</f>
        <v/>
      </c>
      <c r="E229" s="168">
        <f>2025Schedule!E229</f>
        <v/>
      </c>
      <c r="F229" s="168">
        <f>2025Schedule!F229</f>
        <v/>
      </c>
      <c r="G229" s="168">
        <f>2025Schedule!G229</f>
        <v/>
      </c>
      <c r="H229" s="168">
        <f>2025Schedule!H229</f>
        <v/>
      </c>
      <c r="I229" s="168">
        <f>2025Schedule!I229</f>
        <v/>
      </c>
      <c r="J229" s="168">
        <f>2025Schedule!J229</f>
        <v/>
      </c>
      <c r="K229" s="156">
        <f>IF(AND(F229=0,I229=0),"",IF(F229&gt;I229,B229&amp;E229,IF(F229&lt;I229,B229&amp;H229,"Tie")))</f>
        <v/>
      </c>
      <c r="L229" s="156">
        <f>IFERROR(IF(AND(B229&lt;$L$1,F229&gt;I229),"Win",IF(AND(B229&lt;$L$1,F229&lt;I229),"Loss","")),"")</f>
        <v/>
      </c>
      <c r="M229" s="156">
        <f>IF(B229&lt;_CurWeek,"In","")</f>
        <v/>
      </c>
      <c r="N229" s="156">
        <f>IF(M229="In",E229&amp;G229,"")</f>
        <v/>
      </c>
      <c r="O229" s="156">
        <f>IF(L229="Win",1,0)</f>
        <v/>
      </c>
      <c r="S229" s="178" t="n"/>
      <c r="Y229" s="172" t="n"/>
    </row>
    <row r="230" ht="14.4" customHeight="1" s="152">
      <c r="A230" s="167">
        <f>B230&amp;E230</f>
        <v/>
      </c>
      <c r="B230" s="168">
        <f>2025Schedule!B230</f>
        <v/>
      </c>
      <c r="C230" s="168">
        <f>2025Schedule!C230</f>
        <v/>
      </c>
      <c r="D230" s="168">
        <f>2025Schedule!D230</f>
        <v/>
      </c>
      <c r="E230" s="168">
        <f>2025Schedule!E230</f>
        <v/>
      </c>
      <c r="F230" s="168">
        <f>2025Schedule!F230</f>
        <v/>
      </c>
      <c r="G230" s="168">
        <f>2025Schedule!G230</f>
        <v/>
      </c>
      <c r="H230" s="168">
        <f>2025Schedule!H230</f>
        <v/>
      </c>
      <c r="I230" s="168">
        <f>2025Schedule!I230</f>
        <v/>
      </c>
      <c r="J230" s="168">
        <f>2025Schedule!J230</f>
        <v/>
      </c>
      <c r="K230" s="156">
        <f>IF(AND(F230=0,I230=0),"",IF(F230&gt;I230,B230&amp;E230,IF(F230&lt;I230,B230&amp;H230,"Tie")))</f>
        <v/>
      </c>
      <c r="L230" s="156">
        <f>IFERROR(IF(AND(B230&lt;$L$1,F230&gt;I230),"Win",IF(AND(B230&lt;$L$1,F230&lt;I230),"Loss","")),"")</f>
        <v/>
      </c>
      <c r="M230" s="156">
        <f>IF(B230&lt;_CurWeek,"In","")</f>
        <v/>
      </c>
      <c r="N230" s="156">
        <f>IF(M230="In",E230&amp;G230,"")</f>
        <v/>
      </c>
      <c r="O230" s="156">
        <f>IF(L230="Win",1,0)</f>
        <v/>
      </c>
      <c r="S230" s="178" t="n"/>
      <c r="Y230" s="172" t="n"/>
    </row>
    <row r="231" ht="14.4" customHeight="1" s="152">
      <c r="A231" s="167">
        <f>B231&amp;E231</f>
        <v/>
      </c>
      <c r="B231" s="168">
        <f>2025Schedule!B231</f>
        <v/>
      </c>
      <c r="C231" s="168">
        <f>2025Schedule!C231</f>
        <v/>
      </c>
      <c r="D231" s="168">
        <f>2025Schedule!D231</f>
        <v/>
      </c>
      <c r="E231" s="168">
        <f>2025Schedule!E231</f>
        <v/>
      </c>
      <c r="F231" s="168">
        <f>2025Schedule!F231</f>
        <v/>
      </c>
      <c r="G231" s="168">
        <f>2025Schedule!G231</f>
        <v/>
      </c>
      <c r="H231" s="168">
        <f>2025Schedule!H231</f>
        <v/>
      </c>
      <c r="I231" s="168">
        <f>2025Schedule!I231</f>
        <v/>
      </c>
      <c r="J231" s="168">
        <f>2025Schedule!J231</f>
        <v/>
      </c>
      <c r="K231" s="156">
        <f>IF(AND(F231=0,I231=0),"",IF(F231&gt;I231,B231&amp;E231,IF(F231&lt;I231,B231&amp;H231,"Tie")))</f>
        <v/>
      </c>
      <c r="L231" s="156">
        <f>IFERROR(IF(AND(B231&lt;$L$1,F231&gt;I231),"Win",IF(AND(B231&lt;$L$1,F231&lt;I231),"Loss","")),"")</f>
        <v/>
      </c>
      <c r="M231" s="156">
        <f>IF(B231&lt;_CurWeek,"In","")</f>
        <v/>
      </c>
      <c r="N231" s="156">
        <f>IF(M231="In",E231&amp;G231,"")</f>
        <v/>
      </c>
      <c r="O231" s="156">
        <f>IF(L231="Win",1,0)</f>
        <v/>
      </c>
      <c r="S231" s="178" t="n"/>
      <c r="Y231" s="172" t="n"/>
    </row>
    <row r="232" ht="14.4" customHeight="1" s="152">
      <c r="A232" s="167">
        <f>B232&amp;E232</f>
        <v/>
      </c>
      <c r="B232" s="168">
        <f>2025Schedule!B232</f>
        <v/>
      </c>
      <c r="C232" s="168">
        <f>2025Schedule!C232</f>
        <v/>
      </c>
      <c r="D232" s="168">
        <f>2025Schedule!D232</f>
        <v/>
      </c>
      <c r="E232" s="168">
        <f>2025Schedule!E232</f>
        <v/>
      </c>
      <c r="F232" s="168">
        <f>2025Schedule!F232</f>
        <v/>
      </c>
      <c r="G232" s="168">
        <f>2025Schedule!G232</f>
        <v/>
      </c>
      <c r="H232" s="168">
        <f>2025Schedule!H232</f>
        <v/>
      </c>
      <c r="I232" s="168">
        <f>2025Schedule!I232</f>
        <v/>
      </c>
      <c r="J232" s="168">
        <f>2025Schedule!J232</f>
        <v/>
      </c>
      <c r="K232" s="156">
        <f>IF(AND(F232=0,I232=0),"",IF(F232&gt;I232,B232&amp;E232,IF(F232&lt;I232,B232&amp;H232,"Tie")))</f>
        <v/>
      </c>
      <c r="L232" s="156">
        <f>IFERROR(IF(AND(B232&lt;$L$1,F232&gt;I232),"Win",IF(AND(B232&lt;$L$1,F232&lt;I232),"Loss","")),"")</f>
        <v/>
      </c>
      <c r="M232" s="156">
        <f>IF(B232&lt;_CurWeek,"In","")</f>
        <v/>
      </c>
      <c r="N232" s="156">
        <f>IF(M232="In",E232&amp;G232,"")</f>
        <v/>
      </c>
      <c r="O232" s="156">
        <f>IF(L232="Win",1,0)</f>
        <v/>
      </c>
      <c r="S232" s="178" t="n"/>
      <c r="Y232" s="172" t="n"/>
    </row>
    <row r="233" ht="14.4" customHeight="1" s="152">
      <c r="A233" s="167">
        <f>B233&amp;E233</f>
        <v/>
      </c>
      <c r="B233" s="168">
        <f>2025Schedule!B233</f>
        <v/>
      </c>
      <c r="C233" s="168">
        <f>2025Schedule!C233</f>
        <v/>
      </c>
      <c r="D233" s="168">
        <f>2025Schedule!D233</f>
        <v/>
      </c>
      <c r="E233" s="168">
        <f>2025Schedule!E233</f>
        <v/>
      </c>
      <c r="F233" s="168">
        <f>2025Schedule!F233</f>
        <v/>
      </c>
      <c r="G233" s="168">
        <f>2025Schedule!G233</f>
        <v/>
      </c>
      <c r="H233" s="168">
        <f>2025Schedule!H233</f>
        <v/>
      </c>
      <c r="I233" s="168">
        <f>2025Schedule!I233</f>
        <v/>
      </c>
      <c r="J233" s="168">
        <f>2025Schedule!J233</f>
        <v/>
      </c>
      <c r="K233" s="156">
        <f>IF(AND(F233=0,I233=0),"",IF(F233&gt;I233,B233&amp;E233,IF(F233&lt;I233,B233&amp;H233,"Tie")))</f>
        <v/>
      </c>
      <c r="L233" s="156">
        <f>IFERROR(IF(AND(B233&lt;$L$1,F233&gt;I233),"Win",IF(AND(B233&lt;$L$1,F233&lt;I233),"Loss","")),"")</f>
        <v/>
      </c>
      <c r="M233" s="156">
        <f>IF(B233&lt;_CurWeek,"In","")</f>
        <v/>
      </c>
      <c r="N233" s="156">
        <f>IF(M233="In",E233&amp;G233,"")</f>
        <v/>
      </c>
      <c r="O233" s="156">
        <f>IF(L233="Win",1,0)</f>
        <v/>
      </c>
      <c r="S233" s="178" t="n"/>
      <c r="Y233" s="172" t="n"/>
    </row>
    <row r="234" ht="14.4" customHeight="1" s="152">
      <c r="A234" s="167">
        <f>B234&amp;E234</f>
        <v/>
      </c>
      <c r="B234" s="168">
        <f>2025Schedule!B234</f>
        <v/>
      </c>
      <c r="C234" s="168">
        <f>2025Schedule!C234</f>
        <v/>
      </c>
      <c r="D234" s="168">
        <f>2025Schedule!D234</f>
        <v/>
      </c>
      <c r="E234" s="168">
        <f>2025Schedule!E234</f>
        <v/>
      </c>
      <c r="F234" s="168">
        <f>2025Schedule!F234</f>
        <v/>
      </c>
      <c r="G234" s="168">
        <f>2025Schedule!G234</f>
        <v/>
      </c>
      <c r="H234" s="168">
        <f>2025Schedule!H234</f>
        <v/>
      </c>
      <c r="I234" s="168">
        <f>2025Schedule!I234</f>
        <v/>
      </c>
      <c r="J234" s="168">
        <f>2025Schedule!J234</f>
        <v/>
      </c>
      <c r="K234" s="156">
        <f>IF(AND(F234=0,I234=0),"",IF(F234&gt;I234,B234&amp;E234,IF(F234&lt;I234,B234&amp;H234,"Tie")))</f>
        <v/>
      </c>
      <c r="L234" s="156">
        <f>IFERROR(IF(AND(B234&lt;$L$1,F234&gt;I234),"Win",IF(AND(B234&lt;$L$1,F234&lt;I234),"Loss","")),"")</f>
        <v/>
      </c>
      <c r="M234" s="156">
        <f>IF(B234&lt;_CurWeek,"In","")</f>
        <v/>
      </c>
      <c r="N234" s="156">
        <f>IF(M234="In",E234&amp;G234,"")</f>
        <v/>
      </c>
      <c r="O234" s="156">
        <f>IF(L234="Win",1,0)</f>
        <v/>
      </c>
      <c r="S234" s="178" t="n"/>
      <c r="Y234" s="172" t="n"/>
    </row>
    <row r="235" ht="14.4" customHeight="1" s="152">
      <c r="A235" s="167">
        <f>B235&amp;E235</f>
        <v/>
      </c>
      <c r="B235" s="168">
        <f>2025Schedule!B235</f>
        <v/>
      </c>
      <c r="C235" s="168">
        <f>2025Schedule!C235</f>
        <v/>
      </c>
      <c r="D235" s="168">
        <f>2025Schedule!D235</f>
        <v/>
      </c>
      <c r="E235" s="168">
        <f>2025Schedule!E235</f>
        <v/>
      </c>
      <c r="F235" s="168">
        <f>2025Schedule!F235</f>
        <v/>
      </c>
      <c r="G235" s="168">
        <f>2025Schedule!G235</f>
        <v/>
      </c>
      <c r="H235" s="168">
        <f>2025Schedule!H235</f>
        <v/>
      </c>
      <c r="I235" s="168">
        <f>2025Schedule!I235</f>
        <v/>
      </c>
      <c r="J235" s="168">
        <f>2025Schedule!J235</f>
        <v/>
      </c>
      <c r="K235" s="156">
        <f>IF(AND(F235=0,I235=0),"",IF(F235&gt;I235,B235&amp;E235,IF(F235&lt;I235,B235&amp;H235,"Tie")))</f>
        <v/>
      </c>
      <c r="L235" s="156">
        <f>IFERROR(IF(AND(B235&lt;$L$1,F235&gt;I235),"Win",IF(AND(B235&lt;$L$1,F235&lt;I235),"Loss","")),"")</f>
        <v/>
      </c>
      <c r="M235" s="156">
        <f>IF(B235&lt;_CurWeek,"In","")</f>
        <v/>
      </c>
      <c r="N235" s="156">
        <f>IF(M235="In",E235&amp;G235,"")</f>
        <v/>
      </c>
      <c r="O235" s="156">
        <f>IF(L235="Win",1,0)</f>
        <v/>
      </c>
      <c r="S235" s="178" t="n"/>
      <c r="Y235" s="172" t="n"/>
    </row>
    <row r="236" ht="14.4" customHeight="1" s="152">
      <c r="A236" s="167">
        <f>B236&amp;E236</f>
        <v/>
      </c>
      <c r="B236" s="168">
        <f>2025Schedule!B236</f>
        <v/>
      </c>
      <c r="C236" s="168">
        <f>2025Schedule!C236</f>
        <v/>
      </c>
      <c r="D236" s="168">
        <f>2025Schedule!D236</f>
        <v/>
      </c>
      <c r="E236" s="168">
        <f>2025Schedule!E236</f>
        <v/>
      </c>
      <c r="F236" s="168">
        <f>2025Schedule!F236</f>
        <v/>
      </c>
      <c r="G236" s="168">
        <f>2025Schedule!G236</f>
        <v/>
      </c>
      <c r="H236" s="168">
        <f>2025Schedule!H236</f>
        <v/>
      </c>
      <c r="I236" s="168">
        <f>2025Schedule!I236</f>
        <v/>
      </c>
      <c r="J236" s="168">
        <f>2025Schedule!J236</f>
        <v/>
      </c>
      <c r="K236" s="156">
        <f>IF(AND(F236=0,I236=0),"",IF(F236&gt;I236,B236&amp;E236,IF(F236&lt;I236,B236&amp;H236,"Tie")))</f>
        <v/>
      </c>
      <c r="L236" s="156">
        <f>IFERROR(IF(AND(B236&lt;$L$1,F236&gt;I236),"Win",IF(AND(B236&lt;$L$1,F236&lt;I236),"Loss","")),"")</f>
        <v/>
      </c>
      <c r="M236" s="156">
        <f>IF(B236&lt;_CurWeek,"In","")</f>
        <v/>
      </c>
      <c r="N236" s="156">
        <f>IF(M236="In",E236&amp;G236,"")</f>
        <v/>
      </c>
      <c r="O236" s="156">
        <f>IF(L236="Win",1,0)</f>
        <v/>
      </c>
      <c r="S236" s="178" t="n"/>
      <c r="Y236" s="172" t="n"/>
    </row>
    <row r="237" ht="14.4" customHeight="1" s="152">
      <c r="A237" s="167">
        <f>B237&amp;E237</f>
        <v/>
      </c>
      <c r="B237" s="168">
        <f>2025Schedule!B237</f>
        <v/>
      </c>
      <c r="C237" s="168">
        <f>2025Schedule!C237</f>
        <v/>
      </c>
      <c r="D237" s="168">
        <f>2025Schedule!D237</f>
        <v/>
      </c>
      <c r="E237" s="168">
        <f>2025Schedule!E237</f>
        <v/>
      </c>
      <c r="F237" s="168">
        <f>2025Schedule!F237</f>
        <v/>
      </c>
      <c r="G237" s="168">
        <f>2025Schedule!G237</f>
        <v/>
      </c>
      <c r="H237" s="168">
        <f>2025Schedule!H237</f>
        <v/>
      </c>
      <c r="I237" s="168">
        <f>2025Schedule!I237</f>
        <v/>
      </c>
      <c r="J237" s="168">
        <f>2025Schedule!J237</f>
        <v/>
      </c>
      <c r="K237" s="156">
        <f>IF(AND(F237=0,I237=0),"",IF(F237&gt;I237,B237&amp;E237,IF(F237&lt;I237,B237&amp;H237,"Tie")))</f>
        <v/>
      </c>
      <c r="L237" s="156">
        <f>IFERROR(IF(AND(B237&lt;$L$1,F237&gt;I237),"Win",IF(AND(B237&lt;$L$1,F237&lt;I237),"Loss","")),"")</f>
        <v/>
      </c>
      <c r="M237" s="156">
        <f>IF(B237&lt;_CurWeek,"In","")</f>
        <v/>
      </c>
      <c r="N237" s="156">
        <f>IF(M237="In",E237&amp;G237,"")</f>
        <v/>
      </c>
      <c r="O237" s="156">
        <f>IF(L237="Win",1,0)</f>
        <v/>
      </c>
      <c r="S237" s="178" t="n"/>
      <c r="Y237" s="172" t="n"/>
    </row>
    <row r="238" ht="14.4" customHeight="1" s="152">
      <c r="A238" s="167">
        <f>B238&amp;E238</f>
        <v/>
      </c>
      <c r="B238" s="168">
        <f>2025Schedule!B238</f>
        <v/>
      </c>
      <c r="C238" s="168">
        <f>2025Schedule!C238</f>
        <v/>
      </c>
      <c r="D238" s="168">
        <f>2025Schedule!D238</f>
        <v/>
      </c>
      <c r="E238" s="168">
        <f>2025Schedule!E238</f>
        <v/>
      </c>
      <c r="F238" s="168">
        <f>2025Schedule!F238</f>
        <v/>
      </c>
      <c r="G238" s="168">
        <f>2025Schedule!G238</f>
        <v/>
      </c>
      <c r="H238" s="168">
        <f>2025Schedule!H238</f>
        <v/>
      </c>
      <c r="I238" s="168">
        <f>2025Schedule!I238</f>
        <v/>
      </c>
      <c r="J238" s="168">
        <f>2025Schedule!J238</f>
        <v/>
      </c>
      <c r="K238" s="156">
        <f>IF(AND(F238=0,I238=0),"",IF(F238&gt;I238,B238&amp;E238,IF(F238&lt;I238,B238&amp;H238,"Tie")))</f>
        <v/>
      </c>
      <c r="L238" s="156">
        <f>IFERROR(IF(AND(B238&lt;$L$1,F238&gt;I238),"Win",IF(AND(B238&lt;$L$1,F238&lt;I238),"Loss","")),"")</f>
        <v/>
      </c>
      <c r="M238" s="156">
        <f>IF(B238&lt;_CurWeek,"In","")</f>
        <v/>
      </c>
      <c r="N238" s="156">
        <f>IF(M238="In",E238&amp;G238,"")</f>
        <v/>
      </c>
      <c r="O238" s="156">
        <f>IF(L238="Win",1,0)</f>
        <v/>
      </c>
      <c r="S238" s="178" t="n"/>
      <c r="Y238" s="172" t="n"/>
    </row>
    <row r="239" ht="14.4" customHeight="1" s="152">
      <c r="A239" s="167">
        <f>B239&amp;E239</f>
        <v/>
      </c>
      <c r="B239" s="168">
        <f>2025Schedule!B239</f>
        <v/>
      </c>
      <c r="C239" s="168">
        <f>2025Schedule!C239</f>
        <v/>
      </c>
      <c r="D239" s="168">
        <f>2025Schedule!D239</f>
        <v/>
      </c>
      <c r="E239" s="168">
        <f>2025Schedule!E239</f>
        <v/>
      </c>
      <c r="F239" s="168">
        <f>2025Schedule!F239</f>
        <v/>
      </c>
      <c r="G239" s="168">
        <f>2025Schedule!G239</f>
        <v/>
      </c>
      <c r="H239" s="168">
        <f>2025Schedule!H239</f>
        <v/>
      </c>
      <c r="I239" s="168">
        <f>2025Schedule!I239</f>
        <v/>
      </c>
      <c r="J239" s="168">
        <f>2025Schedule!J239</f>
        <v/>
      </c>
      <c r="K239" s="156">
        <f>IF(AND(F239=0,I239=0),"",IF(F239&gt;I239,B239&amp;E239,IF(F239&lt;I239,B239&amp;H239,"Tie")))</f>
        <v/>
      </c>
      <c r="L239" s="156">
        <f>IFERROR(IF(AND(B239&lt;$L$1,F239&gt;I239),"Win",IF(AND(B239&lt;$L$1,F239&lt;I239),"Loss","")),"")</f>
        <v/>
      </c>
      <c r="M239" s="156">
        <f>IF(B239&lt;_CurWeek,"In","")</f>
        <v/>
      </c>
      <c r="N239" s="156">
        <f>IF(M239="In",E239&amp;G239,"")</f>
        <v/>
      </c>
      <c r="O239" s="156">
        <f>IF(L239="Win",1,0)</f>
        <v/>
      </c>
      <c r="S239" s="178" t="n"/>
      <c r="Y239" s="172" t="n"/>
    </row>
    <row r="240" ht="14.4" customHeight="1" s="152">
      <c r="A240" s="167">
        <f>B240&amp;E240</f>
        <v/>
      </c>
      <c r="B240" s="168">
        <f>2025Schedule!B240</f>
        <v/>
      </c>
      <c r="C240" s="168">
        <f>2025Schedule!C240</f>
        <v/>
      </c>
      <c r="D240" s="168">
        <f>2025Schedule!D240</f>
        <v/>
      </c>
      <c r="E240" s="168">
        <f>2025Schedule!E240</f>
        <v/>
      </c>
      <c r="F240" s="168">
        <f>2025Schedule!F240</f>
        <v/>
      </c>
      <c r="G240" s="168">
        <f>2025Schedule!G240</f>
        <v/>
      </c>
      <c r="H240" s="168">
        <f>2025Schedule!H240</f>
        <v/>
      </c>
      <c r="I240" s="168">
        <f>2025Schedule!I240</f>
        <v/>
      </c>
      <c r="J240" s="168">
        <f>2025Schedule!J240</f>
        <v/>
      </c>
      <c r="K240" s="156">
        <f>IF(AND(F240=0,I240=0),"",IF(F240&gt;I240,B240&amp;E240,IF(F240&lt;I240,B240&amp;H240,"Tie")))</f>
        <v/>
      </c>
      <c r="L240" s="156">
        <f>IFERROR(IF(AND(B240&lt;$L$1,F240&gt;I240),"Win",IF(AND(B240&lt;$L$1,F240&lt;I240),"Loss","")),"")</f>
        <v/>
      </c>
      <c r="M240" s="156">
        <f>IF(B240&lt;_CurWeek,"In","")</f>
        <v/>
      </c>
      <c r="N240" s="156">
        <f>IF(M240="In",E240&amp;G240,"")</f>
        <v/>
      </c>
      <c r="O240" s="156">
        <f>IF(L240="Win",1,0)</f>
        <v/>
      </c>
      <c r="S240" s="178" t="n"/>
      <c r="Y240" s="172" t="n"/>
    </row>
    <row r="241" ht="14.4" customHeight="1" s="152">
      <c r="A241" s="167">
        <f>B241&amp;E241</f>
        <v/>
      </c>
      <c r="B241" s="168">
        <f>2025Schedule!B241</f>
        <v/>
      </c>
      <c r="C241" s="168">
        <f>2025Schedule!C241</f>
        <v/>
      </c>
      <c r="D241" s="168">
        <f>2025Schedule!D241</f>
        <v/>
      </c>
      <c r="E241" s="168">
        <f>2025Schedule!E241</f>
        <v/>
      </c>
      <c r="F241" s="168">
        <f>2025Schedule!F241</f>
        <v/>
      </c>
      <c r="G241" s="168">
        <f>2025Schedule!G241</f>
        <v/>
      </c>
      <c r="H241" s="168">
        <f>2025Schedule!H241</f>
        <v/>
      </c>
      <c r="I241" s="168">
        <f>2025Schedule!I241</f>
        <v/>
      </c>
      <c r="J241" s="168">
        <f>2025Schedule!J241</f>
        <v/>
      </c>
      <c r="K241" s="156">
        <f>IF(AND(F241=0,I241=0),"",IF(F241&gt;I241,B241&amp;E241,IF(F241&lt;I241,B241&amp;H241,"Tie")))</f>
        <v/>
      </c>
      <c r="L241" s="156">
        <f>IFERROR(IF(AND(B241&lt;$L$1,F241&gt;I241),"Win",IF(AND(B241&lt;$L$1,F241&lt;I241),"Loss","")),"")</f>
        <v/>
      </c>
      <c r="M241" s="156">
        <f>IF(B241&lt;_CurWeek,"In","")</f>
        <v/>
      </c>
      <c r="N241" s="156">
        <f>IF(M241="In",E241&amp;G241,"")</f>
        <v/>
      </c>
      <c r="O241" s="156">
        <f>IF(L241="Win",1,0)</f>
        <v/>
      </c>
      <c r="S241" s="178" t="n"/>
      <c r="Y241" s="172" t="n"/>
    </row>
    <row r="242" ht="14.4" customHeight="1" s="152">
      <c r="A242" s="167">
        <f>B242&amp;E242</f>
        <v/>
      </c>
      <c r="B242" s="168">
        <f>2025Schedule!B242</f>
        <v/>
      </c>
      <c r="C242" s="168">
        <f>2025Schedule!C242</f>
        <v/>
      </c>
      <c r="D242" s="168">
        <f>2025Schedule!D242</f>
        <v/>
      </c>
      <c r="E242" s="168">
        <f>2025Schedule!E242</f>
        <v/>
      </c>
      <c r="F242" s="168">
        <f>2025Schedule!F242</f>
        <v/>
      </c>
      <c r="G242" s="168">
        <f>2025Schedule!G242</f>
        <v/>
      </c>
      <c r="H242" s="168">
        <f>2025Schedule!H242</f>
        <v/>
      </c>
      <c r="I242" s="168">
        <f>2025Schedule!I242</f>
        <v/>
      </c>
      <c r="J242" s="168">
        <f>2025Schedule!J242</f>
        <v/>
      </c>
      <c r="K242" s="156">
        <f>IF(AND(F242=0,I242=0),"",IF(F242&gt;I242,B242&amp;E242,IF(F242&lt;I242,B242&amp;H242,"Tie")))</f>
        <v/>
      </c>
      <c r="L242" s="156">
        <f>IFERROR(IF(AND(B242&lt;$L$1,F242&gt;I242),"Win",IF(AND(B242&lt;$L$1,F242&lt;I242),"Loss","")),"")</f>
        <v/>
      </c>
      <c r="M242" s="156">
        <f>IF(B242&lt;_CurWeek,"In","")</f>
        <v/>
      </c>
      <c r="N242" s="156">
        <f>IF(M242="In",E242&amp;G242,"")</f>
        <v/>
      </c>
      <c r="O242" s="156">
        <f>IF(L242="Win",1,0)</f>
        <v/>
      </c>
      <c r="S242" s="178" t="n"/>
      <c r="Y242" s="172" t="n"/>
    </row>
    <row r="243" ht="14.4" customHeight="1" s="152">
      <c r="A243" s="167">
        <f>B243&amp;E243</f>
        <v/>
      </c>
      <c r="B243" s="168">
        <f>2025Schedule!B243</f>
        <v/>
      </c>
      <c r="C243" s="168">
        <f>2025Schedule!C243</f>
        <v/>
      </c>
      <c r="D243" s="168">
        <f>2025Schedule!D243</f>
        <v/>
      </c>
      <c r="E243" s="168">
        <f>2025Schedule!E243</f>
        <v/>
      </c>
      <c r="F243" s="168">
        <f>2025Schedule!F243</f>
        <v/>
      </c>
      <c r="G243" s="168">
        <f>2025Schedule!G243</f>
        <v/>
      </c>
      <c r="H243" s="168">
        <f>2025Schedule!H243</f>
        <v/>
      </c>
      <c r="I243" s="168">
        <f>2025Schedule!I243</f>
        <v/>
      </c>
      <c r="J243" s="168">
        <f>2025Schedule!J243</f>
        <v/>
      </c>
      <c r="K243" s="156">
        <f>IF(AND(F243=0,I243=0),"",IF(F243&gt;I243,B243&amp;E243,IF(F243&lt;I243,B243&amp;H243,"Tie")))</f>
        <v/>
      </c>
      <c r="L243" s="156">
        <f>IFERROR(IF(AND(B243&lt;$L$1,F243&gt;I243),"Win",IF(AND(B243&lt;$L$1,F243&lt;I243),"Loss","")),"")</f>
        <v/>
      </c>
      <c r="M243" s="156">
        <f>IF(B243&lt;_CurWeek,"In","")</f>
        <v/>
      </c>
      <c r="N243" s="156">
        <f>IF(M243="In",E243&amp;G243,"")</f>
        <v/>
      </c>
      <c r="O243" s="156">
        <f>IF(L243="Win",1,0)</f>
        <v/>
      </c>
      <c r="S243" s="178" t="n"/>
      <c r="Y243" s="172" t="n"/>
    </row>
    <row r="244" ht="14.4" customHeight="1" s="152">
      <c r="A244" s="167">
        <f>B244&amp;E244</f>
        <v/>
      </c>
      <c r="B244" s="168">
        <f>2025Schedule!B244</f>
        <v/>
      </c>
      <c r="C244" s="168">
        <f>2025Schedule!C244</f>
        <v/>
      </c>
      <c r="D244" s="168">
        <f>2025Schedule!D244</f>
        <v/>
      </c>
      <c r="E244" s="168">
        <f>2025Schedule!E244</f>
        <v/>
      </c>
      <c r="F244" s="168">
        <f>2025Schedule!F244</f>
        <v/>
      </c>
      <c r="G244" s="168">
        <f>2025Schedule!G244</f>
        <v/>
      </c>
      <c r="H244" s="168">
        <f>2025Schedule!H244</f>
        <v/>
      </c>
      <c r="I244" s="168">
        <f>2025Schedule!I244</f>
        <v/>
      </c>
      <c r="J244" s="168">
        <f>2025Schedule!J244</f>
        <v/>
      </c>
      <c r="K244" s="156">
        <f>IF(AND(F244=0,I244=0),"",IF(F244&gt;I244,B244&amp;E244,IF(F244&lt;I244,B244&amp;H244,"Tie")))</f>
        <v/>
      </c>
      <c r="L244" s="156">
        <f>IFERROR(IF(AND(B244&lt;$L$1,F244&gt;I244),"Win",IF(AND(B244&lt;$L$1,F244&lt;I244),"Loss","")),"")</f>
        <v/>
      </c>
      <c r="M244" s="156">
        <f>IF(B244&lt;_CurWeek,"In","")</f>
        <v/>
      </c>
      <c r="N244" s="156">
        <f>IF(M244="In",E244&amp;G244,"")</f>
        <v/>
      </c>
      <c r="O244" s="156">
        <f>IF(L244="Win",1,0)</f>
        <v/>
      </c>
      <c r="S244" s="178" t="n"/>
      <c r="Y244" s="172" t="n"/>
    </row>
    <row r="245" ht="14.4" customHeight="1" s="152">
      <c r="A245" s="167">
        <f>B245&amp;E245</f>
        <v/>
      </c>
      <c r="B245" s="168">
        <f>2025Schedule!B245</f>
        <v/>
      </c>
      <c r="C245" s="168">
        <f>2025Schedule!C245</f>
        <v/>
      </c>
      <c r="D245" s="168">
        <f>2025Schedule!D245</f>
        <v/>
      </c>
      <c r="E245" s="168">
        <f>2025Schedule!E245</f>
        <v/>
      </c>
      <c r="F245" s="168">
        <f>2025Schedule!F245</f>
        <v/>
      </c>
      <c r="G245" s="168">
        <f>2025Schedule!G245</f>
        <v/>
      </c>
      <c r="H245" s="168">
        <f>2025Schedule!H245</f>
        <v/>
      </c>
      <c r="I245" s="168">
        <f>2025Schedule!I245</f>
        <v/>
      </c>
      <c r="J245" s="168">
        <f>2025Schedule!J245</f>
        <v/>
      </c>
      <c r="K245" s="156">
        <f>IF(AND(F245=0,I245=0),"",IF(F245&gt;I245,B245&amp;E245,IF(F245&lt;I245,B245&amp;H245,"Tie")))</f>
        <v/>
      </c>
      <c r="L245" s="156">
        <f>IFERROR(IF(AND(B245&lt;$L$1,F245&gt;I245),"Win",IF(AND(B245&lt;$L$1,F245&lt;I245),"Loss","")),"")</f>
        <v/>
      </c>
      <c r="M245" s="156">
        <f>IF(B245&lt;_CurWeek,"In","")</f>
        <v/>
      </c>
      <c r="N245" s="156">
        <f>IF(M245="In",E245&amp;G245,"")</f>
        <v/>
      </c>
      <c r="O245" s="156">
        <f>IF(L245="Win",1,0)</f>
        <v/>
      </c>
      <c r="S245" s="178" t="n"/>
      <c r="Y245" s="172" t="n"/>
    </row>
    <row r="246" ht="14.4" customHeight="1" s="152">
      <c r="A246" s="167">
        <f>B246&amp;E246</f>
        <v/>
      </c>
      <c r="B246" s="168">
        <f>2025Schedule!B246</f>
        <v/>
      </c>
      <c r="C246" s="168">
        <f>2025Schedule!C246</f>
        <v/>
      </c>
      <c r="D246" s="168">
        <f>2025Schedule!D246</f>
        <v/>
      </c>
      <c r="E246" s="168">
        <f>2025Schedule!E246</f>
        <v/>
      </c>
      <c r="F246" s="168">
        <f>2025Schedule!F246</f>
        <v/>
      </c>
      <c r="G246" s="168">
        <f>2025Schedule!G246</f>
        <v/>
      </c>
      <c r="H246" s="168">
        <f>2025Schedule!H246</f>
        <v/>
      </c>
      <c r="I246" s="168">
        <f>2025Schedule!I246</f>
        <v/>
      </c>
      <c r="J246" s="168">
        <f>2025Schedule!J246</f>
        <v/>
      </c>
      <c r="K246" s="156">
        <f>IF(AND(F246=0,I246=0),"",IF(F246&gt;I246,B246&amp;E246,IF(F246&lt;I246,B246&amp;H246,"Tie")))</f>
        <v/>
      </c>
      <c r="L246" s="156">
        <f>IFERROR(IF(AND(B246&lt;$L$1,F246&gt;I246),"Win",IF(AND(B246&lt;$L$1,F246&lt;I246),"Loss","")),"")</f>
        <v/>
      </c>
      <c r="M246" s="156">
        <f>IF(B246&lt;_CurWeek,"In","")</f>
        <v/>
      </c>
      <c r="N246" s="156">
        <f>IF(M246="In",E246&amp;G246,"")</f>
        <v/>
      </c>
      <c r="O246" s="156">
        <f>IF(L246="Win",1,0)</f>
        <v/>
      </c>
      <c r="S246" s="178" t="n"/>
      <c r="Y246" s="172" t="n"/>
    </row>
    <row r="247" ht="14.4" customHeight="1" s="152">
      <c r="A247" s="167">
        <f>B247&amp;E247</f>
        <v/>
      </c>
      <c r="B247" s="168">
        <f>2025Schedule!B247</f>
        <v/>
      </c>
      <c r="C247" s="168">
        <f>2025Schedule!C247</f>
        <v/>
      </c>
      <c r="D247" s="168">
        <f>2025Schedule!D247</f>
        <v/>
      </c>
      <c r="E247" s="168">
        <f>2025Schedule!E247</f>
        <v/>
      </c>
      <c r="F247" s="168">
        <f>2025Schedule!F247</f>
        <v/>
      </c>
      <c r="G247" s="168">
        <f>2025Schedule!G247</f>
        <v/>
      </c>
      <c r="H247" s="168">
        <f>2025Schedule!H247</f>
        <v/>
      </c>
      <c r="I247" s="168">
        <f>2025Schedule!I247</f>
        <v/>
      </c>
      <c r="J247" s="168">
        <f>2025Schedule!J247</f>
        <v/>
      </c>
      <c r="K247" s="156">
        <f>IF(AND(F247=0,I247=0),"",IF(F247&gt;I247,B247&amp;E247,IF(F247&lt;I247,B247&amp;H247,"Tie")))</f>
        <v/>
      </c>
      <c r="L247" s="156">
        <f>IFERROR(IF(AND(B247&lt;$L$1,F247&gt;I247),"Win",IF(AND(B247&lt;$L$1,F247&lt;I247),"Loss","")),"")</f>
        <v/>
      </c>
      <c r="M247" s="156">
        <f>IF(B247&lt;_CurWeek,"In","")</f>
        <v/>
      </c>
      <c r="N247" s="156">
        <f>IF(M247="In",E247&amp;G247,"")</f>
        <v/>
      </c>
      <c r="O247" s="156">
        <f>IF(L247="Win",1,0)</f>
        <v/>
      </c>
      <c r="S247" s="178" t="n"/>
      <c r="Y247" s="172" t="n"/>
    </row>
    <row r="248" ht="14.4" customHeight="1" s="152">
      <c r="A248" s="167">
        <f>B248&amp;E248</f>
        <v/>
      </c>
      <c r="B248" s="168">
        <f>2025Schedule!B248</f>
        <v/>
      </c>
      <c r="C248" s="168">
        <f>2025Schedule!C248</f>
        <v/>
      </c>
      <c r="D248" s="168">
        <f>2025Schedule!D248</f>
        <v/>
      </c>
      <c r="E248" s="168">
        <f>2025Schedule!E248</f>
        <v/>
      </c>
      <c r="F248" s="168">
        <f>2025Schedule!F248</f>
        <v/>
      </c>
      <c r="G248" s="168">
        <f>2025Schedule!G248</f>
        <v/>
      </c>
      <c r="H248" s="168">
        <f>2025Schedule!H248</f>
        <v/>
      </c>
      <c r="I248" s="168">
        <f>2025Schedule!I248</f>
        <v/>
      </c>
      <c r="J248" s="168">
        <f>2025Schedule!J248</f>
        <v/>
      </c>
      <c r="K248" s="156">
        <f>IF(AND(F248=0,I248=0),"",IF(F248&gt;I248,B248&amp;E248,IF(F248&lt;I248,B248&amp;H248,"Tie")))</f>
        <v/>
      </c>
      <c r="L248" s="156">
        <f>IFERROR(IF(AND(B248&lt;$L$1,F248&gt;I248),"Win",IF(AND(B248&lt;$L$1,F248&lt;I248),"Loss","")),"")</f>
        <v/>
      </c>
      <c r="M248" s="156">
        <f>IF(B248&lt;_CurWeek,"In","")</f>
        <v/>
      </c>
      <c r="N248" s="156">
        <f>IF(M248="In",E248&amp;G248,"")</f>
        <v/>
      </c>
      <c r="O248" s="156">
        <f>IF(L248="Win",1,0)</f>
        <v/>
      </c>
      <c r="S248" s="178" t="n"/>
      <c r="Y248" s="172" t="n"/>
    </row>
    <row r="249" ht="14.4" customHeight="1" s="152">
      <c r="A249" s="167">
        <f>B249&amp;E249</f>
        <v/>
      </c>
      <c r="B249" s="168">
        <f>2025Schedule!B249</f>
        <v/>
      </c>
      <c r="C249" s="168">
        <f>2025Schedule!C249</f>
        <v/>
      </c>
      <c r="D249" s="168">
        <f>2025Schedule!D249</f>
        <v/>
      </c>
      <c r="E249" s="168">
        <f>2025Schedule!E249</f>
        <v/>
      </c>
      <c r="F249" s="168">
        <f>2025Schedule!F249</f>
        <v/>
      </c>
      <c r="G249" s="168">
        <f>2025Schedule!G249</f>
        <v/>
      </c>
      <c r="H249" s="168">
        <f>2025Schedule!H249</f>
        <v/>
      </c>
      <c r="I249" s="168">
        <f>2025Schedule!I249</f>
        <v/>
      </c>
      <c r="J249" s="168">
        <f>2025Schedule!J249</f>
        <v/>
      </c>
      <c r="K249" s="156">
        <f>IF(AND(F249=0,I249=0),"",IF(F249&gt;I249,B249&amp;E249,IF(F249&lt;I249,B249&amp;H249,"Tie")))</f>
        <v/>
      </c>
      <c r="L249" s="156">
        <f>IFERROR(IF(AND(B249&lt;$L$1,F249&gt;I249),"Win",IF(AND(B249&lt;$L$1,F249&lt;I249),"Loss","")),"")</f>
        <v/>
      </c>
      <c r="M249" s="156">
        <f>IF(B249&lt;_CurWeek,"In","")</f>
        <v/>
      </c>
      <c r="N249" s="156">
        <f>IF(M249="In",E249&amp;G249,"")</f>
        <v/>
      </c>
      <c r="O249" s="156">
        <f>IF(L249="Win",1,0)</f>
        <v/>
      </c>
      <c r="S249" s="178" t="n"/>
      <c r="Y249" s="172" t="n"/>
    </row>
    <row r="250" ht="14.4" customHeight="1" s="152">
      <c r="A250" s="167">
        <f>B250&amp;E250</f>
        <v/>
      </c>
      <c r="B250" s="168">
        <f>2025Schedule!B250</f>
        <v/>
      </c>
      <c r="C250" s="168">
        <f>2025Schedule!C250</f>
        <v/>
      </c>
      <c r="D250" s="168">
        <f>2025Schedule!D250</f>
        <v/>
      </c>
      <c r="E250" s="168">
        <f>2025Schedule!E250</f>
        <v/>
      </c>
      <c r="F250" s="168">
        <f>2025Schedule!F250</f>
        <v/>
      </c>
      <c r="G250" s="168">
        <f>2025Schedule!G250</f>
        <v/>
      </c>
      <c r="H250" s="168">
        <f>2025Schedule!H250</f>
        <v/>
      </c>
      <c r="I250" s="168">
        <f>2025Schedule!I250</f>
        <v/>
      </c>
      <c r="J250" s="168">
        <f>2025Schedule!J250</f>
        <v/>
      </c>
      <c r="K250" s="156">
        <f>IF(AND(F250=0,I250=0),"",IF(F250&gt;I250,B250&amp;E250,IF(F250&lt;I250,B250&amp;H250,"Tie")))</f>
        <v/>
      </c>
      <c r="L250" s="156">
        <f>IFERROR(IF(AND(B250&lt;$L$1,F250&gt;I250),"Win",IF(AND(B250&lt;$L$1,F250&lt;I250),"Loss","")),"")</f>
        <v/>
      </c>
      <c r="M250" s="156">
        <f>IF(B250&lt;_CurWeek,"In","")</f>
        <v/>
      </c>
      <c r="N250" s="156">
        <f>IF(M250="In",E250&amp;G250,"")</f>
        <v/>
      </c>
      <c r="O250" s="156">
        <f>IF(L250="Win",1,0)</f>
        <v/>
      </c>
      <c r="S250" s="178" t="n"/>
      <c r="Y250" s="172" t="n"/>
    </row>
    <row r="251" ht="14.4" customHeight="1" s="152">
      <c r="A251" s="167">
        <f>B251&amp;E251</f>
        <v/>
      </c>
      <c r="B251" s="168">
        <f>2025Schedule!B251</f>
        <v/>
      </c>
      <c r="C251" s="168">
        <f>2025Schedule!C251</f>
        <v/>
      </c>
      <c r="D251" s="168">
        <f>2025Schedule!D251</f>
        <v/>
      </c>
      <c r="E251" s="168">
        <f>2025Schedule!E251</f>
        <v/>
      </c>
      <c r="F251" s="168">
        <f>2025Schedule!F251</f>
        <v/>
      </c>
      <c r="G251" s="168">
        <f>2025Schedule!G251</f>
        <v/>
      </c>
      <c r="H251" s="168">
        <f>2025Schedule!H251</f>
        <v/>
      </c>
      <c r="I251" s="168">
        <f>2025Schedule!I251</f>
        <v/>
      </c>
      <c r="J251" s="168">
        <f>2025Schedule!J251</f>
        <v/>
      </c>
      <c r="K251" s="156">
        <f>IF(AND(F251=0,I251=0),"",IF(F251&gt;I251,B251&amp;E251,IF(F251&lt;I251,B251&amp;H251,"Tie")))</f>
        <v/>
      </c>
      <c r="L251" s="156">
        <f>IFERROR(IF(AND(B251&lt;$L$1,F251&gt;I251),"Win",IF(AND(B251&lt;$L$1,F251&lt;I251),"Loss","")),"")</f>
        <v/>
      </c>
      <c r="M251" s="156">
        <f>IF(B251&lt;_CurWeek,"In","")</f>
        <v/>
      </c>
      <c r="N251" s="156">
        <f>IF(M251="In",E251&amp;G251,"")</f>
        <v/>
      </c>
      <c r="O251" s="156">
        <f>IF(L251="Win",1,0)</f>
        <v/>
      </c>
      <c r="S251" s="178" t="n"/>
      <c r="Y251" s="172" t="n"/>
    </row>
    <row r="252" ht="14.4" customHeight="1" s="152">
      <c r="A252" s="167">
        <f>B252&amp;E252</f>
        <v/>
      </c>
      <c r="B252" s="168">
        <f>2025Schedule!B252</f>
        <v/>
      </c>
      <c r="C252" s="168">
        <f>2025Schedule!C252</f>
        <v/>
      </c>
      <c r="D252" s="168">
        <f>2025Schedule!D252</f>
        <v/>
      </c>
      <c r="E252" s="168">
        <f>2025Schedule!E252</f>
        <v/>
      </c>
      <c r="F252" s="168">
        <f>2025Schedule!F252</f>
        <v/>
      </c>
      <c r="G252" s="168">
        <f>2025Schedule!G252</f>
        <v/>
      </c>
      <c r="H252" s="168">
        <f>2025Schedule!H252</f>
        <v/>
      </c>
      <c r="I252" s="168">
        <f>2025Schedule!I252</f>
        <v/>
      </c>
      <c r="J252" s="168">
        <f>2025Schedule!J252</f>
        <v/>
      </c>
      <c r="K252" s="156">
        <f>IF(AND(F252=0,I252=0),"",IF(F252&gt;I252,B252&amp;E252,IF(F252&lt;I252,B252&amp;H252,"Tie")))</f>
        <v/>
      </c>
      <c r="L252" s="156">
        <f>IFERROR(IF(AND(B252&lt;$L$1,F252&gt;I252),"Win",IF(AND(B252&lt;$L$1,F252&lt;I252),"Loss","")),"")</f>
        <v/>
      </c>
      <c r="M252" s="156">
        <f>IF(B252&lt;_CurWeek,"In","")</f>
        <v/>
      </c>
      <c r="N252" s="156">
        <f>IF(M252="In",E252&amp;G252,"")</f>
        <v/>
      </c>
      <c r="O252" s="156">
        <f>IF(L252="Win",1,0)</f>
        <v/>
      </c>
      <c r="S252" s="178" t="n"/>
      <c r="Y252" s="172" t="n"/>
    </row>
    <row r="253" ht="14.4" customHeight="1" s="152">
      <c r="A253" s="167">
        <f>B253&amp;E253</f>
        <v/>
      </c>
      <c r="B253" s="168">
        <f>2025Schedule!B253</f>
        <v/>
      </c>
      <c r="C253" s="168">
        <f>2025Schedule!C253</f>
        <v/>
      </c>
      <c r="D253" s="168">
        <f>2025Schedule!D253</f>
        <v/>
      </c>
      <c r="E253" s="168">
        <f>2025Schedule!E253</f>
        <v/>
      </c>
      <c r="F253" s="168">
        <f>2025Schedule!F253</f>
        <v/>
      </c>
      <c r="G253" s="168">
        <f>2025Schedule!G253</f>
        <v/>
      </c>
      <c r="H253" s="168">
        <f>2025Schedule!H253</f>
        <v/>
      </c>
      <c r="I253" s="168">
        <f>2025Schedule!I253</f>
        <v/>
      </c>
      <c r="J253" s="168">
        <f>2025Schedule!J253</f>
        <v/>
      </c>
      <c r="K253" s="156">
        <f>IF(AND(F253=0,I253=0),"",IF(F253&gt;I253,B253&amp;E253,IF(F253&lt;I253,B253&amp;H253,"Tie")))</f>
        <v/>
      </c>
      <c r="L253" s="156">
        <f>IFERROR(IF(AND(B253&lt;$L$1,F253&gt;I253),"Win",IF(AND(B253&lt;$L$1,F253&lt;I253),"Loss","")),"")</f>
        <v/>
      </c>
      <c r="M253" s="156">
        <f>IF(B253&lt;_CurWeek,"In","")</f>
        <v/>
      </c>
      <c r="N253" s="156">
        <f>IF(M253="In",E253&amp;G253,"")</f>
        <v/>
      </c>
      <c r="O253" s="156">
        <f>IF(L253="Win",1,0)</f>
        <v/>
      </c>
      <c r="S253" s="178" t="n"/>
      <c r="Y253" s="172" t="n"/>
    </row>
    <row r="254" ht="14.4" customHeight="1" s="152">
      <c r="A254" s="167">
        <f>B254&amp;E254</f>
        <v/>
      </c>
      <c r="B254" s="168">
        <f>2025Schedule!B254</f>
        <v/>
      </c>
      <c r="C254" s="168">
        <f>2025Schedule!C254</f>
        <v/>
      </c>
      <c r="D254" s="168">
        <f>2025Schedule!D254</f>
        <v/>
      </c>
      <c r="E254" s="168">
        <f>2025Schedule!E254</f>
        <v/>
      </c>
      <c r="F254" s="168">
        <f>2025Schedule!F254</f>
        <v/>
      </c>
      <c r="G254" s="168">
        <f>2025Schedule!G254</f>
        <v/>
      </c>
      <c r="H254" s="168">
        <f>2025Schedule!H254</f>
        <v/>
      </c>
      <c r="I254" s="168">
        <f>2025Schedule!I254</f>
        <v/>
      </c>
      <c r="J254" s="168">
        <f>2025Schedule!J254</f>
        <v/>
      </c>
      <c r="K254" s="156">
        <f>IF(AND(F254=0,I254=0),"",IF(F254&gt;I254,B254&amp;E254,IF(F254&lt;I254,B254&amp;H254,"Tie")))</f>
        <v/>
      </c>
      <c r="L254" s="156">
        <f>IFERROR(IF(AND(B254&lt;$L$1,F254&gt;I254),"Win",IF(AND(B254&lt;$L$1,F254&lt;I254),"Loss","")),"")</f>
        <v/>
      </c>
      <c r="M254" s="156">
        <f>IF(B254&lt;_CurWeek,"In","")</f>
        <v/>
      </c>
      <c r="N254" s="156">
        <f>IF(M254="In",E254&amp;G254,"")</f>
        <v/>
      </c>
      <c r="O254" s="156">
        <f>IF(L254="Win",1,0)</f>
        <v/>
      </c>
      <c r="S254" s="178" t="n"/>
      <c r="Y254" s="172" t="n"/>
    </row>
    <row r="255" ht="14.4" customHeight="1" s="152">
      <c r="A255" s="167">
        <f>B255&amp;E255</f>
        <v/>
      </c>
      <c r="B255" s="168">
        <f>2025Schedule!B255</f>
        <v/>
      </c>
      <c r="C255" s="168">
        <f>2025Schedule!C255</f>
        <v/>
      </c>
      <c r="D255" s="168">
        <f>2025Schedule!D255</f>
        <v/>
      </c>
      <c r="E255" s="168">
        <f>2025Schedule!E255</f>
        <v/>
      </c>
      <c r="F255" s="168">
        <f>2025Schedule!F255</f>
        <v/>
      </c>
      <c r="G255" s="168">
        <f>2025Schedule!G255</f>
        <v/>
      </c>
      <c r="H255" s="168">
        <f>2025Schedule!H255</f>
        <v/>
      </c>
      <c r="I255" s="168">
        <f>2025Schedule!I255</f>
        <v/>
      </c>
      <c r="J255" s="168">
        <f>2025Schedule!J255</f>
        <v/>
      </c>
      <c r="K255" s="156">
        <f>IF(AND(F255=0,I255=0),"",IF(F255&gt;I255,B255&amp;E255,IF(F255&lt;I255,B255&amp;H255,"Tie")))</f>
        <v/>
      </c>
      <c r="L255" s="156">
        <f>IFERROR(IF(AND(B255&lt;$L$1,F255&gt;I255),"Win",IF(AND(B255&lt;$L$1,F255&lt;I255),"Loss","")),"")</f>
        <v/>
      </c>
      <c r="M255" s="156">
        <f>IF(B255&lt;_CurWeek,"In","")</f>
        <v/>
      </c>
      <c r="N255" s="156">
        <f>IF(M255="In",E255&amp;G255,"")</f>
        <v/>
      </c>
      <c r="O255" s="156">
        <f>IF(L255="Win",1,0)</f>
        <v/>
      </c>
      <c r="S255" s="178" t="n"/>
      <c r="Y255" s="172" t="n"/>
    </row>
    <row r="256" ht="14.4" customHeight="1" s="152">
      <c r="A256" s="167">
        <f>B256&amp;E256</f>
        <v/>
      </c>
      <c r="B256" s="168">
        <f>2025Schedule!B256</f>
        <v/>
      </c>
      <c r="C256" s="168">
        <f>2025Schedule!C256</f>
        <v/>
      </c>
      <c r="D256" s="168">
        <f>2025Schedule!D256</f>
        <v/>
      </c>
      <c r="E256" s="168">
        <f>2025Schedule!E256</f>
        <v/>
      </c>
      <c r="F256" s="168">
        <f>2025Schedule!F256</f>
        <v/>
      </c>
      <c r="G256" s="168">
        <f>2025Schedule!G256</f>
        <v/>
      </c>
      <c r="H256" s="168">
        <f>2025Schedule!H256</f>
        <v/>
      </c>
      <c r="I256" s="168">
        <f>2025Schedule!I256</f>
        <v/>
      </c>
      <c r="J256" s="168">
        <f>2025Schedule!J256</f>
        <v/>
      </c>
      <c r="K256" s="156">
        <f>IF(AND(F256=0,I256=0),"",IF(F256&gt;I256,B256&amp;E256,IF(F256&lt;I256,B256&amp;H256,"Tie")))</f>
        <v/>
      </c>
      <c r="L256" s="156">
        <f>IFERROR(IF(AND(B256&lt;$L$1,F256&gt;I256),"Win",IF(AND(B256&lt;$L$1,F256&lt;I256),"Loss","")),"")</f>
        <v/>
      </c>
      <c r="M256" s="156">
        <f>IF(B256&lt;_CurWeek,"In","")</f>
        <v/>
      </c>
      <c r="N256" s="156">
        <f>IF(M256="In",E256&amp;G256,"")</f>
        <v/>
      </c>
      <c r="O256" s="156">
        <f>IF(L256="Win",1,0)</f>
        <v/>
      </c>
      <c r="S256" s="178" t="n"/>
      <c r="Y256" s="172" t="n"/>
    </row>
    <row r="257" ht="14.4" customHeight="1" s="152">
      <c r="A257" s="167">
        <f>B257&amp;E257</f>
        <v/>
      </c>
      <c r="B257" s="168">
        <f>2025Schedule!B257</f>
        <v/>
      </c>
      <c r="C257" s="168">
        <f>2025Schedule!C257</f>
        <v/>
      </c>
      <c r="D257" s="168">
        <f>2025Schedule!D257</f>
        <v/>
      </c>
      <c r="E257" s="168">
        <f>2025Schedule!E257</f>
        <v/>
      </c>
      <c r="F257" s="168">
        <f>2025Schedule!F257</f>
        <v/>
      </c>
      <c r="G257" s="168">
        <f>2025Schedule!G257</f>
        <v/>
      </c>
      <c r="H257" s="168">
        <f>2025Schedule!H257</f>
        <v/>
      </c>
      <c r="I257" s="168">
        <f>2025Schedule!I257</f>
        <v/>
      </c>
      <c r="J257" s="168">
        <f>2025Schedule!J257</f>
        <v/>
      </c>
      <c r="K257" s="156">
        <f>IF(AND(F257=0,I257=0),"",IF(F257&gt;I257,B257&amp;E257,IF(F257&lt;I257,B257&amp;H257,"Tie")))</f>
        <v/>
      </c>
      <c r="L257" s="156">
        <f>IFERROR(IF(AND(B257&lt;$L$1,F257&gt;I257),"Win",IF(AND(B257&lt;$L$1,F257&lt;I257),"Loss","")),"")</f>
        <v/>
      </c>
      <c r="M257" s="156">
        <f>IF(B257&lt;_CurWeek,"In","")</f>
        <v/>
      </c>
      <c r="N257" s="156">
        <f>IF(M257="In",E257&amp;G257,"")</f>
        <v/>
      </c>
      <c r="O257" s="156">
        <f>IF(L257="Win",1,0)</f>
        <v/>
      </c>
      <c r="S257" s="178" t="n"/>
      <c r="Y257" s="172" t="n"/>
    </row>
    <row r="258" ht="14.4" customHeight="1" s="152">
      <c r="A258" s="167">
        <f>B258&amp;E258</f>
        <v/>
      </c>
      <c r="B258" s="168">
        <f>2025Schedule!B258</f>
        <v/>
      </c>
      <c r="C258" s="168">
        <f>2025Schedule!C258</f>
        <v/>
      </c>
      <c r="D258" s="168">
        <f>2025Schedule!D258</f>
        <v/>
      </c>
      <c r="E258" s="168">
        <f>2025Schedule!E258</f>
        <v/>
      </c>
      <c r="F258" s="168">
        <f>2025Schedule!F258</f>
        <v/>
      </c>
      <c r="G258" s="168">
        <f>2025Schedule!G258</f>
        <v/>
      </c>
      <c r="H258" s="168">
        <f>2025Schedule!H258</f>
        <v/>
      </c>
      <c r="I258" s="168">
        <f>2025Schedule!I258</f>
        <v/>
      </c>
      <c r="J258" s="168">
        <f>2025Schedule!J258</f>
        <v/>
      </c>
      <c r="K258" s="156">
        <f>IF(AND(F258=0,I258=0),"",IF(F258&gt;I258,B258&amp;E258,IF(F258&lt;I258,B258&amp;H258,"Tie")))</f>
        <v/>
      </c>
      <c r="L258" s="156">
        <f>IFERROR(IF(AND(B258&lt;$L$1,F258&gt;I258),"Win",IF(AND(B258&lt;$L$1,F258&lt;I258),"Loss","")),"")</f>
        <v/>
      </c>
      <c r="M258" s="156">
        <f>IF(B258&lt;_CurWeek,"In","")</f>
        <v/>
      </c>
      <c r="N258" s="156">
        <f>IF(M258="In",E258&amp;G258,"")</f>
        <v/>
      </c>
      <c r="O258" s="156">
        <f>IF(L258="Win",1,0)</f>
        <v/>
      </c>
      <c r="S258" s="178" t="n"/>
      <c r="Y258" s="172" t="n"/>
    </row>
    <row r="259" ht="14.4" customHeight="1" s="152">
      <c r="A259" s="167">
        <f>B259&amp;E259</f>
        <v/>
      </c>
      <c r="B259" s="168">
        <f>2025Schedule!B259</f>
        <v/>
      </c>
      <c r="C259" s="168">
        <f>2025Schedule!C259</f>
        <v/>
      </c>
      <c r="D259" s="168">
        <f>2025Schedule!D259</f>
        <v/>
      </c>
      <c r="E259" s="168">
        <f>2025Schedule!E259</f>
        <v/>
      </c>
      <c r="F259" s="168">
        <f>2025Schedule!F259</f>
        <v/>
      </c>
      <c r="G259" s="168">
        <f>2025Schedule!G259</f>
        <v/>
      </c>
      <c r="H259" s="168">
        <f>2025Schedule!H259</f>
        <v/>
      </c>
      <c r="I259" s="168">
        <f>2025Schedule!I259</f>
        <v/>
      </c>
      <c r="J259" s="168">
        <f>2025Schedule!J259</f>
        <v/>
      </c>
      <c r="K259" s="156">
        <f>IF(AND(F259=0,I259=0),"",IF(F259&gt;I259,B259&amp;E259,IF(F259&lt;I259,B259&amp;H259,"Tie")))</f>
        <v/>
      </c>
      <c r="L259" s="156">
        <f>IFERROR(IF(AND(B259&lt;$L$1,F259&gt;I259),"Win",IF(AND(B259&lt;$L$1,F259&lt;I259),"Loss","")),"")</f>
        <v/>
      </c>
      <c r="M259" s="156">
        <f>IF(B259&lt;_CurWeek,"In","")</f>
        <v/>
      </c>
      <c r="N259" s="156">
        <f>IF(M259="In",E259&amp;G259,"")</f>
        <v/>
      </c>
      <c r="O259" s="156">
        <f>IF(L259="Win",1,0)</f>
        <v/>
      </c>
      <c r="S259" s="178" t="n"/>
      <c r="Y259" s="172" t="n"/>
    </row>
    <row r="260" ht="14.4" customHeight="1" s="152">
      <c r="A260" s="167">
        <f>B260&amp;E260</f>
        <v/>
      </c>
      <c r="B260" s="168">
        <f>2025Schedule!B260</f>
        <v/>
      </c>
      <c r="C260" s="168">
        <f>2025Schedule!C260</f>
        <v/>
      </c>
      <c r="D260" s="168">
        <f>2025Schedule!D260</f>
        <v/>
      </c>
      <c r="E260" s="168">
        <f>2025Schedule!E260</f>
        <v/>
      </c>
      <c r="F260" s="168">
        <f>2025Schedule!F260</f>
        <v/>
      </c>
      <c r="G260" s="168">
        <f>2025Schedule!G260</f>
        <v/>
      </c>
      <c r="H260" s="168">
        <f>2025Schedule!H260</f>
        <v/>
      </c>
      <c r="I260" s="168">
        <f>2025Schedule!I260</f>
        <v/>
      </c>
      <c r="J260" s="168">
        <f>2025Schedule!J260</f>
        <v/>
      </c>
      <c r="K260" s="156">
        <f>IF(AND(F260=0,I260=0),"",IF(F260&gt;I260,B260&amp;E260,IF(F260&lt;I260,B260&amp;H260,"Tie")))</f>
        <v/>
      </c>
      <c r="L260" s="156">
        <f>IFERROR(IF(AND(B260&lt;$L$1,F260&gt;I260),"Win",IF(AND(B260&lt;$L$1,F260&lt;I260),"Loss","")),"")</f>
        <v/>
      </c>
      <c r="M260" s="156">
        <f>IF(B260&lt;_CurWeek,"In","")</f>
        <v/>
      </c>
      <c r="N260" s="156">
        <f>IF(M260="In",E260&amp;G260,"")</f>
        <v/>
      </c>
      <c r="O260" s="156">
        <f>IF(L260="Win",1,0)</f>
        <v/>
      </c>
      <c r="S260" s="178" t="n"/>
      <c r="Y260" s="172" t="n"/>
    </row>
    <row r="261" ht="14.4" customHeight="1" s="152">
      <c r="A261" s="167">
        <f>B261&amp;E261</f>
        <v/>
      </c>
      <c r="B261" s="168">
        <f>2025Schedule!B261</f>
        <v/>
      </c>
      <c r="C261" s="168">
        <f>2025Schedule!C261</f>
        <v/>
      </c>
      <c r="D261" s="168">
        <f>2025Schedule!D261</f>
        <v/>
      </c>
      <c r="E261" s="168">
        <f>2025Schedule!E261</f>
        <v/>
      </c>
      <c r="F261" s="168">
        <f>2025Schedule!F261</f>
        <v/>
      </c>
      <c r="G261" s="168">
        <f>2025Schedule!G261</f>
        <v/>
      </c>
      <c r="H261" s="168">
        <f>2025Schedule!H261</f>
        <v/>
      </c>
      <c r="I261" s="168">
        <f>2025Schedule!I261</f>
        <v/>
      </c>
      <c r="J261" s="168">
        <f>2025Schedule!J261</f>
        <v/>
      </c>
      <c r="K261" s="156">
        <f>IF(AND(F261=0,I261=0),"",IF(F261&gt;I261,B261&amp;E261,IF(F261&lt;I261,B261&amp;H261,"Tie")))</f>
        <v/>
      </c>
      <c r="L261" s="156">
        <f>IFERROR(IF(AND(B261&lt;$L$1,F261&gt;I261),"Win",IF(AND(B261&lt;$L$1,F261&lt;I261),"Loss","")),"")</f>
        <v/>
      </c>
      <c r="M261" s="156">
        <f>IF(B261&lt;_CurWeek,"In","")</f>
        <v/>
      </c>
      <c r="N261" s="156">
        <f>IF(M261="In",E261&amp;G261,"")</f>
        <v/>
      </c>
      <c r="O261" s="156">
        <f>IF(L261="Win",1,0)</f>
        <v/>
      </c>
      <c r="S261" s="178" t="n"/>
      <c r="Y261" s="172" t="n"/>
    </row>
    <row r="262" ht="14.4" customHeight="1" s="152">
      <c r="A262" s="167">
        <f>B262&amp;E262</f>
        <v/>
      </c>
      <c r="B262" s="168">
        <f>2025Schedule!B262</f>
        <v/>
      </c>
      <c r="C262" s="168">
        <f>2025Schedule!C262</f>
        <v/>
      </c>
      <c r="D262" s="168">
        <f>2025Schedule!D262</f>
        <v/>
      </c>
      <c r="E262" s="168">
        <f>2025Schedule!E262</f>
        <v/>
      </c>
      <c r="F262" s="168">
        <f>2025Schedule!F262</f>
        <v/>
      </c>
      <c r="G262" s="168">
        <f>2025Schedule!G262</f>
        <v/>
      </c>
      <c r="H262" s="168">
        <f>2025Schedule!H262</f>
        <v/>
      </c>
      <c r="I262" s="168">
        <f>2025Schedule!I262</f>
        <v/>
      </c>
      <c r="J262" s="168">
        <f>2025Schedule!J262</f>
        <v/>
      </c>
      <c r="K262" s="156">
        <f>IF(AND(F262=0,I262=0),"",IF(F262&gt;I262,B262&amp;E262,IF(F262&lt;I262,B262&amp;H262,"Tie")))</f>
        <v/>
      </c>
      <c r="L262" s="156">
        <f>IFERROR(IF(AND(B262&lt;$L$1,F262&gt;I262),"Win",IF(AND(B262&lt;$L$1,F262&lt;I262),"Loss","")),"")</f>
        <v/>
      </c>
      <c r="M262" s="156">
        <f>IF(B262&lt;_CurWeek,"In","")</f>
        <v/>
      </c>
      <c r="N262" s="156">
        <f>IF(M262="In",E262&amp;G262,"")</f>
        <v/>
      </c>
      <c r="O262" s="156">
        <f>IF(L262="Win",1,0)</f>
        <v/>
      </c>
      <c r="S262" s="178" t="n"/>
      <c r="Y262" s="172" t="n"/>
    </row>
    <row r="263" ht="14.4" customHeight="1" s="152">
      <c r="A263" s="167">
        <f>B263&amp;E263</f>
        <v/>
      </c>
      <c r="B263" s="168">
        <f>2025Schedule!B263</f>
        <v/>
      </c>
      <c r="C263" s="168">
        <f>2025Schedule!C263</f>
        <v/>
      </c>
      <c r="D263" s="168">
        <f>2025Schedule!D263</f>
        <v/>
      </c>
      <c r="E263" s="168">
        <f>2025Schedule!E263</f>
        <v/>
      </c>
      <c r="F263" s="168">
        <f>2025Schedule!F263</f>
        <v/>
      </c>
      <c r="G263" s="168">
        <f>2025Schedule!G263</f>
        <v/>
      </c>
      <c r="H263" s="168">
        <f>2025Schedule!H263</f>
        <v/>
      </c>
      <c r="I263" s="168">
        <f>2025Schedule!I263</f>
        <v/>
      </c>
      <c r="J263" s="168">
        <f>2025Schedule!J263</f>
        <v/>
      </c>
      <c r="K263" s="156">
        <f>IF(AND(F263=0,I263=0),"",IF(F263&gt;I263,B263&amp;E263,IF(F263&lt;I263,B263&amp;H263,"Tie")))</f>
        <v/>
      </c>
      <c r="L263" s="156">
        <f>IFERROR(IF(AND(B263&lt;$L$1,F263&gt;I263),"Win",IF(AND(B263&lt;$L$1,F263&lt;I263),"Loss","")),"")</f>
        <v/>
      </c>
      <c r="M263" s="156">
        <f>IF(B263&lt;_CurWeek,"In","")</f>
        <v/>
      </c>
      <c r="N263" s="156">
        <f>IF(M263="In",E263&amp;G263,"")</f>
        <v/>
      </c>
      <c r="O263" s="156">
        <f>IF(L263="Win",1,0)</f>
        <v/>
      </c>
      <c r="S263" s="178" t="n"/>
      <c r="Y263" s="172" t="n"/>
    </row>
    <row r="264" ht="14.4" customHeight="1" s="152">
      <c r="A264" s="167">
        <f>B264&amp;E264</f>
        <v/>
      </c>
      <c r="B264" s="168">
        <f>2025Schedule!B264</f>
        <v/>
      </c>
      <c r="C264" s="168">
        <f>2025Schedule!C264</f>
        <v/>
      </c>
      <c r="D264" s="168">
        <f>2025Schedule!D264</f>
        <v/>
      </c>
      <c r="E264" s="168">
        <f>2025Schedule!E264</f>
        <v/>
      </c>
      <c r="F264" s="168">
        <f>2025Schedule!F264</f>
        <v/>
      </c>
      <c r="G264" s="168">
        <f>2025Schedule!G264</f>
        <v/>
      </c>
      <c r="H264" s="168">
        <f>2025Schedule!H264</f>
        <v/>
      </c>
      <c r="I264" s="168">
        <f>2025Schedule!I264</f>
        <v/>
      </c>
      <c r="J264" s="168">
        <f>2025Schedule!J264</f>
        <v/>
      </c>
      <c r="K264" s="156">
        <f>IF(AND(F264=0,I264=0),"",IF(F264&gt;I264,B264&amp;E264,IF(F264&lt;I264,B264&amp;H264,"Tie")))</f>
        <v/>
      </c>
      <c r="L264" s="156">
        <f>IFERROR(IF(AND(B264&lt;$L$1,F264&gt;I264),"Win",IF(AND(B264&lt;$L$1,F264&lt;I264),"Loss","")),"")</f>
        <v/>
      </c>
      <c r="M264" s="156">
        <f>IF(B264&lt;_CurWeek,"In","")</f>
        <v/>
      </c>
      <c r="N264" s="156">
        <f>IF(M264="In",E264&amp;G264,"")</f>
        <v/>
      </c>
      <c r="O264" s="156">
        <f>IF(L264="Win",1,0)</f>
        <v/>
      </c>
      <c r="S264" s="178" t="n"/>
      <c r="Y264" s="172" t="n"/>
    </row>
    <row r="265" ht="14.4" customHeight="1" s="152">
      <c r="A265" s="167">
        <f>B265&amp;E265</f>
        <v/>
      </c>
      <c r="B265" s="168">
        <f>2025Schedule!B265</f>
        <v/>
      </c>
      <c r="C265" s="168">
        <f>2025Schedule!C265</f>
        <v/>
      </c>
      <c r="D265" s="168">
        <f>2025Schedule!D265</f>
        <v/>
      </c>
      <c r="E265" s="168">
        <f>2025Schedule!E265</f>
        <v/>
      </c>
      <c r="F265" s="168">
        <f>2025Schedule!F265</f>
        <v/>
      </c>
      <c r="G265" s="168">
        <f>2025Schedule!G265</f>
        <v/>
      </c>
      <c r="H265" s="168">
        <f>2025Schedule!H265</f>
        <v/>
      </c>
      <c r="I265" s="168">
        <f>2025Schedule!I265</f>
        <v/>
      </c>
      <c r="J265" s="168">
        <f>2025Schedule!J265</f>
        <v/>
      </c>
      <c r="K265" s="156">
        <f>IF(AND(F265=0,I265=0),"",IF(F265&gt;I265,B265&amp;E265,IF(F265&lt;I265,B265&amp;H265,"Tie")))</f>
        <v/>
      </c>
      <c r="L265" s="156">
        <f>IFERROR(IF(AND(B265&lt;$L$1,F265&gt;I265),"Win",IF(AND(B265&lt;$L$1,F265&lt;I265),"Loss","")),"")</f>
        <v/>
      </c>
      <c r="M265" s="156">
        <f>IF(B265&lt;_CurWeek,"In","")</f>
        <v/>
      </c>
      <c r="N265" s="156">
        <f>IF(M265="In",E265&amp;G265,"")</f>
        <v/>
      </c>
      <c r="O265" s="156">
        <f>IF(L265="Win",1,0)</f>
        <v/>
      </c>
      <c r="S265" s="178" t="n"/>
      <c r="Y265" s="172" t="n"/>
    </row>
    <row r="266" ht="14.4" customHeight="1" s="152">
      <c r="A266" s="167">
        <f>B266&amp;E266</f>
        <v/>
      </c>
      <c r="B266" s="168">
        <f>2025Schedule!B266</f>
        <v/>
      </c>
      <c r="C266" s="168">
        <f>2025Schedule!C266</f>
        <v/>
      </c>
      <c r="D266" s="168">
        <f>2025Schedule!D266</f>
        <v/>
      </c>
      <c r="E266" s="168">
        <f>2025Schedule!E266</f>
        <v/>
      </c>
      <c r="F266" s="168">
        <f>2025Schedule!F266</f>
        <v/>
      </c>
      <c r="G266" s="168">
        <f>2025Schedule!G266</f>
        <v/>
      </c>
      <c r="H266" s="168">
        <f>2025Schedule!H266</f>
        <v/>
      </c>
      <c r="I266" s="168">
        <f>2025Schedule!I266</f>
        <v/>
      </c>
      <c r="J266" s="168">
        <f>2025Schedule!J266</f>
        <v/>
      </c>
      <c r="K266" s="156">
        <f>IF(AND(F266=0,I266=0),"",IF(F266&gt;I266,B266&amp;E266,IF(F266&lt;I266,B266&amp;H266,"Tie")))</f>
        <v/>
      </c>
      <c r="L266" s="156">
        <f>IFERROR(IF(AND(B266&lt;$L$1,F266&gt;I266),"Win",IF(AND(B266&lt;$L$1,F266&lt;I266),"Loss","")),"")</f>
        <v/>
      </c>
      <c r="M266" s="156">
        <f>IF(B266&lt;_CurWeek,"In","")</f>
        <v/>
      </c>
      <c r="N266" s="156">
        <f>IF(M266="In",E266&amp;G266,"")</f>
        <v/>
      </c>
      <c r="O266" s="156">
        <f>IF(L266="Win",1,0)</f>
        <v/>
      </c>
      <c r="S266" s="178" t="n"/>
      <c r="Y266" s="172" t="n"/>
    </row>
    <row r="267" ht="14.4" customHeight="1" s="152">
      <c r="A267" s="167">
        <f>B267&amp;E267</f>
        <v/>
      </c>
      <c r="B267" s="168">
        <f>2025Schedule!B267</f>
        <v/>
      </c>
      <c r="C267" s="168">
        <f>2025Schedule!C267</f>
        <v/>
      </c>
      <c r="D267" s="168">
        <f>2025Schedule!D267</f>
        <v/>
      </c>
      <c r="E267" s="168">
        <f>2025Schedule!E267</f>
        <v/>
      </c>
      <c r="F267" s="168">
        <f>2025Schedule!F267</f>
        <v/>
      </c>
      <c r="G267" s="168">
        <f>2025Schedule!G267</f>
        <v/>
      </c>
      <c r="H267" s="168">
        <f>2025Schedule!H267</f>
        <v/>
      </c>
      <c r="I267" s="168">
        <f>2025Schedule!I267</f>
        <v/>
      </c>
      <c r="J267" s="168">
        <f>2025Schedule!J267</f>
        <v/>
      </c>
      <c r="K267" s="156">
        <f>IF(AND(F267=0,I267=0),"",IF(F267&gt;I267,B267&amp;E267,IF(F267&lt;I267,B267&amp;H267,"Tie")))</f>
        <v/>
      </c>
      <c r="L267" s="156">
        <f>IFERROR(IF(AND(B267&lt;$L$1,F267&gt;I267),"Win",IF(AND(B267&lt;$L$1,F267&lt;I267),"Loss","")),"")</f>
        <v/>
      </c>
      <c r="M267" s="156">
        <f>IF(B267&lt;_CurWeek,"In","")</f>
        <v/>
      </c>
      <c r="N267" s="156">
        <f>IF(M267="In",E267&amp;G267,"")</f>
        <v/>
      </c>
      <c r="O267" s="156">
        <f>IF(L267="Win",1,0)</f>
        <v/>
      </c>
      <c r="S267" s="178" t="n"/>
      <c r="Y267" s="172" t="n"/>
    </row>
    <row r="268" ht="14.4" customHeight="1" s="152">
      <c r="A268" s="167">
        <f>B268&amp;E268</f>
        <v/>
      </c>
      <c r="B268" s="168">
        <f>2025Schedule!B268</f>
        <v/>
      </c>
      <c r="C268" s="168">
        <f>2025Schedule!C268</f>
        <v/>
      </c>
      <c r="D268" s="168">
        <f>2025Schedule!D268</f>
        <v/>
      </c>
      <c r="E268" s="168">
        <f>2025Schedule!E268</f>
        <v/>
      </c>
      <c r="F268" s="168">
        <f>2025Schedule!F268</f>
        <v/>
      </c>
      <c r="G268" s="168">
        <f>2025Schedule!G268</f>
        <v/>
      </c>
      <c r="H268" s="168">
        <f>2025Schedule!H268</f>
        <v/>
      </c>
      <c r="I268" s="168">
        <f>2025Schedule!I268</f>
        <v/>
      </c>
      <c r="J268" s="168">
        <f>2025Schedule!J268</f>
        <v/>
      </c>
      <c r="K268" s="156">
        <f>IF(AND(F268=0,I268=0),"",IF(F268&gt;I268,B268&amp;E268,IF(F268&lt;I268,B268&amp;H268,"Tie")))</f>
        <v/>
      </c>
      <c r="L268" s="156">
        <f>IFERROR(IF(AND(B268&lt;$L$1,F268&gt;I268),"Win",IF(AND(B268&lt;$L$1,F268&lt;I268),"Loss","")),"")</f>
        <v/>
      </c>
      <c r="M268" s="156">
        <f>IF(B268&lt;_CurWeek,"In","")</f>
        <v/>
      </c>
      <c r="N268" s="156">
        <f>IF(M268="In",E268&amp;G268,"")</f>
        <v/>
      </c>
      <c r="O268" s="156">
        <f>IF(L268="Win",1,0)</f>
        <v/>
      </c>
      <c r="S268" s="178" t="n"/>
      <c r="Y268" s="172" t="n"/>
    </row>
    <row r="269" ht="14.4" customHeight="1" s="152">
      <c r="A269" s="167">
        <f>B269&amp;E269</f>
        <v/>
      </c>
      <c r="B269" s="168">
        <f>2025Schedule!B269</f>
        <v/>
      </c>
      <c r="C269" s="168">
        <f>2025Schedule!C269</f>
        <v/>
      </c>
      <c r="D269" s="168">
        <f>2025Schedule!D269</f>
        <v/>
      </c>
      <c r="E269" s="168">
        <f>2025Schedule!E269</f>
        <v/>
      </c>
      <c r="F269" s="168">
        <f>2025Schedule!F269</f>
        <v/>
      </c>
      <c r="G269" s="168">
        <f>2025Schedule!G269</f>
        <v/>
      </c>
      <c r="H269" s="168">
        <f>2025Schedule!H269</f>
        <v/>
      </c>
      <c r="I269" s="168">
        <f>2025Schedule!I269</f>
        <v/>
      </c>
      <c r="J269" s="168">
        <f>2025Schedule!J269</f>
        <v/>
      </c>
      <c r="K269" s="156">
        <f>IF(AND(F269=0,I269=0),"",IF(F269&gt;I269,B269&amp;E269,IF(F269&lt;I269,B269&amp;H269,"Tie")))</f>
        <v/>
      </c>
      <c r="L269" s="156">
        <f>IFERROR(IF(AND(B269&lt;$L$1,F269&gt;I269),"Win",IF(AND(B269&lt;$L$1,F269&lt;I269),"Loss","")),"")</f>
        <v/>
      </c>
      <c r="M269" s="156">
        <f>IF(B269&lt;_CurWeek,"In","")</f>
        <v/>
      </c>
      <c r="N269" s="156">
        <f>IF(M269="In",E269&amp;G269,"")</f>
        <v/>
      </c>
      <c r="O269" s="156">
        <f>IF(L269="Win",1,0)</f>
        <v/>
      </c>
      <c r="S269" s="178" t="n"/>
      <c r="Y269" s="172" t="n"/>
    </row>
    <row r="270" ht="14.4" customHeight="1" s="152">
      <c r="A270" s="167">
        <f>B270&amp;E270</f>
        <v/>
      </c>
      <c r="B270" s="168">
        <f>2025Schedule!B270</f>
        <v/>
      </c>
      <c r="C270" s="168">
        <f>2025Schedule!C270</f>
        <v/>
      </c>
      <c r="D270" s="168">
        <f>2025Schedule!D270</f>
        <v/>
      </c>
      <c r="E270" s="168">
        <f>2025Schedule!E270</f>
        <v/>
      </c>
      <c r="F270" s="168">
        <f>2025Schedule!F270</f>
        <v/>
      </c>
      <c r="G270" s="168">
        <f>2025Schedule!G270</f>
        <v/>
      </c>
      <c r="H270" s="168">
        <f>2025Schedule!H270</f>
        <v/>
      </c>
      <c r="I270" s="168">
        <f>2025Schedule!I270</f>
        <v/>
      </c>
      <c r="J270" s="168">
        <f>2025Schedule!J270</f>
        <v/>
      </c>
      <c r="K270" s="156">
        <f>IF(AND(F270=0,I270=0),"",IF(F270&gt;I270,B270&amp;E270,IF(F270&lt;I270,B270&amp;H270,"Tie")))</f>
        <v/>
      </c>
      <c r="L270" s="156">
        <f>IFERROR(IF(AND(B270&lt;$L$1,F270&gt;I270),"Win",IF(AND(B270&lt;$L$1,F270&lt;I270),"Loss","")),"")</f>
        <v/>
      </c>
      <c r="M270" s="156">
        <f>IF(B270&lt;_CurWeek,"In","")</f>
        <v/>
      </c>
      <c r="N270" s="156">
        <f>IF(M270="In",E270&amp;G270,"")</f>
        <v/>
      </c>
      <c r="O270" s="156">
        <f>IF(L270="Win",1,0)</f>
        <v/>
      </c>
      <c r="S270" s="178" t="n"/>
      <c r="Y270" s="172" t="n"/>
    </row>
    <row r="271" ht="14.4" customHeight="1" s="152">
      <c r="A271" s="167">
        <f>B271&amp;E271</f>
        <v/>
      </c>
      <c r="B271" s="168">
        <f>2025Schedule!B271</f>
        <v/>
      </c>
      <c r="C271" s="168">
        <f>2025Schedule!C271</f>
        <v/>
      </c>
      <c r="D271" s="168">
        <f>2025Schedule!D271</f>
        <v/>
      </c>
      <c r="E271" s="168">
        <f>2025Schedule!E271</f>
        <v/>
      </c>
      <c r="F271" s="168">
        <f>2025Schedule!F271</f>
        <v/>
      </c>
      <c r="G271" s="168">
        <f>2025Schedule!G271</f>
        <v/>
      </c>
      <c r="H271" s="168">
        <f>2025Schedule!H271</f>
        <v/>
      </c>
      <c r="I271" s="168">
        <f>2025Schedule!I271</f>
        <v/>
      </c>
      <c r="J271" s="168">
        <f>2025Schedule!J271</f>
        <v/>
      </c>
      <c r="K271" s="156">
        <f>IF(AND(F271=0,I271=0),"",IF(F271&gt;I271,B271&amp;E271,IF(F271&lt;I271,B271&amp;H271,"Tie")))</f>
        <v/>
      </c>
      <c r="L271" s="156">
        <f>IFERROR(IF(AND(B271&lt;$L$1,F271&gt;I271),"Win",IF(AND(B271&lt;$L$1,F271&lt;I271),"Loss","")),"")</f>
        <v/>
      </c>
      <c r="M271" s="156">
        <f>IF(B271&lt;_CurWeek,"In","")</f>
        <v/>
      </c>
      <c r="N271" s="156">
        <f>IF(M271="In",E271&amp;G271,"")</f>
        <v/>
      </c>
      <c r="O271" s="156">
        <f>IF(L271="Win",1,0)</f>
        <v/>
      </c>
      <c r="S271" s="178" t="n"/>
      <c r="Y271" s="172" t="n"/>
    </row>
    <row r="272" ht="14.4" customHeight="1" s="152">
      <c r="A272" s="167">
        <f>B272&amp;E272</f>
        <v/>
      </c>
      <c r="B272" s="168">
        <f>2025Schedule!B272</f>
        <v/>
      </c>
      <c r="C272" s="168">
        <f>2025Schedule!C272</f>
        <v/>
      </c>
      <c r="D272" s="168">
        <f>2025Schedule!D272</f>
        <v/>
      </c>
      <c r="E272" s="168">
        <f>2025Schedule!E272</f>
        <v/>
      </c>
      <c r="F272" s="168">
        <f>2025Schedule!F272</f>
        <v/>
      </c>
      <c r="G272" s="168">
        <f>2025Schedule!G272</f>
        <v/>
      </c>
      <c r="H272" s="168">
        <f>2025Schedule!H272</f>
        <v/>
      </c>
      <c r="I272" s="168">
        <f>2025Schedule!I272</f>
        <v/>
      </c>
      <c r="J272" s="168">
        <f>2025Schedule!J272</f>
        <v/>
      </c>
      <c r="K272" s="156">
        <f>IF(AND(F272=0,I272=0),"",IF(F272&gt;I272,B272&amp;E272,IF(F272&lt;I272,B272&amp;H272,"Tie")))</f>
        <v/>
      </c>
      <c r="L272" s="156">
        <f>IFERROR(IF(AND(B272&lt;$L$1,F272&gt;I272),"Win",IF(AND(B272&lt;$L$1,F272&lt;I272),"Loss","")),"")</f>
        <v/>
      </c>
      <c r="M272" s="156">
        <f>IF(B272&lt;_CurWeek,"In","")</f>
        <v/>
      </c>
      <c r="N272" s="156">
        <f>IF(M272="In",E272&amp;G272,"")</f>
        <v/>
      </c>
      <c r="O272" s="156">
        <f>IF(L272="Win",1,0)</f>
        <v/>
      </c>
      <c r="S272" s="178" t="n"/>
      <c r="Y272" s="172" t="n"/>
    </row>
    <row r="273" ht="14.4" customHeight="1" s="152">
      <c r="A273" s="167">
        <f>B273&amp;E273</f>
        <v/>
      </c>
      <c r="B273" s="168">
        <f>2025Schedule!B273</f>
        <v/>
      </c>
      <c r="C273" s="168" t="n"/>
      <c r="D273" s="168">
        <f>2025Schedule!D273</f>
        <v/>
      </c>
      <c r="E273" s="168">
        <f>2025Schedule!E273</f>
        <v/>
      </c>
      <c r="F273" s="168">
        <f>2025Schedule!F273</f>
        <v/>
      </c>
      <c r="G273" s="168">
        <f>2025Schedule!G273</f>
        <v/>
      </c>
      <c r="H273" s="168">
        <f>2025Schedule!H273</f>
        <v/>
      </c>
      <c r="I273" s="168">
        <f>2025Schedule!I273</f>
        <v/>
      </c>
      <c r="J273" s="168">
        <f>2025Schedule!J273</f>
        <v/>
      </c>
      <c r="K273" s="156">
        <f>IF(AND(F273=0,I273=0),"",IF(F273&gt;I273,B273&amp;E273,IF(F273&lt;I273,B273&amp;H273,"Tie")))</f>
        <v/>
      </c>
      <c r="L273" s="156">
        <f>IFERROR(IF(AND(B273&lt;$L$1,F273&gt;I273),"Win",IF(AND(B273&lt;$L$1,F273&lt;I273),"Loss","")),"")</f>
        <v/>
      </c>
      <c r="M273" s="156">
        <f>IF(B273&lt;_CurWeek,"In","")</f>
        <v/>
      </c>
      <c r="N273" s="156">
        <f>IF(M273="In",E273&amp;G273,"")</f>
        <v/>
      </c>
      <c r="O273" s="156">
        <f>IF(L273="Win",1,0)</f>
        <v/>
      </c>
      <c r="S273" s="178" t="n"/>
      <c r="Y273" s="172" t="n"/>
    </row>
    <row r="274" ht="14.4" customHeight="1" s="152">
      <c r="A274" s="167">
        <f>B274&amp;E274</f>
        <v/>
      </c>
      <c r="B274" s="168" t="inlineStr">
        <is>
          <t>WC</t>
        </is>
      </c>
      <c r="C274" s="168" t="n"/>
      <c r="D274" s="169" t="n"/>
      <c r="E274" s="168" t="n"/>
      <c r="G274" s="168" t="n"/>
      <c r="H274" s="170" t="n"/>
      <c r="J274" s="171" t="n"/>
      <c r="K274" s="156">
        <f>IF(AND(F274=0,I274=0),"",IF(F274&gt;I274,B274&amp;E274,IF(F274&lt;I274,B274&amp;H274,"Tie")))</f>
        <v/>
      </c>
      <c r="L274" s="156">
        <f>IFERROR(IF(AND(B274&lt;$L$1,F274&gt;I274),"Win",IF(AND(B274&lt;$L$1,F274&lt;I274),"Loss","")),"")</f>
        <v/>
      </c>
      <c r="M274" s="156">
        <f>IF(B274&lt;_CurWeek,"In","")</f>
        <v/>
      </c>
      <c r="N274" s="156">
        <f>IF(M274="In",E274&amp;G274,"")</f>
        <v/>
      </c>
      <c r="O274" s="156">
        <f>IF(L274="Win",1,0)</f>
        <v/>
      </c>
    </row>
    <row r="275" ht="14.4" customHeight="1" s="152">
      <c r="A275" s="167">
        <f>B275&amp;E275</f>
        <v/>
      </c>
      <c r="B275" s="168" t="inlineStr">
        <is>
          <t>WC</t>
        </is>
      </c>
      <c r="C275" s="168" t="n"/>
      <c r="D275" s="169" t="n"/>
      <c r="E275" s="168" t="n"/>
      <c r="G275" s="168" t="n"/>
      <c r="H275" s="170" t="n"/>
      <c r="J275" s="171" t="n"/>
      <c r="K275" s="156">
        <f>IF(AND(F275=0,I275=0),"",IF(F275&gt;I275,B275&amp;E275,IF(F275&lt;I275,B275&amp;H275,"Tie")))</f>
        <v/>
      </c>
      <c r="L275" s="156">
        <f>IFERROR(IF(AND(B275&lt;$L$1,F275&gt;I275),"Win",IF(AND(B275&lt;$L$1,F275&lt;I275),"Loss","")),"")</f>
        <v/>
      </c>
      <c r="M275" s="156">
        <f>IF(B275&lt;_CurWeek,"In","")</f>
        <v/>
      </c>
      <c r="N275" s="156">
        <f>IF(M275="In",E275&amp;G275,"")</f>
        <v/>
      </c>
      <c r="O275" s="156">
        <f>IF(L275="Win",1,0)</f>
        <v/>
      </c>
    </row>
    <row r="276" ht="14.4" customHeight="1" s="152">
      <c r="A276" s="167">
        <f>B276&amp;E276</f>
        <v/>
      </c>
      <c r="B276" s="168" t="inlineStr">
        <is>
          <t>WC</t>
        </is>
      </c>
      <c r="C276" s="168" t="n"/>
      <c r="D276" s="169" t="n"/>
      <c r="E276" s="168" t="n"/>
      <c r="G276" s="168" t="n"/>
      <c r="H276" s="170" t="n"/>
      <c r="J276" s="171" t="n"/>
      <c r="K276" s="156">
        <f>IF(AND(F276=0,I276=0),"",IF(F276&gt;I276,B276&amp;E276,IF(F276&lt;I276,B276&amp;H276,"Tie")))</f>
        <v/>
      </c>
      <c r="L276" s="156">
        <f>IFERROR(IF(AND(B276&lt;$L$1,F276&gt;I276),"Win",IF(AND(B276&lt;$L$1,F276&lt;I276),"Loss","")),"")</f>
        <v/>
      </c>
      <c r="M276" s="156">
        <f>IF(B276&lt;_CurWeek,"In","")</f>
        <v/>
      </c>
      <c r="N276" s="156">
        <f>IF(M276="In",E276&amp;G276,"")</f>
        <v/>
      </c>
      <c r="O276" s="156">
        <f>IF(L276="Win",1,0)</f>
        <v/>
      </c>
    </row>
    <row r="277" ht="14.4" customHeight="1" s="152">
      <c r="A277" s="167">
        <f>B277&amp;E277</f>
        <v/>
      </c>
      <c r="B277" s="168" t="inlineStr">
        <is>
          <t>WC</t>
        </is>
      </c>
      <c r="C277" s="168" t="n"/>
      <c r="D277" s="169" t="n"/>
      <c r="E277" s="168" t="n"/>
      <c r="G277" s="168" t="n"/>
      <c r="H277" s="170" t="n"/>
      <c r="J277" s="171" t="n"/>
      <c r="K277" s="156">
        <f>IF(AND(F277=0,I277=0),"",IF(F277&gt;I277,B277&amp;E277,IF(F277&lt;I277,B277&amp;H277,"Tie")))</f>
        <v/>
      </c>
      <c r="L277" s="156">
        <f>IFERROR(IF(AND(B277&lt;$L$1,F277&gt;I277),"Win",IF(AND(B277&lt;$L$1,F277&lt;I277),"Loss","")),"")</f>
        <v/>
      </c>
      <c r="M277" s="156">
        <f>IF(B277&lt;_CurWeek,"In","")</f>
        <v/>
      </c>
      <c r="N277" s="156">
        <f>IF(M277="In",E277&amp;G277,"")</f>
        <v/>
      </c>
      <c r="O277" s="156">
        <f>IF(L277="Win",1,0)</f>
        <v/>
      </c>
    </row>
    <row r="278" ht="14.4" customHeight="1" s="152">
      <c r="A278" s="167">
        <f>B278&amp;E278</f>
        <v/>
      </c>
      <c r="B278" s="168" t="inlineStr">
        <is>
          <t>WC</t>
        </is>
      </c>
      <c r="C278" s="168" t="n"/>
      <c r="D278" s="169" t="n"/>
      <c r="E278" s="168" t="n"/>
      <c r="G278" s="168" t="n"/>
      <c r="H278" s="170" t="n"/>
      <c r="J278" s="171" t="n"/>
      <c r="K278" s="156">
        <f>IF(AND(F278=0,I278=0),"",IF(F278&gt;I278,B278&amp;E278,IF(F278&lt;I278,B278&amp;H278,"Tie")))</f>
        <v/>
      </c>
      <c r="L278" s="156">
        <f>IFERROR(IF(AND(B278&lt;$L$1,F278&gt;I278),"Win",IF(AND(B278&lt;$L$1,F278&lt;I278),"Loss","")),"")</f>
        <v/>
      </c>
      <c r="M278" s="156">
        <f>IF(B278&lt;_CurWeek,"In","")</f>
        <v/>
      </c>
      <c r="N278" s="156">
        <f>IF(M278="In",E278&amp;G278,"")</f>
        <v/>
      </c>
      <c r="O278" s="156">
        <f>IF(L278="Win",1,0)</f>
        <v/>
      </c>
    </row>
    <row r="279" ht="14.4" customHeight="1" s="152">
      <c r="A279" s="167">
        <f>B279&amp;E279</f>
        <v/>
      </c>
      <c r="B279" s="168" t="inlineStr">
        <is>
          <t>WC</t>
        </is>
      </c>
      <c r="C279" s="168" t="n"/>
      <c r="D279" s="169" t="n"/>
      <c r="E279" s="168" t="n"/>
      <c r="G279" s="168" t="n"/>
      <c r="H279" s="170" t="n"/>
      <c r="J279" s="171" t="n"/>
      <c r="K279" s="156">
        <f>IF(AND(F279=0,I279=0),"",IF(F279&gt;I279,B279&amp;E279,IF(F279&lt;I279,B279&amp;H279,"Tie")))</f>
        <v/>
      </c>
      <c r="L279" s="156">
        <f>IFERROR(IF(AND(B279&lt;$L$1,F279&gt;I279),"Win",IF(AND(B279&lt;$L$1,F279&lt;I279),"Loss","")),"")</f>
        <v/>
      </c>
      <c r="M279" s="156">
        <f>IF(B279&lt;_CurWeek,"In","")</f>
        <v/>
      </c>
      <c r="N279" s="156">
        <f>IF(M279="In",E279&amp;G279,"")</f>
        <v/>
      </c>
      <c r="O279" s="156">
        <f>IF(L279="Win",1,0)</f>
        <v/>
      </c>
    </row>
    <row r="280" ht="14.4" customHeight="1" s="152">
      <c r="A280" s="167">
        <f>B280&amp;E280</f>
        <v/>
      </c>
      <c r="B280" s="168" t="inlineStr">
        <is>
          <t>Div</t>
        </is>
      </c>
      <c r="C280" s="168" t="n"/>
      <c r="D280" s="169" t="n"/>
      <c r="E280" s="168" t="n"/>
      <c r="G280" s="168" t="n"/>
      <c r="H280" s="170" t="n"/>
      <c r="J280" s="171" t="n"/>
      <c r="K280" s="156">
        <f>IF(AND(F280=0,I280=0),"",IF(F280&gt;I280,B280&amp;E280,IF(F280&lt;I280,B280&amp;H280,"Tie")))</f>
        <v/>
      </c>
      <c r="L280" s="156">
        <f>IFERROR(IF(AND(B280&lt;$L$1,F280&gt;I280),"Win",IF(AND(B280&lt;$L$1,F280&lt;I280),"Loss","")),"")</f>
        <v/>
      </c>
      <c r="M280" s="156">
        <f>IF(B280&lt;_CurWeek,"In","")</f>
        <v/>
      </c>
      <c r="N280" s="156">
        <f>IF(M280="In",E280&amp;G280,"")</f>
        <v/>
      </c>
      <c r="O280" s="156">
        <f>IF(L280="Win",1,0)</f>
        <v/>
      </c>
    </row>
    <row r="281" ht="14.4" customHeight="1" s="152">
      <c r="A281" s="167">
        <f>B281&amp;E281</f>
        <v/>
      </c>
      <c r="B281" s="168" t="inlineStr">
        <is>
          <t>Div</t>
        </is>
      </c>
      <c r="C281" s="168" t="n"/>
      <c r="D281" s="169" t="n"/>
      <c r="E281" s="168" t="n"/>
      <c r="G281" s="168" t="n"/>
      <c r="H281" s="170" t="n"/>
      <c r="J281" s="171" t="n"/>
      <c r="K281" s="156">
        <f>IF(AND(F281=0,I281=0),"",IF(F281&gt;I281,B281&amp;E281,IF(F281&lt;I281,B281&amp;H281,"Tie")))</f>
        <v/>
      </c>
      <c r="L281" s="156">
        <f>IFERROR(IF(AND(B281&lt;$L$1,F281&gt;I281),"Win",IF(AND(B281&lt;$L$1,F281&lt;I281),"Loss","")),"")</f>
        <v/>
      </c>
      <c r="M281" s="156">
        <f>IF(B281&lt;_CurWeek,"In","")</f>
        <v/>
      </c>
      <c r="N281" s="156">
        <f>IF(M281="In",E281&amp;G281,"")</f>
        <v/>
      </c>
      <c r="O281" s="156">
        <f>IF(L281="Win",1,0)</f>
        <v/>
      </c>
    </row>
    <row r="282" ht="14.4" customHeight="1" s="152">
      <c r="A282" s="167">
        <f>B282&amp;E282</f>
        <v/>
      </c>
      <c r="B282" s="168" t="inlineStr">
        <is>
          <t>Div</t>
        </is>
      </c>
      <c r="C282" s="168" t="n"/>
      <c r="D282" s="169" t="n"/>
      <c r="E282" s="168" t="n"/>
      <c r="G282" s="168" t="n"/>
      <c r="H282" s="170" t="n"/>
      <c r="J282" s="171" t="n"/>
      <c r="K282" s="156">
        <f>IF(AND(F282=0,I282=0),"",IF(F282&gt;I282,B282&amp;E282,IF(F282&lt;I282,B282&amp;H282,"Tie")))</f>
        <v/>
      </c>
      <c r="L282" s="156">
        <f>IFERROR(IF(AND(B282&lt;$L$1,F282&gt;I282),"Win",IF(AND(B282&lt;$L$1,F282&lt;I282),"Loss","")),"")</f>
        <v/>
      </c>
      <c r="M282" s="156">
        <f>IF(B282&lt;_CurWeek,"In","")</f>
        <v/>
      </c>
      <c r="N282" s="156">
        <f>IF(M282="In",E282&amp;G282,"")</f>
        <v/>
      </c>
      <c r="O282" s="156">
        <f>IF(L282="Win",1,0)</f>
        <v/>
      </c>
    </row>
    <row r="283" ht="14.4" customHeight="1" s="152">
      <c r="A283" s="167">
        <f>B283&amp;E283</f>
        <v/>
      </c>
      <c r="B283" s="168" t="inlineStr">
        <is>
          <t>Div</t>
        </is>
      </c>
      <c r="C283" s="168" t="n"/>
      <c r="D283" s="169" t="n"/>
      <c r="E283" s="168" t="n"/>
      <c r="G283" s="168" t="n"/>
      <c r="H283" s="170" t="n"/>
      <c r="J283" s="171" t="n"/>
      <c r="K283" s="156">
        <f>IF(AND(F283=0,I283=0),"",IF(F283&gt;I283,B283&amp;E283,IF(F283&lt;I283,B283&amp;H283,"Tie")))</f>
        <v/>
      </c>
      <c r="L283" s="156">
        <f>IFERROR(IF(AND(B283&lt;$L$1,F283&gt;I283),"Win",IF(AND(B283&lt;$L$1,F283&lt;I283),"Loss","")),"")</f>
        <v/>
      </c>
      <c r="M283" s="156">
        <f>IF(B283&lt;_CurWeek,"In","")</f>
        <v/>
      </c>
      <c r="N283" s="156">
        <f>IF(M283="In",E283&amp;G283,"")</f>
        <v/>
      </c>
      <c r="O283" s="156">
        <f>IF(L283="Win",1,0)</f>
        <v/>
      </c>
    </row>
    <row r="284" ht="14.4" customHeight="1" s="152">
      <c r="A284" s="167">
        <f>B284&amp;E284</f>
        <v/>
      </c>
      <c r="B284" s="168" t="inlineStr">
        <is>
          <t>Conf</t>
        </is>
      </c>
      <c r="C284" s="168" t="n"/>
      <c r="D284" s="169" t="n"/>
      <c r="E284" s="168" t="n"/>
      <c r="G284" s="168" t="n"/>
      <c r="H284" s="170" t="n"/>
      <c r="J284" s="171" t="n"/>
      <c r="K284" s="156">
        <f>IF(AND(F284=0,I284=0),"",IF(F284&gt;I284,B284&amp;E284,IF(F284&lt;I284,B284&amp;H284,"Tie")))</f>
        <v/>
      </c>
      <c r="L284" s="156">
        <f>IFERROR(IF(AND(B284&lt;$L$1,F284&gt;I284),"Win",IF(AND(B284&lt;$L$1,F284&lt;I284),"Loss","")),"")</f>
        <v/>
      </c>
      <c r="M284" s="156">
        <f>IF(B284&lt;_CurWeek,"In","")</f>
        <v/>
      </c>
      <c r="N284" s="156">
        <f>IF(M284="In",E284&amp;G284,"")</f>
        <v/>
      </c>
      <c r="O284" s="156">
        <f>IF(L284="Win",1,0)</f>
        <v/>
      </c>
    </row>
    <row r="285" ht="14.4" customHeight="1" s="152">
      <c r="A285" s="167">
        <f>B285&amp;E285</f>
        <v/>
      </c>
      <c r="B285" s="168" t="inlineStr">
        <is>
          <t>Conf</t>
        </is>
      </c>
      <c r="C285" s="168" t="n"/>
      <c r="D285" s="169" t="n"/>
      <c r="E285" s="168" t="n"/>
      <c r="G285" s="168" t="n"/>
      <c r="H285" s="170" t="n"/>
      <c r="J285" s="171" t="n"/>
      <c r="K285" s="156">
        <f>IF(AND(F285=0,I285=0),"",IF(F285&gt;I285,B285&amp;E285,IF(F285&lt;I285,B285&amp;H285,"Tie")))</f>
        <v/>
      </c>
      <c r="L285" s="156">
        <f>IFERROR(IF(AND(B285&lt;$L$1,F285&gt;I285),"Win",IF(AND(B285&lt;$L$1,F285&lt;I285),"Loss","")),"")</f>
        <v/>
      </c>
      <c r="M285" s="156">
        <f>IF(B285&lt;_CurWeek,"In","")</f>
        <v/>
      </c>
      <c r="N285" s="156">
        <f>IF(M285="In",E285&amp;G285,"")</f>
        <v/>
      </c>
      <c r="O285" s="156">
        <f>IF(L285="Win",1,0)</f>
        <v/>
      </c>
    </row>
    <row r="286" ht="14.4" customHeight="1" s="152">
      <c r="A286" s="167">
        <f>B286&amp;E286</f>
        <v/>
      </c>
      <c r="B286" s="168" t="inlineStr">
        <is>
          <t>SB</t>
        </is>
      </c>
      <c r="C286" s="168" t="n"/>
      <c r="D286" s="169" t="n"/>
      <c r="E286" s="168" t="n"/>
      <c r="G286" s="168" t="n"/>
      <c r="H286" s="170" t="n"/>
      <c r="J286" s="171" t="n"/>
      <c r="K286" s="156">
        <f>IF(AND(F286=0,I286=0),"",IF(F286&gt;I286,B286&amp;E286,IF(F286&lt;I286,B286&amp;H286,"Tie")))</f>
        <v/>
      </c>
      <c r="L286" s="156">
        <f>IFERROR(IF(AND(B286&lt;$L$1,F286&gt;I286),"Win",IF(AND(B286&lt;$L$1,F286&lt;I286),"Loss","")),"")</f>
        <v/>
      </c>
      <c r="M286" s="156">
        <f>IF(B286&lt;_CurWeek,"In","")</f>
        <v/>
      </c>
      <c r="N286" s="156">
        <f>IF(M286="In",E286&amp;G286,"")</f>
        <v/>
      </c>
      <c r="O286" s="156">
        <f>IF(L286="Win",1,0)</f>
        <v/>
      </c>
    </row>
    <row r="287" ht="14.4" customHeight="1" s="152">
      <c r="A287" s="167">
        <f>B287&amp;E287</f>
        <v/>
      </c>
      <c r="B287" s="174">
        <f>B2</f>
        <v/>
      </c>
      <c r="C287" s="174">
        <f>C2</f>
        <v/>
      </c>
      <c r="D287" s="174">
        <f>D2</f>
        <v/>
      </c>
      <c r="E287" s="174">
        <f>H2</f>
        <v/>
      </c>
      <c r="F287" s="157">
        <f>I2</f>
        <v/>
      </c>
      <c r="G287" s="174" t="inlineStr">
        <is>
          <t>Home</t>
        </is>
      </c>
      <c r="H287" s="176">
        <f>E2</f>
        <v/>
      </c>
      <c r="I287" s="157">
        <f>F2</f>
        <v/>
      </c>
      <c r="J287" s="177">
        <f>J2</f>
        <v/>
      </c>
      <c r="K287" s="156">
        <f>IF(AND(F287=0,I287=0),"",IF(F287&gt;I287,B287&amp;E287,IF(F287&lt;I287,B287&amp;H287,"Tie")))</f>
        <v/>
      </c>
      <c r="L287" s="156">
        <f>IFERROR(IF(AND(B287&lt;$L$1,F287&gt;I287),"Win",IF(AND(B287&lt;$L$1,F287&lt;I287),"Loss","")),"")</f>
        <v/>
      </c>
      <c r="M287" s="156">
        <f>IF(B287&lt;_CurWeek,"In","")</f>
        <v/>
      </c>
      <c r="N287" s="156">
        <f>IF(M287="In",E287&amp;G287,"")</f>
        <v/>
      </c>
      <c r="O287" s="156">
        <f>IF(L287="Win",1,0)</f>
        <v/>
      </c>
    </row>
    <row r="288" ht="14.4" customHeight="1" s="152">
      <c r="A288" s="167">
        <f>B288&amp;E288</f>
        <v/>
      </c>
      <c r="B288" s="174">
        <f>B3</f>
        <v/>
      </c>
      <c r="C288" s="174">
        <f>C3</f>
        <v/>
      </c>
      <c r="D288" s="174">
        <f>D3</f>
        <v/>
      </c>
      <c r="E288" s="174">
        <f>H3</f>
        <v/>
      </c>
      <c r="F288" s="157">
        <f>I3</f>
        <v/>
      </c>
      <c r="G288" s="174" t="inlineStr">
        <is>
          <t>Home</t>
        </is>
      </c>
      <c r="H288" s="176">
        <f>E3</f>
        <v/>
      </c>
      <c r="I288" s="157">
        <f>F3</f>
        <v/>
      </c>
      <c r="J288" s="177">
        <f>J3</f>
        <v/>
      </c>
      <c r="K288" s="156">
        <f>IF(AND(F288=0,I288=0),"",IF(F288&gt;I288,B288&amp;E288,IF(F288&lt;I288,B288&amp;H288,"Tie")))</f>
        <v/>
      </c>
      <c r="L288" s="156">
        <f>IFERROR(IF(AND(B288&lt;$L$1,F288&gt;I288),"Win",IF(AND(B288&lt;$L$1,F288&lt;I288),"Loss","")),"")</f>
        <v/>
      </c>
      <c r="M288" s="156">
        <f>IF(B288&lt;_CurWeek,"In","")</f>
        <v/>
      </c>
      <c r="N288" s="156">
        <f>IF(M288="In",E288&amp;G288,"")</f>
        <v/>
      </c>
      <c r="O288" s="156">
        <f>IF(L288="Win",1,0)</f>
        <v/>
      </c>
    </row>
    <row r="289" ht="14.4" customHeight="1" s="152">
      <c r="A289" s="167">
        <f>B289&amp;E289</f>
        <v/>
      </c>
      <c r="B289" s="174">
        <f>B4</f>
        <v/>
      </c>
      <c r="C289" s="174">
        <f>C4</f>
        <v/>
      </c>
      <c r="D289" s="174">
        <f>D4</f>
        <v/>
      </c>
      <c r="E289" s="174">
        <f>H4</f>
        <v/>
      </c>
      <c r="F289" s="157">
        <f>I4</f>
        <v/>
      </c>
      <c r="G289" s="174" t="inlineStr">
        <is>
          <t>Home</t>
        </is>
      </c>
      <c r="H289" s="176">
        <f>E4</f>
        <v/>
      </c>
      <c r="I289" s="157">
        <f>F4</f>
        <v/>
      </c>
      <c r="J289" s="177">
        <f>J4</f>
        <v/>
      </c>
      <c r="K289" s="156">
        <f>IF(AND(F289=0,I289=0),"",IF(F289&gt;I289,B289&amp;E289,IF(F289&lt;I289,B289&amp;H289,"Tie")))</f>
        <v/>
      </c>
      <c r="L289" s="156">
        <f>IFERROR(IF(AND(B289&lt;$L$1,F289&gt;I289),"Win",IF(AND(B289&lt;$L$1,F289&lt;I289),"Loss","")),"")</f>
        <v/>
      </c>
      <c r="M289" s="156">
        <f>IF(B289&lt;_CurWeek,"In","")</f>
        <v/>
      </c>
      <c r="N289" s="156">
        <f>IF(M289="In",E289&amp;G289,"")</f>
        <v/>
      </c>
      <c r="O289" s="156">
        <f>IF(L289="Win",1,0)</f>
        <v/>
      </c>
    </row>
    <row r="290" ht="14.4" customHeight="1" s="152">
      <c r="A290" s="167">
        <f>B290&amp;E290</f>
        <v/>
      </c>
      <c r="B290" s="174">
        <f>B5</f>
        <v/>
      </c>
      <c r="C290" s="174">
        <f>C5</f>
        <v/>
      </c>
      <c r="D290" s="174">
        <f>D5</f>
        <v/>
      </c>
      <c r="E290" s="174">
        <f>H5</f>
        <v/>
      </c>
      <c r="F290" s="157">
        <f>I5</f>
        <v/>
      </c>
      <c r="G290" s="174" t="inlineStr">
        <is>
          <t>Home</t>
        </is>
      </c>
      <c r="H290" s="176">
        <f>E5</f>
        <v/>
      </c>
      <c r="I290" s="157">
        <f>F5</f>
        <v/>
      </c>
      <c r="J290" s="177">
        <f>J5</f>
        <v/>
      </c>
      <c r="K290" s="156">
        <f>IF(AND(F290=0,I290=0),"",IF(F290&gt;I290,B290&amp;E290,IF(F290&lt;I290,B290&amp;H290,"Tie")))</f>
        <v/>
      </c>
      <c r="L290" s="156">
        <f>IFERROR(IF(AND(B290&lt;$L$1,F290&gt;I290),"Win",IF(AND(B290&lt;$L$1,F290&lt;I290),"Loss","")),"")</f>
        <v/>
      </c>
      <c r="M290" s="156">
        <f>IF(B290&lt;_CurWeek,"In","")</f>
        <v/>
      </c>
      <c r="N290" s="156">
        <f>IF(M290="In",E290&amp;G290,"")</f>
        <v/>
      </c>
      <c r="O290" s="156">
        <f>IF(L290="Win",1,0)</f>
        <v/>
      </c>
    </row>
    <row r="291" ht="14.4" customHeight="1" s="152">
      <c r="A291" s="167">
        <f>B291&amp;E291</f>
        <v/>
      </c>
      <c r="B291" s="174">
        <f>B6</f>
        <v/>
      </c>
      <c r="C291" s="174">
        <f>C6</f>
        <v/>
      </c>
      <c r="D291" s="174">
        <f>D6</f>
        <v/>
      </c>
      <c r="E291" s="174">
        <f>H6</f>
        <v/>
      </c>
      <c r="F291" s="157">
        <f>I6</f>
        <v/>
      </c>
      <c r="G291" s="174" t="inlineStr">
        <is>
          <t>Home</t>
        </is>
      </c>
      <c r="H291" s="176">
        <f>E6</f>
        <v/>
      </c>
      <c r="I291" s="157">
        <f>F6</f>
        <v/>
      </c>
      <c r="J291" s="177">
        <f>J6</f>
        <v/>
      </c>
      <c r="K291" s="156">
        <f>IF(AND(F291=0,I291=0),"",IF(F291&gt;I291,B291&amp;E291,IF(F291&lt;I291,B291&amp;H291,"Tie")))</f>
        <v/>
      </c>
      <c r="L291" s="156">
        <f>IFERROR(IF(AND(B291&lt;$L$1,F291&gt;I291),"Win",IF(AND(B291&lt;$L$1,F291&lt;I291),"Loss","")),"")</f>
        <v/>
      </c>
      <c r="M291" s="156">
        <f>IF(B291&lt;_CurWeek,"In","")</f>
        <v/>
      </c>
      <c r="N291" s="156">
        <f>IF(M291="In",E291&amp;G291,"")</f>
        <v/>
      </c>
      <c r="O291" s="156">
        <f>IF(L291="Win",1,0)</f>
        <v/>
      </c>
    </row>
    <row r="292" ht="14.4" customHeight="1" s="152">
      <c r="A292" s="167">
        <f>B292&amp;E292</f>
        <v/>
      </c>
      <c r="B292" s="174">
        <f>B7</f>
        <v/>
      </c>
      <c r="C292" s="174">
        <f>C7</f>
        <v/>
      </c>
      <c r="D292" s="174">
        <f>D7</f>
        <v/>
      </c>
      <c r="E292" s="174">
        <f>H7</f>
        <v/>
      </c>
      <c r="F292" s="157">
        <f>I7</f>
        <v/>
      </c>
      <c r="G292" s="174" t="inlineStr">
        <is>
          <t>Home</t>
        </is>
      </c>
      <c r="H292" s="176">
        <f>E7</f>
        <v/>
      </c>
      <c r="I292" s="157">
        <f>F7</f>
        <v/>
      </c>
      <c r="J292" s="177">
        <f>J7</f>
        <v/>
      </c>
      <c r="K292" s="156">
        <f>IF(AND(F292=0,I292=0),"",IF(F292&gt;I292,B292&amp;E292,IF(F292&lt;I292,B292&amp;H292,"Tie")))</f>
        <v/>
      </c>
      <c r="L292" s="156">
        <f>IFERROR(IF(AND(B292&lt;$L$1,F292&gt;I292),"Win",IF(AND(B292&lt;$L$1,F292&lt;I292),"Loss","")),"")</f>
        <v/>
      </c>
      <c r="M292" s="156">
        <f>IF(B292&lt;_CurWeek,"In","")</f>
        <v/>
      </c>
      <c r="N292" s="156">
        <f>IF(M292="In",E292&amp;G292,"")</f>
        <v/>
      </c>
      <c r="O292" s="156">
        <f>IF(L292="Win",1,0)</f>
        <v/>
      </c>
    </row>
    <row r="293" ht="14.4" customHeight="1" s="152">
      <c r="A293" s="167">
        <f>B293&amp;E293</f>
        <v/>
      </c>
      <c r="B293" s="174">
        <f>B8</f>
        <v/>
      </c>
      <c r="C293" s="174">
        <f>C8</f>
        <v/>
      </c>
      <c r="D293" s="174">
        <f>D8</f>
        <v/>
      </c>
      <c r="E293" s="174">
        <f>H8</f>
        <v/>
      </c>
      <c r="F293" s="157">
        <f>I8</f>
        <v/>
      </c>
      <c r="G293" s="174" t="inlineStr">
        <is>
          <t>Home</t>
        </is>
      </c>
      <c r="H293" s="176">
        <f>E8</f>
        <v/>
      </c>
      <c r="I293" s="157">
        <f>F8</f>
        <v/>
      </c>
      <c r="J293" s="177">
        <f>J8</f>
        <v/>
      </c>
      <c r="K293" s="156">
        <f>IF(AND(F293=0,I293=0),"",IF(F293&gt;I293,B293&amp;E293,IF(F293&lt;I293,B293&amp;H293,"Tie")))</f>
        <v/>
      </c>
      <c r="L293" s="156">
        <f>IFERROR(IF(AND(B293&lt;$L$1,F293&gt;I293),"Win",IF(AND(B293&lt;$L$1,F293&lt;I293),"Loss","")),"")</f>
        <v/>
      </c>
      <c r="M293" s="156">
        <f>IF(B293&lt;_CurWeek,"In","")</f>
        <v/>
      </c>
      <c r="N293" s="156">
        <f>IF(M293="In",E293&amp;G293,"")</f>
        <v/>
      </c>
      <c r="O293" s="156">
        <f>IF(L293="Win",1,0)</f>
        <v/>
      </c>
    </row>
    <row r="294" ht="14.4" customHeight="1" s="152">
      <c r="A294" s="167">
        <f>B294&amp;E294</f>
        <v/>
      </c>
      <c r="B294" s="174">
        <f>B9</f>
        <v/>
      </c>
      <c r="C294" s="174">
        <f>C9</f>
        <v/>
      </c>
      <c r="D294" s="174">
        <f>D9</f>
        <v/>
      </c>
      <c r="E294" s="174">
        <f>H9</f>
        <v/>
      </c>
      <c r="F294" s="157">
        <f>I9</f>
        <v/>
      </c>
      <c r="G294" s="174" t="inlineStr">
        <is>
          <t>Home</t>
        </is>
      </c>
      <c r="H294" s="176">
        <f>E9</f>
        <v/>
      </c>
      <c r="I294" s="157">
        <f>F9</f>
        <v/>
      </c>
      <c r="J294" s="177">
        <f>J9</f>
        <v/>
      </c>
      <c r="K294" s="156">
        <f>IF(AND(F294=0,I294=0),"",IF(F294&gt;I294,B294&amp;E294,IF(F294&lt;I294,B294&amp;H294,"Tie")))</f>
        <v/>
      </c>
      <c r="L294" s="156">
        <f>IFERROR(IF(AND(B294&lt;$L$1,F294&gt;I294),"Win",IF(AND(B294&lt;$L$1,F294&lt;I294),"Loss","")),"")</f>
        <v/>
      </c>
      <c r="M294" s="156">
        <f>IF(B294&lt;_CurWeek,"In","")</f>
        <v/>
      </c>
      <c r="N294" s="156">
        <f>IF(M294="In",E294&amp;G294,"")</f>
        <v/>
      </c>
      <c r="O294" s="156">
        <f>IF(L294="Win",1,0)</f>
        <v/>
      </c>
    </row>
    <row r="295" ht="14.4" customHeight="1" s="152">
      <c r="A295" s="167">
        <f>B295&amp;E295</f>
        <v/>
      </c>
      <c r="B295" s="174">
        <f>B10</f>
        <v/>
      </c>
      <c r="C295" s="174">
        <f>C10</f>
        <v/>
      </c>
      <c r="D295" s="174">
        <f>D10</f>
        <v/>
      </c>
      <c r="E295" s="174">
        <f>H10</f>
        <v/>
      </c>
      <c r="F295" s="157">
        <f>I10</f>
        <v/>
      </c>
      <c r="G295" s="174" t="inlineStr">
        <is>
          <t>Home</t>
        </is>
      </c>
      <c r="H295" s="176">
        <f>E10</f>
        <v/>
      </c>
      <c r="I295" s="157">
        <f>F10</f>
        <v/>
      </c>
      <c r="J295" s="177">
        <f>J10</f>
        <v/>
      </c>
      <c r="K295" s="156">
        <f>IF(AND(F295=0,I295=0),"",IF(F295&gt;I295,B295&amp;E295,IF(F295&lt;I295,B295&amp;H295,"Tie")))</f>
        <v/>
      </c>
      <c r="L295" s="156">
        <f>IFERROR(IF(AND(B295&lt;$L$1,F295&gt;I295),"Win",IF(AND(B295&lt;$L$1,F295&lt;I295),"Loss","")),"")</f>
        <v/>
      </c>
      <c r="M295" s="156">
        <f>IF(B295&lt;_CurWeek,"In","")</f>
        <v/>
      </c>
      <c r="N295" s="156">
        <f>IF(M295="In",E295&amp;G295,"")</f>
        <v/>
      </c>
      <c r="O295" s="156">
        <f>IF(L295="Win",1,0)</f>
        <v/>
      </c>
    </row>
    <row r="296" ht="14.4" customHeight="1" s="152">
      <c r="A296" s="167">
        <f>B296&amp;E296</f>
        <v/>
      </c>
      <c r="B296" s="174">
        <f>B11</f>
        <v/>
      </c>
      <c r="C296" s="174">
        <f>C11</f>
        <v/>
      </c>
      <c r="D296" s="174">
        <f>D11</f>
        <v/>
      </c>
      <c r="E296" s="174">
        <f>H11</f>
        <v/>
      </c>
      <c r="F296" s="157">
        <f>I11</f>
        <v/>
      </c>
      <c r="G296" s="174" t="inlineStr">
        <is>
          <t>Home</t>
        </is>
      </c>
      <c r="H296" s="176">
        <f>E11</f>
        <v/>
      </c>
      <c r="I296" s="157">
        <f>F11</f>
        <v/>
      </c>
      <c r="J296" s="177">
        <f>J11</f>
        <v/>
      </c>
      <c r="K296" s="156">
        <f>IF(AND(F296=0,I296=0),"",IF(F296&gt;I296,B296&amp;E296,IF(F296&lt;I296,B296&amp;H296,"Tie")))</f>
        <v/>
      </c>
      <c r="L296" s="156">
        <f>IFERROR(IF(AND(B296&lt;$L$1,F296&gt;I296),"Win",IF(AND(B296&lt;$L$1,F296&lt;I296),"Loss","")),"")</f>
        <v/>
      </c>
      <c r="M296" s="156">
        <f>IF(B296&lt;_CurWeek,"In","")</f>
        <v/>
      </c>
      <c r="N296" s="156">
        <f>IF(M296="In",E296&amp;G296,"")</f>
        <v/>
      </c>
      <c r="O296" s="156">
        <f>IF(L296="Win",1,0)</f>
        <v/>
      </c>
    </row>
    <row r="297" ht="14.4" customHeight="1" s="152">
      <c r="A297" s="167">
        <f>B297&amp;E297</f>
        <v/>
      </c>
      <c r="B297" s="174">
        <f>B12</f>
        <v/>
      </c>
      <c r="C297" s="174">
        <f>C12</f>
        <v/>
      </c>
      <c r="D297" s="174">
        <f>D12</f>
        <v/>
      </c>
      <c r="E297" s="174">
        <f>H12</f>
        <v/>
      </c>
      <c r="F297" s="157">
        <f>I12</f>
        <v/>
      </c>
      <c r="G297" s="174" t="inlineStr">
        <is>
          <t>Home</t>
        </is>
      </c>
      <c r="H297" s="176">
        <f>E12</f>
        <v/>
      </c>
      <c r="I297" s="157">
        <f>F12</f>
        <v/>
      </c>
      <c r="J297" s="177">
        <f>J12</f>
        <v/>
      </c>
      <c r="K297" s="156">
        <f>IF(AND(F297=0,I297=0),"",IF(F297&gt;I297,B297&amp;E297,IF(F297&lt;I297,B297&amp;H297,"Tie")))</f>
        <v/>
      </c>
      <c r="L297" s="156">
        <f>IFERROR(IF(AND(B297&lt;$L$1,F297&gt;I297),"Win",IF(AND(B297&lt;$L$1,F297&lt;I297),"Loss","")),"")</f>
        <v/>
      </c>
      <c r="M297" s="156">
        <f>IF(B297&lt;_CurWeek,"In","")</f>
        <v/>
      </c>
      <c r="N297" s="156">
        <f>IF(M297="In",E297&amp;G297,"")</f>
        <v/>
      </c>
      <c r="O297" s="156">
        <f>IF(L297="Win",1,0)</f>
        <v/>
      </c>
    </row>
    <row r="298" ht="14.4" customHeight="1" s="152">
      <c r="A298" s="167">
        <f>B298&amp;E298</f>
        <v/>
      </c>
      <c r="B298" s="174">
        <f>B13</f>
        <v/>
      </c>
      <c r="C298" s="174">
        <f>C13</f>
        <v/>
      </c>
      <c r="D298" s="174">
        <f>D13</f>
        <v/>
      </c>
      <c r="E298" s="174">
        <f>H13</f>
        <v/>
      </c>
      <c r="F298" s="157">
        <f>I13</f>
        <v/>
      </c>
      <c r="G298" s="174" t="inlineStr">
        <is>
          <t>Home</t>
        </is>
      </c>
      <c r="H298" s="176">
        <f>E13</f>
        <v/>
      </c>
      <c r="I298" s="157">
        <f>F13</f>
        <v/>
      </c>
      <c r="J298" s="177">
        <f>J13</f>
        <v/>
      </c>
      <c r="K298" s="156">
        <f>IF(AND(F298=0,I298=0),"",IF(F298&gt;I298,B298&amp;E298,IF(F298&lt;I298,B298&amp;H298,"Tie")))</f>
        <v/>
      </c>
      <c r="L298" s="156">
        <f>IFERROR(IF(AND(B298&lt;$L$1,F298&gt;I298),"Win",IF(AND(B298&lt;$L$1,F298&lt;I298),"Loss","")),"")</f>
        <v/>
      </c>
      <c r="M298" s="156">
        <f>IF(B298&lt;_CurWeek,"In","")</f>
        <v/>
      </c>
      <c r="N298" s="156">
        <f>IF(M298="In",E298&amp;G298,"")</f>
        <v/>
      </c>
      <c r="O298" s="156">
        <f>IF(L298="Win",1,0)</f>
        <v/>
      </c>
    </row>
    <row r="299" ht="14.4" customHeight="1" s="152">
      <c r="A299" s="167">
        <f>B299&amp;E299</f>
        <v/>
      </c>
      <c r="B299" s="174">
        <f>B14</f>
        <v/>
      </c>
      <c r="C299" s="174">
        <f>C14</f>
        <v/>
      </c>
      <c r="D299" s="174">
        <f>D14</f>
        <v/>
      </c>
      <c r="E299" s="174">
        <f>H14</f>
        <v/>
      </c>
      <c r="F299" s="157">
        <f>I14</f>
        <v/>
      </c>
      <c r="G299" s="174" t="inlineStr">
        <is>
          <t>Home</t>
        </is>
      </c>
      <c r="H299" s="176">
        <f>E14</f>
        <v/>
      </c>
      <c r="I299" s="157">
        <f>F14</f>
        <v/>
      </c>
      <c r="J299" s="177">
        <f>J14</f>
        <v/>
      </c>
      <c r="K299" s="156">
        <f>IF(AND(F299=0,I299=0),"",IF(F299&gt;I299,B299&amp;E299,IF(F299&lt;I299,B299&amp;H299,"Tie")))</f>
        <v/>
      </c>
      <c r="L299" s="156">
        <f>IFERROR(IF(AND(B299&lt;$L$1,F299&gt;I299),"Win",IF(AND(B299&lt;$L$1,F299&lt;I299),"Loss","")),"")</f>
        <v/>
      </c>
      <c r="M299" s="156">
        <f>IF(B299&lt;_CurWeek,"In","")</f>
        <v/>
      </c>
      <c r="N299" s="156">
        <f>IF(M299="In",E299&amp;G299,"")</f>
        <v/>
      </c>
      <c r="O299" s="156">
        <f>IF(L299="Win",1,0)</f>
        <v/>
      </c>
    </row>
    <row r="300" ht="14.4" customHeight="1" s="152">
      <c r="A300" s="167">
        <f>B300&amp;E300</f>
        <v/>
      </c>
      <c r="B300" s="174">
        <f>B15</f>
        <v/>
      </c>
      <c r="C300" s="174">
        <f>C15</f>
        <v/>
      </c>
      <c r="D300" s="174">
        <f>D15</f>
        <v/>
      </c>
      <c r="E300" s="174">
        <f>H15</f>
        <v/>
      </c>
      <c r="F300" s="157">
        <f>I15</f>
        <v/>
      </c>
      <c r="G300" s="174" t="inlineStr">
        <is>
          <t>Home</t>
        </is>
      </c>
      <c r="H300" s="176">
        <f>E15</f>
        <v/>
      </c>
      <c r="I300" s="157">
        <f>F15</f>
        <v/>
      </c>
      <c r="J300" s="177">
        <f>J15</f>
        <v/>
      </c>
      <c r="K300" s="156">
        <f>IF(AND(F300=0,I300=0),"",IF(F300&gt;I300,B300&amp;E300,IF(F300&lt;I300,B300&amp;H300,"Tie")))</f>
        <v/>
      </c>
      <c r="L300" s="156">
        <f>IFERROR(IF(AND(B300&lt;$L$1,F300&gt;I300),"Win",IF(AND(B300&lt;$L$1,F300&lt;I300),"Loss","")),"")</f>
        <v/>
      </c>
      <c r="M300" s="156">
        <f>IF(B300&lt;_CurWeek,"In","")</f>
        <v/>
      </c>
      <c r="N300" s="156">
        <f>IF(M300="In",E300&amp;G300,"")</f>
        <v/>
      </c>
      <c r="O300" s="156">
        <f>IF(L300="Win",1,0)</f>
        <v/>
      </c>
    </row>
    <row r="301" ht="14.4" customHeight="1" s="152">
      <c r="A301" s="167">
        <f>B301&amp;E301</f>
        <v/>
      </c>
      <c r="B301" s="174">
        <f>B16</f>
        <v/>
      </c>
      <c r="C301" s="174">
        <f>C16</f>
        <v/>
      </c>
      <c r="D301" s="174">
        <f>D16</f>
        <v/>
      </c>
      <c r="E301" s="174">
        <f>H16</f>
        <v/>
      </c>
      <c r="F301" s="157">
        <f>I16</f>
        <v/>
      </c>
      <c r="G301" s="174" t="inlineStr">
        <is>
          <t>Home</t>
        </is>
      </c>
      <c r="H301" s="176">
        <f>E16</f>
        <v/>
      </c>
      <c r="I301" s="157">
        <f>F16</f>
        <v/>
      </c>
      <c r="J301" s="177">
        <f>J16</f>
        <v/>
      </c>
      <c r="K301" s="156">
        <f>IF(AND(F301=0,I301=0),"",IF(F301&gt;I301,B301&amp;E301,IF(F301&lt;I301,B301&amp;H301,"Tie")))</f>
        <v/>
      </c>
      <c r="L301" s="156">
        <f>IFERROR(IF(AND(B301&lt;$L$1,F301&gt;I301),"Win",IF(AND(B301&lt;$L$1,F301&lt;I301),"Loss","")),"")</f>
        <v/>
      </c>
      <c r="M301" s="156">
        <f>IF(B301&lt;_CurWeek,"In","")</f>
        <v/>
      </c>
      <c r="N301" s="156">
        <f>IF(M301="In",E301&amp;G301,"")</f>
        <v/>
      </c>
      <c r="O301" s="156">
        <f>IF(L301="Win",1,0)</f>
        <v/>
      </c>
    </row>
    <row r="302" ht="14.4" customHeight="1" s="152">
      <c r="A302" s="167">
        <f>B302&amp;E302</f>
        <v/>
      </c>
      <c r="B302" s="174">
        <f>B17</f>
        <v/>
      </c>
      <c r="C302" s="174">
        <f>C17</f>
        <v/>
      </c>
      <c r="D302" s="174">
        <f>D17</f>
        <v/>
      </c>
      <c r="E302" s="174">
        <f>H17</f>
        <v/>
      </c>
      <c r="F302" s="157">
        <f>I17</f>
        <v/>
      </c>
      <c r="G302" s="174" t="inlineStr">
        <is>
          <t>Home</t>
        </is>
      </c>
      <c r="H302" s="176">
        <f>E17</f>
        <v/>
      </c>
      <c r="I302" s="157">
        <f>F17</f>
        <v/>
      </c>
      <c r="J302" s="177">
        <f>J17</f>
        <v/>
      </c>
      <c r="K302" s="156">
        <f>IF(AND(F302=0,I302=0),"",IF(F302&gt;I302,B302&amp;E302,IF(F302&lt;I302,B302&amp;H302,"Tie")))</f>
        <v/>
      </c>
      <c r="L302" s="156">
        <f>IFERROR(IF(AND(B302&lt;$L$1,F302&gt;I302),"Win",IF(AND(B302&lt;$L$1,F302&lt;I302),"Loss","")),"")</f>
        <v/>
      </c>
      <c r="M302" s="156">
        <f>IF(B302&lt;_CurWeek,"In","")</f>
        <v/>
      </c>
      <c r="N302" s="156">
        <f>IF(M302="In",E302&amp;G302,"")</f>
        <v/>
      </c>
      <c r="O302" s="156">
        <f>IF(L302="Win",1,0)</f>
        <v/>
      </c>
    </row>
    <row r="303" ht="14.4" customHeight="1" s="152">
      <c r="A303" s="167">
        <f>B303&amp;E303</f>
        <v/>
      </c>
      <c r="B303" s="174">
        <f>B18</f>
        <v/>
      </c>
      <c r="C303" s="174">
        <f>C18</f>
        <v/>
      </c>
      <c r="D303" s="174">
        <f>D18</f>
        <v/>
      </c>
      <c r="E303" s="174">
        <f>H18</f>
        <v/>
      </c>
      <c r="F303" s="157">
        <f>I18</f>
        <v/>
      </c>
      <c r="G303" s="174" t="inlineStr">
        <is>
          <t>Home</t>
        </is>
      </c>
      <c r="H303" s="176">
        <f>E18</f>
        <v/>
      </c>
      <c r="I303" s="157">
        <f>F18</f>
        <v/>
      </c>
      <c r="J303" s="177">
        <f>J18</f>
        <v/>
      </c>
      <c r="K303" s="156">
        <f>IF(AND(F303=0,I303=0),"",IF(F303&gt;I303,B303&amp;E303,IF(F303&lt;I303,B303&amp;H303,"Tie")))</f>
        <v/>
      </c>
      <c r="L303" s="156">
        <f>IFERROR(IF(AND(B303&lt;$L$1,F303&gt;I303),"Win",IF(AND(B303&lt;$L$1,F303&lt;I303),"Loss","")),"")</f>
        <v/>
      </c>
      <c r="M303" s="156">
        <f>IF(B303&lt;_CurWeek,"In","")</f>
        <v/>
      </c>
      <c r="N303" s="156">
        <f>IF(M303="In",E303&amp;G303,"")</f>
        <v/>
      </c>
      <c r="O303" s="156">
        <f>IF(L303="Win",1,0)</f>
        <v/>
      </c>
    </row>
    <row r="304" ht="14.4" customHeight="1" s="152">
      <c r="A304" s="167">
        <f>B304&amp;E304</f>
        <v/>
      </c>
      <c r="B304" s="174">
        <f>B19</f>
        <v/>
      </c>
      <c r="C304" s="174">
        <f>C19</f>
        <v/>
      </c>
      <c r="D304" s="174">
        <f>D19</f>
        <v/>
      </c>
      <c r="E304" s="174">
        <f>H19</f>
        <v/>
      </c>
      <c r="F304" s="157">
        <f>I19</f>
        <v/>
      </c>
      <c r="G304" s="174" t="inlineStr">
        <is>
          <t>Home</t>
        </is>
      </c>
      <c r="H304" s="176">
        <f>E19</f>
        <v/>
      </c>
      <c r="I304" s="157">
        <f>F19</f>
        <v/>
      </c>
      <c r="J304" s="177">
        <f>J19</f>
        <v/>
      </c>
      <c r="K304" s="156">
        <f>IF(AND(F304=0,I304=0),"",IF(F304&gt;I304,B304&amp;E304,IF(F304&lt;I304,B304&amp;H304,"Tie")))</f>
        <v/>
      </c>
      <c r="L304" s="156">
        <f>IFERROR(IF(AND(B304&lt;$L$1,F304&gt;I304),"Win",IF(AND(B304&lt;$L$1,F304&lt;I304),"Loss","")),"")</f>
        <v/>
      </c>
      <c r="M304" s="156">
        <f>IF(B304&lt;_CurWeek,"In","")</f>
        <v/>
      </c>
      <c r="N304" s="156">
        <f>IF(M304="In",E304&amp;G304,"")</f>
        <v/>
      </c>
      <c r="O304" s="156">
        <f>IF(L304="Win",1,0)</f>
        <v/>
      </c>
    </row>
    <row r="305" ht="14.4" customHeight="1" s="152">
      <c r="A305" s="167">
        <f>B305&amp;E305</f>
        <v/>
      </c>
      <c r="B305" s="174">
        <f>B20</f>
        <v/>
      </c>
      <c r="C305" s="174">
        <f>C20</f>
        <v/>
      </c>
      <c r="D305" s="174">
        <f>D20</f>
        <v/>
      </c>
      <c r="E305" s="174">
        <f>H20</f>
        <v/>
      </c>
      <c r="F305" s="157">
        <f>I20</f>
        <v/>
      </c>
      <c r="G305" s="174" t="inlineStr">
        <is>
          <t>Home</t>
        </is>
      </c>
      <c r="H305" s="176">
        <f>E20</f>
        <v/>
      </c>
      <c r="I305" s="157">
        <f>F20</f>
        <v/>
      </c>
      <c r="J305" s="177">
        <f>J20</f>
        <v/>
      </c>
      <c r="K305" s="156">
        <f>IF(AND(F305=0,I305=0),"",IF(F305&gt;I305,B305&amp;E305,IF(F305&lt;I305,B305&amp;H305,"Tie")))</f>
        <v/>
      </c>
      <c r="L305" s="156">
        <f>IFERROR(IF(AND(B305&lt;$L$1,F305&gt;I305),"Win",IF(AND(B305&lt;$L$1,F305&lt;I305),"Loss","")),"")</f>
        <v/>
      </c>
      <c r="M305" s="156">
        <f>IF(B305&lt;_CurWeek,"In","")</f>
        <v/>
      </c>
      <c r="N305" s="156">
        <f>IF(M305="In",E305&amp;G305,"")</f>
        <v/>
      </c>
      <c r="O305" s="156">
        <f>IF(L305="Win",1,0)</f>
        <v/>
      </c>
    </row>
    <row r="306" ht="14.4" customHeight="1" s="152">
      <c r="A306" s="167">
        <f>B306&amp;E306</f>
        <v/>
      </c>
      <c r="B306" s="174">
        <f>B21</f>
        <v/>
      </c>
      <c r="C306" s="174">
        <f>C21</f>
        <v/>
      </c>
      <c r="D306" s="174">
        <f>D21</f>
        <v/>
      </c>
      <c r="E306" s="174">
        <f>H21</f>
        <v/>
      </c>
      <c r="F306" s="157">
        <f>I21</f>
        <v/>
      </c>
      <c r="G306" s="174" t="inlineStr">
        <is>
          <t>Home</t>
        </is>
      </c>
      <c r="H306" s="176">
        <f>E21</f>
        <v/>
      </c>
      <c r="I306" s="157">
        <f>F21</f>
        <v/>
      </c>
      <c r="J306" s="177">
        <f>J21</f>
        <v/>
      </c>
      <c r="K306" s="156">
        <f>IF(AND(F306=0,I306=0),"",IF(F306&gt;I306,B306&amp;E306,IF(F306&lt;I306,B306&amp;H306,"Tie")))</f>
        <v/>
      </c>
      <c r="L306" s="156">
        <f>IFERROR(IF(AND(B306&lt;$L$1,F306&gt;I306),"Win",IF(AND(B306&lt;$L$1,F306&lt;I306),"Loss","")),"")</f>
        <v/>
      </c>
      <c r="M306" s="156">
        <f>IF(B306&lt;_CurWeek,"In","")</f>
        <v/>
      </c>
      <c r="N306" s="156">
        <f>IF(M306="In",E306&amp;G306,"")</f>
        <v/>
      </c>
      <c r="O306" s="156">
        <f>IF(L306="Win",1,0)</f>
        <v/>
      </c>
    </row>
    <row r="307" ht="14.4" customHeight="1" s="152">
      <c r="A307" s="167">
        <f>B307&amp;E307</f>
        <v/>
      </c>
      <c r="B307" s="174">
        <f>B22</f>
        <v/>
      </c>
      <c r="C307" s="174">
        <f>C22</f>
        <v/>
      </c>
      <c r="D307" s="174">
        <f>D22</f>
        <v/>
      </c>
      <c r="E307" s="174">
        <f>H22</f>
        <v/>
      </c>
      <c r="F307" s="157">
        <f>I22</f>
        <v/>
      </c>
      <c r="G307" s="174" t="inlineStr">
        <is>
          <t>Home</t>
        </is>
      </c>
      <c r="H307" s="176">
        <f>E22</f>
        <v/>
      </c>
      <c r="I307" s="157">
        <f>F22</f>
        <v/>
      </c>
      <c r="J307" s="177">
        <f>J22</f>
        <v/>
      </c>
      <c r="K307" s="156">
        <f>IF(AND(F307=0,I307=0),"",IF(F307&gt;I307,B307&amp;E307,IF(F307&lt;I307,B307&amp;H307,"Tie")))</f>
        <v/>
      </c>
      <c r="L307" s="156">
        <f>IFERROR(IF(AND(B307&lt;$L$1,F307&gt;I307),"Win",IF(AND(B307&lt;$L$1,F307&lt;I307),"Loss","")),"")</f>
        <v/>
      </c>
      <c r="M307" s="156">
        <f>IF(B307&lt;_CurWeek,"In","")</f>
        <v/>
      </c>
      <c r="N307" s="156">
        <f>IF(M307="In",E307&amp;G307,"")</f>
        <v/>
      </c>
      <c r="O307" s="156">
        <f>IF(L307="Win",1,0)</f>
        <v/>
      </c>
    </row>
    <row r="308" ht="14.4" customHeight="1" s="152">
      <c r="A308" s="167">
        <f>B308&amp;E308</f>
        <v/>
      </c>
      <c r="B308" s="174">
        <f>B23</f>
        <v/>
      </c>
      <c r="C308" s="174">
        <f>C23</f>
        <v/>
      </c>
      <c r="D308" s="174">
        <f>D23</f>
        <v/>
      </c>
      <c r="E308" s="174">
        <f>H23</f>
        <v/>
      </c>
      <c r="F308" s="157">
        <f>I23</f>
        <v/>
      </c>
      <c r="G308" s="174" t="inlineStr">
        <is>
          <t>Home</t>
        </is>
      </c>
      <c r="H308" s="176">
        <f>E23</f>
        <v/>
      </c>
      <c r="I308" s="157">
        <f>F23</f>
        <v/>
      </c>
      <c r="J308" s="177">
        <f>J23</f>
        <v/>
      </c>
      <c r="K308" s="156">
        <f>IF(AND(F308=0,I308=0),"",IF(F308&gt;I308,B308&amp;E308,IF(F308&lt;I308,B308&amp;H308,"Tie")))</f>
        <v/>
      </c>
      <c r="L308" s="156">
        <f>IFERROR(IF(AND(B308&lt;$L$1,F308&gt;I308),"Win",IF(AND(B308&lt;$L$1,F308&lt;I308),"Loss","")),"")</f>
        <v/>
      </c>
      <c r="M308" s="156">
        <f>IF(B308&lt;_CurWeek,"In","")</f>
        <v/>
      </c>
      <c r="N308" s="156">
        <f>IF(M308="In",E308&amp;G308,"")</f>
        <v/>
      </c>
      <c r="O308" s="156">
        <f>IF(L308="Win",1,0)</f>
        <v/>
      </c>
    </row>
    <row r="309" ht="14.4" customHeight="1" s="152">
      <c r="A309" s="167">
        <f>B309&amp;E309</f>
        <v/>
      </c>
      <c r="B309" s="174">
        <f>B24</f>
        <v/>
      </c>
      <c r="C309" s="174">
        <f>C24</f>
        <v/>
      </c>
      <c r="D309" s="174">
        <f>D24</f>
        <v/>
      </c>
      <c r="E309" s="174">
        <f>H24</f>
        <v/>
      </c>
      <c r="F309" s="157">
        <f>I24</f>
        <v/>
      </c>
      <c r="G309" s="174" t="inlineStr">
        <is>
          <t>Home</t>
        </is>
      </c>
      <c r="H309" s="176">
        <f>E24</f>
        <v/>
      </c>
      <c r="I309" s="157">
        <f>F24</f>
        <v/>
      </c>
      <c r="J309" s="177">
        <f>J24</f>
        <v/>
      </c>
      <c r="K309" s="156">
        <f>IF(AND(F309=0,I309=0),"",IF(F309&gt;I309,B309&amp;E309,IF(F309&lt;I309,B309&amp;H309,"Tie")))</f>
        <v/>
      </c>
      <c r="L309" s="156">
        <f>IFERROR(IF(AND(B309&lt;$L$1,F309&gt;I309),"Win",IF(AND(B309&lt;$L$1,F309&lt;I309),"Loss","")),"")</f>
        <v/>
      </c>
      <c r="M309" s="156">
        <f>IF(B309&lt;_CurWeek,"In","")</f>
        <v/>
      </c>
      <c r="N309" s="156">
        <f>IF(M309="In",E309&amp;G309,"")</f>
        <v/>
      </c>
      <c r="O309" s="156">
        <f>IF(L309="Win",1,0)</f>
        <v/>
      </c>
    </row>
    <row r="310" ht="14.4" customHeight="1" s="152">
      <c r="A310" s="167">
        <f>B310&amp;E310</f>
        <v/>
      </c>
      <c r="B310" s="174">
        <f>B25</f>
        <v/>
      </c>
      <c r="C310" s="174">
        <f>C25</f>
        <v/>
      </c>
      <c r="D310" s="174">
        <f>D25</f>
        <v/>
      </c>
      <c r="E310" s="174">
        <f>H25</f>
        <v/>
      </c>
      <c r="F310" s="157">
        <f>I25</f>
        <v/>
      </c>
      <c r="G310" s="174" t="inlineStr">
        <is>
          <t>Home</t>
        </is>
      </c>
      <c r="H310" s="176">
        <f>E25</f>
        <v/>
      </c>
      <c r="I310" s="157">
        <f>F25</f>
        <v/>
      </c>
      <c r="J310" s="177">
        <f>J25</f>
        <v/>
      </c>
      <c r="K310" s="156">
        <f>IF(AND(F310=0,I310=0),"",IF(F310&gt;I310,B310&amp;E310,IF(F310&lt;I310,B310&amp;H310,"Tie")))</f>
        <v/>
      </c>
      <c r="L310" s="156">
        <f>IFERROR(IF(AND(B310&lt;$L$1,F310&gt;I310),"Win",IF(AND(B310&lt;$L$1,F310&lt;I310),"Loss","")),"")</f>
        <v/>
      </c>
      <c r="M310" s="156">
        <f>IF(B310&lt;_CurWeek,"In","")</f>
        <v/>
      </c>
      <c r="N310" s="156">
        <f>IF(M310="In",E310&amp;G310,"")</f>
        <v/>
      </c>
      <c r="O310" s="156">
        <f>IF(L310="Win",1,0)</f>
        <v/>
      </c>
    </row>
    <row r="311" ht="14.4" customHeight="1" s="152">
      <c r="A311" s="167">
        <f>B311&amp;E311</f>
        <v/>
      </c>
      <c r="B311" s="174">
        <f>B26</f>
        <v/>
      </c>
      <c r="C311" s="174">
        <f>C26</f>
        <v/>
      </c>
      <c r="D311" s="174">
        <f>D26</f>
        <v/>
      </c>
      <c r="E311" s="174">
        <f>H26</f>
        <v/>
      </c>
      <c r="F311" s="157">
        <f>I26</f>
        <v/>
      </c>
      <c r="G311" s="174" t="inlineStr">
        <is>
          <t>Home</t>
        </is>
      </c>
      <c r="H311" s="176">
        <f>E26</f>
        <v/>
      </c>
      <c r="I311" s="157">
        <f>F26</f>
        <v/>
      </c>
      <c r="J311" s="177">
        <f>J26</f>
        <v/>
      </c>
      <c r="K311" s="156">
        <f>IF(AND(F311=0,I311=0),"",IF(F311&gt;I311,B311&amp;E311,IF(F311&lt;I311,B311&amp;H311,"Tie")))</f>
        <v/>
      </c>
      <c r="L311" s="156">
        <f>IFERROR(IF(AND(B311&lt;$L$1,F311&gt;I311),"Win",IF(AND(B311&lt;$L$1,F311&lt;I311),"Loss","")),"")</f>
        <v/>
      </c>
      <c r="M311" s="156">
        <f>IF(B311&lt;_CurWeek,"In","")</f>
        <v/>
      </c>
      <c r="N311" s="156">
        <f>IF(M311="In",E311&amp;G311,"")</f>
        <v/>
      </c>
      <c r="O311" s="156">
        <f>IF(L311="Win",1,0)</f>
        <v/>
      </c>
    </row>
    <row r="312" ht="14.4" customHeight="1" s="152">
      <c r="A312" s="167">
        <f>B312&amp;E312</f>
        <v/>
      </c>
      <c r="B312" s="174">
        <f>B27</f>
        <v/>
      </c>
      <c r="C312" s="174">
        <f>C27</f>
        <v/>
      </c>
      <c r="D312" s="174">
        <f>D27</f>
        <v/>
      </c>
      <c r="E312" s="174">
        <f>H27</f>
        <v/>
      </c>
      <c r="F312" s="157">
        <f>I27</f>
        <v/>
      </c>
      <c r="G312" s="174" t="inlineStr">
        <is>
          <t>Home</t>
        </is>
      </c>
      <c r="H312" s="176">
        <f>E27</f>
        <v/>
      </c>
      <c r="I312" s="157">
        <f>F27</f>
        <v/>
      </c>
      <c r="J312" s="177">
        <f>J27</f>
        <v/>
      </c>
      <c r="K312" s="156">
        <f>IF(AND(F312=0,I312=0),"",IF(F312&gt;I312,B312&amp;E312,IF(F312&lt;I312,B312&amp;H312,"Tie")))</f>
        <v/>
      </c>
      <c r="L312" s="156">
        <f>IFERROR(IF(AND(B312&lt;$L$1,F312&gt;I312),"Win",IF(AND(B312&lt;$L$1,F312&lt;I312),"Loss","")),"")</f>
        <v/>
      </c>
      <c r="M312" s="156">
        <f>IF(B312&lt;_CurWeek,"In","")</f>
        <v/>
      </c>
      <c r="N312" s="156">
        <f>IF(M312="In",E312&amp;G312,"")</f>
        <v/>
      </c>
      <c r="O312" s="156">
        <f>IF(L312="Win",1,0)</f>
        <v/>
      </c>
    </row>
    <row r="313" ht="14.4" customHeight="1" s="152">
      <c r="A313" s="167">
        <f>B313&amp;E313</f>
        <v/>
      </c>
      <c r="B313" s="174">
        <f>B28</f>
        <v/>
      </c>
      <c r="C313" s="174">
        <f>C28</f>
        <v/>
      </c>
      <c r="D313" s="174">
        <f>D28</f>
        <v/>
      </c>
      <c r="E313" s="174">
        <f>H28</f>
        <v/>
      </c>
      <c r="F313" s="157">
        <f>I28</f>
        <v/>
      </c>
      <c r="G313" s="174" t="inlineStr">
        <is>
          <t>Home</t>
        </is>
      </c>
      <c r="H313" s="176">
        <f>E28</f>
        <v/>
      </c>
      <c r="I313" s="157">
        <f>F28</f>
        <v/>
      </c>
      <c r="J313" s="177">
        <f>J28</f>
        <v/>
      </c>
      <c r="K313" s="156">
        <f>IF(AND(F313=0,I313=0),"",IF(F313&gt;I313,B313&amp;E313,IF(F313&lt;I313,B313&amp;H313,"Tie")))</f>
        <v/>
      </c>
      <c r="L313" s="156">
        <f>IFERROR(IF(AND(B313&lt;$L$1,F313&gt;I313),"Win",IF(AND(B313&lt;$L$1,F313&lt;I313),"Loss","")),"")</f>
        <v/>
      </c>
      <c r="M313" s="156">
        <f>IF(B313&lt;_CurWeek,"In","")</f>
        <v/>
      </c>
      <c r="N313" s="156">
        <f>IF(M313="In",E313&amp;G313,"")</f>
        <v/>
      </c>
      <c r="O313" s="156">
        <f>IF(L313="Win",1,0)</f>
        <v/>
      </c>
    </row>
    <row r="314" ht="14.4" customHeight="1" s="152">
      <c r="A314" s="167">
        <f>B314&amp;E314</f>
        <v/>
      </c>
      <c r="B314" s="174">
        <f>B29</f>
        <v/>
      </c>
      <c r="C314" s="174">
        <f>C29</f>
        <v/>
      </c>
      <c r="D314" s="174">
        <f>D29</f>
        <v/>
      </c>
      <c r="E314" s="174">
        <f>H29</f>
        <v/>
      </c>
      <c r="F314" s="157">
        <f>I29</f>
        <v/>
      </c>
      <c r="G314" s="174" t="inlineStr">
        <is>
          <t>Home</t>
        </is>
      </c>
      <c r="H314" s="176">
        <f>E29</f>
        <v/>
      </c>
      <c r="I314" s="157">
        <f>F29</f>
        <v/>
      </c>
      <c r="J314" s="177">
        <f>J29</f>
        <v/>
      </c>
      <c r="K314" s="156">
        <f>IF(AND(F314=0,I314=0),"",IF(F314&gt;I314,B314&amp;E314,IF(F314&lt;I314,B314&amp;H314,"Tie")))</f>
        <v/>
      </c>
      <c r="L314" s="156">
        <f>IFERROR(IF(AND(B314&lt;$L$1,F314&gt;I314),"Win",IF(AND(B314&lt;$L$1,F314&lt;I314),"Loss","")),"")</f>
        <v/>
      </c>
      <c r="M314" s="156">
        <f>IF(B314&lt;_CurWeek,"In","")</f>
        <v/>
      </c>
      <c r="N314" s="156">
        <f>IF(M314="In",E314&amp;G314,"")</f>
        <v/>
      </c>
      <c r="O314" s="156">
        <f>IF(L314="Win",1,0)</f>
        <v/>
      </c>
    </row>
    <row r="315" ht="14.4" customHeight="1" s="152">
      <c r="A315" s="167">
        <f>B315&amp;E315</f>
        <v/>
      </c>
      <c r="B315" s="174">
        <f>B30</f>
        <v/>
      </c>
      <c r="C315" s="174">
        <f>C30</f>
        <v/>
      </c>
      <c r="D315" s="174">
        <f>D30</f>
        <v/>
      </c>
      <c r="E315" s="174">
        <f>H30</f>
        <v/>
      </c>
      <c r="F315" s="157">
        <f>I30</f>
        <v/>
      </c>
      <c r="G315" s="174" t="inlineStr">
        <is>
          <t>Home</t>
        </is>
      </c>
      <c r="H315" s="176">
        <f>E30</f>
        <v/>
      </c>
      <c r="I315" s="157">
        <f>F30</f>
        <v/>
      </c>
      <c r="J315" s="177">
        <f>J30</f>
        <v/>
      </c>
      <c r="K315" s="156">
        <f>IF(AND(F315=0,I315=0),"",IF(F315&gt;I315,B315&amp;E315,IF(F315&lt;I315,B315&amp;H315,"Tie")))</f>
        <v/>
      </c>
      <c r="L315" s="156">
        <f>IFERROR(IF(AND(B315&lt;$L$1,F315&gt;I315),"Win",IF(AND(B315&lt;$L$1,F315&lt;I315),"Loss","")),"")</f>
        <v/>
      </c>
      <c r="M315" s="156">
        <f>IF(B315&lt;_CurWeek,"In","")</f>
        <v/>
      </c>
      <c r="N315" s="156">
        <f>IF(M315="In",E315&amp;G315,"")</f>
        <v/>
      </c>
      <c r="O315" s="156">
        <f>IF(L315="Win",1,0)</f>
        <v/>
      </c>
    </row>
    <row r="316" ht="14.4" customHeight="1" s="152">
      <c r="A316" s="167">
        <f>B316&amp;E316</f>
        <v/>
      </c>
      <c r="B316" s="174">
        <f>B31</f>
        <v/>
      </c>
      <c r="C316" s="174">
        <f>C31</f>
        <v/>
      </c>
      <c r="D316" s="174">
        <f>D31</f>
        <v/>
      </c>
      <c r="E316" s="174">
        <f>H31</f>
        <v/>
      </c>
      <c r="F316" s="157">
        <f>I31</f>
        <v/>
      </c>
      <c r="G316" s="174" t="inlineStr">
        <is>
          <t>Home</t>
        </is>
      </c>
      <c r="H316" s="176">
        <f>E31</f>
        <v/>
      </c>
      <c r="I316" s="157">
        <f>F31</f>
        <v/>
      </c>
      <c r="J316" s="177">
        <f>J31</f>
        <v/>
      </c>
      <c r="K316" s="156">
        <f>IF(AND(F316=0,I316=0),"",IF(F316&gt;I316,B316&amp;E316,IF(F316&lt;I316,B316&amp;H316,"Tie")))</f>
        <v/>
      </c>
      <c r="L316" s="156">
        <f>IFERROR(IF(AND(B316&lt;$L$1,F316&gt;I316),"Win",IF(AND(B316&lt;$L$1,F316&lt;I316),"Loss","")),"")</f>
        <v/>
      </c>
      <c r="M316" s="156">
        <f>IF(B316&lt;_CurWeek,"In","")</f>
        <v/>
      </c>
      <c r="N316" s="156">
        <f>IF(M316="In",E316&amp;G316,"")</f>
        <v/>
      </c>
      <c r="O316" s="156">
        <f>IF(L316="Win",1,0)</f>
        <v/>
      </c>
    </row>
    <row r="317" ht="14.4" customHeight="1" s="152">
      <c r="A317" s="167">
        <f>B317&amp;E317</f>
        <v/>
      </c>
      <c r="B317" s="174">
        <f>B32</f>
        <v/>
      </c>
      <c r="C317" s="174">
        <f>C32</f>
        <v/>
      </c>
      <c r="D317" s="174">
        <f>D32</f>
        <v/>
      </c>
      <c r="E317" s="174">
        <f>H32</f>
        <v/>
      </c>
      <c r="F317" s="157">
        <f>I32</f>
        <v/>
      </c>
      <c r="G317" s="174" t="inlineStr">
        <is>
          <t>Home</t>
        </is>
      </c>
      <c r="H317" s="176">
        <f>E32</f>
        <v/>
      </c>
      <c r="I317" s="157">
        <f>F32</f>
        <v/>
      </c>
      <c r="J317" s="177">
        <f>J32</f>
        <v/>
      </c>
      <c r="K317" s="156">
        <f>IF(AND(F317=0,I317=0),"",IF(F317&gt;I317,B317&amp;E317,IF(F317&lt;I317,B317&amp;H317,"Tie")))</f>
        <v/>
      </c>
      <c r="L317" s="156">
        <f>IFERROR(IF(AND(B317&lt;$L$1,F317&gt;I317),"Win",IF(AND(B317&lt;$L$1,F317&lt;I317),"Loss","")),"")</f>
        <v/>
      </c>
      <c r="M317" s="156">
        <f>IF(B317&lt;_CurWeek,"In","")</f>
        <v/>
      </c>
      <c r="N317" s="156">
        <f>IF(M317="In",E317&amp;G317,"")</f>
        <v/>
      </c>
      <c r="O317" s="156">
        <f>IF(L317="Win",1,0)</f>
        <v/>
      </c>
    </row>
    <row r="318" ht="14.4" customHeight="1" s="152">
      <c r="A318" s="167">
        <f>B318&amp;E318</f>
        <v/>
      </c>
      <c r="B318" s="174">
        <f>B33</f>
        <v/>
      </c>
      <c r="C318" s="174">
        <f>C33</f>
        <v/>
      </c>
      <c r="D318" s="174">
        <f>D33</f>
        <v/>
      </c>
      <c r="E318" s="174">
        <f>H33</f>
        <v/>
      </c>
      <c r="F318" s="157">
        <f>I33</f>
        <v/>
      </c>
      <c r="G318" s="174" t="inlineStr">
        <is>
          <t>Home</t>
        </is>
      </c>
      <c r="H318" s="176">
        <f>E33</f>
        <v/>
      </c>
      <c r="I318" s="157">
        <f>F33</f>
        <v/>
      </c>
      <c r="J318" s="177">
        <f>J33</f>
        <v/>
      </c>
      <c r="K318" s="156">
        <f>IF(AND(F318=0,I318=0),"",IF(F318&gt;I318,B318&amp;E318,IF(F318&lt;I318,B318&amp;H318,"Tie")))</f>
        <v/>
      </c>
      <c r="L318" s="156">
        <f>IFERROR(IF(AND(B318&lt;$L$1,F318&gt;I318),"Win",IF(AND(B318&lt;$L$1,F318&lt;I318),"Loss","")),"")</f>
        <v/>
      </c>
      <c r="M318" s="156">
        <f>IF(B318&lt;_CurWeek,"In","")</f>
        <v/>
      </c>
      <c r="N318" s="156">
        <f>IF(M318="In",E318&amp;G318,"")</f>
        <v/>
      </c>
      <c r="O318" s="156">
        <f>IF(L318="Win",1,0)</f>
        <v/>
      </c>
    </row>
    <row r="319" ht="14.4" customHeight="1" s="152">
      <c r="A319" s="167">
        <f>B319&amp;E319</f>
        <v/>
      </c>
      <c r="B319" s="174">
        <f>B34</f>
        <v/>
      </c>
      <c r="C319" s="174">
        <f>C34</f>
        <v/>
      </c>
      <c r="D319" s="174">
        <f>D34</f>
        <v/>
      </c>
      <c r="E319" s="174">
        <f>H34</f>
        <v/>
      </c>
      <c r="F319" s="157">
        <f>I34</f>
        <v/>
      </c>
      <c r="G319" s="174" t="inlineStr">
        <is>
          <t>Home</t>
        </is>
      </c>
      <c r="H319" s="176">
        <f>E34</f>
        <v/>
      </c>
      <c r="I319" s="157">
        <f>F34</f>
        <v/>
      </c>
      <c r="J319" s="177">
        <f>J34</f>
        <v/>
      </c>
      <c r="K319" s="156">
        <f>IF(AND(F319=0,I319=0),"",IF(F319&gt;I319,B319&amp;E319,IF(F319&lt;I319,B319&amp;H319,"Tie")))</f>
        <v/>
      </c>
      <c r="L319" s="156">
        <f>IFERROR(IF(AND(B319&lt;$L$1,F319&gt;I319),"Win",IF(AND(B319&lt;$L$1,F319&lt;I319),"Loss","")),"")</f>
        <v/>
      </c>
      <c r="M319" s="156">
        <f>IF(B319&lt;_CurWeek,"In","")</f>
        <v/>
      </c>
      <c r="N319" s="156">
        <f>IF(M319="In",E319&amp;G319,"")</f>
        <v/>
      </c>
      <c r="O319" s="156">
        <f>IF(L319="Win",1,0)</f>
        <v/>
      </c>
    </row>
    <row r="320" ht="14.4" customHeight="1" s="152">
      <c r="A320" s="167">
        <f>B320&amp;E320</f>
        <v/>
      </c>
      <c r="B320" s="174">
        <f>B35</f>
        <v/>
      </c>
      <c r="C320" s="174">
        <f>C35</f>
        <v/>
      </c>
      <c r="D320" s="174">
        <f>D35</f>
        <v/>
      </c>
      <c r="E320" s="174">
        <f>H35</f>
        <v/>
      </c>
      <c r="F320" s="157">
        <f>I35</f>
        <v/>
      </c>
      <c r="G320" s="174" t="inlineStr">
        <is>
          <t>Home</t>
        </is>
      </c>
      <c r="H320" s="176">
        <f>E35</f>
        <v/>
      </c>
      <c r="I320" s="157">
        <f>F35</f>
        <v/>
      </c>
      <c r="J320" s="177">
        <f>J35</f>
        <v/>
      </c>
      <c r="K320" s="156">
        <f>IF(AND(F320=0,I320=0),"",IF(F320&gt;I320,B320&amp;E320,IF(F320&lt;I320,B320&amp;H320,"Tie")))</f>
        <v/>
      </c>
      <c r="L320" s="156">
        <f>IFERROR(IF(AND(B320&lt;$L$1,F320&gt;I320),"Win",IF(AND(B320&lt;$L$1,F320&lt;I320),"Loss","")),"")</f>
        <v/>
      </c>
      <c r="M320" s="156">
        <f>IF(B320&lt;_CurWeek,"In","")</f>
        <v/>
      </c>
      <c r="N320" s="156">
        <f>IF(M320="In",E320&amp;G320,"")</f>
        <v/>
      </c>
      <c r="O320" s="156">
        <f>IF(L320="Win",1,0)</f>
        <v/>
      </c>
    </row>
    <row r="321" ht="14.4" customHeight="1" s="152">
      <c r="A321" s="167">
        <f>B321&amp;E321</f>
        <v/>
      </c>
      <c r="B321" s="174">
        <f>B36</f>
        <v/>
      </c>
      <c r="C321" s="174">
        <f>C36</f>
        <v/>
      </c>
      <c r="D321" s="174">
        <f>D36</f>
        <v/>
      </c>
      <c r="E321" s="174">
        <f>H36</f>
        <v/>
      </c>
      <c r="F321" s="157">
        <f>I36</f>
        <v/>
      </c>
      <c r="G321" s="174" t="inlineStr">
        <is>
          <t>Home</t>
        </is>
      </c>
      <c r="H321" s="176">
        <f>E36</f>
        <v/>
      </c>
      <c r="I321" s="157">
        <f>F36</f>
        <v/>
      </c>
      <c r="J321" s="177">
        <f>J36</f>
        <v/>
      </c>
      <c r="K321" s="156">
        <f>IF(AND(F321=0,I321=0),"",IF(F321&gt;I321,B321&amp;E321,IF(F321&lt;I321,B321&amp;H321,"Tie")))</f>
        <v/>
      </c>
      <c r="L321" s="156">
        <f>IFERROR(IF(AND(B321&lt;$L$1,F321&gt;I321),"Win",IF(AND(B321&lt;$L$1,F321&lt;I321),"Loss","")),"")</f>
        <v/>
      </c>
      <c r="M321" s="156">
        <f>IF(B321&lt;_CurWeek,"In","")</f>
        <v/>
      </c>
      <c r="N321" s="156">
        <f>IF(M321="In",E321&amp;G321,"")</f>
        <v/>
      </c>
      <c r="O321" s="156">
        <f>IF(L321="Win",1,0)</f>
        <v/>
      </c>
    </row>
    <row r="322" ht="14.4" customHeight="1" s="152">
      <c r="A322" s="167">
        <f>B322&amp;E322</f>
        <v/>
      </c>
      <c r="B322" s="174">
        <f>B37</f>
        <v/>
      </c>
      <c r="C322" s="174">
        <f>C37</f>
        <v/>
      </c>
      <c r="D322" s="174">
        <f>D37</f>
        <v/>
      </c>
      <c r="E322" s="174">
        <f>H37</f>
        <v/>
      </c>
      <c r="F322" s="157">
        <f>I37</f>
        <v/>
      </c>
      <c r="G322" s="174" t="inlineStr">
        <is>
          <t>Home</t>
        </is>
      </c>
      <c r="H322" s="176">
        <f>E37</f>
        <v/>
      </c>
      <c r="I322" s="157">
        <f>F37</f>
        <v/>
      </c>
      <c r="J322" s="177">
        <f>J37</f>
        <v/>
      </c>
      <c r="K322" s="156">
        <f>IF(AND(F322=0,I322=0),"",IF(F322&gt;I322,B322&amp;E322,IF(F322&lt;I322,B322&amp;H322,"Tie")))</f>
        <v/>
      </c>
      <c r="L322" s="156">
        <f>IFERROR(IF(AND(B322&lt;$L$1,F322&gt;I322),"Win",IF(AND(B322&lt;$L$1,F322&lt;I322),"Loss","")),"")</f>
        <v/>
      </c>
      <c r="M322" s="156">
        <f>IF(B322&lt;_CurWeek,"In","")</f>
        <v/>
      </c>
      <c r="N322" s="156">
        <f>IF(M322="In",E322&amp;G322,"")</f>
        <v/>
      </c>
      <c r="O322" s="156">
        <f>IF(L322="Win",1,0)</f>
        <v/>
      </c>
    </row>
    <row r="323" ht="14.4" customHeight="1" s="152">
      <c r="A323" s="167">
        <f>B323&amp;E323</f>
        <v/>
      </c>
      <c r="B323" s="174">
        <f>B38</f>
        <v/>
      </c>
      <c r="C323" s="174">
        <f>C38</f>
        <v/>
      </c>
      <c r="D323" s="174">
        <f>D38</f>
        <v/>
      </c>
      <c r="E323" s="174">
        <f>H38</f>
        <v/>
      </c>
      <c r="F323" s="157">
        <f>I38</f>
        <v/>
      </c>
      <c r="G323" s="174" t="inlineStr">
        <is>
          <t>Home</t>
        </is>
      </c>
      <c r="H323" s="176">
        <f>E38</f>
        <v/>
      </c>
      <c r="I323" s="157">
        <f>F38</f>
        <v/>
      </c>
      <c r="J323" s="177">
        <f>J38</f>
        <v/>
      </c>
      <c r="K323" s="156">
        <f>IF(AND(F323=0,I323=0),"",IF(F323&gt;I323,B323&amp;E323,IF(F323&lt;I323,B323&amp;H323,"Tie")))</f>
        <v/>
      </c>
      <c r="L323" s="156">
        <f>IFERROR(IF(AND(B323&lt;$L$1,F323&gt;I323),"Win",IF(AND(B323&lt;$L$1,F323&lt;I323),"Loss","")),"")</f>
        <v/>
      </c>
      <c r="M323" s="156">
        <f>IF(B323&lt;_CurWeek,"In","")</f>
        <v/>
      </c>
      <c r="N323" s="156">
        <f>IF(M323="In",E323&amp;G323,"")</f>
        <v/>
      </c>
      <c r="O323" s="156">
        <f>IF(L323="Win",1,0)</f>
        <v/>
      </c>
    </row>
    <row r="324" ht="14.4" customHeight="1" s="152">
      <c r="A324" s="167">
        <f>B324&amp;E324</f>
        <v/>
      </c>
      <c r="B324" s="174">
        <f>B39</f>
        <v/>
      </c>
      <c r="C324" s="174">
        <f>C39</f>
        <v/>
      </c>
      <c r="D324" s="174">
        <f>D39</f>
        <v/>
      </c>
      <c r="E324" s="174">
        <f>H39</f>
        <v/>
      </c>
      <c r="F324" s="157">
        <f>I39</f>
        <v/>
      </c>
      <c r="G324" s="174" t="inlineStr">
        <is>
          <t>Home</t>
        </is>
      </c>
      <c r="H324" s="176">
        <f>E39</f>
        <v/>
      </c>
      <c r="I324" s="157">
        <f>F39</f>
        <v/>
      </c>
      <c r="J324" s="177">
        <f>J39</f>
        <v/>
      </c>
      <c r="K324" s="156">
        <f>IF(AND(F324=0,I324=0),"",IF(F324&gt;I324,B324&amp;E324,IF(F324&lt;I324,B324&amp;H324,"Tie")))</f>
        <v/>
      </c>
      <c r="L324" s="156">
        <f>IFERROR(IF(AND(B324&lt;$L$1,F324&gt;I324),"Win",IF(AND(B324&lt;$L$1,F324&lt;I324),"Loss","")),"")</f>
        <v/>
      </c>
      <c r="M324" s="156">
        <f>IF(B324&lt;_CurWeek,"In","")</f>
        <v/>
      </c>
      <c r="N324" s="156">
        <f>IF(M324="In",E324&amp;G324,"")</f>
        <v/>
      </c>
      <c r="O324" s="156">
        <f>IF(L324="Win",1,0)</f>
        <v/>
      </c>
    </row>
    <row r="325" ht="14.4" customHeight="1" s="152">
      <c r="A325" s="167">
        <f>B325&amp;E325</f>
        <v/>
      </c>
      <c r="B325" s="174">
        <f>B40</f>
        <v/>
      </c>
      <c r="C325" s="174">
        <f>C40</f>
        <v/>
      </c>
      <c r="D325" s="174">
        <f>D40</f>
        <v/>
      </c>
      <c r="E325" s="174">
        <f>H40</f>
        <v/>
      </c>
      <c r="F325" s="157">
        <f>I40</f>
        <v/>
      </c>
      <c r="G325" s="174" t="inlineStr">
        <is>
          <t>Home</t>
        </is>
      </c>
      <c r="H325" s="176">
        <f>E40</f>
        <v/>
      </c>
      <c r="I325" s="157">
        <f>F40</f>
        <v/>
      </c>
      <c r="J325" s="177">
        <f>J40</f>
        <v/>
      </c>
      <c r="K325" s="156">
        <f>IF(AND(F325=0,I325=0),"",IF(F325&gt;I325,B325&amp;E325,IF(F325&lt;I325,B325&amp;H325,"Tie")))</f>
        <v/>
      </c>
      <c r="L325" s="156">
        <f>IFERROR(IF(AND(B325&lt;$L$1,F325&gt;I325),"Win",IF(AND(B325&lt;$L$1,F325&lt;I325),"Loss","")),"")</f>
        <v/>
      </c>
      <c r="M325" s="156">
        <f>IF(B325&lt;_CurWeek,"In","")</f>
        <v/>
      </c>
      <c r="N325" s="156">
        <f>IF(M325="In",E325&amp;G325,"")</f>
        <v/>
      </c>
      <c r="O325" s="156">
        <f>IF(L325="Win",1,0)</f>
        <v/>
      </c>
    </row>
    <row r="326" ht="14.4" customHeight="1" s="152">
      <c r="A326" s="167">
        <f>B326&amp;E326</f>
        <v/>
      </c>
      <c r="B326" s="174">
        <f>B41</f>
        <v/>
      </c>
      <c r="C326" s="174">
        <f>C41</f>
        <v/>
      </c>
      <c r="D326" s="174">
        <f>D41</f>
        <v/>
      </c>
      <c r="E326" s="174">
        <f>H41</f>
        <v/>
      </c>
      <c r="F326" s="157">
        <f>I41</f>
        <v/>
      </c>
      <c r="G326" s="174" t="inlineStr">
        <is>
          <t>Home</t>
        </is>
      </c>
      <c r="H326" s="176">
        <f>E41</f>
        <v/>
      </c>
      <c r="I326" s="157">
        <f>F41</f>
        <v/>
      </c>
      <c r="J326" s="177">
        <f>J41</f>
        <v/>
      </c>
      <c r="K326" s="156">
        <f>IF(AND(F326=0,I326=0),"",IF(F326&gt;I326,B326&amp;E326,IF(F326&lt;I326,B326&amp;H326,"Tie")))</f>
        <v/>
      </c>
      <c r="L326" s="156">
        <f>IFERROR(IF(AND(B326&lt;$L$1,F326&gt;I326),"Win",IF(AND(B326&lt;$L$1,F326&lt;I326),"Loss","")),"")</f>
        <v/>
      </c>
      <c r="M326" s="156">
        <f>IF(B326&lt;_CurWeek,"In","")</f>
        <v/>
      </c>
      <c r="N326" s="156">
        <f>IF(M326="In",E326&amp;G326,"")</f>
        <v/>
      </c>
      <c r="O326" s="156">
        <f>IF(L326="Win",1,0)</f>
        <v/>
      </c>
    </row>
    <row r="327" ht="14.4" customHeight="1" s="152">
      <c r="A327" s="167">
        <f>B327&amp;E327</f>
        <v/>
      </c>
      <c r="B327" s="174">
        <f>B42</f>
        <v/>
      </c>
      <c r="C327" s="174">
        <f>C42</f>
        <v/>
      </c>
      <c r="D327" s="174">
        <f>D42</f>
        <v/>
      </c>
      <c r="E327" s="174">
        <f>H42</f>
        <v/>
      </c>
      <c r="F327" s="157">
        <f>I42</f>
        <v/>
      </c>
      <c r="G327" s="174" t="inlineStr">
        <is>
          <t>Home</t>
        </is>
      </c>
      <c r="H327" s="176">
        <f>E42</f>
        <v/>
      </c>
      <c r="I327" s="157">
        <f>F42</f>
        <v/>
      </c>
      <c r="J327" s="177">
        <f>J42</f>
        <v/>
      </c>
      <c r="K327" s="156">
        <f>IF(AND(F327=0,I327=0),"",IF(F327&gt;I327,B327&amp;E327,IF(F327&lt;I327,B327&amp;H327,"Tie")))</f>
        <v/>
      </c>
      <c r="L327" s="156">
        <f>IFERROR(IF(AND(B327&lt;$L$1,F327&gt;I327),"Win",IF(AND(B327&lt;$L$1,F327&lt;I327),"Loss","")),"")</f>
        <v/>
      </c>
      <c r="M327" s="156">
        <f>IF(B327&lt;_CurWeek,"In","")</f>
        <v/>
      </c>
      <c r="N327" s="156">
        <f>IF(M327="In",E327&amp;G327,"")</f>
        <v/>
      </c>
      <c r="O327" s="156">
        <f>IF(L327="Win",1,0)</f>
        <v/>
      </c>
    </row>
    <row r="328" ht="14.4" customHeight="1" s="152">
      <c r="A328" s="167">
        <f>B328&amp;E328</f>
        <v/>
      </c>
      <c r="B328" s="174">
        <f>B43</f>
        <v/>
      </c>
      <c r="C328" s="174">
        <f>C43</f>
        <v/>
      </c>
      <c r="D328" s="174">
        <f>D43</f>
        <v/>
      </c>
      <c r="E328" s="174">
        <f>H43</f>
        <v/>
      </c>
      <c r="F328" s="157">
        <f>I43</f>
        <v/>
      </c>
      <c r="G328" s="174" t="inlineStr">
        <is>
          <t>Home</t>
        </is>
      </c>
      <c r="H328" s="176">
        <f>E43</f>
        <v/>
      </c>
      <c r="I328" s="157">
        <f>F43</f>
        <v/>
      </c>
      <c r="J328" s="177">
        <f>J43</f>
        <v/>
      </c>
      <c r="K328" s="156">
        <f>IF(AND(F328=0,I328=0),"",IF(F328&gt;I328,B328&amp;E328,IF(F328&lt;I328,B328&amp;H328,"Tie")))</f>
        <v/>
      </c>
      <c r="L328" s="156">
        <f>IFERROR(IF(AND(B328&lt;$L$1,F328&gt;I328),"Win",IF(AND(B328&lt;$L$1,F328&lt;I328),"Loss","")),"")</f>
        <v/>
      </c>
      <c r="M328" s="156">
        <f>IF(B328&lt;_CurWeek,"In","")</f>
        <v/>
      </c>
      <c r="N328" s="156">
        <f>IF(M328="In",E328&amp;G328,"")</f>
        <v/>
      </c>
      <c r="O328" s="156">
        <f>IF(L328="Win",1,0)</f>
        <v/>
      </c>
    </row>
    <row r="329" ht="14.4" customHeight="1" s="152">
      <c r="A329" s="167">
        <f>B329&amp;E329</f>
        <v/>
      </c>
      <c r="B329" s="174">
        <f>B44</f>
        <v/>
      </c>
      <c r="C329" s="174">
        <f>C44</f>
        <v/>
      </c>
      <c r="D329" s="174">
        <f>D44</f>
        <v/>
      </c>
      <c r="E329" s="174">
        <f>H44</f>
        <v/>
      </c>
      <c r="F329" s="157">
        <f>I44</f>
        <v/>
      </c>
      <c r="G329" s="174" t="inlineStr">
        <is>
          <t>Home</t>
        </is>
      </c>
      <c r="H329" s="176">
        <f>E44</f>
        <v/>
      </c>
      <c r="I329" s="157">
        <f>F44</f>
        <v/>
      </c>
      <c r="J329" s="177">
        <f>J44</f>
        <v/>
      </c>
      <c r="K329" s="156">
        <f>IF(AND(F329=0,I329=0),"",IF(F329&gt;I329,B329&amp;E329,IF(F329&lt;I329,B329&amp;H329,"Tie")))</f>
        <v/>
      </c>
      <c r="L329" s="156">
        <f>IFERROR(IF(AND(B329&lt;$L$1,F329&gt;I329),"Win",IF(AND(B329&lt;$L$1,F329&lt;I329),"Loss","")),"")</f>
        <v/>
      </c>
      <c r="M329" s="156">
        <f>IF(B329&lt;_CurWeek,"In","")</f>
        <v/>
      </c>
      <c r="N329" s="156">
        <f>IF(M329="In",E329&amp;G329,"")</f>
        <v/>
      </c>
      <c r="O329" s="156">
        <f>IF(L329="Win",1,0)</f>
        <v/>
      </c>
    </row>
    <row r="330" ht="14.4" customHeight="1" s="152">
      <c r="A330" s="167">
        <f>B330&amp;E330</f>
        <v/>
      </c>
      <c r="B330" s="174">
        <f>B45</f>
        <v/>
      </c>
      <c r="C330" s="174">
        <f>C45</f>
        <v/>
      </c>
      <c r="D330" s="174">
        <f>D45</f>
        <v/>
      </c>
      <c r="E330" s="174">
        <f>H45</f>
        <v/>
      </c>
      <c r="F330" s="157">
        <f>I45</f>
        <v/>
      </c>
      <c r="G330" s="174" t="inlineStr">
        <is>
          <t>Home</t>
        </is>
      </c>
      <c r="H330" s="176">
        <f>E45</f>
        <v/>
      </c>
      <c r="I330" s="157">
        <f>F45</f>
        <v/>
      </c>
      <c r="J330" s="177">
        <f>J45</f>
        <v/>
      </c>
      <c r="K330" s="156">
        <f>IF(AND(F330=0,I330=0),"",IF(F330&gt;I330,B330&amp;E330,IF(F330&lt;I330,B330&amp;H330,"Tie")))</f>
        <v/>
      </c>
      <c r="L330" s="156">
        <f>IFERROR(IF(AND(B330&lt;$L$1,F330&gt;I330),"Win",IF(AND(B330&lt;$L$1,F330&lt;I330),"Loss","")),"")</f>
        <v/>
      </c>
      <c r="M330" s="156">
        <f>IF(B330&lt;_CurWeek,"In","")</f>
        <v/>
      </c>
      <c r="N330" s="156">
        <f>IF(M330="In",E330&amp;G330,"")</f>
        <v/>
      </c>
      <c r="O330" s="156">
        <f>IF(L330="Win",1,0)</f>
        <v/>
      </c>
    </row>
    <row r="331" ht="14.4" customHeight="1" s="152">
      <c r="A331" s="167">
        <f>B331&amp;E331</f>
        <v/>
      </c>
      <c r="B331" s="174">
        <f>B46</f>
        <v/>
      </c>
      <c r="C331" s="174">
        <f>C46</f>
        <v/>
      </c>
      <c r="D331" s="174">
        <f>D46</f>
        <v/>
      </c>
      <c r="E331" s="174">
        <f>H46</f>
        <v/>
      </c>
      <c r="F331" s="157">
        <f>I46</f>
        <v/>
      </c>
      <c r="G331" s="174" t="inlineStr">
        <is>
          <t>Home</t>
        </is>
      </c>
      <c r="H331" s="176">
        <f>E46</f>
        <v/>
      </c>
      <c r="I331" s="157">
        <f>F46</f>
        <v/>
      </c>
      <c r="J331" s="177">
        <f>J46</f>
        <v/>
      </c>
      <c r="K331" s="156">
        <f>IF(AND(F331=0,I331=0),"",IF(F331&gt;I331,B331&amp;E331,IF(F331&lt;I331,B331&amp;H331,"Tie")))</f>
        <v/>
      </c>
      <c r="L331" s="156">
        <f>IFERROR(IF(AND(B331&lt;$L$1,F331&gt;I331),"Win",IF(AND(B331&lt;$L$1,F331&lt;I331),"Loss","")),"")</f>
        <v/>
      </c>
      <c r="M331" s="156">
        <f>IF(B331&lt;_CurWeek,"In","")</f>
        <v/>
      </c>
      <c r="N331" s="156">
        <f>IF(M331="In",E331&amp;G331,"")</f>
        <v/>
      </c>
      <c r="O331" s="156">
        <f>IF(L331="Win",1,0)</f>
        <v/>
      </c>
    </row>
    <row r="332" ht="14.4" customHeight="1" s="152">
      <c r="A332" s="167">
        <f>B332&amp;E332</f>
        <v/>
      </c>
      <c r="B332" s="174">
        <f>B47</f>
        <v/>
      </c>
      <c r="C332" s="174">
        <f>C47</f>
        <v/>
      </c>
      <c r="D332" s="174">
        <f>D47</f>
        <v/>
      </c>
      <c r="E332" s="174">
        <f>H47</f>
        <v/>
      </c>
      <c r="F332" s="157">
        <f>I47</f>
        <v/>
      </c>
      <c r="G332" s="174" t="inlineStr">
        <is>
          <t>Home</t>
        </is>
      </c>
      <c r="H332" s="176">
        <f>E47</f>
        <v/>
      </c>
      <c r="I332" s="157">
        <f>F47</f>
        <v/>
      </c>
      <c r="J332" s="177">
        <f>J47</f>
        <v/>
      </c>
      <c r="K332" s="156">
        <f>IF(AND(F332=0,I332=0),"",IF(F332&gt;I332,B332&amp;E332,IF(F332&lt;I332,B332&amp;H332,"Tie")))</f>
        <v/>
      </c>
      <c r="L332" s="156">
        <f>IFERROR(IF(AND(B332&lt;$L$1,F332&gt;I332),"Win",IF(AND(B332&lt;$L$1,F332&lt;I332),"Loss","")),"")</f>
        <v/>
      </c>
      <c r="M332" s="156">
        <f>IF(B332&lt;_CurWeek,"In","")</f>
        <v/>
      </c>
      <c r="N332" s="156">
        <f>IF(M332="In",E332&amp;G332,"")</f>
        <v/>
      </c>
      <c r="O332" s="156">
        <f>IF(L332="Win",1,0)</f>
        <v/>
      </c>
    </row>
    <row r="333" ht="14.4" customHeight="1" s="152">
      <c r="A333" s="167">
        <f>B333&amp;E333</f>
        <v/>
      </c>
      <c r="B333" s="174">
        <f>B48</f>
        <v/>
      </c>
      <c r="C333" s="174">
        <f>C48</f>
        <v/>
      </c>
      <c r="D333" s="174">
        <f>D48</f>
        <v/>
      </c>
      <c r="E333" s="174">
        <f>H48</f>
        <v/>
      </c>
      <c r="F333" s="157">
        <f>I48</f>
        <v/>
      </c>
      <c r="G333" s="174" t="inlineStr">
        <is>
          <t>Home</t>
        </is>
      </c>
      <c r="H333" s="176">
        <f>E48</f>
        <v/>
      </c>
      <c r="I333" s="157">
        <f>F48</f>
        <v/>
      </c>
      <c r="J333" s="177">
        <f>J48</f>
        <v/>
      </c>
      <c r="K333" s="156">
        <f>IF(AND(F333=0,I333=0),"",IF(F333&gt;I333,B333&amp;E333,IF(F333&lt;I333,B333&amp;H333,"Tie")))</f>
        <v/>
      </c>
      <c r="L333" s="156">
        <f>IFERROR(IF(AND(B333&lt;$L$1,F333&gt;I333),"Win",IF(AND(B333&lt;$L$1,F333&lt;I333),"Loss","")),"")</f>
        <v/>
      </c>
      <c r="M333" s="156">
        <f>IF(B333&lt;_CurWeek,"In","")</f>
        <v/>
      </c>
      <c r="N333" s="156">
        <f>IF(M333="In",E333&amp;G333,"")</f>
        <v/>
      </c>
      <c r="O333" s="156">
        <f>IF(L333="Win",1,0)</f>
        <v/>
      </c>
    </row>
    <row r="334" ht="14.4" customHeight="1" s="152">
      <c r="A334" s="167">
        <f>B334&amp;E334</f>
        <v/>
      </c>
      <c r="B334" s="174">
        <f>B49</f>
        <v/>
      </c>
      <c r="C334" s="174">
        <f>C49</f>
        <v/>
      </c>
      <c r="D334" s="174">
        <f>D49</f>
        <v/>
      </c>
      <c r="E334" s="174">
        <f>H49</f>
        <v/>
      </c>
      <c r="F334" s="157">
        <f>I49</f>
        <v/>
      </c>
      <c r="G334" s="174" t="inlineStr">
        <is>
          <t>Home</t>
        </is>
      </c>
      <c r="H334" s="176">
        <f>E49</f>
        <v/>
      </c>
      <c r="I334" s="157">
        <f>F49</f>
        <v/>
      </c>
      <c r="J334" s="177">
        <f>J49</f>
        <v/>
      </c>
      <c r="K334" s="156">
        <f>IF(AND(F334=0,I334=0),"",IF(F334&gt;I334,B334&amp;E334,IF(F334&lt;I334,B334&amp;H334,"Tie")))</f>
        <v/>
      </c>
      <c r="L334" s="156">
        <f>IFERROR(IF(AND(B334&lt;$L$1,F334&gt;I334),"Win",IF(AND(B334&lt;$L$1,F334&lt;I334),"Loss","")),"")</f>
        <v/>
      </c>
      <c r="M334" s="156">
        <f>IF(B334&lt;_CurWeek,"In","")</f>
        <v/>
      </c>
      <c r="N334" s="156">
        <f>IF(M334="In",E334&amp;G334,"")</f>
        <v/>
      </c>
      <c r="O334" s="156">
        <f>IF(L334="Win",1,0)</f>
        <v/>
      </c>
    </row>
    <row r="335" ht="14.4" customHeight="1" s="152">
      <c r="A335" s="167">
        <f>B335&amp;E335</f>
        <v/>
      </c>
      <c r="B335" s="174">
        <f>B50</f>
        <v/>
      </c>
      <c r="C335" s="174">
        <f>C50</f>
        <v/>
      </c>
      <c r="D335" s="174">
        <f>D50</f>
        <v/>
      </c>
      <c r="E335" s="174">
        <f>H50</f>
        <v/>
      </c>
      <c r="F335" s="157">
        <f>I50</f>
        <v/>
      </c>
      <c r="G335" s="174" t="inlineStr">
        <is>
          <t>Home</t>
        </is>
      </c>
      <c r="H335" s="176">
        <f>E50</f>
        <v/>
      </c>
      <c r="I335" s="157">
        <f>F50</f>
        <v/>
      </c>
      <c r="J335" s="177">
        <f>J50</f>
        <v/>
      </c>
      <c r="K335" s="156">
        <f>IF(AND(F335=0,I335=0),"",IF(F335&gt;I335,B335&amp;E335,IF(F335&lt;I335,B335&amp;H335,"Tie")))</f>
        <v/>
      </c>
      <c r="L335" s="156">
        <f>IFERROR(IF(AND(B335&lt;$L$1,F335&gt;I335),"Win",IF(AND(B335&lt;$L$1,F335&lt;I335),"Loss","")),"")</f>
        <v/>
      </c>
      <c r="M335" s="156">
        <f>IF(B335&lt;_CurWeek,"In","")</f>
        <v/>
      </c>
      <c r="N335" s="156">
        <f>IF(M335="In",E335&amp;G335,"")</f>
        <v/>
      </c>
      <c r="O335" s="156">
        <f>IF(L335="Win",1,0)</f>
        <v/>
      </c>
    </row>
    <row r="336" ht="14.4" customHeight="1" s="152">
      <c r="A336" s="167">
        <f>B336&amp;E336</f>
        <v/>
      </c>
      <c r="B336" s="174">
        <f>B51</f>
        <v/>
      </c>
      <c r="C336" s="174">
        <f>C51</f>
        <v/>
      </c>
      <c r="D336" s="174">
        <f>D51</f>
        <v/>
      </c>
      <c r="E336" s="174">
        <f>H51</f>
        <v/>
      </c>
      <c r="F336" s="157">
        <f>I51</f>
        <v/>
      </c>
      <c r="G336" s="174" t="inlineStr">
        <is>
          <t>Home</t>
        </is>
      </c>
      <c r="H336" s="176">
        <f>E51</f>
        <v/>
      </c>
      <c r="I336" s="157">
        <f>F51</f>
        <v/>
      </c>
      <c r="J336" s="177">
        <f>J51</f>
        <v/>
      </c>
      <c r="K336" s="156">
        <f>IF(AND(F336=0,I336=0),"",IF(F336&gt;I336,B336&amp;E336,IF(F336&lt;I336,B336&amp;H336,"Tie")))</f>
        <v/>
      </c>
      <c r="L336" s="156">
        <f>IFERROR(IF(AND(B336&lt;$L$1,F336&gt;I336),"Win",IF(AND(B336&lt;$L$1,F336&lt;I336),"Loss","")),"")</f>
        <v/>
      </c>
      <c r="M336" s="156">
        <f>IF(B336&lt;_CurWeek,"In","")</f>
        <v/>
      </c>
      <c r="N336" s="156">
        <f>IF(M336="In",E336&amp;G336,"")</f>
        <v/>
      </c>
      <c r="O336" s="156">
        <f>IF(L336="Win",1,0)</f>
        <v/>
      </c>
    </row>
    <row r="337" ht="14.4" customHeight="1" s="152">
      <c r="A337" s="167">
        <f>B337&amp;E337</f>
        <v/>
      </c>
      <c r="B337" s="174">
        <f>B52</f>
        <v/>
      </c>
      <c r="C337" s="174">
        <f>C52</f>
        <v/>
      </c>
      <c r="D337" s="174">
        <f>D52</f>
        <v/>
      </c>
      <c r="E337" s="174">
        <f>H52</f>
        <v/>
      </c>
      <c r="F337" s="157">
        <f>I52</f>
        <v/>
      </c>
      <c r="G337" s="174" t="inlineStr">
        <is>
          <t>Home</t>
        </is>
      </c>
      <c r="H337" s="176">
        <f>E52</f>
        <v/>
      </c>
      <c r="I337" s="157">
        <f>F52</f>
        <v/>
      </c>
      <c r="J337" s="177">
        <f>J52</f>
        <v/>
      </c>
      <c r="K337" s="156">
        <f>IF(AND(F337=0,I337=0),"",IF(F337&gt;I337,B337&amp;E337,IF(F337&lt;I337,B337&amp;H337,"Tie")))</f>
        <v/>
      </c>
      <c r="L337" s="156">
        <f>IFERROR(IF(AND(B337&lt;$L$1,F337&gt;I337),"Win",IF(AND(B337&lt;$L$1,F337&lt;I337),"Loss","")),"")</f>
        <v/>
      </c>
      <c r="M337" s="156">
        <f>IF(B337&lt;_CurWeek,"In","")</f>
        <v/>
      </c>
      <c r="N337" s="156">
        <f>IF(M337="In",E337&amp;G337,"")</f>
        <v/>
      </c>
      <c r="O337" s="156">
        <f>IF(L337="Win",1,0)</f>
        <v/>
      </c>
    </row>
    <row r="338" ht="14.4" customHeight="1" s="152">
      <c r="A338" s="167">
        <f>B338&amp;E338</f>
        <v/>
      </c>
      <c r="B338" s="174">
        <f>B53</f>
        <v/>
      </c>
      <c r="C338" s="174">
        <f>C53</f>
        <v/>
      </c>
      <c r="D338" s="174">
        <f>D53</f>
        <v/>
      </c>
      <c r="E338" s="174">
        <f>H53</f>
        <v/>
      </c>
      <c r="F338" s="157">
        <f>I53</f>
        <v/>
      </c>
      <c r="G338" s="174" t="inlineStr">
        <is>
          <t>Home</t>
        </is>
      </c>
      <c r="H338" s="176">
        <f>E53</f>
        <v/>
      </c>
      <c r="I338" s="157">
        <f>F53</f>
        <v/>
      </c>
      <c r="J338" s="177">
        <f>J53</f>
        <v/>
      </c>
      <c r="K338" s="156">
        <f>IF(AND(F338=0,I338=0),"",IF(F338&gt;I338,B338&amp;E338,IF(F338&lt;I338,B338&amp;H338,"Tie")))</f>
        <v/>
      </c>
      <c r="L338" s="156">
        <f>IFERROR(IF(AND(B338&lt;$L$1,F338&gt;I338),"Win",IF(AND(B338&lt;$L$1,F338&lt;I338),"Loss","")),"")</f>
        <v/>
      </c>
      <c r="M338" s="156">
        <f>IF(B338&lt;_CurWeek,"In","")</f>
        <v/>
      </c>
      <c r="N338" s="156">
        <f>IF(M338="In",E338&amp;G338,"")</f>
        <v/>
      </c>
      <c r="O338" s="156">
        <f>IF(L338="Win",1,0)</f>
        <v/>
      </c>
    </row>
    <row r="339" ht="14.4" customHeight="1" s="152">
      <c r="A339" s="167">
        <f>B339&amp;E339</f>
        <v/>
      </c>
      <c r="B339" s="174">
        <f>B54</f>
        <v/>
      </c>
      <c r="C339" s="174">
        <f>C54</f>
        <v/>
      </c>
      <c r="D339" s="174">
        <f>D54</f>
        <v/>
      </c>
      <c r="E339" s="174">
        <f>H54</f>
        <v/>
      </c>
      <c r="F339" s="157">
        <f>I54</f>
        <v/>
      </c>
      <c r="G339" s="174" t="inlineStr">
        <is>
          <t>Home</t>
        </is>
      </c>
      <c r="H339" s="176">
        <f>E54</f>
        <v/>
      </c>
      <c r="I339" s="157">
        <f>F54</f>
        <v/>
      </c>
      <c r="J339" s="177">
        <f>J54</f>
        <v/>
      </c>
      <c r="K339" s="156">
        <f>IF(AND(F339=0,I339=0),"",IF(F339&gt;I339,B339&amp;E339,IF(F339&lt;I339,B339&amp;H339,"Tie")))</f>
        <v/>
      </c>
      <c r="L339" s="156">
        <f>IFERROR(IF(AND(B339&lt;$L$1,F339&gt;I339),"Win",IF(AND(B339&lt;$L$1,F339&lt;I339),"Loss","")),"")</f>
        <v/>
      </c>
      <c r="M339" s="156">
        <f>IF(B339&lt;_CurWeek,"In","")</f>
        <v/>
      </c>
      <c r="N339" s="156">
        <f>IF(M339="In",E339&amp;G339,"")</f>
        <v/>
      </c>
      <c r="O339" s="156">
        <f>IF(L339="Win",1,0)</f>
        <v/>
      </c>
    </row>
    <row r="340" ht="14.4" customHeight="1" s="152">
      <c r="A340" s="167">
        <f>B340&amp;E340</f>
        <v/>
      </c>
      <c r="B340" s="174">
        <f>B55</f>
        <v/>
      </c>
      <c r="C340" s="174">
        <f>C55</f>
        <v/>
      </c>
      <c r="D340" s="174">
        <f>D55</f>
        <v/>
      </c>
      <c r="E340" s="174">
        <f>H55</f>
        <v/>
      </c>
      <c r="F340" s="157">
        <f>I55</f>
        <v/>
      </c>
      <c r="G340" s="174" t="inlineStr">
        <is>
          <t>Home</t>
        </is>
      </c>
      <c r="H340" s="176">
        <f>E55</f>
        <v/>
      </c>
      <c r="I340" s="157">
        <f>F55</f>
        <v/>
      </c>
      <c r="J340" s="177">
        <f>J55</f>
        <v/>
      </c>
      <c r="K340" s="156">
        <f>IF(AND(F340=0,I340=0),"",IF(F340&gt;I340,B340&amp;E340,IF(F340&lt;I340,B340&amp;H340,"Tie")))</f>
        <v/>
      </c>
      <c r="L340" s="156">
        <f>IFERROR(IF(AND(B340&lt;$L$1,F340&gt;I340),"Win",IF(AND(B340&lt;$L$1,F340&lt;I340),"Loss","")),"")</f>
        <v/>
      </c>
      <c r="M340" s="156">
        <f>IF(B340&lt;_CurWeek,"In","")</f>
        <v/>
      </c>
      <c r="N340" s="156">
        <f>IF(M340="In",E340&amp;G340,"")</f>
        <v/>
      </c>
      <c r="O340" s="156">
        <f>IF(L340="Win",1,0)</f>
        <v/>
      </c>
    </row>
    <row r="341" ht="14.4" customHeight="1" s="152">
      <c r="A341" s="167">
        <f>B341&amp;E341</f>
        <v/>
      </c>
      <c r="B341" s="174">
        <f>B56</f>
        <v/>
      </c>
      <c r="C341" s="174">
        <f>C56</f>
        <v/>
      </c>
      <c r="D341" s="174">
        <f>D56</f>
        <v/>
      </c>
      <c r="E341" s="174">
        <f>H56</f>
        <v/>
      </c>
      <c r="F341" s="157">
        <f>I56</f>
        <v/>
      </c>
      <c r="G341" s="174" t="inlineStr">
        <is>
          <t>Home</t>
        </is>
      </c>
      <c r="H341" s="176">
        <f>E56</f>
        <v/>
      </c>
      <c r="I341" s="157">
        <f>F56</f>
        <v/>
      </c>
      <c r="J341" s="177">
        <f>J56</f>
        <v/>
      </c>
      <c r="K341" s="156">
        <f>IF(AND(F341=0,I341=0),"",IF(F341&gt;I341,B341&amp;E341,IF(F341&lt;I341,B341&amp;H341,"Tie")))</f>
        <v/>
      </c>
      <c r="L341" s="156">
        <f>IFERROR(IF(AND(B341&lt;$L$1,F341&gt;I341),"Win",IF(AND(B341&lt;$L$1,F341&lt;I341),"Loss","")),"")</f>
        <v/>
      </c>
      <c r="M341" s="156">
        <f>IF(B341&lt;_CurWeek,"In","")</f>
        <v/>
      </c>
      <c r="N341" s="156">
        <f>IF(M341="In",E341&amp;G341,"")</f>
        <v/>
      </c>
      <c r="O341" s="156">
        <f>IF(L341="Win",1,0)</f>
        <v/>
      </c>
    </row>
    <row r="342" ht="14.4" customHeight="1" s="152">
      <c r="A342" s="167">
        <f>B342&amp;E342</f>
        <v/>
      </c>
      <c r="B342" s="174">
        <f>B57</f>
        <v/>
      </c>
      <c r="C342" s="174">
        <f>C57</f>
        <v/>
      </c>
      <c r="D342" s="174">
        <f>D57</f>
        <v/>
      </c>
      <c r="E342" s="174">
        <f>H57</f>
        <v/>
      </c>
      <c r="F342" s="157">
        <f>I57</f>
        <v/>
      </c>
      <c r="G342" s="174" t="inlineStr">
        <is>
          <t>Home</t>
        </is>
      </c>
      <c r="H342" s="176">
        <f>E57</f>
        <v/>
      </c>
      <c r="I342" s="157">
        <f>F57</f>
        <v/>
      </c>
      <c r="J342" s="177">
        <f>J57</f>
        <v/>
      </c>
      <c r="K342" s="156">
        <f>IF(AND(F342=0,I342=0),"",IF(F342&gt;I342,B342&amp;E342,IF(F342&lt;I342,B342&amp;H342,"Tie")))</f>
        <v/>
      </c>
      <c r="L342" s="156">
        <f>IFERROR(IF(AND(B342&lt;$L$1,F342&gt;I342),"Win",IF(AND(B342&lt;$L$1,F342&lt;I342),"Loss","")),"")</f>
        <v/>
      </c>
      <c r="M342" s="156">
        <f>IF(B342&lt;_CurWeek,"In","")</f>
        <v/>
      </c>
      <c r="N342" s="156">
        <f>IF(M342="In",E342&amp;G342,"")</f>
        <v/>
      </c>
      <c r="O342" s="156">
        <f>IF(L342="Win",1,0)</f>
        <v/>
      </c>
    </row>
    <row r="343" ht="14.4" customHeight="1" s="152">
      <c r="A343" s="167">
        <f>B343&amp;E343</f>
        <v/>
      </c>
      <c r="B343" s="174">
        <f>B58</f>
        <v/>
      </c>
      <c r="C343" s="174">
        <f>C58</f>
        <v/>
      </c>
      <c r="D343" s="174">
        <f>D58</f>
        <v/>
      </c>
      <c r="E343" s="174">
        <f>H58</f>
        <v/>
      </c>
      <c r="F343" s="157">
        <f>I58</f>
        <v/>
      </c>
      <c r="G343" s="174" t="inlineStr">
        <is>
          <t>Home</t>
        </is>
      </c>
      <c r="H343" s="176">
        <f>E58</f>
        <v/>
      </c>
      <c r="I343" s="157">
        <f>F58</f>
        <v/>
      </c>
      <c r="J343" s="177">
        <f>J58</f>
        <v/>
      </c>
      <c r="K343" s="156">
        <f>IF(AND(F343=0,I343=0),"",IF(F343&gt;I343,B343&amp;E343,IF(F343&lt;I343,B343&amp;H343,"Tie")))</f>
        <v/>
      </c>
      <c r="L343" s="156">
        <f>IFERROR(IF(AND(B343&lt;$L$1,F343&gt;I343),"Win",IF(AND(B343&lt;$L$1,F343&lt;I343),"Loss","")),"")</f>
        <v/>
      </c>
      <c r="M343" s="156">
        <f>IF(B343&lt;_CurWeek,"In","")</f>
        <v/>
      </c>
      <c r="N343" s="156">
        <f>IF(M343="In",E343&amp;G343,"")</f>
        <v/>
      </c>
      <c r="O343" s="156">
        <f>IF(L343="Win",1,0)</f>
        <v/>
      </c>
    </row>
    <row r="344" ht="14.4" customHeight="1" s="152">
      <c r="A344" s="167">
        <f>B344&amp;E344</f>
        <v/>
      </c>
      <c r="B344" s="174">
        <f>B59</f>
        <v/>
      </c>
      <c r="C344" s="174">
        <f>C59</f>
        <v/>
      </c>
      <c r="D344" s="174">
        <f>D59</f>
        <v/>
      </c>
      <c r="E344" s="174">
        <f>H59</f>
        <v/>
      </c>
      <c r="F344" s="157">
        <f>I59</f>
        <v/>
      </c>
      <c r="G344" s="174" t="inlineStr">
        <is>
          <t>Home</t>
        </is>
      </c>
      <c r="H344" s="176">
        <f>E59</f>
        <v/>
      </c>
      <c r="I344" s="157">
        <f>F59</f>
        <v/>
      </c>
      <c r="J344" s="177">
        <f>J59</f>
        <v/>
      </c>
      <c r="K344" s="156">
        <f>IF(AND(F344=0,I344=0),"",IF(F344&gt;I344,B344&amp;E344,IF(F344&lt;I344,B344&amp;H344,"Tie")))</f>
        <v/>
      </c>
      <c r="L344" s="156">
        <f>IFERROR(IF(AND(B344&lt;$L$1,F344&gt;I344),"Win",IF(AND(B344&lt;$L$1,F344&lt;I344),"Loss","")),"")</f>
        <v/>
      </c>
      <c r="M344" s="156">
        <f>IF(B344&lt;_CurWeek,"In","")</f>
        <v/>
      </c>
      <c r="N344" s="156">
        <f>IF(M344="In",E344&amp;G344,"")</f>
        <v/>
      </c>
      <c r="O344" s="156">
        <f>IF(L344="Win",1,0)</f>
        <v/>
      </c>
    </row>
    <row r="345" ht="14.4" customHeight="1" s="152">
      <c r="A345" s="167">
        <f>B345&amp;E345</f>
        <v/>
      </c>
      <c r="B345" s="174">
        <f>B60</f>
        <v/>
      </c>
      <c r="C345" s="174">
        <f>C60</f>
        <v/>
      </c>
      <c r="D345" s="174">
        <f>D60</f>
        <v/>
      </c>
      <c r="E345" s="174">
        <f>H60</f>
        <v/>
      </c>
      <c r="F345" s="157">
        <f>I60</f>
        <v/>
      </c>
      <c r="G345" s="174" t="inlineStr">
        <is>
          <t>Home</t>
        </is>
      </c>
      <c r="H345" s="176">
        <f>E60</f>
        <v/>
      </c>
      <c r="I345" s="157">
        <f>F60</f>
        <v/>
      </c>
      <c r="J345" s="177">
        <f>J60</f>
        <v/>
      </c>
      <c r="K345" s="156">
        <f>IF(AND(F345=0,I345=0),"",IF(F345&gt;I345,B345&amp;E345,IF(F345&lt;I345,B345&amp;H345,"Tie")))</f>
        <v/>
      </c>
      <c r="L345" s="156">
        <f>IFERROR(IF(AND(B345&lt;$L$1,F345&gt;I345),"Win",IF(AND(B345&lt;$L$1,F345&lt;I345),"Loss","")),"")</f>
        <v/>
      </c>
      <c r="M345" s="156">
        <f>IF(B345&lt;_CurWeek,"In","")</f>
        <v/>
      </c>
      <c r="N345" s="156">
        <f>IF(M345="In",E345&amp;G345,"")</f>
        <v/>
      </c>
      <c r="O345" s="156">
        <f>IF(L345="Win",1,0)</f>
        <v/>
      </c>
    </row>
    <row r="346" ht="14.4" customHeight="1" s="152">
      <c r="A346" s="167">
        <f>B346&amp;E346</f>
        <v/>
      </c>
      <c r="B346" s="174">
        <f>B61</f>
        <v/>
      </c>
      <c r="C346" s="174">
        <f>C61</f>
        <v/>
      </c>
      <c r="D346" s="174">
        <f>D61</f>
        <v/>
      </c>
      <c r="E346" s="174">
        <f>H61</f>
        <v/>
      </c>
      <c r="F346" s="157">
        <f>I61</f>
        <v/>
      </c>
      <c r="G346" s="174" t="inlineStr">
        <is>
          <t>Home</t>
        </is>
      </c>
      <c r="H346" s="176">
        <f>E61</f>
        <v/>
      </c>
      <c r="I346" s="157">
        <f>F61</f>
        <v/>
      </c>
      <c r="J346" s="177">
        <f>J61</f>
        <v/>
      </c>
      <c r="K346" s="156">
        <f>IF(AND(F346=0,I346=0),"",IF(F346&gt;I346,B346&amp;E346,IF(F346&lt;I346,B346&amp;H346,"Tie")))</f>
        <v/>
      </c>
      <c r="L346" s="156">
        <f>IFERROR(IF(AND(B346&lt;$L$1,F346&gt;I346),"Win",IF(AND(B346&lt;$L$1,F346&lt;I346),"Loss","")),"")</f>
        <v/>
      </c>
      <c r="M346" s="156">
        <f>IF(B346&lt;_CurWeek,"In","")</f>
        <v/>
      </c>
      <c r="N346" s="156">
        <f>IF(M346="In",E346&amp;G346,"")</f>
        <v/>
      </c>
      <c r="O346" s="156">
        <f>IF(L346="Win",1,0)</f>
        <v/>
      </c>
    </row>
    <row r="347" ht="14.4" customHeight="1" s="152">
      <c r="A347" s="167">
        <f>B347&amp;E347</f>
        <v/>
      </c>
      <c r="B347" s="174">
        <f>B62</f>
        <v/>
      </c>
      <c r="C347" s="174">
        <f>C62</f>
        <v/>
      </c>
      <c r="D347" s="174">
        <f>D62</f>
        <v/>
      </c>
      <c r="E347" s="174">
        <f>H62</f>
        <v/>
      </c>
      <c r="F347" s="157">
        <f>I62</f>
        <v/>
      </c>
      <c r="G347" s="174" t="inlineStr">
        <is>
          <t>Home</t>
        </is>
      </c>
      <c r="H347" s="176">
        <f>E62</f>
        <v/>
      </c>
      <c r="I347" s="157">
        <f>F62</f>
        <v/>
      </c>
      <c r="J347" s="177">
        <f>J62</f>
        <v/>
      </c>
      <c r="K347" s="156">
        <f>IF(AND(F347=0,I347=0),"",IF(F347&gt;I347,B347&amp;E347,IF(F347&lt;I347,B347&amp;H347,"Tie")))</f>
        <v/>
      </c>
      <c r="L347" s="156">
        <f>IFERROR(IF(AND(B347&lt;$L$1,F347&gt;I347),"Win",IF(AND(B347&lt;$L$1,F347&lt;I347),"Loss","")),"")</f>
        <v/>
      </c>
      <c r="M347" s="156">
        <f>IF(B347&lt;_CurWeek,"In","")</f>
        <v/>
      </c>
      <c r="N347" s="156">
        <f>IF(M347="In",E347&amp;G347,"")</f>
        <v/>
      </c>
      <c r="O347" s="156">
        <f>IF(L347="Win",1,0)</f>
        <v/>
      </c>
    </row>
    <row r="348" ht="14.4" customHeight="1" s="152">
      <c r="A348" s="167">
        <f>B348&amp;E348</f>
        <v/>
      </c>
      <c r="B348" s="174">
        <f>B63</f>
        <v/>
      </c>
      <c r="C348" s="174">
        <f>C63</f>
        <v/>
      </c>
      <c r="D348" s="174">
        <f>D63</f>
        <v/>
      </c>
      <c r="E348" s="174">
        <f>H63</f>
        <v/>
      </c>
      <c r="F348" s="157">
        <f>I63</f>
        <v/>
      </c>
      <c r="G348" s="174" t="inlineStr">
        <is>
          <t>Home</t>
        </is>
      </c>
      <c r="H348" s="176">
        <f>E63</f>
        <v/>
      </c>
      <c r="I348" s="157">
        <f>F63</f>
        <v/>
      </c>
      <c r="J348" s="177">
        <f>J63</f>
        <v/>
      </c>
      <c r="K348" s="156">
        <f>IF(AND(F348=0,I348=0),"",IF(F348&gt;I348,B348&amp;E348,IF(F348&lt;I348,B348&amp;H348,"Tie")))</f>
        <v/>
      </c>
      <c r="L348" s="156">
        <f>IFERROR(IF(AND(B348&lt;$L$1,F348&gt;I348),"Win",IF(AND(B348&lt;$L$1,F348&lt;I348),"Loss","")),"")</f>
        <v/>
      </c>
      <c r="M348" s="156">
        <f>IF(B348&lt;_CurWeek,"In","")</f>
        <v/>
      </c>
      <c r="N348" s="156">
        <f>IF(M348="In",E348&amp;G348,"")</f>
        <v/>
      </c>
      <c r="O348" s="156">
        <f>IF(L348="Win",1,0)</f>
        <v/>
      </c>
    </row>
    <row r="349" ht="14.4" customHeight="1" s="152">
      <c r="A349" s="167">
        <f>B349&amp;E349</f>
        <v/>
      </c>
      <c r="B349" s="174">
        <f>B64</f>
        <v/>
      </c>
      <c r="C349" s="174">
        <f>C64</f>
        <v/>
      </c>
      <c r="D349" s="174">
        <f>D64</f>
        <v/>
      </c>
      <c r="E349" s="174">
        <f>H64</f>
        <v/>
      </c>
      <c r="F349" s="157">
        <f>I64</f>
        <v/>
      </c>
      <c r="G349" s="174" t="inlineStr">
        <is>
          <t>Home</t>
        </is>
      </c>
      <c r="H349" s="176">
        <f>E64</f>
        <v/>
      </c>
      <c r="I349" s="157">
        <f>F64</f>
        <v/>
      </c>
      <c r="J349" s="177">
        <f>J64</f>
        <v/>
      </c>
      <c r="K349" s="156">
        <f>IF(AND(F349=0,I349=0),"",IF(F349&gt;I349,B349&amp;E349,IF(F349&lt;I349,B349&amp;H349,"Tie")))</f>
        <v/>
      </c>
      <c r="L349" s="156">
        <f>IFERROR(IF(AND(B349&lt;$L$1,F349&gt;I349),"Win",IF(AND(B349&lt;$L$1,F349&lt;I349),"Loss","")),"")</f>
        <v/>
      </c>
      <c r="M349" s="156">
        <f>IF(B349&lt;_CurWeek,"In","")</f>
        <v/>
      </c>
      <c r="N349" s="156">
        <f>IF(M349="In",E349&amp;G349,"")</f>
        <v/>
      </c>
      <c r="O349" s="156">
        <f>IF(L349="Win",1,0)</f>
        <v/>
      </c>
    </row>
    <row r="350" ht="14.4" customHeight="1" s="152">
      <c r="A350" s="167">
        <f>B350&amp;E350</f>
        <v/>
      </c>
      <c r="B350" s="174">
        <f>B65</f>
        <v/>
      </c>
      <c r="C350" s="174">
        <f>C65</f>
        <v/>
      </c>
      <c r="D350" s="174">
        <f>D65</f>
        <v/>
      </c>
      <c r="E350" s="174">
        <f>H65</f>
        <v/>
      </c>
      <c r="F350" s="157">
        <f>I65</f>
        <v/>
      </c>
      <c r="G350" s="174" t="inlineStr">
        <is>
          <t>Home</t>
        </is>
      </c>
      <c r="H350" s="176">
        <f>E65</f>
        <v/>
      </c>
      <c r="I350" s="157">
        <f>F65</f>
        <v/>
      </c>
      <c r="J350" s="177">
        <f>J65</f>
        <v/>
      </c>
      <c r="K350" s="156">
        <f>IF(AND(F350=0,I350=0),"",IF(F350&gt;I350,B350&amp;E350,IF(F350&lt;I350,B350&amp;H350,"Tie")))</f>
        <v/>
      </c>
      <c r="L350" s="156">
        <f>IFERROR(IF(AND(B350&lt;$L$1,F350&gt;I350),"Win",IF(AND(B350&lt;$L$1,F350&lt;I350),"Loss","")),"")</f>
        <v/>
      </c>
      <c r="M350" s="156">
        <f>IF(B350&lt;_CurWeek,"In","")</f>
        <v/>
      </c>
      <c r="N350" s="156">
        <f>IF(M350="In",E350&amp;G350,"")</f>
        <v/>
      </c>
      <c r="O350" s="156">
        <f>IF(L350="Win",1,0)</f>
        <v/>
      </c>
    </row>
    <row r="351" ht="14.4" customHeight="1" s="152">
      <c r="A351" s="167">
        <f>B351&amp;E351</f>
        <v/>
      </c>
      <c r="B351" s="174">
        <f>B66</f>
        <v/>
      </c>
      <c r="C351" s="174">
        <f>C66</f>
        <v/>
      </c>
      <c r="D351" s="174">
        <f>D66</f>
        <v/>
      </c>
      <c r="E351" s="174">
        <f>H66</f>
        <v/>
      </c>
      <c r="F351" s="157">
        <f>I66</f>
        <v/>
      </c>
      <c r="G351" s="174" t="inlineStr">
        <is>
          <t>Home</t>
        </is>
      </c>
      <c r="H351" s="176">
        <f>E66</f>
        <v/>
      </c>
      <c r="I351" s="157">
        <f>F66</f>
        <v/>
      </c>
      <c r="J351" s="177">
        <f>J66</f>
        <v/>
      </c>
      <c r="K351" s="156">
        <f>IF(AND(F351=0,I351=0),"",IF(F351&gt;I351,B351&amp;E351,IF(F351&lt;I351,B351&amp;H351,"Tie")))</f>
        <v/>
      </c>
      <c r="L351" s="156">
        <f>IFERROR(IF(AND(B351&lt;$L$1,F351&gt;I351),"Win",IF(AND(B351&lt;$L$1,F351&lt;I351),"Loss","")),"")</f>
        <v/>
      </c>
      <c r="M351" s="156">
        <f>IF(B351&lt;_CurWeek,"In","")</f>
        <v/>
      </c>
      <c r="N351" s="156">
        <f>IF(M351="In",E351&amp;G351,"")</f>
        <v/>
      </c>
      <c r="O351" s="156">
        <f>IF(L351="Win",1,0)</f>
        <v/>
      </c>
    </row>
    <row r="352" ht="14.4" customHeight="1" s="152">
      <c r="A352" s="167">
        <f>B352&amp;E352</f>
        <v/>
      </c>
      <c r="B352" s="174">
        <f>B67</f>
        <v/>
      </c>
      <c r="C352" s="174">
        <f>C67</f>
        <v/>
      </c>
      <c r="D352" s="174">
        <f>D67</f>
        <v/>
      </c>
      <c r="E352" s="174">
        <f>H67</f>
        <v/>
      </c>
      <c r="F352" s="157">
        <f>I67</f>
        <v/>
      </c>
      <c r="G352" s="174" t="inlineStr">
        <is>
          <t>Home</t>
        </is>
      </c>
      <c r="H352" s="176">
        <f>E67</f>
        <v/>
      </c>
      <c r="I352" s="157">
        <f>F67</f>
        <v/>
      </c>
      <c r="J352" s="177">
        <f>J67</f>
        <v/>
      </c>
      <c r="K352" s="156">
        <f>IF(AND(F352=0,I352=0),"",IF(F352&gt;I352,B352&amp;E352,IF(F352&lt;I352,B352&amp;H352,"Tie")))</f>
        <v/>
      </c>
      <c r="L352" s="156">
        <f>IFERROR(IF(AND(B352&lt;$L$1,F352&gt;I352),"Win",IF(AND(B352&lt;$L$1,F352&lt;I352),"Loss","")),"")</f>
        <v/>
      </c>
      <c r="M352" s="156">
        <f>IF(B352&lt;_CurWeek,"In","")</f>
        <v/>
      </c>
      <c r="N352" s="156">
        <f>IF(M352="In",E352&amp;G352,"")</f>
        <v/>
      </c>
      <c r="O352" s="156">
        <f>IF(L352="Win",1,0)</f>
        <v/>
      </c>
    </row>
    <row r="353" ht="14.4" customHeight="1" s="152">
      <c r="A353" s="167">
        <f>B353&amp;E353</f>
        <v/>
      </c>
      <c r="B353" s="174">
        <f>B68</f>
        <v/>
      </c>
      <c r="C353" s="174">
        <f>C68</f>
        <v/>
      </c>
      <c r="D353" s="174">
        <f>D68</f>
        <v/>
      </c>
      <c r="E353" s="174">
        <f>H68</f>
        <v/>
      </c>
      <c r="F353" s="157">
        <f>I68</f>
        <v/>
      </c>
      <c r="G353" s="174" t="inlineStr">
        <is>
          <t>Home</t>
        </is>
      </c>
      <c r="H353" s="176">
        <f>E68</f>
        <v/>
      </c>
      <c r="I353" s="157">
        <f>F68</f>
        <v/>
      </c>
      <c r="J353" s="177">
        <f>J68</f>
        <v/>
      </c>
      <c r="K353" s="156">
        <f>IF(AND(F353=0,I353=0),"",IF(F353&gt;I353,B353&amp;E353,IF(F353&lt;I353,B353&amp;H353,"Tie")))</f>
        <v/>
      </c>
      <c r="L353" s="156">
        <f>IFERROR(IF(AND(B353&lt;$L$1,F353&gt;I353),"Win",IF(AND(B353&lt;$L$1,F353&lt;I353),"Loss","")),"")</f>
        <v/>
      </c>
      <c r="M353" s="156">
        <f>IF(B353&lt;_CurWeek,"In","")</f>
        <v/>
      </c>
      <c r="N353" s="156">
        <f>IF(M353="In",E353&amp;G353,"")</f>
        <v/>
      </c>
      <c r="O353" s="156">
        <f>IF(L353="Win",1,0)</f>
        <v/>
      </c>
    </row>
    <row r="354" ht="14.4" customHeight="1" s="152">
      <c r="A354" s="167">
        <f>B354&amp;E354</f>
        <v/>
      </c>
      <c r="B354" s="174">
        <f>B69</f>
        <v/>
      </c>
      <c r="C354" s="174">
        <f>C69</f>
        <v/>
      </c>
      <c r="D354" s="174">
        <f>D69</f>
        <v/>
      </c>
      <c r="E354" s="174">
        <f>H69</f>
        <v/>
      </c>
      <c r="F354" s="157">
        <f>I69</f>
        <v/>
      </c>
      <c r="G354" s="174" t="inlineStr">
        <is>
          <t>Home</t>
        </is>
      </c>
      <c r="H354" s="176">
        <f>E69</f>
        <v/>
      </c>
      <c r="I354" s="157">
        <f>F69</f>
        <v/>
      </c>
      <c r="J354" s="177">
        <f>J69</f>
        <v/>
      </c>
      <c r="K354" s="156">
        <f>IF(AND(F354=0,I354=0),"",IF(F354&gt;I354,B354&amp;E354,IF(F354&lt;I354,B354&amp;H354,"Tie")))</f>
        <v/>
      </c>
      <c r="L354" s="156">
        <f>IFERROR(IF(AND(B354&lt;$L$1,F354&gt;I354),"Win",IF(AND(B354&lt;$L$1,F354&lt;I354),"Loss","")),"")</f>
        <v/>
      </c>
      <c r="M354" s="156">
        <f>IF(B354&lt;_CurWeek,"In","")</f>
        <v/>
      </c>
      <c r="N354" s="156">
        <f>IF(M354="In",E354&amp;G354,"")</f>
        <v/>
      </c>
      <c r="O354" s="156">
        <f>IF(L354="Win",1,0)</f>
        <v/>
      </c>
    </row>
    <row r="355" ht="14.4" customHeight="1" s="152">
      <c r="A355" s="167">
        <f>B355&amp;E355</f>
        <v/>
      </c>
      <c r="B355" s="174">
        <f>B70</f>
        <v/>
      </c>
      <c r="C355" s="174">
        <f>C70</f>
        <v/>
      </c>
      <c r="D355" s="174">
        <f>D70</f>
        <v/>
      </c>
      <c r="E355" s="174">
        <f>H70</f>
        <v/>
      </c>
      <c r="F355" s="157">
        <f>I70</f>
        <v/>
      </c>
      <c r="G355" s="174" t="inlineStr">
        <is>
          <t>Home</t>
        </is>
      </c>
      <c r="H355" s="176">
        <f>E70</f>
        <v/>
      </c>
      <c r="I355" s="157">
        <f>F70</f>
        <v/>
      </c>
      <c r="J355" s="177">
        <f>J70</f>
        <v/>
      </c>
      <c r="K355" s="156">
        <f>IF(AND(F355=0,I355=0),"",IF(F355&gt;I355,B355&amp;E355,IF(F355&lt;I355,B355&amp;H355,"Tie")))</f>
        <v/>
      </c>
      <c r="L355" s="156">
        <f>IFERROR(IF(AND(B355&lt;$L$1,F355&gt;I355),"Win",IF(AND(B355&lt;$L$1,F355&lt;I355),"Loss","")),"")</f>
        <v/>
      </c>
      <c r="M355" s="156">
        <f>IF(B355&lt;_CurWeek,"In","")</f>
        <v/>
      </c>
      <c r="N355" s="156">
        <f>IF(M355="In",E355&amp;G355,"")</f>
        <v/>
      </c>
      <c r="O355" s="156">
        <f>IF(L355="Win",1,0)</f>
        <v/>
      </c>
    </row>
    <row r="356" ht="14.4" customHeight="1" s="152">
      <c r="A356" s="167">
        <f>B356&amp;E356</f>
        <v/>
      </c>
      <c r="B356" s="174">
        <f>B71</f>
        <v/>
      </c>
      <c r="C356" s="174">
        <f>C71</f>
        <v/>
      </c>
      <c r="D356" s="174">
        <f>D71</f>
        <v/>
      </c>
      <c r="E356" s="174">
        <f>H71</f>
        <v/>
      </c>
      <c r="F356" s="157">
        <f>I71</f>
        <v/>
      </c>
      <c r="G356" s="174" t="inlineStr">
        <is>
          <t>Home</t>
        </is>
      </c>
      <c r="H356" s="176">
        <f>E71</f>
        <v/>
      </c>
      <c r="I356" s="157">
        <f>F71</f>
        <v/>
      </c>
      <c r="J356" s="177">
        <f>J71</f>
        <v/>
      </c>
      <c r="K356" s="156">
        <f>IF(AND(F356=0,I356=0),"",IF(F356&gt;I356,B356&amp;E356,IF(F356&lt;I356,B356&amp;H356,"Tie")))</f>
        <v/>
      </c>
      <c r="L356" s="156">
        <f>IFERROR(IF(AND(B356&lt;$L$1,F356&gt;I356),"Win",IF(AND(B356&lt;$L$1,F356&lt;I356),"Loss","")),"")</f>
        <v/>
      </c>
      <c r="M356" s="156">
        <f>IF(B356&lt;_CurWeek,"In","")</f>
        <v/>
      </c>
      <c r="N356" s="156">
        <f>IF(M356="In",E356&amp;G356,"")</f>
        <v/>
      </c>
      <c r="O356" s="156">
        <f>IF(L356="Win",1,0)</f>
        <v/>
      </c>
    </row>
    <row r="357" ht="14.4" customHeight="1" s="152">
      <c r="A357" s="167">
        <f>B357&amp;E357</f>
        <v/>
      </c>
      <c r="B357" s="174">
        <f>B72</f>
        <v/>
      </c>
      <c r="C357" s="174">
        <f>C72</f>
        <v/>
      </c>
      <c r="D357" s="174">
        <f>D72</f>
        <v/>
      </c>
      <c r="E357" s="174">
        <f>H72</f>
        <v/>
      </c>
      <c r="F357" s="157">
        <f>I72</f>
        <v/>
      </c>
      <c r="G357" s="174" t="inlineStr">
        <is>
          <t>Home</t>
        </is>
      </c>
      <c r="H357" s="176">
        <f>E72</f>
        <v/>
      </c>
      <c r="I357" s="157">
        <f>F72</f>
        <v/>
      </c>
      <c r="J357" s="177">
        <f>J72</f>
        <v/>
      </c>
      <c r="K357" s="156">
        <f>IF(AND(F357=0,I357=0),"",IF(F357&gt;I357,B357&amp;E357,IF(F357&lt;I357,B357&amp;H357,"Tie")))</f>
        <v/>
      </c>
      <c r="L357" s="156">
        <f>IFERROR(IF(AND(B357&lt;$L$1,F357&gt;I357),"Win",IF(AND(B357&lt;$L$1,F357&lt;I357),"Loss","")),"")</f>
        <v/>
      </c>
      <c r="M357" s="156">
        <f>IF(B357&lt;_CurWeek,"In","")</f>
        <v/>
      </c>
      <c r="N357" s="156">
        <f>IF(M357="In",E357&amp;G357,"")</f>
        <v/>
      </c>
      <c r="O357" s="156">
        <f>IF(L357="Win",1,0)</f>
        <v/>
      </c>
    </row>
    <row r="358" ht="14.4" customHeight="1" s="152">
      <c r="A358" s="167">
        <f>B358&amp;E358</f>
        <v/>
      </c>
      <c r="B358" s="174">
        <f>B73</f>
        <v/>
      </c>
      <c r="C358" s="174">
        <f>C73</f>
        <v/>
      </c>
      <c r="D358" s="174">
        <f>D73</f>
        <v/>
      </c>
      <c r="E358" s="174">
        <f>H73</f>
        <v/>
      </c>
      <c r="F358" s="157">
        <f>I73</f>
        <v/>
      </c>
      <c r="G358" s="174" t="inlineStr">
        <is>
          <t>Home</t>
        </is>
      </c>
      <c r="H358" s="176">
        <f>E73</f>
        <v/>
      </c>
      <c r="I358" s="157">
        <f>F73</f>
        <v/>
      </c>
      <c r="J358" s="177">
        <f>J73</f>
        <v/>
      </c>
      <c r="K358" s="156">
        <f>IF(AND(F358=0,I358=0),"",IF(F358&gt;I358,B358&amp;E358,IF(F358&lt;I358,B358&amp;H358,"Tie")))</f>
        <v/>
      </c>
      <c r="L358" s="156">
        <f>IFERROR(IF(AND(B358&lt;$L$1,F358&gt;I358),"Win",IF(AND(B358&lt;$L$1,F358&lt;I358),"Loss","")),"")</f>
        <v/>
      </c>
      <c r="M358" s="156">
        <f>IF(B358&lt;_CurWeek,"In","")</f>
        <v/>
      </c>
      <c r="N358" s="156">
        <f>IF(M358="In",E358&amp;G358,"")</f>
        <v/>
      </c>
      <c r="O358" s="156">
        <f>IF(L358="Win",1,0)</f>
        <v/>
      </c>
    </row>
    <row r="359" ht="14.4" customHeight="1" s="152">
      <c r="A359" s="167">
        <f>B359&amp;E359</f>
        <v/>
      </c>
      <c r="B359" s="174">
        <f>B74</f>
        <v/>
      </c>
      <c r="C359" s="174">
        <f>C74</f>
        <v/>
      </c>
      <c r="D359" s="174">
        <f>D74</f>
        <v/>
      </c>
      <c r="E359" s="174">
        <f>H74</f>
        <v/>
      </c>
      <c r="F359" s="157">
        <f>I74</f>
        <v/>
      </c>
      <c r="G359" s="174" t="inlineStr">
        <is>
          <t>Home</t>
        </is>
      </c>
      <c r="H359" s="176">
        <f>E74</f>
        <v/>
      </c>
      <c r="I359" s="157">
        <f>F74</f>
        <v/>
      </c>
      <c r="J359" s="177">
        <f>J74</f>
        <v/>
      </c>
      <c r="K359" s="156">
        <f>IF(AND(F359=0,I359=0),"",IF(F359&gt;I359,B359&amp;E359,IF(F359&lt;I359,B359&amp;H359,"Tie")))</f>
        <v/>
      </c>
      <c r="L359" s="156">
        <f>IFERROR(IF(AND(B359&lt;$L$1,F359&gt;I359),"Win",IF(AND(B359&lt;$L$1,F359&lt;I359),"Loss","")),"")</f>
        <v/>
      </c>
      <c r="M359" s="156">
        <f>IF(B359&lt;_CurWeek,"In","")</f>
        <v/>
      </c>
      <c r="N359" s="156">
        <f>IF(M359="In",E359&amp;G359,"")</f>
        <v/>
      </c>
      <c r="O359" s="156">
        <f>IF(L359="Win",1,0)</f>
        <v/>
      </c>
    </row>
    <row r="360" ht="14.4" customHeight="1" s="152">
      <c r="A360" s="167">
        <f>B360&amp;E360</f>
        <v/>
      </c>
      <c r="B360" s="174">
        <f>B75</f>
        <v/>
      </c>
      <c r="C360" s="174">
        <f>C75</f>
        <v/>
      </c>
      <c r="D360" s="174">
        <f>D75</f>
        <v/>
      </c>
      <c r="E360" s="174">
        <f>H75</f>
        <v/>
      </c>
      <c r="F360" s="157">
        <f>I75</f>
        <v/>
      </c>
      <c r="G360" s="174" t="inlineStr">
        <is>
          <t>Home</t>
        </is>
      </c>
      <c r="H360" s="176">
        <f>E75</f>
        <v/>
      </c>
      <c r="I360" s="157">
        <f>F75</f>
        <v/>
      </c>
      <c r="J360" s="177">
        <f>J75</f>
        <v/>
      </c>
      <c r="K360" s="156">
        <f>IF(AND(F360=0,I360=0),"",IF(F360&gt;I360,B360&amp;E360,IF(F360&lt;I360,B360&amp;H360,"Tie")))</f>
        <v/>
      </c>
      <c r="L360" s="156">
        <f>IFERROR(IF(AND(B360&lt;$L$1,F360&gt;I360),"Win",IF(AND(B360&lt;$L$1,F360&lt;I360),"Loss","")),"")</f>
        <v/>
      </c>
      <c r="M360" s="156">
        <f>IF(B360&lt;_CurWeek,"In","")</f>
        <v/>
      </c>
      <c r="N360" s="156">
        <f>IF(M360="In",E360&amp;G360,"")</f>
        <v/>
      </c>
      <c r="O360" s="156">
        <f>IF(L360="Win",1,0)</f>
        <v/>
      </c>
    </row>
    <row r="361" ht="14.4" customHeight="1" s="152">
      <c r="A361" s="167">
        <f>B361&amp;E361</f>
        <v/>
      </c>
      <c r="B361" s="174">
        <f>B76</f>
        <v/>
      </c>
      <c r="C361" s="174">
        <f>C76</f>
        <v/>
      </c>
      <c r="D361" s="174">
        <f>D76</f>
        <v/>
      </c>
      <c r="E361" s="174">
        <f>H76</f>
        <v/>
      </c>
      <c r="F361" s="157">
        <f>I76</f>
        <v/>
      </c>
      <c r="G361" s="174" t="inlineStr">
        <is>
          <t>Home</t>
        </is>
      </c>
      <c r="H361" s="176">
        <f>E76</f>
        <v/>
      </c>
      <c r="I361" s="157">
        <f>F76</f>
        <v/>
      </c>
      <c r="J361" s="177">
        <f>J76</f>
        <v/>
      </c>
      <c r="K361" s="156">
        <f>IF(AND(F361=0,I361=0),"",IF(F361&gt;I361,B361&amp;E361,IF(F361&lt;I361,B361&amp;H361,"Tie")))</f>
        <v/>
      </c>
      <c r="L361" s="156">
        <f>IFERROR(IF(AND(B361&lt;$L$1,F361&gt;I361),"Win",IF(AND(B361&lt;$L$1,F361&lt;I361),"Loss","")),"")</f>
        <v/>
      </c>
      <c r="M361" s="156">
        <f>IF(B361&lt;_CurWeek,"In","")</f>
        <v/>
      </c>
      <c r="N361" s="156">
        <f>IF(M361="In",E361&amp;G361,"")</f>
        <v/>
      </c>
      <c r="O361" s="156">
        <f>IF(L361="Win",1,0)</f>
        <v/>
      </c>
    </row>
    <row r="362" ht="14.4" customHeight="1" s="152">
      <c r="A362" s="167">
        <f>B362&amp;E362</f>
        <v/>
      </c>
      <c r="B362" s="174">
        <f>B77</f>
        <v/>
      </c>
      <c r="C362" s="174">
        <f>C77</f>
        <v/>
      </c>
      <c r="D362" s="174">
        <f>D77</f>
        <v/>
      </c>
      <c r="E362" s="174">
        <f>H77</f>
        <v/>
      </c>
      <c r="F362" s="157">
        <f>I77</f>
        <v/>
      </c>
      <c r="G362" s="174" t="inlineStr">
        <is>
          <t>Home</t>
        </is>
      </c>
      <c r="H362" s="176">
        <f>E77</f>
        <v/>
      </c>
      <c r="I362" s="157">
        <f>F77</f>
        <v/>
      </c>
      <c r="J362" s="177">
        <f>J77</f>
        <v/>
      </c>
      <c r="K362" s="156">
        <f>IF(AND(F362=0,I362=0),"",IF(F362&gt;I362,B362&amp;E362,IF(F362&lt;I362,B362&amp;H362,"Tie")))</f>
        <v/>
      </c>
      <c r="L362" s="156">
        <f>IFERROR(IF(AND(B362&lt;$L$1,F362&gt;I362),"Win",IF(AND(B362&lt;$L$1,F362&lt;I362),"Loss","")),"")</f>
        <v/>
      </c>
      <c r="M362" s="156">
        <f>IF(B362&lt;_CurWeek,"In","")</f>
        <v/>
      </c>
      <c r="N362" s="156">
        <f>IF(M362="In",E362&amp;G362,"")</f>
        <v/>
      </c>
      <c r="O362" s="156">
        <f>IF(L362="Win",1,0)</f>
        <v/>
      </c>
    </row>
    <row r="363" ht="14.4" customHeight="1" s="152">
      <c r="A363" s="167">
        <f>B363&amp;E363</f>
        <v/>
      </c>
      <c r="B363" s="174">
        <f>B78</f>
        <v/>
      </c>
      <c r="C363" s="174">
        <f>C78</f>
        <v/>
      </c>
      <c r="D363" s="174">
        <f>D78</f>
        <v/>
      </c>
      <c r="E363" s="174">
        <f>H78</f>
        <v/>
      </c>
      <c r="F363" s="157">
        <f>I78</f>
        <v/>
      </c>
      <c r="G363" s="174" t="inlineStr">
        <is>
          <t>Home</t>
        </is>
      </c>
      <c r="H363" s="176">
        <f>E78</f>
        <v/>
      </c>
      <c r="I363" s="157">
        <f>F78</f>
        <v/>
      </c>
      <c r="J363" s="177">
        <f>J78</f>
        <v/>
      </c>
      <c r="K363" s="156">
        <f>IF(AND(F363=0,I363=0),"",IF(F363&gt;I363,B363&amp;E363,IF(F363&lt;I363,B363&amp;H363,"Tie")))</f>
        <v/>
      </c>
      <c r="L363" s="156">
        <f>IFERROR(IF(AND(B363&lt;$L$1,F363&gt;I363),"Win",IF(AND(B363&lt;$L$1,F363&lt;I363),"Loss","")),"")</f>
        <v/>
      </c>
      <c r="M363" s="156">
        <f>IF(B363&lt;_CurWeek,"In","")</f>
        <v/>
      </c>
      <c r="N363" s="156">
        <f>IF(M363="In",E363&amp;G363,"")</f>
        <v/>
      </c>
      <c r="O363" s="156">
        <f>IF(L363="Win",1,0)</f>
        <v/>
      </c>
    </row>
    <row r="364" ht="14.4" customHeight="1" s="152">
      <c r="A364" s="167">
        <f>B364&amp;E364</f>
        <v/>
      </c>
      <c r="B364" s="174">
        <f>B79</f>
        <v/>
      </c>
      <c r="C364" s="174">
        <f>C79</f>
        <v/>
      </c>
      <c r="D364" s="174">
        <f>D79</f>
        <v/>
      </c>
      <c r="E364" s="174">
        <f>H79</f>
        <v/>
      </c>
      <c r="F364" s="157">
        <f>I79</f>
        <v/>
      </c>
      <c r="G364" s="174" t="inlineStr">
        <is>
          <t>Home</t>
        </is>
      </c>
      <c r="H364" s="176">
        <f>E79</f>
        <v/>
      </c>
      <c r="I364" s="157">
        <f>F79</f>
        <v/>
      </c>
      <c r="J364" s="177">
        <f>J79</f>
        <v/>
      </c>
      <c r="K364" s="156">
        <f>IF(AND(F364=0,I364=0),"",IF(F364&gt;I364,B364&amp;E364,IF(F364&lt;I364,B364&amp;H364,"Tie")))</f>
        <v/>
      </c>
      <c r="L364" s="156">
        <f>IFERROR(IF(AND(B364&lt;$L$1,F364&gt;I364),"Win",IF(AND(B364&lt;$L$1,F364&lt;I364),"Loss","")),"")</f>
        <v/>
      </c>
      <c r="M364" s="156">
        <f>IF(B364&lt;_CurWeek,"In","")</f>
        <v/>
      </c>
      <c r="N364" s="156">
        <f>IF(M364="In",E364&amp;G364,"")</f>
        <v/>
      </c>
      <c r="O364" s="156">
        <f>IF(L364="Win",1,0)</f>
        <v/>
      </c>
    </row>
    <row r="365" ht="14.4" customHeight="1" s="152">
      <c r="A365" s="167">
        <f>B365&amp;E365</f>
        <v/>
      </c>
      <c r="B365" s="174">
        <f>B80</f>
        <v/>
      </c>
      <c r="C365" s="174">
        <f>C80</f>
        <v/>
      </c>
      <c r="D365" s="174">
        <f>D80</f>
        <v/>
      </c>
      <c r="E365" s="174">
        <f>H80</f>
        <v/>
      </c>
      <c r="F365" s="157">
        <f>I80</f>
        <v/>
      </c>
      <c r="G365" s="174" t="inlineStr">
        <is>
          <t>Home</t>
        </is>
      </c>
      <c r="H365" s="176">
        <f>E80</f>
        <v/>
      </c>
      <c r="I365" s="157">
        <f>F80</f>
        <v/>
      </c>
      <c r="J365" s="177">
        <f>J80</f>
        <v/>
      </c>
      <c r="K365" s="156">
        <f>IF(AND(F365=0,I365=0),"",IF(F365&gt;I365,B365&amp;E365,IF(F365&lt;I365,B365&amp;H365,"Tie")))</f>
        <v/>
      </c>
      <c r="L365" s="156">
        <f>IFERROR(IF(AND(B365&lt;$L$1,F365&gt;I365),"Win",IF(AND(B365&lt;$L$1,F365&lt;I365),"Loss","")),"")</f>
        <v/>
      </c>
      <c r="M365" s="156">
        <f>IF(B365&lt;_CurWeek,"In","")</f>
        <v/>
      </c>
      <c r="N365" s="156">
        <f>IF(M365="In",E365&amp;G365,"")</f>
        <v/>
      </c>
      <c r="O365" s="156">
        <f>IF(L365="Win",1,0)</f>
        <v/>
      </c>
    </row>
    <row r="366" ht="14.4" customHeight="1" s="152">
      <c r="A366" s="167">
        <f>B366&amp;E366</f>
        <v/>
      </c>
      <c r="B366" s="174">
        <f>B81</f>
        <v/>
      </c>
      <c r="C366" s="174">
        <f>C81</f>
        <v/>
      </c>
      <c r="D366" s="174">
        <f>D81</f>
        <v/>
      </c>
      <c r="E366" s="174">
        <f>H81</f>
        <v/>
      </c>
      <c r="F366" s="157">
        <f>I81</f>
        <v/>
      </c>
      <c r="G366" s="174" t="inlineStr">
        <is>
          <t>Home</t>
        </is>
      </c>
      <c r="H366" s="176">
        <f>E81</f>
        <v/>
      </c>
      <c r="I366" s="157">
        <f>F81</f>
        <v/>
      </c>
      <c r="J366" s="177">
        <f>J81</f>
        <v/>
      </c>
      <c r="K366" s="156">
        <f>IF(AND(F366=0,I366=0),"",IF(F366&gt;I366,B366&amp;E366,IF(F366&lt;I366,B366&amp;H366,"Tie")))</f>
        <v/>
      </c>
      <c r="L366" s="156">
        <f>IFERROR(IF(AND(B366&lt;$L$1,F366&gt;I366),"Win",IF(AND(B366&lt;$L$1,F366&lt;I366),"Loss","")),"")</f>
        <v/>
      </c>
      <c r="M366" s="156">
        <f>IF(B366&lt;_CurWeek,"In","")</f>
        <v/>
      </c>
      <c r="N366" s="156">
        <f>IF(M366="In",E366&amp;G366,"")</f>
        <v/>
      </c>
      <c r="O366" s="156">
        <f>IF(L366="Win",1,0)</f>
        <v/>
      </c>
    </row>
    <row r="367" ht="14.4" customHeight="1" s="152">
      <c r="A367" s="167">
        <f>B367&amp;E367</f>
        <v/>
      </c>
      <c r="B367" s="174">
        <f>B82</f>
        <v/>
      </c>
      <c r="C367" s="174">
        <f>C82</f>
        <v/>
      </c>
      <c r="D367" s="174">
        <f>D82</f>
        <v/>
      </c>
      <c r="E367" s="174">
        <f>H82</f>
        <v/>
      </c>
      <c r="F367" s="157">
        <f>I82</f>
        <v/>
      </c>
      <c r="G367" s="174" t="inlineStr">
        <is>
          <t>Home</t>
        </is>
      </c>
      <c r="H367" s="176">
        <f>E82</f>
        <v/>
      </c>
      <c r="I367" s="157">
        <f>F82</f>
        <v/>
      </c>
      <c r="J367" s="177">
        <f>J82</f>
        <v/>
      </c>
      <c r="K367" s="156">
        <f>IF(AND(F367=0,I367=0),"",IF(F367&gt;I367,B367&amp;E367,IF(F367&lt;I367,B367&amp;H367,"Tie")))</f>
        <v/>
      </c>
      <c r="L367" s="156">
        <f>IFERROR(IF(AND(B367&lt;$L$1,F367&gt;I367),"Win",IF(AND(B367&lt;$L$1,F367&lt;I367),"Loss","")),"")</f>
        <v/>
      </c>
      <c r="M367" s="156">
        <f>IF(B367&lt;_CurWeek,"In","")</f>
        <v/>
      </c>
      <c r="N367" s="156">
        <f>IF(M367="In",E367&amp;G367,"")</f>
        <v/>
      </c>
      <c r="O367" s="156">
        <f>IF(L367="Win",1,0)</f>
        <v/>
      </c>
    </row>
    <row r="368" ht="14.4" customHeight="1" s="152">
      <c r="A368" s="167">
        <f>B368&amp;E368</f>
        <v/>
      </c>
      <c r="B368" s="174">
        <f>B83</f>
        <v/>
      </c>
      <c r="C368" s="174">
        <f>C83</f>
        <v/>
      </c>
      <c r="D368" s="174">
        <f>D83</f>
        <v/>
      </c>
      <c r="E368" s="174">
        <f>H83</f>
        <v/>
      </c>
      <c r="F368" s="157">
        <f>I83</f>
        <v/>
      </c>
      <c r="G368" s="174" t="inlineStr">
        <is>
          <t>Home</t>
        </is>
      </c>
      <c r="H368" s="176">
        <f>E83</f>
        <v/>
      </c>
      <c r="I368" s="157">
        <f>F83</f>
        <v/>
      </c>
      <c r="J368" s="177">
        <f>J83</f>
        <v/>
      </c>
      <c r="K368" s="156">
        <f>IF(AND(F368=0,I368=0),"",IF(F368&gt;I368,B368&amp;E368,IF(F368&lt;I368,B368&amp;H368,"Tie")))</f>
        <v/>
      </c>
      <c r="L368" s="156">
        <f>IFERROR(IF(AND(B368&lt;$L$1,F368&gt;I368),"Win",IF(AND(B368&lt;$L$1,F368&lt;I368),"Loss","")),"")</f>
        <v/>
      </c>
      <c r="M368" s="156">
        <f>IF(B368&lt;_CurWeek,"In","")</f>
        <v/>
      </c>
      <c r="N368" s="156">
        <f>IF(M368="In",E368&amp;G368,"")</f>
        <v/>
      </c>
      <c r="O368" s="156">
        <f>IF(L368="Win",1,0)</f>
        <v/>
      </c>
    </row>
    <row r="369" ht="14.4" customHeight="1" s="152">
      <c r="A369" s="167">
        <f>B369&amp;E369</f>
        <v/>
      </c>
      <c r="B369" s="174">
        <f>B84</f>
        <v/>
      </c>
      <c r="C369" s="174">
        <f>C84</f>
        <v/>
      </c>
      <c r="D369" s="174">
        <f>D84</f>
        <v/>
      </c>
      <c r="E369" s="174">
        <f>H84</f>
        <v/>
      </c>
      <c r="F369" s="157">
        <f>I84</f>
        <v/>
      </c>
      <c r="G369" s="174" t="inlineStr">
        <is>
          <t>Home</t>
        </is>
      </c>
      <c r="H369" s="176">
        <f>E84</f>
        <v/>
      </c>
      <c r="I369" s="157">
        <f>F84</f>
        <v/>
      </c>
      <c r="J369" s="177">
        <f>J84</f>
        <v/>
      </c>
      <c r="K369" s="156">
        <f>IF(AND(F369=0,I369=0),"",IF(F369&gt;I369,B369&amp;E369,IF(F369&lt;I369,B369&amp;H369,"Tie")))</f>
        <v/>
      </c>
      <c r="L369" s="156">
        <f>IFERROR(IF(AND(B369&lt;$L$1,F369&gt;I369),"Win",IF(AND(B369&lt;$L$1,F369&lt;I369),"Loss","")),"")</f>
        <v/>
      </c>
      <c r="M369" s="156">
        <f>IF(B369&lt;_CurWeek,"In","")</f>
        <v/>
      </c>
      <c r="N369" s="156">
        <f>IF(M369="In",E369&amp;G369,"")</f>
        <v/>
      </c>
      <c r="O369" s="156">
        <f>IF(L369="Win",1,0)</f>
        <v/>
      </c>
    </row>
    <row r="370" ht="14.4" customHeight="1" s="152">
      <c r="A370" s="167">
        <f>B370&amp;E370</f>
        <v/>
      </c>
      <c r="B370" s="174">
        <f>B85</f>
        <v/>
      </c>
      <c r="C370" s="174">
        <f>C85</f>
        <v/>
      </c>
      <c r="D370" s="174">
        <f>D85</f>
        <v/>
      </c>
      <c r="E370" s="174">
        <f>H85</f>
        <v/>
      </c>
      <c r="F370" s="157">
        <f>I85</f>
        <v/>
      </c>
      <c r="G370" s="174" t="inlineStr">
        <is>
          <t>Home</t>
        </is>
      </c>
      <c r="H370" s="176">
        <f>E85</f>
        <v/>
      </c>
      <c r="I370" s="157">
        <f>F85</f>
        <v/>
      </c>
      <c r="J370" s="177">
        <f>J85</f>
        <v/>
      </c>
      <c r="K370" s="156">
        <f>IF(AND(F370=0,I370=0),"",IF(F370&gt;I370,B370&amp;E370,IF(F370&lt;I370,B370&amp;H370,"Tie")))</f>
        <v/>
      </c>
      <c r="L370" s="156">
        <f>IFERROR(IF(AND(B370&lt;$L$1,F370&gt;I370),"Win",IF(AND(B370&lt;$L$1,F370&lt;I370),"Loss","")),"")</f>
        <v/>
      </c>
      <c r="M370" s="156">
        <f>IF(B370&lt;_CurWeek,"In","")</f>
        <v/>
      </c>
      <c r="N370" s="156">
        <f>IF(M370="In",E370&amp;G370,"")</f>
        <v/>
      </c>
      <c r="O370" s="156">
        <f>IF(L370="Win",1,0)</f>
        <v/>
      </c>
    </row>
    <row r="371" ht="14.4" customHeight="1" s="152">
      <c r="A371" s="167">
        <f>B371&amp;E371</f>
        <v/>
      </c>
      <c r="B371" s="174">
        <f>B86</f>
        <v/>
      </c>
      <c r="C371" s="174">
        <f>C86</f>
        <v/>
      </c>
      <c r="D371" s="174">
        <f>D86</f>
        <v/>
      </c>
      <c r="E371" s="174">
        <f>H86</f>
        <v/>
      </c>
      <c r="F371" s="157">
        <f>I86</f>
        <v/>
      </c>
      <c r="G371" s="174" t="inlineStr">
        <is>
          <t>Home</t>
        </is>
      </c>
      <c r="H371" s="176">
        <f>E86</f>
        <v/>
      </c>
      <c r="I371" s="157">
        <f>F86</f>
        <v/>
      </c>
      <c r="J371" s="177">
        <f>J86</f>
        <v/>
      </c>
      <c r="K371" s="156">
        <f>IF(AND(F371=0,I371=0),"",IF(F371&gt;I371,B371&amp;E371,IF(F371&lt;I371,B371&amp;H371,"Tie")))</f>
        <v/>
      </c>
      <c r="L371" s="156">
        <f>IFERROR(IF(AND(B371&lt;$L$1,F371&gt;I371),"Win",IF(AND(B371&lt;$L$1,F371&lt;I371),"Loss","")),"")</f>
        <v/>
      </c>
      <c r="M371" s="156">
        <f>IF(B371&lt;_CurWeek,"In","")</f>
        <v/>
      </c>
      <c r="N371" s="156">
        <f>IF(M371="In",E371&amp;G371,"")</f>
        <v/>
      </c>
      <c r="O371" s="156">
        <f>IF(L371="Win",1,0)</f>
        <v/>
      </c>
    </row>
    <row r="372" ht="14.4" customHeight="1" s="152">
      <c r="A372" s="167">
        <f>B372&amp;E372</f>
        <v/>
      </c>
      <c r="B372" s="174">
        <f>B87</f>
        <v/>
      </c>
      <c r="C372" s="174">
        <f>C87</f>
        <v/>
      </c>
      <c r="D372" s="174">
        <f>D87</f>
        <v/>
      </c>
      <c r="E372" s="174">
        <f>H87</f>
        <v/>
      </c>
      <c r="F372" s="157">
        <f>I87</f>
        <v/>
      </c>
      <c r="G372" s="174" t="inlineStr">
        <is>
          <t>Home</t>
        </is>
      </c>
      <c r="H372" s="176">
        <f>E87</f>
        <v/>
      </c>
      <c r="I372" s="157">
        <f>F87</f>
        <v/>
      </c>
      <c r="J372" s="177">
        <f>J87</f>
        <v/>
      </c>
      <c r="K372" s="156">
        <f>IF(AND(F372=0,I372=0),"",IF(F372&gt;I372,B372&amp;E372,IF(F372&lt;I372,B372&amp;H372,"Tie")))</f>
        <v/>
      </c>
      <c r="L372" s="156">
        <f>IFERROR(IF(AND(B372&lt;$L$1,F372&gt;I372),"Win",IF(AND(B372&lt;$L$1,F372&lt;I372),"Loss","")),"")</f>
        <v/>
      </c>
      <c r="M372" s="156">
        <f>IF(B372&lt;_CurWeek,"In","")</f>
        <v/>
      </c>
      <c r="N372" s="156">
        <f>IF(M372="In",E372&amp;G372,"")</f>
        <v/>
      </c>
      <c r="O372" s="156">
        <f>IF(L372="Win",1,0)</f>
        <v/>
      </c>
    </row>
    <row r="373" ht="14.4" customHeight="1" s="152">
      <c r="A373" s="167">
        <f>B373&amp;E373</f>
        <v/>
      </c>
      <c r="B373" s="174">
        <f>B88</f>
        <v/>
      </c>
      <c r="C373" s="174">
        <f>C88</f>
        <v/>
      </c>
      <c r="D373" s="174">
        <f>D88</f>
        <v/>
      </c>
      <c r="E373" s="174">
        <f>H88</f>
        <v/>
      </c>
      <c r="F373" s="157">
        <f>I88</f>
        <v/>
      </c>
      <c r="G373" s="174" t="inlineStr">
        <is>
          <t>Home</t>
        </is>
      </c>
      <c r="H373" s="176">
        <f>E88</f>
        <v/>
      </c>
      <c r="I373" s="157">
        <f>F88</f>
        <v/>
      </c>
      <c r="J373" s="177">
        <f>J88</f>
        <v/>
      </c>
      <c r="K373" s="156">
        <f>IF(AND(F373=0,I373=0),"",IF(F373&gt;I373,B373&amp;E373,IF(F373&lt;I373,B373&amp;H373,"Tie")))</f>
        <v/>
      </c>
      <c r="L373" s="156">
        <f>IFERROR(IF(AND(B373&lt;$L$1,F373&gt;I373),"Win",IF(AND(B373&lt;$L$1,F373&lt;I373),"Loss","")),"")</f>
        <v/>
      </c>
      <c r="M373" s="156">
        <f>IF(B373&lt;_CurWeek,"In","")</f>
        <v/>
      </c>
      <c r="N373" s="156">
        <f>IF(M373="In",E373&amp;G373,"")</f>
        <v/>
      </c>
      <c r="O373" s="156">
        <f>IF(L373="Win",1,0)</f>
        <v/>
      </c>
    </row>
    <row r="374" ht="14.4" customHeight="1" s="152">
      <c r="A374" s="167">
        <f>B374&amp;E374</f>
        <v/>
      </c>
      <c r="B374" s="174">
        <f>B89</f>
        <v/>
      </c>
      <c r="C374" s="174">
        <f>C89</f>
        <v/>
      </c>
      <c r="D374" s="174">
        <f>D89</f>
        <v/>
      </c>
      <c r="E374" s="174">
        <f>H89</f>
        <v/>
      </c>
      <c r="F374" s="157">
        <f>I89</f>
        <v/>
      </c>
      <c r="G374" s="174" t="inlineStr">
        <is>
          <t>Home</t>
        </is>
      </c>
      <c r="H374" s="176">
        <f>E89</f>
        <v/>
      </c>
      <c r="I374" s="157">
        <f>F89</f>
        <v/>
      </c>
      <c r="J374" s="177">
        <f>J89</f>
        <v/>
      </c>
      <c r="K374" s="156">
        <f>IF(AND(F374=0,I374=0),"",IF(F374&gt;I374,B374&amp;E374,IF(F374&lt;I374,B374&amp;H374,"Tie")))</f>
        <v/>
      </c>
      <c r="L374" s="156">
        <f>IFERROR(IF(AND(B374&lt;$L$1,F374&gt;I374),"Win",IF(AND(B374&lt;$L$1,F374&lt;I374),"Loss","")),"")</f>
        <v/>
      </c>
      <c r="M374" s="156">
        <f>IF(B374&lt;_CurWeek,"In","")</f>
        <v/>
      </c>
      <c r="N374" s="156">
        <f>IF(M374="In",E374&amp;G374,"")</f>
        <v/>
      </c>
      <c r="O374" s="156">
        <f>IF(L374="Win",1,0)</f>
        <v/>
      </c>
    </row>
    <row r="375" ht="14.4" customHeight="1" s="152">
      <c r="A375" s="167">
        <f>B375&amp;E375</f>
        <v/>
      </c>
      <c r="B375" s="174">
        <f>B90</f>
        <v/>
      </c>
      <c r="C375" s="174">
        <f>C90</f>
        <v/>
      </c>
      <c r="D375" s="174">
        <f>D90</f>
        <v/>
      </c>
      <c r="E375" s="174">
        <f>H90</f>
        <v/>
      </c>
      <c r="F375" s="157">
        <f>I90</f>
        <v/>
      </c>
      <c r="G375" s="174" t="inlineStr">
        <is>
          <t>Home</t>
        </is>
      </c>
      <c r="H375" s="176">
        <f>E90</f>
        <v/>
      </c>
      <c r="I375" s="157">
        <f>F90</f>
        <v/>
      </c>
      <c r="J375" s="177">
        <f>J90</f>
        <v/>
      </c>
      <c r="K375" s="156">
        <f>IF(AND(F375=0,I375=0),"",IF(F375&gt;I375,B375&amp;E375,IF(F375&lt;I375,B375&amp;H375,"Tie")))</f>
        <v/>
      </c>
      <c r="L375" s="156">
        <f>IFERROR(IF(AND(B375&lt;$L$1,F375&gt;I375),"Win",IF(AND(B375&lt;$L$1,F375&lt;I375),"Loss","")),"")</f>
        <v/>
      </c>
      <c r="M375" s="156">
        <f>IF(B375&lt;_CurWeek,"In","")</f>
        <v/>
      </c>
      <c r="N375" s="156">
        <f>IF(M375="In",E375&amp;G375,"")</f>
        <v/>
      </c>
      <c r="O375" s="156">
        <f>IF(L375="Win",1,0)</f>
        <v/>
      </c>
    </row>
    <row r="376" ht="14.4" customHeight="1" s="152">
      <c r="A376" s="167">
        <f>B376&amp;E376</f>
        <v/>
      </c>
      <c r="B376" s="174">
        <f>B91</f>
        <v/>
      </c>
      <c r="C376" s="174">
        <f>C91</f>
        <v/>
      </c>
      <c r="D376" s="174">
        <f>D91</f>
        <v/>
      </c>
      <c r="E376" s="174">
        <f>H91</f>
        <v/>
      </c>
      <c r="F376" s="157">
        <f>I91</f>
        <v/>
      </c>
      <c r="G376" s="174" t="inlineStr">
        <is>
          <t>Home</t>
        </is>
      </c>
      <c r="H376" s="176">
        <f>E91</f>
        <v/>
      </c>
      <c r="I376" s="157">
        <f>F91</f>
        <v/>
      </c>
      <c r="J376" s="177">
        <f>J91</f>
        <v/>
      </c>
      <c r="K376" s="156">
        <f>IF(AND(F376=0,I376=0),"",IF(F376&gt;I376,B376&amp;E376,IF(F376&lt;I376,B376&amp;H376,"Tie")))</f>
        <v/>
      </c>
      <c r="L376" s="156">
        <f>IFERROR(IF(AND(B376&lt;$L$1,F376&gt;I376),"Win",IF(AND(B376&lt;$L$1,F376&lt;I376),"Loss","")),"")</f>
        <v/>
      </c>
      <c r="M376" s="156">
        <f>IF(B376&lt;_CurWeek,"In","")</f>
        <v/>
      </c>
      <c r="N376" s="156">
        <f>IF(M376="In",E376&amp;G376,"")</f>
        <v/>
      </c>
      <c r="O376" s="156">
        <f>IF(L376="Win",1,0)</f>
        <v/>
      </c>
    </row>
    <row r="377" ht="14.4" customHeight="1" s="152">
      <c r="A377" s="167">
        <f>B377&amp;E377</f>
        <v/>
      </c>
      <c r="B377" s="174">
        <f>B92</f>
        <v/>
      </c>
      <c r="C377" s="174">
        <f>C92</f>
        <v/>
      </c>
      <c r="D377" s="174">
        <f>D92</f>
        <v/>
      </c>
      <c r="E377" s="174">
        <f>H92</f>
        <v/>
      </c>
      <c r="F377" s="157">
        <f>I92</f>
        <v/>
      </c>
      <c r="G377" s="174" t="inlineStr">
        <is>
          <t>Home</t>
        </is>
      </c>
      <c r="H377" s="176">
        <f>E92</f>
        <v/>
      </c>
      <c r="I377" s="157">
        <f>F92</f>
        <v/>
      </c>
      <c r="J377" s="177">
        <f>J92</f>
        <v/>
      </c>
      <c r="K377" s="156">
        <f>IF(AND(F377=0,I377=0),"",IF(F377&gt;I377,B377&amp;E377,IF(F377&lt;I377,B377&amp;H377,"Tie")))</f>
        <v/>
      </c>
      <c r="L377" s="156">
        <f>IFERROR(IF(AND(B377&lt;$L$1,F377&gt;I377),"Win",IF(AND(B377&lt;$L$1,F377&lt;I377),"Loss","")),"")</f>
        <v/>
      </c>
      <c r="M377" s="156">
        <f>IF(B377&lt;_CurWeek,"In","")</f>
        <v/>
      </c>
      <c r="N377" s="156">
        <f>IF(M377="In",E377&amp;G377,"")</f>
        <v/>
      </c>
      <c r="O377" s="156">
        <f>IF(L377="Win",1,0)</f>
        <v/>
      </c>
    </row>
    <row r="378" ht="14.4" customHeight="1" s="152">
      <c r="A378" s="167">
        <f>B378&amp;E378</f>
        <v/>
      </c>
      <c r="B378" s="174">
        <f>B93</f>
        <v/>
      </c>
      <c r="C378" s="174">
        <f>C93</f>
        <v/>
      </c>
      <c r="D378" s="174">
        <f>D93</f>
        <v/>
      </c>
      <c r="E378" s="174">
        <f>H93</f>
        <v/>
      </c>
      <c r="F378" s="157">
        <f>I93</f>
        <v/>
      </c>
      <c r="G378" s="174" t="inlineStr">
        <is>
          <t>Home</t>
        </is>
      </c>
      <c r="H378" s="176">
        <f>E93</f>
        <v/>
      </c>
      <c r="I378" s="157">
        <f>F93</f>
        <v/>
      </c>
      <c r="J378" s="177">
        <f>J93</f>
        <v/>
      </c>
      <c r="K378" s="156">
        <f>IF(AND(F378=0,I378=0),"",IF(F378&gt;I378,B378&amp;E378,IF(F378&lt;I378,B378&amp;H378,"Tie")))</f>
        <v/>
      </c>
      <c r="L378" s="156">
        <f>IFERROR(IF(AND(B378&lt;$L$1,F378&gt;I378),"Win",IF(AND(B378&lt;$L$1,F378&lt;I378),"Loss","")),"")</f>
        <v/>
      </c>
      <c r="M378" s="156">
        <f>IF(B378&lt;_CurWeek,"In","")</f>
        <v/>
      </c>
      <c r="N378" s="156">
        <f>IF(M378="In",E378&amp;G378,"")</f>
        <v/>
      </c>
      <c r="O378" s="156">
        <f>IF(L378="Win",1,0)</f>
        <v/>
      </c>
    </row>
    <row r="379" ht="14.4" customHeight="1" s="152">
      <c r="A379" s="167">
        <f>B379&amp;E379</f>
        <v/>
      </c>
      <c r="B379" s="174">
        <f>B94</f>
        <v/>
      </c>
      <c r="C379" s="174">
        <f>C94</f>
        <v/>
      </c>
      <c r="D379" s="174">
        <f>D94</f>
        <v/>
      </c>
      <c r="E379" s="174">
        <f>H94</f>
        <v/>
      </c>
      <c r="F379" s="157">
        <f>I94</f>
        <v/>
      </c>
      <c r="G379" s="174" t="inlineStr">
        <is>
          <t>Home</t>
        </is>
      </c>
      <c r="H379" s="176">
        <f>E94</f>
        <v/>
      </c>
      <c r="I379" s="157">
        <f>F94</f>
        <v/>
      </c>
      <c r="J379" s="177">
        <f>J94</f>
        <v/>
      </c>
      <c r="K379" s="156">
        <f>IF(AND(F379=0,I379=0),"",IF(F379&gt;I379,B379&amp;E379,IF(F379&lt;I379,B379&amp;H379,"Tie")))</f>
        <v/>
      </c>
      <c r="L379" s="156">
        <f>IFERROR(IF(AND(B379&lt;$L$1,F379&gt;I379),"Win",IF(AND(B379&lt;$L$1,F379&lt;I379),"Loss","")),"")</f>
        <v/>
      </c>
      <c r="M379" s="156">
        <f>IF(B379&lt;_CurWeek,"In","")</f>
        <v/>
      </c>
      <c r="N379" s="156">
        <f>IF(M379="In",E379&amp;G379,"")</f>
        <v/>
      </c>
      <c r="O379" s="156">
        <f>IF(L379="Win",1,0)</f>
        <v/>
      </c>
    </row>
    <row r="380" ht="14.4" customHeight="1" s="152">
      <c r="A380" s="167">
        <f>B380&amp;E380</f>
        <v/>
      </c>
      <c r="B380" s="174">
        <f>B95</f>
        <v/>
      </c>
      <c r="C380" s="174">
        <f>C95</f>
        <v/>
      </c>
      <c r="D380" s="174">
        <f>D95</f>
        <v/>
      </c>
      <c r="E380" s="174">
        <f>H95</f>
        <v/>
      </c>
      <c r="F380" s="157">
        <f>I95</f>
        <v/>
      </c>
      <c r="G380" s="174" t="inlineStr">
        <is>
          <t>Home</t>
        </is>
      </c>
      <c r="H380" s="176">
        <f>E95</f>
        <v/>
      </c>
      <c r="I380" s="157">
        <f>F95</f>
        <v/>
      </c>
      <c r="J380" s="177">
        <f>J95</f>
        <v/>
      </c>
      <c r="K380" s="156">
        <f>IF(AND(F380=0,I380=0),"",IF(F380&gt;I380,B380&amp;E380,IF(F380&lt;I380,B380&amp;H380,"Tie")))</f>
        <v/>
      </c>
      <c r="L380" s="156">
        <f>IFERROR(IF(AND(B380&lt;$L$1,F380&gt;I380),"Win",IF(AND(B380&lt;$L$1,F380&lt;I380),"Loss","")),"")</f>
        <v/>
      </c>
      <c r="M380" s="156">
        <f>IF(B380&lt;_CurWeek,"In","")</f>
        <v/>
      </c>
      <c r="N380" s="156">
        <f>IF(M380="In",E380&amp;G380,"")</f>
        <v/>
      </c>
      <c r="O380" s="156">
        <f>IF(L380="Win",1,0)</f>
        <v/>
      </c>
    </row>
    <row r="381" ht="14.4" customHeight="1" s="152">
      <c r="A381" s="167">
        <f>B381&amp;E381</f>
        <v/>
      </c>
      <c r="B381" s="174">
        <f>B96</f>
        <v/>
      </c>
      <c r="C381" s="174">
        <f>C96</f>
        <v/>
      </c>
      <c r="D381" s="174">
        <f>D96</f>
        <v/>
      </c>
      <c r="E381" s="174">
        <f>H96</f>
        <v/>
      </c>
      <c r="F381" s="157">
        <f>I96</f>
        <v/>
      </c>
      <c r="G381" s="174" t="inlineStr">
        <is>
          <t>Home</t>
        </is>
      </c>
      <c r="H381" s="176">
        <f>E96</f>
        <v/>
      </c>
      <c r="I381" s="157">
        <f>F96</f>
        <v/>
      </c>
      <c r="J381" s="177">
        <f>J96</f>
        <v/>
      </c>
      <c r="K381" s="156">
        <f>IF(AND(F381=0,I381=0),"",IF(F381&gt;I381,B381&amp;E381,IF(F381&lt;I381,B381&amp;H381,"Tie")))</f>
        <v/>
      </c>
      <c r="L381" s="156">
        <f>IFERROR(IF(AND(B381&lt;$L$1,F381&gt;I381),"Win",IF(AND(B381&lt;$L$1,F381&lt;I381),"Loss","")),"")</f>
        <v/>
      </c>
      <c r="M381" s="156">
        <f>IF(B381&lt;_CurWeek,"In","")</f>
        <v/>
      </c>
      <c r="N381" s="156">
        <f>IF(M381="In",E381&amp;G381,"")</f>
        <v/>
      </c>
      <c r="O381" s="156">
        <f>IF(L381="Win",1,0)</f>
        <v/>
      </c>
    </row>
    <row r="382" ht="14.4" customHeight="1" s="152">
      <c r="A382" s="167">
        <f>B382&amp;E382</f>
        <v/>
      </c>
      <c r="B382" s="174">
        <f>B97</f>
        <v/>
      </c>
      <c r="C382" s="174">
        <f>C97</f>
        <v/>
      </c>
      <c r="D382" s="174">
        <f>D97</f>
        <v/>
      </c>
      <c r="E382" s="174">
        <f>H97</f>
        <v/>
      </c>
      <c r="F382" s="157">
        <f>I97</f>
        <v/>
      </c>
      <c r="G382" s="174" t="inlineStr">
        <is>
          <t>Home</t>
        </is>
      </c>
      <c r="H382" s="176">
        <f>E97</f>
        <v/>
      </c>
      <c r="I382" s="157">
        <f>F97</f>
        <v/>
      </c>
      <c r="J382" s="177">
        <f>J97</f>
        <v/>
      </c>
      <c r="K382" s="156">
        <f>IF(AND(F382=0,I382=0),"",IF(F382&gt;I382,B382&amp;E382,IF(F382&lt;I382,B382&amp;H382,"Tie")))</f>
        <v/>
      </c>
      <c r="L382" s="156">
        <f>IFERROR(IF(AND(B382&lt;$L$1,F382&gt;I382),"Win",IF(AND(B382&lt;$L$1,F382&lt;I382),"Loss","")),"")</f>
        <v/>
      </c>
      <c r="M382" s="156">
        <f>IF(B382&lt;_CurWeek,"In","")</f>
        <v/>
      </c>
      <c r="N382" s="156">
        <f>IF(M382="In",E382&amp;G382,"")</f>
        <v/>
      </c>
      <c r="O382" s="156">
        <f>IF(L382="Win",1,0)</f>
        <v/>
      </c>
    </row>
    <row r="383" ht="14.4" customHeight="1" s="152">
      <c r="A383" s="167">
        <f>B383&amp;E383</f>
        <v/>
      </c>
      <c r="B383" s="174">
        <f>B98</f>
        <v/>
      </c>
      <c r="C383" s="174">
        <f>C98</f>
        <v/>
      </c>
      <c r="D383" s="174">
        <f>D98</f>
        <v/>
      </c>
      <c r="E383" s="174">
        <f>H98</f>
        <v/>
      </c>
      <c r="F383" s="157">
        <f>I98</f>
        <v/>
      </c>
      <c r="G383" s="174" t="inlineStr">
        <is>
          <t>Home</t>
        </is>
      </c>
      <c r="H383" s="176">
        <f>E98</f>
        <v/>
      </c>
      <c r="I383" s="157">
        <f>F98</f>
        <v/>
      </c>
      <c r="J383" s="177">
        <f>J98</f>
        <v/>
      </c>
      <c r="K383" s="156">
        <f>IF(AND(F383=0,I383=0),"",IF(F383&gt;I383,B383&amp;E383,IF(F383&lt;I383,B383&amp;H383,"Tie")))</f>
        <v/>
      </c>
      <c r="L383" s="156">
        <f>IFERROR(IF(AND(B383&lt;$L$1,F383&gt;I383),"Win",IF(AND(B383&lt;$L$1,F383&lt;I383),"Loss","")),"")</f>
        <v/>
      </c>
      <c r="M383" s="156">
        <f>IF(B383&lt;_CurWeek,"In","")</f>
        <v/>
      </c>
      <c r="N383" s="156">
        <f>IF(M383="In",E383&amp;G383,"")</f>
        <v/>
      </c>
      <c r="O383" s="156">
        <f>IF(L383="Win",1,0)</f>
        <v/>
      </c>
    </row>
    <row r="384" ht="14.4" customHeight="1" s="152">
      <c r="A384" s="167">
        <f>B384&amp;E384</f>
        <v/>
      </c>
      <c r="B384" s="174">
        <f>B99</f>
        <v/>
      </c>
      <c r="C384" s="174">
        <f>C99</f>
        <v/>
      </c>
      <c r="D384" s="174">
        <f>D99</f>
        <v/>
      </c>
      <c r="E384" s="174">
        <f>H99</f>
        <v/>
      </c>
      <c r="F384" s="157">
        <f>I99</f>
        <v/>
      </c>
      <c r="G384" s="174" t="inlineStr">
        <is>
          <t>Home</t>
        </is>
      </c>
      <c r="H384" s="176">
        <f>E99</f>
        <v/>
      </c>
      <c r="I384" s="157">
        <f>F99</f>
        <v/>
      </c>
      <c r="J384" s="177">
        <f>J99</f>
        <v/>
      </c>
      <c r="K384" s="156">
        <f>IF(AND(F384=0,I384=0),"",IF(F384&gt;I384,B384&amp;E384,IF(F384&lt;I384,B384&amp;H384,"Tie")))</f>
        <v/>
      </c>
      <c r="L384" s="156">
        <f>IFERROR(IF(AND(B384&lt;$L$1,F384&gt;I384),"Win",IF(AND(B384&lt;$L$1,F384&lt;I384),"Loss","")),"")</f>
        <v/>
      </c>
      <c r="M384" s="156">
        <f>IF(B384&lt;_CurWeek,"In","")</f>
        <v/>
      </c>
      <c r="N384" s="156">
        <f>IF(M384="In",E384&amp;G384,"")</f>
        <v/>
      </c>
      <c r="O384" s="156">
        <f>IF(L384="Win",1,0)</f>
        <v/>
      </c>
    </row>
    <row r="385" ht="14.4" customHeight="1" s="152">
      <c r="A385" s="167">
        <f>B385&amp;E385</f>
        <v/>
      </c>
      <c r="B385" s="174">
        <f>B100</f>
        <v/>
      </c>
      <c r="C385" s="174">
        <f>C100</f>
        <v/>
      </c>
      <c r="D385" s="174">
        <f>D100</f>
        <v/>
      </c>
      <c r="E385" s="174">
        <f>H100</f>
        <v/>
      </c>
      <c r="F385" s="157">
        <f>I100</f>
        <v/>
      </c>
      <c r="G385" s="174" t="inlineStr">
        <is>
          <t>Home</t>
        </is>
      </c>
      <c r="H385" s="176">
        <f>E100</f>
        <v/>
      </c>
      <c r="I385" s="157">
        <f>F100</f>
        <v/>
      </c>
      <c r="J385" s="177">
        <f>J100</f>
        <v/>
      </c>
      <c r="K385" s="156">
        <f>IF(AND(F385=0,I385=0),"",IF(F385&gt;I385,B385&amp;E385,IF(F385&lt;I385,B385&amp;H385,"Tie")))</f>
        <v/>
      </c>
      <c r="L385" s="156">
        <f>IFERROR(IF(AND(B385&lt;$L$1,F385&gt;I385),"Win",IF(AND(B385&lt;$L$1,F385&lt;I385),"Loss","")),"")</f>
        <v/>
      </c>
      <c r="M385" s="156">
        <f>IF(B385&lt;_CurWeek,"In","")</f>
        <v/>
      </c>
      <c r="N385" s="156">
        <f>IF(M385="In",E385&amp;G385,"")</f>
        <v/>
      </c>
      <c r="O385" s="156">
        <f>IF(L385="Win",1,0)</f>
        <v/>
      </c>
    </row>
    <row r="386" ht="14.4" customHeight="1" s="152">
      <c r="A386" s="167">
        <f>B386&amp;E386</f>
        <v/>
      </c>
      <c r="B386" s="174">
        <f>B101</f>
        <v/>
      </c>
      <c r="C386" s="174">
        <f>C101</f>
        <v/>
      </c>
      <c r="D386" s="174">
        <f>D101</f>
        <v/>
      </c>
      <c r="E386" s="174">
        <f>H101</f>
        <v/>
      </c>
      <c r="F386" s="157">
        <f>I101</f>
        <v/>
      </c>
      <c r="G386" s="174" t="inlineStr">
        <is>
          <t>Home</t>
        </is>
      </c>
      <c r="H386" s="176">
        <f>E101</f>
        <v/>
      </c>
      <c r="I386" s="157">
        <f>F101</f>
        <v/>
      </c>
      <c r="J386" s="177">
        <f>J101</f>
        <v/>
      </c>
      <c r="K386" s="156">
        <f>IF(AND(F386=0,I386=0),"",IF(F386&gt;I386,B386&amp;E386,IF(F386&lt;I386,B386&amp;H386,"Tie")))</f>
        <v/>
      </c>
      <c r="L386" s="156">
        <f>IFERROR(IF(AND(B386&lt;$L$1,F386&gt;I386),"Win",IF(AND(B386&lt;$L$1,F386&lt;I386),"Loss","")),"")</f>
        <v/>
      </c>
      <c r="M386" s="156">
        <f>IF(B386&lt;_CurWeek,"In","")</f>
        <v/>
      </c>
      <c r="N386" s="156">
        <f>IF(M386="In",E386&amp;G386,"")</f>
        <v/>
      </c>
      <c r="O386" s="156">
        <f>IF(L386="Win",1,0)</f>
        <v/>
      </c>
    </row>
    <row r="387" ht="14.4" customHeight="1" s="152">
      <c r="A387" s="167">
        <f>B387&amp;E387</f>
        <v/>
      </c>
      <c r="B387" s="174">
        <f>B102</f>
        <v/>
      </c>
      <c r="C387" s="174">
        <f>C102</f>
        <v/>
      </c>
      <c r="D387" s="174">
        <f>D102</f>
        <v/>
      </c>
      <c r="E387" s="174">
        <f>H102</f>
        <v/>
      </c>
      <c r="F387" s="157">
        <f>I102</f>
        <v/>
      </c>
      <c r="G387" s="174" t="inlineStr">
        <is>
          <t>Home</t>
        </is>
      </c>
      <c r="H387" s="176">
        <f>E102</f>
        <v/>
      </c>
      <c r="I387" s="157">
        <f>F102</f>
        <v/>
      </c>
      <c r="J387" s="177">
        <f>J102</f>
        <v/>
      </c>
      <c r="K387" s="156">
        <f>IF(AND(F387=0,I387=0),"",IF(F387&gt;I387,B387&amp;E387,IF(F387&lt;I387,B387&amp;H387,"Tie")))</f>
        <v/>
      </c>
      <c r="L387" s="156">
        <f>IFERROR(IF(AND(B387&lt;$L$1,F387&gt;I387),"Win",IF(AND(B387&lt;$L$1,F387&lt;I387),"Loss","")),"")</f>
        <v/>
      </c>
      <c r="M387" s="156">
        <f>IF(B387&lt;_CurWeek,"In","")</f>
        <v/>
      </c>
      <c r="N387" s="156">
        <f>IF(M387="In",E387&amp;G387,"")</f>
        <v/>
      </c>
      <c r="O387" s="156">
        <f>IF(L387="Win",1,0)</f>
        <v/>
      </c>
    </row>
    <row r="388" ht="14.4" customHeight="1" s="152">
      <c r="A388" s="167">
        <f>B388&amp;E388</f>
        <v/>
      </c>
      <c r="B388" s="174">
        <f>B103</f>
        <v/>
      </c>
      <c r="C388" s="174">
        <f>C103</f>
        <v/>
      </c>
      <c r="D388" s="174">
        <f>D103</f>
        <v/>
      </c>
      <c r="E388" s="174">
        <f>H103</f>
        <v/>
      </c>
      <c r="F388" s="157">
        <f>I103</f>
        <v/>
      </c>
      <c r="G388" s="174" t="inlineStr">
        <is>
          <t>Home</t>
        </is>
      </c>
      <c r="H388" s="176">
        <f>E103</f>
        <v/>
      </c>
      <c r="I388" s="157">
        <f>F103</f>
        <v/>
      </c>
      <c r="J388" s="177">
        <f>J103</f>
        <v/>
      </c>
      <c r="K388" s="156">
        <f>IF(AND(F388=0,I388=0),"",IF(F388&gt;I388,B388&amp;E388,IF(F388&lt;I388,B388&amp;H388,"Tie")))</f>
        <v/>
      </c>
      <c r="L388" s="156">
        <f>IFERROR(IF(AND(B388&lt;$L$1,F388&gt;I388),"Win",IF(AND(B388&lt;$L$1,F388&lt;I388),"Loss","")),"")</f>
        <v/>
      </c>
      <c r="M388" s="156">
        <f>IF(B388&lt;_CurWeek,"In","")</f>
        <v/>
      </c>
      <c r="N388" s="156">
        <f>IF(M388="In",E388&amp;G388,"")</f>
        <v/>
      </c>
      <c r="O388" s="156">
        <f>IF(L388="Win",1,0)</f>
        <v/>
      </c>
    </row>
    <row r="389" ht="14.4" customHeight="1" s="152">
      <c r="A389" s="167">
        <f>B389&amp;E389</f>
        <v/>
      </c>
      <c r="B389" s="174">
        <f>B104</f>
        <v/>
      </c>
      <c r="C389" s="174">
        <f>C104</f>
        <v/>
      </c>
      <c r="D389" s="174">
        <f>D104</f>
        <v/>
      </c>
      <c r="E389" s="174">
        <f>H104</f>
        <v/>
      </c>
      <c r="F389" s="157">
        <f>I104</f>
        <v/>
      </c>
      <c r="G389" s="174" t="inlineStr">
        <is>
          <t>Home</t>
        </is>
      </c>
      <c r="H389" s="176">
        <f>E104</f>
        <v/>
      </c>
      <c r="I389" s="157">
        <f>F104</f>
        <v/>
      </c>
      <c r="J389" s="177">
        <f>J104</f>
        <v/>
      </c>
      <c r="K389" s="156">
        <f>IF(AND(F389=0,I389=0),"",IF(F389&gt;I389,B389&amp;E389,IF(F389&lt;I389,B389&amp;H389,"Tie")))</f>
        <v/>
      </c>
      <c r="L389" s="156">
        <f>IFERROR(IF(AND(B389&lt;$L$1,F389&gt;I389),"Win",IF(AND(B389&lt;$L$1,F389&lt;I389),"Loss","")),"")</f>
        <v/>
      </c>
      <c r="M389" s="156">
        <f>IF(B389&lt;_CurWeek,"In","")</f>
        <v/>
      </c>
      <c r="N389" s="156">
        <f>IF(M389="In",E389&amp;G389,"")</f>
        <v/>
      </c>
      <c r="O389" s="156">
        <f>IF(L389="Win",1,0)</f>
        <v/>
      </c>
    </row>
    <row r="390" ht="14.4" customHeight="1" s="152">
      <c r="A390" s="167">
        <f>B390&amp;E390</f>
        <v/>
      </c>
      <c r="B390" s="174">
        <f>B105</f>
        <v/>
      </c>
      <c r="C390" s="174">
        <f>C105</f>
        <v/>
      </c>
      <c r="D390" s="174">
        <f>D105</f>
        <v/>
      </c>
      <c r="E390" s="174">
        <f>H105</f>
        <v/>
      </c>
      <c r="F390" s="157">
        <f>I105</f>
        <v/>
      </c>
      <c r="G390" s="174" t="inlineStr">
        <is>
          <t>Home</t>
        </is>
      </c>
      <c r="H390" s="176">
        <f>E105</f>
        <v/>
      </c>
      <c r="I390" s="157">
        <f>F105</f>
        <v/>
      </c>
      <c r="J390" s="177">
        <f>J105</f>
        <v/>
      </c>
      <c r="K390" s="156">
        <f>IF(AND(F390=0,I390=0),"",IF(F390&gt;I390,B390&amp;E390,IF(F390&lt;I390,B390&amp;H390,"Tie")))</f>
        <v/>
      </c>
      <c r="L390" s="156">
        <f>IFERROR(IF(AND(B390&lt;$L$1,F390&gt;I390),"Win",IF(AND(B390&lt;$L$1,F390&lt;I390),"Loss","")),"")</f>
        <v/>
      </c>
      <c r="M390" s="156">
        <f>IF(B390&lt;_CurWeek,"In","")</f>
        <v/>
      </c>
      <c r="N390" s="156">
        <f>IF(M390="In",E390&amp;G390,"")</f>
        <v/>
      </c>
      <c r="O390" s="156">
        <f>IF(L390="Win",1,0)</f>
        <v/>
      </c>
    </row>
    <row r="391" ht="14.4" customHeight="1" s="152">
      <c r="A391" s="167">
        <f>B391&amp;E391</f>
        <v/>
      </c>
      <c r="B391" s="174">
        <f>B106</f>
        <v/>
      </c>
      <c r="C391" s="174">
        <f>C106</f>
        <v/>
      </c>
      <c r="D391" s="174">
        <f>D106</f>
        <v/>
      </c>
      <c r="E391" s="174">
        <f>H106</f>
        <v/>
      </c>
      <c r="F391" s="157">
        <f>I106</f>
        <v/>
      </c>
      <c r="G391" s="174" t="inlineStr">
        <is>
          <t>Home</t>
        </is>
      </c>
      <c r="H391" s="176">
        <f>E106</f>
        <v/>
      </c>
      <c r="I391" s="157">
        <f>F106</f>
        <v/>
      </c>
      <c r="J391" s="177">
        <f>J106</f>
        <v/>
      </c>
      <c r="K391" s="156">
        <f>IF(AND(F391=0,I391=0),"",IF(F391&gt;I391,B391&amp;E391,IF(F391&lt;I391,B391&amp;H391,"Tie")))</f>
        <v/>
      </c>
      <c r="L391" s="156">
        <f>IFERROR(IF(AND(B391&lt;$L$1,F391&gt;I391),"Win",IF(AND(B391&lt;$L$1,F391&lt;I391),"Loss","")),"")</f>
        <v/>
      </c>
      <c r="M391" s="156">
        <f>IF(B391&lt;_CurWeek,"In","")</f>
        <v/>
      </c>
      <c r="N391" s="156">
        <f>IF(M391="In",E391&amp;G391,"")</f>
        <v/>
      </c>
      <c r="O391" s="156">
        <f>IF(L391="Win",1,0)</f>
        <v/>
      </c>
    </row>
    <row r="392" ht="14.4" customHeight="1" s="152">
      <c r="A392" s="167">
        <f>B392&amp;E392</f>
        <v/>
      </c>
      <c r="B392" s="174">
        <f>B107</f>
        <v/>
      </c>
      <c r="C392" s="174">
        <f>C107</f>
        <v/>
      </c>
      <c r="D392" s="174">
        <f>D107</f>
        <v/>
      </c>
      <c r="E392" s="174">
        <f>H107</f>
        <v/>
      </c>
      <c r="F392" s="157">
        <f>I107</f>
        <v/>
      </c>
      <c r="G392" s="174" t="inlineStr">
        <is>
          <t>Home</t>
        </is>
      </c>
      <c r="H392" s="176">
        <f>E107</f>
        <v/>
      </c>
      <c r="I392" s="157">
        <f>F107</f>
        <v/>
      </c>
      <c r="J392" s="177">
        <f>J107</f>
        <v/>
      </c>
      <c r="K392" s="156">
        <f>IF(AND(F392=0,I392=0),"",IF(F392&gt;I392,B392&amp;E392,IF(F392&lt;I392,B392&amp;H392,"Tie")))</f>
        <v/>
      </c>
      <c r="L392" s="156">
        <f>IFERROR(IF(AND(B392&lt;$L$1,F392&gt;I392),"Win",IF(AND(B392&lt;$L$1,F392&lt;I392),"Loss","")),"")</f>
        <v/>
      </c>
      <c r="M392" s="156">
        <f>IF(B392&lt;_CurWeek,"In","")</f>
        <v/>
      </c>
      <c r="N392" s="156">
        <f>IF(M392="In",E392&amp;G392,"")</f>
        <v/>
      </c>
      <c r="O392" s="156">
        <f>IF(L392="Win",1,0)</f>
        <v/>
      </c>
    </row>
    <row r="393" ht="14.4" customHeight="1" s="152">
      <c r="A393" s="167">
        <f>B393&amp;E393</f>
        <v/>
      </c>
      <c r="B393" s="174">
        <f>B108</f>
        <v/>
      </c>
      <c r="C393" s="174">
        <f>C108</f>
        <v/>
      </c>
      <c r="D393" s="174">
        <f>D108</f>
        <v/>
      </c>
      <c r="E393" s="174">
        <f>H108</f>
        <v/>
      </c>
      <c r="F393" s="157">
        <f>I108</f>
        <v/>
      </c>
      <c r="G393" s="174" t="inlineStr">
        <is>
          <t>Home</t>
        </is>
      </c>
      <c r="H393" s="176">
        <f>E108</f>
        <v/>
      </c>
      <c r="I393" s="157">
        <f>F108</f>
        <v/>
      </c>
      <c r="J393" s="177">
        <f>J108</f>
        <v/>
      </c>
      <c r="K393" s="156">
        <f>IF(AND(F393=0,I393=0),"",IF(F393&gt;I393,B393&amp;E393,IF(F393&lt;I393,B393&amp;H393,"Tie")))</f>
        <v/>
      </c>
      <c r="L393" s="156">
        <f>IFERROR(IF(AND(B393&lt;$L$1,F393&gt;I393),"Win",IF(AND(B393&lt;$L$1,F393&lt;I393),"Loss","")),"")</f>
        <v/>
      </c>
      <c r="M393" s="156">
        <f>IF(B393&lt;_CurWeek,"In","")</f>
        <v/>
      </c>
      <c r="N393" s="156">
        <f>IF(M393="In",E393&amp;G393,"")</f>
        <v/>
      </c>
      <c r="O393" s="156">
        <f>IF(L393="Win",1,0)</f>
        <v/>
      </c>
    </row>
    <row r="394" ht="14.4" customHeight="1" s="152">
      <c r="A394" s="167">
        <f>B394&amp;E394</f>
        <v/>
      </c>
      <c r="B394" s="174">
        <f>B109</f>
        <v/>
      </c>
      <c r="C394" s="174">
        <f>C109</f>
        <v/>
      </c>
      <c r="D394" s="174">
        <f>D109</f>
        <v/>
      </c>
      <c r="E394" s="174">
        <f>H109</f>
        <v/>
      </c>
      <c r="F394" s="157">
        <f>I109</f>
        <v/>
      </c>
      <c r="G394" s="174" t="inlineStr">
        <is>
          <t>Home</t>
        </is>
      </c>
      <c r="H394" s="176">
        <f>E109</f>
        <v/>
      </c>
      <c r="I394" s="157">
        <f>F109</f>
        <v/>
      </c>
      <c r="J394" s="177">
        <f>J109</f>
        <v/>
      </c>
      <c r="K394" s="156">
        <f>IF(AND(F394=0,I394=0),"",IF(F394&gt;I394,B394&amp;E394,IF(F394&lt;I394,B394&amp;H394,"Tie")))</f>
        <v/>
      </c>
      <c r="L394" s="156">
        <f>IFERROR(IF(AND(B394&lt;$L$1,F394&gt;I394),"Win",IF(AND(B394&lt;$L$1,F394&lt;I394),"Loss","")),"")</f>
        <v/>
      </c>
      <c r="M394" s="156">
        <f>IF(B394&lt;_CurWeek,"In","")</f>
        <v/>
      </c>
      <c r="N394" s="156">
        <f>IF(M394="In",E394&amp;G394,"")</f>
        <v/>
      </c>
      <c r="O394" s="156">
        <f>IF(L394="Win",1,0)</f>
        <v/>
      </c>
    </row>
    <row r="395" ht="14.4" customHeight="1" s="152">
      <c r="A395" s="167">
        <f>B395&amp;E395</f>
        <v/>
      </c>
      <c r="B395" s="174">
        <f>B110</f>
        <v/>
      </c>
      <c r="C395" s="174">
        <f>C110</f>
        <v/>
      </c>
      <c r="D395" s="174">
        <f>D110</f>
        <v/>
      </c>
      <c r="E395" s="174">
        <f>H110</f>
        <v/>
      </c>
      <c r="F395" s="157">
        <f>I110</f>
        <v/>
      </c>
      <c r="G395" s="174" t="inlineStr">
        <is>
          <t>Home</t>
        </is>
      </c>
      <c r="H395" s="176">
        <f>E110</f>
        <v/>
      </c>
      <c r="I395" s="157">
        <f>F110</f>
        <v/>
      </c>
      <c r="J395" s="177">
        <f>J110</f>
        <v/>
      </c>
      <c r="K395" s="156">
        <f>IF(AND(F395=0,I395=0),"",IF(F395&gt;I395,B395&amp;E395,IF(F395&lt;I395,B395&amp;H395,"Tie")))</f>
        <v/>
      </c>
      <c r="L395" s="156">
        <f>IFERROR(IF(AND(B395&lt;$L$1,F395&gt;I395),"Win",IF(AND(B395&lt;$L$1,F395&lt;I395),"Loss","")),"")</f>
        <v/>
      </c>
      <c r="M395" s="156">
        <f>IF(B395&lt;_CurWeek,"In","")</f>
        <v/>
      </c>
      <c r="N395" s="156">
        <f>IF(M395="In",E395&amp;G395,"")</f>
        <v/>
      </c>
      <c r="O395" s="156">
        <f>IF(L395="Win",1,0)</f>
        <v/>
      </c>
    </row>
    <row r="396" ht="14.4" customHeight="1" s="152">
      <c r="A396" s="167">
        <f>B396&amp;E396</f>
        <v/>
      </c>
      <c r="B396" s="174">
        <f>B111</f>
        <v/>
      </c>
      <c r="C396" s="174">
        <f>C111</f>
        <v/>
      </c>
      <c r="D396" s="174">
        <f>D111</f>
        <v/>
      </c>
      <c r="E396" s="174">
        <f>H111</f>
        <v/>
      </c>
      <c r="F396" s="157">
        <f>I111</f>
        <v/>
      </c>
      <c r="G396" s="174" t="inlineStr">
        <is>
          <t>Home</t>
        </is>
      </c>
      <c r="H396" s="176">
        <f>E111</f>
        <v/>
      </c>
      <c r="I396" s="157">
        <f>F111</f>
        <v/>
      </c>
      <c r="J396" s="177">
        <f>J111</f>
        <v/>
      </c>
      <c r="K396" s="156">
        <f>IF(AND(F396=0,I396=0),"",IF(F396&gt;I396,B396&amp;E396,IF(F396&lt;I396,B396&amp;H396,"Tie")))</f>
        <v/>
      </c>
      <c r="L396" s="156">
        <f>IFERROR(IF(AND(B396&lt;$L$1,F396&gt;I396),"Win",IF(AND(B396&lt;$L$1,F396&lt;I396),"Loss","")),"")</f>
        <v/>
      </c>
      <c r="M396" s="156">
        <f>IF(B396&lt;_CurWeek,"In","")</f>
        <v/>
      </c>
      <c r="N396" s="156">
        <f>IF(M396="In",E396&amp;G396,"")</f>
        <v/>
      </c>
      <c r="O396" s="156">
        <f>IF(L396="Win",1,0)</f>
        <v/>
      </c>
    </row>
    <row r="397" ht="14.4" customHeight="1" s="152">
      <c r="A397" s="167">
        <f>B397&amp;E397</f>
        <v/>
      </c>
      <c r="B397" s="174">
        <f>B112</f>
        <v/>
      </c>
      <c r="C397" s="174">
        <f>C112</f>
        <v/>
      </c>
      <c r="D397" s="174">
        <f>D112</f>
        <v/>
      </c>
      <c r="E397" s="174">
        <f>H112</f>
        <v/>
      </c>
      <c r="F397" s="157">
        <f>I112</f>
        <v/>
      </c>
      <c r="G397" s="174" t="inlineStr">
        <is>
          <t>Home</t>
        </is>
      </c>
      <c r="H397" s="176">
        <f>E112</f>
        <v/>
      </c>
      <c r="I397" s="157">
        <f>F112</f>
        <v/>
      </c>
      <c r="J397" s="177">
        <f>J112</f>
        <v/>
      </c>
      <c r="K397" s="156">
        <f>IF(AND(F397=0,I397=0),"",IF(F397&gt;I397,B397&amp;E397,IF(F397&lt;I397,B397&amp;H397,"Tie")))</f>
        <v/>
      </c>
      <c r="L397" s="156">
        <f>IFERROR(IF(AND(B397&lt;$L$1,F397&gt;I397),"Win",IF(AND(B397&lt;$L$1,F397&lt;I397),"Loss","")),"")</f>
        <v/>
      </c>
      <c r="M397" s="156">
        <f>IF(B397&lt;_CurWeek,"In","")</f>
        <v/>
      </c>
      <c r="N397" s="156">
        <f>IF(M397="In",E397&amp;G397,"")</f>
        <v/>
      </c>
      <c r="O397" s="156">
        <f>IF(L397="Win",1,0)</f>
        <v/>
      </c>
    </row>
    <row r="398" ht="14.4" customHeight="1" s="152">
      <c r="A398" s="167">
        <f>B398&amp;E398</f>
        <v/>
      </c>
      <c r="B398" s="174">
        <f>B113</f>
        <v/>
      </c>
      <c r="C398" s="174">
        <f>C113</f>
        <v/>
      </c>
      <c r="D398" s="174">
        <f>D113</f>
        <v/>
      </c>
      <c r="E398" s="174">
        <f>H113</f>
        <v/>
      </c>
      <c r="F398" s="157">
        <f>I113</f>
        <v/>
      </c>
      <c r="G398" s="174" t="inlineStr">
        <is>
          <t>Home</t>
        </is>
      </c>
      <c r="H398" s="176">
        <f>E113</f>
        <v/>
      </c>
      <c r="I398" s="157">
        <f>F113</f>
        <v/>
      </c>
      <c r="J398" s="177">
        <f>J113</f>
        <v/>
      </c>
      <c r="K398" s="156">
        <f>IF(AND(F398=0,I398=0),"",IF(F398&gt;I398,B398&amp;E398,IF(F398&lt;I398,B398&amp;H398,"Tie")))</f>
        <v/>
      </c>
      <c r="L398" s="156">
        <f>IFERROR(IF(AND(B398&lt;$L$1,F398&gt;I398),"Win",IF(AND(B398&lt;$L$1,F398&lt;I398),"Loss","")),"")</f>
        <v/>
      </c>
      <c r="M398" s="156">
        <f>IF(B398&lt;_CurWeek,"In","")</f>
        <v/>
      </c>
      <c r="N398" s="156">
        <f>IF(M398="In",E398&amp;G398,"")</f>
        <v/>
      </c>
      <c r="O398" s="156">
        <f>IF(L398="Win",1,0)</f>
        <v/>
      </c>
    </row>
    <row r="399" ht="14.4" customHeight="1" s="152">
      <c r="A399" s="167">
        <f>B399&amp;E399</f>
        <v/>
      </c>
      <c r="B399" s="174">
        <f>B114</f>
        <v/>
      </c>
      <c r="C399" s="174">
        <f>C114</f>
        <v/>
      </c>
      <c r="D399" s="174">
        <f>D114</f>
        <v/>
      </c>
      <c r="E399" s="174">
        <f>H114</f>
        <v/>
      </c>
      <c r="F399" s="157">
        <f>I114</f>
        <v/>
      </c>
      <c r="G399" s="174" t="inlineStr">
        <is>
          <t>Home</t>
        </is>
      </c>
      <c r="H399" s="176">
        <f>E114</f>
        <v/>
      </c>
      <c r="I399" s="157">
        <f>F114</f>
        <v/>
      </c>
      <c r="J399" s="177">
        <f>J114</f>
        <v/>
      </c>
      <c r="K399" s="156">
        <f>IF(AND(F399=0,I399=0),"",IF(F399&gt;I399,B399&amp;E399,IF(F399&lt;I399,B399&amp;H399,"Tie")))</f>
        <v/>
      </c>
      <c r="L399" s="156">
        <f>IFERROR(IF(AND(B399&lt;$L$1,F399&gt;I399),"Win",IF(AND(B399&lt;$L$1,F399&lt;I399),"Loss","")),"")</f>
        <v/>
      </c>
      <c r="M399" s="156">
        <f>IF(B399&lt;_CurWeek,"In","")</f>
        <v/>
      </c>
      <c r="N399" s="156">
        <f>IF(M399="In",E399&amp;G399,"")</f>
        <v/>
      </c>
      <c r="O399" s="156">
        <f>IF(L399="Win",1,0)</f>
        <v/>
      </c>
    </row>
    <row r="400" ht="14.4" customHeight="1" s="152">
      <c r="A400" s="167">
        <f>B400&amp;E400</f>
        <v/>
      </c>
      <c r="B400" s="174">
        <f>B115</f>
        <v/>
      </c>
      <c r="C400" s="174">
        <f>C115</f>
        <v/>
      </c>
      <c r="D400" s="174">
        <f>D115</f>
        <v/>
      </c>
      <c r="E400" s="174">
        <f>H115</f>
        <v/>
      </c>
      <c r="F400" s="157">
        <f>I115</f>
        <v/>
      </c>
      <c r="G400" s="174" t="inlineStr">
        <is>
          <t>Home</t>
        </is>
      </c>
      <c r="H400" s="176">
        <f>E115</f>
        <v/>
      </c>
      <c r="I400" s="157">
        <f>F115</f>
        <v/>
      </c>
      <c r="J400" s="177">
        <f>J115</f>
        <v/>
      </c>
      <c r="K400" s="156">
        <f>IF(AND(F400=0,I400=0),"",IF(F400&gt;I400,B400&amp;E400,IF(F400&lt;I400,B400&amp;H400,"Tie")))</f>
        <v/>
      </c>
      <c r="L400" s="156">
        <f>IFERROR(IF(AND(B400&lt;$L$1,F400&gt;I400),"Win",IF(AND(B400&lt;$L$1,F400&lt;I400),"Loss","")),"")</f>
        <v/>
      </c>
      <c r="M400" s="156">
        <f>IF(B400&lt;_CurWeek,"In","")</f>
        <v/>
      </c>
      <c r="N400" s="156">
        <f>IF(M400="In",E400&amp;G400,"")</f>
        <v/>
      </c>
      <c r="O400" s="156">
        <f>IF(L400="Win",1,0)</f>
        <v/>
      </c>
    </row>
    <row r="401" ht="14.4" customHeight="1" s="152">
      <c r="A401" s="167">
        <f>B401&amp;E401</f>
        <v/>
      </c>
      <c r="B401" s="174">
        <f>B116</f>
        <v/>
      </c>
      <c r="C401" s="174">
        <f>C116</f>
        <v/>
      </c>
      <c r="D401" s="174">
        <f>D116</f>
        <v/>
      </c>
      <c r="E401" s="174">
        <f>H116</f>
        <v/>
      </c>
      <c r="F401" s="157">
        <f>I116</f>
        <v/>
      </c>
      <c r="G401" s="174" t="inlineStr">
        <is>
          <t>Home</t>
        </is>
      </c>
      <c r="H401" s="176">
        <f>E116</f>
        <v/>
      </c>
      <c r="I401" s="157">
        <f>F116</f>
        <v/>
      </c>
      <c r="J401" s="177">
        <f>J116</f>
        <v/>
      </c>
      <c r="K401" s="156">
        <f>IF(AND(F401=0,I401=0),"",IF(F401&gt;I401,B401&amp;E401,IF(F401&lt;I401,B401&amp;H401,"Tie")))</f>
        <v/>
      </c>
      <c r="L401" s="156">
        <f>IFERROR(IF(AND(B401&lt;$L$1,F401&gt;I401),"Win",IF(AND(B401&lt;$L$1,F401&lt;I401),"Loss","")),"")</f>
        <v/>
      </c>
      <c r="M401" s="156">
        <f>IF(B401&lt;_CurWeek,"In","")</f>
        <v/>
      </c>
      <c r="N401" s="156">
        <f>IF(M401="In",E401&amp;G401,"")</f>
        <v/>
      </c>
      <c r="O401" s="156">
        <f>IF(L401="Win",1,0)</f>
        <v/>
      </c>
    </row>
    <row r="402" ht="14.4" customHeight="1" s="152">
      <c r="A402" s="167">
        <f>B402&amp;E402</f>
        <v/>
      </c>
      <c r="B402" s="174">
        <f>B117</f>
        <v/>
      </c>
      <c r="C402" s="174">
        <f>C117</f>
        <v/>
      </c>
      <c r="D402" s="174">
        <f>D117</f>
        <v/>
      </c>
      <c r="E402" s="174">
        <f>H117</f>
        <v/>
      </c>
      <c r="F402" s="157">
        <f>I117</f>
        <v/>
      </c>
      <c r="G402" s="174" t="inlineStr">
        <is>
          <t>Home</t>
        </is>
      </c>
      <c r="H402" s="176">
        <f>E117</f>
        <v/>
      </c>
      <c r="I402" s="157">
        <f>F117</f>
        <v/>
      </c>
      <c r="J402" s="177">
        <f>J117</f>
        <v/>
      </c>
      <c r="K402" s="156">
        <f>IF(AND(F402=0,I402=0),"",IF(F402&gt;I402,B402&amp;E402,IF(F402&lt;I402,B402&amp;H402,"Tie")))</f>
        <v/>
      </c>
      <c r="L402" s="156">
        <f>IFERROR(IF(AND(B402&lt;$L$1,F402&gt;I402),"Win",IF(AND(B402&lt;$L$1,F402&lt;I402),"Loss","")),"")</f>
        <v/>
      </c>
      <c r="M402" s="156">
        <f>IF(B402&lt;_CurWeek,"In","")</f>
        <v/>
      </c>
      <c r="N402" s="156">
        <f>IF(M402="In",E402&amp;G402,"")</f>
        <v/>
      </c>
      <c r="O402" s="156">
        <f>IF(L402="Win",1,0)</f>
        <v/>
      </c>
    </row>
    <row r="403" ht="14.4" customHeight="1" s="152">
      <c r="A403" s="167">
        <f>B403&amp;E403</f>
        <v/>
      </c>
      <c r="B403" s="174">
        <f>B118</f>
        <v/>
      </c>
      <c r="C403" s="174">
        <f>C118</f>
        <v/>
      </c>
      <c r="D403" s="174">
        <f>D118</f>
        <v/>
      </c>
      <c r="E403" s="174">
        <f>H118</f>
        <v/>
      </c>
      <c r="F403" s="157">
        <f>I118</f>
        <v/>
      </c>
      <c r="G403" s="174" t="inlineStr">
        <is>
          <t>Home</t>
        </is>
      </c>
      <c r="H403" s="176">
        <f>E118</f>
        <v/>
      </c>
      <c r="I403" s="157">
        <f>F118</f>
        <v/>
      </c>
      <c r="J403" s="177">
        <f>J118</f>
        <v/>
      </c>
      <c r="K403" s="156">
        <f>IF(AND(F403=0,I403=0),"",IF(F403&gt;I403,B403&amp;E403,IF(F403&lt;I403,B403&amp;H403,"Tie")))</f>
        <v/>
      </c>
      <c r="L403" s="156">
        <f>IFERROR(IF(AND(B403&lt;$L$1,F403&gt;I403),"Win",IF(AND(B403&lt;$L$1,F403&lt;I403),"Loss","")),"")</f>
        <v/>
      </c>
      <c r="M403" s="156">
        <f>IF(B403&lt;_CurWeek,"In","")</f>
        <v/>
      </c>
      <c r="N403" s="156">
        <f>IF(M403="In",E403&amp;G403,"")</f>
        <v/>
      </c>
      <c r="O403" s="156">
        <f>IF(L403="Win",1,0)</f>
        <v/>
      </c>
    </row>
    <row r="404" ht="14.4" customHeight="1" s="152">
      <c r="A404" s="167">
        <f>B404&amp;E404</f>
        <v/>
      </c>
      <c r="B404" s="174">
        <f>B119</f>
        <v/>
      </c>
      <c r="C404" s="174">
        <f>C119</f>
        <v/>
      </c>
      <c r="D404" s="174">
        <f>D119</f>
        <v/>
      </c>
      <c r="E404" s="174">
        <f>H119</f>
        <v/>
      </c>
      <c r="F404" s="157">
        <f>I119</f>
        <v/>
      </c>
      <c r="G404" s="174" t="inlineStr">
        <is>
          <t>Home</t>
        </is>
      </c>
      <c r="H404" s="176">
        <f>E119</f>
        <v/>
      </c>
      <c r="I404" s="157">
        <f>F119</f>
        <v/>
      </c>
      <c r="J404" s="177">
        <f>J119</f>
        <v/>
      </c>
      <c r="K404" s="156">
        <f>IF(AND(F404=0,I404=0),"",IF(F404&gt;I404,B404&amp;E404,IF(F404&lt;I404,B404&amp;H404,"Tie")))</f>
        <v/>
      </c>
      <c r="L404" s="156">
        <f>IFERROR(IF(AND(B404&lt;$L$1,F404&gt;I404),"Win",IF(AND(B404&lt;$L$1,F404&lt;I404),"Loss","")),"")</f>
        <v/>
      </c>
      <c r="M404" s="156">
        <f>IF(B404&lt;_CurWeek,"In","")</f>
        <v/>
      </c>
      <c r="N404" s="156">
        <f>IF(M404="In",E404&amp;G404,"")</f>
        <v/>
      </c>
      <c r="O404" s="156">
        <f>IF(L404="Win",1,0)</f>
        <v/>
      </c>
    </row>
    <row r="405" ht="14.4" customHeight="1" s="152">
      <c r="A405" s="167">
        <f>B405&amp;E405</f>
        <v/>
      </c>
      <c r="B405" s="174">
        <f>B120</f>
        <v/>
      </c>
      <c r="C405" s="174">
        <f>C120</f>
        <v/>
      </c>
      <c r="D405" s="174">
        <f>D120</f>
        <v/>
      </c>
      <c r="E405" s="174">
        <f>H120</f>
        <v/>
      </c>
      <c r="F405" s="157">
        <f>I120</f>
        <v/>
      </c>
      <c r="G405" s="174" t="inlineStr">
        <is>
          <t>Home</t>
        </is>
      </c>
      <c r="H405" s="176">
        <f>E120</f>
        <v/>
      </c>
      <c r="I405" s="157">
        <f>F120</f>
        <v/>
      </c>
      <c r="J405" s="177">
        <f>J120</f>
        <v/>
      </c>
      <c r="K405" s="156">
        <f>IF(AND(F405=0,I405=0),"",IF(F405&gt;I405,B405&amp;E405,IF(F405&lt;I405,B405&amp;H405,"Tie")))</f>
        <v/>
      </c>
      <c r="L405" s="156">
        <f>IFERROR(IF(AND(B405&lt;$L$1,F405&gt;I405),"Win",IF(AND(B405&lt;$L$1,F405&lt;I405),"Loss","")),"")</f>
        <v/>
      </c>
      <c r="M405" s="156">
        <f>IF(B405&lt;_CurWeek,"In","")</f>
        <v/>
      </c>
      <c r="N405" s="156">
        <f>IF(M405="In",E405&amp;G405,"")</f>
        <v/>
      </c>
      <c r="O405" s="156">
        <f>IF(L405="Win",1,0)</f>
        <v/>
      </c>
    </row>
    <row r="406" ht="14.4" customHeight="1" s="152">
      <c r="A406" s="167">
        <f>B406&amp;E406</f>
        <v/>
      </c>
      <c r="B406" s="174">
        <f>B121</f>
        <v/>
      </c>
      <c r="C406" s="174">
        <f>C121</f>
        <v/>
      </c>
      <c r="D406" s="174">
        <f>D121</f>
        <v/>
      </c>
      <c r="E406" s="174">
        <f>H121</f>
        <v/>
      </c>
      <c r="F406" s="157">
        <f>I121</f>
        <v/>
      </c>
      <c r="G406" s="174" t="inlineStr">
        <is>
          <t>Home</t>
        </is>
      </c>
      <c r="H406" s="176">
        <f>E121</f>
        <v/>
      </c>
      <c r="I406" s="157">
        <f>F121</f>
        <v/>
      </c>
      <c r="J406" s="177">
        <f>J121</f>
        <v/>
      </c>
      <c r="K406" s="156">
        <f>IF(AND(F406=0,I406=0),"",IF(F406&gt;I406,B406&amp;E406,IF(F406&lt;I406,B406&amp;H406,"Tie")))</f>
        <v/>
      </c>
      <c r="L406" s="156">
        <f>IFERROR(IF(AND(B406&lt;$L$1,F406&gt;I406),"Win",IF(AND(B406&lt;$L$1,F406&lt;I406),"Loss","")),"")</f>
        <v/>
      </c>
      <c r="M406" s="156">
        <f>IF(B406&lt;_CurWeek,"In","")</f>
        <v/>
      </c>
      <c r="N406" s="156">
        <f>IF(M406="In",E406&amp;G406,"")</f>
        <v/>
      </c>
      <c r="O406" s="156">
        <f>IF(L406="Win",1,0)</f>
        <v/>
      </c>
    </row>
    <row r="407" ht="14.4" customHeight="1" s="152">
      <c r="A407" s="167">
        <f>B407&amp;E407</f>
        <v/>
      </c>
      <c r="B407" s="174">
        <f>B122</f>
        <v/>
      </c>
      <c r="C407" s="174">
        <f>C122</f>
        <v/>
      </c>
      <c r="D407" s="174">
        <f>D122</f>
        <v/>
      </c>
      <c r="E407" s="174">
        <f>H122</f>
        <v/>
      </c>
      <c r="F407" s="157">
        <f>I122</f>
        <v/>
      </c>
      <c r="G407" s="174" t="inlineStr">
        <is>
          <t>Home</t>
        </is>
      </c>
      <c r="H407" s="176">
        <f>E122</f>
        <v/>
      </c>
      <c r="I407" s="157">
        <f>F122</f>
        <v/>
      </c>
      <c r="J407" s="177">
        <f>J122</f>
        <v/>
      </c>
      <c r="K407" s="156">
        <f>IF(AND(F407=0,I407=0),"",IF(F407&gt;I407,B407&amp;E407,IF(F407&lt;I407,B407&amp;H407,"Tie")))</f>
        <v/>
      </c>
      <c r="L407" s="156">
        <f>IFERROR(IF(AND(B407&lt;$L$1,F407&gt;I407),"Win",IF(AND(B407&lt;$L$1,F407&lt;I407),"Loss","")),"")</f>
        <v/>
      </c>
      <c r="M407" s="156">
        <f>IF(B407&lt;_CurWeek,"In","")</f>
        <v/>
      </c>
      <c r="N407" s="156">
        <f>IF(M407="In",E407&amp;G407,"")</f>
        <v/>
      </c>
      <c r="O407" s="156">
        <f>IF(L407="Win",1,0)</f>
        <v/>
      </c>
    </row>
    <row r="408" ht="14.4" customHeight="1" s="152">
      <c r="A408" s="167">
        <f>B408&amp;E408</f>
        <v/>
      </c>
      <c r="B408" s="174">
        <f>B123</f>
        <v/>
      </c>
      <c r="C408" s="174">
        <f>C123</f>
        <v/>
      </c>
      <c r="D408" s="174">
        <f>D123</f>
        <v/>
      </c>
      <c r="E408" s="174">
        <f>H123</f>
        <v/>
      </c>
      <c r="F408" s="157">
        <f>I123</f>
        <v/>
      </c>
      <c r="G408" s="174" t="inlineStr">
        <is>
          <t>Home</t>
        </is>
      </c>
      <c r="H408" s="176">
        <f>E123</f>
        <v/>
      </c>
      <c r="I408" s="157">
        <f>F123</f>
        <v/>
      </c>
      <c r="J408" s="177">
        <f>J123</f>
        <v/>
      </c>
      <c r="K408" s="156">
        <f>IF(AND(F408=0,I408=0),"",IF(F408&gt;I408,B408&amp;E408,IF(F408&lt;I408,B408&amp;H408,"Tie")))</f>
        <v/>
      </c>
      <c r="L408" s="156">
        <f>IFERROR(IF(AND(B408&lt;$L$1,F408&gt;I408),"Win",IF(AND(B408&lt;$L$1,F408&lt;I408),"Loss","")),"")</f>
        <v/>
      </c>
      <c r="M408" s="156">
        <f>IF(B408&lt;_CurWeek,"In","")</f>
        <v/>
      </c>
      <c r="N408" s="156">
        <f>IF(M408="In",E408&amp;G408,"")</f>
        <v/>
      </c>
      <c r="O408" s="156">
        <f>IF(L408="Win",1,0)</f>
        <v/>
      </c>
    </row>
    <row r="409" ht="14.4" customHeight="1" s="152">
      <c r="A409" s="167">
        <f>B409&amp;E409</f>
        <v/>
      </c>
      <c r="B409" s="174">
        <f>B124</f>
        <v/>
      </c>
      <c r="C409" s="174">
        <f>C124</f>
        <v/>
      </c>
      <c r="D409" s="174">
        <f>D124</f>
        <v/>
      </c>
      <c r="E409" s="174">
        <f>H124</f>
        <v/>
      </c>
      <c r="F409" s="157">
        <f>I124</f>
        <v/>
      </c>
      <c r="G409" s="174" t="inlineStr">
        <is>
          <t>Home</t>
        </is>
      </c>
      <c r="H409" s="176">
        <f>E124</f>
        <v/>
      </c>
      <c r="I409" s="157">
        <f>F124</f>
        <v/>
      </c>
      <c r="J409" s="177">
        <f>J124</f>
        <v/>
      </c>
      <c r="K409" s="156">
        <f>IF(AND(F409=0,I409=0),"",IF(F409&gt;I409,B409&amp;E409,IF(F409&lt;I409,B409&amp;H409,"Tie")))</f>
        <v/>
      </c>
      <c r="L409" s="156">
        <f>IFERROR(IF(AND(B409&lt;$L$1,F409&gt;I409),"Win",IF(AND(B409&lt;$L$1,F409&lt;I409),"Loss","")),"")</f>
        <v/>
      </c>
      <c r="M409" s="156">
        <f>IF(B409&lt;_CurWeek,"In","")</f>
        <v/>
      </c>
      <c r="N409" s="156">
        <f>IF(M409="In",E409&amp;G409,"")</f>
        <v/>
      </c>
      <c r="O409" s="156">
        <f>IF(L409="Win",1,0)</f>
        <v/>
      </c>
    </row>
    <row r="410" ht="14.4" customHeight="1" s="152">
      <c r="A410" s="167">
        <f>B410&amp;E410</f>
        <v/>
      </c>
      <c r="B410" s="174">
        <f>B125</f>
        <v/>
      </c>
      <c r="C410" s="174">
        <f>C125</f>
        <v/>
      </c>
      <c r="D410" s="174">
        <f>D125</f>
        <v/>
      </c>
      <c r="E410" s="174">
        <f>H125</f>
        <v/>
      </c>
      <c r="F410" s="157">
        <f>I125</f>
        <v/>
      </c>
      <c r="G410" s="174" t="inlineStr">
        <is>
          <t>Home</t>
        </is>
      </c>
      <c r="H410" s="176">
        <f>E125</f>
        <v/>
      </c>
      <c r="I410" s="157">
        <f>F125</f>
        <v/>
      </c>
      <c r="J410" s="177">
        <f>J125</f>
        <v/>
      </c>
      <c r="K410" s="156">
        <f>IF(AND(F410=0,I410=0),"",IF(F410&gt;I410,B410&amp;E410,IF(F410&lt;I410,B410&amp;H410,"Tie")))</f>
        <v/>
      </c>
      <c r="L410" s="156">
        <f>IFERROR(IF(AND(B410&lt;$L$1,F410&gt;I410),"Win",IF(AND(B410&lt;$L$1,F410&lt;I410),"Loss","")),"")</f>
        <v/>
      </c>
      <c r="M410" s="156">
        <f>IF(B410&lt;_CurWeek,"In","")</f>
        <v/>
      </c>
      <c r="N410" s="156">
        <f>IF(M410="In",E410&amp;G410,"")</f>
        <v/>
      </c>
      <c r="O410" s="156">
        <f>IF(L410="Win",1,0)</f>
        <v/>
      </c>
    </row>
    <row r="411" ht="14.4" customHeight="1" s="152">
      <c r="A411" s="167">
        <f>B411&amp;E411</f>
        <v/>
      </c>
      <c r="B411" s="174">
        <f>B126</f>
        <v/>
      </c>
      <c r="C411" s="174">
        <f>C126</f>
        <v/>
      </c>
      <c r="D411" s="174">
        <f>D126</f>
        <v/>
      </c>
      <c r="E411" s="174">
        <f>H126</f>
        <v/>
      </c>
      <c r="F411" s="157">
        <f>I126</f>
        <v/>
      </c>
      <c r="G411" s="174" t="inlineStr">
        <is>
          <t>Home</t>
        </is>
      </c>
      <c r="H411" s="176">
        <f>E126</f>
        <v/>
      </c>
      <c r="I411" s="157">
        <f>F126</f>
        <v/>
      </c>
      <c r="J411" s="177">
        <f>J126</f>
        <v/>
      </c>
      <c r="K411" s="156">
        <f>IF(AND(F411=0,I411=0),"",IF(F411&gt;I411,B411&amp;E411,IF(F411&lt;I411,B411&amp;H411,"Tie")))</f>
        <v/>
      </c>
      <c r="L411" s="156">
        <f>IFERROR(IF(AND(B411&lt;$L$1,F411&gt;I411),"Win",IF(AND(B411&lt;$L$1,F411&lt;I411),"Loss","")),"")</f>
        <v/>
      </c>
      <c r="M411" s="156">
        <f>IF(B411&lt;_CurWeek,"In","")</f>
        <v/>
      </c>
      <c r="N411" s="156">
        <f>IF(M411="In",E411&amp;G411,"")</f>
        <v/>
      </c>
      <c r="O411" s="156">
        <f>IF(L411="Win",1,0)</f>
        <v/>
      </c>
    </row>
    <row r="412" ht="14.4" customHeight="1" s="152">
      <c r="A412" s="167">
        <f>B412&amp;E412</f>
        <v/>
      </c>
      <c r="B412" s="174">
        <f>B127</f>
        <v/>
      </c>
      <c r="C412" s="174">
        <f>C127</f>
        <v/>
      </c>
      <c r="D412" s="174">
        <f>D127</f>
        <v/>
      </c>
      <c r="E412" s="174">
        <f>H127</f>
        <v/>
      </c>
      <c r="F412" s="157">
        <f>I127</f>
        <v/>
      </c>
      <c r="G412" s="174" t="inlineStr">
        <is>
          <t>Home</t>
        </is>
      </c>
      <c r="H412" s="176">
        <f>E127</f>
        <v/>
      </c>
      <c r="I412" s="157">
        <f>F127</f>
        <v/>
      </c>
      <c r="J412" s="177">
        <f>J127</f>
        <v/>
      </c>
      <c r="K412" s="156">
        <f>IF(AND(F412=0,I412=0),"",IF(F412&gt;I412,B412&amp;E412,IF(F412&lt;I412,B412&amp;H412,"Tie")))</f>
        <v/>
      </c>
      <c r="L412" s="156">
        <f>IFERROR(IF(AND(B412&lt;$L$1,F412&gt;I412),"Win",IF(AND(B412&lt;$L$1,F412&lt;I412),"Loss","")),"")</f>
        <v/>
      </c>
      <c r="M412" s="156">
        <f>IF(B412&lt;_CurWeek,"In","")</f>
        <v/>
      </c>
      <c r="N412" s="156">
        <f>IF(M412="In",E412&amp;G412,"")</f>
        <v/>
      </c>
      <c r="O412" s="156">
        <f>IF(L412="Win",1,0)</f>
        <v/>
      </c>
    </row>
    <row r="413" ht="14.4" customHeight="1" s="152">
      <c r="A413" s="167">
        <f>B413&amp;E413</f>
        <v/>
      </c>
      <c r="B413" s="174">
        <f>B128</f>
        <v/>
      </c>
      <c r="C413" s="174">
        <f>C128</f>
        <v/>
      </c>
      <c r="D413" s="174">
        <f>D128</f>
        <v/>
      </c>
      <c r="E413" s="174">
        <f>H128</f>
        <v/>
      </c>
      <c r="F413" s="157">
        <f>I128</f>
        <v/>
      </c>
      <c r="G413" s="174" t="inlineStr">
        <is>
          <t>Home</t>
        </is>
      </c>
      <c r="H413" s="176">
        <f>E128</f>
        <v/>
      </c>
      <c r="I413" s="157">
        <f>F128</f>
        <v/>
      </c>
      <c r="J413" s="177">
        <f>J128</f>
        <v/>
      </c>
      <c r="K413" s="156">
        <f>IF(AND(F413=0,I413=0),"",IF(F413&gt;I413,B413&amp;E413,IF(F413&lt;I413,B413&amp;H413,"Tie")))</f>
        <v/>
      </c>
      <c r="L413" s="156">
        <f>IFERROR(IF(AND(B413&lt;$L$1,F413&gt;I413),"Win",IF(AND(B413&lt;$L$1,F413&lt;I413),"Loss","")),"")</f>
        <v/>
      </c>
      <c r="M413" s="156">
        <f>IF(B413&lt;_CurWeek,"In","")</f>
        <v/>
      </c>
      <c r="N413" s="156">
        <f>IF(M413="In",E413&amp;G413,"")</f>
        <v/>
      </c>
      <c r="O413" s="156">
        <f>IF(L413="Win",1,0)</f>
        <v/>
      </c>
    </row>
    <row r="414" ht="14.4" customHeight="1" s="152">
      <c r="A414" s="167">
        <f>B414&amp;E414</f>
        <v/>
      </c>
      <c r="B414" s="174">
        <f>B129</f>
        <v/>
      </c>
      <c r="C414" s="174">
        <f>C129</f>
        <v/>
      </c>
      <c r="D414" s="174">
        <f>D129</f>
        <v/>
      </c>
      <c r="E414" s="174">
        <f>H129</f>
        <v/>
      </c>
      <c r="F414" s="157">
        <f>I129</f>
        <v/>
      </c>
      <c r="G414" s="174" t="inlineStr">
        <is>
          <t>Home</t>
        </is>
      </c>
      <c r="H414" s="176">
        <f>E129</f>
        <v/>
      </c>
      <c r="I414" s="157">
        <f>F129</f>
        <v/>
      </c>
      <c r="J414" s="177">
        <f>J129</f>
        <v/>
      </c>
      <c r="K414" s="156">
        <f>IF(AND(F414=0,I414=0),"",IF(F414&gt;I414,B414&amp;E414,IF(F414&lt;I414,B414&amp;H414,"Tie")))</f>
        <v/>
      </c>
      <c r="L414" s="156">
        <f>IFERROR(IF(AND(B414&lt;$L$1,F414&gt;I414),"Win",IF(AND(B414&lt;$L$1,F414&lt;I414),"Loss","")),"")</f>
        <v/>
      </c>
      <c r="M414" s="156">
        <f>IF(B414&lt;_CurWeek,"In","")</f>
        <v/>
      </c>
      <c r="N414" s="156">
        <f>IF(M414="In",E414&amp;G414,"")</f>
        <v/>
      </c>
      <c r="O414" s="156">
        <f>IF(L414="Win",1,0)</f>
        <v/>
      </c>
    </row>
    <row r="415" ht="14.4" customHeight="1" s="152">
      <c r="A415" s="167">
        <f>B415&amp;E415</f>
        <v/>
      </c>
      <c r="B415" s="174">
        <f>B130</f>
        <v/>
      </c>
      <c r="C415" s="174">
        <f>C130</f>
        <v/>
      </c>
      <c r="D415" s="174">
        <f>D130</f>
        <v/>
      </c>
      <c r="E415" s="174">
        <f>H130</f>
        <v/>
      </c>
      <c r="F415" s="157">
        <f>I130</f>
        <v/>
      </c>
      <c r="G415" s="174" t="inlineStr">
        <is>
          <t>Home</t>
        </is>
      </c>
      <c r="H415" s="176">
        <f>E130</f>
        <v/>
      </c>
      <c r="I415" s="157">
        <f>F130</f>
        <v/>
      </c>
      <c r="J415" s="177">
        <f>J130</f>
        <v/>
      </c>
      <c r="K415" s="156">
        <f>IF(AND(F415=0,I415=0),"",IF(F415&gt;I415,B415&amp;E415,IF(F415&lt;I415,B415&amp;H415,"Tie")))</f>
        <v/>
      </c>
      <c r="L415" s="156">
        <f>IFERROR(IF(AND(B415&lt;$L$1,F415&gt;I415),"Win",IF(AND(B415&lt;$L$1,F415&lt;I415),"Loss","")),"")</f>
        <v/>
      </c>
      <c r="M415" s="156">
        <f>IF(B415&lt;_CurWeek,"In","")</f>
        <v/>
      </c>
      <c r="N415" s="156">
        <f>IF(M415="In",E415&amp;G415,"")</f>
        <v/>
      </c>
      <c r="O415" s="156">
        <f>IF(L415="Win",1,0)</f>
        <v/>
      </c>
    </row>
    <row r="416" ht="14.4" customHeight="1" s="152">
      <c r="A416" s="167">
        <f>B416&amp;E416</f>
        <v/>
      </c>
      <c r="B416" s="174">
        <f>B131</f>
        <v/>
      </c>
      <c r="C416" s="174">
        <f>C131</f>
        <v/>
      </c>
      <c r="D416" s="174">
        <f>D131</f>
        <v/>
      </c>
      <c r="E416" s="174">
        <f>H131</f>
        <v/>
      </c>
      <c r="F416" s="157">
        <f>I131</f>
        <v/>
      </c>
      <c r="G416" s="174" t="inlineStr">
        <is>
          <t>Home</t>
        </is>
      </c>
      <c r="H416" s="176">
        <f>E131</f>
        <v/>
      </c>
      <c r="I416" s="157">
        <f>F131</f>
        <v/>
      </c>
      <c r="J416" s="177">
        <f>J131</f>
        <v/>
      </c>
      <c r="K416" s="156">
        <f>IF(AND(F416=0,I416=0),"",IF(F416&gt;I416,B416&amp;E416,IF(F416&lt;I416,B416&amp;H416,"Tie")))</f>
        <v/>
      </c>
      <c r="L416" s="156">
        <f>IFERROR(IF(AND(B416&lt;$L$1,F416&gt;I416),"Win",IF(AND(B416&lt;$L$1,F416&lt;I416),"Loss","")),"")</f>
        <v/>
      </c>
      <c r="M416" s="156">
        <f>IF(B416&lt;_CurWeek,"In","")</f>
        <v/>
      </c>
      <c r="N416" s="156">
        <f>IF(M416="In",E416&amp;G416,"")</f>
        <v/>
      </c>
      <c r="O416" s="156">
        <f>IF(L416="Win",1,0)</f>
        <v/>
      </c>
    </row>
    <row r="417" ht="14.4" customHeight="1" s="152">
      <c r="A417" s="167">
        <f>B417&amp;E417</f>
        <v/>
      </c>
      <c r="B417" s="174">
        <f>B132</f>
        <v/>
      </c>
      <c r="C417" s="174">
        <f>C132</f>
        <v/>
      </c>
      <c r="D417" s="174">
        <f>D132</f>
        <v/>
      </c>
      <c r="E417" s="174">
        <f>H132</f>
        <v/>
      </c>
      <c r="F417" s="157">
        <f>I132</f>
        <v/>
      </c>
      <c r="G417" s="174" t="inlineStr">
        <is>
          <t>Home</t>
        </is>
      </c>
      <c r="H417" s="176">
        <f>E132</f>
        <v/>
      </c>
      <c r="I417" s="157">
        <f>F132</f>
        <v/>
      </c>
      <c r="J417" s="177">
        <f>J132</f>
        <v/>
      </c>
      <c r="K417" s="156">
        <f>IF(AND(F417=0,I417=0),"",IF(F417&gt;I417,B417&amp;E417,IF(F417&lt;I417,B417&amp;H417,"Tie")))</f>
        <v/>
      </c>
      <c r="L417" s="156">
        <f>IFERROR(IF(AND(B417&lt;$L$1,F417&gt;I417),"Win",IF(AND(B417&lt;$L$1,F417&lt;I417),"Loss","")),"")</f>
        <v/>
      </c>
      <c r="M417" s="156">
        <f>IF(B417&lt;_CurWeek,"In","")</f>
        <v/>
      </c>
      <c r="N417" s="156">
        <f>IF(M417="In",E417&amp;G417,"")</f>
        <v/>
      </c>
      <c r="O417" s="156">
        <f>IF(L417="Win",1,0)</f>
        <v/>
      </c>
    </row>
    <row r="418" ht="14.4" customHeight="1" s="152">
      <c r="A418" s="167">
        <f>B418&amp;E418</f>
        <v/>
      </c>
      <c r="B418" s="174">
        <f>B133</f>
        <v/>
      </c>
      <c r="C418" s="174">
        <f>C133</f>
        <v/>
      </c>
      <c r="D418" s="174">
        <f>D133</f>
        <v/>
      </c>
      <c r="E418" s="174">
        <f>H133</f>
        <v/>
      </c>
      <c r="F418" s="157">
        <f>I133</f>
        <v/>
      </c>
      <c r="G418" s="174" t="inlineStr">
        <is>
          <t>Home</t>
        </is>
      </c>
      <c r="H418" s="176">
        <f>E133</f>
        <v/>
      </c>
      <c r="I418" s="157">
        <f>F133</f>
        <v/>
      </c>
      <c r="J418" s="177">
        <f>J133</f>
        <v/>
      </c>
      <c r="K418" s="156">
        <f>IF(AND(F418=0,I418=0),"",IF(F418&gt;I418,B418&amp;E418,IF(F418&lt;I418,B418&amp;H418,"Tie")))</f>
        <v/>
      </c>
      <c r="L418" s="156">
        <f>IFERROR(IF(AND(B418&lt;$L$1,F418&gt;I418),"Win",IF(AND(B418&lt;$L$1,F418&lt;I418),"Loss","")),"")</f>
        <v/>
      </c>
      <c r="M418" s="156">
        <f>IF(B418&lt;_CurWeek,"In","")</f>
        <v/>
      </c>
      <c r="N418" s="156">
        <f>IF(M418="In",E418&amp;G418,"")</f>
        <v/>
      </c>
      <c r="O418" s="156">
        <f>IF(L418="Win",1,0)</f>
        <v/>
      </c>
    </row>
    <row r="419" ht="14.4" customHeight="1" s="152">
      <c r="A419" s="167">
        <f>B419&amp;E419</f>
        <v/>
      </c>
      <c r="B419" s="174">
        <f>B134</f>
        <v/>
      </c>
      <c r="C419" s="174">
        <f>C134</f>
        <v/>
      </c>
      <c r="D419" s="174">
        <f>D134</f>
        <v/>
      </c>
      <c r="E419" s="174">
        <f>H134</f>
        <v/>
      </c>
      <c r="F419" s="157">
        <f>I134</f>
        <v/>
      </c>
      <c r="G419" s="174" t="inlineStr">
        <is>
          <t>Home</t>
        </is>
      </c>
      <c r="H419" s="176">
        <f>E134</f>
        <v/>
      </c>
      <c r="I419" s="157">
        <f>F134</f>
        <v/>
      </c>
      <c r="J419" s="177">
        <f>J134</f>
        <v/>
      </c>
      <c r="K419" s="156">
        <f>IF(AND(F419=0,I419=0),"",IF(F419&gt;I419,B419&amp;E419,IF(F419&lt;I419,B419&amp;H419,"Tie")))</f>
        <v/>
      </c>
      <c r="L419" s="156">
        <f>IFERROR(IF(AND(B419&lt;$L$1,F419&gt;I419),"Win",IF(AND(B419&lt;$L$1,F419&lt;I419),"Loss","")),"")</f>
        <v/>
      </c>
      <c r="M419" s="156">
        <f>IF(B419&lt;_CurWeek,"In","")</f>
        <v/>
      </c>
      <c r="N419" s="156">
        <f>IF(M419="In",E419&amp;G419,"")</f>
        <v/>
      </c>
      <c r="O419" s="156">
        <f>IF(L419="Win",1,0)</f>
        <v/>
      </c>
    </row>
    <row r="420" ht="14.4" customHeight="1" s="152">
      <c r="A420" s="167">
        <f>B420&amp;E420</f>
        <v/>
      </c>
      <c r="B420" s="174">
        <f>B135</f>
        <v/>
      </c>
      <c r="C420" s="174">
        <f>C135</f>
        <v/>
      </c>
      <c r="D420" s="174">
        <f>D135</f>
        <v/>
      </c>
      <c r="E420" s="174">
        <f>H135</f>
        <v/>
      </c>
      <c r="F420" s="157">
        <f>I135</f>
        <v/>
      </c>
      <c r="G420" s="174" t="inlineStr">
        <is>
          <t>Home</t>
        </is>
      </c>
      <c r="H420" s="176">
        <f>E135</f>
        <v/>
      </c>
      <c r="I420" s="157">
        <f>F135</f>
        <v/>
      </c>
      <c r="J420" s="177">
        <f>J135</f>
        <v/>
      </c>
      <c r="K420" s="156">
        <f>IF(AND(F420=0,I420=0),"",IF(F420&gt;I420,B420&amp;E420,IF(F420&lt;I420,B420&amp;H420,"Tie")))</f>
        <v/>
      </c>
      <c r="L420" s="156">
        <f>IFERROR(IF(AND(B420&lt;$L$1,F420&gt;I420),"Win",IF(AND(B420&lt;$L$1,F420&lt;I420),"Loss","")),"")</f>
        <v/>
      </c>
      <c r="M420" s="156">
        <f>IF(B420&lt;_CurWeek,"In","")</f>
        <v/>
      </c>
      <c r="N420" s="156">
        <f>IF(M420="In",E420&amp;G420,"")</f>
        <v/>
      </c>
      <c r="O420" s="156">
        <f>IF(L420="Win",1,0)</f>
        <v/>
      </c>
    </row>
    <row r="421" ht="14.4" customHeight="1" s="152">
      <c r="A421" s="167">
        <f>B421&amp;E421</f>
        <v/>
      </c>
      <c r="B421" s="174">
        <f>B136</f>
        <v/>
      </c>
      <c r="C421" s="174">
        <f>C136</f>
        <v/>
      </c>
      <c r="D421" s="174">
        <f>D136</f>
        <v/>
      </c>
      <c r="E421" s="174">
        <f>H136</f>
        <v/>
      </c>
      <c r="F421" s="157">
        <f>I136</f>
        <v/>
      </c>
      <c r="G421" s="174" t="inlineStr">
        <is>
          <t>Home</t>
        </is>
      </c>
      <c r="H421" s="176">
        <f>E136</f>
        <v/>
      </c>
      <c r="I421" s="157">
        <f>F136</f>
        <v/>
      </c>
      <c r="J421" s="177">
        <f>J136</f>
        <v/>
      </c>
      <c r="K421" s="156">
        <f>IF(AND(F421=0,I421=0),"",IF(F421&gt;I421,B421&amp;E421,IF(F421&lt;I421,B421&amp;H421,"Tie")))</f>
        <v/>
      </c>
      <c r="L421" s="156">
        <f>IFERROR(IF(AND(B421&lt;$L$1,F421&gt;I421),"Win",IF(AND(B421&lt;$L$1,F421&lt;I421),"Loss","")),"")</f>
        <v/>
      </c>
      <c r="M421" s="156">
        <f>IF(B421&lt;_CurWeek,"In","")</f>
        <v/>
      </c>
      <c r="N421" s="156">
        <f>IF(M421="In",E421&amp;G421,"")</f>
        <v/>
      </c>
      <c r="O421" s="156">
        <f>IF(L421="Win",1,0)</f>
        <v/>
      </c>
    </row>
    <row r="422" ht="14.4" customHeight="1" s="152">
      <c r="A422" s="167">
        <f>B422&amp;E422</f>
        <v/>
      </c>
      <c r="B422" s="174">
        <f>B137</f>
        <v/>
      </c>
      <c r="C422" s="174">
        <f>C137</f>
        <v/>
      </c>
      <c r="D422" s="174">
        <f>D137</f>
        <v/>
      </c>
      <c r="E422" s="174">
        <f>H137</f>
        <v/>
      </c>
      <c r="F422" s="157">
        <f>I137</f>
        <v/>
      </c>
      <c r="G422" s="174" t="inlineStr">
        <is>
          <t>Home</t>
        </is>
      </c>
      <c r="H422" s="176">
        <f>E137</f>
        <v/>
      </c>
      <c r="I422" s="157">
        <f>F137</f>
        <v/>
      </c>
      <c r="J422" s="177">
        <f>J137</f>
        <v/>
      </c>
      <c r="K422" s="156">
        <f>IF(AND(F422=0,I422=0),"",IF(F422&gt;I422,B422&amp;E422,IF(F422&lt;I422,B422&amp;H422,"Tie")))</f>
        <v/>
      </c>
      <c r="L422" s="156">
        <f>IFERROR(IF(AND(B422&lt;$L$1,F422&gt;I422),"Win",IF(AND(B422&lt;$L$1,F422&lt;I422),"Loss","")),"")</f>
        <v/>
      </c>
      <c r="M422" s="156">
        <f>IF(B422&lt;_CurWeek,"In","")</f>
        <v/>
      </c>
      <c r="N422" s="156">
        <f>IF(M422="In",E422&amp;G422,"")</f>
        <v/>
      </c>
      <c r="O422" s="156">
        <f>IF(L422="Win",1,0)</f>
        <v/>
      </c>
    </row>
    <row r="423" ht="14.4" customHeight="1" s="152">
      <c r="A423" s="167">
        <f>B423&amp;E423</f>
        <v/>
      </c>
      <c r="B423" s="174">
        <f>B138</f>
        <v/>
      </c>
      <c r="C423" s="174">
        <f>C138</f>
        <v/>
      </c>
      <c r="D423" s="174">
        <f>D138</f>
        <v/>
      </c>
      <c r="E423" s="174">
        <f>H138</f>
        <v/>
      </c>
      <c r="F423" s="157">
        <f>I138</f>
        <v/>
      </c>
      <c r="G423" s="174" t="inlineStr">
        <is>
          <t>Home</t>
        </is>
      </c>
      <c r="H423" s="176">
        <f>E138</f>
        <v/>
      </c>
      <c r="I423" s="157">
        <f>F138</f>
        <v/>
      </c>
      <c r="J423" s="177">
        <f>J138</f>
        <v/>
      </c>
      <c r="K423" s="156">
        <f>IF(AND(F423=0,I423=0),"",IF(F423&gt;I423,B423&amp;E423,IF(F423&lt;I423,B423&amp;H423,"Tie")))</f>
        <v/>
      </c>
      <c r="L423" s="156">
        <f>IFERROR(IF(AND(B423&lt;$L$1,F423&gt;I423),"Win",IF(AND(B423&lt;$L$1,F423&lt;I423),"Loss","")),"")</f>
        <v/>
      </c>
      <c r="M423" s="156">
        <f>IF(B423&lt;_CurWeek,"In","")</f>
        <v/>
      </c>
      <c r="N423" s="156">
        <f>IF(M423="In",E423&amp;G423,"")</f>
        <v/>
      </c>
      <c r="O423" s="156">
        <f>IF(L423="Win",1,0)</f>
        <v/>
      </c>
    </row>
    <row r="424" ht="14.4" customHeight="1" s="152">
      <c r="A424" s="167">
        <f>B424&amp;E424</f>
        <v/>
      </c>
      <c r="B424" s="174">
        <f>B139</f>
        <v/>
      </c>
      <c r="C424" s="174">
        <f>C139</f>
        <v/>
      </c>
      <c r="D424" s="174">
        <f>D139</f>
        <v/>
      </c>
      <c r="E424" s="174">
        <f>H139</f>
        <v/>
      </c>
      <c r="F424" s="157">
        <f>I139</f>
        <v/>
      </c>
      <c r="G424" s="174" t="inlineStr">
        <is>
          <t>Home</t>
        </is>
      </c>
      <c r="H424" s="176">
        <f>E139</f>
        <v/>
      </c>
      <c r="I424" s="157">
        <f>F139</f>
        <v/>
      </c>
      <c r="J424" s="177">
        <f>J139</f>
        <v/>
      </c>
      <c r="K424" s="156">
        <f>IF(AND(F424=0,I424=0),"",IF(F424&gt;I424,B424&amp;E424,IF(F424&lt;I424,B424&amp;H424,"Tie")))</f>
        <v/>
      </c>
      <c r="L424" s="156">
        <f>IFERROR(IF(AND(B424&lt;$L$1,F424&gt;I424),"Win",IF(AND(B424&lt;$L$1,F424&lt;I424),"Loss","")),"")</f>
        <v/>
      </c>
      <c r="M424" s="156">
        <f>IF(B424&lt;_CurWeek,"In","")</f>
        <v/>
      </c>
      <c r="N424" s="156">
        <f>IF(M424="In",E424&amp;G424,"")</f>
        <v/>
      </c>
      <c r="O424" s="156">
        <f>IF(L424="Win",1,0)</f>
        <v/>
      </c>
    </row>
    <row r="425" ht="14.4" customHeight="1" s="152">
      <c r="A425" s="167">
        <f>B425&amp;E425</f>
        <v/>
      </c>
      <c r="B425" s="174">
        <f>B140</f>
        <v/>
      </c>
      <c r="C425" s="174">
        <f>C140</f>
        <v/>
      </c>
      <c r="D425" s="174">
        <f>D140</f>
        <v/>
      </c>
      <c r="E425" s="174">
        <f>H140</f>
        <v/>
      </c>
      <c r="F425" s="157">
        <f>I140</f>
        <v/>
      </c>
      <c r="G425" s="174" t="inlineStr">
        <is>
          <t>Home</t>
        </is>
      </c>
      <c r="H425" s="176">
        <f>E140</f>
        <v/>
      </c>
      <c r="I425" s="157">
        <f>F140</f>
        <v/>
      </c>
      <c r="J425" s="177">
        <f>J140</f>
        <v/>
      </c>
      <c r="K425" s="156">
        <f>IF(AND(F425=0,I425=0),"",IF(F425&gt;I425,B425&amp;E425,IF(F425&lt;I425,B425&amp;H425,"Tie")))</f>
        <v/>
      </c>
      <c r="L425" s="156">
        <f>IFERROR(IF(AND(B425&lt;$L$1,F425&gt;I425),"Win",IF(AND(B425&lt;$L$1,F425&lt;I425),"Loss","")),"")</f>
        <v/>
      </c>
      <c r="M425" s="156">
        <f>IF(B425&lt;_CurWeek,"In","")</f>
        <v/>
      </c>
      <c r="N425" s="156">
        <f>IF(M425="In",E425&amp;G425,"")</f>
        <v/>
      </c>
      <c r="O425" s="156">
        <f>IF(L425="Win",1,0)</f>
        <v/>
      </c>
    </row>
    <row r="426" ht="14.4" customHeight="1" s="152">
      <c r="A426" s="167">
        <f>B426&amp;E426</f>
        <v/>
      </c>
      <c r="B426" s="174">
        <f>B141</f>
        <v/>
      </c>
      <c r="C426" s="174">
        <f>C141</f>
        <v/>
      </c>
      <c r="D426" s="174">
        <f>D141</f>
        <v/>
      </c>
      <c r="E426" s="174">
        <f>H141</f>
        <v/>
      </c>
      <c r="F426" s="157">
        <f>I141</f>
        <v/>
      </c>
      <c r="G426" s="174" t="inlineStr">
        <is>
          <t>Home</t>
        </is>
      </c>
      <c r="H426" s="176">
        <f>E141</f>
        <v/>
      </c>
      <c r="I426" s="157">
        <f>F141</f>
        <v/>
      </c>
      <c r="J426" s="177">
        <f>J141</f>
        <v/>
      </c>
      <c r="K426" s="156">
        <f>IF(AND(F426=0,I426=0),"",IF(F426&gt;I426,B426&amp;E426,IF(F426&lt;I426,B426&amp;H426,"Tie")))</f>
        <v/>
      </c>
      <c r="L426" s="156">
        <f>IFERROR(IF(AND(B426&lt;$L$1,F426&gt;I426),"Win",IF(AND(B426&lt;$L$1,F426&lt;I426),"Loss","")),"")</f>
        <v/>
      </c>
      <c r="M426" s="156">
        <f>IF(B426&lt;_CurWeek,"In","")</f>
        <v/>
      </c>
      <c r="N426" s="156">
        <f>IF(M426="In",E426&amp;G426,"")</f>
        <v/>
      </c>
      <c r="O426" s="156">
        <f>IF(L426="Win",1,0)</f>
        <v/>
      </c>
    </row>
    <row r="427" ht="14.4" customHeight="1" s="152">
      <c r="A427" s="167">
        <f>B427&amp;E427</f>
        <v/>
      </c>
      <c r="B427" s="174">
        <f>B142</f>
        <v/>
      </c>
      <c r="C427" s="174">
        <f>C142</f>
        <v/>
      </c>
      <c r="D427" s="174">
        <f>D142</f>
        <v/>
      </c>
      <c r="E427" s="174">
        <f>H142</f>
        <v/>
      </c>
      <c r="F427" s="157">
        <f>I142</f>
        <v/>
      </c>
      <c r="G427" s="174" t="inlineStr">
        <is>
          <t>Home</t>
        </is>
      </c>
      <c r="H427" s="176">
        <f>E142</f>
        <v/>
      </c>
      <c r="I427" s="157">
        <f>F142</f>
        <v/>
      </c>
      <c r="J427" s="177">
        <f>J142</f>
        <v/>
      </c>
      <c r="K427" s="156">
        <f>IF(AND(F427=0,I427=0),"",IF(F427&gt;I427,B427&amp;E427,IF(F427&lt;I427,B427&amp;H427,"Tie")))</f>
        <v/>
      </c>
      <c r="L427" s="156">
        <f>IFERROR(IF(AND(B427&lt;$L$1,F427&gt;I427),"Win",IF(AND(B427&lt;$L$1,F427&lt;I427),"Loss","")),"")</f>
        <v/>
      </c>
      <c r="M427" s="156">
        <f>IF(B427&lt;_CurWeek,"In","")</f>
        <v/>
      </c>
      <c r="N427" s="156">
        <f>IF(M427="In",E427&amp;G427,"")</f>
        <v/>
      </c>
      <c r="O427" s="156">
        <f>IF(L427="Win",1,0)</f>
        <v/>
      </c>
    </row>
    <row r="428" ht="14.4" customHeight="1" s="152">
      <c r="A428" s="167">
        <f>B428&amp;E428</f>
        <v/>
      </c>
      <c r="B428" s="174">
        <f>B143</f>
        <v/>
      </c>
      <c r="C428" s="174">
        <f>C143</f>
        <v/>
      </c>
      <c r="D428" s="174">
        <f>D143</f>
        <v/>
      </c>
      <c r="E428" s="174">
        <f>H143</f>
        <v/>
      </c>
      <c r="F428" s="157">
        <f>I143</f>
        <v/>
      </c>
      <c r="G428" s="174" t="inlineStr">
        <is>
          <t>Home</t>
        </is>
      </c>
      <c r="H428" s="176">
        <f>E143</f>
        <v/>
      </c>
      <c r="I428" s="157">
        <f>F143</f>
        <v/>
      </c>
      <c r="J428" s="177">
        <f>J143</f>
        <v/>
      </c>
      <c r="K428" s="156">
        <f>IF(AND(F428=0,I428=0),"",IF(F428&gt;I428,B428&amp;E428,IF(F428&lt;I428,B428&amp;H428,"Tie")))</f>
        <v/>
      </c>
      <c r="L428" s="156">
        <f>IFERROR(IF(AND(B428&lt;$L$1,F428&gt;I428),"Win",IF(AND(B428&lt;$L$1,F428&lt;I428),"Loss","")),"")</f>
        <v/>
      </c>
      <c r="M428" s="156">
        <f>IF(B428&lt;_CurWeek,"In","")</f>
        <v/>
      </c>
      <c r="N428" s="156">
        <f>IF(M428="In",E428&amp;G428,"")</f>
        <v/>
      </c>
      <c r="O428" s="156">
        <f>IF(L428="Win",1,0)</f>
        <v/>
      </c>
    </row>
    <row r="429" ht="14.4" customHeight="1" s="152">
      <c r="A429" s="167">
        <f>B429&amp;E429</f>
        <v/>
      </c>
      <c r="B429" s="174">
        <f>B144</f>
        <v/>
      </c>
      <c r="C429" s="174">
        <f>C144</f>
        <v/>
      </c>
      <c r="D429" s="174">
        <f>D144</f>
        <v/>
      </c>
      <c r="E429" s="174">
        <f>H144</f>
        <v/>
      </c>
      <c r="F429" s="157">
        <f>I144</f>
        <v/>
      </c>
      <c r="G429" s="174" t="inlineStr">
        <is>
          <t>Home</t>
        </is>
      </c>
      <c r="H429" s="176">
        <f>E144</f>
        <v/>
      </c>
      <c r="I429" s="157">
        <f>F144</f>
        <v/>
      </c>
      <c r="J429" s="177">
        <f>J144</f>
        <v/>
      </c>
      <c r="K429" s="156">
        <f>IF(AND(F429=0,I429=0),"",IF(F429&gt;I429,B429&amp;E429,IF(F429&lt;I429,B429&amp;H429,"Tie")))</f>
        <v/>
      </c>
      <c r="L429" s="156">
        <f>IFERROR(IF(AND(B429&lt;$L$1,F429&gt;I429),"Win",IF(AND(B429&lt;$L$1,F429&lt;I429),"Loss","")),"")</f>
        <v/>
      </c>
      <c r="M429" s="156">
        <f>IF(B429&lt;_CurWeek,"In","")</f>
        <v/>
      </c>
      <c r="N429" s="156">
        <f>IF(M429="In",E429&amp;G429,"")</f>
        <v/>
      </c>
      <c r="O429" s="156">
        <f>IF(L429="Win",1,0)</f>
        <v/>
      </c>
    </row>
    <row r="430" ht="14.4" customHeight="1" s="152">
      <c r="A430" s="167">
        <f>B430&amp;E430</f>
        <v/>
      </c>
      <c r="B430" s="174">
        <f>B145</f>
        <v/>
      </c>
      <c r="C430" s="174">
        <f>C145</f>
        <v/>
      </c>
      <c r="D430" s="174">
        <f>D145</f>
        <v/>
      </c>
      <c r="E430" s="174">
        <f>H145</f>
        <v/>
      </c>
      <c r="F430" s="157">
        <f>I145</f>
        <v/>
      </c>
      <c r="G430" s="174" t="inlineStr">
        <is>
          <t>Home</t>
        </is>
      </c>
      <c r="H430" s="176">
        <f>E145</f>
        <v/>
      </c>
      <c r="I430" s="157">
        <f>F145</f>
        <v/>
      </c>
      <c r="J430" s="177">
        <f>J145</f>
        <v/>
      </c>
      <c r="K430" s="156">
        <f>IF(AND(F430=0,I430=0),"",IF(F430&gt;I430,B430&amp;E430,IF(F430&lt;I430,B430&amp;H430,"Tie")))</f>
        <v/>
      </c>
      <c r="L430" s="156">
        <f>IFERROR(IF(AND(B430&lt;$L$1,F430&gt;I430),"Win",IF(AND(B430&lt;$L$1,F430&lt;I430),"Loss","")),"")</f>
        <v/>
      </c>
      <c r="M430" s="156">
        <f>IF(B430&lt;_CurWeek,"In","")</f>
        <v/>
      </c>
      <c r="N430" s="156">
        <f>IF(M430="In",E430&amp;G430,"")</f>
        <v/>
      </c>
      <c r="O430" s="156">
        <f>IF(L430="Win",1,0)</f>
        <v/>
      </c>
    </row>
    <row r="431" ht="14.4" customHeight="1" s="152">
      <c r="A431" s="167">
        <f>B431&amp;E431</f>
        <v/>
      </c>
      <c r="B431" s="174">
        <f>B146</f>
        <v/>
      </c>
      <c r="C431" s="174">
        <f>C146</f>
        <v/>
      </c>
      <c r="D431" s="174">
        <f>D146</f>
        <v/>
      </c>
      <c r="E431" s="174">
        <f>H146</f>
        <v/>
      </c>
      <c r="F431" s="157">
        <f>I146</f>
        <v/>
      </c>
      <c r="G431" s="174" t="inlineStr">
        <is>
          <t>Home</t>
        </is>
      </c>
      <c r="H431" s="176">
        <f>E146</f>
        <v/>
      </c>
      <c r="I431" s="157">
        <f>F146</f>
        <v/>
      </c>
      <c r="J431" s="177">
        <f>J146</f>
        <v/>
      </c>
      <c r="K431" s="156">
        <f>IF(AND(F431=0,I431=0),"",IF(F431&gt;I431,B431&amp;E431,IF(F431&lt;I431,B431&amp;H431,"Tie")))</f>
        <v/>
      </c>
      <c r="L431" s="156">
        <f>IFERROR(IF(AND(B431&lt;$L$1,F431&gt;I431),"Win",IF(AND(B431&lt;$L$1,F431&lt;I431),"Loss","")),"")</f>
        <v/>
      </c>
      <c r="M431" s="156">
        <f>IF(B431&lt;_CurWeek,"In","")</f>
        <v/>
      </c>
      <c r="N431" s="156">
        <f>IF(M431="In",E431&amp;G431,"")</f>
        <v/>
      </c>
      <c r="O431" s="156">
        <f>IF(L431="Win",1,0)</f>
        <v/>
      </c>
    </row>
    <row r="432" ht="14.4" customHeight="1" s="152">
      <c r="A432" s="167">
        <f>B432&amp;E432</f>
        <v/>
      </c>
      <c r="B432" s="174">
        <f>B147</f>
        <v/>
      </c>
      <c r="C432" s="174">
        <f>C147</f>
        <v/>
      </c>
      <c r="D432" s="174">
        <f>D147</f>
        <v/>
      </c>
      <c r="E432" s="174">
        <f>H147</f>
        <v/>
      </c>
      <c r="F432" s="157">
        <f>I147</f>
        <v/>
      </c>
      <c r="G432" s="174" t="inlineStr">
        <is>
          <t>Home</t>
        </is>
      </c>
      <c r="H432" s="176">
        <f>E147</f>
        <v/>
      </c>
      <c r="I432" s="157">
        <f>F147</f>
        <v/>
      </c>
      <c r="J432" s="177">
        <f>J147</f>
        <v/>
      </c>
      <c r="K432" s="156">
        <f>IF(AND(F432=0,I432=0),"",IF(F432&gt;I432,B432&amp;E432,IF(F432&lt;I432,B432&amp;H432,"Tie")))</f>
        <v/>
      </c>
      <c r="L432" s="156">
        <f>IFERROR(IF(AND(B432&lt;$L$1,F432&gt;I432),"Win",IF(AND(B432&lt;$L$1,F432&lt;I432),"Loss","")),"")</f>
        <v/>
      </c>
      <c r="M432" s="156">
        <f>IF(B432&lt;_CurWeek,"In","")</f>
        <v/>
      </c>
      <c r="N432" s="156">
        <f>IF(M432="In",E432&amp;G432,"")</f>
        <v/>
      </c>
      <c r="O432" s="156">
        <f>IF(L432="Win",1,0)</f>
        <v/>
      </c>
    </row>
    <row r="433" ht="14.4" customHeight="1" s="152">
      <c r="A433" s="167">
        <f>B433&amp;E433</f>
        <v/>
      </c>
      <c r="B433" s="174">
        <f>B148</f>
        <v/>
      </c>
      <c r="C433" s="174">
        <f>C148</f>
        <v/>
      </c>
      <c r="D433" s="174">
        <f>D148</f>
        <v/>
      </c>
      <c r="E433" s="174">
        <f>H148</f>
        <v/>
      </c>
      <c r="F433" s="157">
        <f>I148</f>
        <v/>
      </c>
      <c r="G433" s="174" t="inlineStr">
        <is>
          <t>Home</t>
        </is>
      </c>
      <c r="H433" s="176">
        <f>E148</f>
        <v/>
      </c>
      <c r="I433" s="157">
        <f>F148</f>
        <v/>
      </c>
      <c r="J433" s="177">
        <f>J148</f>
        <v/>
      </c>
      <c r="K433" s="156">
        <f>IF(AND(F433=0,I433=0),"",IF(F433&gt;I433,B433&amp;E433,IF(F433&lt;I433,B433&amp;H433,"Tie")))</f>
        <v/>
      </c>
      <c r="L433" s="156">
        <f>IFERROR(IF(AND(B433&lt;$L$1,F433&gt;I433),"Win",IF(AND(B433&lt;$L$1,F433&lt;I433),"Loss","")),"")</f>
        <v/>
      </c>
      <c r="M433" s="156">
        <f>IF(B433&lt;_CurWeek,"In","")</f>
        <v/>
      </c>
      <c r="N433" s="156">
        <f>IF(M433="In",E433&amp;G433,"")</f>
        <v/>
      </c>
      <c r="O433" s="156">
        <f>IF(L433="Win",1,0)</f>
        <v/>
      </c>
    </row>
    <row r="434" ht="14.4" customHeight="1" s="152">
      <c r="A434" s="167">
        <f>B434&amp;E434</f>
        <v/>
      </c>
      <c r="B434" s="174">
        <f>B149</f>
        <v/>
      </c>
      <c r="C434" s="174">
        <f>C149</f>
        <v/>
      </c>
      <c r="D434" s="174">
        <f>D149</f>
        <v/>
      </c>
      <c r="E434" s="174">
        <f>H149</f>
        <v/>
      </c>
      <c r="F434" s="157">
        <f>I149</f>
        <v/>
      </c>
      <c r="G434" s="174" t="inlineStr">
        <is>
          <t>Home</t>
        </is>
      </c>
      <c r="H434" s="176">
        <f>E149</f>
        <v/>
      </c>
      <c r="I434" s="157">
        <f>F149</f>
        <v/>
      </c>
      <c r="J434" s="177">
        <f>J149</f>
        <v/>
      </c>
      <c r="K434" s="156">
        <f>IF(AND(F434=0,I434=0),"",IF(F434&gt;I434,B434&amp;E434,IF(F434&lt;I434,B434&amp;H434,"Tie")))</f>
        <v/>
      </c>
      <c r="L434" s="156">
        <f>IFERROR(IF(AND(B434&lt;$L$1,F434&gt;I434),"Win",IF(AND(B434&lt;$L$1,F434&lt;I434),"Loss","")),"")</f>
        <v/>
      </c>
      <c r="M434" s="156">
        <f>IF(B434&lt;_CurWeek,"In","")</f>
        <v/>
      </c>
      <c r="N434" s="156">
        <f>IF(M434="In",E434&amp;G434,"")</f>
        <v/>
      </c>
      <c r="O434" s="156">
        <f>IF(L434="Win",1,0)</f>
        <v/>
      </c>
    </row>
    <row r="435" ht="14.4" customHeight="1" s="152">
      <c r="A435" s="167">
        <f>B435&amp;E435</f>
        <v/>
      </c>
      <c r="B435" s="174">
        <f>B150</f>
        <v/>
      </c>
      <c r="C435" s="174">
        <f>C150</f>
        <v/>
      </c>
      <c r="D435" s="174">
        <f>D150</f>
        <v/>
      </c>
      <c r="E435" s="174">
        <f>H150</f>
        <v/>
      </c>
      <c r="F435" s="157">
        <f>I150</f>
        <v/>
      </c>
      <c r="G435" s="174" t="inlineStr">
        <is>
          <t>Home</t>
        </is>
      </c>
      <c r="H435" s="176">
        <f>E150</f>
        <v/>
      </c>
      <c r="I435" s="157">
        <f>F150</f>
        <v/>
      </c>
      <c r="J435" s="177">
        <f>J150</f>
        <v/>
      </c>
      <c r="K435" s="156">
        <f>IF(AND(F435=0,I435=0),"",IF(F435&gt;I435,B435&amp;E435,IF(F435&lt;I435,B435&amp;H435,"Tie")))</f>
        <v/>
      </c>
      <c r="L435" s="156">
        <f>IFERROR(IF(AND(B435&lt;$L$1,F435&gt;I435),"Win",IF(AND(B435&lt;$L$1,F435&lt;I435),"Loss","")),"")</f>
        <v/>
      </c>
      <c r="M435" s="156">
        <f>IF(B435&lt;_CurWeek,"In","")</f>
        <v/>
      </c>
      <c r="N435" s="156">
        <f>IF(M435="In",E435&amp;G435,"")</f>
        <v/>
      </c>
      <c r="O435" s="156">
        <f>IF(L435="Win",1,0)</f>
        <v/>
      </c>
    </row>
    <row r="436" ht="14.4" customHeight="1" s="152">
      <c r="A436" s="167">
        <f>B436&amp;E436</f>
        <v/>
      </c>
      <c r="B436" s="174">
        <f>B151</f>
        <v/>
      </c>
      <c r="C436" s="174">
        <f>C151</f>
        <v/>
      </c>
      <c r="D436" s="174">
        <f>D151</f>
        <v/>
      </c>
      <c r="E436" s="174">
        <f>H151</f>
        <v/>
      </c>
      <c r="F436" s="157">
        <f>I151</f>
        <v/>
      </c>
      <c r="G436" s="174" t="inlineStr">
        <is>
          <t>Home</t>
        </is>
      </c>
      <c r="H436" s="176">
        <f>E151</f>
        <v/>
      </c>
      <c r="I436" s="157">
        <f>F151</f>
        <v/>
      </c>
      <c r="J436" s="177">
        <f>J151</f>
        <v/>
      </c>
      <c r="K436" s="156">
        <f>IF(AND(F436=0,I436=0),"",IF(F436&gt;I436,B436&amp;E436,IF(F436&lt;I436,B436&amp;H436,"Tie")))</f>
        <v/>
      </c>
      <c r="L436" s="156">
        <f>IFERROR(IF(AND(B436&lt;$L$1,F436&gt;I436),"Win",IF(AND(B436&lt;$L$1,F436&lt;I436),"Loss","")),"")</f>
        <v/>
      </c>
      <c r="M436" s="156">
        <f>IF(B436&lt;_CurWeek,"In","")</f>
        <v/>
      </c>
      <c r="N436" s="156">
        <f>IF(M436="In",E436&amp;G436,"")</f>
        <v/>
      </c>
      <c r="O436" s="156">
        <f>IF(L436="Win",1,0)</f>
        <v/>
      </c>
    </row>
    <row r="437" ht="14.4" customHeight="1" s="152">
      <c r="A437" s="167">
        <f>B437&amp;E437</f>
        <v/>
      </c>
      <c r="B437" s="174">
        <f>B152</f>
        <v/>
      </c>
      <c r="C437" s="174">
        <f>C152</f>
        <v/>
      </c>
      <c r="D437" s="174">
        <f>D152</f>
        <v/>
      </c>
      <c r="E437" s="174">
        <f>H152</f>
        <v/>
      </c>
      <c r="F437" s="157">
        <f>I152</f>
        <v/>
      </c>
      <c r="G437" s="174" t="inlineStr">
        <is>
          <t>Home</t>
        </is>
      </c>
      <c r="H437" s="176">
        <f>E152</f>
        <v/>
      </c>
      <c r="I437" s="157">
        <f>F152</f>
        <v/>
      </c>
      <c r="J437" s="177">
        <f>J152</f>
        <v/>
      </c>
      <c r="K437" s="156">
        <f>IF(AND(F437=0,I437=0),"",IF(F437&gt;I437,B437&amp;E437,IF(F437&lt;I437,B437&amp;H437,"Tie")))</f>
        <v/>
      </c>
      <c r="L437" s="156">
        <f>IFERROR(IF(AND(B437&lt;$L$1,F437&gt;I437),"Win",IF(AND(B437&lt;$L$1,F437&lt;I437),"Loss","")),"")</f>
        <v/>
      </c>
      <c r="M437" s="156">
        <f>IF(B437&lt;_CurWeek,"In","")</f>
        <v/>
      </c>
      <c r="N437" s="156">
        <f>IF(M437="In",E437&amp;G437,"")</f>
        <v/>
      </c>
      <c r="O437" s="156">
        <f>IF(L437="Win",1,0)</f>
        <v/>
      </c>
    </row>
    <row r="438" ht="14.4" customHeight="1" s="152">
      <c r="A438" s="167">
        <f>B438&amp;E438</f>
        <v/>
      </c>
      <c r="B438" s="174">
        <f>B153</f>
        <v/>
      </c>
      <c r="C438" s="174">
        <f>C153</f>
        <v/>
      </c>
      <c r="D438" s="174">
        <f>D153</f>
        <v/>
      </c>
      <c r="E438" s="174">
        <f>H153</f>
        <v/>
      </c>
      <c r="F438" s="157">
        <f>I153</f>
        <v/>
      </c>
      <c r="G438" s="174" t="inlineStr">
        <is>
          <t>Home</t>
        </is>
      </c>
      <c r="H438" s="176">
        <f>E153</f>
        <v/>
      </c>
      <c r="I438" s="157">
        <f>F153</f>
        <v/>
      </c>
      <c r="J438" s="177">
        <f>J153</f>
        <v/>
      </c>
      <c r="K438" s="156">
        <f>IF(AND(F438=0,I438=0),"",IF(F438&gt;I438,B438&amp;E438,IF(F438&lt;I438,B438&amp;H438,"Tie")))</f>
        <v/>
      </c>
      <c r="L438" s="156">
        <f>IFERROR(IF(AND(B438&lt;$L$1,F438&gt;I438),"Win",IF(AND(B438&lt;$L$1,F438&lt;I438),"Loss","")),"")</f>
        <v/>
      </c>
      <c r="M438" s="156">
        <f>IF(B438&lt;_CurWeek,"In","")</f>
        <v/>
      </c>
      <c r="N438" s="156">
        <f>IF(M438="In",E438&amp;G438,"")</f>
        <v/>
      </c>
      <c r="O438" s="156">
        <f>IF(L438="Win",1,0)</f>
        <v/>
      </c>
    </row>
    <row r="439" ht="14.4" customHeight="1" s="152">
      <c r="A439" s="167">
        <f>B439&amp;E439</f>
        <v/>
      </c>
      <c r="B439" s="174">
        <f>B154</f>
        <v/>
      </c>
      <c r="C439" s="174">
        <f>C154</f>
        <v/>
      </c>
      <c r="D439" s="174">
        <f>D154</f>
        <v/>
      </c>
      <c r="E439" s="174">
        <f>H154</f>
        <v/>
      </c>
      <c r="F439" s="157">
        <f>I154</f>
        <v/>
      </c>
      <c r="G439" s="174" t="inlineStr">
        <is>
          <t>Home</t>
        </is>
      </c>
      <c r="H439" s="176">
        <f>E154</f>
        <v/>
      </c>
      <c r="I439" s="157">
        <f>F154</f>
        <v/>
      </c>
      <c r="J439" s="177">
        <f>J154</f>
        <v/>
      </c>
      <c r="K439" s="156">
        <f>IF(AND(F439=0,I439=0),"",IF(F439&gt;I439,B439&amp;E439,IF(F439&lt;I439,B439&amp;H439,"Tie")))</f>
        <v/>
      </c>
      <c r="L439" s="156">
        <f>IFERROR(IF(AND(B439&lt;$L$1,F439&gt;I439),"Win",IF(AND(B439&lt;$L$1,F439&lt;I439),"Loss","")),"")</f>
        <v/>
      </c>
      <c r="M439" s="156">
        <f>IF(B439&lt;_CurWeek,"In","")</f>
        <v/>
      </c>
      <c r="N439" s="156">
        <f>IF(M439="In",E439&amp;G439,"")</f>
        <v/>
      </c>
      <c r="O439" s="156">
        <f>IF(L439="Win",1,0)</f>
        <v/>
      </c>
    </row>
    <row r="440" ht="14.4" customHeight="1" s="152">
      <c r="A440" s="167">
        <f>B440&amp;E440</f>
        <v/>
      </c>
      <c r="B440" s="174">
        <f>B155</f>
        <v/>
      </c>
      <c r="C440" s="174">
        <f>C155</f>
        <v/>
      </c>
      <c r="D440" s="174">
        <f>D155</f>
        <v/>
      </c>
      <c r="E440" s="174">
        <f>H155</f>
        <v/>
      </c>
      <c r="F440" s="157">
        <f>I155</f>
        <v/>
      </c>
      <c r="G440" s="174" t="inlineStr">
        <is>
          <t>Home</t>
        </is>
      </c>
      <c r="H440" s="176">
        <f>E155</f>
        <v/>
      </c>
      <c r="I440" s="157">
        <f>F155</f>
        <v/>
      </c>
      <c r="J440" s="177">
        <f>J155</f>
        <v/>
      </c>
      <c r="K440" s="156">
        <f>IF(AND(F440=0,I440=0),"",IF(F440&gt;I440,B440&amp;E440,IF(F440&lt;I440,B440&amp;H440,"Tie")))</f>
        <v/>
      </c>
      <c r="L440" s="156">
        <f>IFERROR(IF(AND(B440&lt;$L$1,F440&gt;I440),"Win",IF(AND(B440&lt;$L$1,F440&lt;I440),"Loss","")),"")</f>
        <v/>
      </c>
      <c r="M440" s="156">
        <f>IF(B440&lt;_CurWeek,"In","")</f>
        <v/>
      </c>
      <c r="N440" s="156">
        <f>IF(M440="In",E440&amp;G440,"")</f>
        <v/>
      </c>
      <c r="O440" s="156">
        <f>IF(L440="Win",1,0)</f>
        <v/>
      </c>
    </row>
    <row r="441" ht="14.4" customHeight="1" s="152">
      <c r="A441" s="167">
        <f>B441&amp;E441</f>
        <v/>
      </c>
      <c r="B441" s="174">
        <f>B156</f>
        <v/>
      </c>
      <c r="C441" s="174">
        <f>C156</f>
        <v/>
      </c>
      <c r="D441" s="174">
        <f>D156</f>
        <v/>
      </c>
      <c r="E441" s="174">
        <f>H156</f>
        <v/>
      </c>
      <c r="F441" s="157">
        <f>I156</f>
        <v/>
      </c>
      <c r="G441" s="174" t="inlineStr">
        <is>
          <t>Home</t>
        </is>
      </c>
      <c r="H441" s="176">
        <f>E156</f>
        <v/>
      </c>
      <c r="I441" s="157">
        <f>F156</f>
        <v/>
      </c>
      <c r="J441" s="177">
        <f>J156</f>
        <v/>
      </c>
      <c r="K441" s="156">
        <f>IF(AND(F441=0,I441=0),"",IF(F441&gt;I441,B441&amp;E441,IF(F441&lt;I441,B441&amp;H441,"Tie")))</f>
        <v/>
      </c>
      <c r="L441" s="156">
        <f>IFERROR(IF(AND(B441&lt;$L$1,F441&gt;I441),"Win",IF(AND(B441&lt;$L$1,F441&lt;I441),"Loss","")),"")</f>
        <v/>
      </c>
      <c r="M441" s="156">
        <f>IF(B441&lt;_CurWeek,"In","")</f>
        <v/>
      </c>
      <c r="N441" s="156">
        <f>IF(M441="In",E441&amp;G441,"")</f>
        <v/>
      </c>
      <c r="O441" s="156">
        <f>IF(L441="Win",1,0)</f>
        <v/>
      </c>
    </row>
    <row r="442" ht="14.4" customHeight="1" s="152">
      <c r="A442" s="167">
        <f>B442&amp;E442</f>
        <v/>
      </c>
      <c r="B442" s="174">
        <f>B157</f>
        <v/>
      </c>
      <c r="C442" s="174">
        <f>C157</f>
        <v/>
      </c>
      <c r="D442" s="174">
        <f>D157</f>
        <v/>
      </c>
      <c r="E442" s="174">
        <f>H157</f>
        <v/>
      </c>
      <c r="F442" s="157">
        <f>I157</f>
        <v/>
      </c>
      <c r="G442" s="174" t="inlineStr">
        <is>
          <t>Home</t>
        </is>
      </c>
      <c r="H442" s="176">
        <f>E157</f>
        <v/>
      </c>
      <c r="I442" s="157">
        <f>F157</f>
        <v/>
      </c>
      <c r="J442" s="177">
        <f>J157</f>
        <v/>
      </c>
      <c r="K442" s="156">
        <f>IF(AND(F442=0,I442=0),"",IF(F442&gt;I442,B442&amp;E442,IF(F442&lt;I442,B442&amp;H442,"Tie")))</f>
        <v/>
      </c>
      <c r="L442" s="156">
        <f>IFERROR(IF(AND(B442&lt;$L$1,F442&gt;I442),"Win",IF(AND(B442&lt;$L$1,F442&lt;I442),"Loss","")),"")</f>
        <v/>
      </c>
      <c r="M442" s="156">
        <f>IF(B442&lt;_CurWeek,"In","")</f>
        <v/>
      </c>
      <c r="N442" s="156">
        <f>IF(M442="In",E442&amp;G442,"")</f>
        <v/>
      </c>
      <c r="O442" s="156">
        <f>IF(L442="Win",1,0)</f>
        <v/>
      </c>
    </row>
    <row r="443" ht="14.4" customHeight="1" s="152">
      <c r="A443" s="167">
        <f>B443&amp;E443</f>
        <v/>
      </c>
      <c r="B443" s="174">
        <f>B158</f>
        <v/>
      </c>
      <c r="C443" s="174">
        <f>C158</f>
        <v/>
      </c>
      <c r="D443" s="174">
        <f>D158</f>
        <v/>
      </c>
      <c r="E443" s="174">
        <f>H158</f>
        <v/>
      </c>
      <c r="F443" s="157">
        <f>I158</f>
        <v/>
      </c>
      <c r="G443" s="174" t="inlineStr">
        <is>
          <t>Home</t>
        </is>
      </c>
      <c r="H443" s="176">
        <f>E158</f>
        <v/>
      </c>
      <c r="I443" s="157">
        <f>F158</f>
        <v/>
      </c>
      <c r="J443" s="177">
        <f>J158</f>
        <v/>
      </c>
      <c r="K443" s="156">
        <f>IF(AND(F443=0,I443=0),"",IF(F443&gt;I443,B443&amp;E443,IF(F443&lt;I443,B443&amp;H443,"Tie")))</f>
        <v/>
      </c>
      <c r="L443" s="156">
        <f>IFERROR(IF(AND(B443&lt;$L$1,F443&gt;I443),"Win",IF(AND(B443&lt;$L$1,F443&lt;I443),"Loss","")),"")</f>
        <v/>
      </c>
      <c r="M443" s="156">
        <f>IF(B443&lt;_CurWeek,"In","")</f>
        <v/>
      </c>
      <c r="N443" s="156">
        <f>IF(M443="In",E443&amp;G443,"")</f>
        <v/>
      </c>
      <c r="O443" s="156">
        <f>IF(L443="Win",1,0)</f>
        <v/>
      </c>
    </row>
    <row r="444" ht="14.4" customHeight="1" s="152">
      <c r="A444" s="167">
        <f>B444&amp;E444</f>
        <v/>
      </c>
      <c r="B444" s="174">
        <f>B159</f>
        <v/>
      </c>
      <c r="C444" s="174">
        <f>C159</f>
        <v/>
      </c>
      <c r="D444" s="174">
        <f>D159</f>
        <v/>
      </c>
      <c r="E444" s="174">
        <f>H159</f>
        <v/>
      </c>
      <c r="F444" s="157">
        <f>I159</f>
        <v/>
      </c>
      <c r="G444" s="174" t="inlineStr">
        <is>
          <t>Home</t>
        </is>
      </c>
      <c r="H444" s="176">
        <f>E159</f>
        <v/>
      </c>
      <c r="I444" s="157">
        <f>F159</f>
        <v/>
      </c>
      <c r="J444" s="177">
        <f>J159</f>
        <v/>
      </c>
      <c r="K444" s="156">
        <f>IF(AND(F444=0,I444=0),"",IF(F444&gt;I444,B444&amp;E444,IF(F444&lt;I444,B444&amp;H444,"Tie")))</f>
        <v/>
      </c>
      <c r="L444" s="156">
        <f>IFERROR(IF(AND(B444&lt;$L$1,F444&gt;I444),"Win",IF(AND(B444&lt;$L$1,F444&lt;I444),"Loss","")),"")</f>
        <v/>
      </c>
      <c r="M444" s="156">
        <f>IF(B444&lt;_CurWeek,"In","")</f>
        <v/>
      </c>
      <c r="N444" s="156">
        <f>IF(M444="In",E444&amp;G444,"")</f>
        <v/>
      </c>
      <c r="O444" s="156">
        <f>IF(L444="Win",1,0)</f>
        <v/>
      </c>
    </row>
    <row r="445" ht="14.4" customHeight="1" s="152">
      <c r="A445" s="167">
        <f>B445&amp;E445</f>
        <v/>
      </c>
      <c r="B445" s="174">
        <f>B160</f>
        <v/>
      </c>
      <c r="C445" s="174">
        <f>C160</f>
        <v/>
      </c>
      <c r="D445" s="174">
        <f>D160</f>
        <v/>
      </c>
      <c r="E445" s="174">
        <f>H160</f>
        <v/>
      </c>
      <c r="F445" s="157">
        <f>I160</f>
        <v/>
      </c>
      <c r="G445" s="174" t="inlineStr">
        <is>
          <t>Home</t>
        </is>
      </c>
      <c r="H445" s="176">
        <f>E160</f>
        <v/>
      </c>
      <c r="I445" s="157">
        <f>F160</f>
        <v/>
      </c>
      <c r="J445" s="177">
        <f>J160</f>
        <v/>
      </c>
      <c r="K445" s="156">
        <f>IF(AND(F445=0,I445=0),"",IF(F445&gt;I445,B445&amp;E445,IF(F445&lt;I445,B445&amp;H445,"Tie")))</f>
        <v/>
      </c>
      <c r="L445" s="156">
        <f>IFERROR(IF(AND(B445&lt;$L$1,F445&gt;I445),"Win",IF(AND(B445&lt;$L$1,F445&lt;I445),"Loss","")),"")</f>
        <v/>
      </c>
      <c r="M445" s="156">
        <f>IF(B445&lt;_CurWeek,"In","")</f>
        <v/>
      </c>
      <c r="N445" s="156">
        <f>IF(M445="In",E445&amp;G445,"")</f>
        <v/>
      </c>
      <c r="O445" s="156">
        <f>IF(L445="Win",1,0)</f>
        <v/>
      </c>
    </row>
    <row r="446" ht="14.4" customHeight="1" s="152">
      <c r="A446" s="167">
        <f>B446&amp;E446</f>
        <v/>
      </c>
      <c r="B446" s="174">
        <f>B161</f>
        <v/>
      </c>
      <c r="C446" s="174">
        <f>C161</f>
        <v/>
      </c>
      <c r="D446" s="174">
        <f>D161</f>
        <v/>
      </c>
      <c r="E446" s="174">
        <f>H161</f>
        <v/>
      </c>
      <c r="F446" s="157">
        <f>I161</f>
        <v/>
      </c>
      <c r="G446" s="174" t="inlineStr">
        <is>
          <t>Home</t>
        </is>
      </c>
      <c r="H446" s="176">
        <f>E161</f>
        <v/>
      </c>
      <c r="I446" s="157">
        <f>F161</f>
        <v/>
      </c>
      <c r="J446" s="177">
        <f>J161</f>
        <v/>
      </c>
      <c r="K446" s="156">
        <f>IF(AND(F446=0,I446=0),"",IF(F446&gt;I446,B446&amp;E446,IF(F446&lt;I446,B446&amp;H446,"Tie")))</f>
        <v/>
      </c>
      <c r="L446" s="156">
        <f>IFERROR(IF(AND(B446&lt;$L$1,F446&gt;I446),"Win",IF(AND(B446&lt;$L$1,F446&lt;I446),"Loss","")),"")</f>
        <v/>
      </c>
      <c r="M446" s="156">
        <f>IF(B446&lt;_CurWeek,"In","")</f>
        <v/>
      </c>
      <c r="N446" s="156">
        <f>IF(M446="In",E446&amp;G446,"")</f>
        <v/>
      </c>
      <c r="O446" s="156">
        <f>IF(L446="Win",1,0)</f>
        <v/>
      </c>
    </row>
    <row r="447" ht="14.4" customHeight="1" s="152">
      <c r="A447" s="167">
        <f>B447&amp;E447</f>
        <v/>
      </c>
      <c r="B447" s="174">
        <f>B162</f>
        <v/>
      </c>
      <c r="C447" s="174">
        <f>C162</f>
        <v/>
      </c>
      <c r="D447" s="174">
        <f>D162</f>
        <v/>
      </c>
      <c r="E447" s="174">
        <f>H162</f>
        <v/>
      </c>
      <c r="F447" s="157">
        <f>I162</f>
        <v/>
      </c>
      <c r="G447" s="174" t="inlineStr">
        <is>
          <t>Home</t>
        </is>
      </c>
      <c r="H447" s="176">
        <f>E162</f>
        <v/>
      </c>
      <c r="I447" s="157">
        <f>F162</f>
        <v/>
      </c>
      <c r="J447" s="177">
        <f>J162</f>
        <v/>
      </c>
      <c r="K447" s="156">
        <f>IF(AND(F447=0,I447=0),"",IF(F447&gt;I447,B447&amp;E447,IF(F447&lt;I447,B447&amp;H447,"Tie")))</f>
        <v/>
      </c>
      <c r="L447" s="156">
        <f>IFERROR(IF(AND(B447&lt;$L$1,F447&gt;I447),"Win",IF(AND(B447&lt;$L$1,F447&lt;I447),"Loss","")),"")</f>
        <v/>
      </c>
      <c r="M447" s="156">
        <f>IF(B447&lt;_CurWeek,"In","")</f>
        <v/>
      </c>
      <c r="N447" s="156">
        <f>IF(M447="In",E447&amp;G447,"")</f>
        <v/>
      </c>
      <c r="O447" s="156">
        <f>IF(L447="Win",1,0)</f>
        <v/>
      </c>
    </row>
    <row r="448" ht="14.4" customHeight="1" s="152">
      <c r="A448" s="167">
        <f>B448&amp;E448</f>
        <v/>
      </c>
      <c r="B448" s="174">
        <f>B163</f>
        <v/>
      </c>
      <c r="C448" s="174">
        <f>C163</f>
        <v/>
      </c>
      <c r="D448" s="174">
        <f>D163</f>
        <v/>
      </c>
      <c r="E448" s="174">
        <f>H163</f>
        <v/>
      </c>
      <c r="F448" s="157">
        <f>I163</f>
        <v/>
      </c>
      <c r="G448" s="174" t="inlineStr">
        <is>
          <t>Home</t>
        </is>
      </c>
      <c r="H448" s="176">
        <f>E163</f>
        <v/>
      </c>
      <c r="I448" s="157">
        <f>F163</f>
        <v/>
      </c>
      <c r="J448" s="177">
        <f>J163</f>
        <v/>
      </c>
      <c r="K448" s="156">
        <f>IF(AND(F448=0,I448=0),"",IF(F448&gt;I448,B448&amp;E448,IF(F448&lt;I448,B448&amp;H448,"Tie")))</f>
        <v/>
      </c>
      <c r="L448" s="156">
        <f>IFERROR(IF(AND(B448&lt;$L$1,F448&gt;I448),"Win",IF(AND(B448&lt;$L$1,F448&lt;I448),"Loss","")),"")</f>
        <v/>
      </c>
      <c r="M448" s="156">
        <f>IF(B448&lt;_CurWeek,"In","")</f>
        <v/>
      </c>
      <c r="N448" s="156">
        <f>IF(M448="In",E448&amp;G448,"")</f>
        <v/>
      </c>
      <c r="O448" s="156">
        <f>IF(L448="Win",1,0)</f>
        <v/>
      </c>
    </row>
    <row r="449" ht="14.4" customHeight="1" s="152">
      <c r="A449" s="167">
        <f>B449&amp;E449</f>
        <v/>
      </c>
      <c r="B449" s="174">
        <f>B164</f>
        <v/>
      </c>
      <c r="C449" s="174">
        <f>C164</f>
        <v/>
      </c>
      <c r="D449" s="174">
        <f>D164</f>
        <v/>
      </c>
      <c r="E449" s="174">
        <f>H164</f>
        <v/>
      </c>
      <c r="F449" s="157">
        <f>I164</f>
        <v/>
      </c>
      <c r="G449" s="174" t="inlineStr">
        <is>
          <t>Home</t>
        </is>
      </c>
      <c r="H449" s="176">
        <f>E164</f>
        <v/>
      </c>
      <c r="I449" s="157">
        <f>F164</f>
        <v/>
      </c>
      <c r="J449" s="177">
        <f>J164</f>
        <v/>
      </c>
      <c r="K449" s="156">
        <f>IF(AND(F449=0,I449=0),"",IF(F449&gt;I449,B449&amp;E449,IF(F449&lt;I449,B449&amp;H449,"Tie")))</f>
        <v/>
      </c>
      <c r="L449" s="156">
        <f>IFERROR(IF(AND(B449&lt;$L$1,F449&gt;I449),"Win",IF(AND(B449&lt;$L$1,F449&lt;I449),"Loss","")),"")</f>
        <v/>
      </c>
      <c r="M449" s="156">
        <f>IF(B449&lt;_CurWeek,"In","")</f>
        <v/>
      </c>
      <c r="N449" s="156">
        <f>IF(M449="In",E449&amp;G449,"")</f>
        <v/>
      </c>
      <c r="O449" s="156">
        <f>IF(L449="Win",1,0)</f>
        <v/>
      </c>
    </row>
    <row r="450" ht="14.4" customHeight="1" s="152">
      <c r="A450" s="167">
        <f>B450&amp;E450</f>
        <v/>
      </c>
      <c r="B450" s="174">
        <f>B165</f>
        <v/>
      </c>
      <c r="C450" s="174">
        <f>C165</f>
        <v/>
      </c>
      <c r="D450" s="174">
        <f>D165</f>
        <v/>
      </c>
      <c r="E450" s="174">
        <f>H165</f>
        <v/>
      </c>
      <c r="F450" s="157">
        <f>I165</f>
        <v/>
      </c>
      <c r="G450" s="174" t="inlineStr">
        <is>
          <t>Home</t>
        </is>
      </c>
      <c r="H450" s="176">
        <f>E165</f>
        <v/>
      </c>
      <c r="I450" s="157">
        <f>F165</f>
        <v/>
      </c>
      <c r="J450" s="177">
        <f>J165</f>
        <v/>
      </c>
      <c r="K450" s="156">
        <f>IF(AND(F450=0,I450=0),"",IF(F450&gt;I450,B450&amp;E450,IF(F450&lt;I450,B450&amp;H450,"Tie")))</f>
        <v/>
      </c>
      <c r="L450" s="156">
        <f>IFERROR(IF(AND(B450&lt;$L$1,F450&gt;I450),"Win",IF(AND(B450&lt;$L$1,F450&lt;I450),"Loss","")),"")</f>
        <v/>
      </c>
      <c r="M450" s="156">
        <f>IF(B450&lt;_CurWeek,"In","")</f>
        <v/>
      </c>
      <c r="N450" s="156">
        <f>IF(M450="In",E450&amp;G450,"")</f>
        <v/>
      </c>
      <c r="O450" s="156">
        <f>IF(L450="Win",1,0)</f>
        <v/>
      </c>
    </row>
    <row r="451" ht="14.4" customHeight="1" s="152">
      <c r="A451" s="167">
        <f>B451&amp;E451</f>
        <v/>
      </c>
      <c r="B451" s="174">
        <f>B166</f>
        <v/>
      </c>
      <c r="C451" s="174">
        <f>C166</f>
        <v/>
      </c>
      <c r="D451" s="174">
        <f>D166</f>
        <v/>
      </c>
      <c r="E451" s="174">
        <f>H166</f>
        <v/>
      </c>
      <c r="F451" s="157">
        <f>I166</f>
        <v/>
      </c>
      <c r="G451" s="174" t="inlineStr">
        <is>
          <t>Home</t>
        </is>
      </c>
      <c r="H451" s="176">
        <f>E166</f>
        <v/>
      </c>
      <c r="I451" s="157">
        <f>F166</f>
        <v/>
      </c>
      <c r="J451" s="177">
        <f>J166</f>
        <v/>
      </c>
      <c r="K451" s="156">
        <f>IF(AND(F451=0,I451=0),"",IF(F451&gt;I451,B451&amp;E451,IF(F451&lt;I451,B451&amp;H451,"Tie")))</f>
        <v/>
      </c>
      <c r="L451" s="156">
        <f>IFERROR(IF(AND(B451&lt;$L$1,F451&gt;I451),"Win",IF(AND(B451&lt;$L$1,F451&lt;I451),"Loss","")),"")</f>
        <v/>
      </c>
      <c r="M451" s="156">
        <f>IF(B451&lt;_CurWeek,"In","")</f>
        <v/>
      </c>
      <c r="N451" s="156">
        <f>IF(M451="In",E451&amp;G451,"")</f>
        <v/>
      </c>
      <c r="O451" s="156">
        <f>IF(L451="Win",1,0)</f>
        <v/>
      </c>
    </row>
    <row r="452" ht="14.4" customHeight="1" s="152">
      <c r="A452" s="167">
        <f>B452&amp;E452</f>
        <v/>
      </c>
      <c r="B452" s="174">
        <f>B167</f>
        <v/>
      </c>
      <c r="C452" s="174">
        <f>C167</f>
        <v/>
      </c>
      <c r="D452" s="174">
        <f>D167</f>
        <v/>
      </c>
      <c r="E452" s="174">
        <f>H167</f>
        <v/>
      </c>
      <c r="F452" s="157">
        <f>I167</f>
        <v/>
      </c>
      <c r="G452" s="174" t="inlineStr">
        <is>
          <t>Home</t>
        </is>
      </c>
      <c r="H452" s="176">
        <f>E167</f>
        <v/>
      </c>
      <c r="I452" s="157">
        <f>F167</f>
        <v/>
      </c>
      <c r="J452" s="177">
        <f>J167</f>
        <v/>
      </c>
      <c r="K452" s="156">
        <f>IF(AND(F452=0,I452=0),"",IF(F452&gt;I452,B452&amp;E452,IF(F452&lt;I452,B452&amp;H452,"Tie")))</f>
        <v/>
      </c>
      <c r="L452" s="156">
        <f>IFERROR(IF(AND(B452&lt;$L$1,F452&gt;I452),"Win",IF(AND(B452&lt;$L$1,F452&lt;I452),"Loss","")),"")</f>
        <v/>
      </c>
      <c r="M452" s="156">
        <f>IF(B452&lt;_CurWeek,"In","")</f>
        <v/>
      </c>
      <c r="N452" s="156">
        <f>IF(M452="In",E452&amp;G452,"")</f>
        <v/>
      </c>
      <c r="O452" s="156">
        <f>IF(L452="Win",1,0)</f>
        <v/>
      </c>
    </row>
    <row r="453" ht="14.4" customHeight="1" s="152">
      <c r="A453" s="167">
        <f>B453&amp;E453</f>
        <v/>
      </c>
      <c r="B453" s="174">
        <f>B168</f>
        <v/>
      </c>
      <c r="C453" s="174">
        <f>C168</f>
        <v/>
      </c>
      <c r="D453" s="174">
        <f>D168</f>
        <v/>
      </c>
      <c r="E453" s="174">
        <f>H168</f>
        <v/>
      </c>
      <c r="F453" s="157">
        <f>I168</f>
        <v/>
      </c>
      <c r="G453" s="174" t="inlineStr">
        <is>
          <t>Home</t>
        </is>
      </c>
      <c r="H453" s="176">
        <f>E168</f>
        <v/>
      </c>
      <c r="I453" s="157">
        <f>F168</f>
        <v/>
      </c>
      <c r="J453" s="177">
        <f>J168</f>
        <v/>
      </c>
      <c r="K453" s="156">
        <f>IF(AND(F453=0,I453=0),"",IF(F453&gt;I453,B453&amp;E453,IF(F453&lt;I453,B453&amp;H453,"Tie")))</f>
        <v/>
      </c>
      <c r="L453" s="156">
        <f>IFERROR(IF(AND(B453&lt;$L$1,F453&gt;I453),"Win",IF(AND(B453&lt;$L$1,F453&lt;I453),"Loss","")),"")</f>
        <v/>
      </c>
      <c r="M453" s="156">
        <f>IF(B453&lt;_CurWeek,"In","")</f>
        <v/>
      </c>
      <c r="N453" s="156">
        <f>IF(M453="In",E453&amp;G453,"")</f>
        <v/>
      </c>
      <c r="O453" s="156">
        <f>IF(L453="Win",1,0)</f>
        <v/>
      </c>
    </row>
    <row r="454" ht="14.4" customHeight="1" s="152">
      <c r="A454" s="167">
        <f>B454&amp;E454</f>
        <v/>
      </c>
      <c r="B454" s="174">
        <f>B169</f>
        <v/>
      </c>
      <c r="C454" s="174">
        <f>C169</f>
        <v/>
      </c>
      <c r="D454" s="174">
        <f>D169</f>
        <v/>
      </c>
      <c r="E454" s="174">
        <f>H169</f>
        <v/>
      </c>
      <c r="F454" s="157">
        <f>I169</f>
        <v/>
      </c>
      <c r="G454" s="174" t="inlineStr">
        <is>
          <t>Home</t>
        </is>
      </c>
      <c r="H454" s="176">
        <f>E169</f>
        <v/>
      </c>
      <c r="I454" s="157">
        <f>F169</f>
        <v/>
      </c>
      <c r="J454" s="177">
        <f>J169</f>
        <v/>
      </c>
      <c r="K454" s="156">
        <f>IF(AND(F454=0,I454=0),"",IF(F454&gt;I454,B454&amp;E454,IF(F454&lt;I454,B454&amp;H454,"Tie")))</f>
        <v/>
      </c>
      <c r="L454" s="156">
        <f>IFERROR(IF(AND(B454&lt;$L$1,F454&gt;I454),"Win",IF(AND(B454&lt;$L$1,F454&lt;I454),"Loss","")),"")</f>
        <v/>
      </c>
      <c r="M454" s="156">
        <f>IF(B454&lt;_CurWeek,"In","")</f>
        <v/>
      </c>
      <c r="N454" s="156">
        <f>IF(M454="In",E454&amp;G454,"")</f>
        <v/>
      </c>
      <c r="O454" s="156">
        <f>IF(L454="Win",1,0)</f>
        <v/>
      </c>
    </row>
    <row r="455" ht="14.4" customHeight="1" s="152">
      <c r="A455" s="167">
        <f>B455&amp;E455</f>
        <v/>
      </c>
      <c r="B455" s="174">
        <f>B170</f>
        <v/>
      </c>
      <c r="C455" s="174">
        <f>C170</f>
        <v/>
      </c>
      <c r="D455" s="174">
        <f>D170</f>
        <v/>
      </c>
      <c r="E455" s="174">
        <f>H170</f>
        <v/>
      </c>
      <c r="F455" s="157">
        <f>I170</f>
        <v/>
      </c>
      <c r="G455" s="174" t="inlineStr">
        <is>
          <t>Home</t>
        </is>
      </c>
      <c r="H455" s="176">
        <f>E170</f>
        <v/>
      </c>
      <c r="I455" s="157">
        <f>F170</f>
        <v/>
      </c>
      <c r="J455" s="177">
        <f>J170</f>
        <v/>
      </c>
      <c r="K455" s="156">
        <f>IF(AND(F455=0,I455=0),"",IF(F455&gt;I455,B455&amp;E455,IF(F455&lt;I455,B455&amp;H455,"Tie")))</f>
        <v/>
      </c>
      <c r="L455" s="156">
        <f>IFERROR(IF(AND(B455&lt;$L$1,F455&gt;I455),"Win",IF(AND(B455&lt;$L$1,F455&lt;I455),"Loss","")),"")</f>
        <v/>
      </c>
      <c r="M455" s="156">
        <f>IF(B455&lt;_CurWeek,"In","")</f>
        <v/>
      </c>
      <c r="N455" s="156">
        <f>IF(M455="In",E455&amp;G455,"")</f>
        <v/>
      </c>
      <c r="O455" s="156">
        <f>IF(L455="Win",1,0)</f>
        <v/>
      </c>
    </row>
    <row r="456" ht="14.4" customHeight="1" s="152">
      <c r="A456" s="167">
        <f>B456&amp;E456</f>
        <v/>
      </c>
      <c r="B456" s="174">
        <f>B171</f>
        <v/>
      </c>
      <c r="C456" s="174">
        <f>C171</f>
        <v/>
      </c>
      <c r="D456" s="174">
        <f>D171</f>
        <v/>
      </c>
      <c r="E456" s="174">
        <f>H171</f>
        <v/>
      </c>
      <c r="F456" s="157">
        <f>I171</f>
        <v/>
      </c>
      <c r="G456" s="174" t="inlineStr">
        <is>
          <t>Home</t>
        </is>
      </c>
      <c r="H456" s="176">
        <f>E171</f>
        <v/>
      </c>
      <c r="I456" s="157">
        <f>F171</f>
        <v/>
      </c>
      <c r="J456" s="177">
        <f>J171</f>
        <v/>
      </c>
      <c r="K456" s="156">
        <f>IF(AND(F456=0,I456=0),"",IF(F456&gt;I456,B456&amp;E456,IF(F456&lt;I456,B456&amp;H456,"Tie")))</f>
        <v/>
      </c>
      <c r="L456" s="156">
        <f>IFERROR(IF(AND(B456&lt;$L$1,F456&gt;I456),"Win",IF(AND(B456&lt;$L$1,F456&lt;I456),"Loss","")),"")</f>
        <v/>
      </c>
      <c r="M456" s="156">
        <f>IF(B456&lt;_CurWeek,"In","")</f>
        <v/>
      </c>
      <c r="N456" s="156">
        <f>IF(M456="In",E456&amp;G456,"")</f>
        <v/>
      </c>
      <c r="O456" s="156">
        <f>IF(L456="Win",1,0)</f>
        <v/>
      </c>
    </row>
    <row r="457" ht="14.4" customHeight="1" s="152">
      <c r="A457" s="167">
        <f>B457&amp;E457</f>
        <v/>
      </c>
      <c r="B457" s="174">
        <f>B172</f>
        <v/>
      </c>
      <c r="C457" s="174">
        <f>C172</f>
        <v/>
      </c>
      <c r="D457" s="174">
        <f>D172</f>
        <v/>
      </c>
      <c r="E457" s="174">
        <f>H172</f>
        <v/>
      </c>
      <c r="F457" s="157">
        <f>I172</f>
        <v/>
      </c>
      <c r="G457" s="174" t="inlineStr">
        <is>
          <t>Home</t>
        </is>
      </c>
      <c r="H457" s="176">
        <f>E172</f>
        <v/>
      </c>
      <c r="I457" s="157">
        <f>F172</f>
        <v/>
      </c>
      <c r="J457" s="177">
        <f>J172</f>
        <v/>
      </c>
      <c r="K457" s="156">
        <f>IF(AND(F457=0,I457=0),"",IF(F457&gt;I457,B457&amp;E457,IF(F457&lt;I457,B457&amp;H457,"Tie")))</f>
        <v/>
      </c>
      <c r="L457" s="156">
        <f>IFERROR(IF(AND(B457&lt;$L$1,F457&gt;I457),"Win",IF(AND(B457&lt;$L$1,F457&lt;I457),"Loss","")),"")</f>
        <v/>
      </c>
      <c r="M457" s="156">
        <f>IF(B457&lt;_CurWeek,"In","")</f>
        <v/>
      </c>
      <c r="N457" s="156">
        <f>IF(M457="In",E457&amp;G457,"")</f>
        <v/>
      </c>
      <c r="O457" s="156">
        <f>IF(L457="Win",1,0)</f>
        <v/>
      </c>
    </row>
    <row r="458" ht="14.4" customHeight="1" s="152">
      <c r="A458" s="167">
        <f>B458&amp;E458</f>
        <v/>
      </c>
      <c r="B458" s="174">
        <f>B173</f>
        <v/>
      </c>
      <c r="C458" s="174">
        <f>C173</f>
        <v/>
      </c>
      <c r="D458" s="174">
        <f>D173</f>
        <v/>
      </c>
      <c r="E458" s="174">
        <f>H173</f>
        <v/>
      </c>
      <c r="F458" s="157">
        <f>I173</f>
        <v/>
      </c>
      <c r="G458" s="174" t="inlineStr">
        <is>
          <t>Home</t>
        </is>
      </c>
      <c r="H458" s="176">
        <f>E173</f>
        <v/>
      </c>
      <c r="I458" s="157">
        <f>F173</f>
        <v/>
      </c>
      <c r="J458" s="177">
        <f>J173</f>
        <v/>
      </c>
      <c r="K458" s="156">
        <f>IF(AND(F458=0,I458=0),"",IF(F458&gt;I458,B458&amp;E458,IF(F458&lt;I458,B458&amp;H458,"Tie")))</f>
        <v/>
      </c>
      <c r="L458" s="156">
        <f>IFERROR(IF(AND(B458&lt;$L$1,F458&gt;I458),"Win",IF(AND(B458&lt;$L$1,F458&lt;I458),"Loss","")),"")</f>
        <v/>
      </c>
      <c r="M458" s="156">
        <f>IF(B458&lt;_CurWeek,"In","")</f>
        <v/>
      </c>
      <c r="N458" s="156">
        <f>IF(M458="In",E458&amp;G458,"")</f>
        <v/>
      </c>
      <c r="O458" s="156">
        <f>IF(L458="Win",1,0)</f>
        <v/>
      </c>
    </row>
    <row r="459" ht="14.4" customHeight="1" s="152">
      <c r="A459" s="167">
        <f>B459&amp;E459</f>
        <v/>
      </c>
      <c r="B459" s="174">
        <f>B174</f>
        <v/>
      </c>
      <c r="C459" s="174">
        <f>C174</f>
        <v/>
      </c>
      <c r="D459" s="174">
        <f>D174</f>
        <v/>
      </c>
      <c r="E459" s="174">
        <f>H174</f>
        <v/>
      </c>
      <c r="F459" s="157">
        <f>I174</f>
        <v/>
      </c>
      <c r="G459" s="174" t="inlineStr">
        <is>
          <t>Home</t>
        </is>
      </c>
      <c r="H459" s="176">
        <f>E174</f>
        <v/>
      </c>
      <c r="I459" s="157">
        <f>F174</f>
        <v/>
      </c>
      <c r="J459" s="177">
        <f>J174</f>
        <v/>
      </c>
      <c r="K459" s="156">
        <f>IF(AND(F459=0,I459=0),"",IF(F459&gt;I459,B459&amp;E459,IF(F459&lt;I459,B459&amp;H459,"Tie")))</f>
        <v/>
      </c>
      <c r="L459" s="156">
        <f>IFERROR(IF(AND(B459&lt;$L$1,F459&gt;I459),"Win",IF(AND(B459&lt;$L$1,F459&lt;I459),"Loss","")),"")</f>
        <v/>
      </c>
      <c r="M459" s="156">
        <f>IF(B459&lt;_CurWeek,"In","")</f>
        <v/>
      </c>
      <c r="N459" s="156">
        <f>IF(M459="In",E459&amp;G459,"")</f>
        <v/>
      </c>
      <c r="O459" s="156">
        <f>IF(L459="Win",1,0)</f>
        <v/>
      </c>
    </row>
    <row r="460" ht="14.4" customHeight="1" s="152">
      <c r="A460" s="167">
        <f>B460&amp;E460</f>
        <v/>
      </c>
      <c r="B460" s="174">
        <f>B175</f>
        <v/>
      </c>
      <c r="C460" s="174">
        <f>C175</f>
        <v/>
      </c>
      <c r="D460" s="174">
        <f>D175</f>
        <v/>
      </c>
      <c r="E460" s="174">
        <f>H175</f>
        <v/>
      </c>
      <c r="F460" s="157">
        <f>I175</f>
        <v/>
      </c>
      <c r="G460" s="174" t="inlineStr">
        <is>
          <t>Home</t>
        </is>
      </c>
      <c r="H460" s="176">
        <f>E175</f>
        <v/>
      </c>
      <c r="I460" s="157">
        <f>F175</f>
        <v/>
      </c>
      <c r="J460" s="177">
        <f>J175</f>
        <v/>
      </c>
      <c r="K460" s="156">
        <f>IF(AND(F460=0,I460=0),"",IF(F460&gt;I460,B460&amp;E460,IF(F460&lt;I460,B460&amp;H460,"Tie")))</f>
        <v/>
      </c>
      <c r="L460" s="156">
        <f>IFERROR(IF(AND(B460&lt;$L$1,F460&gt;I460),"Win",IF(AND(B460&lt;$L$1,F460&lt;I460),"Loss","")),"")</f>
        <v/>
      </c>
      <c r="M460" s="156">
        <f>IF(B460&lt;_CurWeek,"In","")</f>
        <v/>
      </c>
      <c r="N460" s="156">
        <f>IF(M460="In",E460&amp;G460,"")</f>
        <v/>
      </c>
      <c r="O460" s="156">
        <f>IF(L460="Win",1,0)</f>
        <v/>
      </c>
    </row>
    <row r="461" ht="14.4" customHeight="1" s="152">
      <c r="A461" s="167">
        <f>B461&amp;E461</f>
        <v/>
      </c>
      <c r="B461" s="174">
        <f>B176</f>
        <v/>
      </c>
      <c r="C461" s="174">
        <f>C176</f>
        <v/>
      </c>
      <c r="D461" s="174">
        <f>D176</f>
        <v/>
      </c>
      <c r="E461" s="174">
        <f>H176</f>
        <v/>
      </c>
      <c r="F461" s="157">
        <f>I176</f>
        <v/>
      </c>
      <c r="G461" s="174" t="inlineStr">
        <is>
          <t>Home</t>
        </is>
      </c>
      <c r="H461" s="176">
        <f>E176</f>
        <v/>
      </c>
      <c r="I461" s="157">
        <f>F176</f>
        <v/>
      </c>
      <c r="J461" s="177">
        <f>J176</f>
        <v/>
      </c>
      <c r="K461" s="156">
        <f>IF(AND(F461=0,I461=0),"",IF(F461&gt;I461,B461&amp;E461,IF(F461&lt;I461,B461&amp;H461,"Tie")))</f>
        <v/>
      </c>
      <c r="L461" s="156">
        <f>IFERROR(IF(AND(B461&lt;$L$1,F461&gt;I461),"Win",IF(AND(B461&lt;$L$1,F461&lt;I461),"Loss","")),"")</f>
        <v/>
      </c>
      <c r="M461" s="156">
        <f>IF(B461&lt;_CurWeek,"In","")</f>
        <v/>
      </c>
      <c r="N461" s="156">
        <f>IF(M461="In",E461&amp;G461,"")</f>
        <v/>
      </c>
      <c r="O461" s="156">
        <f>IF(L461="Win",1,0)</f>
        <v/>
      </c>
    </row>
    <row r="462" ht="14.4" customHeight="1" s="152">
      <c r="A462" s="167">
        <f>B462&amp;E462</f>
        <v/>
      </c>
      <c r="B462" s="174">
        <f>B177</f>
        <v/>
      </c>
      <c r="C462" s="174">
        <f>C177</f>
        <v/>
      </c>
      <c r="D462" s="174">
        <f>D177</f>
        <v/>
      </c>
      <c r="E462" s="174">
        <f>H177</f>
        <v/>
      </c>
      <c r="F462" s="157">
        <f>I177</f>
        <v/>
      </c>
      <c r="G462" s="174" t="inlineStr">
        <is>
          <t>Home</t>
        </is>
      </c>
      <c r="H462" s="176">
        <f>E177</f>
        <v/>
      </c>
      <c r="I462" s="157">
        <f>F177</f>
        <v/>
      </c>
      <c r="J462" s="177">
        <f>J177</f>
        <v/>
      </c>
      <c r="K462" s="156">
        <f>IF(AND(F462=0,I462=0),"",IF(F462&gt;I462,B462&amp;E462,IF(F462&lt;I462,B462&amp;H462,"Tie")))</f>
        <v/>
      </c>
      <c r="L462" s="156">
        <f>IFERROR(IF(AND(B462&lt;$L$1,F462&gt;I462),"Win",IF(AND(B462&lt;$L$1,F462&lt;I462),"Loss","")),"")</f>
        <v/>
      </c>
      <c r="M462" s="156">
        <f>IF(B462&lt;_CurWeek,"In","")</f>
        <v/>
      </c>
      <c r="N462" s="156">
        <f>IF(M462="In",E462&amp;G462,"")</f>
        <v/>
      </c>
      <c r="O462" s="156">
        <f>IF(L462="Win",1,0)</f>
        <v/>
      </c>
    </row>
    <row r="463" ht="14.4" customHeight="1" s="152">
      <c r="A463" s="167">
        <f>B463&amp;E463</f>
        <v/>
      </c>
      <c r="B463" s="174">
        <f>B178</f>
        <v/>
      </c>
      <c r="C463" s="174">
        <f>C178</f>
        <v/>
      </c>
      <c r="D463" s="174">
        <f>D178</f>
        <v/>
      </c>
      <c r="E463" s="174">
        <f>H178</f>
        <v/>
      </c>
      <c r="F463" s="157">
        <f>I178</f>
        <v/>
      </c>
      <c r="G463" s="174" t="inlineStr">
        <is>
          <t>Home</t>
        </is>
      </c>
      <c r="H463" s="176">
        <f>E178</f>
        <v/>
      </c>
      <c r="I463" s="157">
        <f>F178</f>
        <v/>
      </c>
      <c r="J463" s="177">
        <f>J178</f>
        <v/>
      </c>
      <c r="K463" s="156">
        <f>IF(AND(F463=0,I463=0),"",IF(F463&gt;I463,B463&amp;E463,IF(F463&lt;I463,B463&amp;H463,"Tie")))</f>
        <v/>
      </c>
      <c r="L463" s="156">
        <f>IFERROR(IF(AND(B463&lt;$L$1,F463&gt;I463),"Win",IF(AND(B463&lt;$L$1,F463&lt;I463),"Loss","")),"")</f>
        <v/>
      </c>
      <c r="M463" s="156">
        <f>IF(B463&lt;_CurWeek,"In","")</f>
        <v/>
      </c>
      <c r="N463" s="156">
        <f>IF(M463="In",E463&amp;G463,"")</f>
        <v/>
      </c>
      <c r="O463" s="156">
        <f>IF(L463="Win",1,0)</f>
        <v/>
      </c>
    </row>
    <row r="464" ht="14.4" customHeight="1" s="152">
      <c r="A464" s="167">
        <f>B464&amp;E464</f>
        <v/>
      </c>
      <c r="B464" s="174">
        <f>B179</f>
        <v/>
      </c>
      <c r="C464" s="174">
        <f>C179</f>
        <v/>
      </c>
      <c r="D464" s="174">
        <f>D179</f>
        <v/>
      </c>
      <c r="E464" s="174">
        <f>H179</f>
        <v/>
      </c>
      <c r="F464" s="157">
        <f>I179</f>
        <v/>
      </c>
      <c r="G464" s="174" t="inlineStr">
        <is>
          <t>Home</t>
        </is>
      </c>
      <c r="H464" s="176">
        <f>E179</f>
        <v/>
      </c>
      <c r="I464" s="157">
        <f>F179</f>
        <v/>
      </c>
      <c r="J464" s="177">
        <f>J179</f>
        <v/>
      </c>
      <c r="K464" s="156">
        <f>IF(AND(F464=0,I464=0),"",IF(F464&gt;I464,B464&amp;E464,IF(F464&lt;I464,B464&amp;H464,"Tie")))</f>
        <v/>
      </c>
      <c r="L464" s="156">
        <f>IFERROR(IF(AND(B464&lt;$L$1,F464&gt;I464),"Win",IF(AND(B464&lt;$L$1,F464&lt;I464),"Loss","")),"")</f>
        <v/>
      </c>
      <c r="M464" s="156">
        <f>IF(B464&lt;_CurWeek,"In","")</f>
        <v/>
      </c>
      <c r="N464" s="156">
        <f>IF(M464="In",E464&amp;G464,"")</f>
        <v/>
      </c>
      <c r="O464" s="156">
        <f>IF(L464="Win",1,0)</f>
        <v/>
      </c>
    </row>
    <row r="465" ht="14.4" customHeight="1" s="152">
      <c r="A465" s="167">
        <f>B465&amp;E465</f>
        <v/>
      </c>
      <c r="B465" s="174">
        <f>B180</f>
        <v/>
      </c>
      <c r="C465" s="174">
        <f>C180</f>
        <v/>
      </c>
      <c r="D465" s="174">
        <f>D180</f>
        <v/>
      </c>
      <c r="E465" s="174">
        <f>H180</f>
        <v/>
      </c>
      <c r="F465" s="157">
        <f>I180</f>
        <v/>
      </c>
      <c r="G465" s="174" t="inlineStr">
        <is>
          <t>Home</t>
        </is>
      </c>
      <c r="H465" s="176">
        <f>E180</f>
        <v/>
      </c>
      <c r="I465" s="157">
        <f>F180</f>
        <v/>
      </c>
      <c r="J465" s="177">
        <f>J180</f>
        <v/>
      </c>
      <c r="K465" s="156">
        <f>IF(AND(F465=0,I465=0),"",IF(F465&gt;I465,B465&amp;E465,IF(F465&lt;I465,B465&amp;H465,"Tie")))</f>
        <v/>
      </c>
      <c r="L465" s="156">
        <f>IFERROR(IF(AND(B465&lt;$L$1,F465&gt;I465),"Win",IF(AND(B465&lt;$L$1,F465&lt;I465),"Loss","")),"")</f>
        <v/>
      </c>
      <c r="M465" s="156">
        <f>IF(B465&lt;_CurWeek,"In","")</f>
        <v/>
      </c>
      <c r="N465" s="156">
        <f>IF(M465="In",E465&amp;G465,"")</f>
        <v/>
      </c>
      <c r="O465" s="156">
        <f>IF(L465="Win",1,0)</f>
        <v/>
      </c>
    </row>
    <row r="466" ht="14.4" customHeight="1" s="152">
      <c r="A466" s="167">
        <f>B466&amp;E466</f>
        <v/>
      </c>
      <c r="B466" s="174">
        <f>B181</f>
        <v/>
      </c>
      <c r="C466" s="174">
        <f>C181</f>
        <v/>
      </c>
      <c r="D466" s="174">
        <f>D181</f>
        <v/>
      </c>
      <c r="E466" s="174">
        <f>H181</f>
        <v/>
      </c>
      <c r="F466" s="157">
        <f>I181</f>
        <v/>
      </c>
      <c r="G466" s="174" t="inlineStr">
        <is>
          <t>Home</t>
        </is>
      </c>
      <c r="H466" s="176">
        <f>E181</f>
        <v/>
      </c>
      <c r="I466" s="157">
        <f>F181</f>
        <v/>
      </c>
      <c r="J466" s="177">
        <f>J181</f>
        <v/>
      </c>
      <c r="K466" s="156">
        <f>IF(AND(F466=0,I466=0),"",IF(F466&gt;I466,B466&amp;E466,IF(F466&lt;I466,B466&amp;H466,"Tie")))</f>
        <v/>
      </c>
      <c r="L466" s="156">
        <f>IFERROR(IF(AND(B466&lt;$L$1,F466&gt;I466),"Win",IF(AND(B466&lt;$L$1,F466&lt;I466),"Loss","")),"")</f>
        <v/>
      </c>
      <c r="M466" s="156">
        <f>IF(B466&lt;_CurWeek,"In","")</f>
        <v/>
      </c>
      <c r="N466" s="156">
        <f>IF(M466="In",E466&amp;G466,"")</f>
        <v/>
      </c>
      <c r="O466" s="156">
        <f>IF(L466="Win",1,0)</f>
        <v/>
      </c>
    </row>
    <row r="467" ht="14.4" customHeight="1" s="152">
      <c r="A467" s="167">
        <f>B467&amp;E467</f>
        <v/>
      </c>
      <c r="B467" s="174">
        <f>B182</f>
        <v/>
      </c>
      <c r="C467" s="174">
        <f>C182</f>
        <v/>
      </c>
      <c r="D467" s="174">
        <f>D182</f>
        <v/>
      </c>
      <c r="E467" s="174">
        <f>H182</f>
        <v/>
      </c>
      <c r="F467" s="157">
        <f>I182</f>
        <v/>
      </c>
      <c r="G467" s="174" t="inlineStr">
        <is>
          <t>Home</t>
        </is>
      </c>
      <c r="H467" s="176">
        <f>E182</f>
        <v/>
      </c>
      <c r="I467" s="157">
        <f>F182</f>
        <v/>
      </c>
      <c r="J467" s="177">
        <f>J182</f>
        <v/>
      </c>
      <c r="K467" s="156">
        <f>IF(AND(F467=0,I467=0),"",IF(F467&gt;I467,B467&amp;E467,IF(F467&lt;I467,B467&amp;H467,"Tie")))</f>
        <v/>
      </c>
      <c r="L467" s="156">
        <f>IFERROR(IF(AND(B467&lt;$L$1,F467&gt;I467),"Win",IF(AND(B467&lt;$L$1,F467&lt;I467),"Loss","")),"")</f>
        <v/>
      </c>
      <c r="M467" s="156">
        <f>IF(B467&lt;_CurWeek,"In","")</f>
        <v/>
      </c>
      <c r="N467" s="156">
        <f>IF(M467="In",E467&amp;G467,"")</f>
        <v/>
      </c>
      <c r="O467" s="156">
        <f>IF(L467="Win",1,0)</f>
        <v/>
      </c>
    </row>
    <row r="468" ht="14.4" customHeight="1" s="152">
      <c r="A468" s="167">
        <f>B468&amp;E468</f>
        <v/>
      </c>
      <c r="B468" s="174">
        <f>B183</f>
        <v/>
      </c>
      <c r="C468" s="174">
        <f>C183</f>
        <v/>
      </c>
      <c r="D468" s="174">
        <f>D183</f>
        <v/>
      </c>
      <c r="E468" s="174">
        <f>H183</f>
        <v/>
      </c>
      <c r="F468" s="157">
        <f>I183</f>
        <v/>
      </c>
      <c r="G468" s="174" t="inlineStr">
        <is>
          <t>Home</t>
        </is>
      </c>
      <c r="H468" s="176">
        <f>E183</f>
        <v/>
      </c>
      <c r="I468" s="157">
        <f>F183</f>
        <v/>
      </c>
      <c r="J468" s="177">
        <f>J183</f>
        <v/>
      </c>
      <c r="K468" s="156">
        <f>IF(AND(F468=0,I468=0),"",IF(F468&gt;I468,B468&amp;E468,IF(F468&lt;I468,B468&amp;H468,"Tie")))</f>
        <v/>
      </c>
      <c r="L468" s="156">
        <f>IFERROR(IF(AND(B468&lt;$L$1,F468&gt;I468),"Win",IF(AND(B468&lt;$L$1,F468&lt;I468),"Loss","")),"")</f>
        <v/>
      </c>
      <c r="M468" s="156">
        <f>IF(B468&lt;_CurWeek,"In","")</f>
        <v/>
      </c>
      <c r="N468" s="156">
        <f>IF(M468="In",E468&amp;G468,"")</f>
        <v/>
      </c>
      <c r="O468" s="156">
        <f>IF(L468="Win",1,0)</f>
        <v/>
      </c>
    </row>
    <row r="469" ht="14.4" customHeight="1" s="152">
      <c r="A469" s="167">
        <f>B469&amp;E469</f>
        <v/>
      </c>
      <c r="B469" s="174">
        <f>B184</f>
        <v/>
      </c>
      <c r="C469" s="174">
        <f>C184</f>
        <v/>
      </c>
      <c r="D469" s="174">
        <f>D184</f>
        <v/>
      </c>
      <c r="E469" s="174">
        <f>H184</f>
        <v/>
      </c>
      <c r="F469" s="157">
        <f>I184</f>
        <v/>
      </c>
      <c r="G469" s="174" t="inlineStr">
        <is>
          <t>Home</t>
        </is>
      </c>
      <c r="H469" s="176">
        <f>E184</f>
        <v/>
      </c>
      <c r="I469" s="157">
        <f>F184</f>
        <v/>
      </c>
      <c r="J469" s="177">
        <f>J184</f>
        <v/>
      </c>
      <c r="K469" s="156">
        <f>IF(AND(F469=0,I469=0),"",IF(F469&gt;I469,B469&amp;E469,IF(F469&lt;I469,B469&amp;H469,"Tie")))</f>
        <v/>
      </c>
      <c r="L469" s="156">
        <f>IFERROR(IF(AND(B469&lt;$L$1,F469&gt;I469),"Win",IF(AND(B469&lt;$L$1,F469&lt;I469),"Loss","")),"")</f>
        <v/>
      </c>
      <c r="M469" s="156">
        <f>IF(B469&lt;_CurWeek,"In","")</f>
        <v/>
      </c>
      <c r="N469" s="156">
        <f>IF(M469="In",E469&amp;G469,"")</f>
        <v/>
      </c>
      <c r="O469" s="156">
        <f>IF(L469="Win",1,0)</f>
        <v/>
      </c>
    </row>
    <row r="470" ht="14.4" customHeight="1" s="152">
      <c r="A470" s="167">
        <f>B470&amp;E470</f>
        <v/>
      </c>
      <c r="B470" s="174">
        <f>B185</f>
        <v/>
      </c>
      <c r="C470" s="174">
        <f>C185</f>
        <v/>
      </c>
      <c r="D470" s="174">
        <f>D185</f>
        <v/>
      </c>
      <c r="E470" s="174">
        <f>H185</f>
        <v/>
      </c>
      <c r="F470" s="157">
        <f>I185</f>
        <v/>
      </c>
      <c r="G470" s="174" t="inlineStr">
        <is>
          <t>Home</t>
        </is>
      </c>
      <c r="H470" s="176">
        <f>E185</f>
        <v/>
      </c>
      <c r="I470" s="157">
        <f>F185</f>
        <v/>
      </c>
      <c r="J470" s="177">
        <f>J185</f>
        <v/>
      </c>
      <c r="K470" s="156">
        <f>IF(AND(F470=0,I470=0),"",IF(F470&gt;I470,B470&amp;E470,IF(F470&lt;I470,B470&amp;H470,"Tie")))</f>
        <v/>
      </c>
      <c r="L470" s="156">
        <f>IFERROR(IF(AND(B470&lt;$L$1,F470&gt;I470),"Win",IF(AND(B470&lt;$L$1,F470&lt;I470),"Loss","")),"")</f>
        <v/>
      </c>
      <c r="M470" s="156">
        <f>IF(B470&lt;_CurWeek,"In","")</f>
        <v/>
      </c>
      <c r="N470" s="156">
        <f>IF(M470="In",E470&amp;G470,"")</f>
        <v/>
      </c>
      <c r="O470" s="156">
        <f>IF(L470="Win",1,0)</f>
        <v/>
      </c>
    </row>
    <row r="471" ht="14.4" customHeight="1" s="152">
      <c r="A471" s="167">
        <f>B471&amp;E471</f>
        <v/>
      </c>
      <c r="B471" s="174">
        <f>B186</f>
        <v/>
      </c>
      <c r="C471" s="174">
        <f>C186</f>
        <v/>
      </c>
      <c r="D471" s="174">
        <f>D186</f>
        <v/>
      </c>
      <c r="E471" s="174">
        <f>H186</f>
        <v/>
      </c>
      <c r="F471" s="157">
        <f>I186</f>
        <v/>
      </c>
      <c r="G471" s="174" t="inlineStr">
        <is>
          <t>Home</t>
        </is>
      </c>
      <c r="H471" s="176">
        <f>E186</f>
        <v/>
      </c>
      <c r="I471" s="157">
        <f>F186</f>
        <v/>
      </c>
      <c r="J471" s="177">
        <f>J186</f>
        <v/>
      </c>
      <c r="K471" s="156">
        <f>IF(AND(F471=0,I471=0),"",IF(F471&gt;I471,B471&amp;E471,IF(F471&lt;I471,B471&amp;H471,"Tie")))</f>
        <v/>
      </c>
      <c r="L471" s="156">
        <f>IFERROR(IF(AND(B471&lt;$L$1,F471&gt;I471),"Win",IF(AND(B471&lt;$L$1,F471&lt;I471),"Loss","")),"")</f>
        <v/>
      </c>
      <c r="M471" s="156">
        <f>IF(B471&lt;_CurWeek,"In","")</f>
        <v/>
      </c>
      <c r="N471" s="156">
        <f>IF(M471="In",E471&amp;G471,"")</f>
        <v/>
      </c>
      <c r="O471" s="156">
        <f>IF(L471="Win",1,0)</f>
        <v/>
      </c>
    </row>
    <row r="472" ht="14.4" customHeight="1" s="152">
      <c r="A472" s="167">
        <f>B472&amp;E472</f>
        <v/>
      </c>
      <c r="B472" s="174">
        <f>B187</f>
        <v/>
      </c>
      <c r="C472" s="174">
        <f>C187</f>
        <v/>
      </c>
      <c r="D472" s="174">
        <f>D187</f>
        <v/>
      </c>
      <c r="E472" s="174">
        <f>H187</f>
        <v/>
      </c>
      <c r="F472" s="157">
        <f>I187</f>
        <v/>
      </c>
      <c r="G472" s="174" t="inlineStr">
        <is>
          <t>Home</t>
        </is>
      </c>
      <c r="H472" s="176">
        <f>E187</f>
        <v/>
      </c>
      <c r="I472" s="157">
        <f>F187</f>
        <v/>
      </c>
      <c r="J472" s="177">
        <f>J187</f>
        <v/>
      </c>
      <c r="K472" s="156">
        <f>IF(AND(F472=0,I472=0),"",IF(F472&gt;I472,B472&amp;E472,IF(F472&lt;I472,B472&amp;H472,"Tie")))</f>
        <v/>
      </c>
      <c r="L472" s="156">
        <f>IFERROR(IF(AND(B472&lt;$L$1,F472&gt;I472),"Win",IF(AND(B472&lt;$L$1,F472&lt;I472),"Loss","")),"")</f>
        <v/>
      </c>
      <c r="M472" s="156">
        <f>IF(B472&lt;_CurWeek,"In","")</f>
        <v/>
      </c>
      <c r="N472" s="156">
        <f>IF(M472="In",E472&amp;G472,"")</f>
        <v/>
      </c>
      <c r="O472" s="156">
        <f>IF(L472="Win",1,0)</f>
        <v/>
      </c>
    </row>
    <row r="473" ht="14.4" customHeight="1" s="152">
      <c r="A473" s="167">
        <f>B473&amp;E473</f>
        <v/>
      </c>
      <c r="B473" s="174">
        <f>B188</f>
        <v/>
      </c>
      <c r="C473" s="174">
        <f>C188</f>
        <v/>
      </c>
      <c r="D473" s="174">
        <f>D188</f>
        <v/>
      </c>
      <c r="E473" s="174">
        <f>H188</f>
        <v/>
      </c>
      <c r="F473" s="157">
        <f>I188</f>
        <v/>
      </c>
      <c r="G473" s="174" t="inlineStr">
        <is>
          <t>Home</t>
        </is>
      </c>
      <c r="H473" s="176">
        <f>E188</f>
        <v/>
      </c>
      <c r="I473" s="157">
        <f>F188</f>
        <v/>
      </c>
      <c r="J473" s="177">
        <f>J188</f>
        <v/>
      </c>
      <c r="K473" s="156">
        <f>IF(AND(F473=0,I473=0),"",IF(F473&gt;I473,B473&amp;E473,IF(F473&lt;I473,B473&amp;H473,"Tie")))</f>
        <v/>
      </c>
      <c r="L473" s="156">
        <f>IFERROR(IF(AND(B473&lt;$L$1,F473&gt;I473),"Win",IF(AND(B473&lt;$L$1,F473&lt;I473),"Loss","")),"")</f>
        <v/>
      </c>
      <c r="M473" s="156">
        <f>IF(B473&lt;_CurWeek,"In","")</f>
        <v/>
      </c>
      <c r="N473" s="156">
        <f>IF(M473="In",E473&amp;G473,"")</f>
        <v/>
      </c>
      <c r="O473" s="156">
        <f>IF(L473="Win",1,0)</f>
        <v/>
      </c>
    </row>
    <row r="474" ht="14.4" customHeight="1" s="152">
      <c r="A474" s="167">
        <f>B474&amp;E474</f>
        <v/>
      </c>
      <c r="B474" s="174">
        <f>B189</f>
        <v/>
      </c>
      <c r="C474" s="174">
        <f>C189</f>
        <v/>
      </c>
      <c r="D474" s="174">
        <f>D189</f>
        <v/>
      </c>
      <c r="E474" s="174">
        <f>H189</f>
        <v/>
      </c>
      <c r="F474" s="157">
        <f>I189</f>
        <v/>
      </c>
      <c r="G474" s="174" t="inlineStr">
        <is>
          <t>Home</t>
        </is>
      </c>
      <c r="H474" s="176">
        <f>E189</f>
        <v/>
      </c>
      <c r="I474" s="157">
        <f>F189</f>
        <v/>
      </c>
      <c r="J474" s="177">
        <f>J189</f>
        <v/>
      </c>
      <c r="K474" s="156">
        <f>IF(AND(F474=0,I474=0),"",IF(F474&gt;I474,B474&amp;E474,IF(F474&lt;I474,B474&amp;H474,"Tie")))</f>
        <v/>
      </c>
      <c r="L474" s="156">
        <f>IFERROR(IF(AND(B474&lt;$L$1,F474&gt;I474),"Win",IF(AND(B474&lt;$L$1,F474&lt;I474),"Loss","")),"")</f>
        <v/>
      </c>
      <c r="M474" s="156">
        <f>IF(B474&lt;_CurWeek,"In","")</f>
        <v/>
      </c>
      <c r="N474" s="156">
        <f>IF(M474="In",E474&amp;G474,"")</f>
        <v/>
      </c>
      <c r="O474" s="156">
        <f>IF(L474="Win",1,0)</f>
        <v/>
      </c>
    </row>
    <row r="475" ht="14.4" customHeight="1" s="152">
      <c r="A475" s="167">
        <f>B475&amp;E475</f>
        <v/>
      </c>
      <c r="B475" s="174">
        <f>B190</f>
        <v/>
      </c>
      <c r="C475" s="174">
        <f>C190</f>
        <v/>
      </c>
      <c r="D475" s="174">
        <f>D190</f>
        <v/>
      </c>
      <c r="E475" s="174">
        <f>H190</f>
        <v/>
      </c>
      <c r="F475" s="157">
        <f>I190</f>
        <v/>
      </c>
      <c r="G475" s="174" t="inlineStr">
        <is>
          <t>Home</t>
        </is>
      </c>
      <c r="H475" s="176">
        <f>E190</f>
        <v/>
      </c>
      <c r="I475" s="157">
        <f>F190</f>
        <v/>
      </c>
      <c r="J475" s="177">
        <f>J190</f>
        <v/>
      </c>
      <c r="K475" s="156">
        <f>IF(AND(F475=0,I475=0),"",IF(F475&gt;I475,B475&amp;E475,IF(F475&lt;I475,B475&amp;H475,"Tie")))</f>
        <v/>
      </c>
      <c r="L475" s="156">
        <f>IFERROR(IF(AND(B475&lt;$L$1,F475&gt;I475),"Win",IF(AND(B475&lt;$L$1,F475&lt;I475),"Loss","")),"")</f>
        <v/>
      </c>
      <c r="M475" s="156">
        <f>IF(B475&lt;_CurWeek,"In","")</f>
        <v/>
      </c>
      <c r="N475" s="156">
        <f>IF(M475="In",E475&amp;G475,"")</f>
        <v/>
      </c>
      <c r="O475" s="156">
        <f>IF(L475="Win",1,0)</f>
        <v/>
      </c>
    </row>
    <row r="476" ht="14.4" customHeight="1" s="152">
      <c r="A476" s="167">
        <f>B476&amp;E476</f>
        <v/>
      </c>
      <c r="B476" s="174">
        <f>B191</f>
        <v/>
      </c>
      <c r="C476" s="174">
        <f>C191</f>
        <v/>
      </c>
      <c r="D476" s="174">
        <f>D191</f>
        <v/>
      </c>
      <c r="E476" s="174">
        <f>H191</f>
        <v/>
      </c>
      <c r="F476" s="157">
        <f>I191</f>
        <v/>
      </c>
      <c r="G476" s="174" t="inlineStr">
        <is>
          <t>Home</t>
        </is>
      </c>
      <c r="H476" s="176">
        <f>E191</f>
        <v/>
      </c>
      <c r="I476" s="157">
        <f>F191</f>
        <v/>
      </c>
      <c r="J476" s="177">
        <f>J191</f>
        <v/>
      </c>
      <c r="K476" s="156">
        <f>IF(AND(F476=0,I476=0),"",IF(F476&gt;I476,B476&amp;E476,IF(F476&lt;I476,B476&amp;H476,"Tie")))</f>
        <v/>
      </c>
      <c r="L476" s="156">
        <f>IFERROR(IF(AND(B476&lt;$L$1,F476&gt;I476),"Win",IF(AND(B476&lt;$L$1,F476&lt;I476),"Loss","")),"")</f>
        <v/>
      </c>
      <c r="M476" s="156">
        <f>IF(B476&lt;_CurWeek,"In","")</f>
        <v/>
      </c>
      <c r="N476" s="156">
        <f>IF(M476="In",E476&amp;G476,"")</f>
        <v/>
      </c>
      <c r="O476" s="156">
        <f>IF(L476="Win",1,0)</f>
        <v/>
      </c>
    </row>
    <row r="477" ht="14.4" customHeight="1" s="152">
      <c r="A477" s="167">
        <f>B477&amp;E477</f>
        <v/>
      </c>
      <c r="B477" s="174">
        <f>B192</f>
        <v/>
      </c>
      <c r="C477" s="174">
        <f>C192</f>
        <v/>
      </c>
      <c r="D477" s="174">
        <f>D192</f>
        <v/>
      </c>
      <c r="E477" s="174">
        <f>H192</f>
        <v/>
      </c>
      <c r="F477" s="157">
        <f>I192</f>
        <v/>
      </c>
      <c r="G477" s="174" t="inlineStr">
        <is>
          <t>Home</t>
        </is>
      </c>
      <c r="H477" s="176">
        <f>E192</f>
        <v/>
      </c>
      <c r="I477" s="157">
        <f>F192</f>
        <v/>
      </c>
      <c r="J477" s="177">
        <f>J192</f>
        <v/>
      </c>
      <c r="K477" s="156">
        <f>IF(AND(F477=0,I477=0),"",IF(F477&gt;I477,B477&amp;E477,IF(F477&lt;I477,B477&amp;H477,"Tie")))</f>
        <v/>
      </c>
      <c r="L477" s="156">
        <f>IFERROR(IF(AND(B477&lt;$L$1,F477&gt;I477),"Win",IF(AND(B477&lt;$L$1,F477&lt;I477),"Loss","")),"")</f>
        <v/>
      </c>
      <c r="M477" s="156">
        <f>IF(B477&lt;_CurWeek,"In","")</f>
        <v/>
      </c>
      <c r="N477" s="156">
        <f>IF(M477="In",E477&amp;G477,"")</f>
        <v/>
      </c>
      <c r="O477" s="156">
        <f>IF(L477="Win",1,0)</f>
        <v/>
      </c>
    </row>
    <row r="478" ht="14.4" customHeight="1" s="152">
      <c r="A478" s="167">
        <f>B478&amp;E478</f>
        <v/>
      </c>
      <c r="B478" s="174">
        <f>B193</f>
        <v/>
      </c>
      <c r="C478" s="174">
        <f>C193</f>
        <v/>
      </c>
      <c r="D478" s="174">
        <f>D193</f>
        <v/>
      </c>
      <c r="E478" s="174">
        <f>H193</f>
        <v/>
      </c>
      <c r="F478" s="157">
        <f>I193</f>
        <v/>
      </c>
      <c r="G478" s="174" t="inlineStr">
        <is>
          <t>Home</t>
        </is>
      </c>
      <c r="H478" s="176">
        <f>E193</f>
        <v/>
      </c>
      <c r="I478" s="157">
        <f>F193</f>
        <v/>
      </c>
      <c r="J478" s="177">
        <f>J193</f>
        <v/>
      </c>
      <c r="K478" s="156">
        <f>IF(AND(F478=0,I478=0),"",IF(F478&gt;I478,B478&amp;E478,IF(F478&lt;I478,B478&amp;H478,"Tie")))</f>
        <v/>
      </c>
      <c r="L478" s="156">
        <f>IFERROR(IF(AND(B478&lt;$L$1,F478&gt;I478),"Win",IF(AND(B478&lt;$L$1,F478&lt;I478),"Loss","")),"")</f>
        <v/>
      </c>
      <c r="M478" s="156">
        <f>IF(B478&lt;_CurWeek,"In","")</f>
        <v/>
      </c>
      <c r="N478" s="156">
        <f>IF(M478="In",E478&amp;G478,"")</f>
        <v/>
      </c>
      <c r="O478" s="156">
        <f>IF(L478="Win",1,0)</f>
        <v/>
      </c>
    </row>
    <row r="479" ht="14.4" customHeight="1" s="152">
      <c r="A479" s="167">
        <f>B479&amp;E479</f>
        <v/>
      </c>
      <c r="B479" s="174">
        <f>B194</f>
        <v/>
      </c>
      <c r="C479" s="174">
        <f>C194</f>
        <v/>
      </c>
      <c r="D479" s="174">
        <f>D194</f>
        <v/>
      </c>
      <c r="E479" s="174">
        <f>H194</f>
        <v/>
      </c>
      <c r="F479" s="157">
        <f>I194</f>
        <v/>
      </c>
      <c r="G479" s="174" t="inlineStr">
        <is>
          <t>Home</t>
        </is>
      </c>
      <c r="H479" s="176">
        <f>E194</f>
        <v/>
      </c>
      <c r="I479" s="157">
        <f>F194</f>
        <v/>
      </c>
      <c r="J479" s="177">
        <f>J194</f>
        <v/>
      </c>
      <c r="K479" s="156">
        <f>IF(AND(F479=0,I479=0),"",IF(F479&gt;I479,B479&amp;E479,IF(F479&lt;I479,B479&amp;H479,"Tie")))</f>
        <v/>
      </c>
      <c r="L479" s="156">
        <f>IFERROR(IF(AND(B479&lt;$L$1,F479&gt;I479),"Win",IF(AND(B479&lt;$L$1,F479&lt;I479),"Loss","")),"")</f>
        <v/>
      </c>
      <c r="M479" s="156">
        <f>IF(B479&lt;_CurWeek,"In","")</f>
        <v/>
      </c>
      <c r="N479" s="156">
        <f>IF(M479="In",E479&amp;G479,"")</f>
        <v/>
      </c>
      <c r="O479" s="156">
        <f>IF(L479="Win",1,0)</f>
        <v/>
      </c>
    </row>
    <row r="480" ht="14.4" customHeight="1" s="152">
      <c r="A480" s="167">
        <f>B480&amp;E480</f>
        <v/>
      </c>
      <c r="B480" s="174">
        <f>B195</f>
        <v/>
      </c>
      <c r="C480" s="174">
        <f>C195</f>
        <v/>
      </c>
      <c r="D480" s="174">
        <f>D195</f>
        <v/>
      </c>
      <c r="E480" s="174">
        <f>H195</f>
        <v/>
      </c>
      <c r="F480" s="157">
        <f>I195</f>
        <v/>
      </c>
      <c r="G480" s="174" t="inlineStr">
        <is>
          <t>Home</t>
        </is>
      </c>
      <c r="H480" s="176">
        <f>E195</f>
        <v/>
      </c>
      <c r="I480" s="157">
        <f>F195</f>
        <v/>
      </c>
      <c r="J480" s="177">
        <f>J195</f>
        <v/>
      </c>
      <c r="K480" s="156">
        <f>IF(AND(F480=0,I480=0),"",IF(F480&gt;I480,B480&amp;E480,IF(F480&lt;I480,B480&amp;H480,"Tie")))</f>
        <v/>
      </c>
      <c r="L480" s="156">
        <f>IFERROR(IF(AND(B480&lt;$L$1,F480&gt;I480),"Win",IF(AND(B480&lt;$L$1,F480&lt;I480),"Loss","")),"")</f>
        <v/>
      </c>
      <c r="M480" s="156">
        <f>IF(B480&lt;_CurWeek,"In","")</f>
        <v/>
      </c>
      <c r="N480" s="156">
        <f>IF(M480="In",E480&amp;G480,"")</f>
        <v/>
      </c>
      <c r="O480" s="156">
        <f>IF(L480="Win",1,0)</f>
        <v/>
      </c>
    </row>
    <row r="481" ht="14.4" customHeight="1" s="152">
      <c r="A481" s="167">
        <f>B481&amp;E481</f>
        <v/>
      </c>
      <c r="B481" s="174">
        <f>B196</f>
        <v/>
      </c>
      <c r="C481" s="174">
        <f>C196</f>
        <v/>
      </c>
      <c r="D481" s="174">
        <f>D196</f>
        <v/>
      </c>
      <c r="E481" s="174">
        <f>H196</f>
        <v/>
      </c>
      <c r="F481" s="157">
        <f>I196</f>
        <v/>
      </c>
      <c r="G481" s="174" t="inlineStr">
        <is>
          <t>Home</t>
        </is>
      </c>
      <c r="H481" s="176">
        <f>E196</f>
        <v/>
      </c>
      <c r="I481" s="157">
        <f>F196</f>
        <v/>
      </c>
      <c r="J481" s="177">
        <f>J196</f>
        <v/>
      </c>
      <c r="K481" s="156">
        <f>IF(AND(F481=0,I481=0),"",IF(F481&gt;I481,B481&amp;E481,IF(F481&lt;I481,B481&amp;H481,"Tie")))</f>
        <v/>
      </c>
      <c r="L481" s="156">
        <f>IFERROR(IF(AND(B481&lt;$L$1,F481&gt;I481),"Win",IF(AND(B481&lt;$L$1,F481&lt;I481),"Loss","")),"")</f>
        <v/>
      </c>
      <c r="M481" s="156">
        <f>IF(B481&lt;_CurWeek,"In","")</f>
        <v/>
      </c>
      <c r="N481" s="156">
        <f>IF(M481="In",E481&amp;G481,"")</f>
        <v/>
      </c>
      <c r="O481" s="156">
        <f>IF(L481="Win",1,0)</f>
        <v/>
      </c>
    </row>
    <row r="482" ht="14.4" customHeight="1" s="152">
      <c r="A482" s="167">
        <f>B482&amp;E482</f>
        <v/>
      </c>
      <c r="B482" s="174">
        <f>B197</f>
        <v/>
      </c>
      <c r="C482" s="174">
        <f>C197</f>
        <v/>
      </c>
      <c r="D482" s="174">
        <f>D197</f>
        <v/>
      </c>
      <c r="E482" s="174">
        <f>H197</f>
        <v/>
      </c>
      <c r="F482" s="157">
        <f>I197</f>
        <v/>
      </c>
      <c r="G482" s="174" t="inlineStr">
        <is>
          <t>Home</t>
        </is>
      </c>
      <c r="H482" s="176">
        <f>E197</f>
        <v/>
      </c>
      <c r="I482" s="157">
        <f>F197</f>
        <v/>
      </c>
      <c r="J482" s="177">
        <f>J197</f>
        <v/>
      </c>
      <c r="K482" s="156">
        <f>IF(AND(F482=0,I482=0),"",IF(F482&gt;I482,B482&amp;E482,IF(F482&lt;I482,B482&amp;H482,"Tie")))</f>
        <v/>
      </c>
      <c r="L482" s="156">
        <f>IFERROR(IF(AND(B482&lt;$L$1,F482&gt;I482),"Win",IF(AND(B482&lt;$L$1,F482&lt;I482),"Loss","")),"")</f>
        <v/>
      </c>
      <c r="M482" s="156">
        <f>IF(B482&lt;_CurWeek,"In","")</f>
        <v/>
      </c>
      <c r="N482" s="156">
        <f>IF(M482="In",E482&amp;G482,"")</f>
        <v/>
      </c>
      <c r="O482" s="156">
        <f>IF(L482="Win",1,0)</f>
        <v/>
      </c>
    </row>
    <row r="483" ht="14.4" customHeight="1" s="152">
      <c r="A483" s="167">
        <f>B483&amp;E483</f>
        <v/>
      </c>
      <c r="B483" s="174">
        <f>B198</f>
        <v/>
      </c>
      <c r="C483" s="174">
        <f>C198</f>
        <v/>
      </c>
      <c r="D483" s="174">
        <f>D198</f>
        <v/>
      </c>
      <c r="E483" s="174">
        <f>H198</f>
        <v/>
      </c>
      <c r="F483" s="157">
        <f>I198</f>
        <v/>
      </c>
      <c r="G483" s="174" t="inlineStr">
        <is>
          <t>Home</t>
        </is>
      </c>
      <c r="H483" s="176">
        <f>E198</f>
        <v/>
      </c>
      <c r="I483" s="157">
        <f>F198</f>
        <v/>
      </c>
      <c r="J483" s="177">
        <f>J198</f>
        <v/>
      </c>
      <c r="K483" s="156">
        <f>IF(AND(F483=0,I483=0),"",IF(F483&gt;I483,B483&amp;E483,IF(F483&lt;I483,B483&amp;H483,"Tie")))</f>
        <v/>
      </c>
      <c r="L483" s="156">
        <f>IFERROR(IF(AND(B483&lt;$L$1,F483&gt;I483),"Win",IF(AND(B483&lt;$L$1,F483&lt;I483),"Loss","")),"")</f>
        <v/>
      </c>
      <c r="M483" s="156">
        <f>IF(B483&lt;_CurWeek,"In","")</f>
        <v/>
      </c>
      <c r="N483" s="156">
        <f>IF(M483="In",E483&amp;G483,"")</f>
        <v/>
      </c>
      <c r="O483" s="156">
        <f>IF(L483="Win",1,0)</f>
        <v/>
      </c>
    </row>
    <row r="484" ht="14.4" customHeight="1" s="152">
      <c r="A484" s="167">
        <f>B484&amp;E484</f>
        <v/>
      </c>
      <c r="B484" s="174">
        <f>B199</f>
        <v/>
      </c>
      <c r="C484" s="174">
        <f>C199</f>
        <v/>
      </c>
      <c r="D484" s="174">
        <f>D199</f>
        <v/>
      </c>
      <c r="E484" s="174">
        <f>H199</f>
        <v/>
      </c>
      <c r="F484" s="157">
        <f>I199</f>
        <v/>
      </c>
      <c r="G484" s="174" t="inlineStr">
        <is>
          <t>Home</t>
        </is>
      </c>
      <c r="H484" s="176">
        <f>E199</f>
        <v/>
      </c>
      <c r="I484" s="157">
        <f>F199</f>
        <v/>
      </c>
      <c r="J484" s="177">
        <f>J199</f>
        <v/>
      </c>
      <c r="K484" s="156">
        <f>IF(AND(F484=0,I484=0),"",IF(F484&gt;I484,B484&amp;E484,IF(F484&lt;I484,B484&amp;H484,"Tie")))</f>
        <v/>
      </c>
      <c r="L484" s="156">
        <f>IFERROR(IF(AND(B484&lt;$L$1,F484&gt;I484),"Win",IF(AND(B484&lt;$L$1,F484&lt;I484),"Loss","")),"")</f>
        <v/>
      </c>
      <c r="M484" s="156">
        <f>IF(B484&lt;_CurWeek,"In","")</f>
        <v/>
      </c>
      <c r="N484" s="156">
        <f>IF(M484="In",E484&amp;G484,"")</f>
        <v/>
      </c>
      <c r="O484" s="156">
        <f>IF(L484="Win",1,0)</f>
        <v/>
      </c>
    </row>
    <row r="485" ht="14.4" customHeight="1" s="152">
      <c r="A485" s="167">
        <f>B485&amp;E485</f>
        <v/>
      </c>
      <c r="B485" s="174">
        <f>B200</f>
        <v/>
      </c>
      <c r="C485" s="174">
        <f>C200</f>
        <v/>
      </c>
      <c r="D485" s="174">
        <f>D200</f>
        <v/>
      </c>
      <c r="E485" s="174">
        <f>H200</f>
        <v/>
      </c>
      <c r="F485" s="157">
        <f>I200</f>
        <v/>
      </c>
      <c r="G485" s="174" t="inlineStr">
        <is>
          <t>Home</t>
        </is>
      </c>
      <c r="H485" s="176">
        <f>E200</f>
        <v/>
      </c>
      <c r="I485" s="157">
        <f>F200</f>
        <v/>
      </c>
      <c r="J485" s="177">
        <f>J200</f>
        <v/>
      </c>
      <c r="K485" s="156">
        <f>IF(AND(F485=0,I485=0),"",IF(F485&gt;I485,B485&amp;E485,IF(F485&lt;I485,B485&amp;H485,"Tie")))</f>
        <v/>
      </c>
      <c r="L485" s="156">
        <f>IFERROR(IF(AND(B485&lt;$L$1,F485&gt;I485),"Win",IF(AND(B485&lt;$L$1,F485&lt;I485),"Loss","")),"")</f>
        <v/>
      </c>
      <c r="M485" s="156">
        <f>IF(B485&lt;_CurWeek,"In","")</f>
        <v/>
      </c>
      <c r="N485" s="156">
        <f>IF(M485="In",E485&amp;G485,"")</f>
        <v/>
      </c>
      <c r="O485" s="156">
        <f>IF(L485="Win",1,0)</f>
        <v/>
      </c>
    </row>
    <row r="486" ht="14.4" customHeight="1" s="152">
      <c r="A486" s="167">
        <f>B486&amp;E486</f>
        <v/>
      </c>
      <c r="B486" s="174">
        <f>B201</f>
        <v/>
      </c>
      <c r="C486" s="174">
        <f>C201</f>
        <v/>
      </c>
      <c r="D486" s="174">
        <f>D201</f>
        <v/>
      </c>
      <c r="E486" s="174">
        <f>H201</f>
        <v/>
      </c>
      <c r="F486" s="157">
        <f>I201</f>
        <v/>
      </c>
      <c r="G486" s="174" t="inlineStr">
        <is>
          <t>Home</t>
        </is>
      </c>
      <c r="H486" s="176">
        <f>E201</f>
        <v/>
      </c>
      <c r="I486" s="157">
        <f>F201</f>
        <v/>
      </c>
      <c r="J486" s="177">
        <f>J201</f>
        <v/>
      </c>
      <c r="K486" s="156">
        <f>IF(AND(F486=0,I486=0),"",IF(F486&gt;I486,B486&amp;E486,IF(F486&lt;I486,B486&amp;H486,"Tie")))</f>
        <v/>
      </c>
      <c r="L486" s="156">
        <f>IFERROR(IF(AND(B486&lt;$L$1,F486&gt;I486),"Win",IF(AND(B486&lt;$L$1,F486&lt;I486),"Loss","")),"")</f>
        <v/>
      </c>
      <c r="M486" s="156">
        <f>IF(B486&lt;_CurWeek,"In","")</f>
        <v/>
      </c>
      <c r="N486" s="156">
        <f>IF(M486="In",E486&amp;G486,"")</f>
        <v/>
      </c>
      <c r="O486" s="156">
        <f>IF(L486="Win",1,0)</f>
        <v/>
      </c>
    </row>
    <row r="487" ht="14.4" customHeight="1" s="152">
      <c r="A487" s="167">
        <f>B487&amp;E487</f>
        <v/>
      </c>
      <c r="B487" s="174">
        <f>B202</f>
        <v/>
      </c>
      <c r="C487" s="174">
        <f>C202</f>
        <v/>
      </c>
      <c r="D487" s="174">
        <f>D202</f>
        <v/>
      </c>
      <c r="E487" s="174">
        <f>H202</f>
        <v/>
      </c>
      <c r="F487" s="157">
        <f>I202</f>
        <v/>
      </c>
      <c r="G487" s="174" t="inlineStr">
        <is>
          <t>Home</t>
        </is>
      </c>
      <c r="H487" s="176">
        <f>E202</f>
        <v/>
      </c>
      <c r="I487" s="157">
        <f>F202</f>
        <v/>
      </c>
      <c r="J487" s="177">
        <f>J202</f>
        <v/>
      </c>
      <c r="K487" s="156">
        <f>IF(AND(F487=0,I487=0),"",IF(F487&gt;I487,B487&amp;E487,IF(F487&lt;I487,B487&amp;H487,"Tie")))</f>
        <v/>
      </c>
      <c r="L487" s="156">
        <f>IFERROR(IF(AND(B487&lt;$L$1,F487&gt;I487),"Win",IF(AND(B487&lt;$L$1,F487&lt;I487),"Loss","")),"")</f>
        <v/>
      </c>
      <c r="M487" s="156">
        <f>IF(B487&lt;_CurWeek,"In","")</f>
        <v/>
      </c>
      <c r="N487" s="156">
        <f>IF(M487="In",E487&amp;G487,"")</f>
        <v/>
      </c>
      <c r="O487" s="156">
        <f>IF(L487="Win",1,0)</f>
        <v/>
      </c>
    </row>
    <row r="488" ht="14.4" customHeight="1" s="152">
      <c r="A488" s="167">
        <f>B488&amp;E488</f>
        <v/>
      </c>
      <c r="B488" s="174">
        <f>B203</f>
        <v/>
      </c>
      <c r="C488" s="174">
        <f>C203</f>
        <v/>
      </c>
      <c r="D488" s="174">
        <f>D203</f>
        <v/>
      </c>
      <c r="E488" s="174">
        <f>H203</f>
        <v/>
      </c>
      <c r="F488" s="157">
        <f>I203</f>
        <v/>
      </c>
      <c r="G488" s="174" t="inlineStr">
        <is>
          <t>Home</t>
        </is>
      </c>
      <c r="H488" s="176">
        <f>E203</f>
        <v/>
      </c>
      <c r="I488" s="157">
        <f>F203</f>
        <v/>
      </c>
      <c r="J488" s="177">
        <f>J203</f>
        <v/>
      </c>
      <c r="K488" s="156">
        <f>IF(AND(F488=0,I488=0),"",IF(F488&gt;I488,B488&amp;E488,IF(F488&lt;I488,B488&amp;H488,"Tie")))</f>
        <v/>
      </c>
      <c r="L488" s="156">
        <f>IFERROR(IF(AND(B488&lt;$L$1,F488&gt;I488),"Win",IF(AND(B488&lt;$L$1,F488&lt;I488),"Loss","")),"")</f>
        <v/>
      </c>
      <c r="M488" s="156">
        <f>IF(B488&lt;_CurWeek,"In","")</f>
        <v/>
      </c>
      <c r="N488" s="156">
        <f>IF(M488="In",E488&amp;G488,"")</f>
        <v/>
      </c>
      <c r="O488" s="156">
        <f>IF(L488="Win",1,0)</f>
        <v/>
      </c>
    </row>
    <row r="489" ht="14.4" customHeight="1" s="152">
      <c r="A489" s="167">
        <f>B489&amp;E489</f>
        <v/>
      </c>
      <c r="B489" s="174">
        <f>B204</f>
        <v/>
      </c>
      <c r="C489" s="174">
        <f>C204</f>
        <v/>
      </c>
      <c r="D489" s="174">
        <f>D204</f>
        <v/>
      </c>
      <c r="E489" s="174">
        <f>H204</f>
        <v/>
      </c>
      <c r="F489" s="157">
        <f>I204</f>
        <v/>
      </c>
      <c r="G489" s="174" t="inlineStr">
        <is>
          <t>Home</t>
        </is>
      </c>
      <c r="H489" s="176">
        <f>E204</f>
        <v/>
      </c>
      <c r="I489" s="157">
        <f>F204</f>
        <v/>
      </c>
      <c r="J489" s="177">
        <f>J204</f>
        <v/>
      </c>
      <c r="K489" s="156">
        <f>IF(AND(F489=0,I489=0),"",IF(F489&gt;I489,B489&amp;E489,IF(F489&lt;I489,B489&amp;H489,"Tie")))</f>
        <v/>
      </c>
      <c r="L489" s="156">
        <f>IFERROR(IF(AND(B489&lt;$L$1,F489&gt;I489),"Win",IF(AND(B489&lt;$L$1,F489&lt;I489),"Loss","")),"")</f>
        <v/>
      </c>
      <c r="M489" s="156">
        <f>IF(B489&lt;_CurWeek,"In","")</f>
        <v/>
      </c>
      <c r="N489" s="156">
        <f>IF(M489="In",E489&amp;G489,"")</f>
        <v/>
      </c>
      <c r="O489" s="156">
        <f>IF(L489="Win",1,0)</f>
        <v/>
      </c>
    </row>
    <row r="490" ht="14.4" customHeight="1" s="152">
      <c r="A490" s="167">
        <f>B490&amp;E490</f>
        <v/>
      </c>
      <c r="B490" s="174">
        <f>B205</f>
        <v/>
      </c>
      <c r="C490" s="174">
        <f>C205</f>
        <v/>
      </c>
      <c r="D490" s="174">
        <f>D205</f>
        <v/>
      </c>
      <c r="E490" s="174">
        <f>H205</f>
        <v/>
      </c>
      <c r="F490" s="157">
        <f>I205</f>
        <v/>
      </c>
      <c r="G490" s="174" t="inlineStr">
        <is>
          <t>Home</t>
        </is>
      </c>
      <c r="H490" s="176">
        <f>E205</f>
        <v/>
      </c>
      <c r="I490" s="157">
        <f>F205</f>
        <v/>
      </c>
      <c r="J490" s="177">
        <f>J205</f>
        <v/>
      </c>
      <c r="K490" s="156">
        <f>IF(AND(F490=0,I490=0),"",IF(F490&gt;I490,B490&amp;E490,IF(F490&lt;I490,B490&amp;H490,"Tie")))</f>
        <v/>
      </c>
      <c r="L490" s="156">
        <f>IFERROR(IF(AND(B490&lt;$L$1,F490&gt;I490),"Win",IF(AND(B490&lt;$L$1,F490&lt;I490),"Loss","")),"")</f>
        <v/>
      </c>
      <c r="M490" s="156">
        <f>IF(B490&lt;_CurWeek,"In","")</f>
        <v/>
      </c>
      <c r="N490" s="156">
        <f>IF(M490="In",E490&amp;G490,"")</f>
        <v/>
      </c>
      <c r="O490" s="156">
        <f>IF(L490="Win",1,0)</f>
        <v/>
      </c>
    </row>
    <row r="491" ht="14.4" customHeight="1" s="152">
      <c r="A491" s="167">
        <f>B491&amp;E491</f>
        <v/>
      </c>
      <c r="B491" s="174">
        <f>B206</f>
        <v/>
      </c>
      <c r="C491" s="174">
        <f>C206</f>
        <v/>
      </c>
      <c r="D491" s="174">
        <f>D206</f>
        <v/>
      </c>
      <c r="E491" s="174">
        <f>H206</f>
        <v/>
      </c>
      <c r="F491" s="157">
        <f>I206</f>
        <v/>
      </c>
      <c r="G491" s="174" t="inlineStr">
        <is>
          <t>Home</t>
        </is>
      </c>
      <c r="H491" s="176">
        <f>E206</f>
        <v/>
      </c>
      <c r="I491" s="157">
        <f>F206</f>
        <v/>
      </c>
      <c r="J491" s="177">
        <f>J206</f>
        <v/>
      </c>
      <c r="K491" s="156">
        <f>IF(AND(F491=0,I491=0),"",IF(F491&gt;I491,B491&amp;E491,IF(F491&lt;I491,B491&amp;H491,"Tie")))</f>
        <v/>
      </c>
      <c r="L491" s="156">
        <f>IFERROR(IF(AND(B491&lt;$L$1,F491&gt;I491),"Win",IF(AND(B491&lt;$L$1,F491&lt;I491),"Loss","")),"")</f>
        <v/>
      </c>
      <c r="M491" s="156">
        <f>IF(B491&lt;_CurWeek,"In","")</f>
        <v/>
      </c>
      <c r="N491" s="156">
        <f>IF(M491="In",E491&amp;G491,"")</f>
        <v/>
      </c>
      <c r="O491" s="156">
        <f>IF(L491="Win",1,0)</f>
        <v/>
      </c>
    </row>
    <row r="492" ht="14.4" customHeight="1" s="152">
      <c r="A492" s="167">
        <f>B492&amp;E492</f>
        <v/>
      </c>
      <c r="B492" s="174">
        <f>B207</f>
        <v/>
      </c>
      <c r="C492" s="174">
        <f>C207</f>
        <v/>
      </c>
      <c r="D492" s="174">
        <f>D207</f>
        <v/>
      </c>
      <c r="E492" s="174">
        <f>H207</f>
        <v/>
      </c>
      <c r="F492" s="157">
        <f>I207</f>
        <v/>
      </c>
      <c r="G492" s="174" t="inlineStr">
        <is>
          <t>Home</t>
        </is>
      </c>
      <c r="H492" s="176">
        <f>E207</f>
        <v/>
      </c>
      <c r="I492" s="157">
        <f>F207</f>
        <v/>
      </c>
      <c r="J492" s="177">
        <f>J207</f>
        <v/>
      </c>
      <c r="K492" s="156">
        <f>IF(AND(F492=0,I492=0),"",IF(F492&gt;I492,B492&amp;E492,IF(F492&lt;I492,B492&amp;H492,"Tie")))</f>
        <v/>
      </c>
      <c r="L492" s="156">
        <f>IFERROR(IF(AND(B492&lt;$L$1,F492&gt;I492),"Win",IF(AND(B492&lt;$L$1,F492&lt;I492),"Loss","")),"")</f>
        <v/>
      </c>
      <c r="M492" s="156">
        <f>IF(B492&lt;_CurWeek,"In","")</f>
        <v/>
      </c>
      <c r="N492" s="156">
        <f>IF(M492="In",E492&amp;G492,"")</f>
        <v/>
      </c>
      <c r="O492" s="156">
        <f>IF(L492="Win",1,0)</f>
        <v/>
      </c>
    </row>
    <row r="493" ht="14.4" customHeight="1" s="152">
      <c r="A493" s="167">
        <f>B493&amp;E493</f>
        <v/>
      </c>
      <c r="B493" s="174">
        <f>B208</f>
        <v/>
      </c>
      <c r="C493" s="174">
        <f>C208</f>
        <v/>
      </c>
      <c r="D493" s="174">
        <f>D208</f>
        <v/>
      </c>
      <c r="E493" s="174">
        <f>H208</f>
        <v/>
      </c>
      <c r="F493" s="157">
        <f>I208</f>
        <v/>
      </c>
      <c r="G493" s="174" t="inlineStr">
        <is>
          <t>Home</t>
        </is>
      </c>
      <c r="H493" s="176">
        <f>E208</f>
        <v/>
      </c>
      <c r="I493" s="157">
        <f>F208</f>
        <v/>
      </c>
      <c r="J493" s="177">
        <f>J208</f>
        <v/>
      </c>
      <c r="K493" s="156">
        <f>IF(AND(F493=0,I493=0),"",IF(F493&gt;I493,B493&amp;E493,IF(F493&lt;I493,B493&amp;H493,"Tie")))</f>
        <v/>
      </c>
      <c r="L493" s="156">
        <f>IFERROR(IF(AND(B493&lt;$L$1,F493&gt;I493),"Win",IF(AND(B493&lt;$L$1,F493&lt;I493),"Loss","")),"")</f>
        <v/>
      </c>
      <c r="M493" s="156">
        <f>IF(B493&lt;_CurWeek,"In","")</f>
        <v/>
      </c>
      <c r="N493" s="156">
        <f>IF(M493="In",E493&amp;G493,"")</f>
        <v/>
      </c>
      <c r="O493" s="156">
        <f>IF(L493="Win",1,0)</f>
        <v/>
      </c>
    </row>
    <row r="494" ht="14.4" customHeight="1" s="152">
      <c r="A494" s="167">
        <f>B494&amp;E494</f>
        <v/>
      </c>
      <c r="B494" s="174">
        <f>B209</f>
        <v/>
      </c>
      <c r="C494" s="174">
        <f>C209</f>
        <v/>
      </c>
      <c r="D494" s="174">
        <f>D209</f>
        <v/>
      </c>
      <c r="E494" s="174">
        <f>H209</f>
        <v/>
      </c>
      <c r="F494" s="157">
        <f>I209</f>
        <v/>
      </c>
      <c r="G494" s="174" t="inlineStr">
        <is>
          <t>Home</t>
        </is>
      </c>
      <c r="H494" s="176">
        <f>E209</f>
        <v/>
      </c>
      <c r="I494" s="157">
        <f>F209</f>
        <v/>
      </c>
      <c r="J494" s="177">
        <f>J209</f>
        <v/>
      </c>
      <c r="K494" s="156">
        <f>IF(AND(F494=0,I494=0),"",IF(F494&gt;I494,B494&amp;E494,IF(F494&lt;I494,B494&amp;H494,"Tie")))</f>
        <v/>
      </c>
      <c r="L494" s="156">
        <f>IFERROR(IF(AND(B494&lt;$L$1,F494&gt;I494),"Win",IF(AND(B494&lt;$L$1,F494&lt;I494),"Loss","")),"")</f>
        <v/>
      </c>
      <c r="M494" s="156">
        <f>IF(B494&lt;_CurWeek,"In","")</f>
        <v/>
      </c>
      <c r="N494" s="156">
        <f>IF(M494="In",E494&amp;G494,"")</f>
        <v/>
      </c>
      <c r="O494" s="156">
        <f>IF(L494="Win",1,0)</f>
        <v/>
      </c>
    </row>
    <row r="495" ht="14.4" customHeight="1" s="152">
      <c r="A495" s="167">
        <f>B495&amp;E495</f>
        <v/>
      </c>
      <c r="B495" s="174">
        <f>B210</f>
        <v/>
      </c>
      <c r="C495" s="174">
        <f>C210</f>
        <v/>
      </c>
      <c r="D495" s="174">
        <f>D210</f>
        <v/>
      </c>
      <c r="E495" s="174">
        <f>H210</f>
        <v/>
      </c>
      <c r="F495" s="157">
        <f>I210</f>
        <v/>
      </c>
      <c r="G495" s="174" t="inlineStr">
        <is>
          <t>Home</t>
        </is>
      </c>
      <c r="H495" s="176">
        <f>E210</f>
        <v/>
      </c>
      <c r="I495" s="157">
        <f>F210</f>
        <v/>
      </c>
      <c r="J495" s="177">
        <f>J210</f>
        <v/>
      </c>
      <c r="K495" s="156">
        <f>IF(AND(F495=0,I495=0),"",IF(F495&gt;I495,B495&amp;E495,IF(F495&lt;I495,B495&amp;H495,"Tie")))</f>
        <v/>
      </c>
      <c r="L495" s="156">
        <f>IFERROR(IF(AND(B495&lt;$L$1,F495&gt;I495),"Win",IF(AND(B495&lt;$L$1,F495&lt;I495),"Loss","")),"")</f>
        <v/>
      </c>
      <c r="M495" s="156">
        <f>IF(B495&lt;_CurWeek,"In","")</f>
        <v/>
      </c>
      <c r="N495" s="156">
        <f>IF(M495="In",E495&amp;G495,"")</f>
        <v/>
      </c>
      <c r="O495" s="156">
        <f>IF(L495="Win",1,0)</f>
        <v/>
      </c>
    </row>
    <row r="496" ht="14.4" customHeight="1" s="152">
      <c r="A496" s="167">
        <f>B496&amp;E496</f>
        <v/>
      </c>
      <c r="B496" s="174">
        <f>B211</f>
        <v/>
      </c>
      <c r="C496" s="174">
        <f>C211</f>
        <v/>
      </c>
      <c r="D496" s="174">
        <f>D211</f>
        <v/>
      </c>
      <c r="E496" s="174">
        <f>H211</f>
        <v/>
      </c>
      <c r="F496" s="157">
        <f>I211</f>
        <v/>
      </c>
      <c r="G496" s="174" t="inlineStr">
        <is>
          <t>Home</t>
        </is>
      </c>
      <c r="H496" s="176">
        <f>E211</f>
        <v/>
      </c>
      <c r="I496" s="157">
        <f>F211</f>
        <v/>
      </c>
      <c r="J496" s="177">
        <f>J211</f>
        <v/>
      </c>
      <c r="K496" s="156">
        <f>IF(AND(F496=0,I496=0),"",IF(F496&gt;I496,B496&amp;E496,IF(F496&lt;I496,B496&amp;H496,"Tie")))</f>
        <v/>
      </c>
      <c r="L496" s="156">
        <f>IFERROR(IF(AND(B496&lt;$L$1,F496&gt;I496),"Win",IF(AND(B496&lt;$L$1,F496&lt;I496),"Loss","")),"")</f>
        <v/>
      </c>
      <c r="M496" s="156">
        <f>IF(B496&lt;_CurWeek,"In","")</f>
        <v/>
      </c>
      <c r="N496" s="156">
        <f>IF(M496="In",E496&amp;G496,"")</f>
        <v/>
      </c>
      <c r="O496" s="156">
        <f>IF(L496="Win",1,0)</f>
        <v/>
      </c>
    </row>
    <row r="497" ht="14.4" customHeight="1" s="152">
      <c r="A497" s="167">
        <f>B497&amp;E497</f>
        <v/>
      </c>
      <c r="B497" s="174">
        <f>B212</f>
        <v/>
      </c>
      <c r="C497" s="174">
        <f>C212</f>
        <v/>
      </c>
      <c r="D497" s="174">
        <f>D212</f>
        <v/>
      </c>
      <c r="E497" s="174">
        <f>H212</f>
        <v/>
      </c>
      <c r="F497" s="157">
        <f>I212</f>
        <v/>
      </c>
      <c r="G497" s="174" t="inlineStr">
        <is>
          <t>Home</t>
        </is>
      </c>
      <c r="H497" s="176">
        <f>E212</f>
        <v/>
      </c>
      <c r="I497" s="157">
        <f>F212</f>
        <v/>
      </c>
      <c r="J497" s="177">
        <f>J212</f>
        <v/>
      </c>
      <c r="K497" s="156">
        <f>IF(AND(F497=0,I497=0),"",IF(F497&gt;I497,B497&amp;E497,IF(F497&lt;I497,B497&amp;H497,"Tie")))</f>
        <v/>
      </c>
      <c r="L497" s="156">
        <f>IFERROR(IF(AND(B497&lt;$L$1,F497&gt;I497),"Win",IF(AND(B497&lt;$L$1,F497&lt;I497),"Loss","")),"")</f>
        <v/>
      </c>
      <c r="M497" s="156">
        <f>IF(B497&lt;_CurWeek,"In","")</f>
        <v/>
      </c>
      <c r="N497" s="156">
        <f>IF(M497="In",E497&amp;G497,"")</f>
        <v/>
      </c>
      <c r="O497" s="156">
        <f>IF(L497="Win",1,0)</f>
        <v/>
      </c>
    </row>
    <row r="498" ht="14.4" customHeight="1" s="152">
      <c r="A498" s="167">
        <f>B498&amp;E498</f>
        <v/>
      </c>
      <c r="B498" s="174">
        <f>B213</f>
        <v/>
      </c>
      <c r="C498" s="174">
        <f>C213</f>
        <v/>
      </c>
      <c r="D498" s="174">
        <f>D213</f>
        <v/>
      </c>
      <c r="E498" s="174">
        <f>H213</f>
        <v/>
      </c>
      <c r="F498" s="157">
        <f>I213</f>
        <v/>
      </c>
      <c r="G498" s="174" t="inlineStr">
        <is>
          <t>Home</t>
        </is>
      </c>
      <c r="H498" s="176">
        <f>E213</f>
        <v/>
      </c>
      <c r="I498" s="157">
        <f>F213</f>
        <v/>
      </c>
      <c r="J498" s="177">
        <f>J213</f>
        <v/>
      </c>
      <c r="K498" s="156">
        <f>IF(AND(F498=0,I498=0),"",IF(F498&gt;I498,B498&amp;E498,IF(F498&lt;I498,B498&amp;H498,"Tie")))</f>
        <v/>
      </c>
      <c r="L498" s="156">
        <f>IFERROR(IF(AND(B498&lt;$L$1,F498&gt;I498),"Win",IF(AND(B498&lt;$L$1,F498&lt;I498),"Loss","")),"")</f>
        <v/>
      </c>
      <c r="M498" s="156">
        <f>IF(B498&lt;_CurWeek,"In","")</f>
        <v/>
      </c>
      <c r="N498" s="156">
        <f>IF(M498="In",E498&amp;G498,"")</f>
        <v/>
      </c>
      <c r="O498" s="156">
        <f>IF(L498="Win",1,0)</f>
        <v/>
      </c>
    </row>
    <row r="499" ht="14.4" customHeight="1" s="152">
      <c r="A499" s="167">
        <f>B499&amp;E499</f>
        <v/>
      </c>
      <c r="B499" s="174">
        <f>B214</f>
        <v/>
      </c>
      <c r="C499" s="174">
        <f>C214</f>
        <v/>
      </c>
      <c r="D499" s="174">
        <f>D214</f>
        <v/>
      </c>
      <c r="E499" s="174">
        <f>H214</f>
        <v/>
      </c>
      <c r="F499" s="157">
        <f>I214</f>
        <v/>
      </c>
      <c r="G499" s="174" t="inlineStr">
        <is>
          <t>Home</t>
        </is>
      </c>
      <c r="H499" s="176">
        <f>E214</f>
        <v/>
      </c>
      <c r="I499" s="157">
        <f>F214</f>
        <v/>
      </c>
      <c r="J499" s="177">
        <f>J214</f>
        <v/>
      </c>
      <c r="K499" s="156">
        <f>IF(AND(F499=0,I499=0),"",IF(F499&gt;I499,B499&amp;E499,IF(F499&lt;I499,B499&amp;H499,"Tie")))</f>
        <v/>
      </c>
      <c r="L499" s="156">
        <f>IFERROR(IF(AND(B499&lt;$L$1,F499&gt;I499),"Win",IF(AND(B499&lt;$L$1,F499&lt;I499),"Loss","")),"")</f>
        <v/>
      </c>
      <c r="M499" s="156">
        <f>IF(B499&lt;_CurWeek,"In","")</f>
        <v/>
      </c>
      <c r="N499" s="156">
        <f>IF(M499="In",E499&amp;G499,"")</f>
        <v/>
      </c>
      <c r="O499" s="156">
        <f>IF(L499="Win",1,0)</f>
        <v/>
      </c>
    </row>
    <row r="500" ht="14.4" customHeight="1" s="152">
      <c r="A500" s="167">
        <f>B500&amp;E500</f>
        <v/>
      </c>
      <c r="B500" s="174">
        <f>B215</f>
        <v/>
      </c>
      <c r="C500" s="174">
        <f>C215</f>
        <v/>
      </c>
      <c r="D500" s="174">
        <f>D215</f>
        <v/>
      </c>
      <c r="E500" s="174">
        <f>H215</f>
        <v/>
      </c>
      <c r="F500" s="157">
        <f>I215</f>
        <v/>
      </c>
      <c r="G500" s="174" t="inlineStr">
        <is>
          <t>Home</t>
        </is>
      </c>
      <c r="H500" s="176">
        <f>E215</f>
        <v/>
      </c>
      <c r="I500" s="157">
        <f>F215</f>
        <v/>
      </c>
      <c r="J500" s="177">
        <f>J215</f>
        <v/>
      </c>
      <c r="K500" s="156">
        <f>IF(AND(F500=0,I500=0),"",IF(F500&gt;I500,B500&amp;E500,IF(F500&lt;I500,B500&amp;H500,"Tie")))</f>
        <v/>
      </c>
      <c r="L500" s="156">
        <f>IFERROR(IF(AND(B500&lt;$L$1,F500&gt;I500),"Win",IF(AND(B500&lt;$L$1,F500&lt;I500),"Loss","")),"")</f>
        <v/>
      </c>
      <c r="M500" s="156">
        <f>IF(B500&lt;_CurWeek,"In","")</f>
        <v/>
      </c>
      <c r="N500" s="156">
        <f>IF(M500="In",E500&amp;G500,"")</f>
        <v/>
      </c>
      <c r="O500" s="156">
        <f>IF(L500="Win",1,0)</f>
        <v/>
      </c>
    </row>
    <row r="501" ht="14.4" customHeight="1" s="152">
      <c r="A501" s="167">
        <f>B501&amp;E501</f>
        <v/>
      </c>
      <c r="B501" s="174">
        <f>B216</f>
        <v/>
      </c>
      <c r="C501" s="174">
        <f>C216</f>
        <v/>
      </c>
      <c r="D501" s="174">
        <f>D216</f>
        <v/>
      </c>
      <c r="E501" s="174">
        <f>H216</f>
        <v/>
      </c>
      <c r="F501" s="157">
        <f>I216</f>
        <v/>
      </c>
      <c r="G501" s="174" t="inlineStr">
        <is>
          <t>Home</t>
        </is>
      </c>
      <c r="H501" s="176">
        <f>E216</f>
        <v/>
      </c>
      <c r="I501" s="157">
        <f>F216</f>
        <v/>
      </c>
      <c r="J501" s="177">
        <f>J216</f>
        <v/>
      </c>
      <c r="K501" s="156">
        <f>IF(AND(F501=0,I501=0),"",IF(F501&gt;I501,B501&amp;E501,IF(F501&lt;I501,B501&amp;H501,"Tie")))</f>
        <v/>
      </c>
      <c r="L501" s="156">
        <f>IFERROR(IF(AND(B501&lt;$L$1,F501&gt;I501),"Win",IF(AND(B501&lt;$L$1,F501&lt;I501),"Loss","")),"")</f>
        <v/>
      </c>
      <c r="M501" s="156">
        <f>IF(B501&lt;_CurWeek,"In","")</f>
        <v/>
      </c>
      <c r="N501" s="156">
        <f>IF(M501="In",E501&amp;G501,"")</f>
        <v/>
      </c>
      <c r="O501" s="156">
        <f>IF(L501="Win",1,0)</f>
        <v/>
      </c>
    </row>
    <row r="502" ht="14.4" customHeight="1" s="152">
      <c r="A502" s="167">
        <f>B502&amp;E502</f>
        <v/>
      </c>
      <c r="B502" s="174">
        <f>B217</f>
        <v/>
      </c>
      <c r="C502" s="174">
        <f>C217</f>
        <v/>
      </c>
      <c r="D502" s="174">
        <f>D217</f>
        <v/>
      </c>
      <c r="E502" s="174">
        <f>H217</f>
        <v/>
      </c>
      <c r="F502" s="157">
        <f>I217</f>
        <v/>
      </c>
      <c r="G502" s="174" t="inlineStr">
        <is>
          <t>Home</t>
        </is>
      </c>
      <c r="H502" s="176">
        <f>E217</f>
        <v/>
      </c>
      <c r="I502" s="157">
        <f>F217</f>
        <v/>
      </c>
      <c r="J502" s="177">
        <f>J217</f>
        <v/>
      </c>
      <c r="K502" s="156">
        <f>IF(AND(F502=0,I502=0),"",IF(F502&gt;I502,B502&amp;E502,IF(F502&lt;I502,B502&amp;H502,"Tie")))</f>
        <v/>
      </c>
      <c r="L502" s="156">
        <f>IFERROR(IF(AND(B502&lt;$L$1,F502&gt;I502),"Win",IF(AND(B502&lt;$L$1,F502&lt;I502),"Loss","")),"")</f>
        <v/>
      </c>
      <c r="M502" s="156">
        <f>IF(B502&lt;_CurWeek,"In","")</f>
        <v/>
      </c>
      <c r="N502" s="156">
        <f>IF(M502="In",E502&amp;G502,"")</f>
        <v/>
      </c>
      <c r="O502" s="156">
        <f>IF(L502="Win",1,0)</f>
        <v/>
      </c>
    </row>
    <row r="503" ht="14.4" customHeight="1" s="152">
      <c r="A503" s="167">
        <f>B503&amp;E503</f>
        <v/>
      </c>
      <c r="B503" s="174">
        <f>B218</f>
        <v/>
      </c>
      <c r="C503" s="174">
        <f>C218</f>
        <v/>
      </c>
      <c r="D503" s="174">
        <f>D218</f>
        <v/>
      </c>
      <c r="E503" s="174">
        <f>H218</f>
        <v/>
      </c>
      <c r="F503" s="157">
        <f>I218</f>
        <v/>
      </c>
      <c r="G503" s="174" t="inlineStr">
        <is>
          <t>Home</t>
        </is>
      </c>
      <c r="H503" s="176">
        <f>E218</f>
        <v/>
      </c>
      <c r="I503" s="157">
        <f>F218</f>
        <v/>
      </c>
      <c r="J503" s="177">
        <f>J218</f>
        <v/>
      </c>
      <c r="K503" s="156">
        <f>IF(AND(F503=0,I503=0),"",IF(F503&gt;I503,B503&amp;E503,IF(F503&lt;I503,B503&amp;H503,"Tie")))</f>
        <v/>
      </c>
      <c r="L503" s="156">
        <f>IFERROR(IF(AND(B503&lt;$L$1,F503&gt;I503),"Win",IF(AND(B503&lt;$L$1,F503&lt;I503),"Loss","")),"")</f>
        <v/>
      </c>
      <c r="M503" s="156">
        <f>IF(B503&lt;_CurWeek,"In","")</f>
        <v/>
      </c>
      <c r="N503" s="156">
        <f>IF(M503="In",E503&amp;G503,"")</f>
        <v/>
      </c>
      <c r="O503" s="156">
        <f>IF(L503="Win",1,0)</f>
        <v/>
      </c>
    </row>
    <row r="504" ht="14.4" customHeight="1" s="152">
      <c r="A504" s="167">
        <f>B504&amp;E504</f>
        <v/>
      </c>
      <c r="B504" s="174">
        <f>B219</f>
        <v/>
      </c>
      <c r="C504" s="174">
        <f>C219</f>
        <v/>
      </c>
      <c r="D504" s="174">
        <f>D219</f>
        <v/>
      </c>
      <c r="E504" s="174">
        <f>H219</f>
        <v/>
      </c>
      <c r="F504" s="157">
        <f>I219</f>
        <v/>
      </c>
      <c r="G504" s="174" t="inlineStr">
        <is>
          <t>Home</t>
        </is>
      </c>
      <c r="H504" s="176">
        <f>E219</f>
        <v/>
      </c>
      <c r="I504" s="157">
        <f>F219</f>
        <v/>
      </c>
      <c r="J504" s="177">
        <f>J219</f>
        <v/>
      </c>
      <c r="K504" s="156">
        <f>IF(AND(F504=0,I504=0),"",IF(F504&gt;I504,B504&amp;E504,IF(F504&lt;I504,B504&amp;H504,"Tie")))</f>
        <v/>
      </c>
      <c r="L504" s="156">
        <f>IFERROR(IF(AND(B504&lt;$L$1,F504&gt;I504),"Win",IF(AND(B504&lt;$L$1,F504&lt;I504),"Loss","")),"")</f>
        <v/>
      </c>
      <c r="M504" s="156">
        <f>IF(B504&lt;_CurWeek,"In","")</f>
        <v/>
      </c>
      <c r="N504" s="156">
        <f>IF(M504="In",E504&amp;G504,"")</f>
        <v/>
      </c>
      <c r="O504" s="156">
        <f>IF(L504="Win",1,0)</f>
        <v/>
      </c>
    </row>
    <row r="505" ht="14.4" customHeight="1" s="152">
      <c r="A505" s="167">
        <f>B505&amp;E505</f>
        <v/>
      </c>
      <c r="B505" s="174">
        <f>B220</f>
        <v/>
      </c>
      <c r="C505" s="174">
        <f>C220</f>
        <v/>
      </c>
      <c r="D505" s="174">
        <f>D220</f>
        <v/>
      </c>
      <c r="E505" s="174">
        <f>H220</f>
        <v/>
      </c>
      <c r="F505" s="157">
        <f>I220</f>
        <v/>
      </c>
      <c r="G505" s="174" t="inlineStr">
        <is>
          <t>Home</t>
        </is>
      </c>
      <c r="H505" s="176">
        <f>E220</f>
        <v/>
      </c>
      <c r="I505" s="157">
        <f>F220</f>
        <v/>
      </c>
      <c r="J505" s="177">
        <f>J220</f>
        <v/>
      </c>
      <c r="K505" s="156">
        <f>IF(AND(F505=0,I505=0),"",IF(F505&gt;I505,B505&amp;E505,IF(F505&lt;I505,B505&amp;H505,"Tie")))</f>
        <v/>
      </c>
      <c r="L505" s="156">
        <f>IFERROR(IF(AND(B505&lt;$L$1,F505&gt;I505),"Win",IF(AND(B505&lt;$L$1,F505&lt;I505),"Loss","")),"")</f>
        <v/>
      </c>
      <c r="M505" s="156">
        <f>IF(B505&lt;_CurWeek,"In","")</f>
        <v/>
      </c>
      <c r="N505" s="156">
        <f>IF(M505="In",E505&amp;G505,"")</f>
        <v/>
      </c>
      <c r="O505" s="156">
        <f>IF(L505="Win",1,0)</f>
        <v/>
      </c>
    </row>
    <row r="506" ht="14.4" customHeight="1" s="152">
      <c r="A506" s="167">
        <f>B506&amp;E506</f>
        <v/>
      </c>
      <c r="B506" s="174">
        <f>B221</f>
        <v/>
      </c>
      <c r="C506" s="174">
        <f>C221</f>
        <v/>
      </c>
      <c r="D506" s="174">
        <f>D221</f>
        <v/>
      </c>
      <c r="E506" s="174">
        <f>H221</f>
        <v/>
      </c>
      <c r="F506" s="157">
        <f>I221</f>
        <v/>
      </c>
      <c r="G506" s="174" t="inlineStr">
        <is>
          <t>Home</t>
        </is>
      </c>
      <c r="H506" s="176">
        <f>E221</f>
        <v/>
      </c>
      <c r="I506" s="157">
        <f>F221</f>
        <v/>
      </c>
      <c r="J506" s="177">
        <f>J221</f>
        <v/>
      </c>
      <c r="K506" s="156">
        <f>IF(AND(F506=0,I506=0),"",IF(F506&gt;I506,B506&amp;E506,IF(F506&lt;I506,B506&amp;H506,"Tie")))</f>
        <v/>
      </c>
      <c r="L506" s="156">
        <f>IFERROR(IF(AND(B506&lt;$L$1,F506&gt;I506),"Win",IF(AND(B506&lt;$L$1,F506&lt;I506),"Loss","")),"")</f>
        <v/>
      </c>
      <c r="M506" s="156">
        <f>IF(B506&lt;_CurWeek,"In","")</f>
        <v/>
      </c>
      <c r="N506" s="156">
        <f>IF(M506="In",E506&amp;G506,"")</f>
        <v/>
      </c>
      <c r="O506" s="156">
        <f>IF(L506="Win",1,0)</f>
        <v/>
      </c>
    </row>
    <row r="507" ht="14.4" customHeight="1" s="152">
      <c r="A507" s="167">
        <f>B507&amp;E507</f>
        <v/>
      </c>
      <c r="B507" s="174">
        <f>B222</f>
        <v/>
      </c>
      <c r="C507" s="174">
        <f>C222</f>
        <v/>
      </c>
      <c r="D507" s="174">
        <f>D222</f>
        <v/>
      </c>
      <c r="E507" s="174">
        <f>H222</f>
        <v/>
      </c>
      <c r="F507" s="157">
        <f>I222</f>
        <v/>
      </c>
      <c r="G507" s="174" t="inlineStr">
        <is>
          <t>Home</t>
        </is>
      </c>
      <c r="H507" s="176">
        <f>E222</f>
        <v/>
      </c>
      <c r="I507" s="157">
        <f>F222</f>
        <v/>
      </c>
      <c r="J507" s="177">
        <f>J222</f>
        <v/>
      </c>
      <c r="K507" s="156">
        <f>IF(AND(F507=0,I507=0),"",IF(F507&gt;I507,B507&amp;E507,IF(F507&lt;I507,B507&amp;H507,"Tie")))</f>
        <v/>
      </c>
      <c r="L507" s="156">
        <f>IFERROR(IF(AND(B507&lt;$L$1,F507&gt;I507),"Win",IF(AND(B507&lt;$L$1,F507&lt;I507),"Loss","")),"")</f>
        <v/>
      </c>
      <c r="M507" s="156">
        <f>IF(B507&lt;_CurWeek,"In","")</f>
        <v/>
      </c>
      <c r="N507" s="156">
        <f>IF(M507="In",E507&amp;G507,"")</f>
        <v/>
      </c>
      <c r="O507" s="156">
        <f>IF(L507="Win",1,0)</f>
        <v/>
      </c>
    </row>
    <row r="508" ht="14.4" customHeight="1" s="152">
      <c r="A508" s="167">
        <f>B508&amp;E508</f>
        <v/>
      </c>
      <c r="B508" s="174">
        <f>B223</f>
        <v/>
      </c>
      <c r="C508" s="174">
        <f>C223</f>
        <v/>
      </c>
      <c r="D508" s="174">
        <f>D223</f>
        <v/>
      </c>
      <c r="E508" s="174">
        <f>H223</f>
        <v/>
      </c>
      <c r="F508" s="157">
        <f>I223</f>
        <v/>
      </c>
      <c r="G508" s="174" t="inlineStr">
        <is>
          <t>Home</t>
        </is>
      </c>
      <c r="H508" s="176">
        <f>E223</f>
        <v/>
      </c>
      <c r="I508" s="157">
        <f>F223</f>
        <v/>
      </c>
      <c r="J508" s="177">
        <f>J223</f>
        <v/>
      </c>
      <c r="K508" s="156">
        <f>IF(AND(F508=0,I508=0),"",IF(F508&gt;I508,B508&amp;E508,IF(F508&lt;I508,B508&amp;H508,"Tie")))</f>
        <v/>
      </c>
      <c r="L508" s="156">
        <f>IFERROR(IF(AND(B508&lt;$L$1,F508&gt;I508),"Win",IF(AND(B508&lt;$L$1,F508&lt;I508),"Loss","")),"")</f>
        <v/>
      </c>
      <c r="M508" s="156">
        <f>IF(B508&lt;_CurWeek,"In","")</f>
        <v/>
      </c>
      <c r="N508" s="156">
        <f>IF(M508="In",E508&amp;G508,"")</f>
        <v/>
      </c>
      <c r="O508" s="156">
        <f>IF(L508="Win",1,0)</f>
        <v/>
      </c>
    </row>
    <row r="509" ht="14.4" customHeight="1" s="152">
      <c r="A509" s="167">
        <f>B509&amp;E509</f>
        <v/>
      </c>
      <c r="B509" s="174">
        <f>B224</f>
        <v/>
      </c>
      <c r="C509" s="174">
        <f>C224</f>
        <v/>
      </c>
      <c r="D509" s="174">
        <f>D224</f>
        <v/>
      </c>
      <c r="E509" s="174">
        <f>H224</f>
        <v/>
      </c>
      <c r="F509" s="157">
        <f>I224</f>
        <v/>
      </c>
      <c r="G509" s="174" t="inlineStr">
        <is>
          <t>Away</t>
        </is>
      </c>
      <c r="H509" s="176">
        <f>E224</f>
        <v/>
      </c>
      <c r="I509" s="157">
        <f>F224</f>
        <v/>
      </c>
      <c r="J509" s="177">
        <f>J224</f>
        <v/>
      </c>
      <c r="K509" s="156">
        <f>IF(AND(F509=0,I509=0),"",IF(F509&gt;I509,B509&amp;E509,IF(F509&lt;I509,B509&amp;H509,"Tie")))</f>
        <v/>
      </c>
      <c r="L509" s="156">
        <f>IFERROR(IF(AND(B509&lt;$L$1,F509&gt;I509),"Win",IF(AND(B509&lt;$L$1,F509&lt;I509),"Loss","")),"")</f>
        <v/>
      </c>
      <c r="M509" s="156">
        <f>IF(B509&lt;_CurWeek,"In","")</f>
        <v/>
      </c>
      <c r="N509" s="156">
        <f>IF(M509="In",E509&amp;G509,"")</f>
        <v/>
      </c>
      <c r="O509" s="156">
        <f>IF(L509="Win",1,0)</f>
        <v/>
      </c>
    </row>
    <row r="510" ht="14.4" customHeight="1" s="152">
      <c r="A510" s="167">
        <f>B510&amp;E510</f>
        <v/>
      </c>
      <c r="B510" s="174">
        <f>B225</f>
        <v/>
      </c>
      <c r="C510" s="174">
        <f>C225</f>
        <v/>
      </c>
      <c r="D510" s="174">
        <f>D225</f>
        <v/>
      </c>
      <c r="E510" s="174">
        <f>H225</f>
        <v/>
      </c>
      <c r="F510" s="157">
        <f>I225</f>
        <v/>
      </c>
      <c r="G510" s="174" t="inlineStr">
        <is>
          <t>Away</t>
        </is>
      </c>
      <c r="H510" s="176">
        <f>E225</f>
        <v/>
      </c>
      <c r="I510" s="157">
        <f>F225</f>
        <v/>
      </c>
      <c r="J510" s="177">
        <f>J225</f>
        <v/>
      </c>
      <c r="K510" s="156">
        <f>IF(AND(F510=0,I510=0),"",IF(F510&gt;I510,B510&amp;E510,IF(F510&lt;I510,B510&amp;H510,"Tie")))</f>
        <v/>
      </c>
      <c r="L510" s="156">
        <f>IFERROR(IF(AND(B510&lt;$L$1,F510&gt;I510),"Win",IF(AND(B510&lt;$L$1,F510&lt;I510),"Loss","")),"")</f>
        <v/>
      </c>
      <c r="M510" s="156">
        <f>IF(B510&lt;_CurWeek,"In","")</f>
        <v/>
      </c>
      <c r="N510" s="156">
        <f>IF(M510="In",E510&amp;G510,"")</f>
        <v/>
      </c>
      <c r="O510" s="156">
        <f>IF(L510="Win",1,0)</f>
        <v/>
      </c>
    </row>
    <row r="511" ht="14.4" customHeight="1" s="152">
      <c r="A511" s="167">
        <f>B511&amp;E511</f>
        <v/>
      </c>
      <c r="B511" s="174">
        <f>B226</f>
        <v/>
      </c>
      <c r="C511" s="174">
        <f>C226</f>
        <v/>
      </c>
      <c r="D511" s="174">
        <f>D226</f>
        <v/>
      </c>
      <c r="E511" s="174">
        <f>H226</f>
        <v/>
      </c>
      <c r="F511" s="157">
        <f>I226</f>
        <v/>
      </c>
      <c r="G511" s="174" t="inlineStr">
        <is>
          <t>Away</t>
        </is>
      </c>
      <c r="H511" s="176">
        <f>E226</f>
        <v/>
      </c>
      <c r="I511" s="157">
        <f>F226</f>
        <v/>
      </c>
      <c r="J511" s="177">
        <f>J226</f>
        <v/>
      </c>
      <c r="K511" s="156">
        <f>IF(AND(F511=0,I511=0),"",IF(F511&gt;I511,B511&amp;E511,IF(F511&lt;I511,B511&amp;H511,"Tie")))</f>
        <v/>
      </c>
      <c r="L511" s="156">
        <f>IFERROR(IF(AND(B511&lt;$L$1,F511&gt;I511),"Win",IF(AND(B511&lt;$L$1,F511&lt;I511),"Loss","")),"")</f>
        <v/>
      </c>
      <c r="M511" s="156">
        <f>IF(B511&lt;_CurWeek,"In","")</f>
        <v/>
      </c>
      <c r="N511" s="156">
        <f>IF(M511="In",E511&amp;G511,"")</f>
        <v/>
      </c>
      <c r="O511" s="156">
        <f>IF(L511="Win",1,0)</f>
        <v/>
      </c>
    </row>
    <row r="512" ht="14.4" customHeight="1" s="152">
      <c r="A512" s="167">
        <f>B512&amp;E512</f>
        <v/>
      </c>
      <c r="B512" s="174">
        <f>B227</f>
        <v/>
      </c>
      <c r="C512" s="174">
        <f>C227</f>
        <v/>
      </c>
      <c r="D512" s="174">
        <f>D227</f>
        <v/>
      </c>
      <c r="E512" s="174">
        <f>H227</f>
        <v/>
      </c>
      <c r="F512" s="157">
        <f>I227</f>
        <v/>
      </c>
      <c r="G512" s="174" t="inlineStr">
        <is>
          <t>Away</t>
        </is>
      </c>
      <c r="H512" s="176">
        <f>E227</f>
        <v/>
      </c>
      <c r="I512" s="157">
        <f>F227</f>
        <v/>
      </c>
      <c r="J512" s="177">
        <f>J227</f>
        <v/>
      </c>
      <c r="K512" s="156">
        <f>IF(AND(F512=0,I512=0),"",IF(F512&gt;I512,B512&amp;E512,IF(F512&lt;I512,B512&amp;H512,"Tie")))</f>
        <v/>
      </c>
      <c r="L512" s="156">
        <f>IFERROR(IF(AND(B512&lt;$L$1,F512&gt;I512),"Win",IF(AND(B512&lt;$L$1,F512&lt;I512),"Loss","")),"")</f>
        <v/>
      </c>
      <c r="M512" s="156">
        <f>IF(B512&lt;_CurWeek,"In","")</f>
        <v/>
      </c>
      <c r="N512" s="156">
        <f>IF(M512="In",E512&amp;G512,"")</f>
        <v/>
      </c>
      <c r="O512" s="156">
        <f>IF(L512="Win",1,0)</f>
        <v/>
      </c>
    </row>
    <row r="513" ht="14.4" customHeight="1" s="152">
      <c r="A513" s="167">
        <f>B513&amp;E513</f>
        <v/>
      </c>
      <c r="B513" s="174">
        <f>B228</f>
        <v/>
      </c>
      <c r="C513" s="174">
        <f>C228</f>
        <v/>
      </c>
      <c r="D513" s="174">
        <f>D228</f>
        <v/>
      </c>
      <c r="E513" s="174">
        <f>H228</f>
        <v/>
      </c>
      <c r="F513" s="157">
        <f>I228</f>
        <v/>
      </c>
      <c r="G513" s="174" t="inlineStr">
        <is>
          <t>Away</t>
        </is>
      </c>
      <c r="H513" s="176">
        <f>E228</f>
        <v/>
      </c>
      <c r="I513" s="157">
        <f>F228</f>
        <v/>
      </c>
      <c r="J513" s="177">
        <f>J228</f>
        <v/>
      </c>
      <c r="K513" s="156">
        <f>IF(AND(F513=0,I513=0),"",IF(F513&gt;I513,B513&amp;E513,IF(F513&lt;I513,B513&amp;H513,"Tie")))</f>
        <v/>
      </c>
      <c r="L513" s="156">
        <f>IFERROR(IF(AND(B513&lt;$L$1,F513&gt;I513),"Win",IF(AND(B513&lt;$L$1,F513&lt;I513),"Loss","")),"")</f>
        <v/>
      </c>
      <c r="M513" s="156">
        <f>IF(B513&lt;_CurWeek,"In","")</f>
        <v/>
      </c>
      <c r="N513" s="156">
        <f>IF(M513="In",E513&amp;G513,"")</f>
        <v/>
      </c>
      <c r="O513" s="156">
        <f>IF(L513="Win",1,0)</f>
        <v/>
      </c>
    </row>
    <row r="514" ht="14.4" customHeight="1" s="152">
      <c r="A514" s="167">
        <f>B514&amp;E514</f>
        <v/>
      </c>
      <c r="B514" s="174">
        <f>B229</f>
        <v/>
      </c>
      <c r="C514" s="174">
        <f>C229</f>
        <v/>
      </c>
      <c r="D514" s="174">
        <f>D229</f>
        <v/>
      </c>
      <c r="E514" s="174">
        <f>H229</f>
        <v/>
      </c>
      <c r="F514" s="157">
        <f>I229</f>
        <v/>
      </c>
      <c r="G514" s="174" t="inlineStr">
        <is>
          <t>Away</t>
        </is>
      </c>
      <c r="H514" s="176">
        <f>E229</f>
        <v/>
      </c>
      <c r="I514" s="157">
        <f>F229</f>
        <v/>
      </c>
      <c r="J514" s="177">
        <f>J229</f>
        <v/>
      </c>
      <c r="K514" s="156">
        <f>IF(AND(F514=0,I514=0),"",IF(F514&gt;I514,B514&amp;E514,IF(F514&lt;I514,B514&amp;H514,"Tie")))</f>
        <v/>
      </c>
      <c r="L514" s="156">
        <f>IFERROR(IF(AND(B514&lt;$L$1,F514&gt;I514),"Win",IF(AND(B514&lt;$L$1,F514&lt;I514),"Loss","")),"")</f>
        <v/>
      </c>
      <c r="M514" s="156">
        <f>IF(B514&lt;_CurWeek,"In","")</f>
        <v/>
      </c>
      <c r="N514" s="156">
        <f>IF(M514="In",E514&amp;G514,"")</f>
        <v/>
      </c>
      <c r="O514" s="156">
        <f>IF(L514="Win",1,0)</f>
        <v/>
      </c>
    </row>
    <row r="515" ht="14.4" customHeight="1" s="152">
      <c r="A515" s="167">
        <f>B515&amp;E515</f>
        <v/>
      </c>
      <c r="B515" s="174">
        <f>B230</f>
        <v/>
      </c>
      <c r="C515" s="174">
        <f>C230</f>
        <v/>
      </c>
      <c r="D515" s="174">
        <f>D230</f>
        <v/>
      </c>
      <c r="E515" s="174">
        <f>H230</f>
        <v/>
      </c>
      <c r="F515" s="157">
        <f>I230</f>
        <v/>
      </c>
      <c r="G515" s="174" t="inlineStr">
        <is>
          <t>Away</t>
        </is>
      </c>
      <c r="H515" s="176">
        <f>E230</f>
        <v/>
      </c>
      <c r="I515" s="157">
        <f>F230</f>
        <v/>
      </c>
      <c r="J515" s="177">
        <f>J230</f>
        <v/>
      </c>
      <c r="K515" s="156">
        <f>IF(AND(F515=0,I515=0),"",IF(F515&gt;I515,B515&amp;E515,IF(F515&lt;I515,B515&amp;H515,"Tie")))</f>
        <v/>
      </c>
      <c r="L515" s="156">
        <f>IFERROR(IF(AND(B515&lt;$L$1,F515&gt;I515),"Win",IF(AND(B515&lt;$L$1,F515&lt;I515),"Loss","")),"")</f>
        <v/>
      </c>
      <c r="M515" s="156">
        <f>IF(B515&lt;_CurWeek,"In","")</f>
        <v/>
      </c>
      <c r="N515" s="156">
        <f>IF(M515="In",E515&amp;G515,"")</f>
        <v/>
      </c>
      <c r="O515" s="156">
        <f>IF(L515="Win",1,0)</f>
        <v/>
      </c>
    </row>
    <row r="516" ht="14.4" customHeight="1" s="152">
      <c r="A516" s="167">
        <f>B516&amp;E516</f>
        <v/>
      </c>
      <c r="B516" s="174">
        <f>B231</f>
        <v/>
      </c>
      <c r="C516" s="174">
        <f>C231</f>
        <v/>
      </c>
      <c r="D516" s="174">
        <f>D231</f>
        <v/>
      </c>
      <c r="E516" s="174">
        <f>H231</f>
        <v/>
      </c>
      <c r="F516" s="157">
        <f>I231</f>
        <v/>
      </c>
      <c r="G516" s="174" t="inlineStr">
        <is>
          <t>Away</t>
        </is>
      </c>
      <c r="H516" s="176">
        <f>E231</f>
        <v/>
      </c>
      <c r="I516" s="157">
        <f>F231</f>
        <v/>
      </c>
      <c r="J516" s="177">
        <f>J231</f>
        <v/>
      </c>
      <c r="K516" s="156">
        <f>IF(AND(F516=0,I516=0),"",IF(F516&gt;I516,B516&amp;E516,IF(F516&lt;I516,B516&amp;H516,"Tie")))</f>
        <v/>
      </c>
      <c r="L516" s="156">
        <f>IFERROR(IF(AND(B516&lt;$L$1,F516&gt;I516),"Win",IF(AND(B516&lt;$L$1,F516&lt;I516),"Loss","")),"")</f>
        <v/>
      </c>
      <c r="M516" s="156">
        <f>IF(B516&lt;_CurWeek,"In","")</f>
        <v/>
      </c>
      <c r="N516" s="156">
        <f>IF(M516="In",E516&amp;G516,"")</f>
        <v/>
      </c>
      <c r="O516" s="156">
        <f>IF(L516="Win",1,0)</f>
        <v/>
      </c>
    </row>
    <row r="517" ht="14.4" customHeight="1" s="152">
      <c r="A517" s="167">
        <f>B517&amp;E517</f>
        <v/>
      </c>
      <c r="B517" s="174">
        <f>B232</f>
        <v/>
      </c>
      <c r="C517" s="174">
        <f>C232</f>
        <v/>
      </c>
      <c r="D517" s="174">
        <f>D232</f>
        <v/>
      </c>
      <c r="E517" s="174">
        <f>H232</f>
        <v/>
      </c>
      <c r="F517" s="157">
        <f>I232</f>
        <v/>
      </c>
      <c r="G517" s="174" t="inlineStr">
        <is>
          <t>Away</t>
        </is>
      </c>
      <c r="H517" s="176">
        <f>E232</f>
        <v/>
      </c>
      <c r="I517" s="157">
        <f>F232</f>
        <v/>
      </c>
      <c r="J517" s="177">
        <f>J232</f>
        <v/>
      </c>
      <c r="K517" s="156">
        <f>IF(AND(F517=0,I517=0),"",IF(F517&gt;I517,B517&amp;E517,IF(F517&lt;I517,B517&amp;H517,"Tie")))</f>
        <v/>
      </c>
      <c r="L517" s="156">
        <f>IFERROR(IF(AND(B517&lt;$L$1,F517&gt;I517),"Win",IF(AND(B517&lt;$L$1,F517&lt;I517),"Loss","")),"")</f>
        <v/>
      </c>
      <c r="M517" s="156">
        <f>IF(B517&lt;_CurWeek,"In","")</f>
        <v/>
      </c>
      <c r="N517" s="156">
        <f>IF(M517="In",E517&amp;G517,"")</f>
        <v/>
      </c>
      <c r="O517" s="156">
        <f>IF(L517="Win",1,0)</f>
        <v/>
      </c>
    </row>
    <row r="518" ht="14.4" customHeight="1" s="152">
      <c r="A518" s="167">
        <f>B518&amp;E518</f>
        <v/>
      </c>
      <c r="B518" s="174">
        <f>B233</f>
        <v/>
      </c>
      <c r="C518" s="174">
        <f>C233</f>
        <v/>
      </c>
      <c r="D518" s="174">
        <f>D233</f>
        <v/>
      </c>
      <c r="E518" s="174">
        <f>H233</f>
        <v/>
      </c>
      <c r="F518" s="157">
        <f>I233</f>
        <v/>
      </c>
      <c r="G518" s="174" t="inlineStr">
        <is>
          <t>Away</t>
        </is>
      </c>
      <c r="H518" s="176">
        <f>E233</f>
        <v/>
      </c>
      <c r="I518" s="157">
        <f>F233</f>
        <v/>
      </c>
      <c r="J518" s="177">
        <f>J233</f>
        <v/>
      </c>
      <c r="K518" s="156">
        <f>IF(AND(F518=0,I518=0),"",IF(F518&gt;I518,B518&amp;E518,IF(F518&lt;I518,B518&amp;H518,"Tie")))</f>
        <v/>
      </c>
      <c r="L518" s="156">
        <f>IFERROR(IF(AND(B518&lt;$L$1,F518&gt;I518),"Win",IF(AND(B518&lt;$L$1,F518&lt;I518),"Loss","")),"")</f>
        <v/>
      </c>
      <c r="M518" s="156">
        <f>IF(B518&lt;_CurWeek,"In","")</f>
        <v/>
      </c>
      <c r="N518" s="156">
        <f>IF(M518="In",E518&amp;G518,"")</f>
        <v/>
      </c>
      <c r="O518" s="156">
        <f>IF(L518="Win",1,0)</f>
        <v/>
      </c>
    </row>
    <row r="519" ht="14.4" customHeight="1" s="152">
      <c r="A519" s="167">
        <f>B519&amp;E519</f>
        <v/>
      </c>
      <c r="B519" s="174">
        <f>B234</f>
        <v/>
      </c>
      <c r="C519" s="174">
        <f>C234</f>
        <v/>
      </c>
      <c r="D519" s="174">
        <f>D234</f>
        <v/>
      </c>
      <c r="E519" s="174">
        <f>H234</f>
        <v/>
      </c>
      <c r="F519" s="157">
        <f>I234</f>
        <v/>
      </c>
      <c r="G519" s="174" t="inlineStr">
        <is>
          <t>Away</t>
        </is>
      </c>
      <c r="H519" s="176">
        <f>E234</f>
        <v/>
      </c>
      <c r="I519" s="157">
        <f>F234</f>
        <v/>
      </c>
      <c r="J519" s="177">
        <f>J234</f>
        <v/>
      </c>
      <c r="K519" s="156">
        <f>IF(AND(F519=0,I519=0),"",IF(F519&gt;I519,B519&amp;E519,IF(F519&lt;I519,B519&amp;H519,"Tie")))</f>
        <v/>
      </c>
      <c r="L519" s="156">
        <f>IFERROR(IF(AND(B519&lt;$L$1,F519&gt;I519),"Win",IF(AND(B519&lt;$L$1,F519&lt;I519),"Loss","")),"")</f>
        <v/>
      </c>
      <c r="M519" s="156">
        <f>IF(B519&lt;_CurWeek,"In","")</f>
        <v/>
      </c>
      <c r="N519" s="156">
        <f>IF(M519="In",E519&amp;G519,"")</f>
        <v/>
      </c>
      <c r="O519" s="156">
        <f>IF(L519="Win",1,0)</f>
        <v/>
      </c>
    </row>
    <row r="520" ht="14.4" customHeight="1" s="152">
      <c r="A520" s="167">
        <f>B520&amp;E520</f>
        <v/>
      </c>
      <c r="B520" s="174">
        <f>B235</f>
        <v/>
      </c>
      <c r="C520" s="174">
        <f>C235</f>
        <v/>
      </c>
      <c r="D520" s="174">
        <f>D235</f>
        <v/>
      </c>
      <c r="E520" s="174">
        <f>H235</f>
        <v/>
      </c>
      <c r="F520" s="157">
        <f>I235</f>
        <v/>
      </c>
      <c r="G520" s="174" t="inlineStr">
        <is>
          <t>Away</t>
        </is>
      </c>
      <c r="H520" s="176">
        <f>E235</f>
        <v/>
      </c>
      <c r="I520" s="157">
        <f>F235</f>
        <v/>
      </c>
      <c r="J520" s="177">
        <f>J235</f>
        <v/>
      </c>
      <c r="K520" s="156">
        <f>IF(AND(F520=0,I520=0),"",IF(F520&gt;I520,B520&amp;E520,IF(F520&lt;I520,B520&amp;H520,"Tie")))</f>
        <v/>
      </c>
      <c r="L520" s="156">
        <f>IFERROR(IF(AND(B520&lt;$L$1,F520&gt;I520),"Win",IF(AND(B520&lt;$L$1,F520&lt;I520),"Loss","")),"")</f>
        <v/>
      </c>
      <c r="M520" s="156">
        <f>IF(B520&lt;_CurWeek,"In","")</f>
        <v/>
      </c>
      <c r="N520" s="156">
        <f>IF(M520="In",E520&amp;G520,"")</f>
        <v/>
      </c>
      <c r="O520" s="156">
        <f>IF(L520="Win",1,0)</f>
        <v/>
      </c>
    </row>
    <row r="521" ht="14.4" customHeight="1" s="152">
      <c r="A521" s="167">
        <f>B521&amp;E521</f>
        <v/>
      </c>
      <c r="B521" s="174">
        <f>B236</f>
        <v/>
      </c>
      <c r="C521" s="174">
        <f>C236</f>
        <v/>
      </c>
      <c r="D521" s="174">
        <f>D236</f>
        <v/>
      </c>
      <c r="E521" s="174">
        <f>H236</f>
        <v/>
      </c>
      <c r="F521" s="157">
        <f>I236</f>
        <v/>
      </c>
      <c r="G521" s="174" t="inlineStr">
        <is>
          <t>Away</t>
        </is>
      </c>
      <c r="H521" s="176">
        <f>E236</f>
        <v/>
      </c>
      <c r="I521" s="157">
        <f>F236</f>
        <v/>
      </c>
      <c r="J521" s="177">
        <f>J236</f>
        <v/>
      </c>
      <c r="K521" s="156">
        <f>IF(AND(F521=0,I521=0),"",IF(F521&gt;I521,B521&amp;E521,IF(F521&lt;I521,B521&amp;H521,"Tie")))</f>
        <v/>
      </c>
      <c r="L521" s="156">
        <f>IFERROR(IF(AND(B521&lt;$L$1,F521&gt;I521),"Win",IF(AND(B521&lt;$L$1,F521&lt;I521),"Loss","")),"")</f>
        <v/>
      </c>
      <c r="M521" s="156">
        <f>IF(B521&lt;_CurWeek,"In","")</f>
        <v/>
      </c>
      <c r="N521" s="156">
        <f>IF(M521="In",E521&amp;G521,"")</f>
        <v/>
      </c>
      <c r="O521" s="156">
        <f>IF(L521="Win",1,0)</f>
        <v/>
      </c>
    </row>
    <row r="522" ht="14.4" customHeight="1" s="152">
      <c r="A522" s="167">
        <f>B522&amp;E522</f>
        <v/>
      </c>
      <c r="B522" s="174">
        <f>B237</f>
        <v/>
      </c>
      <c r="C522" s="174">
        <f>C237</f>
        <v/>
      </c>
      <c r="D522" s="174">
        <f>D237</f>
        <v/>
      </c>
      <c r="E522" s="174">
        <f>H237</f>
        <v/>
      </c>
      <c r="F522" s="157">
        <f>I237</f>
        <v/>
      </c>
      <c r="G522" s="174" t="inlineStr">
        <is>
          <t>Away</t>
        </is>
      </c>
      <c r="H522" s="176">
        <f>E237</f>
        <v/>
      </c>
      <c r="I522" s="157">
        <f>F237</f>
        <v/>
      </c>
      <c r="J522" s="177">
        <f>J237</f>
        <v/>
      </c>
      <c r="K522" s="156">
        <f>IF(AND(F522=0,I522=0),"",IF(F522&gt;I522,B522&amp;E522,IF(F522&lt;I522,B522&amp;H522,"Tie")))</f>
        <v/>
      </c>
      <c r="L522" s="156">
        <f>IFERROR(IF(AND(B522&lt;$L$1,F522&gt;I522),"Win",IF(AND(B522&lt;$L$1,F522&lt;I522),"Loss","")),"")</f>
        <v/>
      </c>
      <c r="M522" s="156">
        <f>IF(B522&lt;_CurWeek,"In","")</f>
        <v/>
      </c>
      <c r="N522" s="156">
        <f>IF(M522="In",E522&amp;G522,"")</f>
        <v/>
      </c>
      <c r="O522" s="156">
        <f>IF(L522="Win",1,0)</f>
        <v/>
      </c>
    </row>
    <row r="523" ht="14.4" customHeight="1" s="152">
      <c r="A523" s="167">
        <f>B523&amp;E523</f>
        <v/>
      </c>
      <c r="B523" s="174">
        <f>B238</f>
        <v/>
      </c>
      <c r="C523" s="174">
        <f>C238</f>
        <v/>
      </c>
      <c r="D523" s="174">
        <f>D238</f>
        <v/>
      </c>
      <c r="E523" s="174">
        <f>H238</f>
        <v/>
      </c>
      <c r="F523" s="157">
        <f>I238</f>
        <v/>
      </c>
      <c r="G523" s="174" t="inlineStr">
        <is>
          <t>Away</t>
        </is>
      </c>
      <c r="H523" s="176">
        <f>E238</f>
        <v/>
      </c>
      <c r="I523" s="157">
        <f>F238</f>
        <v/>
      </c>
      <c r="J523" s="177">
        <f>J238</f>
        <v/>
      </c>
      <c r="K523" s="156">
        <f>IF(AND(F523=0,I523=0),"",IF(F523&gt;I523,B523&amp;E523,IF(F523&lt;I523,B523&amp;H523,"Tie")))</f>
        <v/>
      </c>
      <c r="L523" s="156">
        <f>IFERROR(IF(AND(B523&lt;$L$1,F523&gt;I523),"Win",IF(AND(B523&lt;$L$1,F523&lt;I523),"Loss","")),"")</f>
        <v/>
      </c>
      <c r="M523" s="156">
        <f>IF(B523&lt;_CurWeek,"In","")</f>
        <v/>
      </c>
      <c r="N523" s="156">
        <f>IF(M523="In",E523&amp;G523,"")</f>
        <v/>
      </c>
      <c r="O523" s="156">
        <f>IF(L523="Win",1,0)</f>
        <v/>
      </c>
    </row>
    <row r="524" ht="14.4" customHeight="1" s="152">
      <c r="A524" s="167">
        <f>B524&amp;E524</f>
        <v/>
      </c>
      <c r="B524" s="174">
        <f>B239</f>
        <v/>
      </c>
      <c r="C524" s="174">
        <f>C239</f>
        <v/>
      </c>
      <c r="D524" s="174">
        <f>D239</f>
        <v/>
      </c>
      <c r="E524" s="174">
        <f>H239</f>
        <v/>
      </c>
      <c r="F524" s="157">
        <f>I239</f>
        <v/>
      </c>
      <c r="G524" s="174" t="inlineStr">
        <is>
          <t>Away</t>
        </is>
      </c>
      <c r="H524" s="176">
        <f>E239</f>
        <v/>
      </c>
      <c r="I524" s="157">
        <f>F239</f>
        <v/>
      </c>
      <c r="J524" s="177">
        <f>J239</f>
        <v/>
      </c>
      <c r="K524" s="156">
        <f>IF(AND(F524=0,I524=0),"",IF(F524&gt;I524,B524&amp;E524,IF(F524&lt;I524,B524&amp;H524,"Tie")))</f>
        <v/>
      </c>
      <c r="L524" s="156">
        <f>IFERROR(IF(AND(B524&lt;$L$1,F524&gt;I524),"Win",IF(AND(B524&lt;$L$1,F524&lt;I524),"Loss","")),"")</f>
        <v/>
      </c>
      <c r="M524" s="156">
        <f>IF(B524&lt;_CurWeek,"In","")</f>
        <v/>
      </c>
      <c r="N524" s="156">
        <f>IF(M524="In",E524&amp;G524,"")</f>
        <v/>
      </c>
      <c r="O524" s="156">
        <f>IF(L524="Win",1,0)</f>
        <v/>
      </c>
    </row>
    <row r="525" ht="14.4" customHeight="1" s="152">
      <c r="A525" s="167">
        <f>B525&amp;E525</f>
        <v/>
      </c>
      <c r="B525" s="174">
        <f>B240</f>
        <v/>
      </c>
      <c r="C525" s="174">
        <f>C240</f>
        <v/>
      </c>
      <c r="D525" s="174">
        <f>D240</f>
        <v/>
      </c>
      <c r="E525" s="174">
        <f>H240</f>
        <v/>
      </c>
      <c r="F525" s="157">
        <f>I240</f>
        <v/>
      </c>
      <c r="G525" s="174" t="inlineStr">
        <is>
          <t>Away</t>
        </is>
      </c>
      <c r="H525" s="176">
        <f>E240</f>
        <v/>
      </c>
      <c r="I525" s="157">
        <f>F240</f>
        <v/>
      </c>
      <c r="J525" s="177">
        <f>J240</f>
        <v/>
      </c>
      <c r="K525" s="156">
        <f>IF(AND(F525=0,I525=0),"",IF(F525&gt;I525,B525&amp;E525,IF(F525&lt;I525,B525&amp;H525,"Tie")))</f>
        <v/>
      </c>
      <c r="L525" s="156">
        <f>IFERROR(IF(AND(B525&lt;$L$1,F525&gt;I525),"Win",IF(AND(B525&lt;$L$1,F525&lt;I525),"Loss","")),"")</f>
        <v/>
      </c>
      <c r="M525" s="156">
        <f>IF(B525&lt;_CurWeek,"In","")</f>
        <v/>
      </c>
      <c r="N525" s="156">
        <f>IF(M525="In",E525&amp;G525,"")</f>
        <v/>
      </c>
      <c r="O525" s="156">
        <f>IF(L525="Win",1,0)</f>
        <v/>
      </c>
    </row>
    <row r="526" ht="14.4" customHeight="1" s="152">
      <c r="A526" s="167">
        <f>B526&amp;E526</f>
        <v/>
      </c>
      <c r="B526" s="174">
        <f>B241</f>
        <v/>
      </c>
      <c r="C526" s="174">
        <f>C241</f>
        <v/>
      </c>
      <c r="D526" s="174">
        <f>D241</f>
        <v/>
      </c>
      <c r="E526" s="174">
        <f>H241</f>
        <v/>
      </c>
      <c r="F526" s="157">
        <f>I241</f>
        <v/>
      </c>
      <c r="G526" s="174" t="inlineStr">
        <is>
          <t>Away</t>
        </is>
      </c>
      <c r="H526" s="176">
        <f>E241</f>
        <v/>
      </c>
      <c r="I526" s="157">
        <f>F241</f>
        <v/>
      </c>
      <c r="J526" s="177">
        <f>J241</f>
        <v/>
      </c>
      <c r="K526" s="156">
        <f>IF(AND(F526=0,I526=0),"",IF(F526&gt;I526,B526&amp;E526,IF(F526&lt;I526,B526&amp;H526,"Tie")))</f>
        <v/>
      </c>
      <c r="L526" s="156">
        <f>IFERROR(IF(AND(B526&lt;$L$1,F526&gt;I526),"Win",IF(AND(B526&lt;$L$1,F526&lt;I526),"Loss","")),"")</f>
        <v/>
      </c>
      <c r="M526" s="156">
        <f>IF(B526&lt;_CurWeek,"In","")</f>
        <v/>
      </c>
      <c r="N526" s="156">
        <f>IF(M526="In",E526&amp;G526,"")</f>
        <v/>
      </c>
      <c r="O526" s="156">
        <f>IF(L526="Win",1,0)</f>
        <v/>
      </c>
    </row>
    <row r="527" ht="14.4" customHeight="1" s="152">
      <c r="A527" s="167">
        <f>B527&amp;E527</f>
        <v/>
      </c>
      <c r="B527" s="174">
        <f>B242</f>
        <v/>
      </c>
      <c r="C527" s="174">
        <f>C242</f>
        <v/>
      </c>
      <c r="D527" s="174">
        <f>D242</f>
        <v/>
      </c>
      <c r="E527" s="174">
        <f>H242</f>
        <v/>
      </c>
      <c r="F527" s="157">
        <f>I242</f>
        <v/>
      </c>
      <c r="G527" s="174" t="inlineStr">
        <is>
          <t>Away</t>
        </is>
      </c>
      <c r="H527" s="176">
        <f>E242</f>
        <v/>
      </c>
      <c r="I527" s="157">
        <f>F242</f>
        <v/>
      </c>
      <c r="J527" s="177">
        <f>J242</f>
        <v/>
      </c>
      <c r="K527" s="156">
        <f>IF(AND(F527=0,I527=0),"",IF(F527&gt;I527,B527&amp;E527,IF(F527&lt;I527,B527&amp;H527,"Tie")))</f>
        <v/>
      </c>
      <c r="L527" s="156">
        <f>IFERROR(IF(AND(B527&lt;$L$1,F527&gt;I527),"Win",IF(AND(B527&lt;$L$1,F527&lt;I527),"Loss","")),"")</f>
        <v/>
      </c>
      <c r="M527" s="156">
        <f>IF(B527&lt;_CurWeek,"In","")</f>
        <v/>
      </c>
      <c r="N527" s="156">
        <f>IF(M527="In",E527&amp;G527,"")</f>
        <v/>
      </c>
      <c r="O527" s="156">
        <f>IF(L527="Win",1,0)</f>
        <v/>
      </c>
    </row>
    <row r="528" ht="14.4" customHeight="1" s="152">
      <c r="A528" s="167">
        <f>B528&amp;E528</f>
        <v/>
      </c>
      <c r="B528" s="174">
        <f>B243</f>
        <v/>
      </c>
      <c r="C528" s="174">
        <f>C243</f>
        <v/>
      </c>
      <c r="D528" s="174">
        <f>D243</f>
        <v/>
      </c>
      <c r="E528" s="174">
        <f>H243</f>
        <v/>
      </c>
      <c r="F528" s="157">
        <f>I243</f>
        <v/>
      </c>
      <c r="G528" s="174" t="inlineStr">
        <is>
          <t>Away</t>
        </is>
      </c>
      <c r="H528" s="176">
        <f>E243</f>
        <v/>
      </c>
      <c r="I528" s="157">
        <f>F243</f>
        <v/>
      </c>
      <c r="J528" s="177">
        <f>J243</f>
        <v/>
      </c>
      <c r="K528" s="156">
        <f>IF(AND(F528=0,I528=0),"",IF(F528&gt;I528,B528&amp;E528,IF(F528&lt;I528,B528&amp;H528,"Tie")))</f>
        <v/>
      </c>
      <c r="L528" s="156">
        <f>IFERROR(IF(AND(B528&lt;$L$1,F528&gt;I528),"Win",IF(AND(B528&lt;$L$1,F528&lt;I528),"Loss","")),"")</f>
        <v/>
      </c>
      <c r="M528" s="156">
        <f>IF(B528&lt;_CurWeek,"In","")</f>
        <v/>
      </c>
      <c r="N528" s="156">
        <f>IF(M528="In",E528&amp;G528,"")</f>
        <v/>
      </c>
      <c r="O528" s="156">
        <f>IF(L528="Win",1,0)</f>
        <v/>
      </c>
    </row>
    <row r="529" ht="14.4" customHeight="1" s="152">
      <c r="A529" s="167">
        <f>B529&amp;E529</f>
        <v/>
      </c>
      <c r="B529" s="174">
        <f>B244</f>
        <v/>
      </c>
      <c r="C529" s="174">
        <f>C244</f>
        <v/>
      </c>
      <c r="D529" s="174">
        <f>D244</f>
        <v/>
      </c>
      <c r="E529" s="174">
        <f>H244</f>
        <v/>
      </c>
      <c r="F529" s="157">
        <f>I244</f>
        <v/>
      </c>
      <c r="G529" s="174" t="inlineStr">
        <is>
          <t>Away</t>
        </is>
      </c>
      <c r="H529" s="176">
        <f>E244</f>
        <v/>
      </c>
      <c r="I529" s="157">
        <f>F244</f>
        <v/>
      </c>
      <c r="J529" s="177">
        <f>J244</f>
        <v/>
      </c>
      <c r="K529" s="156">
        <f>IF(AND(F529=0,I529=0),"",IF(F529&gt;I529,B529&amp;E529,IF(F529&lt;I529,B529&amp;H529,"Tie")))</f>
        <v/>
      </c>
      <c r="L529" s="156">
        <f>IFERROR(IF(AND(B529&lt;$L$1,F529&gt;I529),"Win",IF(AND(B529&lt;$L$1,F529&lt;I529),"Loss","")),"")</f>
        <v/>
      </c>
      <c r="M529" s="156">
        <f>IF(B529&lt;_CurWeek,"In","")</f>
        <v/>
      </c>
      <c r="N529" s="156">
        <f>IF(M529="In",E529&amp;G529,"")</f>
        <v/>
      </c>
      <c r="O529" s="156">
        <f>IF(L529="Win",1,0)</f>
        <v/>
      </c>
    </row>
    <row r="530" ht="14.4" customHeight="1" s="152">
      <c r="A530" s="167">
        <f>B530&amp;E530</f>
        <v/>
      </c>
      <c r="B530" s="174">
        <f>B245</f>
        <v/>
      </c>
      <c r="C530" s="174">
        <f>C245</f>
        <v/>
      </c>
      <c r="D530" s="174">
        <f>D245</f>
        <v/>
      </c>
      <c r="E530" s="174">
        <f>H245</f>
        <v/>
      </c>
      <c r="F530" s="157">
        <f>I245</f>
        <v/>
      </c>
      <c r="G530" s="174" t="inlineStr">
        <is>
          <t>Away</t>
        </is>
      </c>
      <c r="H530" s="176">
        <f>E245</f>
        <v/>
      </c>
      <c r="I530" s="157">
        <f>F245</f>
        <v/>
      </c>
      <c r="J530" s="177">
        <f>J245</f>
        <v/>
      </c>
      <c r="K530" s="156">
        <f>IF(AND(F530=0,I530=0),"",IF(F530&gt;I530,B530&amp;E530,IF(F530&lt;I530,B530&amp;H530,"Tie")))</f>
        <v/>
      </c>
      <c r="L530" s="156">
        <f>IFERROR(IF(AND(B530&lt;$L$1,F530&gt;I530),"Win",IF(AND(B530&lt;$L$1,F530&lt;I530),"Loss","")),"")</f>
        <v/>
      </c>
      <c r="M530" s="156">
        <f>IF(B530&lt;_CurWeek,"In","")</f>
        <v/>
      </c>
      <c r="N530" s="156">
        <f>IF(M530="In",E530&amp;G530,"")</f>
        <v/>
      </c>
      <c r="O530" s="156">
        <f>IF(L530="Win",1,0)</f>
        <v/>
      </c>
    </row>
    <row r="531" ht="14.4" customHeight="1" s="152">
      <c r="A531" s="167">
        <f>B531&amp;E531</f>
        <v/>
      </c>
      <c r="B531" s="174">
        <f>B246</f>
        <v/>
      </c>
      <c r="C531" s="174">
        <f>C246</f>
        <v/>
      </c>
      <c r="D531" s="174">
        <f>D246</f>
        <v/>
      </c>
      <c r="E531" s="174">
        <f>H246</f>
        <v/>
      </c>
      <c r="F531" s="157">
        <f>I246</f>
        <v/>
      </c>
      <c r="G531" s="174" t="inlineStr">
        <is>
          <t>Away</t>
        </is>
      </c>
      <c r="H531" s="176">
        <f>E246</f>
        <v/>
      </c>
      <c r="I531" s="157">
        <f>F246</f>
        <v/>
      </c>
      <c r="J531" s="177">
        <f>J246</f>
        <v/>
      </c>
      <c r="K531" s="156">
        <f>IF(AND(F531=0,I531=0),"",IF(F531&gt;I531,B531&amp;E531,IF(F531&lt;I531,B531&amp;H531,"Tie")))</f>
        <v/>
      </c>
      <c r="L531" s="156">
        <f>IFERROR(IF(AND(B531&lt;$L$1,F531&gt;I531),"Win",IF(AND(B531&lt;$L$1,F531&lt;I531),"Loss","")),"")</f>
        <v/>
      </c>
      <c r="M531" s="156">
        <f>IF(B531&lt;_CurWeek,"In","")</f>
        <v/>
      </c>
      <c r="N531" s="156">
        <f>IF(M531="In",E531&amp;G531,"")</f>
        <v/>
      </c>
      <c r="O531" s="156">
        <f>IF(L531="Win",1,0)</f>
        <v/>
      </c>
    </row>
    <row r="532" ht="14.4" customHeight="1" s="152">
      <c r="A532" s="167">
        <f>B532&amp;E532</f>
        <v/>
      </c>
      <c r="B532" s="174">
        <f>B247</f>
        <v/>
      </c>
      <c r="C532" s="174">
        <f>C247</f>
        <v/>
      </c>
      <c r="D532" s="174">
        <f>D247</f>
        <v/>
      </c>
      <c r="E532" s="174">
        <f>H247</f>
        <v/>
      </c>
      <c r="F532" s="157">
        <f>I247</f>
        <v/>
      </c>
      <c r="G532" s="174" t="inlineStr">
        <is>
          <t>Away</t>
        </is>
      </c>
      <c r="H532" s="176">
        <f>E247</f>
        <v/>
      </c>
      <c r="I532" s="157">
        <f>F247</f>
        <v/>
      </c>
      <c r="J532" s="177">
        <f>J247</f>
        <v/>
      </c>
      <c r="K532" s="156">
        <f>IF(AND(F532=0,I532=0),"",IF(F532&gt;I532,B532&amp;E532,IF(F532&lt;I532,B532&amp;H532,"Tie")))</f>
        <v/>
      </c>
      <c r="L532" s="156">
        <f>IFERROR(IF(AND(B532&lt;$L$1,F532&gt;I532),"Win",IF(AND(B532&lt;$L$1,F532&lt;I532),"Loss","")),"")</f>
        <v/>
      </c>
      <c r="M532" s="156">
        <f>IF(B532&lt;_CurWeek,"In","")</f>
        <v/>
      </c>
      <c r="N532" s="156">
        <f>IF(M532="In",E532&amp;G532,"")</f>
        <v/>
      </c>
      <c r="O532" s="156">
        <f>IF(L532="Win",1,0)</f>
        <v/>
      </c>
    </row>
    <row r="533" ht="14.4" customHeight="1" s="152">
      <c r="A533" s="167">
        <f>B533&amp;E533</f>
        <v/>
      </c>
      <c r="B533" s="174">
        <f>B248</f>
        <v/>
      </c>
      <c r="C533" s="174">
        <f>C248</f>
        <v/>
      </c>
      <c r="D533" s="174">
        <f>D248</f>
        <v/>
      </c>
      <c r="E533" s="174">
        <f>H248</f>
        <v/>
      </c>
      <c r="F533" s="157">
        <f>I248</f>
        <v/>
      </c>
      <c r="G533" s="174" t="inlineStr">
        <is>
          <t>Away</t>
        </is>
      </c>
      <c r="H533" s="176">
        <f>E248</f>
        <v/>
      </c>
      <c r="I533" s="157">
        <f>F248</f>
        <v/>
      </c>
      <c r="J533" s="177">
        <f>J248</f>
        <v/>
      </c>
      <c r="K533" s="156">
        <f>IF(AND(F533=0,I533=0),"",IF(F533&gt;I533,B533&amp;E533,IF(F533&lt;I533,B533&amp;H533,"Tie")))</f>
        <v/>
      </c>
      <c r="L533" s="156">
        <f>IFERROR(IF(AND(B533&lt;$L$1,F533&gt;I533),"Win",IF(AND(B533&lt;$L$1,F533&lt;I533),"Loss","")),"")</f>
        <v/>
      </c>
      <c r="M533" s="156">
        <f>IF(B533&lt;_CurWeek,"In","")</f>
        <v/>
      </c>
      <c r="N533" s="156">
        <f>IF(M533="In",E533&amp;G533,"")</f>
        <v/>
      </c>
      <c r="O533" s="156">
        <f>IF(L533="Win",1,0)</f>
        <v/>
      </c>
    </row>
    <row r="534" ht="14.4" customHeight="1" s="152">
      <c r="A534" s="167">
        <f>B534&amp;E534</f>
        <v/>
      </c>
      <c r="B534" s="174">
        <f>B249</f>
        <v/>
      </c>
      <c r="C534" s="174">
        <f>C249</f>
        <v/>
      </c>
      <c r="D534" s="174">
        <f>D249</f>
        <v/>
      </c>
      <c r="E534" s="174">
        <f>H249</f>
        <v/>
      </c>
      <c r="F534" s="157">
        <f>I249</f>
        <v/>
      </c>
      <c r="G534" s="174" t="inlineStr">
        <is>
          <t>Away</t>
        </is>
      </c>
      <c r="H534" s="176">
        <f>E249</f>
        <v/>
      </c>
      <c r="I534" s="157">
        <f>F249</f>
        <v/>
      </c>
      <c r="J534" s="177">
        <f>J249</f>
        <v/>
      </c>
      <c r="K534" s="156">
        <f>IF(AND(F534=0,I534=0),"",IF(F534&gt;I534,B534&amp;E534,IF(F534&lt;I534,B534&amp;H534,"Tie")))</f>
        <v/>
      </c>
      <c r="L534" s="156">
        <f>IFERROR(IF(AND(B534&lt;$L$1,F534&gt;I534),"Win",IF(AND(B534&lt;$L$1,F534&lt;I534),"Loss","")),"")</f>
        <v/>
      </c>
      <c r="M534" s="156">
        <f>IF(B534&lt;_CurWeek,"In","")</f>
        <v/>
      </c>
      <c r="N534" s="156">
        <f>IF(M534="In",E534&amp;G534,"")</f>
        <v/>
      </c>
      <c r="O534" s="156">
        <f>IF(L534="Win",1,0)</f>
        <v/>
      </c>
    </row>
    <row r="535" ht="14.4" customHeight="1" s="152">
      <c r="A535" s="167">
        <f>B535&amp;E535</f>
        <v/>
      </c>
      <c r="B535" s="174">
        <f>B250</f>
        <v/>
      </c>
      <c r="C535" s="174">
        <f>C250</f>
        <v/>
      </c>
      <c r="D535" s="174">
        <f>D250</f>
        <v/>
      </c>
      <c r="E535" s="174">
        <f>H250</f>
        <v/>
      </c>
      <c r="F535" s="157">
        <f>I250</f>
        <v/>
      </c>
      <c r="G535" s="174" t="inlineStr">
        <is>
          <t>Away</t>
        </is>
      </c>
      <c r="H535" s="176">
        <f>E250</f>
        <v/>
      </c>
      <c r="I535" s="157">
        <f>F250</f>
        <v/>
      </c>
      <c r="J535" s="177">
        <f>J250</f>
        <v/>
      </c>
      <c r="K535" s="156">
        <f>IF(AND(F535=0,I535=0),"",IF(F535&gt;I535,B535&amp;E535,IF(F535&lt;I535,B535&amp;H535,"Tie")))</f>
        <v/>
      </c>
      <c r="L535" s="156">
        <f>IFERROR(IF(AND(B535&lt;$L$1,F535&gt;I535),"Win",IF(AND(B535&lt;$L$1,F535&lt;I535),"Loss","")),"")</f>
        <v/>
      </c>
      <c r="M535" s="156">
        <f>IF(B535&lt;_CurWeek,"In","")</f>
        <v/>
      </c>
      <c r="N535" s="156">
        <f>IF(M535="In",E535&amp;G535,"")</f>
        <v/>
      </c>
      <c r="O535" s="156">
        <f>IF(L535="Win",1,0)</f>
        <v/>
      </c>
    </row>
    <row r="536" ht="14.4" customHeight="1" s="152">
      <c r="A536" s="167">
        <f>B536&amp;E536</f>
        <v/>
      </c>
      <c r="B536" s="174">
        <f>B251</f>
        <v/>
      </c>
      <c r="C536" s="174">
        <f>C251</f>
        <v/>
      </c>
      <c r="D536" s="174">
        <f>D251</f>
        <v/>
      </c>
      <c r="E536" s="174">
        <f>H251</f>
        <v/>
      </c>
      <c r="F536" s="157">
        <f>I251</f>
        <v/>
      </c>
      <c r="G536" s="174" t="inlineStr">
        <is>
          <t>Away</t>
        </is>
      </c>
      <c r="H536" s="176">
        <f>E251</f>
        <v/>
      </c>
      <c r="I536" s="157">
        <f>F251</f>
        <v/>
      </c>
      <c r="J536" s="177">
        <f>J251</f>
        <v/>
      </c>
      <c r="K536" s="156">
        <f>IF(AND(F536=0,I536=0),"",IF(F536&gt;I536,B536&amp;E536,IF(F536&lt;I536,B536&amp;H536,"Tie")))</f>
        <v/>
      </c>
      <c r="L536" s="156">
        <f>IFERROR(IF(AND(B536&lt;$L$1,F536&gt;I536),"Win",IF(AND(B536&lt;$L$1,F536&lt;I536),"Loss","")),"")</f>
        <v/>
      </c>
      <c r="M536" s="156">
        <f>IF(B536&lt;_CurWeek,"In","")</f>
        <v/>
      </c>
      <c r="N536" s="156">
        <f>IF(M536="In",E536&amp;G536,"")</f>
        <v/>
      </c>
      <c r="O536" s="156">
        <f>IF(L536="Win",1,0)</f>
        <v/>
      </c>
    </row>
    <row r="537" ht="14.4" customHeight="1" s="152">
      <c r="A537" s="167">
        <f>B537&amp;E537</f>
        <v/>
      </c>
      <c r="B537" s="174">
        <f>B252</f>
        <v/>
      </c>
      <c r="C537" s="174">
        <f>C252</f>
        <v/>
      </c>
      <c r="D537" s="174">
        <f>D252</f>
        <v/>
      </c>
      <c r="E537" s="174">
        <f>H252</f>
        <v/>
      </c>
      <c r="F537" s="157">
        <f>I252</f>
        <v/>
      </c>
      <c r="G537" s="174" t="inlineStr">
        <is>
          <t>Away</t>
        </is>
      </c>
      <c r="H537" s="176">
        <f>E252</f>
        <v/>
      </c>
      <c r="I537" s="157">
        <f>F252</f>
        <v/>
      </c>
      <c r="J537" s="177">
        <f>J252</f>
        <v/>
      </c>
      <c r="K537" s="156">
        <f>IF(AND(F537=0,I537=0),"",IF(F537&gt;I537,B537&amp;E537,IF(F537&lt;I537,B537&amp;H537,"Tie")))</f>
        <v/>
      </c>
      <c r="L537" s="156">
        <f>IFERROR(IF(AND(B537&lt;$L$1,F537&gt;I537),"Win",IF(AND(B537&lt;$L$1,F537&lt;I537),"Loss","")),"")</f>
        <v/>
      </c>
      <c r="M537" s="156">
        <f>IF(B537&lt;_CurWeek,"In","")</f>
        <v/>
      </c>
      <c r="N537" s="156">
        <f>IF(M537="In",E537&amp;G537,"")</f>
        <v/>
      </c>
      <c r="O537" s="156">
        <f>IF(L537="Win",1,0)</f>
        <v/>
      </c>
    </row>
    <row r="538" ht="14.4" customHeight="1" s="152">
      <c r="A538" s="167">
        <f>B538&amp;E538</f>
        <v/>
      </c>
      <c r="B538" s="174">
        <f>B253</f>
        <v/>
      </c>
      <c r="C538" s="174">
        <f>C253</f>
        <v/>
      </c>
      <c r="D538" s="174">
        <f>D253</f>
        <v/>
      </c>
      <c r="E538" s="174">
        <f>H253</f>
        <v/>
      </c>
      <c r="F538" s="157">
        <f>I253</f>
        <v/>
      </c>
      <c r="G538" s="174" t="inlineStr">
        <is>
          <t>Away</t>
        </is>
      </c>
      <c r="H538" s="176">
        <f>E253</f>
        <v/>
      </c>
      <c r="I538" s="157">
        <f>F253</f>
        <v/>
      </c>
      <c r="J538" s="177">
        <f>J253</f>
        <v/>
      </c>
      <c r="K538" s="156">
        <f>IF(AND(F538=0,I538=0),"",IF(F538&gt;I538,B538&amp;E538,IF(F538&lt;I538,B538&amp;H538,"Tie")))</f>
        <v/>
      </c>
      <c r="L538" s="156">
        <f>IFERROR(IF(AND(B538&lt;$L$1,F538&gt;I538),"Win",IF(AND(B538&lt;$L$1,F538&lt;I538),"Loss","")),"")</f>
        <v/>
      </c>
      <c r="M538" s="156">
        <f>IF(B538&lt;_CurWeek,"In","")</f>
        <v/>
      </c>
      <c r="N538" s="156">
        <f>IF(M538="In",E538&amp;G538,"")</f>
        <v/>
      </c>
      <c r="O538" s="156">
        <f>IF(L538="Win",1,0)</f>
        <v/>
      </c>
    </row>
    <row r="539" ht="14.4" customHeight="1" s="152">
      <c r="A539" s="167">
        <f>B539&amp;E539</f>
        <v/>
      </c>
      <c r="B539" s="174">
        <f>B254</f>
        <v/>
      </c>
      <c r="C539" s="174">
        <f>C254</f>
        <v/>
      </c>
      <c r="D539" s="174">
        <f>D254</f>
        <v/>
      </c>
      <c r="E539" s="174">
        <f>H254</f>
        <v/>
      </c>
      <c r="F539" s="157">
        <f>I254</f>
        <v/>
      </c>
      <c r="G539" s="174" t="inlineStr">
        <is>
          <t>Away</t>
        </is>
      </c>
      <c r="H539" s="176">
        <f>E254</f>
        <v/>
      </c>
      <c r="I539" s="157">
        <f>F254</f>
        <v/>
      </c>
      <c r="J539" s="177">
        <f>J254</f>
        <v/>
      </c>
      <c r="K539" s="156">
        <f>IF(AND(F539=0,I539=0),"",IF(F539&gt;I539,B539&amp;E539,IF(F539&lt;I539,B539&amp;H539,"Tie")))</f>
        <v/>
      </c>
      <c r="L539" s="156">
        <f>IFERROR(IF(AND(B539&lt;$L$1,F539&gt;I539),"Win",IF(AND(B539&lt;$L$1,F539&lt;I539),"Loss","")),"")</f>
        <v/>
      </c>
      <c r="M539" s="156">
        <f>IF(B539&lt;_CurWeek,"In","")</f>
        <v/>
      </c>
      <c r="N539" s="156">
        <f>IF(M539="In",E539&amp;G539,"")</f>
        <v/>
      </c>
      <c r="O539" s="156">
        <f>IF(L539="Win",1,0)</f>
        <v/>
      </c>
    </row>
    <row r="540" ht="14.4" customHeight="1" s="152">
      <c r="A540" s="167">
        <f>B540&amp;E540</f>
        <v/>
      </c>
      <c r="B540" s="174">
        <f>B255</f>
        <v/>
      </c>
      <c r="C540" s="174">
        <f>C255</f>
        <v/>
      </c>
      <c r="D540" s="174">
        <f>D255</f>
        <v/>
      </c>
      <c r="E540" s="174">
        <f>H255</f>
        <v/>
      </c>
      <c r="F540" s="157">
        <f>I255</f>
        <v/>
      </c>
      <c r="G540" s="174" t="inlineStr">
        <is>
          <t>Away</t>
        </is>
      </c>
      <c r="H540" s="176">
        <f>E255</f>
        <v/>
      </c>
      <c r="I540" s="157">
        <f>F255</f>
        <v/>
      </c>
      <c r="J540" s="177">
        <f>J255</f>
        <v/>
      </c>
      <c r="K540" s="156">
        <f>IF(AND(F540=0,I540=0),"",IF(F540&gt;I540,B540&amp;E540,IF(F540&lt;I540,B540&amp;H540,"Tie")))</f>
        <v/>
      </c>
      <c r="L540" s="156">
        <f>IFERROR(IF(AND(B540&lt;$L$1,F540&gt;I540),"Win",IF(AND(B540&lt;$L$1,F540&lt;I540),"Loss","")),"")</f>
        <v/>
      </c>
      <c r="M540" s="156">
        <f>IF(B540&lt;_CurWeek,"In","")</f>
        <v/>
      </c>
      <c r="N540" s="156">
        <f>IF(M540="In",E540&amp;G540,"")</f>
        <v/>
      </c>
      <c r="O540" s="156">
        <f>IF(L540="Win",1,0)</f>
        <v/>
      </c>
    </row>
    <row r="541" ht="14.4" customHeight="1" s="152">
      <c r="A541" s="167">
        <f>B541&amp;E541</f>
        <v/>
      </c>
      <c r="B541" s="174">
        <f>B256</f>
        <v/>
      </c>
      <c r="C541" s="174">
        <f>C256</f>
        <v/>
      </c>
      <c r="D541" s="174">
        <f>D256</f>
        <v/>
      </c>
      <c r="E541" s="174">
        <f>H256</f>
        <v/>
      </c>
      <c r="F541" s="157">
        <f>I256</f>
        <v/>
      </c>
      <c r="G541" s="174" t="inlineStr">
        <is>
          <t>Away</t>
        </is>
      </c>
      <c r="H541" s="176">
        <f>E256</f>
        <v/>
      </c>
      <c r="I541" s="157">
        <f>F256</f>
        <v/>
      </c>
      <c r="J541" s="177">
        <f>J256</f>
        <v/>
      </c>
      <c r="K541" s="156">
        <f>IF(AND(F541=0,I541=0),"",IF(F541&gt;I541,B541&amp;E541,IF(F541&lt;I541,B541&amp;H541,"Tie")))</f>
        <v/>
      </c>
      <c r="L541" s="156">
        <f>IFERROR(IF(AND(B541&lt;$L$1,F541&gt;I541),"Win",IF(AND(B541&lt;$L$1,F541&lt;I541),"Loss","")),"")</f>
        <v/>
      </c>
      <c r="M541" s="156">
        <f>IF(B541&lt;_CurWeek,"In","")</f>
        <v/>
      </c>
      <c r="N541" s="156">
        <f>IF(M541="In",E541&amp;G541,"")</f>
        <v/>
      </c>
      <c r="O541" s="156">
        <f>IF(L541="Win",1,0)</f>
        <v/>
      </c>
    </row>
    <row r="542" ht="14.4" customHeight="1" s="152">
      <c r="A542" s="167">
        <f>B542&amp;E542</f>
        <v/>
      </c>
      <c r="B542" s="174">
        <f>B257</f>
        <v/>
      </c>
      <c r="C542" s="174">
        <f>C257</f>
        <v/>
      </c>
      <c r="D542" s="174">
        <f>D257</f>
        <v/>
      </c>
      <c r="E542" s="174">
        <f>H257</f>
        <v/>
      </c>
      <c r="F542" s="157">
        <f>I257</f>
        <v/>
      </c>
      <c r="G542" s="174" t="inlineStr">
        <is>
          <t>Away</t>
        </is>
      </c>
      <c r="H542" s="176">
        <f>E257</f>
        <v/>
      </c>
      <c r="I542" s="157">
        <f>F257</f>
        <v/>
      </c>
      <c r="J542" s="177">
        <f>J257</f>
        <v/>
      </c>
      <c r="K542" s="156">
        <f>IF(AND(F542=0,I542=0),"",IF(F542&gt;I542,B542&amp;E542,IF(F542&lt;I542,B542&amp;H542,"Tie")))</f>
        <v/>
      </c>
      <c r="L542" s="156">
        <f>IFERROR(IF(AND(B542&lt;$L$1,F542&gt;I542),"Win",IF(AND(B542&lt;$L$1,F542&lt;I542),"Loss","")),"")</f>
        <v/>
      </c>
      <c r="M542" s="156">
        <f>IF(B542&lt;_CurWeek,"In","")</f>
        <v/>
      </c>
      <c r="N542" s="156">
        <f>IF(M542="In",E542&amp;G542,"")</f>
        <v/>
      </c>
      <c r="O542" s="156">
        <f>IF(L542="Win",1,0)</f>
        <v/>
      </c>
    </row>
    <row r="543" ht="14.4" customHeight="1" s="152">
      <c r="A543" s="167">
        <f>B543&amp;E543</f>
        <v/>
      </c>
      <c r="B543" s="174">
        <f>B258</f>
        <v/>
      </c>
      <c r="C543" s="174">
        <f>C258</f>
        <v/>
      </c>
      <c r="D543" s="174">
        <f>D258</f>
        <v/>
      </c>
      <c r="E543" s="174">
        <f>H258</f>
        <v/>
      </c>
      <c r="F543" s="157">
        <f>I258</f>
        <v/>
      </c>
      <c r="G543" s="174" t="inlineStr">
        <is>
          <t>Away</t>
        </is>
      </c>
      <c r="H543" s="176">
        <f>E258</f>
        <v/>
      </c>
      <c r="I543" s="157">
        <f>F258</f>
        <v/>
      </c>
      <c r="J543" s="177">
        <f>J258</f>
        <v/>
      </c>
      <c r="K543" s="156">
        <f>IF(AND(F543=0,I543=0),"",IF(F543&gt;I543,B543&amp;E543,IF(F543&lt;I543,B543&amp;H543,"Tie")))</f>
        <v/>
      </c>
      <c r="L543" s="156">
        <f>IFERROR(IF(AND(B543&lt;$L$1,F543&gt;I543),"Win",IF(AND(B543&lt;$L$1,F543&lt;I543),"Loss","")),"")</f>
        <v/>
      </c>
      <c r="M543" s="156">
        <f>IF(B543&lt;_CurWeek,"In","")</f>
        <v/>
      </c>
      <c r="N543" s="156">
        <f>IF(M543="In",E543&amp;G543,"")</f>
        <v/>
      </c>
      <c r="O543" s="156">
        <f>IF(L543="Win",1,0)</f>
        <v/>
      </c>
    </row>
    <row r="544" ht="14.4" customHeight="1" s="152">
      <c r="A544" s="167">
        <f>B544&amp;E544</f>
        <v/>
      </c>
      <c r="B544" s="174">
        <f>B259</f>
        <v/>
      </c>
      <c r="C544" s="174">
        <f>C259</f>
        <v/>
      </c>
      <c r="D544" s="174">
        <f>D259</f>
        <v/>
      </c>
      <c r="E544" s="174">
        <f>H259</f>
        <v/>
      </c>
      <c r="F544" s="157">
        <f>I259</f>
        <v/>
      </c>
      <c r="G544" s="174" t="inlineStr">
        <is>
          <t>Away</t>
        </is>
      </c>
      <c r="H544" s="176">
        <f>E259</f>
        <v/>
      </c>
      <c r="I544" s="157">
        <f>F259</f>
        <v/>
      </c>
      <c r="J544" s="177">
        <f>J259</f>
        <v/>
      </c>
      <c r="K544" s="156">
        <f>IF(AND(F544=0,I544=0),"",IF(F544&gt;I544,B544&amp;E544,IF(F544&lt;I544,B544&amp;H544,"Tie")))</f>
        <v/>
      </c>
      <c r="L544" s="156">
        <f>IFERROR(IF(AND(B544&lt;$L$1,F544&gt;I544),"Win",IF(AND(B544&lt;$L$1,F544&lt;I544),"Loss","")),"")</f>
        <v/>
      </c>
      <c r="M544" s="156">
        <f>IF(B544&lt;_CurWeek,"In","")</f>
        <v/>
      </c>
      <c r="N544" s="156">
        <f>IF(M544="In",E544&amp;G544,"")</f>
        <v/>
      </c>
      <c r="O544" s="156">
        <f>IF(L544="Win",1,0)</f>
        <v/>
      </c>
    </row>
    <row r="545" ht="14.4" customHeight="1" s="152">
      <c r="A545" s="167">
        <f>B545&amp;E545</f>
        <v/>
      </c>
      <c r="B545" s="174">
        <f>B260</f>
        <v/>
      </c>
      <c r="C545" s="174">
        <f>C260</f>
        <v/>
      </c>
      <c r="D545" s="174">
        <f>D260</f>
        <v/>
      </c>
      <c r="E545" s="174">
        <f>H260</f>
        <v/>
      </c>
      <c r="F545" s="157">
        <f>I260</f>
        <v/>
      </c>
      <c r="G545" s="174" t="inlineStr">
        <is>
          <t>Away</t>
        </is>
      </c>
      <c r="H545" s="176">
        <f>E260</f>
        <v/>
      </c>
      <c r="I545" s="157">
        <f>F260</f>
        <v/>
      </c>
      <c r="J545" s="177">
        <f>J260</f>
        <v/>
      </c>
      <c r="K545" s="156">
        <f>IF(AND(F545=0,I545=0),"",IF(F545&gt;I545,B545&amp;E545,IF(F545&lt;I545,B545&amp;H545,"Tie")))</f>
        <v/>
      </c>
      <c r="L545" s="156">
        <f>IFERROR(IF(AND(B545&lt;$L$1,F545&gt;I545),"Win",IF(AND(B545&lt;$L$1,F545&lt;I545),"Loss","")),"")</f>
        <v/>
      </c>
      <c r="M545" s="156">
        <f>IF(B545&lt;_CurWeek,"In","")</f>
        <v/>
      </c>
      <c r="N545" s="156">
        <f>IF(M545="In",E545&amp;G545,"")</f>
        <v/>
      </c>
      <c r="O545" s="156">
        <f>IF(L545="Win",1,0)</f>
        <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tabColor rgb="FF1F4E79"/>
    <outlinePr summaryBelow="1" summaryRight="1"/>
    <pageSetUpPr fitToPage="0"/>
  </sheetPr>
  <dimension ref="A1:AL545"/>
  <sheetViews>
    <sheetView showFormulas="0" showGridLines="0" showRowColHeaders="1" showZeros="1" rightToLeft="0" tabSelected="0" showOutlineSymbols="1" defaultGridColor="1" view="normal" topLeftCell="N1" colorId="64" zoomScale="95" zoomScaleNormal="95" zoomScalePageLayoutView="100" workbookViewId="0">
      <pane xSplit="0" ySplit="1" topLeftCell="A2" activePane="bottomLeft" state="frozen"/>
      <selection pane="topLeft" activeCell="N1" activeCellId="0" sqref="N1"/>
      <selection pane="bottomLeft" activeCell="AE2" activeCellId="0" sqref="AE2"/>
    </sheetView>
  </sheetViews>
  <sheetFormatPr baseColWidth="8" defaultColWidth="9.13671875" defaultRowHeight="14.4" zeroHeight="0" outlineLevelRow="0"/>
  <cols>
    <col width="10.99" customWidth="1" style="156" min="1" max="1"/>
    <col width="12.89" customWidth="1" style="156" min="2" max="2"/>
    <col width="10.99" customWidth="1" style="156" min="3" max="3"/>
    <col width="10.58" customWidth="1" style="156" min="4" max="4"/>
    <col width="12.9" customWidth="1" style="156" min="5" max="5"/>
    <col width="9.44" customWidth="1" style="156" min="6" max="6"/>
    <col width="16" customWidth="1" style="156" min="7" max="7"/>
    <col width="11.11" customWidth="1" style="156" min="8" max="8"/>
    <col width="10.9" customWidth="1" style="156" min="9" max="11"/>
    <col width="9.130000000000001" customWidth="1" style="156" min="12" max="12"/>
    <col width="7.67" customWidth="1" style="179" min="13" max="13"/>
    <col width="26.89" customWidth="1" style="156" min="14" max="14"/>
    <col width="11.33" customWidth="1" style="156" min="15" max="15"/>
    <col width="24.87" customWidth="1" style="157" min="16" max="16"/>
    <col width="5.43" customWidth="1" style="157" min="17" max="17"/>
    <col width="10.99" customWidth="1" style="180" min="18" max="18"/>
    <col width="13.33" customWidth="1" style="181" min="19" max="19"/>
    <col width="10.89" customWidth="1" style="157" min="20" max="20"/>
    <col width="7.11" customWidth="1" style="182" min="21" max="21"/>
    <col width="9" customWidth="1" style="157" min="22" max="22"/>
    <col width="9.56" customWidth="1" style="157" min="23" max="23"/>
    <col width="9.130000000000001" customWidth="1" style="157" min="24" max="24"/>
    <col width="7.56" customWidth="1" style="183" min="25" max="25"/>
    <col width="9.56" customWidth="1" style="182" min="26" max="26"/>
    <col width="10.65" customWidth="1" style="157" min="27" max="27"/>
    <col width="9.199999999999999" customWidth="1" style="157" min="28" max="28"/>
    <col width="9.44" customWidth="1" style="157" min="29" max="29"/>
    <col width="9.890000000000001" customWidth="1" style="156" min="30" max="30"/>
    <col width="9" customWidth="1" style="156" min="31" max="31"/>
    <col width="9.130000000000001" customWidth="1" style="156" min="32" max="1024"/>
  </cols>
  <sheetData>
    <row r="1" ht="52.6" customFormat="1" customHeight="1" s="163">
      <c r="A1" s="184" t="inlineStr">
        <is>
          <t>Payout</t>
        </is>
      </c>
      <c r="B1" s="184" t="inlineStr">
        <is>
          <t>Game ID</t>
        </is>
      </c>
      <c r="C1" s="184" t="inlineStr">
        <is>
          <t>Favored by Proj Score</t>
        </is>
      </c>
      <c r="D1" s="184" t="inlineStr">
        <is>
          <t>Did Proj Score Fav Win</t>
        </is>
      </c>
      <c r="E1" s="184" t="inlineStr">
        <is>
          <t>Did Tor Cover Spread</t>
        </is>
      </c>
      <c r="F1" s="184" t="inlineStr">
        <is>
          <t>Did Team of Ref Win?</t>
        </is>
      </c>
      <c r="G1" s="185" t="inlineStr">
        <is>
          <t>Did we think Team would cover Spread based on point projections?</t>
        </is>
      </c>
      <c r="H1" s="184" t="inlineStr">
        <is>
          <t>ToR Home OFactor</t>
        </is>
      </c>
      <c r="I1" s="184" t="inlineStr">
        <is>
          <t>ToR DFactor</t>
        </is>
      </c>
      <c r="J1" s="184" t="inlineStr">
        <is>
          <t>Opp Home Factor</t>
        </is>
      </c>
      <c r="K1" s="184" t="inlineStr">
        <is>
          <t>Opp Def Factor</t>
        </is>
      </c>
      <c r="L1" s="163" t="inlineStr">
        <is>
          <t>Win Strength %</t>
        </is>
      </c>
      <c r="M1" s="186" t="inlineStr">
        <is>
          <t>Week</t>
        </is>
      </c>
      <c r="N1" s="186" t="inlineStr">
        <is>
          <t>Team of Reference</t>
        </is>
      </c>
      <c r="O1" s="186" t="inlineStr">
        <is>
          <t>Home or Away</t>
        </is>
      </c>
      <c r="P1" s="186" t="inlineStr">
        <is>
          <t>Opposing Team</t>
        </is>
      </c>
      <c r="Q1" s="186" t="inlineStr">
        <is>
          <t>Day</t>
        </is>
      </c>
      <c r="R1" s="187" t="inlineStr">
        <is>
          <t>Date</t>
        </is>
      </c>
      <c r="S1" s="188" t="inlineStr">
        <is>
          <t>Time</t>
        </is>
      </c>
      <c r="T1" s="189" t="inlineStr">
        <is>
          <t>Margin of Victory ▲</t>
        </is>
      </c>
      <c r="U1" s="189" t="inlineStr">
        <is>
          <t>Win % ▲</t>
        </is>
      </c>
      <c r="V1" s="189" t="inlineStr">
        <is>
          <t xml:space="preserve">Points Per Game Δ </t>
        </is>
      </c>
      <c r="W1" s="189" t="inlineStr">
        <is>
          <t>Offensive Rating ▲</t>
        </is>
      </c>
      <c r="X1" s="189" t="inlineStr">
        <is>
          <t>Defensive Rating ▲</t>
        </is>
      </c>
      <c r="Y1" s="190" t="inlineStr">
        <is>
          <t>Proj ToR Score</t>
        </is>
      </c>
      <c r="Z1" s="190" t="inlineStr">
        <is>
          <t>Proj Opp Score</t>
        </is>
      </c>
      <c r="AA1" s="190" t="inlineStr">
        <is>
          <t>Line Odds</t>
        </is>
      </c>
      <c r="AB1" s="190" t="inlineStr">
        <is>
          <t>Spread Odds</t>
        </is>
      </c>
      <c r="AC1" s="190" t="inlineStr">
        <is>
          <t>Actual ToR Score</t>
        </is>
      </c>
      <c r="AD1" s="190" t="inlineStr">
        <is>
          <t>Actual Opp Score</t>
        </is>
      </c>
      <c r="AE1" s="163" t="inlineStr">
        <is>
          <t>Alt Team Proj</t>
        </is>
      </c>
      <c r="AF1" s="163" t="inlineStr">
        <is>
          <t>Opp Alt Proj</t>
        </is>
      </c>
      <c r="AG1" s="191" t="inlineStr">
        <is>
          <t>Tor ABB</t>
        </is>
      </c>
      <c r="AH1" s="191" t="inlineStr">
        <is>
          <t>Total TOR D C-Score</t>
        </is>
      </c>
      <c r="AI1" s="163" t="inlineStr">
        <is>
          <t>Injured TOR C -Score</t>
        </is>
      </c>
      <c r="AJ1" s="191" t="inlineStr">
        <is>
          <t>Opp ABB</t>
        </is>
      </c>
      <c r="AK1" s="191" t="inlineStr">
        <is>
          <t>Total OPP D Score</t>
        </is>
      </c>
      <c r="AL1" s="163" t="inlineStr">
        <is>
          <t>Opp D Injured</t>
        </is>
      </c>
    </row>
    <row r="2" ht="14.4" customHeight="1" s="152">
      <c r="A2" s="157">
        <f>IF(F2="Yes",IFERROR(IF(AA2&gt;1,AA2/100,100/-AA2),""),-1)</f>
        <v/>
      </c>
      <c r="B2" s="157" t="n">
        <v>1</v>
      </c>
      <c r="C2" s="157">
        <f>IF(Y2&gt;Z2,1,0)</f>
        <v/>
      </c>
      <c r="D2" s="157">
        <f>IF(AND(C2=1,F2="Yes"),"Yes",IF(AND(C2=0,F2="No"),"Yes","No"))</f>
        <v/>
      </c>
      <c r="E2" s="192">
        <f>IF((AC2+AB2)=AD2,"Push",IF((AC2+AB2)&gt;AD2,"Yes","No"))</f>
        <v/>
      </c>
      <c r="F2" s="192">
        <f>IF(AC2&gt;AD2,"Yes","No")</f>
        <v/>
      </c>
      <c r="G2" s="192">
        <f>IF((Y2+AB2)&gt;Z2,"Yes",IF((Y2+AB2)=Z2,"Push","No"))</f>
        <v/>
      </c>
      <c r="H2" s="157">
        <f>IF(O2="Home",VLOOKUP(N2,Matrix!A:S,19,0),1)</f>
        <v/>
      </c>
      <c r="I2" s="157">
        <f>IF(O2="Away",VLOOKUP(N2,Matrix!A:Z,20,0),1)</f>
        <v/>
      </c>
      <c r="J2" s="157">
        <f>IF(O2="Away",VLOOKUP(P2,Matrix!A:S,19,0),1)</f>
        <v/>
      </c>
      <c r="K2" s="157">
        <f>IF(O2="Home",VLOOKUP(P2,Matrix!A:Z,20,0),1)</f>
        <v/>
      </c>
      <c r="L2" s="156" t="n">
        <v>-0.610617989016115</v>
      </c>
      <c r="M2" s="179">
        <f>Schedule!B2</f>
        <v/>
      </c>
      <c r="N2" s="156">
        <f>Schedule!E2</f>
        <v/>
      </c>
      <c r="O2" s="156" t="inlineStr">
        <is>
          <t>Away</t>
        </is>
      </c>
      <c r="P2" s="157">
        <f>Schedule!H2</f>
        <v/>
      </c>
      <c r="Q2" s="157">
        <f>Schedule!C2</f>
        <v/>
      </c>
      <c r="R2" s="180">
        <f>Schedule!D2</f>
        <v/>
      </c>
      <c r="S2" s="181">
        <f>Schedule!J2</f>
        <v/>
      </c>
      <c r="T2" s="193">
        <f>Y2-Z2</f>
        <v/>
      </c>
      <c r="U2" s="182">
        <f>T2/Picks!$K$2</f>
        <v/>
      </c>
      <c r="V2" s="193">
        <f>INDEX(Standings!$T$3:$T$34, MATCH(N2, Standings!$A$3:$A$34, 0)) - INDEX(Standings!$T$3:$T$34, MATCH(P2, Standings!$A$3:$A$34, 0))</f>
        <v/>
      </c>
      <c r="W2" s="157">
        <f>INDEX(Standings!$L$3:$L$34, MATCH(N2, Standings!$A$3:$A$34, 0)) - INDEX(Standings!$L$3:$L$34, MATCH(P2, Standings!$A$3:$A$34, 0))</f>
        <v/>
      </c>
      <c r="X2" s="157">
        <f>INDEX(Standings!$M$3:$M$34, MATCH(N2, Standings!$A$3:$A$34, 0)) - INDEX(Standings!$M$3:$M$34, MATCH(P2, Standings!$A$3:$A$34, 0))</f>
        <v/>
      </c>
      <c r="Y2" s="194">
        <f t="array" ref="Y2:Y2">IFERROR(AE2+(AL2-_DFactor)*AE2,"")</f>
        <v/>
      </c>
      <c r="Z2" s="157">
        <f>IFERROR(AF2+(AI2-_DFactor)*AF2,"")</f>
        <v/>
      </c>
      <c r="AA2" s="157">
        <f>IFERROR(VLOOKUP(M2&amp;N2,Odds!B:E,3,0),0)</f>
        <v/>
      </c>
      <c r="AB2" s="157">
        <f>IFERROR(VLOOKUP(M2&amp;N2,Odds!B:E,4,0),0)</f>
        <v/>
      </c>
      <c r="AC2" s="194">
        <f>VLOOKUP(M2&amp;N2,Schedule!A:F,6,0)</f>
        <v/>
      </c>
      <c r="AD2" s="194">
        <f>VLOOKUP(M2&amp;P2,Schedule!A:F,6,0)</f>
        <v/>
      </c>
      <c r="AE2" s="156">
        <f>VLOOKUP(N2,ProjPVT!B:I,8,0)*_Mag/VLOOKUP(P2,Standings!A:O,15,0)*H2*K2</f>
        <v/>
      </c>
      <c r="AF2" s="156">
        <f>VLOOKUP(P2,ProjPVT!B:I,8,0)*_Mag/VLOOKUP(N2,Standings!A:O,15,0)*J2*I2</f>
        <v/>
      </c>
      <c r="AG2" s="195">
        <f>VLOOKUP(N2,Matrix!AA:AC,3,0)</f>
        <v/>
      </c>
      <c r="AH2" s="195">
        <f>SUMIFS(Def!C:C,Def!F:F,AG2)</f>
        <v/>
      </c>
      <c r="AI2" s="156">
        <f>IFERROR(SUMIFS(Def!B:B,Def!F:F,AG2)/AH2,"")</f>
        <v/>
      </c>
      <c r="AJ2" s="195">
        <f>VLOOKUP(P2,Matrix!AA:AC,3,0)</f>
        <v/>
      </c>
      <c r="AK2" s="195">
        <f>SUMIFS(Def!C:C,Def!F:F,AJ2)</f>
        <v/>
      </c>
      <c r="AL2" s="156">
        <f>IFERROR(SUMIFS(Def!B:B,Def!F:F,AJ2)/AK2,"")</f>
        <v/>
      </c>
    </row>
    <row r="3" ht="14.4" customHeight="1" s="152">
      <c r="A3" s="157">
        <f>IF(F3="Yes",IFERROR(IF(AA3&gt;1,AA3/100,100/-AA3),""),-1)</f>
        <v/>
      </c>
      <c r="B3" s="157">
        <f>B2+1</f>
        <v/>
      </c>
      <c r="C3" s="157">
        <f>IF(Y3&gt;Z3,1,0)</f>
        <v/>
      </c>
      <c r="D3" s="157">
        <f>IF(AND(C3=1,F3="Yes"),"Yes",IF(AND(C3=0,F3="No"),"Yes","No"))</f>
        <v/>
      </c>
      <c r="E3" s="192">
        <f>IF((AC3+AB3)=AD3,"Push",IF((AC3+AB3)&gt;AD3,"Yes","No"))</f>
        <v/>
      </c>
      <c r="F3" s="192">
        <f>IF(AC3&gt;AD3,"Yes","No")</f>
        <v/>
      </c>
      <c r="G3" s="192">
        <f>IF((Y3+AB3)&gt;Z3,"Yes",IF((Y3+AB3)=Z3,"Push","No"))</f>
        <v/>
      </c>
      <c r="H3" s="157">
        <f>IF(O3="Home",VLOOKUP(N3,Matrix!A:S,19,0),1)</f>
        <v/>
      </c>
      <c r="I3" s="157">
        <f>IF(O3="Away",VLOOKUP(N3,Matrix!A:Z,20,0),1)</f>
        <v/>
      </c>
      <c r="J3" s="157">
        <f>IF(O3="Away",VLOOKUP(P3,Matrix!A:S,19,0),1)</f>
        <v/>
      </c>
      <c r="K3" s="157">
        <f>IF(O3="Home",VLOOKUP(P3,Matrix!A:Z,20,0),1)</f>
        <v/>
      </c>
      <c r="L3" s="156" t="n">
        <v>-0.571008232452309</v>
      </c>
      <c r="M3" s="179">
        <f>Schedule!B3</f>
        <v/>
      </c>
      <c r="N3" s="156">
        <f>Schedule!E3</f>
        <v/>
      </c>
      <c r="O3" s="156" t="inlineStr">
        <is>
          <t>Away</t>
        </is>
      </c>
      <c r="P3" s="157">
        <f>Schedule!H3</f>
        <v/>
      </c>
      <c r="Q3" s="157">
        <f>Schedule!C3</f>
        <v/>
      </c>
      <c r="R3" s="180">
        <f>Schedule!D3</f>
        <v/>
      </c>
      <c r="S3" s="181">
        <f>Schedule!J3</f>
        <v/>
      </c>
      <c r="T3" s="193">
        <f>Y3-Z3</f>
        <v/>
      </c>
      <c r="U3" s="182">
        <f>T3/Picks!$K$2</f>
        <v/>
      </c>
      <c r="V3" s="193">
        <f>INDEX(Standings!$T$3:$T$34, MATCH(N3, Standings!$A$3:$A$34, 0)) - INDEX(Standings!$T$3:$T$34, MATCH(P3, Standings!$A$3:$A$34, 0))</f>
        <v/>
      </c>
      <c r="W3" s="157">
        <f>INDEX(Standings!$L$3:$L$34, MATCH(N3, Standings!$A$3:$A$34, 0)) - INDEX(Standings!$L$3:$L$34, MATCH(P3, Standings!$A$3:$A$34, 0))</f>
        <v/>
      </c>
      <c r="X3" s="157">
        <f>INDEX(Standings!$M$3:$M$34, MATCH(N3, Standings!$A$3:$A$34, 0)) - INDEX(Standings!$M$3:$M$34, MATCH(P3, Standings!$A$3:$A$34, 0))</f>
        <v/>
      </c>
      <c r="Y3" s="194">
        <f t="array" ref="Y3:Y3">IFERROR(AE3+(AL3-_DFactor)*AE3,"")</f>
        <v/>
      </c>
      <c r="Z3" s="157">
        <f>IFERROR(AF3+(AI3-_DFactor)*AF3,"")</f>
        <v/>
      </c>
      <c r="AA3" s="157">
        <f>IFERROR(VLOOKUP(M3&amp;N3,Odds!B:E,3,0),0)</f>
        <v/>
      </c>
      <c r="AB3" s="157">
        <f>IFERROR(VLOOKUP(M3&amp;N3,Odds!B:E,4,0),0)</f>
        <v/>
      </c>
      <c r="AC3" s="194">
        <f>VLOOKUP(M3&amp;N3,Schedule!A:F,6,0)</f>
        <v/>
      </c>
      <c r="AD3" s="194">
        <f>VLOOKUP(M3&amp;P3,Schedule!A:F,6,0)</f>
        <v/>
      </c>
      <c r="AE3" s="156">
        <f>VLOOKUP(N3,ProjPVT!B:I,8,0)*_Mag/VLOOKUP(P3,Standings!A:O,15,0)*H3*K3</f>
        <v/>
      </c>
      <c r="AF3" s="156">
        <f>VLOOKUP(P3,ProjPVT!B:I,8,0)*_Mag/VLOOKUP(N3,Standings!A:O,15,0)*J3*I3</f>
        <v/>
      </c>
      <c r="AG3" s="195">
        <f>VLOOKUP(N3,Matrix!AA:AC,3,0)</f>
        <v/>
      </c>
      <c r="AH3" s="195">
        <f>SUMIFS(Def!C:C,Def!F:F,AG3)</f>
        <v/>
      </c>
      <c r="AI3" s="156">
        <f>IFERROR(SUMIFS(Def!B:B,Def!F:F,AG3)/AH3,"")</f>
        <v/>
      </c>
      <c r="AJ3" s="195">
        <f>VLOOKUP(P3,Matrix!AA:AC,3,0)</f>
        <v/>
      </c>
      <c r="AK3" s="195">
        <f>SUMIFS(Def!C:C,Def!F:F,AJ3)</f>
        <v/>
      </c>
      <c r="AL3" s="156">
        <f>IFERROR(SUMIFS(Def!B:B,Def!F:F,AJ3)/AK3,"")</f>
        <v/>
      </c>
    </row>
    <row r="4" ht="14.4" customHeight="1" s="152">
      <c r="A4" s="157">
        <f>IF(F4="Yes",IFERROR(IF(AA4&gt;1,AA4/100,100/-AA4),""),-1)</f>
        <v/>
      </c>
      <c r="B4" s="157">
        <f>B3+1</f>
        <v/>
      </c>
      <c r="C4" s="157">
        <f>IF(Y4&gt;Z4,1,0)</f>
        <v/>
      </c>
      <c r="D4" s="157">
        <f>IF(AND(C4=1,F4="Yes"),"Yes",IF(AND(C4=0,F4="No"),"Yes","No"))</f>
        <v/>
      </c>
      <c r="E4" s="192">
        <f>IF((AC4+AB4)=AD4,"Push",IF((AC4+AB4)&gt;AD4,"Yes","No"))</f>
        <v/>
      </c>
      <c r="F4" s="192">
        <f>IF(AC4&gt;AD4,"Yes","No")</f>
        <v/>
      </c>
      <c r="G4" s="192">
        <f>IF((Y4+AB4)&gt;Z4,"Yes",IF((Y4+AB4)=Z4,"Push","No"))</f>
        <v/>
      </c>
      <c r="H4" s="157">
        <f>IF(O4="Home",VLOOKUP(N4,Matrix!A:S,19,0),1)</f>
        <v/>
      </c>
      <c r="I4" s="157">
        <f>IF(O4="Away",VLOOKUP(N4,Matrix!A:Z,20,0),1)</f>
        <v/>
      </c>
      <c r="J4" s="157">
        <f>IF(O4="Away",VLOOKUP(P4,Matrix!A:S,19,0),1)</f>
        <v/>
      </c>
      <c r="K4" s="157">
        <f>IF(O4="Home",VLOOKUP(P4,Matrix!A:Z,20,0),1)</f>
        <v/>
      </c>
      <c r="L4" s="156" t="n">
        <v>-0.508125303171039</v>
      </c>
      <c r="M4" s="179">
        <f>Schedule!B4</f>
        <v/>
      </c>
      <c r="N4" s="156">
        <f>Schedule!E4</f>
        <v/>
      </c>
      <c r="O4" s="156" t="inlineStr">
        <is>
          <t>Away</t>
        </is>
      </c>
      <c r="P4" s="157">
        <f>Schedule!H4</f>
        <v/>
      </c>
      <c r="Q4" s="157">
        <f>Schedule!C4</f>
        <v/>
      </c>
      <c r="R4" s="180">
        <f>Schedule!D4</f>
        <v/>
      </c>
      <c r="S4" s="181">
        <f>Schedule!J4</f>
        <v/>
      </c>
      <c r="T4" s="193">
        <f>Y4-Z4</f>
        <v/>
      </c>
      <c r="U4" s="182">
        <f>T4/Picks!$K$2</f>
        <v/>
      </c>
      <c r="V4" s="193">
        <f>INDEX(Standings!$T$3:$T$34, MATCH(N4, Standings!$A$3:$A$34, 0)) - INDEX(Standings!$T$3:$T$34, MATCH(P4, Standings!$A$3:$A$34, 0))</f>
        <v/>
      </c>
      <c r="W4" s="157">
        <f>INDEX(Standings!$L$3:$L$34, MATCH(N4, Standings!$A$3:$A$34, 0)) - INDEX(Standings!$L$3:$L$34, MATCH(P4, Standings!$A$3:$A$34, 0))</f>
        <v/>
      </c>
      <c r="X4" s="157">
        <f>INDEX(Standings!$M$3:$M$34, MATCH(N4, Standings!$A$3:$A$34, 0)) - INDEX(Standings!$M$3:$M$34, MATCH(P4, Standings!$A$3:$A$34, 0))</f>
        <v/>
      </c>
      <c r="Y4" s="194">
        <f t="array" ref="Y4:Y4">IFERROR(AE4+(AL4-_DFactor)*AE4,"")</f>
        <v/>
      </c>
      <c r="Z4" s="157">
        <f>IFERROR(AF4+(AI4-_DFactor)*AF4,"")</f>
        <v/>
      </c>
      <c r="AA4" s="157">
        <f>IFERROR(VLOOKUP(M4&amp;N4,Odds!B:E,3,0),0)</f>
        <v/>
      </c>
      <c r="AB4" s="157">
        <f>IFERROR(VLOOKUP(M4&amp;N4,Odds!B:E,4,0),0)</f>
        <v/>
      </c>
      <c r="AC4" s="194">
        <f>VLOOKUP(M4&amp;N4,Schedule!A:F,6,0)</f>
        <v/>
      </c>
      <c r="AD4" s="194">
        <f>VLOOKUP(M4&amp;P4,Schedule!A:F,6,0)</f>
        <v/>
      </c>
      <c r="AE4" s="156">
        <f>VLOOKUP(N4,ProjPVT!B:I,8,0)*_Mag/VLOOKUP(P4,Standings!A:O,15,0)*H4*K4</f>
        <v/>
      </c>
      <c r="AF4" s="156">
        <f>VLOOKUP(P4,ProjPVT!B:I,8,0)*_Mag/VLOOKUP(N4,Standings!A:O,15,0)*J4*I4</f>
        <v/>
      </c>
      <c r="AG4" s="195">
        <f>VLOOKUP(N4,Matrix!AA:AC,3,0)</f>
        <v/>
      </c>
      <c r="AH4" s="195">
        <f>SUMIFS(Def!C:C,Def!F:F,AG4)</f>
        <v/>
      </c>
      <c r="AI4" s="156">
        <f>IFERROR(SUMIFS(Def!B:B,Def!F:F,AG4)/AH4,"")</f>
        <v/>
      </c>
      <c r="AJ4" s="195">
        <f>VLOOKUP(P4,Matrix!AA:AC,3,0)</f>
        <v/>
      </c>
      <c r="AK4" s="195">
        <f>SUMIFS(Def!C:C,Def!F:F,AJ4)</f>
        <v/>
      </c>
      <c r="AL4" s="156">
        <f>IFERROR(SUMIFS(Def!B:B,Def!F:F,AJ4)/AK4,"")</f>
        <v/>
      </c>
    </row>
    <row r="5" ht="14.4" customHeight="1" s="152">
      <c r="A5" s="157">
        <f>IF(F5="Yes",IFERROR(IF(AA5&gt;1,AA5/100,100/-AA5),""),-1)</f>
        <v/>
      </c>
      <c r="B5" s="157">
        <f>B4+1</f>
        <v/>
      </c>
      <c r="C5" s="157">
        <f>IF(Y5&gt;Z5,1,0)</f>
        <v/>
      </c>
      <c r="D5" s="157">
        <f>IF(AND(C5=1,F5="Yes"),"Yes",IF(AND(C5=0,F5="No"),"Yes","No"))</f>
        <v/>
      </c>
      <c r="E5" s="192">
        <f>IF((AC5+AB5)=AD5,"Push",IF((AC5+AB5)&gt;AD5,"Yes","No"))</f>
        <v/>
      </c>
      <c r="F5" s="192">
        <f>IF(AC5&gt;AD5,"Yes","No")</f>
        <v/>
      </c>
      <c r="G5" s="192">
        <f>IF((Y5+AB5)&gt;Z5,"Yes",IF((Y5+AB5)=Z5,"Push","No"))</f>
        <v/>
      </c>
      <c r="H5" s="157">
        <f>IF(O5="Home",VLOOKUP(N5,Matrix!A:S,19,0),1)</f>
        <v/>
      </c>
      <c r="I5" s="157">
        <f>IF(O5="Away",VLOOKUP(N5,Matrix!A:Z,20,0),1)</f>
        <v/>
      </c>
      <c r="J5" s="157">
        <f>IF(O5="Away",VLOOKUP(P5,Matrix!A:S,19,0),1)</f>
        <v/>
      </c>
      <c r="K5" s="157">
        <f>IF(O5="Home",VLOOKUP(P5,Matrix!A:Z,20,0),1)</f>
        <v/>
      </c>
      <c r="L5" s="156" t="n">
        <v>-0.386108534776781</v>
      </c>
      <c r="M5" s="179">
        <f>Schedule!B5</f>
        <v/>
      </c>
      <c r="N5" s="156">
        <f>Schedule!E5</f>
        <v/>
      </c>
      <c r="O5" s="156" t="inlineStr">
        <is>
          <t>Away</t>
        </is>
      </c>
      <c r="P5" s="157">
        <f>Schedule!H5</f>
        <v/>
      </c>
      <c r="Q5" s="157">
        <f>Schedule!C5</f>
        <v/>
      </c>
      <c r="R5" s="180">
        <f>Schedule!D5</f>
        <v/>
      </c>
      <c r="S5" s="181">
        <f>Schedule!J5</f>
        <v/>
      </c>
      <c r="T5" s="193">
        <f>Y5-Z5</f>
        <v/>
      </c>
      <c r="U5" s="182">
        <f>T5/Picks!$K$2</f>
        <v/>
      </c>
      <c r="V5" s="193">
        <f>INDEX(Standings!$T$3:$T$34, MATCH(N5, Standings!$A$3:$A$34, 0)) - INDEX(Standings!$T$3:$T$34, MATCH(P5, Standings!$A$3:$A$34, 0))</f>
        <v/>
      </c>
      <c r="W5" s="157">
        <f>INDEX(Standings!$L$3:$L$34, MATCH(N5, Standings!$A$3:$A$34, 0)) - INDEX(Standings!$L$3:$L$34, MATCH(P5, Standings!$A$3:$A$34, 0))</f>
        <v/>
      </c>
      <c r="X5" s="157">
        <f>INDEX(Standings!$M$3:$M$34, MATCH(N5, Standings!$A$3:$A$34, 0)) - INDEX(Standings!$M$3:$M$34, MATCH(P5, Standings!$A$3:$A$34, 0))</f>
        <v/>
      </c>
      <c r="Y5" s="194">
        <f t="array" ref="Y5:Y5">IFERROR(AE5+(AL5-_DFactor)*AE5,"")</f>
        <v/>
      </c>
      <c r="Z5" s="157">
        <f>IFERROR(AF5+(AI5-_DFactor)*AF5,"")</f>
        <v/>
      </c>
      <c r="AA5" s="157">
        <f>IFERROR(VLOOKUP(M5&amp;N5,Odds!B:E,3,0),0)</f>
        <v/>
      </c>
      <c r="AB5" s="157">
        <f>IFERROR(VLOOKUP(M5&amp;N5,Odds!B:E,4,0),0)</f>
        <v/>
      </c>
      <c r="AC5" s="194">
        <f>VLOOKUP(M5&amp;N5,Schedule!A:F,6,0)</f>
        <v/>
      </c>
      <c r="AD5" s="194">
        <f>VLOOKUP(M5&amp;P5,Schedule!A:F,6,0)</f>
        <v/>
      </c>
      <c r="AE5" s="156">
        <f>VLOOKUP(N5,ProjPVT!B:I,8,0)*_Mag/VLOOKUP(P5,Standings!A:O,15,0)*H5*K5</f>
        <v/>
      </c>
      <c r="AF5" s="156">
        <f>VLOOKUP(P5,ProjPVT!B:I,8,0)*_Mag/VLOOKUP(N5,Standings!A:O,15,0)*J5*I5</f>
        <v/>
      </c>
      <c r="AG5" s="195">
        <f>VLOOKUP(N5,Matrix!AA:AC,3,0)</f>
        <v/>
      </c>
      <c r="AH5" s="195">
        <f>SUMIFS(Def!C:C,Def!F:F,AG5)</f>
        <v/>
      </c>
      <c r="AI5" s="156">
        <f>IFERROR(SUMIFS(Def!B:B,Def!F:F,AG5)/AH5,"")</f>
        <v/>
      </c>
      <c r="AJ5" s="195">
        <f>VLOOKUP(P5,Matrix!AA:AC,3,0)</f>
        <v/>
      </c>
      <c r="AK5" s="195">
        <f>SUMIFS(Def!C:C,Def!F:F,AJ5)</f>
        <v/>
      </c>
      <c r="AL5" s="156">
        <f>IFERROR(SUMIFS(Def!B:B,Def!F:F,AJ5)/AK5,"")</f>
        <v/>
      </c>
    </row>
    <row r="6" ht="14.4" customHeight="1" s="152">
      <c r="A6" s="157">
        <f>IF(F6="Yes",IFERROR(IF(AA6&gt;1,AA6/100,100/-AA6),""),-1)</f>
        <v/>
      </c>
      <c r="B6" s="157">
        <f>B5+1</f>
        <v/>
      </c>
      <c r="C6" s="157">
        <f>IF(Y6&gt;Z6,1,0)</f>
        <v/>
      </c>
      <c r="D6" s="157">
        <f>IF(AND(C6=1,F6="Yes"),"Yes",IF(AND(C6=0,F6="No"),"Yes","No"))</f>
        <v/>
      </c>
      <c r="E6" s="192">
        <f>IF((AC6+AB6)=AD6,"Push",IF((AC6+AB6)&gt;AD6,"Yes","No"))</f>
        <v/>
      </c>
      <c r="F6" s="192">
        <f>IF(AC6&gt;AD6,"Yes","No")</f>
        <v/>
      </c>
      <c r="G6" s="192">
        <f>IF((Y6+AB6)&gt;Z6,"Yes",IF((Y6+AB6)=Z6,"Push","No"))</f>
        <v/>
      </c>
      <c r="H6" s="157">
        <f>IF(O6="Home",VLOOKUP(N6,Matrix!A:S,19,0),1)</f>
        <v/>
      </c>
      <c r="I6" s="157">
        <f>IF(O6="Away",VLOOKUP(N6,Matrix!A:Z,20,0),1)</f>
        <v/>
      </c>
      <c r="J6" s="157">
        <f>IF(O6="Away",VLOOKUP(P6,Matrix!A:S,19,0),1)</f>
        <v/>
      </c>
      <c r="K6" s="157">
        <f>IF(O6="Home",VLOOKUP(P6,Matrix!A:Z,20,0),1)</f>
        <v/>
      </c>
      <c r="L6" s="156" t="n">
        <v>-0.385649377163524</v>
      </c>
      <c r="M6" s="179">
        <f>Schedule!B6</f>
        <v/>
      </c>
      <c r="N6" s="156">
        <f>Schedule!E6</f>
        <v/>
      </c>
      <c r="O6" s="156" t="inlineStr">
        <is>
          <t>Home</t>
        </is>
      </c>
      <c r="P6" s="157">
        <f>Schedule!H6</f>
        <v/>
      </c>
      <c r="Q6" s="157">
        <f>Schedule!C6</f>
        <v/>
      </c>
      <c r="R6" s="180">
        <f>Schedule!D6</f>
        <v/>
      </c>
      <c r="S6" s="181">
        <f>Schedule!J6</f>
        <v/>
      </c>
      <c r="T6" s="193">
        <f>Y6-Z6</f>
        <v/>
      </c>
      <c r="U6" s="182">
        <f>T6/Picks!$K$2</f>
        <v/>
      </c>
      <c r="V6" s="193">
        <f>INDEX(Standings!$T$3:$T$34, MATCH(N6, Standings!$A$3:$A$34, 0)) - INDEX(Standings!$T$3:$T$34, MATCH(P6, Standings!$A$3:$A$34, 0))</f>
        <v/>
      </c>
      <c r="W6" s="157">
        <f>INDEX(Standings!$L$3:$L$34, MATCH(N6, Standings!$A$3:$A$34, 0)) - INDEX(Standings!$L$3:$L$34, MATCH(P6, Standings!$A$3:$A$34, 0))</f>
        <v/>
      </c>
      <c r="X6" s="157">
        <f>INDEX(Standings!$M$3:$M$34, MATCH(N6, Standings!$A$3:$A$34, 0)) - INDEX(Standings!$M$3:$M$34, MATCH(P6, Standings!$A$3:$A$34, 0))</f>
        <v/>
      </c>
      <c r="Y6" s="194">
        <f t="array" ref="Y6:Y6">IFERROR(AE6+(AL6-_DFactor)*AE6,"")</f>
        <v/>
      </c>
      <c r="Z6" s="157">
        <f>IFERROR(AF6+(AI6-_DFactor)*AF6,"")</f>
        <v/>
      </c>
      <c r="AA6" s="157">
        <f>IFERROR(VLOOKUP(M6&amp;N6,Odds!B:E,3,0),0)</f>
        <v/>
      </c>
      <c r="AB6" s="157">
        <f>IFERROR(VLOOKUP(M6&amp;N6,Odds!B:E,4,0),0)</f>
        <v/>
      </c>
      <c r="AC6" s="194">
        <f>VLOOKUP(M6&amp;N6,Schedule!A:F,6,0)</f>
        <v/>
      </c>
      <c r="AD6" s="194">
        <f>VLOOKUP(M6&amp;P6,Schedule!A:F,6,0)</f>
        <v/>
      </c>
      <c r="AE6" s="156">
        <f>VLOOKUP(N6,ProjPVT!B:I,8,0)*_Mag/VLOOKUP(P6,Standings!A:O,15,0)*H6*K6</f>
        <v/>
      </c>
      <c r="AF6" s="156">
        <f>VLOOKUP(P6,ProjPVT!B:I,8,0)*_Mag/VLOOKUP(N6,Standings!A:O,15,0)*J6*I6</f>
        <v/>
      </c>
      <c r="AG6" s="195">
        <f>VLOOKUP(N6,Matrix!AA:AC,3,0)</f>
        <v/>
      </c>
      <c r="AH6" s="195">
        <f>SUMIFS(Def!C:C,Def!F:F,AG6)</f>
        <v/>
      </c>
      <c r="AI6" s="156">
        <f>IFERROR(SUMIFS(Def!B:B,Def!F:F,AG6)/AH6,"")</f>
        <v/>
      </c>
      <c r="AJ6" s="195">
        <f>VLOOKUP(P6,Matrix!AA:AC,3,0)</f>
        <v/>
      </c>
      <c r="AK6" s="195">
        <f>SUMIFS(Def!C:C,Def!F:F,AJ6)</f>
        <v/>
      </c>
      <c r="AL6" s="156">
        <f>IFERROR(SUMIFS(Def!B:B,Def!F:F,AJ6)/AK6,"")</f>
        <v/>
      </c>
    </row>
    <row r="7" ht="14.4" customHeight="1" s="152">
      <c r="A7" s="157">
        <f>IF(F7="Yes",IFERROR(IF(AA7&gt;1,AA7/100,100/-AA7),""),-1)</f>
        <v/>
      </c>
      <c r="B7" s="157">
        <f>B6+1</f>
        <v/>
      </c>
      <c r="C7" s="157">
        <f>IF(Y7&gt;Z7,1,0)</f>
        <v/>
      </c>
      <c r="D7" s="157">
        <f>IF(AND(C7=1,F7="Yes"),"Yes",IF(AND(C7=0,F7="No"),"Yes","No"))</f>
        <v/>
      </c>
      <c r="E7" s="192">
        <f>IF((AC7+AB7)=AD7,"Push",IF((AC7+AB7)&gt;AD7,"Yes","No"))</f>
        <v/>
      </c>
      <c r="F7" s="192">
        <f>IF(AC7&gt;AD7,"Yes","No")</f>
        <v/>
      </c>
      <c r="G7" s="192">
        <f>IF((Y7+AB7)&gt;Z7,"Yes",IF((Y7+AB7)=Z7,"Push","No"))</f>
        <v/>
      </c>
      <c r="H7" s="157">
        <f>IF(O7="Home",VLOOKUP(N7,Matrix!A:S,19,0),1)</f>
        <v/>
      </c>
      <c r="I7" s="157">
        <f>IF(O7="Away",VLOOKUP(N7,Matrix!A:Z,20,0),1)</f>
        <v/>
      </c>
      <c r="J7" s="157">
        <f>IF(O7="Away",VLOOKUP(P7,Matrix!A:S,19,0),1)</f>
        <v/>
      </c>
      <c r="K7" s="157">
        <f>IF(O7="Home",VLOOKUP(P7,Matrix!A:Z,20,0),1)</f>
        <v/>
      </c>
      <c r="L7" s="156" t="n">
        <v>-0.315916271814569</v>
      </c>
      <c r="M7" s="179">
        <f>Schedule!B7</f>
        <v/>
      </c>
      <c r="N7" s="156">
        <f>Schedule!E7</f>
        <v/>
      </c>
      <c r="O7" s="156" t="inlineStr">
        <is>
          <t>Away</t>
        </is>
      </c>
      <c r="P7" s="157">
        <f>Schedule!H7</f>
        <v/>
      </c>
      <c r="Q7" s="157">
        <f>Schedule!C7</f>
        <v/>
      </c>
      <c r="R7" s="180">
        <f>Schedule!D7</f>
        <v/>
      </c>
      <c r="S7" s="181">
        <f>Schedule!J7</f>
        <v/>
      </c>
      <c r="T7" s="193">
        <f>Y7-Z7</f>
        <v/>
      </c>
      <c r="U7" s="182">
        <f>T7/Picks!$K$2</f>
        <v/>
      </c>
      <c r="V7" s="193">
        <f>INDEX(Standings!$T$3:$T$34, MATCH(N7, Standings!$A$3:$A$34, 0)) - INDEX(Standings!$T$3:$T$34, MATCH(P7, Standings!$A$3:$A$34, 0))</f>
        <v/>
      </c>
      <c r="W7" s="157">
        <f>INDEX(Standings!$L$3:$L$34, MATCH(N7, Standings!$A$3:$A$34, 0)) - INDEX(Standings!$L$3:$L$34, MATCH(P7, Standings!$A$3:$A$34, 0))</f>
        <v/>
      </c>
      <c r="X7" s="157">
        <f>INDEX(Standings!$M$3:$M$34, MATCH(N7, Standings!$A$3:$A$34, 0)) - INDEX(Standings!$M$3:$M$34, MATCH(P7, Standings!$A$3:$A$34, 0))</f>
        <v/>
      </c>
      <c r="Y7" s="194">
        <f t="array" ref="Y7:Y7">IFERROR(AE7+(AL7-_DFactor)*AE7,"")</f>
        <v/>
      </c>
      <c r="Z7" s="157">
        <f>IFERROR(AF7+(AI7-_DFactor)*AF7,"")</f>
        <v/>
      </c>
      <c r="AA7" s="157">
        <f>IFERROR(VLOOKUP(M7&amp;N7,Odds!B:E,3,0),0)</f>
        <v/>
      </c>
      <c r="AB7" s="157">
        <f>IFERROR(VLOOKUP(M7&amp;N7,Odds!B:E,4,0),0)</f>
        <v/>
      </c>
      <c r="AC7" s="194">
        <f>VLOOKUP(M7&amp;N7,Schedule!A:F,6,0)</f>
        <v/>
      </c>
      <c r="AD7" s="194">
        <f>VLOOKUP(M7&amp;P7,Schedule!A:F,6,0)</f>
        <v/>
      </c>
      <c r="AE7" s="156">
        <f>VLOOKUP(N7,ProjPVT!B:I,8,0)*_Mag/VLOOKUP(P7,Standings!A:O,15,0)*H7*K7</f>
        <v/>
      </c>
      <c r="AF7" s="156">
        <f>VLOOKUP(P7,ProjPVT!B:I,8,0)*_Mag/VLOOKUP(N7,Standings!A:O,15,0)*J7*I7</f>
        <v/>
      </c>
      <c r="AG7" s="195">
        <f>VLOOKUP(N7,Matrix!AA:AC,3,0)</f>
        <v/>
      </c>
      <c r="AH7" s="195">
        <f>SUMIFS(Def!C:C,Def!F:F,AG7)</f>
        <v/>
      </c>
      <c r="AI7" s="156">
        <f>IFERROR(SUMIFS(Def!B:B,Def!F:F,AG7)/AH7,"")</f>
        <v/>
      </c>
      <c r="AJ7" s="195">
        <f>VLOOKUP(P7,Matrix!AA:AC,3,0)</f>
        <v/>
      </c>
      <c r="AK7" s="195">
        <f>SUMIFS(Def!C:C,Def!F:F,AJ7)</f>
        <v/>
      </c>
      <c r="AL7" s="156">
        <f>IFERROR(SUMIFS(Def!B:B,Def!F:F,AJ7)/AK7,"")</f>
        <v/>
      </c>
    </row>
    <row r="8" ht="14.4" customHeight="1" s="152">
      <c r="A8" s="157">
        <f>IF(F8="Yes",IFERROR(IF(AA8&gt;1,AA8/100,100/-AA8),""),-1)</f>
        <v/>
      </c>
      <c r="B8" s="157">
        <f>B7+1</f>
        <v/>
      </c>
      <c r="C8" s="157">
        <f>IF(Y8&gt;Z8,1,0)</f>
        <v/>
      </c>
      <c r="D8" s="157">
        <f>IF(AND(C8=1,F8="Yes"),"Yes",IF(AND(C8=0,F8="No"),"Yes","No"))</f>
        <v/>
      </c>
      <c r="E8" s="192">
        <f>IF((AC8+AB8)=AD8,"Push",IF((AC8+AB8)&gt;AD8,"Yes","No"))</f>
        <v/>
      </c>
      <c r="F8" s="192">
        <f>IF(AC8&gt;AD8,"Yes","No")</f>
        <v/>
      </c>
      <c r="G8" s="192">
        <f>IF((Y8+AB8)&gt;Z8,"Yes",IF((Y8+AB8)=Z8,"Push","No"))</f>
        <v/>
      </c>
      <c r="H8" s="157">
        <f>IF(O8="Home",VLOOKUP(N8,Matrix!A:S,19,0),1)</f>
        <v/>
      </c>
      <c r="I8" s="157">
        <f>IF(O8="Away",VLOOKUP(N8,Matrix!A:Z,20,0),1)</f>
        <v/>
      </c>
      <c r="J8" s="157">
        <f>IF(O8="Away",VLOOKUP(P8,Matrix!A:S,19,0),1)</f>
        <v/>
      </c>
      <c r="K8" s="157">
        <f>IF(O8="Home",VLOOKUP(P8,Matrix!A:Z,20,0),1)</f>
        <v/>
      </c>
      <c r="L8" s="156" t="n">
        <v>-0.276420793937635</v>
      </c>
      <c r="M8" s="179">
        <f>Schedule!B8</f>
        <v/>
      </c>
      <c r="N8" s="156">
        <f>Schedule!E8</f>
        <v/>
      </c>
      <c r="O8" s="156" t="inlineStr">
        <is>
          <t>Away</t>
        </is>
      </c>
      <c r="P8" s="157">
        <f>Schedule!H8</f>
        <v/>
      </c>
      <c r="Q8" s="157">
        <f>Schedule!C8</f>
        <v/>
      </c>
      <c r="R8" s="180">
        <f>Schedule!D8</f>
        <v/>
      </c>
      <c r="S8" s="181">
        <f>Schedule!J8</f>
        <v/>
      </c>
      <c r="T8" s="193">
        <f>Y8-Z8</f>
        <v/>
      </c>
      <c r="U8" s="182">
        <f>T8/Picks!$K$2</f>
        <v/>
      </c>
      <c r="V8" s="193">
        <f>INDEX(Standings!$T$3:$T$34, MATCH(N8, Standings!$A$3:$A$34, 0)) - INDEX(Standings!$T$3:$T$34, MATCH(P8, Standings!$A$3:$A$34, 0))</f>
        <v/>
      </c>
      <c r="W8" s="157">
        <f>INDEX(Standings!$L$3:$L$34, MATCH(N8, Standings!$A$3:$A$34, 0)) - INDEX(Standings!$L$3:$L$34, MATCH(P8, Standings!$A$3:$A$34, 0))</f>
        <v/>
      </c>
      <c r="X8" s="157">
        <f>INDEX(Standings!$M$3:$M$34, MATCH(N8, Standings!$A$3:$A$34, 0)) - INDEX(Standings!$M$3:$M$34, MATCH(P8, Standings!$A$3:$A$34, 0))</f>
        <v/>
      </c>
      <c r="Y8" s="194">
        <f t="array" ref="Y8:Y8">IFERROR(AE8+(AL8-_DFactor)*AE8,"")</f>
        <v/>
      </c>
      <c r="Z8" s="157">
        <f>IFERROR(AF8+(AI8-_DFactor)*AF8,"")</f>
        <v/>
      </c>
      <c r="AA8" s="157">
        <f>IFERROR(VLOOKUP(M8&amp;N8,Odds!B:E,3,0),0)</f>
        <v/>
      </c>
      <c r="AB8" s="157">
        <f>IFERROR(VLOOKUP(M8&amp;N8,Odds!B:E,4,0),0)</f>
        <v/>
      </c>
      <c r="AC8" s="194">
        <f>VLOOKUP(M8&amp;N8,Schedule!A:F,6,0)</f>
        <v/>
      </c>
      <c r="AD8" s="194">
        <f>VLOOKUP(M8&amp;P8,Schedule!A:F,6,0)</f>
        <v/>
      </c>
      <c r="AE8" s="156">
        <f>VLOOKUP(N8,ProjPVT!B:I,8,0)*_Mag/VLOOKUP(P8,Standings!A:O,15,0)*H8*K8</f>
        <v/>
      </c>
      <c r="AF8" s="156">
        <f>VLOOKUP(P8,ProjPVT!B:I,8,0)*_Mag/VLOOKUP(N8,Standings!A:O,15,0)*J8*I8</f>
        <v/>
      </c>
      <c r="AG8" s="195">
        <f>VLOOKUP(N8,Matrix!AA:AC,3,0)</f>
        <v/>
      </c>
      <c r="AH8" s="195">
        <f>SUMIFS(Def!C:C,Def!F:F,AG8)</f>
        <v/>
      </c>
      <c r="AI8" s="156">
        <f>IFERROR(SUMIFS(Def!B:B,Def!F:F,AG8)/AH8,"")</f>
        <v/>
      </c>
      <c r="AJ8" s="195">
        <f>VLOOKUP(P8,Matrix!AA:AC,3,0)</f>
        <v/>
      </c>
      <c r="AK8" s="195">
        <f>SUMIFS(Def!C:C,Def!F:F,AJ8)</f>
        <v/>
      </c>
      <c r="AL8" s="156">
        <f>IFERROR(SUMIFS(Def!B:B,Def!F:F,AJ8)/AK8,"")</f>
        <v/>
      </c>
    </row>
    <row r="9" ht="14.4" customHeight="1" s="152">
      <c r="A9" s="157">
        <f>IF(F9="Yes",IFERROR(IF(AA9&gt;1,AA9/100,100/-AA9),""),-1)</f>
        <v/>
      </c>
      <c r="B9" s="157">
        <f>B8+1</f>
        <v/>
      </c>
      <c r="C9" s="157">
        <f>IF(Y9&gt;Z9,1,0)</f>
        <v/>
      </c>
      <c r="D9" s="157">
        <f>IF(AND(C9=1,F9="Yes"),"Yes",IF(AND(C9=0,F9="No"),"Yes","No"))</f>
        <v/>
      </c>
      <c r="E9" s="192">
        <f>IF((AC9+AB9)=AD9,"Push",IF((AC9+AB9)&gt;AD9,"Yes","No"))</f>
        <v/>
      </c>
      <c r="F9" s="192">
        <f>IF(AC9&gt;AD9,"Yes","No")</f>
        <v/>
      </c>
      <c r="G9" s="192">
        <f>IF((Y9+AB9)&gt;Z9,"Yes",IF((Y9+AB9)=Z9,"Push","No"))</f>
        <v/>
      </c>
      <c r="H9" s="157">
        <f>IF(O9="Home",VLOOKUP(N9,Matrix!A:S,19,0),1)</f>
        <v/>
      </c>
      <c r="I9" s="157">
        <f>IF(O9="Away",VLOOKUP(N9,Matrix!A:Z,20,0),1)</f>
        <v/>
      </c>
      <c r="J9" s="157">
        <f>IF(O9="Away",VLOOKUP(P9,Matrix!A:S,19,0),1)</f>
        <v/>
      </c>
      <c r="K9" s="157">
        <f>IF(O9="Home",VLOOKUP(P9,Matrix!A:Z,20,0),1)</f>
        <v/>
      </c>
      <c r="L9" s="156" t="n">
        <v>-0.221308759836105</v>
      </c>
      <c r="M9" s="179">
        <f>Schedule!B9</f>
        <v/>
      </c>
      <c r="N9" s="156">
        <f>Schedule!E9</f>
        <v/>
      </c>
      <c r="O9" s="156" t="inlineStr">
        <is>
          <t>Away</t>
        </is>
      </c>
      <c r="P9" s="157">
        <f>Schedule!H9</f>
        <v/>
      </c>
      <c r="Q9" s="157">
        <f>Schedule!C9</f>
        <v/>
      </c>
      <c r="R9" s="180">
        <f>Schedule!D9</f>
        <v/>
      </c>
      <c r="S9" s="181">
        <f>Schedule!J9</f>
        <v/>
      </c>
      <c r="T9" s="193">
        <f>Y9-Z9</f>
        <v/>
      </c>
      <c r="U9" s="182">
        <f>T9/Picks!$K$2</f>
        <v/>
      </c>
      <c r="V9" s="193">
        <f>INDEX(Standings!$T$3:$T$34, MATCH(N9, Standings!$A$3:$A$34, 0)) - INDEX(Standings!$T$3:$T$34, MATCH(P9, Standings!$A$3:$A$34, 0))</f>
        <v/>
      </c>
      <c r="W9" s="157">
        <f>INDEX(Standings!$L$3:$L$34, MATCH(N9, Standings!$A$3:$A$34, 0)) - INDEX(Standings!$L$3:$L$34, MATCH(P9, Standings!$A$3:$A$34, 0))</f>
        <v/>
      </c>
      <c r="X9" s="157">
        <f>INDEX(Standings!$M$3:$M$34, MATCH(N9, Standings!$A$3:$A$34, 0)) - INDEX(Standings!$M$3:$M$34, MATCH(P9, Standings!$A$3:$A$34, 0))</f>
        <v/>
      </c>
      <c r="Y9" s="194">
        <f t="array" ref="Y9:Y9">IFERROR(AE9+(AL9-_DFactor)*AE9,"")</f>
        <v/>
      </c>
      <c r="Z9" s="157">
        <f>IFERROR(AF9+(AI9-_DFactor)*AF9,"")</f>
        <v/>
      </c>
      <c r="AA9" s="157">
        <f>IFERROR(VLOOKUP(M9&amp;N9,Odds!B:E,3,0),0)</f>
        <v/>
      </c>
      <c r="AB9" s="157">
        <f>IFERROR(VLOOKUP(M9&amp;N9,Odds!B:E,4,0),0)</f>
        <v/>
      </c>
      <c r="AC9" s="194">
        <f>VLOOKUP(M9&amp;N9,Schedule!A:F,6,0)</f>
        <v/>
      </c>
      <c r="AD9" s="194">
        <f>VLOOKUP(M9&amp;P9,Schedule!A:F,6,0)</f>
        <v/>
      </c>
      <c r="AE9" s="156">
        <f>VLOOKUP(N9,ProjPVT!B:I,8,0)*_Mag/VLOOKUP(P9,Standings!A:O,15,0)*H9*K9</f>
        <v/>
      </c>
      <c r="AF9" s="156">
        <f>VLOOKUP(P9,ProjPVT!B:I,8,0)*_Mag/VLOOKUP(N9,Standings!A:O,15,0)*J9*I9</f>
        <v/>
      </c>
      <c r="AG9" s="195">
        <f>VLOOKUP(N9,Matrix!AA:AC,3,0)</f>
        <v/>
      </c>
      <c r="AH9" s="195">
        <f>SUMIFS(Def!C:C,Def!F:F,AG9)</f>
        <v/>
      </c>
      <c r="AI9" s="156">
        <f>IFERROR(SUMIFS(Def!B:B,Def!F:F,AG9)/AH9,"")</f>
        <v/>
      </c>
      <c r="AJ9" s="195">
        <f>VLOOKUP(P9,Matrix!AA:AC,3,0)</f>
        <v/>
      </c>
      <c r="AK9" s="195">
        <f>SUMIFS(Def!C:C,Def!F:F,AJ9)</f>
        <v/>
      </c>
      <c r="AL9" s="156">
        <f>IFERROR(SUMIFS(Def!B:B,Def!F:F,AJ9)/AK9,"")</f>
        <v/>
      </c>
    </row>
    <row r="10" ht="14.4" customHeight="1" s="152">
      <c r="A10" s="157">
        <f>IF(F10="Yes",IFERROR(IF(AA10&gt;1,AA10/100,100/-AA10),""),-1)</f>
        <v/>
      </c>
      <c r="B10" s="157">
        <f>B9+1</f>
        <v/>
      </c>
      <c r="C10" s="157">
        <f>IF(Y10&gt;Z10,1,0)</f>
        <v/>
      </c>
      <c r="D10" s="157">
        <f>IF(AND(C10=1,F10="Yes"),"Yes",IF(AND(C10=0,F10="No"),"Yes","No"))</f>
        <v/>
      </c>
      <c r="E10" s="192">
        <f>IF((AC10+AB10)=AD10,"Push",IF((AC10+AB10)&gt;AD10,"Yes","No"))</f>
        <v/>
      </c>
      <c r="F10" s="192">
        <f>IF(AC10&gt;AD10,"Yes","No")</f>
        <v/>
      </c>
      <c r="G10" s="192">
        <f>IF((Y10+AB10)&gt;Z10,"Yes",IF((Y10+AB10)=Z10,"Push","No"))</f>
        <v/>
      </c>
      <c r="H10" s="157">
        <f>IF(O10="Home",VLOOKUP(N10,Matrix!A:S,19,0),1)</f>
        <v/>
      </c>
      <c r="I10" s="157">
        <f>IF(O10="Away",VLOOKUP(N10,Matrix!A:Z,20,0),1)</f>
        <v/>
      </c>
      <c r="J10" s="157">
        <f>IF(O10="Away",VLOOKUP(P10,Matrix!A:S,19,0),1)</f>
        <v/>
      </c>
      <c r="K10" s="157">
        <f>IF(O10="Home",VLOOKUP(P10,Matrix!A:Z,20,0),1)</f>
        <v/>
      </c>
      <c r="L10" s="156" t="n">
        <v>-0.201366876190428</v>
      </c>
      <c r="M10" s="179">
        <f>Schedule!B10</f>
        <v/>
      </c>
      <c r="N10" s="156">
        <f>Schedule!E10</f>
        <v/>
      </c>
      <c r="O10" s="156" t="inlineStr">
        <is>
          <t>Away</t>
        </is>
      </c>
      <c r="P10" s="157">
        <f>Schedule!H10</f>
        <v/>
      </c>
      <c r="Q10" s="157">
        <f>Schedule!C10</f>
        <v/>
      </c>
      <c r="R10" s="180">
        <f>Schedule!D10</f>
        <v/>
      </c>
      <c r="S10" s="181">
        <f>Schedule!J10</f>
        <v/>
      </c>
      <c r="T10" s="193">
        <f>Y10-Z10</f>
        <v/>
      </c>
      <c r="U10" s="182">
        <f>T10/Picks!$K$2</f>
        <v/>
      </c>
      <c r="V10" s="193">
        <f>INDEX(Standings!$T$3:$T$34, MATCH(N10, Standings!$A$3:$A$34, 0)) - INDEX(Standings!$T$3:$T$34, MATCH(P10, Standings!$A$3:$A$34, 0))</f>
        <v/>
      </c>
      <c r="W10" s="157">
        <f>INDEX(Standings!$L$3:$L$34, MATCH(N10, Standings!$A$3:$A$34, 0)) - INDEX(Standings!$L$3:$L$34, MATCH(P10, Standings!$A$3:$A$34, 0))</f>
        <v/>
      </c>
      <c r="X10" s="157">
        <f>INDEX(Standings!$M$3:$M$34, MATCH(N10, Standings!$A$3:$A$34, 0)) - INDEX(Standings!$M$3:$M$34, MATCH(P10, Standings!$A$3:$A$34, 0))</f>
        <v/>
      </c>
      <c r="Y10" s="194">
        <f t="array" ref="Y10:Y10">IFERROR(AE10+(AL10-_DFactor)*AE10,"")</f>
        <v/>
      </c>
      <c r="Z10" s="157">
        <f>IFERROR(AF10+(AI10-_DFactor)*AF10,"")</f>
        <v/>
      </c>
      <c r="AA10" s="157">
        <f>IFERROR(VLOOKUP(M10&amp;N10,Odds!B:E,3,0),0)</f>
        <v/>
      </c>
      <c r="AB10" s="157">
        <f>IFERROR(VLOOKUP(M10&amp;N10,Odds!B:E,4,0),0)</f>
        <v/>
      </c>
      <c r="AC10" s="194">
        <f>VLOOKUP(M10&amp;N10,Schedule!A:F,6,0)</f>
        <v/>
      </c>
      <c r="AD10" s="194">
        <f>VLOOKUP(M10&amp;P10,Schedule!A:F,6,0)</f>
        <v/>
      </c>
      <c r="AE10" s="156">
        <f>VLOOKUP(N10,ProjPVT!B:I,8,0)*_Mag/VLOOKUP(P10,Standings!A:O,15,0)*H10*K10</f>
        <v/>
      </c>
      <c r="AF10" s="156">
        <f>VLOOKUP(P10,ProjPVT!B:I,8,0)*_Mag/VLOOKUP(N10,Standings!A:O,15,0)*J10*I10</f>
        <v/>
      </c>
      <c r="AG10" s="195">
        <f>VLOOKUP(N10,Matrix!AA:AC,3,0)</f>
        <v/>
      </c>
      <c r="AH10" s="195">
        <f>SUMIFS(Def!C:C,Def!F:F,AG10)</f>
        <v/>
      </c>
      <c r="AI10" s="156">
        <f>IFERROR(SUMIFS(Def!B:B,Def!F:F,AG10)/AH10,"")</f>
        <v/>
      </c>
      <c r="AJ10" s="195">
        <f>VLOOKUP(P10,Matrix!AA:AC,3,0)</f>
        <v/>
      </c>
      <c r="AK10" s="195">
        <f>SUMIFS(Def!C:C,Def!F:F,AJ10)</f>
        <v/>
      </c>
      <c r="AL10" s="156">
        <f>IFERROR(SUMIFS(Def!B:B,Def!F:F,AJ10)/AK10,"")</f>
        <v/>
      </c>
    </row>
    <row r="11" ht="14.4" customHeight="1" s="152">
      <c r="A11" s="157">
        <f>IF(F11="Yes",IFERROR(IF(AA11&gt;1,AA11/100,100/-AA11),""),-1)</f>
        <v/>
      </c>
      <c r="B11" s="157">
        <f>B10+1</f>
        <v/>
      </c>
      <c r="C11" s="157">
        <f>IF(Y11&gt;Z11,1,0)</f>
        <v/>
      </c>
      <c r="D11" s="157">
        <f>IF(AND(C11=1,F11="Yes"),"Yes",IF(AND(C11=0,F11="No"),"Yes","No"))</f>
        <v/>
      </c>
      <c r="E11" s="192">
        <f>IF((AC11+AB11)=AD11,"Push",IF((AC11+AB11)&gt;AD11,"Yes","No"))</f>
        <v/>
      </c>
      <c r="F11" s="192">
        <f>IF(AC11&gt;AD11,"Yes","No")</f>
        <v/>
      </c>
      <c r="G11" s="192">
        <f>IF((Y11+AB11)&gt;Z11,"Yes",IF((Y11+AB11)=Z11,"Push","No"))</f>
        <v/>
      </c>
      <c r="H11" s="157">
        <f>IF(O11="Home",VLOOKUP(N11,Matrix!A:S,19,0),1)</f>
        <v/>
      </c>
      <c r="I11" s="157">
        <f>IF(O11="Away",VLOOKUP(N11,Matrix!A:Z,20,0),1)</f>
        <v/>
      </c>
      <c r="J11" s="157">
        <f>IF(O11="Away",VLOOKUP(P11,Matrix!A:S,19,0),1)</f>
        <v/>
      </c>
      <c r="K11" s="157">
        <f>IF(O11="Home",VLOOKUP(P11,Matrix!A:Z,20,0),1)</f>
        <v/>
      </c>
      <c r="L11" s="156" t="n">
        <v>-0.194405671524079</v>
      </c>
      <c r="M11" s="179">
        <f>Schedule!B11</f>
        <v/>
      </c>
      <c r="N11" s="156">
        <f>Schedule!E11</f>
        <v/>
      </c>
      <c r="O11" s="156" t="inlineStr">
        <is>
          <t>Home</t>
        </is>
      </c>
      <c r="P11" s="157">
        <f>Schedule!H11</f>
        <v/>
      </c>
      <c r="Q11" s="157">
        <f>Schedule!C11</f>
        <v/>
      </c>
      <c r="R11" s="180">
        <f>Schedule!D11</f>
        <v/>
      </c>
      <c r="S11" s="181">
        <f>Schedule!J11</f>
        <v/>
      </c>
      <c r="T11" s="193">
        <f>Y11-Z11</f>
        <v/>
      </c>
      <c r="U11" s="182">
        <f>T11/Picks!$K$2</f>
        <v/>
      </c>
      <c r="V11" s="193">
        <f>INDEX(Standings!$T$3:$T$34, MATCH(N11, Standings!$A$3:$A$34, 0)) - INDEX(Standings!$T$3:$T$34, MATCH(P11, Standings!$A$3:$A$34, 0))</f>
        <v/>
      </c>
      <c r="W11" s="157">
        <f>INDEX(Standings!$L$3:$L$34, MATCH(N11, Standings!$A$3:$A$34, 0)) - INDEX(Standings!$L$3:$L$34, MATCH(P11, Standings!$A$3:$A$34, 0))</f>
        <v/>
      </c>
      <c r="X11" s="157">
        <f>INDEX(Standings!$M$3:$M$34, MATCH(N11, Standings!$A$3:$A$34, 0)) - INDEX(Standings!$M$3:$M$34, MATCH(P11, Standings!$A$3:$A$34, 0))</f>
        <v/>
      </c>
      <c r="Y11" s="194">
        <f t="array" ref="Y11:Y11">IFERROR(AE11+(AL11-_DFactor)*AE11,"")</f>
        <v/>
      </c>
      <c r="Z11" s="157">
        <f>IFERROR(AF11+(AI11-_DFactor)*AF11,"")</f>
        <v/>
      </c>
      <c r="AA11" s="157">
        <f>IFERROR(VLOOKUP(M11&amp;N11,Odds!B:E,3,0),0)</f>
        <v/>
      </c>
      <c r="AB11" s="157">
        <f>IFERROR(VLOOKUP(M11&amp;N11,Odds!B:E,4,0),0)</f>
        <v/>
      </c>
      <c r="AC11" s="194">
        <f>VLOOKUP(M11&amp;N11,Schedule!A:F,6,0)</f>
        <v/>
      </c>
      <c r="AD11" s="194">
        <f>VLOOKUP(M11&amp;P11,Schedule!A:F,6,0)</f>
        <v/>
      </c>
      <c r="AE11" s="156">
        <f>VLOOKUP(N11,ProjPVT!B:I,8,0)*_Mag/VLOOKUP(P11,Standings!A:O,15,0)*H11*K11</f>
        <v/>
      </c>
      <c r="AF11" s="156">
        <f>VLOOKUP(P11,ProjPVT!B:I,8,0)*_Mag/VLOOKUP(N11,Standings!A:O,15,0)*J11*I11</f>
        <v/>
      </c>
      <c r="AG11" s="195">
        <f>VLOOKUP(N11,Matrix!AA:AC,3,0)</f>
        <v/>
      </c>
      <c r="AH11" s="195">
        <f>SUMIFS(Def!C:C,Def!F:F,AG11)</f>
        <v/>
      </c>
      <c r="AI11" s="156">
        <f>IFERROR(SUMIFS(Def!B:B,Def!F:F,AG11)/AH11,"")</f>
        <v/>
      </c>
      <c r="AJ11" s="195">
        <f>VLOOKUP(P11,Matrix!AA:AC,3,0)</f>
        <v/>
      </c>
      <c r="AK11" s="195">
        <f>SUMIFS(Def!C:C,Def!F:F,AJ11)</f>
        <v/>
      </c>
      <c r="AL11" s="156">
        <f>IFERROR(SUMIFS(Def!B:B,Def!F:F,AJ11)/AK11,"")</f>
        <v/>
      </c>
    </row>
    <row r="12" ht="14.4" customHeight="1" s="152">
      <c r="A12" s="157">
        <f>IF(F12="Yes",IFERROR(IF(AA12&gt;1,AA12/100,100/-AA12),""),-1)</f>
        <v/>
      </c>
      <c r="B12" s="157">
        <f>B11+1</f>
        <v/>
      </c>
      <c r="C12" s="157">
        <f>IF(Y12&gt;Z12,1,0)</f>
        <v/>
      </c>
      <c r="D12" s="157">
        <f>IF(AND(C12=1,F12="Yes"),"Yes",IF(AND(C12=0,F12="No"),"Yes","No"))</f>
        <v/>
      </c>
      <c r="E12" s="192">
        <f>IF((AC12+AB12)=AD12,"Push",IF((AC12+AB12)&gt;AD12,"Yes","No"))</f>
        <v/>
      </c>
      <c r="F12" s="192">
        <f>IF(AC12&gt;AD12,"Yes","No")</f>
        <v/>
      </c>
      <c r="G12" s="192">
        <f>IF((Y12+AB12)&gt;Z12,"Yes",IF((Y12+AB12)=Z12,"Push","No"))</f>
        <v/>
      </c>
      <c r="H12" s="157">
        <f>IF(O12="Home",VLOOKUP(N12,Matrix!A:S,19,0),1)</f>
        <v/>
      </c>
      <c r="I12" s="157">
        <f>IF(O12="Away",VLOOKUP(N12,Matrix!A:Z,20,0),1)</f>
        <v/>
      </c>
      <c r="J12" s="157">
        <f>IF(O12="Away",VLOOKUP(P12,Matrix!A:S,19,0),1)</f>
        <v/>
      </c>
      <c r="K12" s="157">
        <f>IF(O12="Home",VLOOKUP(P12,Matrix!A:Z,20,0),1)</f>
        <v/>
      </c>
      <c r="L12" s="156" t="n">
        <v>-0.181688370757654</v>
      </c>
      <c r="M12" s="179">
        <f>Schedule!B12</f>
        <v/>
      </c>
      <c r="N12" s="156">
        <f>Schedule!E12</f>
        <v/>
      </c>
      <c r="O12" s="156" t="inlineStr">
        <is>
          <t>Away</t>
        </is>
      </c>
      <c r="P12" s="157">
        <f>Schedule!H12</f>
        <v/>
      </c>
      <c r="Q12" s="157">
        <f>Schedule!C12</f>
        <v/>
      </c>
      <c r="R12" s="180">
        <f>Schedule!D12</f>
        <v/>
      </c>
      <c r="S12" s="181">
        <f>Schedule!J12</f>
        <v/>
      </c>
      <c r="T12" s="193">
        <f>Y12-Z12</f>
        <v/>
      </c>
      <c r="U12" s="182">
        <f>T12/Picks!$K$2</f>
        <v/>
      </c>
      <c r="V12" s="193">
        <f>INDEX(Standings!$T$3:$T$34, MATCH(N12, Standings!$A$3:$A$34, 0)) - INDEX(Standings!$T$3:$T$34, MATCH(P12, Standings!$A$3:$A$34, 0))</f>
        <v/>
      </c>
      <c r="W12" s="157">
        <f>INDEX(Standings!$L$3:$L$34, MATCH(N12, Standings!$A$3:$A$34, 0)) - INDEX(Standings!$L$3:$L$34, MATCH(P12, Standings!$A$3:$A$34, 0))</f>
        <v/>
      </c>
      <c r="X12" s="157">
        <f>INDEX(Standings!$M$3:$M$34, MATCH(N12, Standings!$A$3:$A$34, 0)) - INDEX(Standings!$M$3:$M$34, MATCH(P12, Standings!$A$3:$A$34, 0))</f>
        <v/>
      </c>
      <c r="Y12" s="194">
        <f t="array" ref="Y12:Y12">IFERROR(AE12+(AL12-_DFactor)*AE12,"")</f>
        <v/>
      </c>
      <c r="Z12" s="157">
        <f>IFERROR(AF12+(AI12-_DFactor)*AF12,"")</f>
        <v/>
      </c>
      <c r="AA12" s="157">
        <f>IFERROR(VLOOKUP(M12&amp;N12,Odds!B:E,3,0),0)</f>
        <v/>
      </c>
      <c r="AB12" s="157">
        <f>IFERROR(VLOOKUP(M12&amp;N12,Odds!B:E,4,0),0)</f>
        <v/>
      </c>
      <c r="AC12" s="194">
        <f>VLOOKUP(M12&amp;N12,Schedule!A:F,6,0)</f>
        <v/>
      </c>
      <c r="AD12" s="194">
        <f>VLOOKUP(M12&amp;P12,Schedule!A:F,6,0)</f>
        <v/>
      </c>
      <c r="AE12" s="156">
        <f>VLOOKUP(N12,ProjPVT!B:I,8,0)*_Mag/VLOOKUP(P12,Standings!A:O,15,0)*H12*K12</f>
        <v/>
      </c>
      <c r="AF12" s="156">
        <f>VLOOKUP(P12,ProjPVT!B:I,8,0)*_Mag/VLOOKUP(N12,Standings!A:O,15,0)*J12*I12</f>
        <v/>
      </c>
      <c r="AG12" s="195">
        <f>VLOOKUP(N12,Matrix!AA:AC,3,0)</f>
        <v/>
      </c>
      <c r="AH12" s="195">
        <f>SUMIFS(Def!C:C,Def!F:F,AG12)</f>
        <v/>
      </c>
      <c r="AI12" s="156">
        <f>IFERROR(SUMIFS(Def!B:B,Def!F:F,AG12)/AH12,"")</f>
        <v/>
      </c>
      <c r="AJ12" s="195">
        <f>VLOOKUP(P12,Matrix!AA:AC,3,0)</f>
        <v/>
      </c>
      <c r="AK12" s="195">
        <f>SUMIFS(Def!C:C,Def!F:F,AJ12)</f>
        <v/>
      </c>
      <c r="AL12" s="156">
        <f>IFERROR(SUMIFS(Def!B:B,Def!F:F,AJ12)/AK12,"")</f>
        <v/>
      </c>
    </row>
    <row r="13" ht="14.4" customHeight="1" s="152">
      <c r="A13" s="157">
        <f>IF(F13="Yes",IFERROR(IF(AA13&gt;1,AA13/100,100/-AA13),""),-1)</f>
        <v/>
      </c>
      <c r="B13" s="157">
        <f>B12+1</f>
        <v/>
      </c>
      <c r="C13" s="157">
        <f>IF(Y13&gt;Z13,1,0)</f>
        <v/>
      </c>
      <c r="D13" s="157">
        <f>IF(AND(C13=1,F13="Yes"),"Yes",IF(AND(C13=0,F13="No"),"Yes","No"))</f>
        <v/>
      </c>
      <c r="E13" s="192">
        <f>IF((AC13+AB13)=AD13,"Push",IF((AC13+AB13)&gt;AD13,"Yes","No"))</f>
        <v/>
      </c>
      <c r="F13" s="192">
        <f>IF(AC13&gt;AD13,"Yes","No")</f>
        <v/>
      </c>
      <c r="G13" s="192">
        <f>IF((Y13+AB13)&gt;Z13,"Yes",IF((Y13+AB13)=Z13,"Push","No"))</f>
        <v/>
      </c>
      <c r="H13" s="157">
        <f>IF(O13="Home",VLOOKUP(N13,Matrix!A:S,19,0),1)</f>
        <v/>
      </c>
      <c r="I13" s="157">
        <f>IF(O13="Away",VLOOKUP(N13,Matrix!A:Z,20,0),1)</f>
        <v/>
      </c>
      <c r="J13" s="157">
        <f>IF(O13="Away",VLOOKUP(P13,Matrix!A:S,19,0),1)</f>
        <v/>
      </c>
      <c r="K13" s="157">
        <f>IF(O13="Home",VLOOKUP(P13,Matrix!A:Z,20,0),1)</f>
        <v/>
      </c>
      <c r="L13" s="156" t="n">
        <v>-0.170206449418818</v>
      </c>
      <c r="M13" s="179">
        <f>Schedule!B13</f>
        <v/>
      </c>
      <c r="N13" s="156">
        <f>Schedule!E13</f>
        <v/>
      </c>
      <c r="O13" s="156" t="inlineStr">
        <is>
          <t>Away</t>
        </is>
      </c>
      <c r="P13" s="157">
        <f>Schedule!H13</f>
        <v/>
      </c>
      <c r="Q13" s="157">
        <f>Schedule!C13</f>
        <v/>
      </c>
      <c r="R13" s="180">
        <f>Schedule!D13</f>
        <v/>
      </c>
      <c r="S13" s="181">
        <f>Schedule!J13</f>
        <v/>
      </c>
      <c r="T13" s="193">
        <f>Y13-Z13</f>
        <v/>
      </c>
      <c r="U13" s="182">
        <f>T13/Picks!$K$2</f>
        <v/>
      </c>
      <c r="V13" s="193">
        <f>INDEX(Standings!$T$3:$T$34, MATCH(N13, Standings!$A$3:$A$34, 0)) - INDEX(Standings!$T$3:$T$34, MATCH(P13, Standings!$A$3:$A$34, 0))</f>
        <v/>
      </c>
      <c r="W13" s="157">
        <f>INDEX(Standings!$L$3:$L$34, MATCH(N13, Standings!$A$3:$A$34, 0)) - INDEX(Standings!$L$3:$L$34, MATCH(P13, Standings!$A$3:$A$34, 0))</f>
        <v/>
      </c>
      <c r="X13" s="157">
        <f>INDEX(Standings!$M$3:$M$34, MATCH(N13, Standings!$A$3:$A$34, 0)) - INDEX(Standings!$M$3:$M$34, MATCH(P13, Standings!$A$3:$A$34, 0))</f>
        <v/>
      </c>
      <c r="Y13" s="194">
        <f t="array" ref="Y13:Y13">IFERROR(AE13+(AL13-_DFactor)*AE13,"")</f>
        <v/>
      </c>
      <c r="Z13" s="157">
        <f>IFERROR(AF13+(AI13-_DFactor)*AF13,"")</f>
        <v/>
      </c>
      <c r="AA13" s="157">
        <f>IFERROR(VLOOKUP(M13&amp;N13,Odds!B:E,3,0),0)</f>
        <v/>
      </c>
      <c r="AB13" s="157">
        <f>IFERROR(VLOOKUP(M13&amp;N13,Odds!B:E,4,0),0)</f>
        <v/>
      </c>
      <c r="AC13" s="194">
        <f>VLOOKUP(M13&amp;N13,Schedule!A:F,6,0)</f>
        <v/>
      </c>
      <c r="AD13" s="194">
        <f>VLOOKUP(M13&amp;P13,Schedule!A:F,6,0)</f>
        <v/>
      </c>
      <c r="AE13" s="156">
        <f>VLOOKUP(N13,ProjPVT!B:I,8,0)*_Mag/VLOOKUP(P13,Standings!A:O,15,0)*H13*K13</f>
        <v/>
      </c>
      <c r="AF13" s="156">
        <f>VLOOKUP(P13,ProjPVT!B:I,8,0)*_Mag/VLOOKUP(N13,Standings!A:O,15,0)*J13*I13</f>
        <v/>
      </c>
      <c r="AG13" s="195">
        <f>VLOOKUP(N13,Matrix!AA:AC,3,0)</f>
        <v/>
      </c>
      <c r="AH13" s="195">
        <f>SUMIFS(Def!C:C,Def!F:F,AG13)</f>
        <v/>
      </c>
      <c r="AI13" s="156">
        <f>IFERROR(SUMIFS(Def!B:B,Def!F:F,AG13)/AH13,"")</f>
        <v/>
      </c>
      <c r="AJ13" s="195">
        <f>VLOOKUP(P13,Matrix!AA:AC,3,0)</f>
        <v/>
      </c>
      <c r="AK13" s="195">
        <f>SUMIFS(Def!C:C,Def!F:F,AJ13)</f>
        <v/>
      </c>
      <c r="AL13" s="156">
        <f>IFERROR(SUMIFS(Def!B:B,Def!F:F,AJ13)/AK13,"")</f>
        <v/>
      </c>
    </row>
    <row r="14" ht="14.4" customHeight="1" s="152">
      <c r="A14" s="157">
        <f>IF(F14="Yes",IFERROR(IF(AA14&gt;1,AA14/100,100/-AA14),""),-1)</f>
        <v/>
      </c>
      <c r="B14" s="157">
        <f>B13+1</f>
        <v/>
      </c>
      <c r="C14" s="157">
        <f>IF(Y14&gt;Z14,1,0)</f>
        <v/>
      </c>
      <c r="D14" s="157">
        <f>IF(AND(C14=1,F14="Yes"),"Yes",IF(AND(C14=0,F14="No"),"Yes","No"))</f>
        <v/>
      </c>
      <c r="E14" s="192">
        <f>IF((AC14+AB14)=AD14,"Push",IF((AC14+AB14)&gt;AD14,"Yes","No"))</f>
        <v/>
      </c>
      <c r="F14" s="192">
        <f>IF(AC14&gt;AD14,"Yes","No")</f>
        <v/>
      </c>
      <c r="G14" s="192">
        <f>IF((Y14+AB14)&gt;Z14,"Yes",IF((Y14+AB14)=Z14,"Push","No"))</f>
        <v/>
      </c>
      <c r="H14" s="157">
        <f>IF(O14="Home",VLOOKUP(N14,Matrix!A:S,19,0),1)</f>
        <v/>
      </c>
      <c r="I14" s="157">
        <f>IF(O14="Away",VLOOKUP(N14,Matrix!A:Z,20,0),1)</f>
        <v/>
      </c>
      <c r="J14" s="157">
        <f>IF(O14="Away",VLOOKUP(P14,Matrix!A:S,19,0),1)</f>
        <v/>
      </c>
      <c r="K14" s="157">
        <f>IF(O14="Home",VLOOKUP(P14,Matrix!A:Z,20,0),1)</f>
        <v/>
      </c>
      <c r="L14" s="156" t="n">
        <v>-0.166258692056145</v>
      </c>
      <c r="M14" s="179">
        <f>Schedule!B14</f>
        <v/>
      </c>
      <c r="N14" s="156">
        <f>Schedule!E14</f>
        <v/>
      </c>
      <c r="O14" s="156" t="inlineStr">
        <is>
          <t>Away</t>
        </is>
      </c>
      <c r="P14" s="157">
        <f>Schedule!H14</f>
        <v/>
      </c>
      <c r="Q14" s="157">
        <f>Schedule!C14</f>
        <v/>
      </c>
      <c r="R14" s="180">
        <f>Schedule!D14</f>
        <v/>
      </c>
      <c r="S14" s="181">
        <f>Schedule!J14</f>
        <v/>
      </c>
      <c r="T14" s="193">
        <f>Y14-Z14</f>
        <v/>
      </c>
      <c r="U14" s="182">
        <f>T14/Picks!$K$2</f>
        <v/>
      </c>
      <c r="V14" s="193">
        <f>INDEX(Standings!$T$3:$T$34, MATCH(N14, Standings!$A$3:$A$34, 0)) - INDEX(Standings!$T$3:$T$34, MATCH(P14, Standings!$A$3:$A$34, 0))</f>
        <v/>
      </c>
      <c r="W14" s="157">
        <f>INDEX(Standings!$L$3:$L$34, MATCH(N14, Standings!$A$3:$A$34, 0)) - INDEX(Standings!$L$3:$L$34, MATCH(P14, Standings!$A$3:$A$34, 0))</f>
        <v/>
      </c>
      <c r="X14" s="157">
        <f>INDEX(Standings!$M$3:$M$34, MATCH(N14, Standings!$A$3:$A$34, 0)) - INDEX(Standings!$M$3:$M$34, MATCH(P14, Standings!$A$3:$A$34, 0))</f>
        <v/>
      </c>
      <c r="Y14" s="194">
        <f t="array" ref="Y14:Y14">IFERROR(AE14+(AL14-_DFactor)*AE14,"")</f>
        <v/>
      </c>
      <c r="Z14" s="157">
        <f>IFERROR(AF14+(AI14-_DFactor)*AF14,"")</f>
        <v/>
      </c>
      <c r="AA14" s="157">
        <f>IFERROR(VLOOKUP(M14&amp;N14,Odds!B:E,3,0),0)</f>
        <v/>
      </c>
      <c r="AB14" s="157">
        <f>IFERROR(VLOOKUP(M14&amp;N14,Odds!B:E,4,0),0)</f>
        <v/>
      </c>
      <c r="AC14" s="194">
        <f>VLOOKUP(M14&amp;N14,Schedule!A:F,6,0)</f>
        <v/>
      </c>
      <c r="AD14" s="194">
        <f>VLOOKUP(M14&amp;P14,Schedule!A:F,6,0)</f>
        <v/>
      </c>
      <c r="AE14" s="156">
        <f>VLOOKUP(N14,ProjPVT!B:I,8,0)*_Mag/VLOOKUP(P14,Standings!A:O,15,0)*H14*K14</f>
        <v/>
      </c>
      <c r="AF14" s="156">
        <f>VLOOKUP(P14,ProjPVT!B:I,8,0)*_Mag/VLOOKUP(N14,Standings!A:O,15,0)*J14*I14</f>
        <v/>
      </c>
      <c r="AG14" s="195">
        <f>VLOOKUP(N14,Matrix!AA:AC,3,0)</f>
        <v/>
      </c>
      <c r="AH14" s="195">
        <f>SUMIFS(Def!C:C,Def!F:F,AG14)</f>
        <v/>
      </c>
      <c r="AI14" s="156">
        <f>IFERROR(SUMIFS(Def!B:B,Def!F:F,AG14)/AH14,"")</f>
        <v/>
      </c>
      <c r="AJ14" s="195">
        <f>VLOOKUP(P14,Matrix!AA:AC,3,0)</f>
        <v/>
      </c>
      <c r="AK14" s="195">
        <f>SUMIFS(Def!C:C,Def!F:F,AJ14)</f>
        <v/>
      </c>
      <c r="AL14" s="156">
        <f>IFERROR(SUMIFS(Def!B:B,Def!F:F,AJ14)/AK14,"")</f>
        <v/>
      </c>
    </row>
    <row r="15" ht="14.4" customHeight="1" s="152">
      <c r="A15" s="157">
        <f>IF(F15="Yes",IFERROR(IF(AA15&gt;1,AA15/100,100/-AA15),""),-1)</f>
        <v/>
      </c>
      <c r="B15" s="157">
        <f>B14+1</f>
        <v/>
      </c>
      <c r="C15" s="157">
        <f>IF(Y15&gt;Z15,1,0)</f>
        <v/>
      </c>
      <c r="D15" s="157">
        <f>IF(AND(C15=1,F15="Yes"),"Yes",IF(AND(C15=0,F15="No"),"Yes","No"))</f>
        <v/>
      </c>
      <c r="E15" s="192">
        <f>IF((AC15+AB15)=AD15,"Push",IF((AC15+AB15)&gt;AD15,"Yes","No"))</f>
        <v/>
      </c>
      <c r="F15" s="192">
        <f>IF(AC15&gt;AD15,"Yes","No")</f>
        <v/>
      </c>
      <c r="G15" s="192">
        <f>IF((Y15+AB15)&gt;Z15,"Yes",IF((Y15+AB15)=Z15,"Push","No"))</f>
        <v/>
      </c>
      <c r="H15" s="157">
        <f>IF(O15="Home",VLOOKUP(N15,Matrix!A:S,19,0),1)</f>
        <v/>
      </c>
      <c r="I15" s="157">
        <f>IF(O15="Away",VLOOKUP(N15,Matrix!A:Z,20,0),1)</f>
        <v/>
      </c>
      <c r="J15" s="157">
        <f>IF(O15="Away",VLOOKUP(P15,Matrix!A:S,19,0),1)</f>
        <v/>
      </c>
      <c r="K15" s="157">
        <f>IF(O15="Home",VLOOKUP(P15,Matrix!A:Z,20,0),1)</f>
        <v/>
      </c>
      <c r="L15" s="156" t="n">
        <v>-0.0526176962678603</v>
      </c>
      <c r="M15" s="179">
        <f>Schedule!B15</f>
        <v/>
      </c>
      <c r="N15" s="156">
        <f>Schedule!E15</f>
        <v/>
      </c>
      <c r="O15" s="156" t="inlineStr">
        <is>
          <t>Home</t>
        </is>
      </c>
      <c r="P15" s="157">
        <f>Schedule!H15</f>
        <v/>
      </c>
      <c r="Q15" s="157">
        <f>Schedule!C15</f>
        <v/>
      </c>
      <c r="R15" s="180">
        <f>Schedule!D15</f>
        <v/>
      </c>
      <c r="S15" s="181">
        <f>Schedule!J15</f>
        <v/>
      </c>
      <c r="T15" s="193">
        <f>Y15-Z15</f>
        <v/>
      </c>
      <c r="U15" s="182">
        <f>T15/Picks!$K$2</f>
        <v/>
      </c>
      <c r="V15" s="193">
        <f>INDEX(Standings!$T$3:$T$34, MATCH(N15, Standings!$A$3:$A$34, 0)) - INDEX(Standings!$T$3:$T$34, MATCH(P15, Standings!$A$3:$A$34, 0))</f>
        <v/>
      </c>
      <c r="W15" s="157">
        <f>INDEX(Standings!$L$3:$L$34, MATCH(N15, Standings!$A$3:$A$34, 0)) - INDEX(Standings!$L$3:$L$34, MATCH(P15, Standings!$A$3:$A$34, 0))</f>
        <v/>
      </c>
      <c r="X15" s="157">
        <f>INDEX(Standings!$M$3:$M$34, MATCH(N15, Standings!$A$3:$A$34, 0)) - INDEX(Standings!$M$3:$M$34, MATCH(P15, Standings!$A$3:$A$34, 0))</f>
        <v/>
      </c>
      <c r="Y15" s="194">
        <f t="array" ref="Y15:Y15">IFERROR(AE15+(AL15-_DFactor)*AE15,"")</f>
        <v/>
      </c>
      <c r="Z15" s="157">
        <f>IFERROR(AF15+(AI15-_DFactor)*AF15,"")</f>
        <v/>
      </c>
      <c r="AA15" s="157">
        <f>IFERROR(VLOOKUP(M15&amp;N15,Odds!B:E,3,0),0)</f>
        <v/>
      </c>
      <c r="AB15" s="157">
        <f>IFERROR(VLOOKUP(M15&amp;N15,Odds!B:E,4,0),0)</f>
        <v/>
      </c>
      <c r="AC15" s="194">
        <f>VLOOKUP(M15&amp;N15,Schedule!A:F,6,0)</f>
        <v/>
      </c>
      <c r="AD15" s="194">
        <f>VLOOKUP(M15&amp;P15,Schedule!A:F,6,0)</f>
        <v/>
      </c>
      <c r="AE15" s="156">
        <f>VLOOKUP(N15,ProjPVT!B:I,8,0)*_Mag/VLOOKUP(P15,Standings!A:O,15,0)*H15*K15</f>
        <v/>
      </c>
      <c r="AF15" s="156">
        <f>VLOOKUP(P15,ProjPVT!B:I,8,0)*_Mag/VLOOKUP(N15,Standings!A:O,15,0)*J15*I15</f>
        <v/>
      </c>
      <c r="AG15" s="195">
        <f>VLOOKUP(N15,Matrix!AA:AC,3,0)</f>
        <v/>
      </c>
      <c r="AH15" s="195">
        <f>SUMIFS(Def!C:C,Def!F:F,AG15)</f>
        <v/>
      </c>
      <c r="AI15" s="156">
        <f>IFERROR(SUMIFS(Def!B:B,Def!F:F,AG15)/AH15,"")</f>
        <v/>
      </c>
      <c r="AJ15" s="195">
        <f>VLOOKUP(P15,Matrix!AA:AC,3,0)</f>
        <v/>
      </c>
      <c r="AK15" s="195">
        <f>SUMIFS(Def!C:C,Def!F:F,AJ15)</f>
        <v/>
      </c>
      <c r="AL15" s="156">
        <f>IFERROR(SUMIFS(Def!B:B,Def!F:F,AJ15)/AK15,"")</f>
        <v/>
      </c>
    </row>
    <row r="16" ht="14.4" customHeight="1" s="152">
      <c r="A16" s="157">
        <f>IF(F16="Yes",IFERROR(IF(AA16&gt;1,AA16/100,100/-AA16),""),-1)</f>
        <v/>
      </c>
      <c r="B16" s="157">
        <f>B15+1</f>
        <v/>
      </c>
      <c r="C16" s="157">
        <f>IF(Y16&gt;Z16,1,0)</f>
        <v/>
      </c>
      <c r="D16" s="157">
        <f>IF(AND(C16=1,F16="Yes"),"Yes",IF(AND(C16=0,F16="No"),"Yes","No"))</f>
        <v/>
      </c>
      <c r="E16" s="192">
        <f>IF((AC16+AB16)=AD16,"Push",IF((AC16+AB16)&gt;AD16,"Yes","No"))</f>
        <v/>
      </c>
      <c r="F16" s="192">
        <f>IF(AC16&gt;AD16,"Yes","No")</f>
        <v/>
      </c>
      <c r="G16" s="192">
        <f>IF((Y16+AB16)&gt;Z16,"Yes",IF((Y16+AB16)=Z16,"Push","No"))</f>
        <v/>
      </c>
      <c r="H16" s="157">
        <f>IF(O16="Home",VLOOKUP(N16,Matrix!A:S,19,0),1)</f>
        <v/>
      </c>
      <c r="I16" s="157">
        <f>IF(O16="Away",VLOOKUP(N16,Matrix!A:Z,20,0),1)</f>
        <v/>
      </c>
      <c r="J16" s="157">
        <f>IF(O16="Away",VLOOKUP(P16,Matrix!A:S,19,0),1)</f>
        <v/>
      </c>
      <c r="K16" s="157">
        <f>IF(O16="Home",VLOOKUP(P16,Matrix!A:Z,20,0),1)</f>
        <v/>
      </c>
      <c r="L16" s="156" t="n">
        <v>-0.0291676737473633</v>
      </c>
      <c r="M16" s="179">
        <f>Schedule!B16</f>
        <v/>
      </c>
      <c r="N16" s="156">
        <f>Schedule!E16</f>
        <v/>
      </c>
      <c r="O16" s="156" t="inlineStr">
        <is>
          <t>Home</t>
        </is>
      </c>
      <c r="P16" s="157">
        <f>Schedule!H16</f>
        <v/>
      </c>
      <c r="Q16" s="157">
        <f>Schedule!C16</f>
        <v/>
      </c>
      <c r="R16" s="180">
        <f>Schedule!D16</f>
        <v/>
      </c>
      <c r="S16" s="181">
        <f>Schedule!J16</f>
        <v/>
      </c>
      <c r="T16" s="193">
        <f>Y16-Z16</f>
        <v/>
      </c>
      <c r="U16" s="182">
        <f>T16/Picks!$K$2</f>
        <v/>
      </c>
      <c r="V16" s="193">
        <f>INDEX(Standings!$T$3:$T$34, MATCH(N16, Standings!$A$3:$A$34, 0)) - INDEX(Standings!$T$3:$T$34, MATCH(P16, Standings!$A$3:$A$34, 0))</f>
        <v/>
      </c>
      <c r="W16" s="157">
        <f>INDEX(Standings!$L$3:$L$34, MATCH(N16, Standings!$A$3:$A$34, 0)) - INDEX(Standings!$L$3:$L$34, MATCH(P16, Standings!$A$3:$A$34, 0))</f>
        <v/>
      </c>
      <c r="X16" s="157">
        <f>INDEX(Standings!$M$3:$M$34, MATCH(N16, Standings!$A$3:$A$34, 0)) - INDEX(Standings!$M$3:$M$34, MATCH(P16, Standings!$A$3:$A$34, 0))</f>
        <v/>
      </c>
      <c r="Y16" s="194">
        <f t="array" ref="Y16:Y16">IFERROR(AE16+(AL16-_DFactor)*AE16,"")</f>
        <v/>
      </c>
      <c r="Z16" s="157">
        <f>IFERROR(AF16+(AI16-_DFactor)*AF16,"")</f>
        <v/>
      </c>
      <c r="AA16" s="157">
        <f>IFERROR(VLOOKUP(M16&amp;N16,Odds!B:E,3,0),0)</f>
        <v/>
      </c>
      <c r="AB16" s="157">
        <f>IFERROR(VLOOKUP(M16&amp;N16,Odds!B:E,4,0),0)</f>
        <v/>
      </c>
      <c r="AC16" s="194">
        <f>VLOOKUP(M16&amp;N16,Schedule!A:F,6,0)</f>
        <v/>
      </c>
      <c r="AD16" s="194">
        <f>VLOOKUP(M16&amp;P16,Schedule!A:F,6,0)</f>
        <v/>
      </c>
      <c r="AE16" s="156">
        <f>VLOOKUP(N16,ProjPVT!B:I,8,0)*_Mag/VLOOKUP(P16,Standings!A:O,15,0)*H16*K16</f>
        <v/>
      </c>
      <c r="AF16" s="156">
        <f>VLOOKUP(P16,ProjPVT!B:I,8,0)*_Mag/VLOOKUP(N16,Standings!A:O,15,0)*J16*I16</f>
        <v/>
      </c>
      <c r="AG16" s="195">
        <f>VLOOKUP(N16,Matrix!AA:AC,3,0)</f>
        <v/>
      </c>
      <c r="AH16" s="195">
        <f>SUMIFS(Def!C:C,Def!F:F,AG16)</f>
        <v/>
      </c>
      <c r="AI16" s="156">
        <f>IFERROR(SUMIFS(Def!B:B,Def!F:F,AG16)/AH16,"")</f>
        <v/>
      </c>
      <c r="AJ16" s="195">
        <f>VLOOKUP(P16,Matrix!AA:AC,3,0)</f>
        <v/>
      </c>
      <c r="AK16" s="195">
        <f>SUMIFS(Def!C:C,Def!F:F,AJ16)</f>
        <v/>
      </c>
      <c r="AL16" s="156">
        <f>IFERROR(SUMIFS(Def!B:B,Def!F:F,AJ16)/AK16,"")</f>
        <v/>
      </c>
    </row>
    <row r="17" ht="14.4" customHeight="1" s="152">
      <c r="A17" s="157">
        <f>IF(F17="Yes",IFERROR(IF(AA17&gt;1,AA17/100,100/-AA17),""),-1)</f>
        <v/>
      </c>
      <c r="B17" s="157">
        <f>B16+1</f>
        <v/>
      </c>
      <c r="C17" s="157">
        <f>IF(Y17&gt;Z17,1,0)</f>
        <v/>
      </c>
      <c r="D17" s="157">
        <f>IF(AND(C17=1,F17="Yes"),"Yes",IF(AND(C17=0,F17="No"),"Yes","No"))</f>
        <v/>
      </c>
      <c r="E17" s="192">
        <f>IF((AC17+AB17)=AD17,"Push",IF((AC17+AB17)&gt;AD17,"Yes","No"))</f>
        <v/>
      </c>
      <c r="F17" s="192">
        <f>IF(AC17&gt;AD17,"Yes","No")</f>
        <v/>
      </c>
      <c r="G17" s="192">
        <f>IF((Y17+AB17)&gt;Z17,"Yes",IF((Y17+AB17)=Z17,"Push","No"))</f>
        <v/>
      </c>
      <c r="H17" s="157">
        <f>IF(O17="Home",VLOOKUP(N17,Matrix!A:S,19,0),1)</f>
        <v/>
      </c>
      <c r="I17" s="157">
        <f>IF(O17="Away",VLOOKUP(N17,Matrix!A:Z,20,0),1)</f>
        <v/>
      </c>
      <c r="J17" s="157">
        <f>IF(O17="Away",VLOOKUP(P17,Matrix!A:S,19,0),1)</f>
        <v/>
      </c>
      <c r="K17" s="157">
        <f>IF(O17="Home",VLOOKUP(P17,Matrix!A:Z,20,0),1)</f>
        <v/>
      </c>
      <c r="L17" s="156" t="n">
        <v>-0.0174888859436051</v>
      </c>
      <c r="M17" s="179">
        <f>Schedule!B17</f>
        <v/>
      </c>
      <c r="N17" s="156">
        <f>Schedule!E17</f>
        <v/>
      </c>
      <c r="O17" s="156" t="inlineStr">
        <is>
          <t>Home</t>
        </is>
      </c>
      <c r="P17" s="157">
        <f>Schedule!H17</f>
        <v/>
      </c>
      <c r="Q17" s="157">
        <f>Schedule!C17</f>
        <v/>
      </c>
      <c r="R17" s="180">
        <f>Schedule!D17</f>
        <v/>
      </c>
      <c r="S17" s="181">
        <f>Schedule!J17</f>
        <v/>
      </c>
      <c r="T17" s="193">
        <f>Y17-Z17</f>
        <v/>
      </c>
      <c r="U17" s="182">
        <f>T17/Picks!$K$2</f>
        <v/>
      </c>
      <c r="V17" s="193">
        <f>INDEX(Standings!$T$3:$T$34, MATCH(N17, Standings!$A$3:$A$34, 0)) - INDEX(Standings!$T$3:$T$34, MATCH(P17, Standings!$A$3:$A$34, 0))</f>
        <v/>
      </c>
      <c r="W17" s="157">
        <f>INDEX(Standings!$L$3:$L$34, MATCH(N17, Standings!$A$3:$A$34, 0)) - INDEX(Standings!$L$3:$L$34, MATCH(P17, Standings!$A$3:$A$34, 0))</f>
        <v/>
      </c>
      <c r="X17" s="157">
        <f>INDEX(Standings!$M$3:$M$34, MATCH(N17, Standings!$A$3:$A$34, 0)) - INDEX(Standings!$M$3:$M$34, MATCH(P17, Standings!$A$3:$A$34, 0))</f>
        <v/>
      </c>
      <c r="Y17" s="194">
        <f t="array" ref="Y17:Y17">IFERROR(AE17+(AL17-_DFactor)*AE17,"")</f>
        <v/>
      </c>
      <c r="Z17" s="157">
        <f>IFERROR(AF17+(AI17-_DFactor)*AF17,"")</f>
        <v/>
      </c>
      <c r="AA17" s="157">
        <f>IFERROR(VLOOKUP(M17&amp;N17,Odds!B:E,3,0),0)</f>
        <v/>
      </c>
      <c r="AB17" s="157">
        <f>IFERROR(VLOOKUP(M17&amp;N17,Odds!B:E,4,0),0)</f>
        <v/>
      </c>
      <c r="AC17" s="194">
        <f>VLOOKUP(M17&amp;N17,Schedule!A:F,6,0)</f>
        <v/>
      </c>
      <c r="AD17" s="194">
        <f>VLOOKUP(M17&amp;P17,Schedule!A:F,6,0)</f>
        <v/>
      </c>
      <c r="AE17" s="156">
        <f>VLOOKUP(N17,ProjPVT!B:I,8,0)*_Mag/VLOOKUP(P17,Standings!A:O,15,0)*H17*K17</f>
        <v/>
      </c>
      <c r="AF17" s="156">
        <f>VLOOKUP(P17,ProjPVT!B:I,8,0)*_Mag/VLOOKUP(N17,Standings!A:O,15,0)*J17*I17</f>
        <v/>
      </c>
      <c r="AG17" s="195">
        <f>VLOOKUP(N17,Matrix!AA:AC,3,0)</f>
        <v/>
      </c>
      <c r="AH17" s="195">
        <f>SUMIFS(Def!C:C,Def!F:F,AG17)</f>
        <v/>
      </c>
      <c r="AI17" s="156">
        <f>IFERROR(SUMIFS(Def!B:B,Def!F:F,AG17)/AH17,"")</f>
        <v/>
      </c>
      <c r="AJ17" s="195">
        <f>VLOOKUP(P17,Matrix!AA:AC,3,0)</f>
        <v/>
      </c>
      <c r="AK17" s="195">
        <f>SUMIFS(Def!C:C,Def!F:F,AJ17)</f>
        <v/>
      </c>
      <c r="AL17" s="156">
        <f>IFERROR(SUMIFS(Def!B:B,Def!F:F,AJ17)/AK17,"")</f>
        <v/>
      </c>
    </row>
    <row r="18" ht="14.4" customHeight="1" s="152">
      <c r="A18" s="157">
        <f>IF(F18="Yes",IFERROR(IF(AA18&gt;1,AA18/100,100/-AA18),""),-1)</f>
        <v/>
      </c>
      <c r="B18" s="157">
        <f>B17+1</f>
        <v/>
      </c>
      <c r="C18" s="157">
        <f>IF(Y18&gt;Z18,1,0)</f>
        <v/>
      </c>
      <c r="D18" s="157">
        <f>IF(AND(C18=1,F18="Yes"),"Yes",IF(AND(C18=0,F18="No"),"Yes","No"))</f>
        <v/>
      </c>
      <c r="E18" s="192">
        <f>IF((AC18+AB18)=AD18,"Push",IF((AC18+AB18)&gt;AD18,"Yes","No"))</f>
        <v/>
      </c>
      <c r="F18" s="192">
        <f>IF(AC18&gt;AD18,"Yes","No")</f>
        <v/>
      </c>
      <c r="G18" s="192">
        <f>IF((Y18+AB18)&gt;Z18,"Yes",IF((Y18+AB18)=Z18,"Push","No"))</f>
        <v/>
      </c>
      <c r="H18" s="157">
        <f>IF(O18="Home",VLOOKUP(N18,Matrix!A:S,19,0),1)</f>
        <v/>
      </c>
      <c r="I18" s="157">
        <f>IF(O18="Away",VLOOKUP(N18,Matrix!A:Z,20,0),1)</f>
        <v/>
      </c>
      <c r="J18" s="157">
        <f>IF(O18="Away",VLOOKUP(P18,Matrix!A:S,19,0),1)</f>
        <v/>
      </c>
      <c r="K18" s="157">
        <f>IF(O18="Home",VLOOKUP(P18,Matrix!A:Z,20,0),1)</f>
        <v/>
      </c>
      <c r="L18" s="156" t="n">
        <v>0.0174888859436051</v>
      </c>
      <c r="M18" s="179">
        <f>Schedule!B18</f>
        <v/>
      </c>
      <c r="N18" s="156">
        <f>Schedule!E18</f>
        <v/>
      </c>
      <c r="O18" s="156" t="inlineStr">
        <is>
          <t>Away</t>
        </is>
      </c>
      <c r="P18" s="157">
        <f>Schedule!H18</f>
        <v/>
      </c>
      <c r="Q18" s="157">
        <f>Schedule!C18</f>
        <v/>
      </c>
      <c r="R18" s="180">
        <f>Schedule!D18</f>
        <v/>
      </c>
      <c r="S18" s="181">
        <f>Schedule!J18</f>
        <v/>
      </c>
      <c r="T18" s="193">
        <f>Y18-Z18</f>
        <v/>
      </c>
      <c r="U18" s="182">
        <f>T18/Picks!$K$2</f>
        <v/>
      </c>
      <c r="V18" s="193">
        <f>INDEX(Standings!$T$3:$T$34, MATCH(N18, Standings!$A$3:$A$34, 0)) - INDEX(Standings!$T$3:$T$34, MATCH(P18, Standings!$A$3:$A$34, 0))</f>
        <v/>
      </c>
      <c r="W18" s="157">
        <f>INDEX(Standings!$L$3:$L$34, MATCH(N18, Standings!$A$3:$A$34, 0)) - INDEX(Standings!$L$3:$L$34, MATCH(P18, Standings!$A$3:$A$34, 0))</f>
        <v/>
      </c>
      <c r="X18" s="157">
        <f>INDEX(Standings!$M$3:$M$34, MATCH(N18, Standings!$A$3:$A$34, 0)) - INDEX(Standings!$M$3:$M$34, MATCH(P18, Standings!$A$3:$A$34, 0))</f>
        <v/>
      </c>
      <c r="Y18" s="194">
        <f t="array" ref="Y18:Y18">IFERROR(AE18+(AL18-_DFactor)*AE18,"")</f>
        <v/>
      </c>
      <c r="Z18" s="157">
        <f>IFERROR(AF18+(AI18-_DFactor)*AF18,"")</f>
        <v/>
      </c>
      <c r="AA18" s="157">
        <f>IFERROR(VLOOKUP(M18&amp;N18,Odds!B:E,3,0),0)</f>
        <v/>
      </c>
      <c r="AB18" s="157">
        <f>IFERROR(VLOOKUP(M18&amp;N18,Odds!B:E,4,0),0)</f>
        <v/>
      </c>
      <c r="AC18" s="194">
        <f>VLOOKUP(M18&amp;N18,Schedule!A:F,6,0)</f>
        <v/>
      </c>
      <c r="AD18" s="194">
        <f>VLOOKUP(M18&amp;P18,Schedule!A:F,6,0)</f>
        <v/>
      </c>
      <c r="AE18" s="156">
        <f>VLOOKUP(N18,ProjPVT!B:I,8,0)*_Mag/VLOOKUP(P18,Standings!A:O,15,0)*H18*K18</f>
        <v/>
      </c>
      <c r="AF18" s="156">
        <f>VLOOKUP(P18,ProjPVT!B:I,8,0)*_Mag/VLOOKUP(N18,Standings!A:O,15,0)*J18*I18</f>
        <v/>
      </c>
      <c r="AG18" s="195">
        <f>VLOOKUP(N18,Matrix!AA:AC,3,0)</f>
        <v/>
      </c>
      <c r="AH18" s="195">
        <f>SUMIFS(Def!C:C,Def!F:F,AG18)</f>
        <v/>
      </c>
      <c r="AI18" s="156">
        <f>IFERROR(SUMIFS(Def!B:B,Def!F:F,AG18)/AH18,"")</f>
        <v/>
      </c>
      <c r="AJ18" s="195">
        <f>VLOOKUP(P18,Matrix!AA:AC,3,0)</f>
        <v/>
      </c>
      <c r="AK18" s="195">
        <f>SUMIFS(Def!C:C,Def!F:F,AJ18)</f>
        <v/>
      </c>
      <c r="AL18" s="156">
        <f>IFERROR(SUMIFS(Def!B:B,Def!F:F,AJ18)/AK18,"")</f>
        <v/>
      </c>
    </row>
    <row r="19" ht="14.4" customHeight="1" s="152">
      <c r="A19" s="157">
        <f>IF(F19="Yes",IFERROR(IF(AA19&gt;1,AA19/100,100/-AA19),""),-1)</f>
        <v/>
      </c>
      <c r="B19" s="157">
        <f>B18+1</f>
        <v/>
      </c>
      <c r="C19" s="157">
        <f>IF(Y19&gt;Z19,1,0)</f>
        <v/>
      </c>
      <c r="D19" s="157">
        <f>IF(AND(C19=1,F19="Yes"),"Yes",IF(AND(C19=0,F19="No"),"Yes","No"))</f>
        <v/>
      </c>
      <c r="E19" s="192">
        <f>IF((AC19+AB19)=AD19,"Push",IF((AC19+AB19)&gt;AD19,"Yes","No"))</f>
        <v/>
      </c>
      <c r="F19" s="192">
        <f>IF(AC19&gt;AD19,"Yes","No")</f>
        <v/>
      </c>
      <c r="G19" s="192">
        <f>IF((Y19+AB19)&gt;Z19,"Yes",IF((Y19+AB19)=Z19,"Push","No"))</f>
        <v/>
      </c>
      <c r="H19" s="157">
        <f>IF(O19="Home",VLOOKUP(N19,Matrix!A:S,19,0),1)</f>
        <v/>
      </c>
      <c r="I19" s="157">
        <f>IF(O19="Away",VLOOKUP(N19,Matrix!A:Z,20,0),1)</f>
        <v/>
      </c>
      <c r="J19" s="157">
        <f>IF(O19="Away",VLOOKUP(P19,Matrix!A:S,19,0),1)</f>
        <v/>
      </c>
      <c r="K19" s="157">
        <f>IF(O19="Home",VLOOKUP(P19,Matrix!A:Z,20,0),1)</f>
        <v/>
      </c>
      <c r="L19" s="156" t="n">
        <v>0.0291676737473633</v>
      </c>
      <c r="M19" s="179">
        <f>Schedule!B19</f>
        <v/>
      </c>
      <c r="N19" s="156">
        <f>Schedule!E19</f>
        <v/>
      </c>
      <c r="O19" s="156" t="inlineStr">
        <is>
          <t>Away</t>
        </is>
      </c>
      <c r="P19" s="157">
        <f>Schedule!H19</f>
        <v/>
      </c>
      <c r="Q19" s="157">
        <f>Schedule!C19</f>
        <v/>
      </c>
      <c r="R19" s="180">
        <f>Schedule!D19</f>
        <v/>
      </c>
      <c r="S19" s="181">
        <f>Schedule!J19</f>
        <v/>
      </c>
      <c r="T19" s="193">
        <f>Y19-Z19</f>
        <v/>
      </c>
      <c r="U19" s="182">
        <f>T19/Picks!$K$2</f>
        <v/>
      </c>
      <c r="V19" s="193">
        <f>INDEX(Standings!$T$3:$T$34, MATCH(N19, Standings!$A$3:$A$34, 0)) - INDEX(Standings!$T$3:$T$34, MATCH(P19, Standings!$A$3:$A$34, 0))</f>
        <v/>
      </c>
      <c r="W19" s="157">
        <f>INDEX(Standings!$L$3:$L$34, MATCH(N19, Standings!$A$3:$A$34, 0)) - INDEX(Standings!$L$3:$L$34, MATCH(P19, Standings!$A$3:$A$34, 0))</f>
        <v/>
      </c>
      <c r="X19" s="157">
        <f>INDEX(Standings!$M$3:$M$34, MATCH(N19, Standings!$A$3:$A$34, 0)) - INDEX(Standings!$M$3:$M$34, MATCH(P19, Standings!$A$3:$A$34, 0))</f>
        <v/>
      </c>
      <c r="Y19" s="194">
        <f t="array" ref="Y19:Y19">IFERROR(AE19+(AL19-_DFactor)*AE19,"")</f>
        <v/>
      </c>
      <c r="Z19" s="157">
        <f>IFERROR(AF19+(AI19-_DFactor)*AF19,"")</f>
        <v/>
      </c>
      <c r="AA19" s="157">
        <f>IFERROR(VLOOKUP(M19&amp;N19,Odds!B:E,3,0),0)</f>
        <v/>
      </c>
      <c r="AB19" s="157">
        <f>IFERROR(VLOOKUP(M19&amp;N19,Odds!B:E,4,0),0)</f>
        <v/>
      </c>
      <c r="AC19" s="194">
        <f>VLOOKUP(M19&amp;N19,Schedule!A:F,6,0)</f>
        <v/>
      </c>
      <c r="AD19" s="194">
        <f>VLOOKUP(M19&amp;P19,Schedule!A:F,6,0)</f>
        <v/>
      </c>
      <c r="AE19" s="156">
        <f>VLOOKUP(N19,ProjPVT!B:I,8,0)*_Mag/VLOOKUP(P19,Standings!A:O,15,0)*H19*K19</f>
        <v/>
      </c>
      <c r="AF19" s="156">
        <f>VLOOKUP(P19,ProjPVT!B:I,8,0)*_Mag/VLOOKUP(N19,Standings!A:O,15,0)*J19*I19</f>
        <v/>
      </c>
      <c r="AG19" s="195">
        <f>VLOOKUP(N19,Matrix!AA:AC,3,0)</f>
        <v/>
      </c>
      <c r="AH19" s="195">
        <f>SUMIFS(Def!C:C,Def!F:F,AG19)</f>
        <v/>
      </c>
      <c r="AI19" s="156">
        <f>IFERROR(SUMIFS(Def!B:B,Def!F:F,AG19)/AH19,"")</f>
        <v/>
      </c>
      <c r="AJ19" s="195">
        <f>VLOOKUP(P19,Matrix!AA:AC,3,0)</f>
        <v/>
      </c>
      <c r="AK19" s="195">
        <f>SUMIFS(Def!C:C,Def!F:F,AJ19)</f>
        <v/>
      </c>
      <c r="AL19" s="156">
        <f>IFERROR(SUMIFS(Def!B:B,Def!F:F,AJ19)/AK19,"")</f>
        <v/>
      </c>
    </row>
    <row r="20" ht="14.4" customHeight="1" s="152">
      <c r="A20" s="157">
        <f>IF(F20="Yes",IFERROR(IF(AA20&gt;1,AA20/100,100/-AA20),""),-1)</f>
        <v/>
      </c>
      <c r="B20" s="157">
        <f>B19+1</f>
        <v/>
      </c>
      <c r="C20" s="157">
        <f>IF(Y20&gt;Z20,1,0)</f>
        <v/>
      </c>
      <c r="D20" s="157">
        <f>IF(AND(C20=1,F20="Yes"),"Yes",IF(AND(C20=0,F20="No"),"Yes","No"))</f>
        <v/>
      </c>
      <c r="E20" s="192">
        <f>IF((AC20+AB20)=AD20,"Push",IF((AC20+AB20)&gt;AD20,"Yes","No"))</f>
        <v/>
      </c>
      <c r="F20" s="192">
        <f>IF(AC20&gt;AD20,"Yes","No")</f>
        <v/>
      </c>
      <c r="G20" s="192">
        <f>IF((Y20+AB20)&gt;Z20,"Yes",IF((Y20+AB20)=Z20,"Push","No"))</f>
        <v/>
      </c>
      <c r="H20" s="157">
        <f>IF(O20="Home",VLOOKUP(N20,Matrix!A:S,19,0),1)</f>
        <v/>
      </c>
      <c r="I20" s="157">
        <f>IF(O20="Away",VLOOKUP(N20,Matrix!A:Z,20,0),1)</f>
        <v/>
      </c>
      <c r="J20" s="157">
        <f>IF(O20="Away",VLOOKUP(P20,Matrix!A:S,19,0),1)</f>
        <v/>
      </c>
      <c r="K20" s="157">
        <f>IF(O20="Home",VLOOKUP(P20,Matrix!A:Z,20,0),1)</f>
        <v/>
      </c>
      <c r="L20" s="156" t="n">
        <v>0.0526176962678603</v>
      </c>
      <c r="M20" s="179">
        <f>Schedule!B20</f>
        <v/>
      </c>
      <c r="N20" s="156">
        <f>Schedule!E20</f>
        <v/>
      </c>
      <c r="O20" s="156" t="inlineStr">
        <is>
          <t>Away</t>
        </is>
      </c>
      <c r="P20" s="157">
        <f>Schedule!H20</f>
        <v/>
      </c>
      <c r="Q20" s="157">
        <f>Schedule!C20</f>
        <v/>
      </c>
      <c r="R20" s="180">
        <f>Schedule!D20</f>
        <v/>
      </c>
      <c r="S20" s="181">
        <f>Schedule!J20</f>
        <v/>
      </c>
      <c r="T20" s="193">
        <f>Y20-Z20</f>
        <v/>
      </c>
      <c r="U20" s="182">
        <f>T20/Picks!$K$2</f>
        <v/>
      </c>
      <c r="V20" s="193">
        <f>INDEX(Standings!$T$3:$T$34, MATCH(N20, Standings!$A$3:$A$34, 0)) - INDEX(Standings!$T$3:$T$34, MATCH(P20, Standings!$A$3:$A$34, 0))</f>
        <v/>
      </c>
      <c r="W20" s="157">
        <f>INDEX(Standings!$L$3:$L$34, MATCH(N20, Standings!$A$3:$A$34, 0)) - INDEX(Standings!$L$3:$L$34, MATCH(P20, Standings!$A$3:$A$34, 0))</f>
        <v/>
      </c>
      <c r="X20" s="157">
        <f>INDEX(Standings!$M$3:$M$34, MATCH(N20, Standings!$A$3:$A$34, 0)) - INDEX(Standings!$M$3:$M$34, MATCH(P20, Standings!$A$3:$A$34, 0))</f>
        <v/>
      </c>
      <c r="Y20" s="194">
        <f t="array" ref="Y20:Y20">IFERROR(AE20+(AL20-_DFactor)*AE20,"")</f>
        <v/>
      </c>
      <c r="Z20" s="157">
        <f>IFERROR(AF20+(AI20-_DFactor)*AF20,"")</f>
        <v/>
      </c>
      <c r="AA20" s="157">
        <f>IFERROR(VLOOKUP(M20&amp;N20,Odds!B:E,3,0),0)</f>
        <v/>
      </c>
      <c r="AB20" s="157">
        <f>IFERROR(VLOOKUP(M20&amp;N20,Odds!B:E,4,0),0)</f>
        <v/>
      </c>
      <c r="AC20" s="194">
        <f>VLOOKUP(M20&amp;N20,Schedule!A:F,6,0)</f>
        <v/>
      </c>
      <c r="AD20" s="194">
        <f>VLOOKUP(M20&amp;P20,Schedule!A:F,6,0)</f>
        <v/>
      </c>
      <c r="AE20" s="156">
        <f>VLOOKUP(N20,ProjPVT!B:I,8,0)*_Mag/VLOOKUP(P20,Standings!A:O,15,0)*H20*K20</f>
        <v/>
      </c>
      <c r="AF20" s="156">
        <f>VLOOKUP(P20,ProjPVT!B:I,8,0)*_Mag/VLOOKUP(N20,Standings!A:O,15,0)*J20*I20</f>
        <v/>
      </c>
      <c r="AG20" s="195">
        <f>VLOOKUP(N20,Matrix!AA:AC,3,0)</f>
        <v/>
      </c>
      <c r="AH20" s="195">
        <f>SUMIFS(Def!C:C,Def!F:F,AG20)</f>
        <v/>
      </c>
      <c r="AI20" s="156">
        <f>IFERROR(SUMIFS(Def!B:B,Def!F:F,AG20)/AH20,"")</f>
        <v/>
      </c>
      <c r="AJ20" s="195">
        <f>VLOOKUP(P20,Matrix!AA:AC,3,0)</f>
        <v/>
      </c>
      <c r="AK20" s="195">
        <f>SUMIFS(Def!C:C,Def!F:F,AJ20)</f>
        <v/>
      </c>
      <c r="AL20" s="156">
        <f>IFERROR(SUMIFS(Def!B:B,Def!F:F,AJ20)/AK20,"")</f>
        <v/>
      </c>
    </row>
    <row r="21" ht="14.4" customHeight="1" s="152">
      <c r="A21" s="157">
        <f>IF(F21="Yes",IFERROR(IF(AA21&gt;1,AA21/100,100/-AA21),""),-1)</f>
        <v/>
      </c>
      <c r="B21" s="157">
        <f>B20+1</f>
        <v/>
      </c>
      <c r="C21" s="157">
        <f>IF(Y21&gt;Z21,1,0)</f>
        <v/>
      </c>
      <c r="D21" s="157">
        <f>IF(AND(C21=1,F21="Yes"),"Yes",IF(AND(C21=0,F21="No"),"Yes","No"))</f>
        <v/>
      </c>
      <c r="E21" s="192">
        <f>IF((AC21+AB21)=AD21,"Push",IF((AC21+AB21)&gt;AD21,"Yes","No"))</f>
        <v/>
      </c>
      <c r="F21" s="192">
        <f>IF(AC21&gt;AD21,"Yes","No")</f>
        <v/>
      </c>
      <c r="G21" s="192">
        <f>IF((Y21+AB21)&gt;Z21,"Yes",IF((Y21+AB21)=Z21,"Push","No"))</f>
        <v/>
      </c>
      <c r="H21" s="157">
        <f>IF(O21="Home",VLOOKUP(N21,Matrix!A:S,19,0),1)</f>
        <v/>
      </c>
      <c r="I21" s="157">
        <f>IF(O21="Away",VLOOKUP(N21,Matrix!A:Z,20,0),1)</f>
        <v/>
      </c>
      <c r="J21" s="157">
        <f>IF(O21="Away",VLOOKUP(P21,Matrix!A:S,19,0),1)</f>
        <v/>
      </c>
      <c r="K21" s="157">
        <f>IF(O21="Home",VLOOKUP(P21,Matrix!A:Z,20,0),1)</f>
        <v/>
      </c>
      <c r="L21" s="156" t="n">
        <v>0.166258692056145</v>
      </c>
      <c r="M21" s="179">
        <f>Schedule!B21</f>
        <v/>
      </c>
      <c r="N21" s="156">
        <f>Schedule!E21</f>
        <v/>
      </c>
      <c r="O21" s="156" t="inlineStr">
        <is>
          <t>Home</t>
        </is>
      </c>
      <c r="P21" s="157">
        <f>Schedule!H21</f>
        <v/>
      </c>
      <c r="Q21" s="157">
        <f>Schedule!C21</f>
        <v/>
      </c>
      <c r="R21" s="180">
        <f>Schedule!D21</f>
        <v/>
      </c>
      <c r="S21" s="181">
        <f>Schedule!J21</f>
        <v/>
      </c>
      <c r="T21" s="193">
        <f>Y21-Z21</f>
        <v/>
      </c>
      <c r="U21" s="182">
        <f>T21/Picks!$K$2</f>
        <v/>
      </c>
      <c r="V21" s="193">
        <f>INDEX(Standings!$T$3:$T$34, MATCH(N21, Standings!$A$3:$A$34, 0)) - INDEX(Standings!$T$3:$T$34, MATCH(P21, Standings!$A$3:$A$34, 0))</f>
        <v/>
      </c>
      <c r="W21" s="157">
        <f>INDEX(Standings!$L$3:$L$34, MATCH(N21, Standings!$A$3:$A$34, 0)) - INDEX(Standings!$L$3:$L$34, MATCH(P21, Standings!$A$3:$A$34, 0))</f>
        <v/>
      </c>
      <c r="X21" s="157">
        <f>INDEX(Standings!$M$3:$M$34, MATCH(N21, Standings!$A$3:$A$34, 0)) - INDEX(Standings!$M$3:$M$34, MATCH(P21, Standings!$A$3:$A$34, 0))</f>
        <v/>
      </c>
      <c r="Y21" s="194">
        <f t="array" ref="Y21:Y21">IFERROR(AE21+(AL21-_DFactor)*AE21,"")</f>
        <v/>
      </c>
      <c r="Z21" s="157">
        <f>IFERROR(AF21+(AI21-_DFactor)*AF21,"")</f>
        <v/>
      </c>
      <c r="AA21" s="157">
        <f>IFERROR(VLOOKUP(M21&amp;N21,Odds!B:E,3,0),0)</f>
        <v/>
      </c>
      <c r="AB21" s="157">
        <f>IFERROR(VLOOKUP(M21&amp;N21,Odds!B:E,4,0),0)</f>
        <v/>
      </c>
      <c r="AC21" s="194">
        <f>VLOOKUP(M21&amp;N21,Schedule!A:F,6,0)</f>
        <v/>
      </c>
      <c r="AD21" s="194">
        <f>VLOOKUP(M21&amp;P21,Schedule!A:F,6,0)</f>
        <v/>
      </c>
      <c r="AE21" s="156">
        <f>VLOOKUP(N21,ProjPVT!B:I,8,0)*_Mag/VLOOKUP(P21,Standings!A:O,15,0)*H21*K21</f>
        <v/>
      </c>
      <c r="AF21" s="156">
        <f>VLOOKUP(P21,ProjPVT!B:I,8,0)*_Mag/VLOOKUP(N21,Standings!A:O,15,0)*J21*I21</f>
        <v/>
      </c>
      <c r="AG21" s="195">
        <f>VLOOKUP(N21,Matrix!AA:AC,3,0)</f>
        <v/>
      </c>
      <c r="AH21" s="195">
        <f>SUMIFS(Def!C:C,Def!F:F,AG21)</f>
        <v/>
      </c>
      <c r="AI21" s="156">
        <f>IFERROR(SUMIFS(Def!B:B,Def!F:F,AG21)/AH21,"")</f>
        <v/>
      </c>
      <c r="AJ21" s="195">
        <f>VLOOKUP(P21,Matrix!AA:AC,3,0)</f>
        <v/>
      </c>
      <c r="AK21" s="195">
        <f>SUMIFS(Def!C:C,Def!F:F,AJ21)</f>
        <v/>
      </c>
      <c r="AL21" s="156">
        <f>IFERROR(SUMIFS(Def!B:B,Def!F:F,AJ21)/AK21,"")</f>
        <v/>
      </c>
    </row>
    <row r="22" ht="14.4" customHeight="1" s="152">
      <c r="A22" s="157">
        <f>IF(F22="Yes",IFERROR(IF(AA22&gt;1,AA22/100,100/-AA22),""),-1)</f>
        <v/>
      </c>
      <c r="B22" s="157">
        <f>B21+1</f>
        <v/>
      </c>
      <c r="C22" s="157">
        <f>IF(Y22&gt;Z22,1,0)</f>
        <v/>
      </c>
      <c r="D22" s="157">
        <f>IF(AND(C22=1,F22="Yes"),"Yes",IF(AND(C22=0,F22="No"),"Yes","No"))</f>
        <v/>
      </c>
      <c r="E22" s="192">
        <f>IF((AC22+AB22)=AD22,"Push",IF((AC22+AB22)&gt;AD22,"Yes","No"))</f>
        <v/>
      </c>
      <c r="F22" s="192">
        <f>IF(AC22&gt;AD22,"Yes","No")</f>
        <v/>
      </c>
      <c r="G22" s="192">
        <f>IF((Y22+AB22)&gt;Z22,"Yes",IF((Y22+AB22)=Z22,"Push","No"))</f>
        <v/>
      </c>
      <c r="H22" s="157">
        <f>IF(O22="Home",VLOOKUP(N22,Matrix!A:S,19,0),1)</f>
        <v/>
      </c>
      <c r="I22" s="157">
        <f>IF(O22="Away",VLOOKUP(N22,Matrix!A:Z,20,0),1)</f>
        <v/>
      </c>
      <c r="J22" s="157">
        <f>IF(O22="Away",VLOOKUP(P22,Matrix!A:S,19,0),1)</f>
        <v/>
      </c>
      <c r="K22" s="157">
        <f>IF(O22="Home",VLOOKUP(P22,Matrix!A:Z,20,0),1)</f>
        <v/>
      </c>
      <c r="L22" s="156" t="n">
        <v>0.170206449418818</v>
      </c>
      <c r="M22" s="179">
        <f>Schedule!B22</f>
        <v/>
      </c>
      <c r="N22" s="156">
        <f>Schedule!E22</f>
        <v/>
      </c>
      <c r="O22" s="156" t="inlineStr">
        <is>
          <t>Home</t>
        </is>
      </c>
      <c r="P22" s="157">
        <f>Schedule!H22</f>
        <v/>
      </c>
      <c r="Q22" s="157">
        <f>Schedule!C22</f>
        <v/>
      </c>
      <c r="R22" s="180">
        <f>Schedule!D22</f>
        <v/>
      </c>
      <c r="S22" s="181">
        <f>Schedule!J22</f>
        <v/>
      </c>
      <c r="T22" s="193">
        <f>Y22-Z22</f>
        <v/>
      </c>
      <c r="U22" s="182">
        <f>T22/Picks!$K$2</f>
        <v/>
      </c>
      <c r="V22" s="193">
        <f>INDEX(Standings!$T$3:$T$34, MATCH(N22, Standings!$A$3:$A$34, 0)) - INDEX(Standings!$T$3:$T$34, MATCH(P22, Standings!$A$3:$A$34, 0))</f>
        <v/>
      </c>
      <c r="W22" s="157">
        <f>INDEX(Standings!$L$3:$L$34, MATCH(N22, Standings!$A$3:$A$34, 0)) - INDEX(Standings!$L$3:$L$34, MATCH(P22, Standings!$A$3:$A$34, 0))</f>
        <v/>
      </c>
      <c r="X22" s="157">
        <f>INDEX(Standings!$M$3:$M$34, MATCH(N22, Standings!$A$3:$A$34, 0)) - INDEX(Standings!$M$3:$M$34, MATCH(P22, Standings!$A$3:$A$34, 0))</f>
        <v/>
      </c>
      <c r="Y22" s="194">
        <f t="array" ref="Y22:Y22">IFERROR(AE22+(AL22-_DFactor)*AE22,"")</f>
        <v/>
      </c>
      <c r="Z22" s="157">
        <f>IFERROR(AF22+(AI22-_DFactor)*AF22,"")</f>
        <v/>
      </c>
      <c r="AA22" s="157">
        <f>IFERROR(VLOOKUP(M22&amp;N22,Odds!B:E,3,0),0)</f>
        <v/>
      </c>
      <c r="AB22" s="157">
        <f>IFERROR(VLOOKUP(M22&amp;N22,Odds!B:E,4,0),0)</f>
        <v/>
      </c>
      <c r="AC22" s="194">
        <f>VLOOKUP(M22&amp;N22,Schedule!A:F,6,0)</f>
        <v/>
      </c>
      <c r="AD22" s="194">
        <f>VLOOKUP(M22&amp;P22,Schedule!A:F,6,0)</f>
        <v/>
      </c>
      <c r="AE22" s="156">
        <f>VLOOKUP(N22,ProjPVT!B:I,8,0)*_Mag/VLOOKUP(P22,Standings!A:O,15,0)*H22*K22</f>
        <v/>
      </c>
      <c r="AF22" s="156">
        <f>VLOOKUP(P22,ProjPVT!B:I,8,0)*_Mag/VLOOKUP(N22,Standings!A:O,15,0)*J22*I22</f>
        <v/>
      </c>
      <c r="AG22" s="195">
        <f>VLOOKUP(N22,Matrix!AA:AC,3,0)</f>
        <v/>
      </c>
      <c r="AH22" s="195">
        <f>SUMIFS(Def!C:C,Def!F:F,AG22)</f>
        <v/>
      </c>
      <c r="AI22" s="156">
        <f>IFERROR(SUMIFS(Def!B:B,Def!F:F,AG22)/AH22,"")</f>
        <v/>
      </c>
      <c r="AJ22" s="195">
        <f>VLOOKUP(P22,Matrix!AA:AC,3,0)</f>
        <v/>
      </c>
      <c r="AK22" s="195">
        <f>SUMIFS(Def!C:C,Def!F:F,AJ22)</f>
        <v/>
      </c>
      <c r="AL22" s="156">
        <f>IFERROR(SUMIFS(Def!B:B,Def!F:F,AJ22)/AK22,"")</f>
        <v/>
      </c>
    </row>
    <row r="23" ht="14.4" customHeight="1" s="152">
      <c r="A23" s="157">
        <f>IF(F23="Yes",IFERROR(IF(AA23&gt;1,AA23/100,100/-AA23),""),-1)</f>
        <v/>
      </c>
      <c r="B23" s="157">
        <f>B22+1</f>
        <v/>
      </c>
      <c r="C23" s="157">
        <f>IF(Y23&gt;Z23,1,0)</f>
        <v/>
      </c>
      <c r="D23" s="157">
        <f>IF(AND(C23=1,F23="Yes"),"Yes",IF(AND(C23=0,F23="No"),"Yes","No"))</f>
        <v/>
      </c>
      <c r="E23" s="192">
        <f>IF((AC23+AB23)=AD23,"Push",IF((AC23+AB23)&gt;AD23,"Yes","No"))</f>
        <v/>
      </c>
      <c r="F23" s="192">
        <f>IF(AC23&gt;AD23,"Yes","No")</f>
        <v/>
      </c>
      <c r="G23" s="192">
        <f>IF((Y23+AB23)&gt;Z23,"Yes",IF((Y23+AB23)=Z23,"Push","No"))</f>
        <v/>
      </c>
      <c r="H23" s="157">
        <f>IF(O23="Home",VLOOKUP(N23,Matrix!A:S,19,0),1)</f>
        <v/>
      </c>
      <c r="I23" s="157">
        <f>IF(O23="Away",VLOOKUP(N23,Matrix!A:Z,20,0),1)</f>
        <v/>
      </c>
      <c r="J23" s="157">
        <f>IF(O23="Away",VLOOKUP(P23,Matrix!A:S,19,0),1)</f>
        <v/>
      </c>
      <c r="K23" s="157">
        <f>IF(O23="Home",VLOOKUP(P23,Matrix!A:Z,20,0),1)</f>
        <v/>
      </c>
      <c r="L23" s="156" t="n">
        <v>0.181688370757654</v>
      </c>
      <c r="M23" s="179">
        <f>Schedule!B23</f>
        <v/>
      </c>
      <c r="N23" s="156">
        <f>Schedule!E23</f>
        <v/>
      </c>
      <c r="O23" s="156" t="inlineStr">
        <is>
          <t>Home</t>
        </is>
      </c>
      <c r="P23" s="157">
        <f>Schedule!H23</f>
        <v/>
      </c>
      <c r="Q23" s="157">
        <f>Schedule!C23</f>
        <v/>
      </c>
      <c r="R23" s="180">
        <f>Schedule!D23</f>
        <v/>
      </c>
      <c r="S23" s="181">
        <f>Schedule!J23</f>
        <v/>
      </c>
      <c r="T23" s="193">
        <f>Y23-Z23</f>
        <v/>
      </c>
      <c r="U23" s="182">
        <f>T23/Picks!$K$2</f>
        <v/>
      </c>
      <c r="V23" s="193">
        <f>INDEX(Standings!$T$3:$T$34, MATCH(N23, Standings!$A$3:$A$34, 0)) - INDEX(Standings!$T$3:$T$34, MATCH(P23, Standings!$A$3:$A$34, 0))</f>
        <v/>
      </c>
      <c r="W23" s="157">
        <f>INDEX(Standings!$L$3:$L$34, MATCH(N23, Standings!$A$3:$A$34, 0)) - INDEX(Standings!$L$3:$L$34, MATCH(P23, Standings!$A$3:$A$34, 0))</f>
        <v/>
      </c>
      <c r="X23" s="157">
        <f>INDEX(Standings!$M$3:$M$34, MATCH(N23, Standings!$A$3:$A$34, 0)) - INDEX(Standings!$M$3:$M$34, MATCH(P23, Standings!$A$3:$A$34, 0))</f>
        <v/>
      </c>
      <c r="Y23" s="194">
        <f t="array" ref="Y23:Y23">IFERROR(AE23+(AL23-_DFactor)*AE23,"")</f>
        <v/>
      </c>
      <c r="Z23" s="157">
        <f>IFERROR(AF23+(AI23-_DFactor)*AF23,"")</f>
        <v/>
      </c>
      <c r="AA23" s="157">
        <f>IFERROR(VLOOKUP(M23&amp;N23,Odds!B:E,3,0),0)</f>
        <v/>
      </c>
      <c r="AB23" s="157">
        <f>IFERROR(VLOOKUP(M23&amp;N23,Odds!B:E,4,0),0)</f>
        <v/>
      </c>
      <c r="AC23" s="194">
        <f>VLOOKUP(M23&amp;N23,Schedule!A:F,6,0)</f>
        <v/>
      </c>
      <c r="AD23" s="194">
        <f>VLOOKUP(M23&amp;P23,Schedule!A:F,6,0)</f>
        <v/>
      </c>
      <c r="AE23" s="156">
        <f>VLOOKUP(N23,ProjPVT!B:I,8,0)*_Mag/VLOOKUP(P23,Standings!A:O,15,0)*H23*K23</f>
        <v/>
      </c>
      <c r="AF23" s="156">
        <f>VLOOKUP(P23,ProjPVT!B:I,8,0)*_Mag/VLOOKUP(N23,Standings!A:O,15,0)*J23*I23</f>
        <v/>
      </c>
      <c r="AG23" s="195">
        <f>VLOOKUP(N23,Matrix!AA:AC,3,0)</f>
        <v/>
      </c>
      <c r="AH23" s="195">
        <f>SUMIFS(Def!C:C,Def!F:F,AG23)</f>
        <v/>
      </c>
      <c r="AI23" s="156">
        <f>IFERROR(SUMIFS(Def!B:B,Def!F:F,AG23)/AH23,"")</f>
        <v/>
      </c>
      <c r="AJ23" s="195">
        <f>VLOOKUP(P23,Matrix!AA:AC,3,0)</f>
        <v/>
      </c>
      <c r="AK23" s="195">
        <f>SUMIFS(Def!C:C,Def!F:F,AJ23)</f>
        <v/>
      </c>
      <c r="AL23" s="156">
        <f>IFERROR(SUMIFS(Def!B:B,Def!F:F,AJ23)/AK23,"")</f>
        <v/>
      </c>
    </row>
    <row r="24" ht="14.4" customHeight="1" s="152">
      <c r="A24" s="157">
        <f>IF(F24="Yes",IFERROR(IF(AA24&gt;1,AA24/100,100/-AA24),""),-1)</f>
        <v/>
      </c>
      <c r="B24" s="157">
        <f>B23+1</f>
        <v/>
      </c>
      <c r="C24" s="157">
        <f>IF(Y24&gt;Z24,1,0)</f>
        <v/>
      </c>
      <c r="D24" s="157">
        <f>IF(AND(C24=1,F24="Yes"),"Yes",IF(AND(C24=0,F24="No"),"Yes","No"))</f>
        <v/>
      </c>
      <c r="E24" s="192">
        <f>IF((AC24+AB24)=AD24,"Push",IF((AC24+AB24)&gt;AD24,"Yes","No"))</f>
        <v/>
      </c>
      <c r="F24" s="192">
        <f>IF(AC24&gt;AD24,"Yes","No")</f>
        <v/>
      </c>
      <c r="G24" s="192">
        <f>IF((Y24+AB24)&gt;Z24,"Yes",IF((Y24+AB24)=Z24,"Push","No"))</f>
        <v/>
      </c>
      <c r="H24" s="157">
        <f>IF(O24="Home",VLOOKUP(N24,Matrix!A:S,19,0),1)</f>
        <v/>
      </c>
      <c r="I24" s="157">
        <f>IF(O24="Away",VLOOKUP(N24,Matrix!A:Z,20,0),1)</f>
        <v/>
      </c>
      <c r="J24" s="157">
        <f>IF(O24="Away",VLOOKUP(P24,Matrix!A:S,19,0),1)</f>
        <v/>
      </c>
      <c r="K24" s="157">
        <f>IF(O24="Home",VLOOKUP(P24,Matrix!A:Z,20,0),1)</f>
        <v/>
      </c>
      <c r="L24" s="156" t="n">
        <v>0.194405671524079</v>
      </c>
      <c r="M24" s="179">
        <f>Schedule!B24</f>
        <v/>
      </c>
      <c r="N24" s="156">
        <f>Schedule!E24</f>
        <v/>
      </c>
      <c r="O24" s="156" t="inlineStr">
        <is>
          <t>Away</t>
        </is>
      </c>
      <c r="P24" s="157">
        <f>Schedule!H24</f>
        <v/>
      </c>
      <c r="Q24" s="157">
        <f>Schedule!C24</f>
        <v/>
      </c>
      <c r="R24" s="180">
        <f>Schedule!D24</f>
        <v/>
      </c>
      <c r="S24" s="181">
        <f>Schedule!J24</f>
        <v/>
      </c>
      <c r="T24" s="193">
        <f>Y24-Z24</f>
        <v/>
      </c>
      <c r="U24" s="182">
        <f>T24/Picks!$K$2</f>
        <v/>
      </c>
      <c r="V24" s="193">
        <f>INDEX(Standings!$T$3:$T$34, MATCH(N24, Standings!$A$3:$A$34, 0)) - INDEX(Standings!$T$3:$T$34, MATCH(P24, Standings!$A$3:$A$34, 0))</f>
        <v/>
      </c>
      <c r="W24" s="157">
        <f>INDEX(Standings!$L$3:$L$34, MATCH(N24, Standings!$A$3:$A$34, 0)) - INDEX(Standings!$L$3:$L$34, MATCH(P24, Standings!$A$3:$A$34, 0))</f>
        <v/>
      </c>
      <c r="X24" s="157">
        <f>INDEX(Standings!$M$3:$M$34, MATCH(N24, Standings!$A$3:$A$34, 0)) - INDEX(Standings!$M$3:$M$34, MATCH(P24, Standings!$A$3:$A$34, 0))</f>
        <v/>
      </c>
      <c r="Y24" s="194">
        <f t="array" ref="Y24:Y24">IFERROR(AE24+(AL24-_DFactor)*AE24,"")</f>
        <v/>
      </c>
      <c r="Z24" s="157">
        <f>IFERROR(AF24+(AI24-_DFactor)*AF24,"")</f>
        <v/>
      </c>
      <c r="AA24" s="157">
        <f>IFERROR(VLOOKUP(M24&amp;N24,Odds!B:E,3,0),0)</f>
        <v/>
      </c>
      <c r="AB24" s="157">
        <f>IFERROR(VLOOKUP(M24&amp;N24,Odds!B:E,4,0),0)</f>
        <v/>
      </c>
      <c r="AC24" s="194">
        <f>VLOOKUP(M24&amp;N24,Schedule!A:F,6,0)</f>
        <v/>
      </c>
      <c r="AD24" s="194">
        <f>VLOOKUP(M24&amp;P24,Schedule!A:F,6,0)</f>
        <v/>
      </c>
      <c r="AE24" s="156">
        <f>VLOOKUP(N24,ProjPVT!B:I,8,0)*_Mag/VLOOKUP(P24,Standings!A:O,15,0)*H24*K24</f>
        <v/>
      </c>
      <c r="AF24" s="156">
        <f>VLOOKUP(P24,ProjPVT!B:I,8,0)*_Mag/VLOOKUP(N24,Standings!A:O,15,0)*J24*I24</f>
        <v/>
      </c>
      <c r="AG24" s="195">
        <f>VLOOKUP(N24,Matrix!AA:AC,3,0)</f>
        <v/>
      </c>
      <c r="AH24" s="195">
        <f>SUMIFS(Def!C:C,Def!F:F,AG24)</f>
        <v/>
      </c>
      <c r="AI24" s="156">
        <f>IFERROR(SUMIFS(Def!B:B,Def!F:F,AG24)/AH24,"")</f>
        <v/>
      </c>
      <c r="AJ24" s="195">
        <f>VLOOKUP(P24,Matrix!AA:AC,3,0)</f>
        <v/>
      </c>
      <c r="AK24" s="195">
        <f>SUMIFS(Def!C:C,Def!F:F,AJ24)</f>
        <v/>
      </c>
      <c r="AL24" s="156">
        <f>IFERROR(SUMIFS(Def!B:B,Def!F:F,AJ24)/AK24,"")</f>
        <v/>
      </c>
    </row>
    <row r="25" ht="14.4" customHeight="1" s="152">
      <c r="A25" s="157">
        <f>IF(F25="Yes",IFERROR(IF(AA25&gt;1,AA25/100,100/-AA25),""),-1)</f>
        <v/>
      </c>
      <c r="B25" s="157">
        <f>B24+1</f>
        <v/>
      </c>
      <c r="C25" s="157">
        <f>IF(Y25&gt;Z25,1,0)</f>
        <v/>
      </c>
      <c r="D25" s="157">
        <f>IF(AND(C25=1,F25="Yes"),"Yes",IF(AND(C25=0,F25="No"),"Yes","No"))</f>
        <v/>
      </c>
      <c r="E25" s="192">
        <f>IF((AC25+AB25)=AD25,"Push",IF((AC25+AB25)&gt;AD25,"Yes","No"))</f>
        <v/>
      </c>
      <c r="F25" s="192">
        <f>IF(AC25&gt;AD25,"Yes","No")</f>
        <v/>
      </c>
      <c r="G25" s="192">
        <f>IF((Y25+AB25)&gt;Z25,"Yes",IF((Y25+AB25)=Z25,"Push","No"))</f>
        <v/>
      </c>
      <c r="H25" s="157">
        <f>IF(O25="Home",VLOOKUP(N25,Matrix!A:S,19,0),1)</f>
        <v/>
      </c>
      <c r="I25" s="157">
        <f>IF(O25="Away",VLOOKUP(N25,Matrix!A:Z,20,0),1)</f>
        <v/>
      </c>
      <c r="J25" s="157">
        <f>IF(O25="Away",VLOOKUP(P25,Matrix!A:S,19,0),1)</f>
        <v/>
      </c>
      <c r="K25" s="157">
        <f>IF(O25="Home",VLOOKUP(P25,Matrix!A:Z,20,0),1)</f>
        <v/>
      </c>
      <c r="L25" s="156" t="n">
        <v>0.201366876190428</v>
      </c>
      <c r="M25" s="179">
        <f>Schedule!B25</f>
        <v/>
      </c>
      <c r="N25" s="156">
        <f>Schedule!E25</f>
        <v/>
      </c>
      <c r="O25" s="156" t="inlineStr">
        <is>
          <t>Home</t>
        </is>
      </c>
      <c r="P25" s="157">
        <f>Schedule!H25</f>
        <v/>
      </c>
      <c r="Q25" s="157">
        <f>Schedule!C25</f>
        <v/>
      </c>
      <c r="R25" s="180">
        <f>Schedule!D25</f>
        <v/>
      </c>
      <c r="S25" s="181">
        <f>Schedule!J25</f>
        <v/>
      </c>
      <c r="T25" s="193">
        <f>Y25-Z25</f>
        <v/>
      </c>
      <c r="U25" s="182">
        <f>T25/Picks!$K$2</f>
        <v/>
      </c>
      <c r="V25" s="193">
        <f>INDEX(Standings!$T$3:$T$34, MATCH(N25, Standings!$A$3:$A$34, 0)) - INDEX(Standings!$T$3:$T$34, MATCH(P25, Standings!$A$3:$A$34, 0))</f>
        <v/>
      </c>
      <c r="W25" s="157">
        <f>INDEX(Standings!$L$3:$L$34, MATCH(N25, Standings!$A$3:$A$34, 0)) - INDEX(Standings!$L$3:$L$34, MATCH(P25, Standings!$A$3:$A$34, 0))</f>
        <v/>
      </c>
      <c r="X25" s="157">
        <f>INDEX(Standings!$M$3:$M$34, MATCH(N25, Standings!$A$3:$A$34, 0)) - INDEX(Standings!$M$3:$M$34, MATCH(P25, Standings!$A$3:$A$34, 0))</f>
        <v/>
      </c>
      <c r="Y25" s="194">
        <f t="array" ref="Y25:Y25">IFERROR(AE25+(AL25-_DFactor)*AE25,"")</f>
        <v/>
      </c>
      <c r="Z25" s="157">
        <f>IFERROR(AF25+(AI25-_DFactor)*AF25,"")</f>
        <v/>
      </c>
      <c r="AA25" s="157">
        <f>IFERROR(VLOOKUP(M25&amp;N25,Odds!B:E,3,0),0)</f>
        <v/>
      </c>
      <c r="AB25" s="157">
        <f>IFERROR(VLOOKUP(M25&amp;N25,Odds!B:E,4,0),0)</f>
        <v/>
      </c>
      <c r="AC25" s="194">
        <f>VLOOKUP(M25&amp;N25,Schedule!A:F,6,0)</f>
        <v/>
      </c>
      <c r="AD25" s="194">
        <f>VLOOKUP(M25&amp;P25,Schedule!A:F,6,0)</f>
        <v/>
      </c>
      <c r="AE25" s="156">
        <f>VLOOKUP(N25,ProjPVT!B:I,8,0)*_Mag/VLOOKUP(P25,Standings!A:O,15,0)*H25*K25</f>
        <v/>
      </c>
      <c r="AF25" s="156">
        <f>VLOOKUP(P25,ProjPVT!B:I,8,0)*_Mag/VLOOKUP(N25,Standings!A:O,15,0)*J25*I25</f>
        <v/>
      </c>
      <c r="AG25" s="195">
        <f>VLOOKUP(N25,Matrix!AA:AC,3,0)</f>
        <v/>
      </c>
      <c r="AH25" s="195">
        <f>SUMIFS(Def!C:C,Def!F:F,AG25)</f>
        <v/>
      </c>
      <c r="AI25" s="156">
        <f>IFERROR(SUMIFS(Def!B:B,Def!F:F,AG25)/AH25,"")</f>
        <v/>
      </c>
      <c r="AJ25" s="195">
        <f>VLOOKUP(P25,Matrix!AA:AC,3,0)</f>
        <v/>
      </c>
      <c r="AK25" s="195">
        <f>SUMIFS(Def!C:C,Def!F:F,AJ25)</f>
        <v/>
      </c>
      <c r="AL25" s="156">
        <f>IFERROR(SUMIFS(Def!B:B,Def!F:F,AJ25)/AK25,"")</f>
        <v/>
      </c>
    </row>
    <row r="26" ht="14.4" customHeight="1" s="152">
      <c r="A26" s="157">
        <f>IF(F26="Yes",IFERROR(IF(AA26&gt;1,AA26/100,100/-AA26),""),-1)</f>
        <v/>
      </c>
      <c r="B26" s="157">
        <f>B25+1</f>
        <v/>
      </c>
      <c r="C26" s="157">
        <f>IF(Y26&gt;Z26,1,0)</f>
        <v/>
      </c>
      <c r="D26" s="157">
        <f>IF(AND(C26=1,F26="Yes"),"Yes",IF(AND(C26=0,F26="No"),"Yes","No"))</f>
        <v/>
      </c>
      <c r="E26" s="192">
        <f>IF((AC26+AB26)=AD26,"Push",IF((AC26+AB26)&gt;AD26,"Yes","No"))</f>
        <v/>
      </c>
      <c r="F26" s="192">
        <f>IF(AC26&gt;AD26,"Yes","No")</f>
        <v/>
      </c>
      <c r="G26" s="192">
        <f>IF((Y26+AB26)&gt;Z26,"Yes",IF((Y26+AB26)=Z26,"Push","No"))</f>
        <v/>
      </c>
      <c r="H26" s="157">
        <f>IF(O26="Home",VLOOKUP(N26,Matrix!A:S,19,0),1)</f>
        <v/>
      </c>
      <c r="I26" s="157">
        <f>IF(O26="Away",VLOOKUP(N26,Matrix!A:Z,20,0),1)</f>
        <v/>
      </c>
      <c r="J26" s="157">
        <f>IF(O26="Away",VLOOKUP(P26,Matrix!A:S,19,0),1)</f>
        <v/>
      </c>
      <c r="K26" s="157">
        <f>IF(O26="Home",VLOOKUP(P26,Matrix!A:Z,20,0),1)</f>
        <v/>
      </c>
      <c r="L26" s="156" t="n">
        <v>0.221308759836105</v>
      </c>
      <c r="M26" s="179">
        <f>Schedule!B26</f>
        <v/>
      </c>
      <c r="N26" s="156">
        <f>Schedule!E26</f>
        <v/>
      </c>
      <c r="O26" s="156" t="inlineStr">
        <is>
          <t>Home</t>
        </is>
      </c>
      <c r="P26" s="157">
        <f>Schedule!H26</f>
        <v/>
      </c>
      <c r="Q26" s="157">
        <f>Schedule!C26</f>
        <v/>
      </c>
      <c r="R26" s="180">
        <f>Schedule!D26</f>
        <v/>
      </c>
      <c r="S26" s="181">
        <f>Schedule!J26</f>
        <v/>
      </c>
      <c r="T26" s="193">
        <f>Y26-Z26</f>
        <v/>
      </c>
      <c r="U26" s="182">
        <f>T26/Picks!$K$2</f>
        <v/>
      </c>
      <c r="V26" s="193">
        <f>INDEX(Standings!$T$3:$T$34, MATCH(N26, Standings!$A$3:$A$34, 0)) - INDEX(Standings!$T$3:$T$34, MATCH(P26, Standings!$A$3:$A$34, 0))</f>
        <v/>
      </c>
      <c r="W26" s="157">
        <f>INDEX(Standings!$L$3:$L$34, MATCH(N26, Standings!$A$3:$A$34, 0)) - INDEX(Standings!$L$3:$L$34, MATCH(P26, Standings!$A$3:$A$34, 0))</f>
        <v/>
      </c>
      <c r="X26" s="157">
        <f>INDEX(Standings!$M$3:$M$34, MATCH(N26, Standings!$A$3:$A$34, 0)) - INDEX(Standings!$M$3:$M$34, MATCH(P26, Standings!$A$3:$A$34, 0))</f>
        <v/>
      </c>
      <c r="Y26" s="194">
        <f t="array" ref="Y26:Y26">IFERROR(AE26+(AL26-_DFactor)*AE26,"")</f>
        <v/>
      </c>
      <c r="Z26" s="157">
        <f>IFERROR(AF26+(AI26-_DFactor)*AF26,"")</f>
        <v/>
      </c>
      <c r="AA26" s="157">
        <f>IFERROR(VLOOKUP(M26&amp;N26,Odds!B:E,3,0),0)</f>
        <v/>
      </c>
      <c r="AB26" s="157">
        <f>IFERROR(VLOOKUP(M26&amp;N26,Odds!B:E,4,0),0)</f>
        <v/>
      </c>
      <c r="AC26" s="194">
        <f>VLOOKUP(M26&amp;N26,Schedule!A:F,6,0)</f>
        <v/>
      </c>
      <c r="AD26" s="194">
        <f>VLOOKUP(M26&amp;P26,Schedule!A:F,6,0)</f>
        <v/>
      </c>
      <c r="AE26" s="156">
        <f>VLOOKUP(N26,ProjPVT!B:I,8,0)*_Mag/VLOOKUP(P26,Standings!A:O,15,0)*H26*K26</f>
        <v/>
      </c>
      <c r="AF26" s="156">
        <f>VLOOKUP(P26,ProjPVT!B:I,8,0)*_Mag/VLOOKUP(N26,Standings!A:O,15,0)*J26*I26</f>
        <v/>
      </c>
      <c r="AG26" s="195">
        <f>VLOOKUP(N26,Matrix!AA:AC,3,0)</f>
        <v/>
      </c>
      <c r="AH26" s="195">
        <f>SUMIFS(Def!C:C,Def!F:F,AG26)</f>
        <v/>
      </c>
      <c r="AI26" s="156">
        <f>IFERROR(SUMIFS(Def!B:B,Def!F:F,AG26)/AH26,"")</f>
        <v/>
      </c>
      <c r="AJ26" s="195">
        <f>VLOOKUP(P26,Matrix!AA:AC,3,0)</f>
        <v/>
      </c>
      <c r="AK26" s="195">
        <f>SUMIFS(Def!C:C,Def!F:F,AJ26)</f>
        <v/>
      </c>
      <c r="AL26" s="156">
        <f>IFERROR(SUMIFS(Def!B:B,Def!F:F,AJ26)/AK26,"")</f>
        <v/>
      </c>
    </row>
    <row r="27" ht="14.4" customHeight="1" s="152">
      <c r="A27" s="157">
        <f>IF(F27="Yes",IFERROR(IF(AA27&gt;1,AA27/100,100/-AA27),""),-1)</f>
        <v/>
      </c>
      <c r="B27" s="157">
        <f>B26+1</f>
        <v/>
      </c>
      <c r="C27" s="157">
        <f>IF(Y27&gt;Z27,1,0)</f>
        <v/>
      </c>
      <c r="D27" s="157">
        <f>IF(AND(C27=1,F27="Yes"),"Yes",IF(AND(C27=0,F27="No"),"Yes","No"))</f>
        <v/>
      </c>
      <c r="E27" s="192">
        <f>IF((AC27+AB27)=AD27,"Push",IF((AC27+AB27)&gt;AD27,"Yes","No"))</f>
        <v/>
      </c>
      <c r="F27" s="192">
        <f>IF(AC27&gt;AD27,"Yes","No")</f>
        <v/>
      </c>
      <c r="G27" s="192">
        <f>IF((Y27+AB27)&gt;Z27,"Yes",IF((Y27+AB27)=Z27,"Push","No"))</f>
        <v/>
      </c>
      <c r="H27" s="157">
        <f>IF(O27="Home",VLOOKUP(N27,Matrix!A:S,19,0),1)</f>
        <v/>
      </c>
      <c r="I27" s="157">
        <f>IF(O27="Away",VLOOKUP(N27,Matrix!A:Z,20,0),1)</f>
        <v/>
      </c>
      <c r="J27" s="157">
        <f>IF(O27="Away",VLOOKUP(P27,Matrix!A:S,19,0),1)</f>
        <v/>
      </c>
      <c r="K27" s="157">
        <f>IF(O27="Home",VLOOKUP(P27,Matrix!A:Z,20,0),1)</f>
        <v/>
      </c>
      <c r="L27" s="156" t="n">
        <v>0.276420793937635</v>
      </c>
      <c r="M27" s="179">
        <f>Schedule!B27</f>
        <v/>
      </c>
      <c r="N27" s="156">
        <f>Schedule!E27</f>
        <v/>
      </c>
      <c r="O27" s="156" t="inlineStr">
        <is>
          <t>Home</t>
        </is>
      </c>
      <c r="P27" s="157">
        <f>Schedule!H27</f>
        <v/>
      </c>
      <c r="Q27" s="157">
        <f>Schedule!C27</f>
        <v/>
      </c>
      <c r="R27" s="180">
        <f>Schedule!D27</f>
        <v/>
      </c>
      <c r="S27" s="181">
        <f>Schedule!J27</f>
        <v/>
      </c>
      <c r="T27" s="193">
        <f>Y27-Z27</f>
        <v/>
      </c>
      <c r="U27" s="182">
        <f>T27/Picks!$K$2</f>
        <v/>
      </c>
      <c r="V27" s="193">
        <f>INDEX(Standings!$T$3:$T$34, MATCH(N27, Standings!$A$3:$A$34, 0)) - INDEX(Standings!$T$3:$T$34, MATCH(P27, Standings!$A$3:$A$34, 0))</f>
        <v/>
      </c>
      <c r="W27" s="157">
        <f>INDEX(Standings!$L$3:$L$34, MATCH(N27, Standings!$A$3:$A$34, 0)) - INDEX(Standings!$L$3:$L$34, MATCH(P27, Standings!$A$3:$A$34, 0))</f>
        <v/>
      </c>
      <c r="X27" s="157">
        <f>INDEX(Standings!$M$3:$M$34, MATCH(N27, Standings!$A$3:$A$34, 0)) - INDEX(Standings!$M$3:$M$34, MATCH(P27, Standings!$A$3:$A$34, 0))</f>
        <v/>
      </c>
      <c r="Y27" s="194">
        <f t="array" ref="Y27:Y27">IFERROR(AE27+(AL27-_DFactor)*AE27,"")</f>
        <v/>
      </c>
      <c r="Z27" s="157">
        <f>IFERROR(AF27+(AI27-_DFactor)*AF27,"")</f>
        <v/>
      </c>
      <c r="AA27" s="157">
        <f>IFERROR(VLOOKUP(M27&amp;N27,Odds!B:E,3,0),0)</f>
        <v/>
      </c>
      <c r="AB27" s="157">
        <f>IFERROR(VLOOKUP(M27&amp;N27,Odds!B:E,4,0),0)</f>
        <v/>
      </c>
      <c r="AC27" s="194">
        <f>VLOOKUP(M27&amp;N27,Schedule!A:F,6,0)</f>
        <v/>
      </c>
      <c r="AD27" s="194">
        <f>VLOOKUP(M27&amp;P27,Schedule!A:F,6,0)</f>
        <v/>
      </c>
      <c r="AE27" s="156">
        <f>VLOOKUP(N27,ProjPVT!B:I,8,0)*_Mag/VLOOKUP(P27,Standings!A:O,15,0)*H27*K27</f>
        <v/>
      </c>
      <c r="AF27" s="156">
        <f>VLOOKUP(P27,ProjPVT!B:I,8,0)*_Mag/VLOOKUP(N27,Standings!A:O,15,0)*J27*I27</f>
        <v/>
      </c>
      <c r="AG27" s="195">
        <f>VLOOKUP(N27,Matrix!AA:AC,3,0)</f>
        <v/>
      </c>
      <c r="AH27" s="195">
        <f>SUMIFS(Def!C:C,Def!F:F,AG27)</f>
        <v/>
      </c>
      <c r="AI27" s="156">
        <f>IFERROR(SUMIFS(Def!B:B,Def!F:F,AG27)/AH27,"")</f>
        <v/>
      </c>
      <c r="AJ27" s="195">
        <f>VLOOKUP(P27,Matrix!AA:AC,3,0)</f>
        <v/>
      </c>
      <c r="AK27" s="195">
        <f>SUMIFS(Def!C:C,Def!F:F,AJ27)</f>
        <v/>
      </c>
      <c r="AL27" s="156">
        <f>IFERROR(SUMIFS(Def!B:B,Def!F:F,AJ27)/AK27,"")</f>
        <v/>
      </c>
    </row>
    <row r="28" ht="14.4" customHeight="1" s="152">
      <c r="A28" s="157">
        <f>IF(F28="Yes",IFERROR(IF(AA28&gt;1,AA28/100,100/-AA28),""),-1)</f>
        <v/>
      </c>
      <c r="B28" s="157">
        <f>B27+1</f>
        <v/>
      </c>
      <c r="C28" s="157">
        <f>IF(Y28&gt;Z28,1,0)</f>
        <v/>
      </c>
      <c r="D28" s="157">
        <f>IF(AND(C28=1,F28="Yes"),"Yes",IF(AND(C28=0,F28="No"),"Yes","No"))</f>
        <v/>
      </c>
      <c r="E28" s="192">
        <f>IF((AC28+AB28)=AD28,"Push",IF((AC28+AB28)&gt;AD28,"Yes","No"))</f>
        <v/>
      </c>
      <c r="F28" s="192">
        <f>IF(AC28&gt;AD28,"Yes","No")</f>
        <v/>
      </c>
      <c r="G28" s="192">
        <f>IF((Y28+AB28)&gt;Z28,"Yes",IF((Y28+AB28)=Z28,"Push","No"))</f>
        <v/>
      </c>
      <c r="H28" s="157">
        <f>IF(O28="Home",VLOOKUP(N28,Matrix!A:S,19,0),1)</f>
        <v/>
      </c>
      <c r="I28" s="157">
        <f>IF(O28="Away",VLOOKUP(N28,Matrix!A:Z,20,0),1)</f>
        <v/>
      </c>
      <c r="J28" s="157">
        <f>IF(O28="Away",VLOOKUP(P28,Matrix!A:S,19,0),1)</f>
        <v/>
      </c>
      <c r="K28" s="157">
        <f>IF(O28="Home",VLOOKUP(P28,Matrix!A:Z,20,0),1)</f>
        <v/>
      </c>
      <c r="L28" s="156" t="n">
        <v>0.315916271814569</v>
      </c>
      <c r="M28" s="179">
        <f>Schedule!B28</f>
        <v/>
      </c>
      <c r="N28" s="156">
        <f>Schedule!E28</f>
        <v/>
      </c>
      <c r="O28" s="156" t="inlineStr">
        <is>
          <t>Home</t>
        </is>
      </c>
      <c r="P28" s="157">
        <f>Schedule!H28</f>
        <v/>
      </c>
      <c r="Q28" s="157">
        <f>Schedule!C28</f>
        <v/>
      </c>
      <c r="R28" s="180">
        <f>Schedule!D28</f>
        <v/>
      </c>
      <c r="S28" s="181">
        <f>Schedule!J28</f>
        <v/>
      </c>
      <c r="T28" s="193">
        <f>Y28-Z28</f>
        <v/>
      </c>
      <c r="U28" s="182">
        <f>T28/Picks!$K$2</f>
        <v/>
      </c>
      <c r="V28" s="193">
        <f>INDEX(Standings!$T$3:$T$34, MATCH(N28, Standings!$A$3:$A$34, 0)) - INDEX(Standings!$T$3:$T$34, MATCH(P28, Standings!$A$3:$A$34, 0))</f>
        <v/>
      </c>
      <c r="W28" s="157">
        <f>INDEX(Standings!$L$3:$L$34, MATCH(N28, Standings!$A$3:$A$34, 0)) - INDEX(Standings!$L$3:$L$34, MATCH(P28, Standings!$A$3:$A$34, 0))</f>
        <v/>
      </c>
      <c r="X28" s="157">
        <f>INDEX(Standings!$M$3:$M$34, MATCH(N28, Standings!$A$3:$A$34, 0)) - INDEX(Standings!$M$3:$M$34, MATCH(P28, Standings!$A$3:$A$34, 0))</f>
        <v/>
      </c>
      <c r="Y28" s="194">
        <f t="array" ref="Y28:Y28">IFERROR(AE28+(AL28-_DFactor)*AE28,"")</f>
        <v/>
      </c>
      <c r="Z28" s="157">
        <f>IFERROR(AF28+(AI28-_DFactor)*AF28,"")</f>
        <v/>
      </c>
      <c r="AA28" s="157">
        <f>IFERROR(VLOOKUP(M28&amp;N28,Odds!B:E,3,0),0)</f>
        <v/>
      </c>
      <c r="AB28" s="157">
        <f>IFERROR(VLOOKUP(M28&amp;N28,Odds!B:E,4,0),0)</f>
        <v/>
      </c>
      <c r="AC28" s="194">
        <f>VLOOKUP(M28&amp;N28,Schedule!A:F,6,0)</f>
        <v/>
      </c>
      <c r="AD28" s="194">
        <f>VLOOKUP(M28&amp;P28,Schedule!A:F,6,0)</f>
        <v/>
      </c>
      <c r="AE28" s="156">
        <f>VLOOKUP(N28,ProjPVT!B:I,8,0)*_Mag/VLOOKUP(P28,Standings!A:O,15,0)*H28*K28</f>
        <v/>
      </c>
      <c r="AF28" s="156">
        <f>VLOOKUP(P28,ProjPVT!B:I,8,0)*_Mag/VLOOKUP(N28,Standings!A:O,15,0)*J28*I28</f>
        <v/>
      </c>
      <c r="AG28" s="195">
        <f>VLOOKUP(N28,Matrix!AA:AC,3,0)</f>
        <v/>
      </c>
      <c r="AH28" s="195">
        <f>SUMIFS(Def!C:C,Def!F:F,AG28)</f>
        <v/>
      </c>
      <c r="AI28" s="156">
        <f>IFERROR(SUMIFS(Def!B:B,Def!F:F,AG28)/AH28,"")</f>
        <v/>
      </c>
      <c r="AJ28" s="195">
        <f>VLOOKUP(P28,Matrix!AA:AC,3,0)</f>
        <v/>
      </c>
      <c r="AK28" s="195">
        <f>SUMIFS(Def!C:C,Def!F:F,AJ28)</f>
        <v/>
      </c>
      <c r="AL28" s="156">
        <f>IFERROR(SUMIFS(Def!B:B,Def!F:F,AJ28)/AK28,"")</f>
        <v/>
      </c>
    </row>
    <row r="29" ht="14.4" customHeight="1" s="152">
      <c r="A29" s="157">
        <f>IF(F29="Yes",IFERROR(IF(AA29&gt;1,AA29/100,100/-AA29),""),-1)</f>
        <v/>
      </c>
      <c r="B29" s="157">
        <f>B28+1</f>
        <v/>
      </c>
      <c r="C29" s="157">
        <f>IF(Y29&gt;Z29,1,0)</f>
        <v/>
      </c>
      <c r="D29" s="157">
        <f>IF(AND(C29=1,F29="Yes"),"Yes",IF(AND(C29=0,F29="No"),"Yes","No"))</f>
        <v/>
      </c>
      <c r="E29" s="192">
        <f>IF((AC29+AB29)=AD29,"Push",IF((AC29+AB29)&gt;AD29,"Yes","No"))</f>
        <v/>
      </c>
      <c r="F29" s="192">
        <f>IF(AC29&gt;AD29,"Yes","No")</f>
        <v/>
      </c>
      <c r="G29" s="192">
        <f>IF((Y29+AB29)&gt;Z29,"Yes",IF((Y29+AB29)=Z29,"Push","No"))</f>
        <v/>
      </c>
      <c r="H29" s="157">
        <f>IF(O29="Home",VLOOKUP(N29,Matrix!A:S,19,0),1)</f>
        <v/>
      </c>
      <c r="I29" s="157">
        <f>IF(O29="Away",VLOOKUP(N29,Matrix!A:Z,20,0),1)</f>
        <v/>
      </c>
      <c r="J29" s="157">
        <f>IF(O29="Away",VLOOKUP(P29,Matrix!A:S,19,0),1)</f>
        <v/>
      </c>
      <c r="K29" s="157">
        <f>IF(O29="Home",VLOOKUP(P29,Matrix!A:Z,20,0),1)</f>
        <v/>
      </c>
      <c r="L29" s="156" t="n">
        <v>0.385649377163524</v>
      </c>
      <c r="M29" s="179">
        <f>Schedule!B29</f>
        <v/>
      </c>
      <c r="N29" s="156">
        <f>Schedule!E29</f>
        <v/>
      </c>
      <c r="O29" s="156" t="inlineStr">
        <is>
          <t>Away</t>
        </is>
      </c>
      <c r="P29" s="157">
        <f>Schedule!H29</f>
        <v/>
      </c>
      <c r="Q29" s="157">
        <f>Schedule!C29</f>
        <v/>
      </c>
      <c r="R29" s="180">
        <f>Schedule!D29</f>
        <v/>
      </c>
      <c r="S29" s="181">
        <f>Schedule!J29</f>
        <v/>
      </c>
      <c r="T29" s="193">
        <f>Y29-Z29</f>
        <v/>
      </c>
      <c r="U29" s="182">
        <f>T29/Picks!$K$2</f>
        <v/>
      </c>
      <c r="V29" s="193">
        <f>INDEX(Standings!$T$3:$T$34, MATCH(N29, Standings!$A$3:$A$34, 0)) - INDEX(Standings!$T$3:$T$34, MATCH(P29, Standings!$A$3:$A$34, 0))</f>
        <v/>
      </c>
      <c r="W29" s="157">
        <f>INDEX(Standings!$L$3:$L$34, MATCH(N29, Standings!$A$3:$A$34, 0)) - INDEX(Standings!$L$3:$L$34, MATCH(P29, Standings!$A$3:$A$34, 0))</f>
        <v/>
      </c>
      <c r="X29" s="157">
        <f>INDEX(Standings!$M$3:$M$34, MATCH(N29, Standings!$A$3:$A$34, 0)) - INDEX(Standings!$M$3:$M$34, MATCH(P29, Standings!$A$3:$A$34, 0))</f>
        <v/>
      </c>
      <c r="Y29" s="194">
        <f t="array" ref="Y29:Y29">IFERROR(AE29+(AL29-_DFactor)*AE29,"")</f>
        <v/>
      </c>
      <c r="Z29" s="157">
        <f>IFERROR(AF29+(AI29-_DFactor)*AF29,"")</f>
        <v/>
      </c>
      <c r="AA29" s="157">
        <f>IFERROR(VLOOKUP(M29&amp;N29,Odds!B:E,3,0),0)</f>
        <v/>
      </c>
      <c r="AB29" s="157">
        <f>IFERROR(VLOOKUP(M29&amp;N29,Odds!B:E,4,0),0)</f>
        <v/>
      </c>
      <c r="AC29" s="194">
        <f>VLOOKUP(M29&amp;N29,Schedule!A:F,6,0)</f>
        <v/>
      </c>
      <c r="AD29" s="194">
        <f>VLOOKUP(M29&amp;P29,Schedule!A:F,6,0)</f>
        <v/>
      </c>
      <c r="AE29" s="156">
        <f>VLOOKUP(N29,ProjPVT!B:I,8,0)*_Mag/VLOOKUP(P29,Standings!A:O,15,0)*H29*K29</f>
        <v/>
      </c>
      <c r="AF29" s="156">
        <f>VLOOKUP(P29,ProjPVT!B:I,8,0)*_Mag/VLOOKUP(N29,Standings!A:O,15,0)*J29*I29</f>
        <v/>
      </c>
      <c r="AG29" s="195">
        <f>VLOOKUP(N29,Matrix!AA:AC,3,0)</f>
        <v/>
      </c>
      <c r="AH29" s="195">
        <f>SUMIFS(Def!C:C,Def!F:F,AG29)</f>
        <v/>
      </c>
      <c r="AI29" s="156">
        <f>IFERROR(SUMIFS(Def!B:B,Def!F:F,AG29)/AH29,"")</f>
        <v/>
      </c>
      <c r="AJ29" s="195">
        <f>VLOOKUP(P29,Matrix!AA:AC,3,0)</f>
        <v/>
      </c>
      <c r="AK29" s="195">
        <f>SUMIFS(Def!C:C,Def!F:F,AJ29)</f>
        <v/>
      </c>
      <c r="AL29" s="156">
        <f>IFERROR(SUMIFS(Def!B:B,Def!F:F,AJ29)/AK29,"")</f>
        <v/>
      </c>
    </row>
    <row r="30" ht="14.4" customHeight="1" s="152">
      <c r="A30" s="157">
        <f>IF(F30="Yes",IFERROR(IF(AA30&gt;1,AA30/100,100/-AA30),""),-1)</f>
        <v/>
      </c>
      <c r="B30" s="157">
        <f>B29+1</f>
        <v/>
      </c>
      <c r="C30" s="157">
        <f>IF(Y30&gt;Z30,1,0)</f>
        <v/>
      </c>
      <c r="D30" s="157">
        <f>IF(AND(C30=1,F30="Yes"),"Yes",IF(AND(C30=0,F30="No"),"Yes","No"))</f>
        <v/>
      </c>
      <c r="E30" s="192">
        <f>IF((AC30+AB30)=AD30,"Push",IF((AC30+AB30)&gt;AD30,"Yes","No"))</f>
        <v/>
      </c>
      <c r="F30" s="192">
        <f>IF(AC30&gt;AD30,"Yes","No")</f>
        <v/>
      </c>
      <c r="G30" s="192">
        <f>IF((Y30+AB30)&gt;Z30,"Yes",IF((Y30+AB30)=Z30,"Push","No"))</f>
        <v/>
      </c>
      <c r="H30" s="157">
        <f>IF(O30="Home",VLOOKUP(N30,Matrix!A:S,19,0),1)</f>
        <v/>
      </c>
      <c r="I30" s="157">
        <f>IF(O30="Away",VLOOKUP(N30,Matrix!A:Z,20,0),1)</f>
        <v/>
      </c>
      <c r="J30" s="157">
        <f>IF(O30="Away",VLOOKUP(P30,Matrix!A:S,19,0),1)</f>
        <v/>
      </c>
      <c r="K30" s="157">
        <f>IF(O30="Home",VLOOKUP(P30,Matrix!A:Z,20,0),1)</f>
        <v/>
      </c>
      <c r="L30" s="156" t="n">
        <v>0.386108534776781</v>
      </c>
      <c r="M30" s="179">
        <f>Schedule!B30</f>
        <v/>
      </c>
      <c r="N30" s="156">
        <f>Schedule!E30</f>
        <v/>
      </c>
      <c r="O30" s="156" t="inlineStr">
        <is>
          <t>Home</t>
        </is>
      </c>
      <c r="P30" s="157">
        <f>Schedule!H30</f>
        <v/>
      </c>
      <c r="Q30" s="157">
        <f>Schedule!C30</f>
        <v/>
      </c>
      <c r="R30" s="180">
        <f>Schedule!D30</f>
        <v/>
      </c>
      <c r="S30" s="181">
        <f>Schedule!J30</f>
        <v/>
      </c>
      <c r="T30" s="193">
        <f>Y30-Z30</f>
        <v/>
      </c>
      <c r="U30" s="182">
        <f>T30/Picks!$K$2</f>
        <v/>
      </c>
      <c r="V30" s="193">
        <f>INDEX(Standings!$T$3:$T$34, MATCH(N30, Standings!$A$3:$A$34, 0)) - INDEX(Standings!$T$3:$T$34, MATCH(P30, Standings!$A$3:$A$34, 0))</f>
        <v/>
      </c>
      <c r="W30" s="157">
        <f>INDEX(Standings!$L$3:$L$34, MATCH(N30, Standings!$A$3:$A$34, 0)) - INDEX(Standings!$L$3:$L$34, MATCH(P30, Standings!$A$3:$A$34, 0))</f>
        <v/>
      </c>
      <c r="X30" s="157">
        <f>INDEX(Standings!$M$3:$M$34, MATCH(N30, Standings!$A$3:$A$34, 0)) - INDEX(Standings!$M$3:$M$34, MATCH(P30, Standings!$A$3:$A$34, 0))</f>
        <v/>
      </c>
      <c r="Y30" s="194">
        <f t="array" ref="Y30:Y30">IFERROR(AE30+(AL30-_DFactor)*AE30,"")</f>
        <v/>
      </c>
      <c r="Z30" s="157">
        <f>IFERROR(AF30+(AI30-_DFactor)*AF30,"")</f>
        <v/>
      </c>
      <c r="AA30" s="157">
        <f>IFERROR(VLOOKUP(M30&amp;N30,Odds!B:E,3,0),0)</f>
        <v/>
      </c>
      <c r="AB30" s="157">
        <f>IFERROR(VLOOKUP(M30&amp;N30,Odds!B:E,4,0),0)</f>
        <v/>
      </c>
      <c r="AC30" s="194">
        <f>VLOOKUP(M30&amp;N30,Schedule!A:F,6,0)</f>
        <v/>
      </c>
      <c r="AD30" s="194">
        <f>VLOOKUP(M30&amp;P30,Schedule!A:F,6,0)</f>
        <v/>
      </c>
      <c r="AE30" s="156">
        <f>VLOOKUP(N30,ProjPVT!B:I,8,0)*_Mag/VLOOKUP(P30,Standings!A:O,15,0)*H30*K30</f>
        <v/>
      </c>
      <c r="AF30" s="156">
        <f>VLOOKUP(P30,ProjPVT!B:I,8,0)*_Mag/VLOOKUP(N30,Standings!A:O,15,0)*J30*I30</f>
        <v/>
      </c>
      <c r="AG30" s="195">
        <f>VLOOKUP(N30,Matrix!AA:AC,3,0)</f>
        <v/>
      </c>
      <c r="AH30" s="195">
        <f>SUMIFS(Def!C:C,Def!F:F,AG30)</f>
        <v/>
      </c>
      <c r="AI30" s="156">
        <f>IFERROR(SUMIFS(Def!B:B,Def!F:F,AG30)/AH30,"")</f>
        <v/>
      </c>
      <c r="AJ30" s="195">
        <f>VLOOKUP(P30,Matrix!AA:AC,3,0)</f>
        <v/>
      </c>
      <c r="AK30" s="195">
        <f>SUMIFS(Def!C:C,Def!F:F,AJ30)</f>
        <v/>
      </c>
      <c r="AL30" s="156">
        <f>IFERROR(SUMIFS(Def!B:B,Def!F:F,AJ30)/AK30,"")</f>
        <v/>
      </c>
    </row>
    <row r="31" ht="14.4" customHeight="1" s="152">
      <c r="A31" s="157">
        <f>IF(F31="Yes",IFERROR(IF(AA31&gt;1,AA31/100,100/-AA31),""),-1)</f>
        <v/>
      </c>
      <c r="B31" s="157">
        <f>B30+1</f>
        <v/>
      </c>
      <c r="C31" s="157">
        <f>IF(Y31&gt;Z31,1,0)</f>
        <v/>
      </c>
      <c r="D31" s="157">
        <f>IF(AND(C31=1,F31="Yes"),"Yes",IF(AND(C31=0,F31="No"),"Yes","No"))</f>
        <v/>
      </c>
      <c r="E31" s="192">
        <f>IF((AC31+AB31)=AD31,"Push",IF((AC31+AB31)&gt;AD31,"Yes","No"))</f>
        <v/>
      </c>
      <c r="F31" s="192">
        <f>IF(AC31&gt;AD31,"Yes","No")</f>
        <v/>
      </c>
      <c r="G31" s="192">
        <f>IF((Y31+AB31)&gt;Z31,"Yes",IF((Y31+AB31)=Z31,"Push","No"))</f>
        <v/>
      </c>
      <c r="H31" s="157">
        <f>IF(O31="Home",VLOOKUP(N31,Matrix!A:S,19,0),1)</f>
        <v/>
      </c>
      <c r="I31" s="157">
        <f>IF(O31="Away",VLOOKUP(N31,Matrix!A:Z,20,0),1)</f>
        <v/>
      </c>
      <c r="J31" s="157">
        <f>IF(O31="Away",VLOOKUP(P31,Matrix!A:S,19,0),1)</f>
        <v/>
      </c>
      <c r="K31" s="157">
        <f>IF(O31="Home",VLOOKUP(P31,Matrix!A:Z,20,0),1)</f>
        <v/>
      </c>
      <c r="L31" s="156" t="n">
        <v>0.508125303171039</v>
      </c>
      <c r="M31" s="179">
        <f>Schedule!B31</f>
        <v/>
      </c>
      <c r="N31" s="156">
        <f>Schedule!E31</f>
        <v/>
      </c>
      <c r="O31" s="156" t="inlineStr">
        <is>
          <t>Home</t>
        </is>
      </c>
      <c r="P31" s="157">
        <f>Schedule!H31</f>
        <v/>
      </c>
      <c r="Q31" s="157">
        <f>Schedule!C31</f>
        <v/>
      </c>
      <c r="R31" s="180">
        <f>Schedule!D31</f>
        <v/>
      </c>
      <c r="S31" s="181">
        <f>Schedule!J31</f>
        <v/>
      </c>
      <c r="T31" s="193">
        <f>Y31-Z31</f>
        <v/>
      </c>
      <c r="U31" s="182">
        <f>T31/Picks!$K$2</f>
        <v/>
      </c>
      <c r="V31" s="193">
        <f>INDEX(Standings!$T$3:$T$34, MATCH(N31, Standings!$A$3:$A$34, 0)) - INDEX(Standings!$T$3:$T$34, MATCH(P31, Standings!$A$3:$A$34, 0))</f>
        <v/>
      </c>
      <c r="W31" s="157">
        <f>INDEX(Standings!$L$3:$L$34, MATCH(N31, Standings!$A$3:$A$34, 0)) - INDEX(Standings!$L$3:$L$34, MATCH(P31, Standings!$A$3:$A$34, 0))</f>
        <v/>
      </c>
      <c r="X31" s="157">
        <f>INDEX(Standings!$M$3:$M$34, MATCH(N31, Standings!$A$3:$A$34, 0)) - INDEX(Standings!$M$3:$M$34, MATCH(P31, Standings!$A$3:$A$34, 0))</f>
        <v/>
      </c>
      <c r="Y31" s="194">
        <f t="array" ref="Y31:Y31">IFERROR(AE31+(AL31-_DFactor)*AE31,"")</f>
        <v/>
      </c>
      <c r="Z31" s="157">
        <f>IFERROR(AF31+(AI31-_DFactor)*AF31,"")</f>
        <v/>
      </c>
      <c r="AA31" s="157">
        <f>IFERROR(VLOOKUP(M31&amp;N31,Odds!B:E,3,0),0)</f>
        <v/>
      </c>
      <c r="AB31" s="157">
        <f>IFERROR(VLOOKUP(M31&amp;N31,Odds!B:E,4,0),0)</f>
        <v/>
      </c>
      <c r="AC31" s="194">
        <f>VLOOKUP(M31&amp;N31,Schedule!A:F,6,0)</f>
        <v/>
      </c>
      <c r="AD31" s="194">
        <f>VLOOKUP(M31&amp;P31,Schedule!A:F,6,0)</f>
        <v/>
      </c>
      <c r="AE31" s="156">
        <f>VLOOKUP(N31,ProjPVT!B:I,8,0)*_Mag/VLOOKUP(P31,Standings!A:O,15,0)*H31*K31</f>
        <v/>
      </c>
      <c r="AF31" s="156">
        <f>VLOOKUP(P31,ProjPVT!B:I,8,0)*_Mag/VLOOKUP(N31,Standings!A:O,15,0)*J31*I31</f>
        <v/>
      </c>
      <c r="AG31" s="195">
        <f>VLOOKUP(N31,Matrix!AA:AC,3,0)</f>
        <v/>
      </c>
      <c r="AH31" s="195">
        <f>SUMIFS(Def!C:C,Def!F:F,AG31)</f>
        <v/>
      </c>
      <c r="AI31" s="156">
        <f>IFERROR(SUMIFS(Def!B:B,Def!F:F,AG31)/AH31,"")</f>
        <v/>
      </c>
      <c r="AJ31" s="195">
        <f>VLOOKUP(P31,Matrix!AA:AC,3,0)</f>
        <v/>
      </c>
      <c r="AK31" s="195">
        <f>SUMIFS(Def!C:C,Def!F:F,AJ31)</f>
        <v/>
      </c>
      <c r="AL31" s="156">
        <f>IFERROR(SUMIFS(Def!B:B,Def!F:F,AJ31)/AK31,"")</f>
        <v/>
      </c>
    </row>
    <row r="32" ht="14.4" customHeight="1" s="152">
      <c r="A32" s="157">
        <f>IF(F32="Yes",IFERROR(IF(AA32&gt;1,AA32/100,100/-AA32),""),-1)</f>
        <v/>
      </c>
      <c r="B32" s="157">
        <f>B31+1</f>
        <v/>
      </c>
      <c r="C32" s="157">
        <f>IF(Y32&gt;Z32,1,0)</f>
        <v/>
      </c>
      <c r="D32" s="157">
        <f>IF(AND(C32=1,F32="Yes"),"Yes",IF(AND(C32=0,F32="No"),"Yes","No"))</f>
        <v/>
      </c>
      <c r="E32" s="192">
        <f>IF((AC32+AB32)=AD32,"Push",IF((AC32+AB32)&gt;AD32,"Yes","No"))</f>
        <v/>
      </c>
      <c r="F32" s="192">
        <f>IF(AC32&gt;AD32,"Yes","No")</f>
        <v/>
      </c>
      <c r="G32" s="192">
        <f>IF((Y32+AB32)&gt;Z32,"Yes",IF((Y32+AB32)=Z32,"Push","No"))</f>
        <v/>
      </c>
      <c r="H32" s="157">
        <f>IF(O32="Home",VLOOKUP(N32,Matrix!A:S,19,0),1)</f>
        <v/>
      </c>
      <c r="I32" s="157">
        <f>IF(O32="Away",VLOOKUP(N32,Matrix!A:Z,20,0),1)</f>
        <v/>
      </c>
      <c r="J32" s="157">
        <f>IF(O32="Away",VLOOKUP(P32,Matrix!A:S,19,0),1)</f>
        <v/>
      </c>
      <c r="K32" s="157">
        <f>IF(O32="Home",VLOOKUP(P32,Matrix!A:Z,20,0),1)</f>
        <v/>
      </c>
      <c r="L32" s="156" t="n">
        <v>0.571008232452309</v>
      </c>
      <c r="M32" s="179">
        <f>Schedule!B32</f>
        <v/>
      </c>
      <c r="N32" s="156">
        <f>Schedule!E32</f>
        <v/>
      </c>
      <c r="O32" s="156" t="inlineStr">
        <is>
          <t>Home</t>
        </is>
      </c>
      <c r="P32" s="157">
        <f>Schedule!H32</f>
        <v/>
      </c>
      <c r="Q32" s="157">
        <f>Schedule!C32</f>
        <v/>
      </c>
      <c r="R32" s="180">
        <f>Schedule!D32</f>
        <v/>
      </c>
      <c r="S32" s="181">
        <f>Schedule!J32</f>
        <v/>
      </c>
      <c r="T32" s="193">
        <f>Y32-Z32</f>
        <v/>
      </c>
      <c r="U32" s="182">
        <f>T32/Picks!$K$2</f>
        <v/>
      </c>
      <c r="V32" s="193">
        <f>INDEX(Standings!$T$3:$T$34, MATCH(N32, Standings!$A$3:$A$34, 0)) - INDEX(Standings!$T$3:$T$34, MATCH(P32, Standings!$A$3:$A$34, 0))</f>
        <v/>
      </c>
      <c r="W32" s="157">
        <f>INDEX(Standings!$L$3:$L$34, MATCH(N32, Standings!$A$3:$A$34, 0)) - INDEX(Standings!$L$3:$L$34, MATCH(P32, Standings!$A$3:$A$34, 0))</f>
        <v/>
      </c>
      <c r="X32" s="157">
        <f>INDEX(Standings!$M$3:$M$34, MATCH(N32, Standings!$A$3:$A$34, 0)) - INDEX(Standings!$M$3:$M$34, MATCH(P32, Standings!$A$3:$A$34, 0))</f>
        <v/>
      </c>
      <c r="Y32" s="194">
        <f t="array" ref="Y32:Y32">IFERROR(AE32+(AL32-_DFactor)*AE32,"")</f>
        <v/>
      </c>
      <c r="Z32" s="157">
        <f>IFERROR(AF32+(AI32-_DFactor)*AF32,"")</f>
        <v/>
      </c>
      <c r="AA32" s="157">
        <f>IFERROR(VLOOKUP(M32&amp;N32,Odds!B:E,3,0),0)</f>
        <v/>
      </c>
      <c r="AB32" s="157">
        <f>IFERROR(VLOOKUP(M32&amp;N32,Odds!B:E,4,0),0)</f>
        <v/>
      </c>
      <c r="AC32" s="194">
        <f>VLOOKUP(M32&amp;N32,Schedule!A:F,6,0)</f>
        <v/>
      </c>
      <c r="AD32" s="194">
        <f>VLOOKUP(M32&amp;P32,Schedule!A:F,6,0)</f>
        <v/>
      </c>
      <c r="AE32" s="156">
        <f>VLOOKUP(N32,ProjPVT!B:I,8,0)*_Mag/VLOOKUP(P32,Standings!A:O,15,0)*H32*K32</f>
        <v/>
      </c>
      <c r="AF32" s="156">
        <f>VLOOKUP(P32,ProjPVT!B:I,8,0)*_Mag/VLOOKUP(N32,Standings!A:O,15,0)*J32*I32</f>
        <v/>
      </c>
      <c r="AG32" s="195">
        <f>VLOOKUP(N32,Matrix!AA:AC,3,0)</f>
        <v/>
      </c>
      <c r="AH32" s="195">
        <f>SUMIFS(Def!C:C,Def!F:F,AG32)</f>
        <v/>
      </c>
      <c r="AI32" s="156">
        <f>IFERROR(SUMIFS(Def!B:B,Def!F:F,AG32)/AH32,"")</f>
        <v/>
      </c>
      <c r="AJ32" s="195">
        <f>VLOOKUP(P32,Matrix!AA:AC,3,0)</f>
        <v/>
      </c>
      <c r="AK32" s="195">
        <f>SUMIFS(Def!C:C,Def!F:F,AJ32)</f>
        <v/>
      </c>
      <c r="AL32" s="156">
        <f>IFERROR(SUMIFS(Def!B:B,Def!F:F,AJ32)/AK32,"")</f>
        <v/>
      </c>
    </row>
    <row r="33" ht="14.4" customHeight="1" s="152">
      <c r="A33" s="157">
        <f>IF(F33="Yes",IFERROR(IF(AA33&gt;1,AA33/100,100/-AA33),""),-1)</f>
        <v/>
      </c>
      <c r="B33" s="157">
        <f>B32+1</f>
        <v/>
      </c>
      <c r="C33" s="157">
        <f>IF(Y33&gt;Z33,1,0)</f>
        <v/>
      </c>
      <c r="D33" s="157">
        <f>IF(AND(C33=1,F33="Yes"),"Yes",IF(AND(C33=0,F33="No"),"Yes","No"))</f>
        <v/>
      </c>
      <c r="E33" s="192">
        <f>IF((AC33+AB33)=AD33,"Push",IF((AC33+AB33)&gt;AD33,"Yes","No"))</f>
        <v/>
      </c>
      <c r="F33" s="192">
        <f>IF(AC33&gt;AD33,"Yes","No")</f>
        <v/>
      </c>
      <c r="G33" s="192">
        <f>IF((Y33+AB33)&gt;Z33,"Yes",IF((Y33+AB33)=Z33,"Push","No"))</f>
        <v/>
      </c>
      <c r="H33" s="157">
        <f>IF(O33="Home",VLOOKUP(N33,Matrix!A:S,19,0),1)</f>
        <v/>
      </c>
      <c r="I33" s="157">
        <f>IF(O33="Away",VLOOKUP(N33,Matrix!A:Z,20,0),1)</f>
        <v/>
      </c>
      <c r="J33" s="157">
        <f>IF(O33="Away",VLOOKUP(P33,Matrix!A:S,19,0),1)</f>
        <v/>
      </c>
      <c r="K33" s="157">
        <f>IF(O33="Home",VLOOKUP(P33,Matrix!A:Z,20,0),1)</f>
        <v/>
      </c>
      <c r="L33" s="156" t="n">
        <v>0.610617989016115</v>
      </c>
      <c r="M33" s="179">
        <f>Schedule!B33</f>
        <v/>
      </c>
      <c r="N33" s="156">
        <f>Schedule!E33</f>
        <v/>
      </c>
      <c r="O33" s="156" t="inlineStr">
        <is>
          <t>Home</t>
        </is>
      </c>
      <c r="P33" s="157">
        <f>Schedule!H33</f>
        <v/>
      </c>
      <c r="Q33" s="157">
        <f>Schedule!C33</f>
        <v/>
      </c>
      <c r="R33" s="180">
        <f>Schedule!D33</f>
        <v/>
      </c>
      <c r="S33" s="181">
        <f>Schedule!J33</f>
        <v/>
      </c>
      <c r="T33" s="193">
        <f>Y33-Z33</f>
        <v/>
      </c>
      <c r="U33" s="182">
        <f>T33/Picks!$K$2</f>
        <v/>
      </c>
      <c r="V33" s="193">
        <f>INDEX(Standings!$T$3:$T$34, MATCH(N33, Standings!$A$3:$A$34, 0)) - INDEX(Standings!$T$3:$T$34, MATCH(P33, Standings!$A$3:$A$34, 0))</f>
        <v/>
      </c>
      <c r="W33" s="157">
        <f>INDEX(Standings!$L$3:$L$34, MATCH(N33, Standings!$A$3:$A$34, 0)) - INDEX(Standings!$L$3:$L$34, MATCH(P33, Standings!$A$3:$A$34, 0))</f>
        <v/>
      </c>
      <c r="X33" s="157">
        <f>INDEX(Standings!$M$3:$M$34, MATCH(N33, Standings!$A$3:$A$34, 0)) - INDEX(Standings!$M$3:$M$34, MATCH(P33, Standings!$A$3:$A$34, 0))</f>
        <v/>
      </c>
      <c r="Y33" s="194">
        <f t="array" ref="Y33:Y33">IFERROR(AE33+(AL33-_DFactor)*AE33,"")</f>
        <v/>
      </c>
      <c r="Z33" s="157">
        <f>IFERROR(AF33+(AI33-_DFactor)*AF33,"")</f>
        <v/>
      </c>
      <c r="AA33" s="157">
        <f>IFERROR(VLOOKUP(M33&amp;N33,Odds!B:E,3,0),0)</f>
        <v/>
      </c>
      <c r="AB33" s="157">
        <f>IFERROR(VLOOKUP(M33&amp;N33,Odds!B:E,4,0),0)</f>
        <v/>
      </c>
      <c r="AC33" s="194">
        <f>VLOOKUP(M33&amp;N33,Schedule!A:F,6,0)</f>
        <v/>
      </c>
      <c r="AD33" s="194">
        <f>VLOOKUP(M33&amp;P33,Schedule!A:F,6,0)</f>
        <v/>
      </c>
      <c r="AE33" s="156">
        <f>VLOOKUP(N33,ProjPVT!B:I,8,0)*_Mag/VLOOKUP(P33,Standings!A:O,15,0)*H33*K33</f>
        <v/>
      </c>
      <c r="AF33" s="156">
        <f>VLOOKUP(P33,ProjPVT!B:I,8,0)*_Mag/VLOOKUP(N33,Standings!A:O,15,0)*J33*I33</f>
        <v/>
      </c>
      <c r="AG33" s="195">
        <f>VLOOKUP(N33,Matrix!AA:AC,3,0)</f>
        <v/>
      </c>
      <c r="AH33" s="195">
        <f>SUMIFS(Def!C:C,Def!F:F,AG33)</f>
        <v/>
      </c>
      <c r="AI33" s="156">
        <f>IFERROR(SUMIFS(Def!B:B,Def!F:F,AG33)/AH33,"")</f>
        <v/>
      </c>
      <c r="AJ33" s="195">
        <f>VLOOKUP(P33,Matrix!AA:AC,3,0)</f>
        <v/>
      </c>
      <c r="AK33" s="195">
        <f>SUMIFS(Def!C:C,Def!F:F,AJ33)</f>
        <v/>
      </c>
      <c r="AL33" s="156">
        <f>IFERROR(SUMIFS(Def!B:B,Def!F:F,AJ33)/AK33,"")</f>
        <v/>
      </c>
    </row>
    <row r="34" ht="14.4" customHeight="1" s="152">
      <c r="A34" s="157">
        <f>IF(F34="Yes",IFERROR(IF(AA34&gt;1,AA34/100,100/-AA34),""),-1)</f>
        <v/>
      </c>
      <c r="B34" s="157">
        <f>B33+1</f>
        <v/>
      </c>
      <c r="C34" s="157">
        <f>IF(Y34&gt;Z34,1,0)</f>
        <v/>
      </c>
      <c r="D34" s="157">
        <f>IF(AND(C34=1,F34="Yes"),"Yes",IF(AND(C34=0,F34="No"),"Yes","No"))</f>
        <v/>
      </c>
      <c r="E34" s="192">
        <f>IF((AC34+AB34)=AD34,"Push",IF((AC34+AB34)&gt;AD34,"Yes","No"))</f>
        <v/>
      </c>
      <c r="F34" s="192">
        <f>IF(AC34&gt;AD34,"Yes","No")</f>
        <v/>
      </c>
      <c r="G34" s="192">
        <f>IF((Y34+AB34)&gt;Z34,"Yes",IF((Y34+AB34)=Z34,"Push","No"))</f>
        <v/>
      </c>
      <c r="H34" s="157">
        <f>IF(O34="Home",VLOOKUP(N34,Matrix!A:S,19,0),1)</f>
        <v/>
      </c>
      <c r="I34" s="157">
        <f>IF(O34="Away",VLOOKUP(N34,Matrix!A:Z,20,0),1)</f>
        <v/>
      </c>
      <c r="J34" s="157">
        <f>IF(O34="Away",VLOOKUP(P34,Matrix!A:S,19,0),1)</f>
        <v/>
      </c>
      <c r="K34" s="157">
        <f>IF(O34="Home",VLOOKUP(P34,Matrix!A:Z,20,0),1)</f>
        <v/>
      </c>
      <c r="L34" s="156" t="n">
        <v>-0.576205490704697</v>
      </c>
      <c r="M34" s="179">
        <f>Schedule!B34</f>
        <v/>
      </c>
      <c r="N34" s="156">
        <f>Schedule!E34</f>
        <v/>
      </c>
      <c r="O34" s="156" t="inlineStr">
        <is>
          <t>Home</t>
        </is>
      </c>
      <c r="P34" s="157">
        <f>Schedule!H34</f>
        <v/>
      </c>
      <c r="Q34" s="157">
        <f>Schedule!C34</f>
        <v/>
      </c>
      <c r="R34" s="180">
        <f>Schedule!D34</f>
        <v/>
      </c>
      <c r="S34" s="181">
        <f>Schedule!J34</f>
        <v/>
      </c>
      <c r="T34" s="193">
        <f>Y34-Z34</f>
        <v/>
      </c>
      <c r="U34" s="182">
        <f>T34/Picks!$K$2</f>
        <v/>
      </c>
      <c r="V34" s="193">
        <f>INDEX(Standings!$T$3:$T$34, MATCH(N34, Standings!$A$3:$A$34, 0)) - INDEX(Standings!$T$3:$T$34, MATCH(P34, Standings!$A$3:$A$34, 0))</f>
        <v/>
      </c>
      <c r="W34" s="157">
        <f>INDEX(Standings!$L$3:$L$34, MATCH(N34, Standings!$A$3:$A$34, 0)) - INDEX(Standings!$L$3:$L$34, MATCH(P34, Standings!$A$3:$A$34, 0))</f>
        <v/>
      </c>
      <c r="X34" s="157">
        <f>INDEX(Standings!$M$3:$M$34, MATCH(N34, Standings!$A$3:$A$34, 0)) - INDEX(Standings!$M$3:$M$34, MATCH(P34, Standings!$A$3:$A$34, 0))</f>
        <v/>
      </c>
      <c r="Y34" s="194">
        <f t="array" ref="Y34:Y34">IFERROR(AE34+(AL34-_DFactor)*AE34,"")</f>
        <v/>
      </c>
      <c r="Z34" s="157">
        <f>IFERROR(AF34+(AI34-_DFactor)*AF34,"")</f>
        <v/>
      </c>
      <c r="AC34" s="194">
        <f>VLOOKUP(M34&amp;N34,Schedule!A:F,6,0)</f>
        <v/>
      </c>
      <c r="AD34" s="194">
        <f>VLOOKUP(M34&amp;P34,Schedule!A:F,6,0)</f>
        <v/>
      </c>
      <c r="AE34" s="156">
        <f>VLOOKUP(N34,ProjPVT!B:I,8,0)*_Mag/VLOOKUP(P34,Standings!A:O,15,0)*H34*K34</f>
        <v/>
      </c>
      <c r="AF34" s="156">
        <f>VLOOKUP(P34,ProjPVT!B:I,8,0)*_Mag/VLOOKUP(N34,Standings!A:O,15,0)*J34*I34</f>
        <v/>
      </c>
      <c r="AG34" s="195">
        <f>VLOOKUP(N34,Matrix!AA:AC,3,0)</f>
        <v/>
      </c>
      <c r="AH34" s="195">
        <f>SUMIFS(Def!C:C,Def!F:F,AG34)</f>
        <v/>
      </c>
      <c r="AI34" s="156">
        <f>IFERROR(SUMIFS(Def!B:B,Def!F:F,AG34)/AH34,"")</f>
        <v/>
      </c>
      <c r="AJ34" s="195">
        <f>VLOOKUP(P34,Matrix!AA:AC,3,0)</f>
        <v/>
      </c>
      <c r="AK34" s="195">
        <f>SUMIFS(Def!C:C,Def!F:F,AJ34)</f>
        <v/>
      </c>
      <c r="AL34" s="156">
        <f>IFERROR(SUMIFS(Def!B:B,Def!F:F,AJ34)/AK34,"")</f>
        <v/>
      </c>
    </row>
    <row r="35" ht="14.4" customHeight="1" s="152">
      <c r="A35" s="157">
        <f>IF(F35="Yes",IFERROR(IF(AA35&gt;1,AA35/100,100/-AA35),""),-1)</f>
        <v/>
      </c>
      <c r="B35" s="157">
        <f>B34+1</f>
        <v/>
      </c>
      <c r="C35" s="157">
        <f>IF(Y35&gt;Z35,1,0)</f>
        <v/>
      </c>
      <c r="D35" s="157">
        <f>IF(AND(C35=1,F35="Yes"),"Yes",IF(AND(C35=0,F35="No"),"Yes","No"))</f>
        <v/>
      </c>
      <c r="E35" s="192">
        <f>IF((AC35+AB35)=AD35,"Push",IF((AC35+AB35)&gt;AD35,"Yes","No"))</f>
        <v/>
      </c>
      <c r="F35" s="192">
        <f>IF(AC35&gt;AD35,"Yes","No")</f>
        <v/>
      </c>
      <c r="G35" s="192">
        <f>IF((Y35+AB35)&gt;Z35,"Yes",IF((Y35+AB35)=Z35,"Push","No"))</f>
        <v/>
      </c>
      <c r="H35" s="157">
        <f>IF(O35="Home",VLOOKUP(N35,Matrix!A:S,19,0),1)</f>
        <v/>
      </c>
      <c r="I35" s="157">
        <f>IF(O35="Away",VLOOKUP(N35,Matrix!A:Z,20,0),1)</f>
        <v/>
      </c>
      <c r="J35" s="157">
        <f>IF(O35="Away",VLOOKUP(P35,Matrix!A:S,19,0),1)</f>
        <v/>
      </c>
      <c r="K35" s="157">
        <f>IF(O35="Home",VLOOKUP(P35,Matrix!A:Z,20,0),1)</f>
        <v/>
      </c>
      <c r="L35" s="156" t="n">
        <v>-0.548006430084325</v>
      </c>
      <c r="M35" s="179">
        <f>Schedule!B35</f>
        <v/>
      </c>
      <c r="N35" s="156">
        <f>Schedule!E35</f>
        <v/>
      </c>
      <c r="O35" s="156" t="inlineStr">
        <is>
          <t>Away</t>
        </is>
      </c>
      <c r="P35" s="157">
        <f>Schedule!H35</f>
        <v/>
      </c>
      <c r="Q35" s="157">
        <f>Schedule!C35</f>
        <v/>
      </c>
      <c r="R35" s="180">
        <f>Schedule!D35</f>
        <v/>
      </c>
      <c r="S35" s="181">
        <f>Schedule!J35</f>
        <v/>
      </c>
      <c r="T35" s="193">
        <f>Y35-Z35</f>
        <v/>
      </c>
      <c r="U35" s="182">
        <f>T35/Picks!$K$2</f>
        <v/>
      </c>
      <c r="V35" s="193">
        <f>INDEX(Standings!$T$3:$T$34, MATCH(N35, Standings!$A$3:$A$34, 0)) - INDEX(Standings!$T$3:$T$34, MATCH(P35, Standings!$A$3:$A$34, 0))</f>
        <v/>
      </c>
      <c r="W35" s="157">
        <f>INDEX(Standings!$L$3:$L$34, MATCH(N35, Standings!$A$3:$A$34, 0)) - INDEX(Standings!$L$3:$L$34, MATCH(P35, Standings!$A$3:$A$34, 0))</f>
        <v/>
      </c>
      <c r="X35" s="157">
        <f>INDEX(Standings!$M$3:$M$34, MATCH(N35, Standings!$A$3:$A$34, 0)) - INDEX(Standings!$M$3:$M$34, MATCH(P35, Standings!$A$3:$A$34, 0))</f>
        <v/>
      </c>
      <c r="Y35" s="194">
        <f t="array" ref="Y35:Y35">IFERROR(AE35+(AL35-_DFactor)*AE35,"")</f>
        <v/>
      </c>
      <c r="Z35" s="157">
        <f>IFERROR(AF35+(AI35-_DFactor)*AF35,"")</f>
        <v/>
      </c>
      <c r="AC35" s="194">
        <f>VLOOKUP(M35&amp;N35,Schedule!A:F,6,0)</f>
        <v/>
      </c>
      <c r="AD35" s="194">
        <f>VLOOKUP(M35&amp;P35,Schedule!A:F,6,0)</f>
        <v/>
      </c>
      <c r="AE35" s="156">
        <f>VLOOKUP(N35,ProjPVT!B:I,8,0)*_Mag/VLOOKUP(P35,Standings!A:O,15,0)*H35*K35</f>
        <v/>
      </c>
      <c r="AF35" s="156">
        <f>VLOOKUP(P35,ProjPVT!B:I,8,0)*_Mag/VLOOKUP(N35,Standings!A:O,15,0)*J35*I35</f>
        <v/>
      </c>
      <c r="AG35" s="195">
        <f>VLOOKUP(N35,Matrix!AA:AC,3,0)</f>
        <v/>
      </c>
      <c r="AH35" s="195">
        <f>SUMIFS(Def!C:C,Def!F:F,AG35)</f>
        <v/>
      </c>
      <c r="AI35" s="156">
        <f>IFERROR(SUMIFS(Def!B:B,Def!F:F,AG35)/AH35,"")</f>
        <v/>
      </c>
      <c r="AJ35" s="195">
        <f>VLOOKUP(P35,Matrix!AA:AC,3,0)</f>
        <v/>
      </c>
      <c r="AK35" s="195">
        <f>SUMIFS(Def!C:C,Def!F:F,AJ35)</f>
        <v/>
      </c>
      <c r="AL35" s="156">
        <f>IFERROR(SUMIFS(Def!B:B,Def!F:F,AJ35)/AK35,"")</f>
        <v/>
      </c>
    </row>
    <row r="36" ht="14.4" customHeight="1" s="152">
      <c r="A36" s="157">
        <f>IF(F36="Yes",IFERROR(IF(AA36&gt;1,AA36/100,100/-AA36),""),-1)</f>
        <v/>
      </c>
      <c r="B36" s="157">
        <f>B35+1</f>
        <v/>
      </c>
      <c r="C36" s="157">
        <f>IF(Y36&gt;Z36,1,0)</f>
        <v/>
      </c>
      <c r="D36" s="157">
        <f>IF(AND(C36=1,F36="Yes"),"Yes",IF(AND(C36=0,F36="No"),"Yes","No"))</f>
        <v/>
      </c>
      <c r="E36" s="192">
        <f>IF((AC36+AB36)=AD36,"Push",IF((AC36+AB36)&gt;AD36,"Yes","No"))</f>
        <v/>
      </c>
      <c r="F36" s="192">
        <f>IF(AC36&gt;AD36,"Yes","No")</f>
        <v/>
      </c>
      <c r="G36" s="192">
        <f>IF((Y36+AB36)&gt;Z36,"Yes",IF((Y36+AB36)=Z36,"Push","No"))</f>
        <v/>
      </c>
      <c r="H36" s="157">
        <f>IF(O36="Home",VLOOKUP(N36,Matrix!A:S,19,0),1)</f>
        <v/>
      </c>
      <c r="I36" s="157">
        <f>IF(O36="Away",VLOOKUP(N36,Matrix!A:Z,20,0),1)</f>
        <v/>
      </c>
      <c r="J36" s="157">
        <f>IF(O36="Away",VLOOKUP(P36,Matrix!A:S,19,0),1)</f>
        <v/>
      </c>
      <c r="K36" s="157">
        <f>IF(O36="Home",VLOOKUP(P36,Matrix!A:Z,20,0),1)</f>
        <v/>
      </c>
      <c r="L36" s="156" t="n">
        <v>-0.513806718426791</v>
      </c>
      <c r="M36" s="179">
        <f>Schedule!B36</f>
        <v/>
      </c>
      <c r="N36" s="156">
        <f>Schedule!E36</f>
        <v/>
      </c>
      <c r="O36" s="156" t="inlineStr">
        <is>
          <t>Away</t>
        </is>
      </c>
      <c r="P36" s="157">
        <f>Schedule!H36</f>
        <v/>
      </c>
      <c r="Q36" s="157">
        <f>Schedule!C36</f>
        <v/>
      </c>
      <c r="R36" s="180">
        <f>Schedule!D36</f>
        <v/>
      </c>
      <c r="S36" s="181">
        <f>Schedule!J36</f>
        <v/>
      </c>
      <c r="T36" s="193">
        <f>Y36-Z36</f>
        <v/>
      </c>
      <c r="U36" s="182">
        <f>T36/Picks!$K$2</f>
        <v/>
      </c>
      <c r="V36" s="193">
        <f>INDEX(Standings!$T$3:$T$34, MATCH(N36, Standings!$A$3:$A$34, 0)) - INDEX(Standings!$T$3:$T$34, MATCH(P36, Standings!$A$3:$A$34, 0))</f>
        <v/>
      </c>
      <c r="W36" s="157">
        <f>INDEX(Standings!$L$3:$L$34, MATCH(N36, Standings!$A$3:$A$34, 0)) - INDEX(Standings!$L$3:$L$34, MATCH(P36, Standings!$A$3:$A$34, 0))</f>
        <v/>
      </c>
      <c r="X36" s="157">
        <f>INDEX(Standings!$M$3:$M$34, MATCH(N36, Standings!$A$3:$A$34, 0)) - INDEX(Standings!$M$3:$M$34, MATCH(P36, Standings!$A$3:$A$34, 0))</f>
        <v/>
      </c>
      <c r="Y36" s="194">
        <f t="array" ref="Y36:Y36">IFERROR(AE36+(AL36-_DFactor)*AE36,"")</f>
        <v/>
      </c>
      <c r="Z36" s="157">
        <f>IFERROR(AF36+(AI36-_DFactor)*AF36,"")</f>
        <v/>
      </c>
      <c r="AC36" s="194">
        <f>VLOOKUP(M36&amp;N36,Schedule!A:F,6,0)</f>
        <v/>
      </c>
      <c r="AD36" s="194">
        <f>VLOOKUP(M36&amp;P36,Schedule!A:F,6,0)</f>
        <v/>
      </c>
      <c r="AE36" s="156">
        <f>VLOOKUP(N36,ProjPVT!B:I,8,0)*_Mag/VLOOKUP(P36,Standings!A:O,15,0)*H36*K36</f>
        <v/>
      </c>
      <c r="AF36" s="156">
        <f>VLOOKUP(P36,ProjPVT!B:I,8,0)*_Mag/VLOOKUP(N36,Standings!A:O,15,0)*J36*I36</f>
        <v/>
      </c>
      <c r="AG36" s="195">
        <f>VLOOKUP(N36,Matrix!AA:AC,3,0)</f>
        <v/>
      </c>
      <c r="AH36" s="195">
        <f>SUMIFS(Def!C:C,Def!F:F,AG36)</f>
        <v/>
      </c>
      <c r="AI36" s="156">
        <f>IFERROR(SUMIFS(Def!B:B,Def!F:F,AG36)/AH36,"")</f>
        <v/>
      </c>
      <c r="AJ36" s="195">
        <f>VLOOKUP(P36,Matrix!AA:AC,3,0)</f>
        <v/>
      </c>
      <c r="AK36" s="195">
        <f>SUMIFS(Def!C:C,Def!F:F,AJ36)</f>
        <v/>
      </c>
      <c r="AL36" s="156">
        <f>IFERROR(SUMIFS(Def!B:B,Def!F:F,AJ36)/AK36,"")</f>
        <v/>
      </c>
    </row>
    <row r="37" ht="14.4" customHeight="1" s="152">
      <c r="A37" s="157">
        <f>IF(F37="Yes",IFERROR(IF(AA37&gt;1,AA37/100,100/-AA37),""),-1)</f>
        <v/>
      </c>
      <c r="B37" s="157">
        <f>B36+1</f>
        <v/>
      </c>
      <c r="C37" s="157">
        <f>IF(Y37&gt;Z37,1,0)</f>
        <v/>
      </c>
      <c r="D37" s="157">
        <f>IF(AND(C37=1,F37="Yes"),"Yes",IF(AND(C37=0,F37="No"),"Yes","No"))</f>
        <v/>
      </c>
      <c r="E37" s="192">
        <f>IF((AC37+AB37)=AD37,"Push",IF((AC37+AB37)&gt;AD37,"Yes","No"))</f>
        <v/>
      </c>
      <c r="F37" s="192">
        <f>IF(AC37&gt;AD37,"Yes","No")</f>
        <v/>
      </c>
      <c r="G37" s="192">
        <f>IF((Y37+AB37)&gt;Z37,"Yes",IF((Y37+AB37)=Z37,"Push","No"))</f>
        <v/>
      </c>
      <c r="H37" s="157">
        <f>IF(O37="Home",VLOOKUP(N37,Matrix!A:S,19,0),1)</f>
        <v/>
      </c>
      <c r="I37" s="157">
        <f>IF(O37="Away",VLOOKUP(N37,Matrix!A:Z,20,0),1)</f>
        <v/>
      </c>
      <c r="J37" s="157">
        <f>IF(O37="Away",VLOOKUP(P37,Matrix!A:S,19,0),1)</f>
        <v/>
      </c>
      <c r="K37" s="157">
        <f>IF(O37="Home",VLOOKUP(P37,Matrix!A:Z,20,0),1)</f>
        <v/>
      </c>
      <c r="L37" s="156" t="n">
        <v>-0.440303643841891</v>
      </c>
      <c r="M37" s="179">
        <f>Schedule!B37</f>
        <v/>
      </c>
      <c r="N37" s="156">
        <f>Schedule!E37</f>
        <v/>
      </c>
      <c r="O37" s="156" t="inlineStr">
        <is>
          <t>Away</t>
        </is>
      </c>
      <c r="P37" s="157">
        <f>Schedule!H37</f>
        <v/>
      </c>
      <c r="Q37" s="157">
        <f>Schedule!C37</f>
        <v/>
      </c>
      <c r="R37" s="180">
        <f>Schedule!D37</f>
        <v/>
      </c>
      <c r="S37" s="181">
        <f>Schedule!J37</f>
        <v/>
      </c>
      <c r="T37" s="193">
        <f>Y37-Z37</f>
        <v/>
      </c>
      <c r="U37" s="182">
        <f>T37/Picks!$K$2</f>
        <v/>
      </c>
      <c r="V37" s="193">
        <f>INDEX(Standings!$T$3:$T$34, MATCH(N37, Standings!$A$3:$A$34, 0)) - INDEX(Standings!$T$3:$T$34, MATCH(P37, Standings!$A$3:$A$34, 0))</f>
        <v/>
      </c>
      <c r="W37" s="157">
        <f>INDEX(Standings!$L$3:$L$34, MATCH(N37, Standings!$A$3:$A$34, 0)) - INDEX(Standings!$L$3:$L$34, MATCH(P37, Standings!$A$3:$A$34, 0))</f>
        <v/>
      </c>
      <c r="X37" s="157">
        <f>INDEX(Standings!$M$3:$M$34, MATCH(N37, Standings!$A$3:$A$34, 0)) - INDEX(Standings!$M$3:$M$34, MATCH(P37, Standings!$A$3:$A$34, 0))</f>
        <v/>
      </c>
      <c r="Y37" s="194">
        <f t="array" ref="Y37:Y37">IFERROR(AE37+(AL37-_DFactor)*AE37,"")</f>
        <v/>
      </c>
      <c r="Z37" s="157">
        <f>IFERROR(AF37+(AI37-_DFactor)*AF37,"")</f>
        <v/>
      </c>
      <c r="AC37" s="194">
        <f>VLOOKUP(M37&amp;N37,Schedule!A:F,6,0)</f>
        <v/>
      </c>
      <c r="AD37" s="194">
        <f>VLOOKUP(M37&amp;P37,Schedule!A:F,6,0)</f>
        <v/>
      </c>
      <c r="AE37" s="156">
        <f>VLOOKUP(N37,ProjPVT!B:I,8,0)*_Mag/VLOOKUP(P37,Standings!A:O,15,0)*H37*K37</f>
        <v/>
      </c>
      <c r="AF37" s="156">
        <f>VLOOKUP(P37,ProjPVT!B:I,8,0)*_Mag/VLOOKUP(N37,Standings!A:O,15,0)*J37*I37</f>
        <v/>
      </c>
      <c r="AG37" s="195">
        <f>VLOOKUP(N37,Matrix!AA:AC,3,0)</f>
        <v/>
      </c>
      <c r="AH37" s="195">
        <f>SUMIFS(Def!C:C,Def!F:F,AG37)</f>
        <v/>
      </c>
      <c r="AI37" s="156">
        <f>IFERROR(SUMIFS(Def!B:B,Def!F:F,AG37)/AH37,"")</f>
        <v/>
      </c>
      <c r="AJ37" s="195">
        <f>VLOOKUP(P37,Matrix!AA:AC,3,0)</f>
        <v/>
      </c>
      <c r="AK37" s="195">
        <f>SUMIFS(Def!C:C,Def!F:F,AJ37)</f>
        <v/>
      </c>
      <c r="AL37" s="156">
        <f>IFERROR(SUMIFS(Def!B:B,Def!F:F,AJ37)/AK37,"")</f>
        <v/>
      </c>
    </row>
    <row r="38" ht="14.4" customHeight="1" s="152">
      <c r="A38" s="157">
        <f>IF(F38="Yes",IFERROR(IF(AA38&gt;1,AA38/100,100/-AA38),""),-1)</f>
        <v/>
      </c>
      <c r="B38" s="157">
        <f>B37+1</f>
        <v/>
      </c>
      <c r="C38" s="157">
        <f>IF(Y38&gt;Z38,1,0)</f>
        <v/>
      </c>
      <c r="D38" s="157">
        <f>IF(AND(C38=1,F38="Yes"),"Yes",IF(AND(C38=0,F38="No"),"Yes","No"))</f>
        <v/>
      </c>
      <c r="E38" s="192">
        <f>IF((AC38+AB38)=AD38,"Push",IF((AC38+AB38)&gt;AD38,"Yes","No"))</f>
        <v/>
      </c>
      <c r="F38" s="192">
        <f>IF(AC38&gt;AD38,"Yes","No")</f>
        <v/>
      </c>
      <c r="G38" s="192">
        <f>IF((Y38+AB38)&gt;Z38,"Yes",IF((Y38+AB38)=Z38,"Push","No"))</f>
        <v/>
      </c>
      <c r="H38" s="157">
        <f>IF(O38="Home",VLOOKUP(N38,Matrix!A:S,19,0),1)</f>
        <v/>
      </c>
      <c r="I38" s="157">
        <f>IF(O38="Away",VLOOKUP(N38,Matrix!A:Z,20,0),1)</f>
        <v/>
      </c>
      <c r="J38" s="157">
        <f>IF(O38="Away",VLOOKUP(P38,Matrix!A:S,19,0),1)</f>
        <v/>
      </c>
      <c r="K38" s="157">
        <f>IF(O38="Home",VLOOKUP(P38,Matrix!A:Z,20,0),1)</f>
        <v/>
      </c>
      <c r="L38" s="156" t="n">
        <v>-0.343780612127861</v>
      </c>
      <c r="M38" s="179">
        <f>Schedule!B38</f>
        <v/>
      </c>
      <c r="N38" s="156">
        <f>Schedule!E38</f>
        <v/>
      </c>
      <c r="O38" s="156" t="inlineStr">
        <is>
          <t>Home</t>
        </is>
      </c>
      <c r="P38" s="157">
        <f>Schedule!H38</f>
        <v/>
      </c>
      <c r="Q38" s="157">
        <f>Schedule!C38</f>
        <v/>
      </c>
      <c r="R38" s="180">
        <f>Schedule!D38</f>
        <v/>
      </c>
      <c r="S38" s="181">
        <f>Schedule!J38</f>
        <v/>
      </c>
      <c r="T38" s="193">
        <f>Y38-Z38</f>
        <v/>
      </c>
      <c r="U38" s="182">
        <f>T38/Picks!$K$2</f>
        <v/>
      </c>
      <c r="V38" s="193">
        <f>INDEX(Standings!$T$3:$T$34, MATCH(N38, Standings!$A$3:$A$34, 0)) - INDEX(Standings!$T$3:$T$34, MATCH(P38, Standings!$A$3:$A$34, 0))</f>
        <v/>
      </c>
      <c r="W38" s="157">
        <f>INDEX(Standings!$L$3:$L$34, MATCH(N38, Standings!$A$3:$A$34, 0)) - INDEX(Standings!$L$3:$L$34, MATCH(P38, Standings!$A$3:$A$34, 0))</f>
        <v/>
      </c>
      <c r="X38" s="157">
        <f>INDEX(Standings!$M$3:$M$34, MATCH(N38, Standings!$A$3:$A$34, 0)) - INDEX(Standings!$M$3:$M$34, MATCH(P38, Standings!$A$3:$A$34, 0))</f>
        <v/>
      </c>
      <c r="Y38" s="194">
        <f t="array" ref="Y38:Y38">IFERROR(AE38+(AL38-_DFactor)*AE38,"")</f>
        <v/>
      </c>
      <c r="Z38" s="157">
        <f>IFERROR(AF38+(AI38-_DFactor)*AF38,"")</f>
        <v/>
      </c>
      <c r="AC38" s="194">
        <f>VLOOKUP(M38&amp;N38,Schedule!A:F,6,0)</f>
        <v/>
      </c>
      <c r="AD38" s="194">
        <f>VLOOKUP(M38&amp;P38,Schedule!A:F,6,0)</f>
        <v/>
      </c>
      <c r="AE38" s="156">
        <f>VLOOKUP(N38,ProjPVT!B:I,8,0)*_Mag/VLOOKUP(P38,Standings!A:O,15,0)*H38*K38</f>
        <v/>
      </c>
      <c r="AF38" s="156">
        <f>VLOOKUP(P38,ProjPVT!B:I,8,0)*_Mag/VLOOKUP(N38,Standings!A:O,15,0)*J38*I38</f>
        <v/>
      </c>
      <c r="AG38" s="195">
        <f>VLOOKUP(N38,Matrix!AA:AC,3,0)</f>
        <v/>
      </c>
      <c r="AH38" s="195">
        <f>SUMIFS(Def!C:C,Def!F:F,AG38)</f>
        <v/>
      </c>
      <c r="AI38" s="156">
        <f>IFERROR(SUMIFS(Def!B:B,Def!F:F,AG38)/AH38,"")</f>
        <v/>
      </c>
      <c r="AJ38" s="195">
        <f>VLOOKUP(P38,Matrix!AA:AC,3,0)</f>
        <v/>
      </c>
      <c r="AK38" s="195">
        <f>SUMIFS(Def!C:C,Def!F:F,AJ38)</f>
        <v/>
      </c>
      <c r="AL38" s="156">
        <f>IFERROR(SUMIFS(Def!B:B,Def!F:F,AJ38)/AK38,"")</f>
        <v/>
      </c>
    </row>
    <row r="39" ht="14.4" customHeight="1" s="152">
      <c r="A39" s="157">
        <f>IF(F39="Yes",IFERROR(IF(AA39&gt;1,AA39/100,100/-AA39),""),-1)</f>
        <v/>
      </c>
      <c r="B39" s="157">
        <f>B38+1</f>
        <v/>
      </c>
      <c r="C39" s="157">
        <f>IF(Y39&gt;Z39,1,0)</f>
        <v/>
      </c>
      <c r="D39" s="157">
        <f>IF(AND(C39=1,F39="Yes"),"Yes",IF(AND(C39=0,F39="No"),"Yes","No"))</f>
        <v/>
      </c>
      <c r="E39" s="192">
        <f>IF((AC39+AB39)=AD39,"Push",IF((AC39+AB39)&gt;AD39,"Yes","No"))</f>
        <v/>
      </c>
      <c r="F39" s="192">
        <f>IF(AC39&gt;AD39,"Yes","No")</f>
        <v/>
      </c>
      <c r="G39" s="192">
        <f>IF((Y39+AB39)&gt;Z39,"Yes",IF((Y39+AB39)=Z39,"Push","No"))</f>
        <v/>
      </c>
      <c r="H39" s="157">
        <f>IF(O39="Home",VLOOKUP(N39,Matrix!A:S,19,0),1)</f>
        <v/>
      </c>
      <c r="I39" s="157">
        <f>IF(O39="Away",VLOOKUP(N39,Matrix!A:Z,20,0),1)</f>
        <v/>
      </c>
      <c r="J39" s="157">
        <f>IF(O39="Away",VLOOKUP(P39,Matrix!A:S,19,0),1)</f>
        <v/>
      </c>
      <c r="K39" s="157">
        <f>IF(O39="Home",VLOOKUP(P39,Matrix!A:Z,20,0),1)</f>
        <v/>
      </c>
      <c r="L39" s="156" t="n">
        <v>-0.332137721850562</v>
      </c>
      <c r="M39" s="179">
        <f>Schedule!B39</f>
        <v/>
      </c>
      <c r="N39" s="156">
        <f>Schedule!E39</f>
        <v/>
      </c>
      <c r="O39" s="156" t="inlineStr">
        <is>
          <t>Home</t>
        </is>
      </c>
      <c r="P39" s="157">
        <f>Schedule!H39</f>
        <v/>
      </c>
      <c r="Q39" s="157">
        <f>Schedule!C39</f>
        <v/>
      </c>
      <c r="R39" s="180">
        <f>Schedule!D39</f>
        <v/>
      </c>
      <c r="S39" s="181">
        <f>Schedule!J39</f>
        <v/>
      </c>
      <c r="T39" s="193">
        <f>Y39-Z39</f>
        <v/>
      </c>
      <c r="U39" s="182">
        <f>T39/Picks!$K$2</f>
        <v/>
      </c>
      <c r="V39" s="193">
        <f>INDEX(Standings!$T$3:$T$34, MATCH(N39, Standings!$A$3:$A$34, 0)) - INDEX(Standings!$T$3:$T$34, MATCH(P39, Standings!$A$3:$A$34, 0))</f>
        <v/>
      </c>
      <c r="W39" s="157">
        <f>INDEX(Standings!$L$3:$L$34, MATCH(N39, Standings!$A$3:$A$34, 0)) - INDEX(Standings!$L$3:$L$34, MATCH(P39, Standings!$A$3:$A$34, 0))</f>
        <v/>
      </c>
      <c r="X39" s="157">
        <f>INDEX(Standings!$M$3:$M$34, MATCH(N39, Standings!$A$3:$A$34, 0)) - INDEX(Standings!$M$3:$M$34, MATCH(P39, Standings!$A$3:$A$34, 0))</f>
        <v/>
      </c>
      <c r="Y39" s="194">
        <f t="array" ref="Y39:Y39">IFERROR(AE39+(AL39-_DFactor)*AE39,"")</f>
        <v/>
      </c>
      <c r="Z39" s="157">
        <f>IFERROR(AF39+(AI39-_DFactor)*AF39,"")</f>
        <v/>
      </c>
      <c r="AC39" s="194">
        <f>VLOOKUP(M39&amp;N39,Schedule!A:F,6,0)</f>
        <v/>
      </c>
      <c r="AD39" s="194">
        <f>VLOOKUP(M39&amp;P39,Schedule!A:F,6,0)</f>
        <v/>
      </c>
      <c r="AE39" s="156">
        <f>VLOOKUP(N39,ProjPVT!B:I,8,0)*_Mag/VLOOKUP(P39,Standings!A:O,15,0)*H39*K39</f>
        <v/>
      </c>
      <c r="AF39" s="156">
        <f>VLOOKUP(P39,ProjPVT!B:I,8,0)*_Mag/VLOOKUP(N39,Standings!A:O,15,0)*J39*I39</f>
        <v/>
      </c>
      <c r="AG39" s="195">
        <f>VLOOKUP(N39,Matrix!AA:AC,3,0)</f>
        <v/>
      </c>
      <c r="AH39" s="195">
        <f>SUMIFS(Def!C:C,Def!F:F,AG39)</f>
        <v/>
      </c>
      <c r="AI39" s="156">
        <f>IFERROR(SUMIFS(Def!B:B,Def!F:F,AG39)/AH39,"")</f>
        <v/>
      </c>
      <c r="AJ39" s="195">
        <f>VLOOKUP(P39,Matrix!AA:AC,3,0)</f>
        <v/>
      </c>
      <c r="AK39" s="195">
        <f>SUMIFS(Def!C:C,Def!F:F,AJ39)</f>
        <v/>
      </c>
      <c r="AL39" s="156">
        <f>IFERROR(SUMIFS(Def!B:B,Def!F:F,AJ39)/AK39,"")</f>
        <v/>
      </c>
    </row>
    <row r="40" ht="14.4" customHeight="1" s="152">
      <c r="A40" s="157">
        <f>IF(F40="Yes",IFERROR(IF(AA40&gt;1,AA40/100,100/-AA40),""),-1)</f>
        <v/>
      </c>
      <c r="B40" s="157">
        <f>B39+1</f>
        <v/>
      </c>
      <c r="C40" s="157">
        <f>IF(Y40&gt;Z40,1,0)</f>
        <v/>
      </c>
      <c r="D40" s="157">
        <f>IF(AND(C40=1,F40="Yes"),"Yes",IF(AND(C40=0,F40="No"),"Yes","No"))</f>
        <v/>
      </c>
      <c r="E40" s="192">
        <f>IF((AC40+AB40)=AD40,"Push",IF((AC40+AB40)&gt;AD40,"Yes","No"))</f>
        <v/>
      </c>
      <c r="F40" s="192">
        <f>IF(AC40&gt;AD40,"Yes","No")</f>
        <v/>
      </c>
      <c r="G40" s="192">
        <f>IF((Y40+AB40)&gt;Z40,"Yes",IF((Y40+AB40)=Z40,"Push","No"))</f>
        <v/>
      </c>
      <c r="H40" s="157">
        <f>IF(O40="Home",VLOOKUP(N40,Matrix!A:S,19,0),1)</f>
        <v/>
      </c>
      <c r="I40" s="157">
        <f>IF(O40="Away",VLOOKUP(N40,Matrix!A:Z,20,0),1)</f>
        <v/>
      </c>
      <c r="J40" s="157">
        <f>IF(O40="Away",VLOOKUP(P40,Matrix!A:S,19,0),1)</f>
        <v/>
      </c>
      <c r="K40" s="157">
        <f>IF(O40="Home",VLOOKUP(P40,Matrix!A:Z,20,0),1)</f>
        <v/>
      </c>
      <c r="L40" s="156" t="n">
        <v>-0.312277173610274</v>
      </c>
      <c r="M40" s="179">
        <f>Schedule!B40</f>
        <v/>
      </c>
      <c r="N40" s="156">
        <f>Schedule!E40</f>
        <v/>
      </c>
      <c r="O40" s="156" t="inlineStr">
        <is>
          <t>Away</t>
        </is>
      </c>
      <c r="P40" s="157">
        <f>Schedule!H40</f>
        <v/>
      </c>
      <c r="Q40" s="157">
        <f>Schedule!C40</f>
        <v/>
      </c>
      <c r="R40" s="180">
        <f>Schedule!D40</f>
        <v/>
      </c>
      <c r="S40" s="181">
        <f>Schedule!J40</f>
        <v/>
      </c>
      <c r="T40" s="193">
        <f>Y40-Z40</f>
        <v/>
      </c>
      <c r="U40" s="182">
        <f>T40/Picks!$K$2</f>
        <v/>
      </c>
      <c r="V40" s="193">
        <f>INDEX(Standings!$T$3:$T$34, MATCH(N40, Standings!$A$3:$A$34, 0)) - INDEX(Standings!$T$3:$T$34, MATCH(P40, Standings!$A$3:$A$34, 0))</f>
        <v/>
      </c>
      <c r="W40" s="157">
        <f>INDEX(Standings!$L$3:$L$34, MATCH(N40, Standings!$A$3:$A$34, 0)) - INDEX(Standings!$L$3:$L$34, MATCH(P40, Standings!$A$3:$A$34, 0))</f>
        <v/>
      </c>
      <c r="X40" s="157">
        <f>INDEX(Standings!$M$3:$M$34, MATCH(N40, Standings!$A$3:$A$34, 0)) - INDEX(Standings!$M$3:$M$34, MATCH(P40, Standings!$A$3:$A$34, 0))</f>
        <v/>
      </c>
      <c r="Y40" s="194">
        <f t="array" ref="Y40:Y40">IFERROR(AE40+(AL40-_DFactor)*AE40,"")</f>
        <v/>
      </c>
      <c r="Z40" s="157">
        <f>IFERROR(AF40+(AI40-_DFactor)*AF40,"")</f>
        <v/>
      </c>
      <c r="AC40" s="194">
        <f>VLOOKUP(M40&amp;N40,Schedule!A:F,6,0)</f>
        <v/>
      </c>
      <c r="AD40" s="194">
        <f>VLOOKUP(M40&amp;P40,Schedule!A:F,6,0)</f>
        <v/>
      </c>
      <c r="AE40" s="156">
        <f>VLOOKUP(N40,ProjPVT!B:I,8,0)*_Mag/VLOOKUP(P40,Standings!A:O,15,0)*H40*K40</f>
        <v/>
      </c>
      <c r="AF40" s="156">
        <f>VLOOKUP(P40,ProjPVT!B:I,8,0)*_Mag/VLOOKUP(N40,Standings!A:O,15,0)*J40*I40</f>
        <v/>
      </c>
      <c r="AG40" s="195">
        <f>VLOOKUP(N40,Matrix!AA:AC,3,0)</f>
        <v/>
      </c>
      <c r="AH40" s="195">
        <f>SUMIFS(Def!C:C,Def!F:F,AG40)</f>
        <v/>
      </c>
      <c r="AI40" s="156">
        <f>IFERROR(SUMIFS(Def!B:B,Def!F:F,AG40)/AH40,"")</f>
        <v/>
      </c>
      <c r="AJ40" s="195">
        <f>VLOOKUP(P40,Matrix!AA:AC,3,0)</f>
        <v/>
      </c>
      <c r="AK40" s="195">
        <f>SUMIFS(Def!C:C,Def!F:F,AJ40)</f>
        <v/>
      </c>
      <c r="AL40" s="156">
        <f>IFERROR(SUMIFS(Def!B:B,Def!F:F,AJ40)/AK40,"")</f>
        <v/>
      </c>
    </row>
    <row r="41" ht="14.4" customHeight="1" s="152">
      <c r="A41" s="157">
        <f>IF(F41="Yes",IFERROR(IF(AA41&gt;1,AA41/100,100/-AA41),""),-1)</f>
        <v/>
      </c>
      <c r="B41" s="157">
        <f>B40+1</f>
        <v/>
      </c>
      <c r="C41" s="157">
        <f>IF(Y41&gt;Z41,1,0)</f>
        <v/>
      </c>
      <c r="D41" s="157">
        <f>IF(AND(C41=1,F41="Yes"),"Yes",IF(AND(C41=0,F41="No"),"Yes","No"))</f>
        <v/>
      </c>
      <c r="E41" s="192">
        <f>IF((AC41+AB41)=AD41,"Push",IF((AC41+AB41)&gt;AD41,"Yes","No"))</f>
        <v/>
      </c>
      <c r="F41" s="192">
        <f>IF(AC41&gt;AD41,"Yes","No")</f>
        <v/>
      </c>
      <c r="G41" s="192">
        <f>IF((Y41+AB41)&gt;Z41,"Yes",IF((Y41+AB41)=Z41,"Push","No"))</f>
        <v/>
      </c>
      <c r="H41" s="157">
        <f>IF(O41="Home",VLOOKUP(N41,Matrix!A:S,19,0),1)</f>
        <v/>
      </c>
      <c r="I41" s="157">
        <f>IF(O41="Away",VLOOKUP(N41,Matrix!A:Z,20,0),1)</f>
        <v/>
      </c>
      <c r="J41" s="157">
        <f>IF(O41="Away",VLOOKUP(P41,Matrix!A:S,19,0),1)</f>
        <v/>
      </c>
      <c r="K41" s="157">
        <f>IF(O41="Home",VLOOKUP(P41,Matrix!A:Z,20,0),1)</f>
        <v/>
      </c>
      <c r="L41" s="156" t="n">
        <v>-0.22082516812088</v>
      </c>
      <c r="M41" s="179">
        <f>Schedule!B41</f>
        <v/>
      </c>
      <c r="N41" s="156">
        <f>Schedule!E41</f>
        <v/>
      </c>
      <c r="O41" s="156" t="inlineStr">
        <is>
          <t>Home</t>
        </is>
      </c>
      <c r="P41" s="157">
        <f>Schedule!H41</f>
        <v/>
      </c>
      <c r="Q41" s="157">
        <f>Schedule!C41</f>
        <v/>
      </c>
      <c r="R41" s="180">
        <f>Schedule!D41</f>
        <v/>
      </c>
      <c r="S41" s="181">
        <f>Schedule!J41</f>
        <v/>
      </c>
      <c r="T41" s="193">
        <f>Y41-Z41</f>
        <v/>
      </c>
      <c r="U41" s="182">
        <f>T41/Picks!$K$2</f>
        <v/>
      </c>
      <c r="V41" s="193">
        <f>INDEX(Standings!$T$3:$T$34, MATCH(N41, Standings!$A$3:$A$34, 0)) - INDEX(Standings!$T$3:$T$34, MATCH(P41, Standings!$A$3:$A$34, 0))</f>
        <v/>
      </c>
      <c r="W41" s="157">
        <f>INDEX(Standings!$L$3:$L$34, MATCH(N41, Standings!$A$3:$A$34, 0)) - INDEX(Standings!$L$3:$L$34, MATCH(P41, Standings!$A$3:$A$34, 0))</f>
        <v/>
      </c>
      <c r="X41" s="157">
        <f>INDEX(Standings!$M$3:$M$34, MATCH(N41, Standings!$A$3:$A$34, 0)) - INDEX(Standings!$M$3:$M$34, MATCH(P41, Standings!$A$3:$A$34, 0))</f>
        <v/>
      </c>
      <c r="Y41" s="194">
        <f t="array" ref="Y41:Y41">IFERROR(AE41+(AL41-_DFactor)*AE41,"")</f>
        <v/>
      </c>
      <c r="Z41" s="157">
        <f>IFERROR(AF41+(AI41-_DFactor)*AF41,"")</f>
        <v/>
      </c>
      <c r="AC41" s="194">
        <f>VLOOKUP(M41&amp;N41,Schedule!A:F,6,0)</f>
        <v/>
      </c>
      <c r="AD41" s="194">
        <f>VLOOKUP(M41&amp;P41,Schedule!A:F,6,0)</f>
        <v/>
      </c>
      <c r="AE41" s="156">
        <f>VLOOKUP(N41,ProjPVT!B:I,8,0)*_Mag/VLOOKUP(P41,Standings!A:O,15,0)*H41*K41</f>
        <v/>
      </c>
      <c r="AF41" s="156">
        <f>VLOOKUP(P41,ProjPVT!B:I,8,0)*_Mag/VLOOKUP(N41,Standings!A:O,15,0)*J41*I41</f>
        <v/>
      </c>
      <c r="AG41" s="195">
        <f>VLOOKUP(N41,Matrix!AA:AC,3,0)</f>
        <v/>
      </c>
      <c r="AH41" s="195">
        <f>SUMIFS(Def!C:C,Def!F:F,AG41)</f>
        <v/>
      </c>
      <c r="AI41" s="156">
        <f>IFERROR(SUMIFS(Def!B:B,Def!F:F,AG41)/AH41,"")</f>
        <v/>
      </c>
      <c r="AJ41" s="195">
        <f>VLOOKUP(P41,Matrix!AA:AC,3,0)</f>
        <v/>
      </c>
      <c r="AK41" s="195">
        <f>SUMIFS(Def!C:C,Def!F:F,AJ41)</f>
        <v/>
      </c>
      <c r="AL41" s="156">
        <f>IFERROR(SUMIFS(Def!B:B,Def!F:F,AJ41)/AK41,"")</f>
        <v/>
      </c>
    </row>
    <row r="42" ht="14.4" customHeight="1" s="152">
      <c r="A42" s="157">
        <f>IF(F42="Yes",IFERROR(IF(AA42&gt;1,AA42/100,100/-AA42),""),-1)</f>
        <v/>
      </c>
      <c r="B42" s="157">
        <f>B41+1</f>
        <v/>
      </c>
      <c r="C42" s="157">
        <f>IF(Y42&gt;Z42,1,0)</f>
        <v/>
      </c>
      <c r="D42" s="157">
        <f>IF(AND(C42=1,F42="Yes"),"Yes",IF(AND(C42=0,F42="No"),"Yes","No"))</f>
        <v/>
      </c>
      <c r="E42" s="192">
        <f>IF((AC42+AB42)=AD42,"Push",IF((AC42+AB42)&gt;AD42,"Yes","No"))</f>
        <v/>
      </c>
      <c r="F42" s="192">
        <f>IF(AC42&gt;AD42,"Yes","No")</f>
        <v/>
      </c>
      <c r="G42" s="192">
        <f>IF((Y42+AB42)&gt;Z42,"Yes",IF((Y42+AB42)=Z42,"Push","No"))</f>
        <v/>
      </c>
      <c r="H42" s="157">
        <f>IF(O42="Home",VLOOKUP(N42,Matrix!A:S,19,0),1)</f>
        <v/>
      </c>
      <c r="I42" s="157">
        <f>IF(O42="Away",VLOOKUP(N42,Matrix!A:Z,20,0),1)</f>
        <v/>
      </c>
      <c r="J42" s="157">
        <f>IF(O42="Away",VLOOKUP(P42,Matrix!A:S,19,0),1)</f>
        <v/>
      </c>
      <c r="K42" s="157">
        <f>IF(O42="Home",VLOOKUP(P42,Matrix!A:Z,20,0),1)</f>
        <v/>
      </c>
      <c r="L42" s="156" t="n">
        <v>-0.196505883912209</v>
      </c>
      <c r="M42" s="179">
        <f>Schedule!B42</f>
        <v/>
      </c>
      <c r="N42" s="156">
        <f>Schedule!E42</f>
        <v/>
      </c>
      <c r="O42" s="156" t="inlineStr">
        <is>
          <t>Away</t>
        </is>
      </c>
      <c r="P42" s="157">
        <f>Schedule!H42</f>
        <v/>
      </c>
      <c r="Q42" s="157">
        <f>Schedule!C42</f>
        <v/>
      </c>
      <c r="R42" s="180">
        <f>Schedule!D42</f>
        <v/>
      </c>
      <c r="S42" s="181">
        <f>Schedule!J42</f>
        <v/>
      </c>
      <c r="T42" s="193">
        <f>Y42-Z42</f>
        <v/>
      </c>
      <c r="U42" s="182">
        <f>T42/Picks!$K$2</f>
        <v/>
      </c>
      <c r="V42" s="193">
        <f>INDEX(Standings!$T$3:$T$34, MATCH(N42, Standings!$A$3:$A$34, 0)) - INDEX(Standings!$T$3:$T$34, MATCH(P42, Standings!$A$3:$A$34, 0))</f>
        <v/>
      </c>
      <c r="W42" s="157">
        <f>INDEX(Standings!$L$3:$L$34, MATCH(N42, Standings!$A$3:$A$34, 0)) - INDEX(Standings!$L$3:$L$34, MATCH(P42, Standings!$A$3:$A$34, 0))</f>
        <v/>
      </c>
      <c r="X42" s="157">
        <f>INDEX(Standings!$M$3:$M$34, MATCH(N42, Standings!$A$3:$A$34, 0)) - INDEX(Standings!$M$3:$M$34, MATCH(P42, Standings!$A$3:$A$34, 0))</f>
        <v/>
      </c>
      <c r="Y42" s="194">
        <f t="array" ref="Y42:Y42">IFERROR(AE42+(AL42-_DFactor)*AE42,"")</f>
        <v/>
      </c>
      <c r="Z42" s="157">
        <f>IFERROR(AF42+(AI42-_DFactor)*AF42,"")</f>
        <v/>
      </c>
      <c r="AC42" s="194">
        <f>VLOOKUP(M42&amp;N42,Schedule!A:F,6,0)</f>
        <v/>
      </c>
      <c r="AD42" s="194">
        <f>VLOOKUP(M42&amp;P42,Schedule!A:F,6,0)</f>
        <v/>
      </c>
      <c r="AE42" s="156">
        <f>VLOOKUP(N42,ProjPVT!B:I,8,0)*_Mag/VLOOKUP(P42,Standings!A:O,15,0)*H42*K42</f>
        <v/>
      </c>
      <c r="AF42" s="156">
        <f>VLOOKUP(P42,ProjPVT!B:I,8,0)*_Mag/VLOOKUP(N42,Standings!A:O,15,0)*J42*I42</f>
        <v/>
      </c>
      <c r="AG42" s="195">
        <f>VLOOKUP(N42,Matrix!AA:AC,3,0)</f>
        <v/>
      </c>
      <c r="AH42" s="195">
        <f>SUMIFS(Def!C:C,Def!F:F,AG42)</f>
        <v/>
      </c>
      <c r="AI42" s="156">
        <f>IFERROR(SUMIFS(Def!B:B,Def!F:F,AG42)/AH42,"")</f>
        <v/>
      </c>
      <c r="AJ42" s="195">
        <f>VLOOKUP(P42,Matrix!AA:AC,3,0)</f>
        <v/>
      </c>
      <c r="AK42" s="195">
        <f>SUMIFS(Def!C:C,Def!F:F,AJ42)</f>
        <v/>
      </c>
      <c r="AL42" s="156">
        <f>IFERROR(SUMIFS(Def!B:B,Def!F:F,AJ42)/AK42,"")</f>
        <v/>
      </c>
    </row>
    <row r="43" ht="14.4" customHeight="1" s="152">
      <c r="A43" s="157">
        <f>IF(F43="Yes",IFERROR(IF(AA43&gt;1,AA43/100,100/-AA43),""),-1)</f>
        <v/>
      </c>
      <c r="B43" s="157">
        <f>B42+1</f>
        <v/>
      </c>
      <c r="C43" s="157">
        <f>IF(Y43&gt;Z43,1,0)</f>
        <v/>
      </c>
      <c r="D43" s="157">
        <f>IF(AND(C43=1,F43="Yes"),"Yes",IF(AND(C43=0,F43="No"),"Yes","No"))</f>
        <v/>
      </c>
      <c r="E43" s="192">
        <f>IF((AC43+AB43)=AD43,"Push",IF((AC43+AB43)&gt;AD43,"Yes","No"))</f>
        <v/>
      </c>
      <c r="F43" s="192">
        <f>IF(AC43&gt;AD43,"Yes","No")</f>
        <v/>
      </c>
      <c r="G43" s="192">
        <f>IF((Y43+AB43)&gt;Z43,"Yes",IF((Y43+AB43)=Z43,"Push","No"))</f>
        <v/>
      </c>
      <c r="H43" s="157">
        <f>IF(O43="Home",VLOOKUP(N43,Matrix!A:S,19,0),1)</f>
        <v/>
      </c>
      <c r="I43" s="157">
        <f>IF(O43="Away",VLOOKUP(N43,Matrix!A:Z,20,0),1)</f>
        <v/>
      </c>
      <c r="J43" s="157">
        <f>IF(O43="Away",VLOOKUP(P43,Matrix!A:S,19,0),1)</f>
        <v/>
      </c>
      <c r="K43" s="157">
        <f>IF(O43="Home",VLOOKUP(P43,Matrix!A:Z,20,0),1)</f>
        <v/>
      </c>
      <c r="L43" s="156" t="n">
        <v>-0.195577791658641</v>
      </c>
      <c r="M43" s="179">
        <f>Schedule!B43</f>
        <v/>
      </c>
      <c r="N43" s="156">
        <f>Schedule!E43</f>
        <v/>
      </c>
      <c r="O43" s="156" t="inlineStr">
        <is>
          <t>Away</t>
        </is>
      </c>
      <c r="P43" s="157">
        <f>Schedule!H43</f>
        <v/>
      </c>
      <c r="Q43" s="157">
        <f>Schedule!C43</f>
        <v/>
      </c>
      <c r="R43" s="180">
        <f>Schedule!D43</f>
        <v/>
      </c>
      <c r="S43" s="181">
        <f>Schedule!J43</f>
        <v/>
      </c>
      <c r="T43" s="193">
        <f>Y43-Z43</f>
        <v/>
      </c>
      <c r="U43" s="182">
        <f>T43/Picks!$K$2</f>
        <v/>
      </c>
      <c r="V43" s="193">
        <f>INDEX(Standings!$T$3:$T$34, MATCH(N43, Standings!$A$3:$A$34, 0)) - INDEX(Standings!$T$3:$T$34, MATCH(P43, Standings!$A$3:$A$34, 0))</f>
        <v/>
      </c>
      <c r="W43" s="157">
        <f>INDEX(Standings!$L$3:$L$34, MATCH(N43, Standings!$A$3:$A$34, 0)) - INDEX(Standings!$L$3:$L$34, MATCH(P43, Standings!$A$3:$A$34, 0))</f>
        <v/>
      </c>
      <c r="X43" s="157">
        <f>INDEX(Standings!$M$3:$M$34, MATCH(N43, Standings!$A$3:$A$34, 0)) - INDEX(Standings!$M$3:$M$34, MATCH(P43, Standings!$A$3:$A$34, 0))</f>
        <v/>
      </c>
      <c r="Y43" s="194">
        <f t="array" ref="Y43:Y43">IFERROR(AE43+(AL43-_DFactor)*AE43,"")</f>
        <v/>
      </c>
      <c r="Z43" s="157">
        <f>IFERROR(AF43+(AI43-_DFactor)*AF43,"")</f>
        <v/>
      </c>
      <c r="AC43" s="194">
        <f>VLOOKUP(M43&amp;N43,Schedule!A:F,6,0)</f>
        <v/>
      </c>
      <c r="AD43" s="194">
        <f>VLOOKUP(M43&amp;P43,Schedule!A:F,6,0)</f>
        <v/>
      </c>
      <c r="AE43" s="156">
        <f>VLOOKUP(N43,ProjPVT!B:I,8,0)*_Mag/VLOOKUP(P43,Standings!A:O,15,0)*H43*K43</f>
        <v/>
      </c>
      <c r="AF43" s="156">
        <f>VLOOKUP(P43,ProjPVT!B:I,8,0)*_Mag/VLOOKUP(N43,Standings!A:O,15,0)*J43*I43</f>
        <v/>
      </c>
      <c r="AG43" s="195">
        <f>VLOOKUP(N43,Matrix!AA:AC,3,0)</f>
        <v/>
      </c>
      <c r="AH43" s="195">
        <f>SUMIFS(Def!C:C,Def!F:F,AG43)</f>
        <v/>
      </c>
      <c r="AI43" s="156">
        <f>IFERROR(SUMIFS(Def!B:B,Def!F:F,AG43)/AH43,"")</f>
        <v/>
      </c>
      <c r="AJ43" s="195">
        <f>VLOOKUP(P43,Matrix!AA:AC,3,0)</f>
        <v/>
      </c>
      <c r="AK43" s="195">
        <f>SUMIFS(Def!C:C,Def!F:F,AJ43)</f>
        <v/>
      </c>
      <c r="AL43" s="156">
        <f>IFERROR(SUMIFS(Def!B:B,Def!F:F,AJ43)/AK43,"")</f>
        <v/>
      </c>
    </row>
    <row r="44" ht="14.4" customHeight="1" s="152">
      <c r="A44" s="157">
        <f>IF(F44="Yes",IFERROR(IF(AA44&gt;1,AA44/100,100/-AA44),""),-1)</f>
        <v/>
      </c>
      <c r="B44" s="157">
        <f>B43+1</f>
        <v/>
      </c>
      <c r="C44" s="157">
        <f>IF(Y44&gt;Z44,1,0)</f>
        <v/>
      </c>
      <c r="D44" s="157">
        <f>IF(AND(C44=1,F44="Yes"),"Yes",IF(AND(C44=0,F44="No"),"Yes","No"))</f>
        <v/>
      </c>
      <c r="E44" s="192">
        <f>IF((AC44+AB44)=AD44,"Push",IF((AC44+AB44)&gt;AD44,"Yes","No"))</f>
        <v/>
      </c>
      <c r="F44" s="192">
        <f>IF(AC44&gt;AD44,"Yes","No")</f>
        <v/>
      </c>
      <c r="G44" s="192">
        <f>IF((Y44+AB44)&gt;Z44,"Yes",IF((Y44+AB44)=Z44,"Push","No"))</f>
        <v/>
      </c>
      <c r="H44" s="157">
        <f>IF(O44="Home",VLOOKUP(N44,Matrix!A:S,19,0),1)</f>
        <v/>
      </c>
      <c r="I44" s="157">
        <f>IF(O44="Away",VLOOKUP(N44,Matrix!A:Z,20,0),1)</f>
        <v/>
      </c>
      <c r="J44" s="157">
        <f>IF(O44="Away",VLOOKUP(P44,Matrix!A:S,19,0),1)</f>
        <v/>
      </c>
      <c r="K44" s="157">
        <f>IF(O44="Home",VLOOKUP(P44,Matrix!A:Z,20,0),1)</f>
        <v/>
      </c>
      <c r="L44" s="156" t="n">
        <v>-0.178606164935969</v>
      </c>
      <c r="M44" s="179">
        <f>Schedule!B44</f>
        <v/>
      </c>
      <c r="N44" s="156">
        <f>Schedule!E44</f>
        <v/>
      </c>
      <c r="O44" s="156" t="inlineStr">
        <is>
          <t>Away</t>
        </is>
      </c>
      <c r="P44" s="157">
        <f>Schedule!H44</f>
        <v/>
      </c>
      <c r="Q44" s="157">
        <f>Schedule!C44</f>
        <v/>
      </c>
      <c r="R44" s="180">
        <f>Schedule!D44</f>
        <v/>
      </c>
      <c r="S44" s="181">
        <f>Schedule!J44</f>
        <v/>
      </c>
      <c r="T44" s="193">
        <f>Y44-Z44</f>
        <v/>
      </c>
      <c r="U44" s="182">
        <f>T44/Picks!$K$2</f>
        <v/>
      </c>
      <c r="V44" s="193">
        <f>INDEX(Standings!$T$3:$T$34, MATCH(N44, Standings!$A$3:$A$34, 0)) - INDEX(Standings!$T$3:$T$34, MATCH(P44, Standings!$A$3:$A$34, 0))</f>
        <v/>
      </c>
      <c r="W44" s="157">
        <f>INDEX(Standings!$L$3:$L$34, MATCH(N44, Standings!$A$3:$A$34, 0)) - INDEX(Standings!$L$3:$L$34, MATCH(P44, Standings!$A$3:$A$34, 0))</f>
        <v/>
      </c>
      <c r="X44" s="157">
        <f>INDEX(Standings!$M$3:$M$34, MATCH(N44, Standings!$A$3:$A$34, 0)) - INDEX(Standings!$M$3:$M$34, MATCH(P44, Standings!$A$3:$A$34, 0))</f>
        <v/>
      </c>
      <c r="Y44" s="194">
        <f t="array" ref="Y44:Y44">IFERROR(AE44+(AL44-_DFactor)*AE44,"")</f>
        <v/>
      </c>
      <c r="Z44" s="157">
        <f>IFERROR(AF44+(AI44-_DFactor)*AF44,"")</f>
        <v/>
      </c>
      <c r="AC44" s="194">
        <f>VLOOKUP(M44&amp;N44,Schedule!A:F,6,0)</f>
        <v/>
      </c>
      <c r="AD44" s="194">
        <f>VLOOKUP(M44&amp;P44,Schedule!A:F,6,0)</f>
        <v/>
      </c>
      <c r="AE44" s="156">
        <f>VLOOKUP(N44,ProjPVT!B:I,8,0)*_Mag/VLOOKUP(P44,Standings!A:O,15,0)*H44*K44</f>
        <v/>
      </c>
      <c r="AF44" s="156">
        <f>VLOOKUP(P44,ProjPVT!B:I,8,0)*_Mag/VLOOKUP(N44,Standings!A:O,15,0)*J44*I44</f>
        <v/>
      </c>
      <c r="AG44" s="195">
        <f>VLOOKUP(N44,Matrix!AA:AC,3,0)</f>
        <v/>
      </c>
      <c r="AH44" s="195">
        <f>SUMIFS(Def!C:C,Def!F:F,AG44)</f>
        <v/>
      </c>
      <c r="AI44" s="156">
        <f>IFERROR(SUMIFS(Def!B:B,Def!F:F,AG44)/AH44,"")</f>
        <v/>
      </c>
      <c r="AJ44" s="195">
        <f>VLOOKUP(P44,Matrix!AA:AC,3,0)</f>
        <v/>
      </c>
      <c r="AK44" s="195">
        <f>SUMIFS(Def!C:C,Def!F:F,AJ44)</f>
        <v/>
      </c>
      <c r="AL44" s="156">
        <f>IFERROR(SUMIFS(Def!B:B,Def!F:F,AJ44)/AK44,"")</f>
        <v/>
      </c>
    </row>
    <row r="45" ht="14.4" customHeight="1" s="152">
      <c r="A45" s="157">
        <f>IF(F45="Yes",IFERROR(IF(AA45&gt;1,AA45/100,100/-AA45),""),-1)</f>
        <v/>
      </c>
      <c r="B45" s="157">
        <f>B44+1</f>
        <v/>
      </c>
      <c r="C45" s="157">
        <f>IF(Y45&gt;Z45,1,0)</f>
        <v/>
      </c>
      <c r="D45" s="157">
        <f>IF(AND(C45=1,F45="Yes"),"Yes",IF(AND(C45=0,F45="No"),"Yes","No"))</f>
        <v/>
      </c>
      <c r="E45" s="192">
        <f>IF((AC45+AB45)=AD45,"Push",IF((AC45+AB45)&gt;AD45,"Yes","No"))</f>
        <v/>
      </c>
      <c r="F45" s="192">
        <f>IF(AC45&gt;AD45,"Yes","No")</f>
        <v/>
      </c>
      <c r="G45" s="192">
        <f>IF((Y45+AB45)&gt;Z45,"Yes",IF((Y45+AB45)=Z45,"Push","No"))</f>
        <v/>
      </c>
      <c r="H45" s="157">
        <f>IF(O45="Home",VLOOKUP(N45,Matrix!A:S,19,0),1)</f>
        <v/>
      </c>
      <c r="I45" s="157">
        <f>IF(O45="Away",VLOOKUP(N45,Matrix!A:Z,20,0),1)</f>
        <v/>
      </c>
      <c r="J45" s="157">
        <f>IF(O45="Away",VLOOKUP(P45,Matrix!A:S,19,0),1)</f>
        <v/>
      </c>
      <c r="K45" s="157">
        <f>IF(O45="Home",VLOOKUP(P45,Matrix!A:Z,20,0),1)</f>
        <v/>
      </c>
      <c r="L45" s="156" t="n">
        <v>-0.15864766072662</v>
      </c>
      <c r="M45" s="179">
        <f>Schedule!B45</f>
        <v/>
      </c>
      <c r="N45" s="156">
        <f>Schedule!E45</f>
        <v/>
      </c>
      <c r="O45" s="156" t="inlineStr">
        <is>
          <t>Away</t>
        </is>
      </c>
      <c r="P45" s="157">
        <f>Schedule!H45</f>
        <v/>
      </c>
      <c r="Q45" s="157">
        <f>Schedule!C45</f>
        <v/>
      </c>
      <c r="R45" s="180">
        <f>Schedule!D45</f>
        <v/>
      </c>
      <c r="S45" s="181">
        <f>Schedule!J45</f>
        <v/>
      </c>
      <c r="T45" s="193">
        <f>Y45-Z45</f>
        <v/>
      </c>
      <c r="U45" s="182">
        <f>T45/Picks!$K$2</f>
        <v/>
      </c>
      <c r="V45" s="193">
        <f>INDEX(Standings!$T$3:$T$34, MATCH(N45, Standings!$A$3:$A$34, 0)) - INDEX(Standings!$T$3:$T$34, MATCH(P45, Standings!$A$3:$A$34, 0))</f>
        <v/>
      </c>
      <c r="W45" s="157">
        <f>INDEX(Standings!$L$3:$L$34, MATCH(N45, Standings!$A$3:$A$34, 0)) - INDEX(Standings!$L$3:$L$34, MATCH(P45, Standings!$A$3:$A$34, 0))</f>
        <v/>
      </c>
      <c r="X45" s="157">
        <f>INDEX(Standings!$M$3:$M$34, MATCH(N45, Standings!$A$3:$A$34, 0)) - INDEX(Standings!$M$3:$M$34, MATCH(P45, Standings!$A$3:$A$34, 0))</f>
        <v/>
      </c>
      <c r="Y45" s="194">
        <f t="array" ref="Y45:Y45">IFERROR(AE45+(AL45-_DFactor)*AE45,"")</f>
        <v/>
      </c>
      <c r="Z45" s="157">
        <f>IFERROR(AF45+(AI45-_DFactor)*AF45,"")</f>
        <v/>
      </c>
      <c r="AC45" s="194">
        <f>VLOOKUP(M45&amp;N45,Schedule!A:F,6,0)</f>
        <v/>
      </c>
      <c r="AD45" s="194">
        <f>VLOOKUP(M45&amp;P45,Schedule!A:F,6,0)</f>
        <v/>
      </c>
      <c r="AE45" s="156">
        <f>VLOOKUP(N45,ProjPVT!B:I,8,0)*_Mag/VLOOKUP(P45,Standings!A:O,15,0)*H45*K45</f>
        <v/>
      </c>
      <c r="AF45" s="156">
        <f>VLOOKUP(P45,ProjPVT!B:I,8,0)*_Mag/VLOOKUP(N45,Standings!A:O,15,0)*J45*I45</f>
        <v/>
      </c>
      <c r="AG45" s="195">
        <f>VLOOKUP(N45,Matrix!AA:AC,3,0)</f>
        <v/>
      </c>
      <c r="AH45" s="195">
        <f>SUMIFS(Def!C:C,Def!F:F,AG45)</f>
        <v/>
      </c>
      <c r="AI45" s="156">
        <f>IFERROR(SUMIFS(Def!B:B,Def!F:F,AG45)/AH45,"")</f>
        <v/>
      </c>
      <c r="AJ45" s="195">
        <f>VLOOKUP(P45,Matrix!AA:AC,3,0)</f>
        <v/>
      </c>
      <c r="AK45" s="195">
        <f>SUMIFS(Def!C:C,Def!F:F,AJ45)</f>
        <v/>
      </c>
      <c r="AL45" s="156">
        <f>IFERROR(SUMIFS(Def!B:B,Def!F:F,AJ45)/AK45,"")</f>
        <v/>
      </c>
    </row>
    <row r="46" ht="14.4" customHeight="1" s="152">
      <c r="A46" s="157">
        <f>IF(F46="Yes",IFERROR(IF(AA46&gt;1,AA46/100,100/-AA46),""),-1)</f>
        <v/>
      </c>
      <c r="B46" s="157">
        <f>B45+1</f>
        <v/>
      </c>
      <c r="C46" s="157">
        <f>IF(Y46&gt;Z46,1,0)</f>
        <v/>
      </c>
      <c r="D46" s="157">
        <f>IF(AND(C46=1,F46="Yes"),"Yes",IF(AND(C46=0,F46="No"),"Yes","No"))</f>
        <v/>
      </c>
      <c r="E46" s="192">
        <f>IF((AC46+AB46)=AD46,"Push",IF((AC46+AB46)&gt;AD46,"Yes","No"))</f>
        <v/>
      </c>
      <c r="F46" s="192">
        <f>IF(AC46&gt;AD46,"Yes","No")</f>
        <v/>
      </c>
      <c r="G46" s="192">
        <f>IF((Y46+AB46)&gt;Z46,"Yes",IF((Y46+AB46)=Z46,"Push","No"))</f>
        <v/>
      </c>
      <c r="H46" s="157">
        <f>IF(O46="Home",VLOOKUP(N46,Matrix!A:S,19,0),1)</f>
        <v/>
      </c>
      <c r="I46" s="157">
        <f>IF(O46="Away",VLOOKUP(N46,Matrix!A:Z,20,0),1)</f>
        <v/>
      </c>
      <c r="J46" s="157">
        <f>IF(O46="Away",VLOOKUP(P46,Matrix!A:S,19,0),1)</f>
        <v/>
      </c>
      <c r="K46" s="157">
        <f>IF(O46="Home",VLOOKUP(P46,Matrix!A:Z,20,0),1)</f>
        <v/>
      </c>
      <c r="L46" s="156" t="n">
        <v>-0.0516538450334931</v>
      </c>
      <c r="M46" s="179">
        <f>Schedule!B46</f>
        <v/>
      </c>
      <c r="N46" s="156">
        <f>Schedule!E46</f>
        <v/>
      </c>
      <c r="O46" s="156" t="inlineStr">
        <is>
          <t>Home</t>
        </is>
      </c>
      <c r="P46" s="157">
        <f>Schedule!H46</f>
        <v/>
      </c>
      <c r="Q46" s="157">
        <f>Schedule!C46</f>
        <v/>
      </c>
      <c r="R46" s="180">
        <f>Schedule!D46</f>
        <v/>
      </c>
      <c r="S46" s="181">
        <f>Schedule!J46</f>
        <v/>
      </c>
      <c r="T46" s="193">
        <f>Y46-Z46</f>
        <v/>
      </c>
      <c r="U46" s="182">
        <f>T46/Picks!$K$2</f>
        <v/>
      </c>
      <c r="V46" s="193">
        <f>INDEX(Standings!$T$3:$T$34, MATCH(N46, Standings!$A$3:$A$34, 0)) - INDEX(Standings!$T$3:$T$34, MATCH(P46, Standings!$A$3:$A$34, 0))</f>
        <v/>
      </c>
      <c r="W46" s="157">
        <f>INDEX(Standings!$L$3:$L$34, MATCH(N46, Standings!$A$3:$A$34, 0)) - INDEX(Standings!$L$3:$L$34, MATCH(P46, Standings!$A$3:$A$34, 0))</f>
        <v/>
      </c>
      <c r="X46" s="157">
        <f>INDEX(Standings!$M$3:$M$34, MATCH(N46, Standings!$A$3:$A$34, 0)) - INDEX(Standings!$M$3:$M$34, MATCH(P46, Standings!$A$3:$A$34, 0))</f>
        <v/>
      </c>
      <c r="Y46" s="194">
        <f t="array" ref="Y46:Y46">IFERROR(AE46+(AL46-_DFactor)*AE46,"")</f>
        <v/>
      </c>
      <c r="Z46" s="157">
        <f>IFERROR(AF46+(AI46-_DFactor)*AF46,"")</f>
        <v/>
      </c>
      <c r="AC46" s="194">
        <f>VLOOKUP(M46&amp;N46,Schedule!A:F,6,0)</f>
        <v/>
      </c>
      <c r="AD46" s="194">
        <f>VLOOKUP(M46&amp;P46,Schedule!A:F,6,0)</f>
        <v/>
      </c>
      <c r="AE46" s="156">
        <f>VLOOKUP(N46,ProjPVT!B:I,8,0)*_Mag/VLOOKUP(P46,Standings!A:O,15,0)*H46*K46</f>
        <v/>
      </c>
      <c r="AF46" s="156">
        <f>VLOOKUP(P46,ProjPVT!B:I,8,0)*_Mag/VLOOKUP(N46,Standings!A:O,15,0)*J46*I46</f>
        <v/>
      </c>
      <c r="AG46" s="195">
        <f>VLOOKUP(N46,Matrix!AA:AC,3,0)</f>
        <v/>
      </c>
      <c r="AH46" s="195">
        <f>SUMIFS(Def!C:C,Def!F:F,AG46)</f>
        <v/>
      </c>
      <c r="AI46" s="156">
        <f>IFERROR(SUMIFS(Def!B:B,Def!F:F,AG46)/AH46,"")</f>
        <v/>
      </c>
      <c r="AJ46" s="195">
        <f>VLOOKUP(P46,Matrix!AA:AC,3,0)</f>
        <v/>
      </c>
      <c r="AK46" s="195">
        <f>SUMIFS(Def!C:C,Def!F:F,AJ46)</f>
        <v/>
      </c>
      <c r="AL46" s="156">
        <f>IFERROR(SUMIFS(Def!B:B,Def!F:F,AJ46)/AK46,"")</f>
        <v/>
      </c>
    </row>
    <row r="47" ht="14.4" customHeight="1" s="152">
      <c r="A47" s="157">
        <f>IF(F47="Yes",IFERROR(IF(AA47&gt;1,AA47/100,100/-AA47),""),-1)</f>
        <v/>
      </c>
      <c r="B47" s="157">
        <f>B46+1</f>
        <v/>
      </c>
      <c r="C47" s="157">
        <f>IF(Y47&gt;Z47,1,0)</f>
        <v/>
      </c>
      <c r="D47" s="157">
        <f>IF(AND(C47=1,F47="Yes"),"Yes",IF(AND(C47=0,F47="No"),"Yes","No"))</f>
        <v/>
      </c>
      <c r="E47" s="192">
        <f>IF((AC47+AB47)=AD47,"Push",IF((AC47+AB47)&gt;AD47,"Yes","No"))</f>
        <v/>
      </c>
      <c r="F47" s="192">
        <f>IF(AC47&gt;AD47,"Yes","No")</f>
        <v/>
      </c>
      <c r="G47" s="192">
        <f>IF((Y47+AB47)&gt;Z47,"Yes",IF((Y47+AB47)=Z47,"Push","No"))</f>
        <v/>
      </c>
      <c r="H47" s="157">
        <f>IF(O47="Home",VLOOKUP(N47,Matrix!A:S,19,0),1)</f>
        <v/>
      </c>
      <c r="I47" s="157">
        <f>IF(O47="Away",VLOOKUP(N47,Matrix!A:Z,20,0),1)</f>
        <v/>
      </c>
      <c r="J47" s="157">
        <f>IF(O47="Away",VLOOKUP(P47,Matrix!A:S,19,0),1)</f>
        <v/>
      </c>
      <c r="K47" s="157">
        <f>IF(O47="Home",VLOOKUP(P47,Matrix!A:Z,20,0),1)</f>
        <v/>
      </c>
      <c r="L47" s="156" t="n">
        <v>-0.0458809543228977</v>
      </c>
      <c r="M47" s="179">
        <f>Schedule!B47</f>
        <v/>
      </c>
      <c r="N47" s="156">
        <f>Schedule!E47</f>
        <v/>
      </c>
      <c r="O47" s="156" t="inlineStr">
        <is>
          <t>Home</t>
        </is>
      </c>
      <c r="P47" s="157">
        <f>Schedule!H47</f>
        <v/>
      </c>
      <c r="Q47" s="157">
        <f>Schedule!C47</f>
        <v/>
      </c>
      <c r="R47" s="180">
        <f>Schedule!D47</f>
        <v/>
      </c>
      <c r="S47" s="181">
        <f>Schedule!J47</f>
        <v/>
      </c>
      <c r="T47" s="193">
        <f>Y47-Z47</f>
        <v/>
      </c>
      <c r="U47" s="182">
        <f>T47/Picks!$K$2</f>
        <v/>
      </c>
      <c r="V47" s="193">
        <f>INDEX(Standings!$T$3:$T$34, MATCH(N47, Standings!$A$3:$A$34, 0)) - INDEX(Standings!$T$3:$T$34, MATCH(P47, Standings!$A$3:$A$34, 0))</f>
        <v/>
      </c>
      <c r="W47" s="157">
        <f>INDEX(Standings!$L$3:$L$34, MATCH(N47, Standings!$A$3:$A$34, 0)) - INDEX(Standings!$L$3:$L$34, MATCH(P47, Standings!$A$3:$A$34, 0))</f>
        <v/>
      </c>
      <c r="X47" s="157">
        <f>INDEX(Standings!$M$3:$M$34, MATCH(N47, Standings!$A$3:$A$34, 0)) - INDEX(Standings!$M$3:$M$34, MATCH(P47, Standings!$A$3:$A$34, 0))</f>
        <v/>
      </c>
      <c r="Y47" s="194">
        <f t="array" ref="Y47:Y47">IFERROR(AE47+(AL47-_DFactor)*AE47,"")</f>
        <v/>
      </c>
      <c r="Z47" s="157">
        <f>IFERROR(AF47+(AI47-_DFactor)*AF47,"")</f>
        <v/>
      </c>
      <c r="AC47" s="194">
        <f>VLOOKUP(M47&amp;N47,Schedule!A:F,6,0)</f>
        <v/>
      </c>
      <c r="AD47" s="194">
        <f>VLOOKUP(M47&amp;P47,Schedule!A:F,6,0)</f>
        <v/>
      </c>
      <c r="AE47" s="156">
        <f>VLOOKUP(N47,ProjPVT!B:I,8,0)*_Mag/VLOOKUP(P47,Standings!A:O,15,0)*H47*K47</f>
        <v/>
      </c>
      <c r="AF47" s="156">
        <f>VLOOKUP(P47,ProjPVT!B:I,8,0)*_Mag/VLOOKUP(N47,Standings!A:O,15,0)*J47*I47</f>
        <v/>
      </c>
      <c r="AG47" s="195">
        <f>VLOOKUP(N47,Matrix!AA:AC,3,0)</f>
        <v/>
      </c>
      <c r="AH47" s="195">
        <f>SUMIFS(Def!C:C,Def!F:F,AG47)</f>
        <v/>
      </c>
      <c r="AI47" s="156">
        <f>IFERROR(SUMIFS(Def!B:B,Def!F:F,AG47)/AH47,"")</f>
        <v/>
      </c>
      <c r="AJ47" s="195">
        <f>VLOOKUP(P47,Matrix!AA:AC,3,0)</f>
        <v/>
      </c>
      <c r="AK47" s="195">
        <f>SUMIFS(Def!C:C,Def!F:F,AJ47)</f>
        <v/>
      </c>
      <c r="AL47" s="156">
        <f>IFERROR(SUMIFS(Def!B:B,Def!F:F,AJ47)/AK47,"")</f>
        <v/>
      </c>
    </row>
    <row r="48" ht="14.4" customHeight="1" s="152">
      <c r="A48" s="157">
        <f>IF(F48="Yes",IFERROR(IF(AA48&gt;1,AA48/100,100/-AA48),""),-1)</f>
        <v/>
      </c>
      <c r="B48" s="157">
        <f>B47+1</f>
        <v/>
      </c>
      <c r="C48" s="157">
        <f>IF(Y48&gt;Z48,1,0)</f>
        <v/>
      </c>
      <c r="D48" s="157">
        <f>IF(AND(C48=1,F48="Yes"),"Yes",IF(AND(C48=0,F48="No"),"Yes","No"))</f>
        <v/>
      </c>
      <c r="E48" s="192">
        <f>IF((AC48+AB48)=AD48,"Push",IF((AC48+AB48)&gt;AD48,"Yes","No"))</f>
        <v/>
      </c>
      <c r="F48" s="192">
        <f>IF(AC48&gt;AD48,"Yes","No")</f>
        <v/>
      </c>
      <c r="G48" s="192">
        <f>IF((Y48+AB48)&gt;Z48,"Yes",IF((Y48+AB48)=Z48,"Push","No"))</f>
        <v/>
      </c>
      <c r="H48" s="157">
        <f>IF(O48="Home",VLOOKUP(N48,Matrix!A:S,19,0),1)</f>
        <v/>
      </c>
      <c r="I48" s="157">
        <f>IF(O48="Away",VLOOKUP(N48,Matrix!A:Z,20,0),1)</f>
        <v/>
      </c>
      <c r="J48" s="157">
        <f>IF(O48="Away",VLOOKUP(P48,Matrix!A:S,19,0),1)</f>
        <v/>
      </c>
      <c r="K48" s="157">
        <f>IF(O48="Home",VLOOKUP(P48,Matrix!A:Z,20,0),1)</f>
        <v/>
      </c>
      <c r="L48" s="156" t="n">
        <v>-0.0293334051246238</v>
      </c>
      <c r="M48" s="179">
        <f>Schedule!B48</f>
        <v/>
      </c>
      <c r="N48" s="156">
        <f>Schedule!E48</f>
        <v/>
      </c>
      <c r="O48" s="156" t="inlineStr">
        <is>
          <t>Away</t>
        </is>
      </c>
      <c r="P48" s="157">
        <f>Schedule!H48</f>
        <v/>
      </c>
      <c r="Q48" s="157">
        <f>Schedule!C48</f>
        <v/>
      </c>
      <c r="R48" s="180">
        <f>Schedule!D48</f>
        <v/>
      </c>
      <c r="S48" s="181">
        <f>Schedule!J48</f>
        <v/>
      </c>
      <c r="T48" s="193">
        <f>Y48-Z48</f>
        <v/>
      </c>
      <c r="U48" s="182">
        <f>T48/Picks!$K$2</f>
        <v/>
      </c>
      <c r="V48" s="193">
        <f>INDEX(Standings!$T$3:$T$34, MATCH(N48, Standings!$A$3:$A$34, 0)) - INDEX(Standings!$T$3:$T$34, MATCH(P48, Standings!$A$3:$A$34, 0))</f>
        <v/>
      </c>
      <c r="W48" s="157">
        <f>INDEX(Standings!$L$3:$L$34, MATCH(N48, Standings!$A$3:$A$34, 0)) - INDEX(Standings!$L$3:$L$34, MATCH(P48, Standings!$A$3:$A$34, 0))</f>
        <v/>
      </c>
      <c r="X48" s="157">
        <f>INDEX(Standings!$M$3:$M$34, MATCH(N48, Standings!$A$3:$A$34, 0)) - INDEX(Standings!$M$3:$M$34, MATCH(P48, Standings!$A$3:$A$34, 0))</f>
        <v/>
      </c>
      <c r="Y48" s="194">
        <f t="array" ref="Y48:Y48">IFERROR(AE48+(AL48-_DFactor)*AE48,"")</f>
        <v/>
      </c>
      <c r="Z48" s="157">
        <f>IFERROR(AF48+(AI48-_DFactor)*AF48,"")</f>
        <v/>
      </c>
      <c r="AC48" s="194">
        <f>VLOOKUP(M48&amp;N48,Schedule!A:F,6,0)</f>
        <v/>
      </c>
      <c r="AD48" s="194">
        <f>VLOOKUP(M48&amp;P48,Schedule!A:F,6,0)</f>
        <v/>
      </c>
      <c r="AE48" s="156">
        <f>VLOOKUP(N48,ProjPVT!B:I,8,0)*_Mag/VLOOKUP(P48,Standings!A:O,15,0)*H48*K48</f>
        <v/>
      </c>
      <c r="AF48" s="156">
        <f>VLOOKUP(P48,ProjPVT!B:I,8,0)*_Mag/VLOOKUP(N48,Standings!A:O,15,0)*J48*I48</f>
        <v/>
      </c>
      <c r="AG48" s="195">
        <f>VLOOKUP(N48,Matrix!AA:AC,3,0)</f>
        <v/>
      </c>
      <c r="AH48" s="195">
        <f>SUMIFS(Def!C:C,Def!F:F,AG48)</f>
        <v/>
      </c>
      <c r="AI48" s="156">
        <f>IFERROR(SUMIFS(Def!B:B,Def!F:F,AG48)/AH48,"")</f>
        <v/>
      </c>
      <c r="AJ48" s="195">
        <f>VLOOKUP(P48,Matrix!AA:AC,3,0)</f>
        <v/>
      </c>
      <c r="AK48" s="195">
        <f>SUMIFS(Def!C:C,Def!F:F,AJ48)</f>
        <v/>
      </c>
      <c r="AL48" s="156">
        <f>IFERROR(SUMIFS(Def!B:B,Def!F:F,AJ48)/AK48,"")</f>
        <v/>
      </c>
    </row>
    <row r="49" ht="14.4" customHeight="1" s="152">
      <c r="A49" s="157">
        <f>IF(F49="Yes",IFERROR(IF(AA49&gt;1,AA49/100,100/-AA49),""),-1)</f>
        <v/>
      </c>
      <c r="B49" s="157">
        <f>B48+1</f>
        <v/>
      </c>
      <c r="C49" s="157">
        <f>IF(Y49&gt;Z49,1,0)</f>
        <v/>
      </c>
      <c r="D49" s="157">
        <f>IF(AND(C49=1,F49="Yes"),"Yes",IF(AND(C49=0,F49="No"),"Yes","No"))</f>
        <v/>
      </c>
      <c r="E49" s="192">
        <f>IF((AC49+AB49)=AD49,"Push",IF((AC49+AB49)&gt;AD49,"Yes","No"))</f>
        <v/>
      </c>
      <c r="F49" s="192">
        <f>IF(AC49&gt;AD49,"Yes","No")</f>
        <v/>
      </c>
      <c r="G49" s="192">
        <f>IF((Y49+AB49)&gt;Z49,"Yes",IF((Y49+AB49)=Z49,"Push","No"))</f>
        <v/>
      </c>
      <c r="H49" s="157">
        <f>IF(O49="Home",VLOOKUP(N49,Matrix!A:S,19,0),1)</f>
        <v/>
      </c>
      <c r="I49" s="157">
        <f>IF(O49="Away",VLOOKUP(N49,Matrix!A:Z,20,0),1)</f>
        <v/>
      </c>
      <c r="J49" s="157">
        <f>IF(O49="Away",VLOOKUP(P49,Matrix!A:S,19,0),1)</f>
        <v/>
      </c>
      <c r="K49" s="157">
        <f>IF(O49="Home",VLOOKUP(P49,Matrix!A:Z,20,0),1)</f>
        <v/>
      </c>
      <c r="L49" s="156" t="n">
        <v>-0.003852872155308</v>
      </c>
      <c r="M49" s="179">
        <f>Schedule!B49</f>
        <v/>
      </c>
      <c r="N49" s="156">
        <f>Schedule!E49</f>
        <v/>
      </c>
      <c r="O49" s="156" t="inlineStr">
        <is>
          <t>Away</t>
        </is>
      </c>
      <c r="P49" s="157">
        <f>Schedule!H49</f>
        <v/>
      </c>
      <c r="Q49" s="157">
        <f>Schedule!C49</f>
        <v/>
      </c>
      <c r="R49" s="180">
        <f>Schedule!D49</f>
        <v/>
      </c>
      <c r="S49" s="181">
        <f>Schedule!J49</f>
        <v/>
      </c>
      <c r="T49" s="193">
        <f>Y49-Z49</f>
        <v/>
      </c>
      <c r="U49" s="182">
        <f>T49/Picks!$K$2</f>
        <v/>
      </c>
      <c r="V49" s="193">
        <f>INDEX(Standings!$T$3:$T$34, MATCH(N49, Standings!$A$3:$A$34, 0)) - INDEX(Standings!$T$3:$T$34, MATCH(P49, Standings!$A$3:$A$34, 0))</f>
        <v/>
      </c>
      <c r="W49" s="157">
        <f>INDEX(Standings!$L$3:$L$34, MATCH(N49, Standings!$A$3:$A$34, 0)) - INDEX(Standings!$L$3:$L$34, MATCH(P49, Standings!$A$3:$A$34, 0))</f>
        <v/>
      </c>
      <c r="X49" s="157">
        <f>INDEX(Standings!$M$3:$M$34, MATCH(N49, Standings!$A$3:$A$34, 0)) - INDEX(Standings!$M$3:$M$34, MATCH(P49, Standings!$A$3:$A$34, 0))</f>
        <v/>
      </c>
      <c r="Y49" s="194">
        <f t="array" ref="Y49:Y49">IFERROR(AE49+(AL49-_DFactor)*AE49,"")</f>
        <v/>
      </c>
      <c r="Z49" s="157">
        <f>IFERROR(AF49+(AI49-_DFactor)*AF49,"")</f>
        <v/>
      </c>
      <c r="AC49" s="194">
        <f>VLOOKUP(M49&amp;N49,Schedule!A:F,6,0)</f>
        <v/>
      </c>
      <c r="AD49" s="194">
        <f>VLOOKUP(M49&amp;P49,Schedule!A:F,6,0)</f>
        <v/>
      </c>
      <c r="AE49" s="156">
        <f>VLOOKUP(N49,ProjPVT!B:I,8,0)*_Mag/VLOOKUP(P49,Standings!A:O,15,0)*H49*K49</f>
        <v/>
      </c>
      <c r="AF49" s="156">
        <f>VLOOKUP(P49,ProjPVT!B:I,8,0)*_Mag/VLOOKUP(N49,Standings!A:O,15,0)*J49*I49</f>
        <v/>
      </c>
      <c r="AG49" s="195">
        <f>VLOOKUP(N49,Matrix!AA:AC,3,0)</f>
        <v/>
      </c>
      <c r="AH49" s="195">
        <f>SUMIFS(Def!C:C,Def!F:F,AG49)</f>
        <v/>
      </c>
      <c r="AI49" s="156">
        <f>IFERROR(SUMIFS(Def!B:B,Def!F:F,AG49)/AH49,"")</f>
        <v/>
      </c>
      <c r="AJ49" s="195">
        <f>VLOOKUP(P49,Matrix!AA:AC,3,0)</f>
        <v/>
      </c>
      <c r="AK49" s="195">
        <f>SUMIFS(Def!C:C,Def!F:F,AJ49)</f>
        <v/>
      </c>
      <c r="AL49" s="156">
        <f>IFERROR(SUMIFS(Def!B:B,Def!F:F,AJ49)/AK49,"")</f>
        <v/>
      </c>
    </row>
    <row r="50" ht="14.4" customHeight="1" s="152">
      <c r="A50" s="157">
        <f>IF(F50="Yes",IFERROR(IF(AA50&gt;1,AA50/100,100/-AA50),""),-1)</f>
        <v/>
      </c>
      <c r="B50" s="157">
        <f>B49+1</f>
        <v/>
      </c>
      <c r="C50" s="157">
        <f>IF(Y50&gt;Z50,1,0)</f>
        <v/>
      </c>
      <c r="D50" s="157">
        <f>IF(AND(C50=1,F50="Yes"),"Yes",IF(AND(C50=0,F50="No"),"Yes","No"))</f>
        <v/>
      </c>
      <c r="E50" s="192">
        <f>IF((AC50+AB50)=AD50,"Push",IF((AC50+AB50)&gt;AD50,"Yes","No"))</f>
        <v/>
      </c>
      <c r="F50" s="192">
        <f>IF(AC50&gt;AD50,"Yes","No")</f>
        <v/>
      </c>
      <c r="G50" s="192">
        <f>IF((Y50+AB50)&gt;Z50,"Yes",IF((Y50+AB50)=Z50,"Push","No"))</f>
        <v/>
      </c>
      <c r="H50" s="157">
        <f>IF(O50="Home",VLOOKUP(N50,Matrix!A:S,19,0),1)</f>
        <v/>
      </c>
      <c r="I50" s="157">
        <f>IF(O50="Away",VLOOKUP(N50,Matrix!A:Z,20,0),1)</f>
        <v/>
      </c>
      <c r="J50" s="157">
        <f>IF(O50="Away",VLOOKUP(P50,Matrix!A:S,19,0),1)</f>
        <v/>
      </c>
      <c r="K50" s="157">
        <f>IF(O50="Home",VLOOKUP(P50,Matrix!A:Z,20,0),1)</f>
        <v/>
      </c>
      <c r="L50" s="156" t="n">
        <v>0.003852872155308</v>
      </c>
      <c r="M50" s="179">
        <f>Schedule!B50</f>
        <v/>
      </c>
      <c r="N50" s="156">
        <f>Schedule!E50</f>
        <v/>
      </c>
      <c r="O50" s="156" t="inlineStr">
        <is>
          <t>Home</t>
        </is>
      </c>
      <c r="P50" s="157">
        <f>Schedule!H50</f>
        <v/>
      </c>
      <c r="Q50" s="157">
        <f>Schedule!C50</f>
        <v/>
      </c>
      <c r="R50" s="180">
        <f>Schedule!D50</f>
        <v/>
      </c>
      <c r="S50" s="181">
        <f>Schedule!J50</f>
        <v/>
      </c>
      <c r="T50" s="193">
        <f>Y50-Z50</f>
        <v/>
      </c>
      <c r="U50" s="182">
        <f>T50/Picks!$K$2</f>
        <v/>
      </c>
      <c r="V50" s="193">
        <f>INDEX(Standings!$T$3:$T$34, MATCH(N50, Standings!$A$3:$A$34, 0)) - INDEX(Standings!$T$3:$T$34, MATCH(P50, Standings!$A$3:$A$34, 0))</f>
        <v/>
      </c>
      <c r="W50" s="157">
        <f>INDEX(Standings!$L$3:$L$34, MATCH(N50, Standings!$A$3:$A$34, 0)) - INDEX(Standings!$L$3:$L$34, MATCH(P50, Standings!$A$3:$A$34, 0))</f>
        <v/>
      </c>
      <c r="X50" s="157">
        <f>INDEX(Standings!$M$3:$M$34, MATCH(N50, Standings!$A$3:$A$34, 0)) - INDEX(Standings!$M$3:$M$34, MATCH(P50, Standings!$A$3:$A$34, 0))</f>
        <v/>
      </c>
      <c r="Y50" s="194">
        <f t="array" ref="Y50:Y50">IFERROR(AE50+(AL50-_DFactor)*AE50,"")</f>
        <v/>
      </c>
      <c r="Z50" s="157">
        <f>IFERROR(AF50+(AI50-_DFactor)*AF50,"")</f>
        <v/>
      </c>
      <c r="AC50" s="194">
        <f>VLOOKUP(M50&amp;N50,Schedule!A:F,6,0)</f>
        <v/>
      </c>
      <c r="AD50" s="194">
        <f>VLOOKUP(M50&amp;P50,Schedule!A:F,6,0)</f>
        <v/>
      </c>
      <c r="AE50" s="156">
        <f>VLOOKUP(N50,ProjPVT!B:I,8,0)*_Mag/VLOOKUP(P50,Standings!A:O,15,0)*H50*K50</f>
        <v/>
      </c>
      <c r="AF50" s="156">
        <f>VLOOKUP(P50,ProjPVT!B:I,8,0)*_Mag/VLOOKUP(N50,Standings!A:O,15,0)*J50*I50</f>
        <v/>
      </c>
      <c r="AG50" s="195">
        <f>VLOOKUP(N50,Matrix!AA:AC,3,0)</f>
        <v/>
      </c>
      <c r="AH50" s="195">
        <f>SUMIFS(Def!C:C,Def!F:F,AG50)</f>
        <v/>
      </c>
      <c r="AI50" s="156">
        <f>IFERROR(SUMIFS(Def!B:B,Def!F:F,AG50)/AH50,"")</f>
        <v/>
      </c>
      <c r="AJ50" s="195">
        <f>VLOOKUP(P50,Matrix!AA:AC,3,0)</f>
        <v/>
      </c>
      <c r="AK50" s="195">
        <f>SUMIFS(Def!C:C,Def!F:F,AJ50)</f>
        <v/>
      </c>
      <c r="AL50" s="156">
        <f>IFERROR(SUMIFS(Def!B:B,Def!F:F,AJ50)/AK50,"")</f>
        <v/>
      </c>
    </row>
    <row r="51" ht="14.4" customHeight="1" s="152">
      <c r="A51" s="157">
        <f>IF(F51="Yes",IFERROR(IF(AA51&gt;1,AA51/100,100/-AA51),""),-1)</f>
        <v/>
      </c>
      <c r="B51" s="157">
        <f>B50+1</f>
        <v/>
      </c>
      <c r="C51" s="157">
        <f>IF(Y51&gt;Z51,1,0)</f>
        <v/>
      </c>
      <c r="D51" s="157">
        <f>IF(AND(C51=1,F51="Yes"),"Yes",IF(AND(C51=0,F51="No"),"Yes","No"))</f>
        <v/>
      </c>
      <c r="E51" s="192">
        <f>IF((AC51+AB51)=AD51,"Push",IF((AC51+AB51)&gt;AD51,"Yes","No"))</f>
        <v/>
      </c>
      <c r="F51" s="192">
        <f>IF(AC51&gt;AD51,"Yes","No")</f>
        <v/>
      </c>
      <c r="G51" s="192">
        <f>IF((Y51+AB51)&gt;Z51,"Yes",IF((Y51+AB51)=Z51,"Push","No"))</f>
        <v/>
      </c>
      <c r="H51" s="157">
        <f>IF(O51="Home",VLOOKUP(N51,Matrix!A:S,19,0),1)</f>
        <v/>
      </c>
      <c r="I51" s="157">
        <f>IF(O51="Away",VLOOKUP(N51,Matrix!A:Z,20,0),1)</f>
        <v/>
      </c>
      <c r="J51" s="157">
        <f>IF(O51="Away",VLOOKUP(P51,Matrix!A:S,19,0),1)</f>
        <v/>
      </c>
      <c r="K51" s="157">
        <f>IF(O51="Home",VLOOKUP(P51,Matrix!A:Z,20,0),1)</f>
        <v/>
      </c>
      <c r="L51" s="156" t="n">
        <v>0.0293334051246238</v>
      </c>
      <c r="M51" s="179">
        <f>Schedule!B51</f>
        <v/>
      </c>
      <c r="N51" s="156">
        <f>Schedule!E51</f>
        <v/>
      </c>
      <c r="O51" s="156" t="inlineStr">
        <is>
          <t>Home</t>
        </is>
      </c>
      <c r="P51" s="157">
        <f>Schedule!H51</f>
        <v/>
      </c>
      <c r="Q51" s="157">
        <f>Schedule!C51</f>
        <v/>
      </c>
      <c r="R51" s="180">
        <f>Schedule!D51</f>
        <v/>
      </c>
      <c r="S51" s="181">
        <f>Schedule!J51</f>
        <v/>
      </c>
      <c r="T51" s="193">
        <f>Y51-Z51</f>
        <v/>
      </c>
      <c r="U51" s="182">
        <f>T51/Picks!$K$2</f>
        <v/>
      </c>
      <c r="V51" s="193">
        <f>INDEX(Standings!$T$3:$T$34, MATCH(N51, Standings!$A$3:$A$34, 0)) - INDEX(Standings!$T$3:$T$34, MATCH(P51, Standings!$A$3:$A$34, 0))</f>
        <v/>
      </c>
      <c r="W51" s="157">
        <f>INDEX(Standings!$L$3:$L$34, MATCH(N51, Standings!$A$3:$A$34, 0)) - INDEX(Standings!$L$3:$L$34, MATCH(P51, Standings!$A$3:$A$34, 0))</f>
        <v/>
      </c>
      <c r="X51" s="157">
        <f>INDEX(Standings!$M$3:$M$34, MATCH(N51, Standings!$A$3:$A$34, 0)) - INDEX(Standings!$M$3:$M$34, MATCH(P51, Standings!$A$3:$A$34, 0))</f>
        <v/>
      </c>
      <c r="Y51" s="194">
        <f t="array" ref="Y51:Y51">IFERROR(AE51+(AL51-_DFactor)*AE51,"")</f>
        <v/>
      </c>
      <c r="Z51" s="157">
        <f>IFERROR(AF51+(AI51-_DFactor)*AF51,"")</f>
        <v/>
      </c>
      <c r="AC51" s="194">
        <f>VLOOKUP(M51&amp;N51,Schedule!A:F,6,0)</f>
        <v/>
      </c>
      <c r="AD51" s="194">
        <f>VLOOKUP(M51&amp;P51,Schedule!A:F,6,0)</f>
        <v/>
      </c>
      <c r="AE51" s="156">
        <f>VLOOKUP(N51,ProjPVT!B:I,8,0)*_Mag/VLOOKUP(P51,Standings!A:O,15,0)*H51*K51</f>
        <v/>
      </c>
      <c r="AF51" s="156">
        <f>VLOOKUP(P51,ProjPVT!B:I,8,0)*_Mag/VLOOKUP(N51,Standings!A:O,15,0)*J51*I51</f>
        <v/>
      </c>
      <c r="AG51" s="195">
        <f>VLOOKUP(N51,Matrix!AA:AC,3,0)</f>
        <v/>
      </c>
      <c r="AH51" s="195">
        <f>SUMIFS(Def!C:C,Def!F:F,AG51)</f>
        <v/>
      </c>
      <c r="AI51" s="156">
        <f>IFERROR(SUMIFS(Def!B:B,Def!F:F,AG51)/AH51,"")</f>
        <v/>
      </c>
      <c r="AJ51" s="195">
        <f>VLOOKUP(P51,Matrix!AA:AC,3,0)</f>
        <v/>
      </c>
      <c r="AK51" s="195">
        <f>SUMIFS(Def!C:C,Def!F:F,AJ51)</f>
        <v/>
      </c>
      <c r="AL51" s="156">
        <f>IFERROR(SUMIFS(Def!B:B,Def!F:F,AJ51)/AK51,"")</f>
        <v/>
      </c>
    </row>
    <row r="52" ht="14.4" customHeight="1" s="152">
      <c r="A52" s="157">
        <f>IF(F52="Yes",IFERROR(IF(AA52&gt;1,AA52/100,100/-AA52),""),-1)</f>
        <v/>
      </c>
      <c r="B52" s="157">
        <f>B51+1</f>
        <v/>
      </c>
      <c r="C52" s="157">
        <f>IF(Y52&gt;Z52,1,0)</f>
        <v/>
      </c>
      <c r="D52" s="157">
        <f>IF(AND(C52=1,F52="Yes"),"Yes",IF(AND(C52=0,F52="No"),"Yes","No"))</f>
        <v/>
      </c>
      <c r="E52" s="192">
        <f>IF((AC52+AB52)=AD52,"Push",IF((AC52+AB52)&gt;AD52,"Yes","No"))</f>
        <v/>
      </c>
      <c r="F52" s="192">
        <f>IF(AC52&gt;AD52,"Yes","No")</f>
        <v/>
      </c>
      <c r="G52" s="192">
        <f>IF((Y52+AB52)&gt;Z52,"Yes",IF((Y52+AB52)=Z52,"Push","No"))</f>
        <v/>
      </c>
      <c r="H52" s="157">
        <f>IF(O52="Home",VLOOKUP(N52,Matrix!A:S,19,0),1)</f>
        <v/>
      </c>
      <c r="I52" s="157">
        <f>IF(O52="Away",VLOOKUP(N52,Matrix!A:Z,20,0),1)</f>
        <v/>
      </c>
      <c r="J52" s="157">
        <f>IF(O52="Away",VLOOKUP(P52,Matrix!A:S,19,0),1)</f>
        <v/>
      </c>
      <c r="K52" s="157">
        <f>IF(O52="Home",VLOOKUP(P52,Matrix!A:Z,20,0),1)</f>
        <v/>
      </c>
      <c r="L52" s="156" t="n">
        <v>0.0458809543228977</v>
      </c>
      <c r="M52" s="179">
        <f>Schedule!B52</f>
        <v/>
      </c>
      <c r="N52" s="156">
        <f>Schedule!E52</f>
        <v/>
      </c>
      <c r="O52" s="156" t="inlineStr">
        <is>
          <t>Away</t>
        </is>
      </c>
      <c r="P52" s="157">
        <f>Schedule!H52</f>
        <v/>
      </c>
      <c r="Q52" s="157">
        <f>Schedule!C52</f>
        <v/>
      </c>
      <c r="R52" s="180">
        <f>Schedule!D52</f>
        <v/>
      </c>
      <c r="S52" s="181">
        <f>Schedule!J52</f>
        <v/>
      </c>
      <c r="T52" s="193">
        <f>Y52-Z52</f>
        <v/>
      </c>
      <c r="U52" s="182">
        <f>T52/Picks!$K$2</f>
        <v/>
      </c>
      <c r="V52" s="193">
        <f>INDEX(Standings!$T$3:$T$34, MATCH(N52, Standings!$A$3:$A$34, 0)) - INDEX(Standings!$T$3:$T$34, MATCH(P52, Standings!$A$3:$A$34, 0))</f>
        <v/>
      </c>
      <c r="W52" s="157">
        <f>INDEX(Standings!$L$3:$L$34, MATCH(N52, Standings!$A$3:$A$34, 0)) - INDEX(Standings!$L$3:$L$34, MATCH(P52, Standings!$A$3:$A$34, 0))</f>
        <v/>
      </c>
      <c r="X52" s="157">
        <f>INDEX(Standings!$M$3:$M$34, MATCH(N52, Standings!$A$3:$A$34, 0)) - INDEX(Standings!$M$3:$M$34, MATCH(P52, Standings!$A$3:$A$34, 0))</f>
        <v/>
      </c>
      <c r="Y52" s="194">
        <f t="array" ref="Y52:Y52">IFERROR(AE52+(AL52-_DFactor)*AE52,"")</f>
        <v/>
      </c>
      <c r="Z52" s="157">
        <f>IFERROR(AF52+(AI52-_DFactor)*AF52,"")</f>
        <v/>
      </c>
      <c r="AC52" s="194">
        <f>VLOOKUP(M52&amp;N52,Schedule!A:F,6,0)</f>
        <v/>
      </c>
      <c r="AD52" s="194">
        <f>VLOOKUP(M52&amp;P52,Schedule!A:F,6,0)</f>
        <v/>
      </c>
      <c r="AE52" s="156">
        <f>VLOOKUP(N52,ProjPVT!B:I,8,0)*_Mag/VLOOKUP(P52,Standings!A:O,15,0)*H52*K52</f>
        <v/>
      </c>
      <c r="AF52" s="156">
        <f>VLOOKUP(P52,ProjPVT!B:I,8,0)*_Mag/VLOOKUP(N52,Standings!A:O,15,0)*J52*I52</f>
        <v/>
      </c>
      <c r="AG52" s="195">
        <f>VLOOKUP(N52,Matrix!AA:AC,3,0)</f>
        <v/>
      </c>
      <c r="AH52" s="195">
        <f>SUMIFS(Def!C:C,Def!F:F,AG52)</f>
        <v/>
      </c>
      <c r="AI52" s="156">
        <f>IFERROR(SUMIFS(Def!B:B,Def!F:F,AG52)/AH52,"")</f>
        <v/>
      </c>
      <c r="AJ52" s="195">
        <f>VLOOKUP(P52,Matrix!AA:AC,3,0)</f>
        <v/>
      </c>
      <c r="AK52" s="195">
        <f>SUMIFS(Def!C:C,Def!F:F,AJ52)</f>
        <v/>
      </c>
      <c r="AL52" s="156">
        <f>IFERROR(SUMIFS(Def!B:B,Def!F:F,AJ52)/AK52,"")</f>
        <v/>
      </c>
    </row>
    <row r="53" ht="14.4" customHeight="1" s="152">
      <c r="A53" s="157">
        <f>IF(F53="Yes",IFERROR(IF(AA53&gt;1,AA53/100,100/-AA53),""),-1)</f>
        <v/>
      </c>
      <c r="B53" s="157">
        <f>B52+1</f>
        <v/>
      </c>
      <c r="C53" s="157">
        <f>IF(Y53&gt;Z53,1,0)</f>
        <v/>
      </c>
      <c r="D53" s="157">
        <f>IF(AND(C53=1,F53="Yes"),"Yes",IF(AND(C53=0,F53="No"),"Yes","No"))</f>
        <v/>
      </c>
      <c r="E53" s="192">
        <f>IF((AC53+AB53)=AD53,"Push",IF((AC53+AB53)&gt;AD53,"Yes","No"))</f>
        <v/>
      </c>
      <c r="F53" s="192">
        <f>IF(AC53&gt;AD53,"Yes","No")</f>
        <v/>
      </c>
      <c r="G53" s="192">
        <f>IF((Y53+AB53)&gt;Z53,"Yes",IF((Y53+AB53)=Z53,"Push","No"))</f>
        <v/>
      </c>
      <c r="H53" s="157">
        <f>IF(O53="Home",VLOOKUP(N53,Matrix!A:S,19,0),1)</f>
        <v/>
      </c>
      <c r="I53" s="157">
        <f>IF(O53="Away",VLOOKUP(N53,Matrix!A:Z,20,0),1)</f>
        <v/>
      </c>
      <c r="J53" s="157">
        <f>IF(O53="Away",VLOOKUP(P53,Matrix!A:S,19,0),1)</f>
        <v/>
      </c>
      <c r="K53" s="157">
        <f>IF(O53="Home",VLOOKUP(P53,Matrix!A:Z,20,0),1)</f>
        <v/>
      </c>
      <c r="L53" s="156" t="n">
        <v>0.0516538450334931</v>
      </c>
      <c r="M53" s="179">
        <f>Schedule!B53</f>
        <v/>
      </c>
      <c r="N53" s="156">
        <f>Schedule!E53</f>
        <v/>
      </c>
      <c r="O53" s="156" t="inlineStr">
        <is>
          <t>Away</t>
        </is>
      </c>
      <c r="P53" s="157">
        <f>Schedule!H53</f>
        <v/>
      </c>
      <c r="Q53" s="157">
        <f>Schedule!C53</f>
        <v/>
      </c>
      <c r="R53" s="180">
        <f>Schedule!D53</f>
        <v/>
      </c>
      <c r="S53" s="181">
        <f>Schedule!J53</f>
        <v/>
      </c>
      <c r="T53" s="193">
        <f>Y53-Z53</f>
        <v/>
      </c>
      <c r="U53" s="182">
        <f>T53/Picks!$K$2</f>
        <v/>
      </c>
      <c r="V53" s="193">
        <f>INDEX(Standings!$T$3:$T$34, MATCH(N53, Standings!$A$3:$A$34, 0)) - INDEX(Standings!$T$3:$T$34, MATCH(P53, Standings!$A$3:$A$34, 0))</f>
        <v/>
      </c>
      <c r="W53" s="157">
        <f>INDEX(Standings!$L$3:$L$34, MATCH(N53, Standings!$A$3:$A$34, 0)) - INDEX(Standings!$L$3:$L$34, MATCH(P53, Standings!$A$3:$A$34, 0))</f>
        <v/>
      </c>
      <c r="X53" s="157">
        <f>INDEX(Standings!$M$3:$M$34, MATCH(N53, Standings!$A$3:$A$34, 0)) - INDEX(Standings!$M$3:$M$34, MATCH(P53, Standings!$A$3:$A$34, 0))</f>
        <v/>
      </c>
      <c r="Y53" s="194">
        <f t="array" ref="Y53:Y53">IFERROR(AE53+(AL53-_DFactor)*AE53,"")</f>
        <v/>
      </c>
      <c r="Z53" s="157">
        <f>IFERROR(AF53+(AI53-_DFactor)*AF53,"")</f>
        <v/>
      </c>
      <c r="AC53" s="194">
        <f>VLOOKUP(M53&amp;N53,Schedule!A:F,6,0)</f>
        <v/>
      </c>
      <c r="AD53" s="194">
        <f>VLOOKUP(M53&amp;P53,Schedule!A:F,6,0)</f>
        <v/>
      </c>
      <c r="AE53" s="156">
        <f>VLOOKUP(N53,ProjPVT!B:I,8,0)*_Mag/VLOOKUP(P53,Standings!A:O,15,0)*H53*K53</f>
        <v/>
      </c>
      <c r="AF53" s="156">
        <f>VLOOKUP(P53,ProjPVT!B:I,8,0)*_Mag/VLOOKUP(N53,Standings!A:O,15,0)*J53*I53</f>
        <v/>
      </c>
      <c r="AG53" s="195">
        <f>VLOOKUP(N53,Matrix!AA:AC,3,0)</f>
        <v/>
      </c>
      <c r="AH53" s="195">
        <f>SUMIFS(Def!C:C,Def!F:F,AG53)</f>
        <v/>
      </c>
      <c r="AI53" s="156">
        <f>IFERROR(SUMIFS(Def!B:B,Def!F:F,AG53)/AH53,"")</f>
        <v/>
      </c>
      <c r="AJ53" s="195">
        <f>VLOOKUP(P53,Matrix!AA:AC,3,0)</f>
        <v/>
      </c>
      <c r="AK53" s="195">
        <f>SUMIFS(Def!C:C,Def!F:F,AJ53)</f>
        <v/>
      </c>
      <c r="AL53" s="156">
        <f>IFERROR(SUMIFS(Def!B:B,Def!F:F,AJ53)/AK53,"")</f>
        <v/>
      </c>
    </row>
    <row r="54" ht="14.4" customHeight="1" s="152">
      <c r="A54" s="157">
        <f>IF(F54="Yes",IFERROR(IF(AA54&gt;1,AA54/100,100/-AA54),""),-1)</f>
        <v/>
      </c>
      <c r="B54" s="157">
        <f>B53+1</f>
        <v/>
      </c>
      <c r="C54" s="157">
        <f>IF(Y54&gt;Z54,1,0)</f>
        <v/>
      </c>
      <c r="D54" s="157">
        <f>IF(AND(C54=1,F54="Yes"),"Yes",IF(AND(C54=0,F54="No"),"Yes","No"))</f>
        <v/>
      </c>
      <c r="E54" s="192">
        <f>IF((AC54+AB54)=AD54,"Push",IF((AC54+AB54)&gt;AD54,"Yes","No"))</f>
        <v/>
      </c>
      <c r="F54" s="192">
        <f>IF(AC54&gt;AD54,"Yes","No")</f>
        <v/>
      </c>
      <c r="G54" s="192">
        <f>IF((Y54+AB54)&gt;Z54,"Yes",IF((Y54+AB54)=Z54,"Push","No"))</f>
        <v/>
      </c>
      <c r="H54" s="157">
        <f>IF(O54="Home",VLOOKUP(N54,Matrix!A:S,19,0),1)</f>
        <v/>
      </c>
      <c r="I54" s="157">
        <f>IF(O54="Away",VLOOKUP(N54,Matrix!A:Z,20,0),1)</f>
        <v/>
      </c>
      <c r="J54" s="157">
        <f>IF(O54="Away",VLOOKUP(P54,Matrix!A:S,19,0),1)</f>
        <v/>
      </c>
      <c r="K54" s="157">
        <f>IF(O54="Home",VLOOKUP(P54,Matrix!A:Z,20,0),1)</f>
        <v/>
      </c>
      <c r="L54" s="156" t="n">
        <v>0.15864766072662</v>
      </c>
      <c r="M54" s="179">
        <f>Schedule!B54</f>
        <v/>
      </c>
      <c r="N54" s="156">
        <f>Schedule!E54</f>
        <v/>
      </c>
      <c r="O54" s="156" t="inlineStr">
        <is>
          <t>Home</t>
        </is>
      </c>
      <c r="P54" s="157">
        <f>Schedule!H54</f>
        <v/>
      </c>
      <c r="Q54" s="157">
        <f>Schedule!C54</f>
        <v/>
      </c>
      <c r="R54" s="180">
        <f>Schedule!D54</f>
        <v/>
      </c>
      <c r="S54" s="181">
        <f>Schedule!J54</f>
        <v/>
      </c>
      <c r="T54" s="193">
        <f>Y54-Z54</f>
        <v/>
      </c>
      <c r="U54" s="182">
        <f>T54/Picks!$K$2</f>
        <v/>
      </c>
      <c r="V54" s="193">
        <f>INDEX(Standings!$T$3:$T$34, MATCH(N54, Standings!$A$3:$A$34, 0)) - INDEX(Standings!$T$3:$T$34, MATCH(P54, Standings!$A$3:$A$34, 0))</f>
        <v/>
      </c>
      <c r="W54" s="157">
        <f>INDEX(Standings!$L$3:$L$34, MATCH(N54, Standings!$A$3:$A$34, 0)) - INDEX(Standings!$L$3:$L$34, MATCH(P54, Standings!$A$3:$A$34, 0))</f>
        <v/>
      </c>
      <c r="X54" s="157">
        <f>INDEX(Standings!$M$3:$M$34, MATCH(N54, Standings!$A$3:$A$34, 0)) - INDEX(Standings!$M$3:$M$34, MATCH(P54, Standings!$A$3:$A$34, 0))</f>
        <v/>
      </c>
      <c r="Y54" s="194">
        <f t="array" ref="Y54:Y54">IFERROR(AE54+(AL54-_DFactor)*AE54,"")</f>
        <v/>
      </c>
      <c r="Z54" s="157">
        <f>IFERROR(AF54+(AI54-_DFactor)*AF54,"")</f>
        <v/>
      </c>
      <c r="AC54" s="194">
        <f>VLOOKUP(M54&amp;N54,Schedule!A:F,6,0)</f>
        <v/>
      </c>
      <c r="AD54" s="194">
        <f>VLOOKUP(M54&amp;P54,Schedule!A:F,6,0)</f>
        <v/>
      </c>
      <c r="AE54" s="156">
        <f>VLOOKUP(N54,ProjPVT!B:I,8,0)*_Mag/VLOOKUP(P54,Standings!A:O,15,0)*H54*K54</f>
        <v/>
      </c>
      <c r="AF54" s="156">
        <f>VLOOKUP(P54,ProjPVT!B:I,8,0)*_Mag/VLOOKUP(N54,Standings!A:O,15,0)*J54*I54</f>
        <v/>
      </c>
      <c r="AG54" s="195">
        <f>VLOOKUP(N54,Matrix!AA:AC,3,0)</f>
        <v/>
      </c>
      <c r="AH54" s="195">
        <f>SUMIFS(Def!C:C,Def!F:F,AG54)</f>
        <v/>
      </c>
      <c r="AI54" s="156">
        <f>IFERROR(SUMIFS(Def!B:B,Def!F:F,AG54)/AH54,"")</f>
        <v/>
      </c>
      <c r="AJ54" s="195">
        <f>VLOOKUP(P54,Matrix!AA:AC,3,0)</f>
        <v/>
      </c>
      <c r="AK54" s="195">
        <f>SUMIFS(Def!C:C,Def!F:F,AJ54)</f>
        <v/>
      </c>
      <c r="AL54" s="156">
        <f>IFERROR(SUMIFS(Def!B:B,Def!F:F,AJ54)/AK54,"")</f>
        <v/>
      </c>
    </row>
    <row r="55" ht="14.4" customHeight="1" s="152">
      <c r="A55" s="157">
        <f>IF(F55="Yes",IFERROR(IF(AA55&gt;1,AA55/100,100/-AA55),""),-1)</f>
        <v/>
      </c>
      <c r="B55" s="157">
        <f>B54+1</f>
        <v/>
      </c>
      <c r="C55" s="157">
        <f>IF(Y55&gt;Z55,1,0)</f>
        <v/>
      </c>
      <c r="D55" s="157">
        <f>IF(AND(C55=1,F55="Yes"),"Yes",IF(AND(C55=0,F55="No"),"Yes","No"))</f>
        <v/>
      </c>
      <c r="E55" s="192">
        <f>IF((AC55+AB55)=AD55,"Push",IF((AC55+AB55)&gt;AD55,"Yes","No"))</f>
        <v/>
      </c>
      <c r="F55" s="192">
        <f>IF(AC55&gt;AD55,"Yes","No")</f>
        <v/>
      </c>
      <c r="G55" s="192">
        <f>IF((Y55+AB55)&gt;Z55,"Yes",IF((Y55+AB55)=Z55,"Push","No"))</f>
        <v/>
      </c>
      <c r="H55" s="157">
        <f>IF(O55="Home",VLOOKUP(N55,Matrix!A:S,19,0),1)</f>
        <v/>
      </c>
      <c r="I55" s="157">
        <f>IF(O55="Away",VLOOKUP(N55,Matrix!A:Z,20,0),1)</f>
        <v/>
      </c>
      <c r="J55" s="157">
        <f>IF(O55="Away",VLOOKUP(P55,Matrix!A:S,19,0),1)</f>
        <v/>
      </c>
      <c r="K55" s="157">
        <f>IF(O55="Home",VLOOKUP(P55,Matrix!A:Z,20,0),1)</f>
        <v/>
      </c>
      <c r="L55" s="156" t="n">
        <v>0.178606164935969</v>
      </c>
      <c r="M55" s="179">
        <f>Schedule!B55</f>
        <v/>
      </c>
      <c r="N55" s="156">
        <f>Schedule!E55</f>
        <v/>
      </c>
      <c r="O55" s="156" t="inlineStr">
        <is>
          <t>Home</t>
        </is>
      </c>
      <c r="P55" s="157">
        <f>Schedule!H55</f>
        <v/>
      </c>
      <c r="Q55" s="157">
        <f>Schedule!C55</f>
        <v/>
      </c>
      <c r="R55" s="180">
        <f>Schedule!D55</f>
        <v/>
      </c>
      <c r="S55" s="181">
        <f>Schedule!J55</f>
        <v/>
      </c>
      <c r="T55" s="193">
        <f>Y55-Z55</f>
        <v/>
      </c>
      <c r="U55" s="182">
        <f>T55/Picks!$K$2</f>
        <v/>
      </c>
      <c r="V55" s="193">
        <f>INDEX(Standings!$T$3:$T$34, MATCH(N55, Standings!$A$3:$A$34, 0)) - INDEX(Standings!$T$3:$T$34, MATCH(P55, Standings!$A$3:$A$34, 0))</f>
        <v/>
      </c>
      <c r="W55" s="157">
        <f>INDEX(Standings!$L$3:$L$34, MATCH(N55, Standings!$A$3:$A$34, 0)) - INDEX(Standings!$L$3:$L$34, MATCH(P55, Standings!$A$3:$A$34, 0))</f>
        <v/>
      </c>
      <c r="X55" s="157">
        <f>INDEX(Standings!$M$3:$M$34, MATCH(N55, Standings!$A$3:$A$34, 0)) - INDEX(Standings!$M$3:$M$34, MATCH(P55, Standings!$A$3:$A$34, 0))</f>
        <v/>
      </c>
      <c r="Y55" s="194">
        <f t="array" ref="Y55:Y55">IFERROR(AE55+(AL55-_DFactor)*AE55,"")</f>
        <v/>
      </c>
      <c r="Z55" s="157">
        <f>IFERROR(AF55+(AI55-_DFactor)*AF55,"")</f>
        <v/>
      </c>
      <c r="AC55" s="194">
        <f>VLOOKUP(M55&amp;N55,Schedule!A:F,6,0)</f>
        <v/>
      </c>
      <c r="AD55" s="194">
        <f>VLOOKUP(M55&amp;P55,Schedule!A:F,6,0)</f>
        <v/>
      </c>
      <c r="AE55" s="156">
        <f>VLOOKUP(N55,ProjPVT!B:I,8,0)*_Mag/VLOOKUP(P55,Standings!A:O,15,0)*H55*K55</f>
        <v/>
      </c>
      <c r="AF55" s="156">
        <f>VLOOKUP(P55,ProjPVT!B:I,8,0)*_Mag/VLOOKUP(N55,Standings!A:O,15,0)*J55*I55</f>
        <v/>
      </c>
      <c r="AG55" s="195">
        <f>VLOOKUP(N55,Matrix!AA:AC,3,0)</f>
        <v/>
      </c>
      <c r="AH55" s="195">
        <f>SUMIFS(Def!C:C,Def!F:F,AG55)</f>
        <v/>
      </c>
      <c r="AI55" s="156">
        <f>IFERROR(SUMIFS(Def!B:B,Def!F:F,AG55)/AH55,"")</f>
        <v/>
      </c>
      <c r="AJ55" s="195">
        <f>VLOOKUP(P55,Matrix!AA:AC,3,0)</f>
        <v/>
      </c>
      <c r="AK55" s="195">
        <f>SUMIFS(Def!C:C,Def!F:F,AJ55)</f>
        <v/>
      </c>
      <c r="AL55" s="156">
        <f>IFERROR(SUMIFS(Def!B:B,Def!F:F,AJ55)/AK55,"")</f>
        <v/>
      </c>
    </row>
    <row r="56" ht="14.4" customHeight="1" s="152">
      <c r="A56" s="157">
        <f>IF(F56="Yes",IFERROR(IF(AA56&gt;1,AA56/100,100/-AA56),""),-1)</f>
        <v/>
      </c>
      <c r="B56" s="157">
        <f>B55+1</f>
        <v/>
      </c>
      <c r="C56" s="157">
        <f>IF(Y56&gt;Z56,1,0)</f>
        <v/>
      </c>
      <c r="D56" s="157">
        <f>IF(AND(C56=1,F56="Yes"),"Yes",IF(AND(C56=0,F56="No"),"Yes","No"))</f>
        <v/>
      </c>
      <c r="E56" s="192">
        <f>IF((AC56+AB56)=AD56,"Push",IF((AC56+AB56)&gt;AD56,"Yes","No"))</f>
        <v/>
      </c>
      <c r="F56" s="192">
        <f>IF(AC56&gt;AD56,"Yes","No")</f>
        <v/>
      </c>
      <c r="G56" s="192">
        <f>IF((Y56+AB56)&gt;Z56,"Yes",IF((Y56+AB56)=Z56,"Push","No"))</f>
        <v/>
      </c>
      <c r="H56" s="157">
        <f>IF(O56="Home",VLOOKUP(N56,Matrix!A:S,19,0),1)</f>
        <v/>
      </c>
      <c r="I56" s="157">
        <f>IF(O56="Away",VLOOKUP(N56,Matrix!A:Z,20,0),1)</f>
        <v/>
      </c>
      <c r="J56" s="157">
        <f>IF(O56="Away",VLOOKUP(P56,Matrix!A:S,19,0),1)</f>
        <v/>
      </c>
      <c r="K56" s="157">
        <f>IF(O56="Home",VLOOKUP(P56,Matrix!A:Z,20,0),1)</f>
        <v/>
      </c>
      <c r="L56" s="156" t="n">
        <v>0.195577791658641</v>
      </c>
      <c r="M56" s="179">
        <f>Schedule!B56</f>
        <v/>
      </c>
      <c r="N56" s="156">
        <f>Schedule!E56</f>
        <v/>
      </c>
      <c r="O56" s="156" t="inlineStr">
        <is>
          <t>Home</t>
        </is>
      </c>
      <c r="P56" s="157">
        <f>Schedule!H56</f>
        <v/>
      </c>
      <c r="Q56" s="157">
        <f>Schedule!C56</f>
        <v/>
      </c>
      <c r="R56" s="180">
        <f>Schedule!D56</f>
        <v/>
      </c>
      <c r="S56" s="181">
        <f>Schedule!J56</f>
        <v/>
      </c>
      <c r="T56" s="193">
        <f>Y56-Z56</f>
        <v/>
      </c>
      <c r="U56" s="182">
        <f>T56/Picks!$K$2</f>
        <v/>
      </c>
      <c r="V56" s="193">
        <f>INDEX(Standings!$T$3:$T$34, MATCH(N56, Standings!$A$3:$A$34, 0)) - INDEX(Standings!$T$3:$T$34, MATCH(P56, Standings!$A$3:$A$34, 0))</f>
        <v/>
      </c>
      <c r="W56" s="157">
        <f>INDEX(Standings!$L$3:$L$34, MATCH(N56, Standings!$A$3:$A$34, 0)) - INDEX(Standings!$L$3:$L$34, MATCH(P56, Standings!$A$3:$A$34, 0))</f>
        <v/>
      </c>
      <c r="X56" s="157">
        <f>INDEX(Standings!$M$3:$M$34, MATCH(N56, Standings!$A$3:$A$34, 0)) - INDEX(Standings!$M$3:$M$34, MATCH(P56, Standings!$A$3:$A$34, 0))</f>
        <v/>
      </c>
      <c r="Y56" s="194">
        <f t="array" ref="Y56:Y56">IFERROR(AE56+(AL56-_DFactor)*AE56,"")</f>
        <v/>
      </c>
      <c r="Z56" s="157">
        <f>IFERROR(AF56+(AI56-_DFactor)*AF56,"")</f>
        <v/>
      </c>
      <c r="AC56" s="194">
        <f>VLOOKUP(M56&amp;N56,Schedule!A:F,6,0)</f>
        <v/>
      </c>
      <c r="AD56" s="194">
        <f>VLOOKUP(M56&amp;P56,Schedule!A:F,6,0)</f>
        <v/>
      </c>
      <c r="AE56" s="156">
        <f>VLOOKUP(N56,ProjPVT!B:I,8,0)*_Mag/VLOOKUP(P56,Standings!A:O,15,0)*H56*K56</f>
        <v/>
      </c>
      <c r="AF56" s="156">
        <f>VLOOKUP(P56,ProjPVT!B:I,8,0)*_Mag/VLOOKUP(N56,Standings!A:O,15,0)*J56*I56</f>
        <v/>
      </c>
      <c r="AG56" s="195">
        <f>VLOOKUP(N56,Matrix!AA:AC,3,0)</f>
        <v/>
      </c>
      <c r="AH56" s="195">
        <f>SUMIFS(Def!C:C,Def!F:F,AG56)</f>
        <v/>
      </c>
      <c r="AI56" s="156">
        <f>IFERROR(SUMIFS(Def!B:B,Def!F:F,AG56)/AH56,"")</f>
        <v/>
      </c>
      <c r="AJ56" s="195">
        <f>VLOOKUP(P56,Matrix!AA:AC,3,0)</f>
        <v/>
      </c>
      <c r="AK56" s="195">
        <f>SUMIFS(Def!C:C,Def!F:F,AJ56)</f>
        <v/>
      </c>
      <c r="AL56" s="156">
        <f>IFERROR(SUMIFS(Def!B:B,Def!F:F,AJ56)/AK56,"")</f>
        <v/>
      </c>
    </row>
    <row r="57" ht="14.4" customHeight="1" s="152">
      <c r="A57" s="157">
        <f>IF(F57="Yes",IFERROR(IF(AA57&gt;1,AA57/100,100/-AA57),""),-1)</f>
        <v/>
      </c>
      <c r="B57" s="157">
        <f>B56+1</f>
        <v/>
      </c>
      <c r="C57" s="157">
        <f>IF(Y57&gt;Z57,1,0)</f>
        <v/>
      </c>
      <c r="D57" s="157">
        <f>IF(AND(C57=1,F57="Yes"),"Yes",IF(AND(C57=0,F57="No"),"Yes","No"))</f>
        <v/>
      </c>
      <c r="E57" s="192">
        <f>IF((AC57+AB57)=AD57,"Push",IF((AC57+AB57)&gt;AD57,"Yes","No"))</f>
        <v/>
      </c>
      <c r="F57" s="192">
        <f>IF(AC57&gt;AD57,"Yes","No")</f>
        <v/>
      </c>
      <c r="G57" s="192">
        <f>IF((Y57+AB57)&gt;Z57,"Yes",IF((Y57+AB57)=Z57,"Push","No"))</f>
        <v/>
      </c>
      <c r="H57" s="157">
        <f>IF(O57="Home",VLOOKUP(N57,Matrix!A:S,19,0),1)</f>
        <v/>
      </c>
      <c r="I57" s="157">
        <f>IF(O57="Away",VLOOKUP(N57,Matrix!A:Z,20,0),1)</f>
        <v/>
      </c>
      <c r="J57" s="157">
        <f>IF(O57="Away",VLOOKUP(P57,Matrix!A:S,19,0),1)</f>
        <v/>
      </c>
      <c r="K57" s="157">
        <f>IF(O57="Home",VLOOKUP(P57,Matrix!A:Z,20,0),1)</f>
        <v/>
      </c>
      <c r="L57" s="156" t="n">
        <v>0.196505883912209</v>
      </c>
      <c r="M57" s="179">
        <f>Schedule!B57</f>
        <v/>
      </c>
      <c r="N57" s="156">
        <f>Schedule!E57</f>
        <v/>
      </c>
      <c r="O57" s="156" t="inlineStr">
        <is>
          <t>Home</t>
        </is>
      </c>
      <c r="P57" s="157">
        <f>Schedule!H57</f>
        <v/>
      </c>
      <c r="Q57" s="157">
        <f>Schedule!C57</f>
        <v/>
      </c>
      <c r="R57" s="180">
        <f>Schedule!D57</f>
        <v/>
      </c>
      <c r="S57" s="181">
        <f>Schedule!J57</f>
        <v/>
      </c>
      <c r="T57" s="193">
        <f>Y57-Z57</f>
        <v/>
      </c>
      <c r="U57" s="182">
        <f>T57/Picks!$K$2</f>
        <v/>
      </c>
      <c r="V57" s="193">
        <f>INDEX(Standings!$T$3:$T$34, MATCH(N57, Standings!$A$3:$A$34, 0)) - INDEX(Standings!$T$3:$T$34, MATCH(P57, Standings!$A$3:$A$34, 0))</f>
        <v/>
      </c>
      <c r="W57" s="157">
        <f>INDEX(Standings!$L$3:$L$34, MATCH(N57, Standings!$A$3:$A$34, 0)) - INDEX(Standings!$L$3:$L$34, MATCH(P57, Standings!$A$3:$A$34, 0))</f>
        <v/>
      </c>
      <c r="X57" s="157">
        <f>INDEX(Standings!$M$3:$M$34, MATCH(N57, Standings!$A$3:$A$34, 0)) - INDEX(Standings!$M$3:$M$34, MATCH(P57, Standings!$A$3:$A$34, 0))</f>
        <v/>
      </c>
      <c r="Y57" s="194">
        <f t="array" ref="Y57:Y57">IFERROR(AE57+(AL57-_DFactor)*AE57,"")</f>
        <v/>
      </c>
      <c r="Z57" s="157">
        <f>IFERROR(AF57+(AI57-_DFactor)*AF57,"")</f>
        <v/>
      </c>
      <c r="AC57" s="194">
        <f>VLOOKUP(M57&amp;N57,Schedule!A:F,6,0)</f>
        <v/>
      </c>
      <c r="AD57" s="194">
        <f>VLOOKUP(M57&amp;P57,Schedule!A:F,6,0)</f>
        <v/>
      </c>
      <c r="AE57" s="156">
        <f>VLOOKUP(N57,ProjPVT!B:I,8,0)*_Mag/VLOOKUP(P57,Standings!A:O,15,0)*H57*K57</f>
        <v/>
      </c>
      <c r="AF57" s="156">
        <f>VLOOKUP(P57,ProjPVT!B:I,8,0)*_Mag/VLOOKUP(N57,Standings!A:O,15,0)*J57*I57</f>
        <v/>
      </c>
      <c r="AG57" s="195">
        <f>VLOOKUP(N57,Matrix!AA:AC,3,0)</f>
        <v/>
      </c>
      <c r="AH57" s="195">
        <f>SUMIFS(Def!C:C,Def!F:F,AG57)</f>
        <v/>
      </c>
      <c r="AI57" s="156">
        <f>IFERROR(SUMIFS(Def!B:B,Def!F:F,AG57)/AH57,"")</f>
        <v/>
      </c>
      <c r="AJ57" s="195">
        <f>VLOOKUP(P57,Matrix!AA:AC,3,0)</f>
        <v/>
      </c>
      <c r="AK57" s="195">
        <f>SUMIFS(Def!C:C,Def!F:F,AJ57)</f>
        <v/>
      </c>
      <c r="AL57" s="156">
        <f>IFERROR(SUMIFS(Def!B:B,Def!F:F,AJ57)/AK57,"")</f>
        <v/>
      </c>
    </row>
    <row r="58" ht="14.4" customHeight="1" s="152">
      <c r="A58" s="157">
        <f>IF(F58="Yes",IFERROR(IF(AA58&gt;1,AA58/100,100/-AA58),""),-1)</f>
        <v/>
      </c>
      <c r="B58" s="157">
        <f>B57+1</f>
        <v/>
      </c>
      <c r="C58" s="157">
        <f>IF(Y58&gt;Z58,1,0)</f>
        <v/>
      </c>
      <c r="D58" s="157">
        <f>IF(AND(C58=1,F58="Yes"),"Yes",IF(AND(C58=0,F58="No"),"Yes","No"))</f>
        <v/>
      </c>
      <c r="E58" s="192">
        <f>IF((AC58+AB58)=AD58,"Push",IF((AC58+AB58)&gt;AD58,"Yes","No"))</f>
        <v/>
      </c>
      <c r="F58" s="192">
        <f>IF(AC58&gt;AD58,"Yes","No")</f>
        <v/>
      </c>
      <c r="G58" s="192">
        <f>IF((Y58+AB58)&gt;Z58,"Yes",IF((Y58+AB58)=Z58,"Push","No"))</f>
        <v/>
      </c>
      <c r="H58" s="157">
        <f>IF(O58="Home",VLOOKUP(N58,Matrix!A:S,19,0),1)</f>
        <v/>
      </c>
      <c r="I58" s="157">
        <f>IF(O58="Away",VLOOKUP(N58,Matrix!A:Z,20,0),1)</f>
        <v/>
      </c>
      <c r="J58" s="157">
        <f>IF(O58="Away",VLOOKUP(P58,Matrix!A:S,19,0),1)</f>
        <v/>
      </c>
      <c r="K58" s="157">
        <f>IF(O58="Home",VLOOKUP(P58,Matrix!A:Z,20,0),1)</f>
        <v/>
      </c>
      <c r="L58" s="156" t="n">
        <v>0.22082516812088</v>
      </c>
      <c r="M58" s="179">
        <f>Schedule!B58</f>
        <v/>
      </c>
      <c r="N58" s="156">
        <f>Schedule!E58</f>
        <v/>
      </c>
      <c r="O58" s="156" t="inlineStr">
        <is>
          <t>Away</t>
        </is>
      </c>
      <c r="P58" s="157">
        <f>Schedule!H58</f>
        <v/>
      </c>
      <c r="Q58" s="157">
        <f>Schedule!C58</f>
        <v/>
      </c>
      <c r="R58" s="180">
        <f>Schedule!D58</f>
        <v/>
      </c>
      <c r="S58" s="181">
        <f>Schedule!J58</f>
        <v/>
      </c>
      <c r="T58" s="193">
        <f>Y58-Z58</f>
        <v/>
      </c>
      <c r="U58" s="182">
        <f>T58/Picks!$K$2</f>
        <v/>
      </c>
      <c r="V58" s="193">
        <f>INDEX(Standings!$T$3:$T$34, MATCH(N58, Standings!$A$3:$A$34, 0)) - INDEX(Standings!$T$3:$T$34, MATCH(P58, Standings!$A$3:$A$34, 0))</f>
        <v/>
      </c>
      <c r="W58" s="157">
        <f>INDEX(Standings!$L$3:$L$34, MATCH(N58, Standings!$A$3:$A$34, 0)) - INDEX(Standings!$L$3:$L$34, MATCH(P58, Standings!$A$3:$A$34, 0))</f>
        <v/>
      </c>
      <c r="X58" s="157">
        <f>INDEX(Standings!$M$3:$M$34, MATCH(N58, Standings!$A$3:$A$34, 0)) - INDEX(Standings!$M$3:$M$34, MATCH(P58, Standings!$A$3:$A$34, 0))</f>
        <v/>
      </c>
      <c r="Y58" s="194">
        <f t="array" ref="Y58:Y58">IFERROR(AE58+(AL58-_DFactor)*AE58,"")</f>
        <v/>
      </c>
      <c r="Z58" s="157">
        <f>IFERROR(AF58+(AI58-_DFactor)*AF58,"")</f>
        <v/>
      </c>
      <c r="AC58" s="194">
        <f>VLOOKUP(M58&amp;N58,Schedule!A:F,6,0)</f>
        <v/>
      </c>
      <c r="AD58" s="194">
        <f>VLOOKUP(M58&amp;P58,Schedule!A:F,6,0)</f>
        <v/>
      </c>
      <c r="AE58" s="156">
        <f>VLOOKUP(N58,ProjPVT!B:I,8,0)*_Mag/VLOOKUP(P58,Standings!A:O,15,0)*H58*K58</f>
        <v/>
      </c>
      <c r="AF58" s="156">
        <f>VLOOKUP(P58,ProjPVT!B:I,8,0)*_Mag/VLOOKUP(N58,Standings!A:O,15,0)*J58*I58</f>
        <v/>
      </c>
      <c r="AG58" s="195">
        <f>VLOOKUP(N58,Matrix!AA:AC,3,0)</f>
        <v/>
      </c>
      <c r="AH58" s="195">
        <f>SUMIFS(Def!C:C,Def!F:F,AG58)</f>
        <v/>
      </c>
      <c r="AI58" s="156">
        <f>IFERROR(SUMIFS(Def!B:B,Def!F:F,AG58)/AH58,"")</f>
        <v/>
      </c>
      <c r="AJ58" s="195">
        <f>VLOOKUP(P58,Matrix!AA:AC,3,0)</f>
        <v/>
      </c>
      <c r="AK58" s="195">
        <f>SUMIFS(Def!C:C,Def!F:F,AJ58)</f>
        <v/>
      </c>
      <c r="AL58" s="156">
        <f>IFERROR(SUMIFS(Def!B:B,Def!F:F,AJ58)/AK58,"")</f>
        <v/>
      </c>
    </row>
    <row r="59" ht="14.4" customHeight="1" s="152">
      <c r="A59" s="157">
        <f>IF(F59="Yes",IFERROR(IF(AA59&gt;1,AA59/100,100/-AA59),""),-1)</f>
        <v/>
      </c>
      <c r="B59" s="157">
        <f>B58+1</f>
        <v/>
      </c>
      <c r="C59" s="157">
        <f>IF(Y59&gt;Z59,1,0)</f>
        <v/>
      </c>
      <c r="D59" s="157">
        <f>IF(AND(C59=1,F59="Yes"),"Yes",IF(AND(C59=0,F59="No"),"Yes","No"))</f>
        <v/>
      </c>
      <c r="E59" s="192">
        <f>IF((AC59+AB59)=AD59,"Push",IF((AC59+AB59)&gt;AD59,"Yes","No"))</f>
        <v/>
      </c>
      <c r="F59" s="192">
        <f>IF(AC59&gt;AD59,"Yes","No")</f>
        <v/>
      </c>
      <c r="G59" s="192">
        <f>IF((Y59+AB59)&gt;Z59,"Yes",IF((Y59+AB59)=Z59,"Push","No"))</f>
        <v/>
      </c>
      <c r="H59" s="157">
        <f>IF(O59="Home",VLOOKUP(N59,Matrix!A:S,19,0),1)</f>
        <v/>
      </c>
      <c r="I59" s="157">
        <f>IF(O59="Away",VLOOKUP(N59,Matrix!A:Z,20,0),1)</f>
        <v/>
      </c>
      <c r="J59" s="157">
        <f>IF(O59="Away",VLOOKUP(P59,Matrix!A:S,19,0),1)</f>
        <v/>
      </c>
      <c r="K59" s="157">
        <f>IF(O59="Home",VLOOKUP(P59,Matrix!A:Z,20,0),1)</f>
        <v/>
      </c>
      <c r="L59" s="156" t="n">
        <v>0.312277173610274</v>
      </c>
      <c r="M59" s="179">
        <f>Schedule!B59</f>
        <v/>
      </c>
      <c r="N59" s="156">
        <f>Schedule!E59</f>
        <v/>
      </c>
      <c r="O59" s="156" t="inlineStr">
        <is>
          <t>Home</t>
        </is>
      </c>
      <c r="P59" s="157">
        <f>Schedule!H59</f>
        <v/>
      </c>
      <c r="Q59" s="157">
        <f>Schedule!C59</f>
        <v/>
      </c>
      <c r="R59" s="180">
        <f>Schedule!D59</f>
        <v/>
      </c>
      <c r="S59" s="181">
        <f>Schedule!J59</f>
        <v/>
      </c>
      <c r="T59" s="193">
        <f>Y59-Z59</f>
        <v/>
      </c>
      <c r="U59" s="182">
        <f>T59/Picks!$K$2</f>
        <v/>
      </c>
      <c r="V59" s="193">
        <f>INDEX(Standings!$T$3:$T$34, MATCH(N59, Standings!$A$3:$A$34, 0)) - INDEX(Standings!$T$3:$T$34, MATCH(P59, Standings!$A$3:$A$34, 0))</f>
        <v/>
      </c>
      <c r="W59" s="157">
        <f>INDEX(Standings!$L$3:$L$34, MATCH(N59, Standings!$A$3:$A$34, 0)) - INDEX(Standings!$L$3:$L$34, MATCH(P59, Standings!$A$3:$A$34, 0))</f>
        <v/>
      </c>
      <c r="X59" s="157">
        <f>INDEX(Standings!$M$3:$M$34, MATCH(N59, Standings!$A$3:$A$34, 0)) - INDEX(Standings!$M$3:$M$34, MATCH(P59, Standings!$A$3:$A$34, 0))</f>
        <v/>
      </c>
      <c r="Y59" s="194">
        <f t="array" ref="Y59:Y59">IFERROR(AE59+(AL59-_DFactor)*AE59,"")</f>
        <v/>
      </c>
      <c r="Z59" s="157">
        <f>IFERROR(AF59+(AI59-_DFactor)*AF59,"")</f>
        <v/>
      </c>
      <c r="AC59" s="194">
        <f>VLOOKUP(M59&amp;N59,Schedule!A:F,6,0)</f>
        <v/>
      </c>
      <c r="AD59" s="194">
        <f>VLOOKUP(M59&amp;P59,Schedule!A:F,6,0)</f>
        <v/>
      </c>
      <c r="AE59" s="156">
        <f>VLOOKUP(N59,ProjPVT!B:I,8,0)*_Mag/VLOOKUP(P59,Standings!A:O,15,0)*H59*K59</f>
        <v/>
      </c>
      <c r="AF59" s="156">
        <f>VLOOKUP(P59,ProjPVT!B:I,8,0)*_Mag/VLOOKUP(N59,Standings!A:O,15,0)*J59*I59</f>
        <v/>
      </c>
      <c r="AG59" s="195">
        <f>VLOOKUP(N59,Matrix!AA:AC,3,0)</f>
        <v/>
      </c>
      <c r="AH59" s="195">
        <f>SUMIFS(Def!C:C,Def!F:F,AG59)</f>
        <v/>
      </c>
      <c r="AI59" s="156">
        <f>IFERROR(SUMIFS(Def!B:B,Def!F:F,AG59)/AH59,"")</f>
        <v/>
      </c>
      <c r="AJ59" s="195">
        <f>VLOOKUP(P59,Matrix!AA:AC,3,0)</f>
        <v/>
      </c>
      <c r="AK59" s="195">
        <f>SUMIFS(Def!C:C,Def!F:F,AJ59)</f>
        <v/>
      </c>
      <c r="AL59" s="156">
        <f>IFERROR(SUMIFS(Def!B:B,Def!F:F,AJ59)/AK59,"")</f>
        <v/>
      </c>
    </row>
    <row r="60" ht="14.4" customHeight="1" s="152">
      <c r="A60" s="157">
        <f>IF(F60="Yes",IFERROR(IF(AA60&gt;1,AA60/100,100/-AA60),""),-1)</f>
        <v/>
      </c>
      <c r="B60" s="157">
        <f>B59+1</f>
        <v/>
      </c>
      <c r="C60" s="157">
        <f>IF(Y60&gt;Z60,1,0)</f>
        <v/>
      </c>
      <c r="D60" s="157">
        <f>IF(AND(C60=1,F60="Yes"),"Yes",IF(AND(C60=0,F60="No"),"Yes","No"))</f>
        <v/>
      </c>
      <c r="E60" s="192">
        <f>IF((AC60+AB60)=AD60,"Push",IF((AC60+AB60)&gt;AD60,"Yes","No"))</f>
        <v/>
      </c>
      <c r="F60" s="192">
        <f>IF(AC60&gt;AD60,"Yes","No")</f>
        <v/>
      </c>
      <c r="G60" s="192">
        <f>IF((Y60+AB60)&gt;Z60,"Yes",IF((Y60+AB60)=Z60,"Push","No"))</f>
        <v/>
      </c>
      <c r="H60" s="157">
        <f>IF(O60="Home",VLOOKUP(N60,Matrix!A:S,19,0),1)</f>
        <v/>
      </c>
      <c r="I60" s="157">
        <f>IF(O60="Away",VLOOKUP(N60,Matrix!A:Z,20,0),1)</f>
        <v/>
      </c>
      <c r="J60" s="157">
        <f>IF(O60="Away",VLOOKUP(P60,Matrix!A:S,19,0),1)</f>
        <v/>
      </c>
      <c r="K60" s="157">
        <f>IF(O60="Home",VLOOKUP(P60,Matrix!A:Z,20,0),1)</f>
        <v/>
      </c>
      <c r="L60" s="156" t="n">
        <v>0.332137721850562</v>
      </c>
      <c r="M60" s="179">
        <f>Schedule!B60</f>
        <v/>
      </c>
      <c r="N60" s="156">
        <f>Schedule!E60</f>
        <v/>
      </c>
      <c r="O60" s="156" t="inlineStr">
        <is>
          <t>Away</t>
        </is>
      </c>
      <c r="P60" s="157">
        <f>Schedule!H60</f>
        <v/>
      </c>
      <c r="Q60" s="157">
        <f>Schedule!C60</f>
        <v/>
      </c>
      <c r="R60" s="180">
        <f>Schedule!D60</f>
        <v/>
      </c>
      <c r="S60" s="181">
        <f>Schedule!J60</f>
        <v/>
      </c>
      <c r="T60" s="193">
        <f>Y60-Z60</f>
        <v/>
      </c>
      <c r="U60" s="182">
        <f>T60/Picks!$K$2</f>
        <v/>
      </c>
      <c r="V60" s="193">
        <f>INDEX(Standings!$T$3:$T$34, MATCH(N60, Standings!$A$3:$A$34, 0)) - INDEX(Standings!$T$3:$T$34, MATCH(P60, Standings!$A$3:$A$34, 0))</f>
        <v/>
      </c>
      <c r="W60" s="157">
        <f>INDEX(Standings!$L$3:$L$34, MATCH(N60, Standings!$A$3:$A$34, 0)) - INDEX(Standings!$L$3:$L$34, MATCH(P60, Standings!$A$3:$A$34, 0))</f>
        <v/>
      </c>
      <c r="X60" s="157">
        <f>INDEX(Standings!$M$3:$M$34, MATCH(N60, Standings!$A$3:$A$34, 0)) - INDEX(Standings!$M$3:$M$34, MATCH(P60, Standings!$A$3:$A$34, 0))</f>
        <v/>
      </c>
      <c r="Y60" s="194">
        <f t="array" ref="Y60:Y60">IFERROR(AE60+(AL60-_DFactor)*AE60,"")</f>
        <v/>
      </c>
      <c r="Z60" s="157">
        <f>IFERROR(AF60+(AI60-_DFactor)*AF60,"")</f>
        <v/>
      </c>
      <c r="AC60" s="194">
        <f>VLOOKUP(M60&amp;N60,Schedule!A:F,6,0)</f>
        <v/>
      </c>
      <c r="AD60" s="194">
        <f>VLOOKUP(M60&amp;P60,Schedule!A:F,6,0)</f>
        <v/>
      </c>
      <c r="AE60" s="156">
        <f>VLOOKUP(N60,ProjPVT!B:I,8,0)*_Mag/VLOOKUP(P60,Standings!A:O,15,0)*H60*K60</f>
        <v/>
      </c>
      <c r="AF60" s="156">
        <f>VLOOKUP(P60,ProjPVT!B:I,8,0)*_Mag/VLOOKUP(N60,Standings!A:O,15,0)*J60*I60</f>
        <v/>
      </c>
      <c r="AG60" s="195">
        <f>VLOOKUP(N60,Matrix!AA:AC,3,0)</f>
        <v/>
      </c>
      <c r="AH60" s="195">
        <f>SUMIFS(Def!C:C,Def!F:F,AG60)</f>
        <v/>
      </c>
      <c r="AI60" s="156">
        <f>IFERROR(SUMIFS(Def!B:B,Def!F:F,AG60)/AH60,"")</f>
        <v/>
      </c>
      <c r="AJ60" s="195">
        <f>VLOOKUP(P60,Matrix!AA:AC,3,0)</f>
        <v/>
      </c>
      <c r="AK60" s="195">
        <f>SUMIFS(Def!C:C,Def!F:F,AJ60)</f>
        <v/>
      </c>
      <c r="AL60" s="156">
        <f>IFERROR(SUMIFS(Def!B:B,Def!F:F,AJ60)/AK60,"")</f>
        <v/>
      </c>
    </row>
    <row r="61" ht="14.4" customHeight="1" s="152">
      <c r="A61" s="157">
        <f>IF(F61="Yes",IFERROR(IF(AA61&gt;1,AA61/100,100/-AA61),""),-1)</f>
        <v/>
      </c>
      <c r="B61" s="157">
        <f>B60+1</f>
        <v/>
      </c>
      <c r="C61" s="157">
        <f>IF(Y61&gt;Z61,1,0)</f>
        <v/>
      </c>
      <c r="D61" s="157">
        <f>IF(AND(C61=1,F61="Yes"),"Yes",IF(AND(C61=0,F61="No"),"Yes","No"))</f>
        <v/>
      </c>
      <c r="E61" s="192">
        <f>IF((AC61+AB61)=AD61,"Push",IF((AC61+AB61)&gt;AD61,"Yes","No"))</f>
        <v/>
      </c>
      <c r="F61" s="192">
        <f>IF(AC61&gt;AD61,"Yes","No")</f>
        <v/>
      </c>
      <c r="G61" s="192">
        <f>IF((Y61+AB61)&gt;Z61,"Yes",IF((Y61+AB61)=Z61,"Push","No"))</f>
        <v/>
      </c>
      <c r="H61" s="157">
        <f>IF(O61="Home",VLOOKUP(N61,Matrix!A:S,19,0),1)</f>
        <v/>
      </c>
      <c r="I61" s="157">
        <f>IF(O61="Away",VLOOKUP(N61,Matrix!A:Z,20,0),1)</f>
        <v/>
      </c>
      <c r="J61" s="157">
        <f>IF(O61="Away",VLOOKUP(P61,Matrix!A:S,19,0),1)</f>
        <v/>
      </c>
      <c r="K61" s="157">
        <f>IF(O61="Home",VLOOKUP(P61,Matrix!A:Z,20,0),1)</f>
        <v/>
      </c>
      <c r="L61" s="156" t="n">
        <v>0.343780612127861</v>
      </c>
      <c r="M61" s="179">
        <f>Schedule!B61</f>
        <v/>
      </c>
      <c r="N61" s="156">
        <f>Schedule!E61</f>
        <v/>
      </c>
      <c r="O61" s="156" t="inlineStr">
        <is>
          <t>Away</t>
        </is>
      </c>
      <c r="P61" s="157">
        <f>Schedule!H61</f>
        <v/>
      </c>
      <c r="Q61" s="157">
        <f>Schedule!C61</f>
        <v/>
      </c>
      <c r="R61" s="180">
        <f>Schedule!D61</f>
        <v/>
      </c>
      <c r="S61" s="181">
        <f>Schedule!J61</f>
        <v/>
      </c>
      <c r="T61" s="193">
        <f>Y61-Z61</f>
        <v/>
      </c>
      <c r="U61" s="182">
        <f>T61/Picks!$K$2</f>
        <v/>
      </c>
      <c r="V61" s="193">
        <f>INDEX(Standings!$T$3:$T$34, MATCH(N61, Standings!$A$3:$A$34, 0)) - INDEX(Standings!$T$3:$T$34, MATCH(P61, Standings!$A$3:$A$34, 0))</f>
        <v/>
      </c>
      <c r="W61" s="157">
        <f>INDEX(Standings!$L$3:$L$34, MATCH(N61, Standings!$A$3:$A$34, 0)) - INDEX(Standings!$L$3:$L$34, MATCH(P61, Standings!$A$3:$A$34, 0))</f>
        <v/>
      </c>
      <c r="X61" s="157">
        <f>INDEX(Standings!$M$3:$M$34, MATCH(N61, Standings!$A$3:$A$34, 0)) - INDEX(Standings!$M$3:$M$34, MATCH(P61, Standings!$A$3:$A$34, 0))</f>
        <v/>
      </c>
      <c r="Y61" s="194">
        <f t="array" ref="Y61:Y61">IFERROR(AE61+(AL61-_DFactor)*AE61,"")</f>
        <v/>
      </c>
      <c r="Z61" s="157">
        <f>IFERROR(AF61+(AI61-_DFactor)*AF61,"")</f>
        <v/>
      </c>
      <c r="AC61" s="194">
        <f>VLOOKUP(M61&amp;N61,Schedule!A:F,6,0)</f>
        <v/>
      </c>
      <c r="AD61" s="194">
        <f>VLOOKUP(M61&amp;P61,Schedule!A:F,6,0)</f>
        <v/>
      </c>
      <c r="AE61" s="156">
        <f>VLOOKUP(N61,ProjPVT!B:I,8,0)*_Mag/VLOOKUP(P61,Standings!A:O,15,0)*H61*K61</f>
        <v/>
      </c>
      <c r="AF61" s="156">
        <f>VLOOKUP(P61,ProjPVT!B:I,8,0)*_Mag/VLOOKUP(N61,Standings!A:O,15,0)*J61*I61</f>
        <v/>
      </c>
      <c r="AG61" s="195">
        <f>VLOOKUP(N61,Matrix!AA:AC,3,0)</f>
        <v/>
      </c>
      <c r="AH61" s="195">
        <f>SUMIFS(Def!C:C,Def!F:F,AG61)</f>
        <v/>
      </c>
      <c r="AI61" s="156">
        <f>IFERROR(SUMIFS(Def!B:B,Def!F:F,AG61)/AH61,"")</f>
        <v/>
      </c>
      <c r="AJ61" s="195">
        <f>VLOOKUP(P61,Matrix!AA:AC,3,0)</f>
        <v/>
      </c>
      <c r="AK61" s="195">
        <f>SUMIFS(Def!C:C,Def!F:F,AJ61)</f>
        <v/>
      </c>
      <c r="AL61" s="156">
        <f>IFERROR(SUMIFS(Def!B:B,Def!F:F,AJ61)/AK61,"")</f>
        <v/>
      </c>
    </row>
    <row r="62" ht="14.4" customHeight="1" s="152">
      <c r="A62" s="157">
        <f>IF(F62="Yes",IFERROR(IF(AA62&gt;1,AA62/100,100/-AA62),""),-1)</f>
        <v/>
      </c>
      <c r="B62" s="157">
        <f>B61+1</f>
        <v/>
      </c>
      <c r="C62" s="157">
        <f>IF(Y62&gt;Z62,1,0)</f>
        <v/>
      </c>
      <c r="D62" s="157">
        <f>IF(AND(C62=1,F62="Yes"),"Yes",IF(AND(C62=0,F62="No"),"Yes","No"))</f>
        <v/>
      </c>
      <c r="E62" s="192">
        <f>IF((AC62+AB62)=AD62,"Push",IF((AC62+AB62)&gt;AD62,"Yes","No"))</f>
        <v/>
      </c>
      <c r="F62" s="192">
        <f>IF(AC62&gt;AD62,"Yes","No")</f>
        <v/>
      </c>
      <c r="G62" s="192">
        <f>IF((Y62+AB62)&gt;Z62,"Yes",IF((Y62+AB62)=Z62,"Push","No"))</f>
        <v/>
      </c>
      <c r="H62" s="157">
        <f>IF(O62="Home",VLOOKUP(N62,Matrix!A:S,19,0),1)</f>
        <v/>
      </c>
      <c r="I62" s="157">
        <f>IF(O62="Away",VLOOKUP(N62,Matrix!A:Z,20,0),1)</f>
        <v/>
      </c>
      <c r="J62" s="157">
        <f>IF(O62="Away",VLOOKUP(P62,Matrix!A:S,19,0),1)</f>
        <v/>
      </c>
      <c r="K62" s="157">
        <f>IF(O62="Home",VLOOKUP(P62,Matrix!A:Z,20,0),1)</f>
        <v/>
      </c>
      <c r="L62" s="156" t="n">
        <v>0.440303643841891</v>
      </c>
      <c r="M62" s="179">
        <f>Schedule!B62</f>
        <v/>
      </c>
      <c r="N62" s="156">
        <f>Schedule!E62</f>
        <v/>
      </c>
      <c r="O62" s="156" t="inlineStr">
        <is>
          <t>Home</t>
        </is>
      </c>
      <c r="P62" s="157">
        <f>Schedule!H62</f>
        <v/>
      </c>
      <c r="Q62" s="157">
        <f>Schedule!C62</f>
        <v/>
      </c>
      <c r="R62" s="180">
        <f>Schedule!D62</f>
        <v/>
      </c>
      <c r="S62" s="181">
        <f>Schedule!J62</f>
        <v/>
      </c>
      <c r="T62" s="193">
        <f>Y62-Z62</f>
        <v/>
      </c>
      <c r="U62" s="182">
        <f>T62/Picks!$K$2</f>
        <v/>
      </c>
      <c r="V62" s="193">
        <f>INDEX(Standings!$T$3:$T$34, MATCH(N62, Standings!$A$3:$A$34, 0)) - INDEX(Standings!$T$3:$T$34, MATCH(P62, Standings!$A$3:$A$34, 0))</f>
        <v/>
      </c>
      <c r="W62" s="157">
        <f>INDEX(Standings!$L$3:$L$34, MATCH(N62, Standings!$A$3:$A$34, 0)) - INDEX(Standings!$L$3:$L$34, MATCH(P62, Standings!$A$3:$A$34, 0))</f>
        <v/>
      </c>
      <c r="X62" s="157">
        <f>INDEX(Standings!$M$3:$M$34, MATCH(N62, Standings!$A$3:$A$34, 0)) - INDEX(Standings!$M$3:$M$34, MATCH(P62, Standings!$A$3:$A$34, 0))</f>
        <v/>
      </c>
      <c r="Y62" s="194">
        <f t="array" ref="Y62:Y62">IFERROR(AE62+(AL62-_DFactor)*AE62,"")</f>
        <v/>
      </c>
      <c r="Z62" s="157">
        <f>IFERROR(AF62+(AI62-_DFactor)*AF62,"")</f>
        <v/>
      </c>
      <c r="AC62" s="194">
        <f>VLOOKUP(M62&amp;N62,Schedule!A:F,6,0)</f>
        <v/>
      </c>
      <c r="AD62" s="194">
        <f>VLOOKUP(M62&amp;P62,Schedule!A:F,6,0)</f>
        <v/>
      </c>
      <c r="AE62" s="156">
        <f>VLOOKUP(N62,ProjPVT!B:I,8,0)*_Mag/VLOOKUP(P62,Standings!A:O,15,0)*H62*K62</f>
        <v/>
      </c>
      <c r="AF62" s="156">
        <f>VLOOKUP(P62,ProjPVT!B:I,8,0)*_Mag/VLOOKUP(N62,Standings!A:O,15,0)*J62*I62</f>
        <v/>
      </c>
      <c r="AG62" s="195">
        <f>VLOOKUP(N62,Matrix!AA:AC,3,0)</f>
        <v/>
      </c>
      <c r="AH62" s="195">
        <f>SUMIFS(Def!C:C,Def!F:F,AG62)</f>
        <v/>
      </c>
      <c r="AI62" s="156">
        <f>IFERROR(SUMIFS(Def!B:B,Def!F:F,AG62)/AH62,"")</f>
        <v/>
      </c>
      <c r="AJ62" s="195">
        <f>VLOOKUP(P62,Matrix!AA:AC,3,0)</f>
        <v/>
      </c>
      <c r="AK62" s="195">
        <f>SUMIFS(Def!C:C,Def!F:F,AJ62)</f>
        <v/>
      </c>
      <c r="AL62" s="156">
        <f>IFERROR(SUMIFS(Def!B:B,Def!F:F,AJ62)/AK62,"")</f>
        <v/>
      </c>
    </row>
    <row r="63" ht="14.4" customHeight="1" s="152">
      <c r="A63" s="157">
        <f>IF(F63="Yes",IFERROR(IF(AA63&gt;1,AA63/100,100/-AA63),""),-1)</f>
        <v/>
      </c>
      <c r="B63" s="157">
        <f>B62+1</f>
        <v/>
      </c>
      <c r="C63" s="157">
        <f>IF(Y63&gt;Z63,1,0)</f>
        <v/>
      </c>
      <c r="D63" s="157">
        <f>IF(AND(C63=1,F63="Yes"),"Yes",IF(AND(C63=0,F63="No"),"Yes","No"))</f>
        <v/>
      </c>
      <c r="E63" s="192">
        <f>IF((AC63+AB63)=AD63,"Push",IF((AC63+AB63)&gt;AD63,"Yes","No"))</f>
        <v/>
      </c>
      <c r="F63" s="192">
        <f>IF(AC63&gt;AD63,"Yes","No")</f>
        <v/>
      </c>
      <c r="G63" s="192">
        <f>IF((Y63+AB63)&gt;Z63,"Yes",IF((Y63+AB63)=Z63,"Push","No"))</f>
        <v/>
      </c>
      <c r="H63" s="157">
        <f>IF(O63="Home",VLOOKUP(N63,Matrix!A:S,19,0),1)</f>
        <v/>
      </c>
      <c r="I63" s="157">
        <f>IF(O63="Away",VLOOKUP(N63,Matrix!A:Z,20,0),1)</f>
        <v/>
      </c>
      <c r="J63" s="157">
        <f>IF(O63="Away",VLOOKUP(P63,Matrix!A:S,19,0),1)</f>
        <v/>
      </c>
      <c r="K63" s="157">
        <f>IF(O63="Home",VLOOKUP(P63,Matrix!A:Z,20,0),1)</f>
        <v/>
      </c>
      <c r="L63" s="156" t="n">
        <v>0.513806718426791</v>
      </c>
      <c r="M63" s="179">
        <f>Schedule!B63</f>
        <v/>
      </c>
      <c r="N63" s="156">
        <f>Schedule!E63</f>
        <v/>
      </c>
      <c r="O63" s="156" t="inlineStr">
        <is>
          <t>Home</t>
        </is>
      </c>
      <c r="P63" s="157">
        <f>Schedule!H63</f>
        <v/>
      </c>
      <c r="Q63" s="157">
        <f>Schedule!C63</f>
        <v/>
      </c>
      <c r="R63" s="180">
        <f>Schedule!D63</f>
        <v/>
      </c>
      <c r="S63" s="181">
        <f>Schedule!J63</f>
        <v/>
      </c>
      <c r="T63" s="193">
        <f>Y63-Z63</f>
        <v/>
      </c>
      <c r="U63" s="182">
        <f>T63/Picks!$K$2</f>
        <v/>
      </c>
      <c r="V63" s="193">
        <f>INDEX(Standings!$T$3:$T$34, MATCH(N63, Standings!$A$3:$A$34, 0)) - INDEX(Standings!$T$3:$T$34, MATCH(P63, Standings!$A$3:$A$34, 0))</f>
        <v/>
      </c>
      <c r="W63" s="157">
        <f>INDEX(Standings!$L$3:$L$34, MATCH(N63, Standings!$A$3:$A$34, 0)) - INDEX(Standings!$L$3:$L$34, MATCH(P63, Standings!$A$3:$A$34, 0))</f>
        <v/>
      </c>
      <c r="X63" s="157">
        <f>INDEX(Standings!$M$3:$M$34, MATCH(N63, Standings!$A$3:$A$34, 0)) - INDEX(Standings!$M$3:$M$34, MATCH(P63, Standings!$A$3:$A$34, 0))</f>
        <v/>
      </c>
      <c r="Y63" s="194">
        <f t="array" ref="Y63:Y63">IFERROR(AE63+(AL63-_DFactor)*AE63,"")</f>
        <v/>
      </c>
      <c r="Z63" s="157">
        <f>IFERROR(AF63+(AI63-_DFactor)*AF63,"")</f>
        <v/>
      </c>
      <c r="AC63" s="194">
        <f>VLOOKUP(M63&amp;N63,Schedule!A:F,6,0)</f>
        <v/>
      </c>
      <c r="AD63" s="194">
        <f>VLOOKUP(M63&amp;P63,Schedule!A:F,6,0)</f>
        <v/>
      </c>
      <c r="AE63" s="156">
        <f>VLOOKUP(N63,ProjPVT!B:I,8,0)*_Mag/VLOOKUP(P63,Standings!A:O,15,0)*H63*K63</f>
        <v/>
      </c>
      <c r="AF63" s="156">
        <f>VLOOKUP(P63,ProjPVT!B:I,8,0)*_Mag/VLOOKUP(N63,Standings!A:O,15,0)*J63*I63</f>
        <v/>
      </c>
      <c r="AG63" s="195">
        <f>VLOOKUP(N63,Matrix!AA:AC,3,0)</f>
        <v/>
      </c>
      <c r="AH63" s="195">
        <f>SUMIFS(Def!C:C,Def!F:F,AG63)</f>
        <v/>
      </c>
      <c r="AI63" s="156">
        <f>IFERROR(SUMIFS(Def!B:B,Def!F:F,AG63)/AH63,"")</f>
        <v/>
      </c>
      <c r="AJ63" s="195">
        <f>VLOOKUP(P63,Matrix!AA:AC,3,0)</f>
        <v/>
      </c>
      <c r="AK63" s="195">
        <f>SUMIFS(Def!C:C,Def!F:F,AJ63)</f>
        <v/>
      </c>
      <c r="AL63" s="156">
        <f>IFERROR(SUMIFS(Def!B:B,Def!F:F,AJ63)/AK63,"")</f>
        <v/>
      </c>
    </row>
    <row r="64" ht="14.4" customHeight="1" s="152">
      <c r="A64" s="157">
        <f>IF(F64="Yes",IFERROR(IF(AA64&gt;1,AA64/100,100/-AA64),""),-1)</f>
        <v/>
      </c>
      <c r="B64" s="157">
        <f>B63+1</f>
        <v/>
      </c>
      <c r="C64" s="157">
        <f>IF(Y64&gt;Z64,1,0)</f>
        <v/>
      </c>
      <c r="D64" s="157">
        <f>IF(AND(C64=1,F64="Yes"),"Yes",IF(AND(C64=0,F64="No"),"Yes","No"))</f>
        <v/>
      </c>
      <c r="E64" s="192">
        <f>IF((AC64+AB64)=AD64,"Push",IF((AC64+AB64)&gt;AD64,"Yes","No"))</f>
        <v/>
      </c>
      <c r="F64" s="192">
        <f>IF(AC64&gt;AD64,"Yes","No")</f>
        <v/>
      </c>
      <c r="G64" s="192">
        <f>IF((Y64+AB64)&gt;Z64,"Yes",IF((Y64+AB64)=Z64,"Push","No"))</f>
        <v/>
      </c>
      <c r="H64" s="157">
        <f>IF(O64="Home",VLOOKUP(N64,Matrix!A:S,19,0),1)</f>
        <v/>
      </c>
      <c r="I64" s="157">
        <f>IF(O64="Away",VLOOKUP(N64,Matrix!A:Z,20,0),1)</f>
        <v/>
      </c>
      <c r="J64" s="157">
        <f>IF(O64="Away",VLOOKUP(P64,Matrix!A:S,19,0),1)</f>
        <v/>
      </c>
      <c r="K64" s="157">
        <f>IF(O64="Home",VLOOKUP(P64,Matrix!A:Z,20,0),1)</f>
        <v/>
      </c>
      <c r="L64" s="156" t="n">
        <v>0.548006430084325</v>
      </c>
      <c r="M64" s="179">
        <f>Schedule!B64</f>
        <v/>
      </c>
      <c r="N64" s="156">
        <f>Schedule!E64</f>
        <v/>
      </c>
      <c r="O64" s="156" t="inlineStr">
        <is>
          <t>Home</t>
        </is>
      </c>
      <c r="P64" s="157">
        <f>Schedule!H64</f>
        <v/>
      </c>
      <c r="Q64" s="157">
        <f>Schedule!C64</f>
        <v/>
      </c>
      <c r="R64" s="180">
        <f>Schedule!D64</f>
        <v/>
      </c>
      <c r="S64" s="181">
        <f>Schedule!J64</f>
        <v/>
      </c>
      <c r="T64" s="193">
        <f>Y64-Z64</f>
        <v/>
      </c>
      <c r="U64" s="182">
        <f>T64/Picks!$K$2</f>
        <v/>
      </c>
      <c r="V64" s="193">
        <f>INDEX(Standings!$T$3:$T$34, MATCH(N64, Standings!$A$3:$A$34, 0)) - INDEX(Standings!$T$3:$T$34, MATCH(P64, Standings!$A$3:$A$34, 0))</f>
        <v/>
      </c>
      <c r="W64" s="157">
        <f>INDEX(Standings!$L$3:$L$34, MATCH(N64, Standings!$A$3:$A$34, 0)) - INDEX(Standings!$L$3:$L$34, MATCH(P64, Standings!$A$3:$A$34, 0))</f>
        <v/>
      </c>
      <c r="X64" s="157">
        <f>INDEX(Standings!$M$3:$M$34, MATCH(N64, Standings!$A$3:$A$34, 0)) - INDEX(Standings!$M$3:$M$34, MATCH(P64, Standings!$A$3:$A$34, 0))</f>
        <v/>
      </c>
      <c r="Y64" s="194">
        <f t="array" ref="Y64:Y64">IFERROR(AE64+(AL64-_DFactor)*AE64,"")</f>
        <v/>
      </c>
      <c r="Z64" s="157">
        <f>IFERROR(AF64+(AI64-_DFactor)*AF64,"")</f>
        <v/>
      </c>
      <c r="AC64" s="194">
        <f>VLOOKUP(M64&amp;N64,Schedule!A:F,6,0)</f>
        <v/>
      </c>
      <c r="AD64" s="194">
        <f>VLOOKUP(M64&amp;P64,Schedule!A:F,6,0)</f>
        <v/>
      </c>
      <c r="AE64" s="156">
        <f>VLOOKUP(N64,ProjPVT!B:I,8,0)*_Mag/VLOOKUP(P64,Standings!A:O,15,0)*H64*K64</f>
        <v/>
      </c>
      <c r="AF64" s="156">
        <f>VLOOKUP(P64,ProjPVT!B:I,8,0)*_Mag/VLOOKUP(N64,Standings!A:O,15,0)*J64*I64</f>
        <v/>
      </c>
      <c r="AG64" s="195">
        <f>VLOOKUP(N64,Matrix!AA:AC,3,0)</f>
        <v/>
      </c>
      <c r="AH64" s="195">
        <f>SUMIFS(Def!C:C,Def!F:F,AG64)</f>
        <v/>
      </c>
      <c r="AI64" s="156">
        <f>IFERROR(SUMIFS(Def!B:B,Def!F:F,AG64)/AH64,"")</f>
        <v/>
      </c>
      <c r="AJ64" s="195">
        <f>VLOOKUP(P64,Matrix!AA:AC,3,0)</f>
        <v/>
      </c>
      <c r="AK64" s="195">
        <f>SUMIFS(Def!C:C,Def!F:F,AJ64)</f>
        <v/>
      </c>
      <c r="AL64" s="156">
        <f>IFERROR(SUMIFS(Def!B:B,Def!F:F,AJ64)/AK64,"")</f>
        <v/>
      </c>
    </row>
    <row r="65" ht="14.4" customHeight="1" s="152">
      <c r="A65" s="157">
        <f>IF(F65="Yes",IFERROR(IF(AA65&gt;1,AA65/100,100/-AA65),""),-1)</f>
        <v/>
      </c>
      <c r="B65" s="157">
        <f>B64+1</f>
        <v/>
      </c>
      <c r="C65" s="157">
        <f>IF(Y65&gt;Z65,1,0)</f>
        <v/>
      </c>
      <c r="D65" s="157">
        <f>IF(AND(C65=1,F65="Yes"),"Yes",IF(AND(C65=0,F65="No"),"Yes","No"))</f>
        <v/>
      </c>
      <c r="E65" s="192">
        <f>IF((AC65+AB65)=AD65,"Push",IF((AC65+AB65)&gt;AD65,"Yes","No"))</f>
        <v/>
      </c>
      <c r="F65" s="192">
        <f>IF(AC65&gt;AD65,"Yes","No")</f>
        <v/>
      </c>
      <c r="G65" s="192">
        <f>IF((Y65+AB65)&gt;Z65,"Yes",IF((Y65+AB65)=Z65,"Push","No"))</f>
        <v/>
      </c>
      <c r="H65" s="157">
        <f>IF(O65="Home",VLOOKUP(N65,Matrix!A:S,19,0),1)</f>
        <v/>
      </c>
      <c r="I65" s="157">
        <f>IF(O65="Away",VLOOKUP(N65,Matrix!A:Z,20,0),1)</f>
        <v/>
      </c>
      <c r="J65" s="157">
        <f>IF(O65="Away",VLOOKUP(P65,Matrix!A:S,19,0),1)</f>
        <v/>
      </c>
      <c r="K65" s="157">
        <f>IF(O65="Home",VLOOKUP(P65,Matrix!A:Z,20,0),1)</f>
        <v/>
      </c>
      <c r="L65" s="156" t="n">
        <v>0.576205490704697</v>
      </c>
      <c r="M65" s="179">
        <f>Schedule!B65</f>
        <v/>
      </c>
      <c r="N65" s="156">
        <f>Schedule!E65</f>
        <v/>
      </c>
      <c r="O65" s="156" t="inlineStr">
        <is>
          <t>Away</t>
        </is>
      </c>
      <c r="P65" s="157">
        <f>Schedule!H65</f>
        <v/>
      </c>
      <c r="Q65" s="157">
        <f>Schedule!C65</f>
        <v/>
      </c>
      <c r="R65" s="180">
        <f>Schedule!D65</f>
        <v/>
      </c>
      <c r="S65" s="181">
        <f>Schedule!J65</f>
        <v/>
      </c>
      <c r="T65" s="193">
        <f>Y65-Z65</f>
        <v/>
      </c>
      <c r="U65" s="182">
        <f>T65/Picks!$K$2</f>
        <v/>
      </c>
      <c r="V65" s="193">
        <f>INDEX(Standings!$T$3:$T$34, MATCH(N65, Standings!$A$3:$A$34, 0)) - INDEX(Standings!$T$3:$T$34, MATCH(P65, Standings!$A$3:$A$34, 0))</f>
        <v/>
      </c>
      <c r="W65" s="157">
        <f>INDEX(Standings!$L$3:$L$34, MATCH(N65, Standings!$A$3:$A$34, 0)) - INDEX(Standings!$L$3:$L$34, MATCH(P65, Standings!$A$3:$A$34, 0))</f>
        <v/>
      </c>
      <c r="X65" s="157">
        <f>INDEX(Standings!$M$3:$M$34, MATCH(N65, Standings!$A$3:$A$34, 0)) - INDEX(Standings!$M$3:$M$34, MATCH(P65, Standings!$A$3:$A$34, 0))</f>
        <v/>
      </c>
      <c r="Y65" s="194">
        <f t="array" ref="Y65:Y65">IFERROR(AE65+(AL65-_DFactor)*AE65,"")</f>
        <v/>
      </c>
      <c r="Z65" s="157">
        <f>IFERROR(AF65+(AI65-_DFactor)*AF65,"")</f>
        <v/>
      </c>
      <c r="AC65" s="194">
        <f>VLOOKUP(M65&amp;N65,Schedule!A:F,6,0)</f>
        <v/>
      </c>
      <c r="AD65" s="194">
        <f>VLOOKUP(M65&amp;P65,Schedule!A:F,6,0)</f>
        <v/>
      </c>
      <c r="AE65" s="156">
        <f>VLOOKUP(N65,ProjPVT!B:I,8,0)*_Mag/VLOOKUP(P65,Standings!A:O,15,0)*H65*K65</f>
        <v/>
      </c>
      <c r="AF65" s="156">
        <f>VLOOKUP(P65,ProjPVT!B:I,8,0)*_Mag/VLOOKUP(N65,Standings!A:O,15,0)*J65*I65</f>
        <v/>
      </c>
      <c r="AG65" s="195">
        <f>VLOOKUP(N65,Matrix!AA:AC,3,0)</f>
        <v/>
      </c>
      <c r="AH65" s="195">
        <f>SUMIFS(Def!C:C,Def!F:F,AG65)</f>
        <v/>
      </c>
      <c r="AI65" s="156">
        <f>IFERROR(SUMIFS(Def!B:B,Def!F:F,AG65)/AH65,"")</f>
        <v/>
      </c>
      <c r="AJ65" s="195">
        <f>VLOOKUP(P65,Matrix!AA:AC,3,0)</f>
        <v/>
      </c>
      <c r="AK65" s="195">
        <f>SUMIFS(Def!C:C,Def!F:F,AJ65)</f>
        <v/>
      </c>
      <c r="AL65" s="156">
        <f>IFERROR(SUMIFS(Def!B:B,Def!F:F,AJ65)/AK65,"")</f>
        <v/>
      </c>
    </row>
    <row r="66" ht="14.4" customHeight="1" s="152">
      <c r="A66" s="157">
        <f>IF(F66="Yes",IFERROR(IF(AA66&gt;1,AA66/100,100/-AA66),""),-1)</f>
        <v/>
      </c>
      <c r="B66" s="157">
        <f>B65+1</f>
        <v/>
      </c>
      <c r="C66" s="157">
        <f>IF(Y66&gt;Z66,1,0)</f>
        <v/>
      </c>
      <c r="D66" s="157">
        <f>IF(AND(C66=1,F66="Yes"),"Yes",IF(AND(C66=0,F66="No"),"Yes","No"))</f>
        <v/>
      </c>
      <c r="E66" s="192">
        <f>IF((AC66+AB66)=AD66,"Push",IF((AC66+AB66)&gt;AD66,"Yes","No"))</f>
        <v/>
      </c>
      <c r="F66" s="192">
        <f>IF(AC66&gt;AD66,"Yes","No")</f>
        <v/>
      </c>
      <c r="G66" s="192">
        <f>IF((Y66+AB66)&gt;Z66,"Yes",IF((Y66+AB66)=Z66,"Push","No"))</f>
        <v/>
      </c>
      <c r="H66" s="157">
        <f>IF(O66="Home",VLOOKUP(N66,Matrix!A:S,19,0),1)</f>
        <v/>
      </c>
      <c r="I66" s="157">
        <f>IF(O66="Away",VLOOKUP(N66,Matrix!A:Z,20,0),1)</f>
        <v/>
      </c>
      <c r="J66" s="157">
        <f>IF(O66="Away",VLOOKUP(P66,Matrix!A:S,19,0),1)</f>
        <v/>
      </c>
      <c r="K66" s="157">
        <f>IF(O66="Home",VLOOKUP(P66,Matrix!A:Z,20,0),1)</f>
        <v/>
      </c>
      <c r="L66" s="156" t="n">
        <v>-0.666758211242625</v>
      </c>
      <c r="M66" s="179">
        <f>Schedule!B66</f>
        <v/>
      </c>
      <c r="N66" s="156">
        <f>Schedule!E66</f>
        <v/>
      </c>
      <c r="O66" s="156" t="inlineStr">
        <is>
          <t>Away</t>
        </is>
      </c>
      <c r="P66" s="157">
        <f>Schedule!H66</f>
        <v/>
      </c>
      <c r="Q66" s="157">
        <f>Schedule!C66</f>
        <v/>
      </c>
      <c r="R66" s="180">
        <f>Schedule!D66</f>
        <v/>
      </c>
      <c r="S66" s="181">
        <f>Schedule!J66</f>
        <v/>
      </c>
      <c r="T66" s="193">
        <f>Y66-Z66</f>
        <v/>
      </c>
      <c r="U66" s="182">
        <f>T66/Picks!$K$2</f>
        <v/>
      </c>
      <c r="V66" s="193">
        <f>INDEX(Standings!$T$3:$T$34, MATCH(N66, Standings!$A$3:$A$34, 0)) - INDEX(Standings!$T$3:$T$34, MATCH(P66, Standings!$A$3:$A$34, 0))</f>
        <v/>
      </c>
      <c r="W66" s="157">
        <f>INDEX(Standings!$L$3:$L$34, MATCH(N66, Standings!$A$3:$A$34, 0)) - INDEX(Standings!$L$3:$L$34, MATCH(P66, Standings!$A$3:$A$34, 0))</f>
        <v/>
      </c>
      <c r="X66" s="157">
        <f>INDEX(Standings!$M$3:$M$34, MATCH(N66, Standings!$A$3:$A$34, 0)) - INDEX(Standings!$M$3:$M$34, MATCH(P66, Standings!$A$3:$A$34, 0))</f>
        <v/>
      </c>
      <c r="Y66" s="194">
        <f t="array" ref="Y66:Y66">IFERROR(AE66+(AL66-_DFactor)*AE66,"")</f>
        <v/>
      </c>
      <c r="Z66" s="157">
        <f>IFERROR(AF66+(AI66-_DFactor)*AF66,"")</f>
        <v/>
      </c>
      <c r="AC66" s="194">
        <f>VLOOKUP(M66&amp;N66,Schedule!A:F,6,0)</f>
        <v/>
      </c>
      <c r="AD66" s="194">
        <f>VLOOKUP(M66&amp;P66,Schedule!A:F,6,0)</f>
        <v/>
      </c>
      <c r="AE66" s="156">
        <f>VLOOKUP(N66,ProjPVT!B:I,8,0)*_Mag/VLOOKUP(P66,Standings!A:O,15,0)*H66*K66</f>
        <v/>
      </c>
      <c r="AF66" s="156">
        <f>VLOOKUP(P66,ProjPVT!B:I,8,0)*_Mag/VLOOKUP(N66,Standings!A:O,15,0)*J66*I66</f>
        <v/>
      </c>
      <c r="AG66" s="195">
        <f>VLOOKUP(N66,Matrix!AA:AC,3,0)</f>
        <v/>
      </c>
      <c r="AH66" s="195">
        <f>SUMIFS(Def!C:C,Def!F:F,AG66)</f>
        <v/>
      </c>
      <c r="AI66" s="156">
        <f>IFERROR(SUMIFS(Def!B:B,Def!F:F,AG66)/AH66,"")</f>
        <v/>
      </c>
      <c r="AJ66" s="195">
        <f>VLOOKUP(P66,Matrix!AA:AC,3,0)</f>
        <v/>
      </c>
      <c r="AK66" s="195">
        <f>SUMIFS(Def!C:C,Def!F:F,AJ66)</f>
        <v/>
      </c>
      <c r="AL66" s="156">
        <f>IFERROR(SUMIFS(Def!B:B,Def!F:F,AJ66)/AK66,"")</f>
        <v/>
      </c>
    </row>
    <row r="67" ht="14.4" customHeight="1" s="152">
      <c r="A67" s="157">
        <f>IF(F67="Yes",IFERROR(IF(AA67&gt;1,AA67/100,100/-AA67),""),-1)</f>
        <v/>
      </c>
      <c r="B67" s="157">
        <f>B66+1</f>
        <v/>
      </c>
      <c r="C67" s="157">
        <f>IF(Y67&gt;Z67,1,0)</f>
        <v/>
      </c>
      <c r="D67" s="157">
        <f>IF(AND(C67=1,F67="Yes"),"Yes",IF(AND(C67=0,F67="No"),"Yes","No"))</f>
        <v/>
      </c>
      <c r="E67" s="192">
        <f>IF((AC67+AB67)=AD67,"Push",IF((AC67+AB67)&gt;AD67,"Yes","No"))</f>
        <v/>
      </c>
      <c r="F67" s="192">
        <f>IF(AC67&gt;AD67,"Yes","No")</f>
        <v/>
      </c>
      <c r="G67" s="192">
        <f>IF((Y67+AB67)&gt;Z67,"Yes",IF((Y67+AB67)=Z67,"Push","No"))</f>
        <v/>
      </c>
      <c r="H67" s="157">
        <f>IF(O67="Home",VLOOKUP(N67,Matrix!A:S,19,0),1)</f>
        <v/>
      </c>
      <c r="I67" s="157">
        <f>IF(O67="Away",VLOOKUP(N67,Matrix!A:Z,20,0),1)</f>
        <v/>
      </c>
      <c r="J67" s="157">
        <f>IF(O67="Away",VLOOKUP(P67,Matrix!A:S,19,0),1)</f>
        <v/>
      </c>
      <c r="K67" s="157">
        <f>IF(O67="Home",VLOOKUP(P67,Matrix!A:Z,20,0),1)</f>
        <v/>
      </c>
      <c r="L67" s="156" t="n">
        <v>-0.580349984725387</v>
      </c>
      <c r="M67" s="179">
        <f>Schedule!B67</f>
        <v/>
      </c>
      <c r="N67" s="156">
        <f>Schedule!E67</f>
        <v/>
      </c>
      <c r="O67" s="156" t="inlineStr">
        <is>
          <t>Away</t>
        </is>
      </c>
      <c r="P67" s="157">
        <f>Schedule!H67</f>
        <v/>
      </c>
      <c r="Q67" s="157">
        <f>Schedule!C67</f>
        <v/>
      </c>
      <c r="R67" s="180">
        <f>Schedule!D67</f>
        <v/>
      </c>
      <c r="S67" s="181">
        <f>Schedule!J67</f>
        <v/>
      </c>
      <c r="T67" s="193">
        <f>Y67-Z67</f>
        <v/>
      </c>
      <c r="U67" s="182">
        <f>T67/Picks!$K$2</f>
        <v/>
      </c>
      <c r="V67" s="193">
        <f>INDEX(Standings!$T$3:$T$34, MATCH(N67, Standings!$A$3:$A$34, 0)) - INDEX(Standings!$T$3:$T$34, MATCH(P67, Standings!$A$3:$A$34, 0))</f>
        <v/>
      </c>
      <c r="W67" s="157">
        <f>INDEX(Standings!$L$3:$L$34, MATCH(N67, Standings!$A$3:$A$34, 0)) - INDEX(Standings!$L$3:$L$34, MATCH(P67, Standings!$A$3:$A$34, 0))</f>
        <v/>
      </c>
      <c r="X67" s="157">
        <f>INDEX(Standings!$M$3:$M$34, MATCH(N67, Standings!$A$3:$A$34, 0)) - INDEX(Standings!$M$3:$M$34, MATCH(P67, Standings!$A$3:$A$34, 0))</f>
        <v/>
      </c>
      <c r="Y67" s="194">
        <f t="array" ref="Y67:Y67">IFERROR(AE67+(AL67-_DFactor)*AE67,"")</f>
        <v/>
      </c>
      <c r="Z67" s="157">
        <f>IFERROR(AF67+(AI67-_DFactor)*AF67,"")</f>
        <v/>
      </c>
      <c r="AC67" s="194">
        <f>VLOOKUP(M67&amp;N67,Schedule!A:F,6,0)</f>
        <v/>
      </c>
      <c r="AD67" s="194">
        <f>VLOOKUP(M67&amp;P67,Schedule!A:F,6,0)</f>
        <v/>
      </c>
      <c r="AE67" s="156">
        <f>VLOOKUP(N67,ProjPVT!B:I,8,0)*_Mag/VLOOKUP(P67,Standings!A:O,15,0)*H67*K67</f>
        <v/>
      </c>
      <c r="AF67" s="156">
        <f>VLOOKUP(P67,ProjPVT!B:I,8,0)*_Mag/VLOOKUP(N67,Standings!A:O,15,0)*J67*I67</f>
        <v/>
      </c>
      <c r="AG67" s="195">
        <f>VLOOKUP(N67,Matrix!AA:AC,3,0)</f>
        <v/>
      </c>
      <c r="AH67" s="195">
        <f>SUMIFS(Def!C:C,Def!F:F,AG67)</f>
        <v/>
      </c>
      <c r="AI67" s="156">
        <f>IFERROR(SUMIFS(Def!B:B,Def!F:F,AG67)/AH67,"")</f>
        <v/>
      </c>
      <c r="AJ67" s="195">
        <f>VLOOKUP(P67,Matrix!AA:AC,3,0)</f>
        <v/>
      </c>
      <c r="AK67" s="195">
        <f>SUMIFS(Def!C:C,Def!F:F,AJ67)</f>
        <v/>
      </c>
      <c r="AL67" s="156">
        <f>IFERROR(SUMIFS(Def!B:B,Def!F:F,AJ67)/AK67,"")</f>
        <v/>
      </c>
    </row>
    <row r="68" ht="14.4" customHeight="1" s="152">
      <c r="A68" s="157">
        <f>IF(F68="Yes",IFERROR(IF(AA68&gt;1,AA68/100,100/-AA68),""),-1)</f>
        <v/>
      </c>
      <c r="B68" s="157">
        <f>B67+1</f>
        <v/>
      </c>
      <c r="C68" s="157">
        <f>IF(Y68&gt;Z68,1,0)</f>
        <v/>
      </c>
      <c r="D68" s="157">
        <f>IF(AND(C68=1,F68="Yes"),"Yes",IF(AND(C68=0,F68="No"),"Yes","No"))</f>
        <v/>
      </c>
      <c r="E68" s="192">
        <f>IF((AC68+AB68)=AD68,"Push",IF((AC68+AB68)&gt;AD68,"Yes","No"))</f>
        <v/>
      </c>
      <c r="F68" s="192">
        <f>IF(AC68&gt;AD68,"Yes","No")</f>
        <v/>
      </c>
      <c r="G68" s="192">
        <f>IF((Y68+AB68)&gt;Z68,"Yes",IF((Y68+AB68)=Z68,"Push","No"))</f>
        <v/>
      </c>
      <c r="H68" s="157">
        <f>IF(O68="Home",VLOOKUP(N68,Matrix!A:S,19,0),1)</f>
        <v/>
      </c>
      <c r="I68" s="157">
        <f>IF(O68="Away",VLOOKUP(N68,Matrix!A:Z,20,0),1)</f>
        <v/>
      </c>
      <c r="J68" s="157">
        <f>IF(O68="Away",VLOOKUP(P68,Matrix!A:S,19,0),1)</f>
        <v/>
      </c>
      <c r="K68" s="157">
        <f>IF(O68="Home",VLOOKUP(P68,Matrix!A:Z,20,0),1)</f>
        <v/>
      </c>
      <c r="L68" s="156" t="n">
        <v>-0.456467875612578</v>
      </c>
      <c r="M68" s="179">
        <f>Schedule!B68</f>
        <v/>
      </c>
      <c r="N68" s="156">
        <f>Schedule!E68</f>
        <v/>
      </c>
      <c r="O68" s="156" t="inlineStr">
        <is>
          <t>Home</t>
        </is>
      </c>
      <c r="P68" s="157">
        <f>Schedule!H68</f>
        <v/>
      </c>
      <c r="Q68" s="157">
        <f>Schedule!C68</f>
        <v/>
      </c>
      <c r="R68" s="180">
        <f>Schedule!D68</f>
        <v/>
      </c>
      <c r="S68" s="181">
        <f>Schedule!J68</f>
        <v/>
      </c>
      <c r="T68" s="193">
        <f>Y68-Z68</f>
        <v/>
      </c>
      <c r="U68" s="182">
        <f>T68/Picks!$K$2</f>
        <v/>
      </c>
      <c r="V68" s="193">
        <f>INDEX(Standings!$T$3:$T$34, MATCH(N68, Standings!$A$3:$A$34, 0)) - INDEX(Standings!$T$3:$T$34, MATCH(P68, Standings!$A$3:$A$34, 0))</f>
        <v/>
      </c>
      <c r="W68" s="157">
        <f>INDEX(Standings!$L$3:$L$34, MATCH(N68, Standings!$A$3:$A$34, 0)) - INDEX(Standings!$L$3:$L$34, MATCH(P68, Standings!$A$3:$A$34, 0))</f>
        <v/>
      </c>
      <c r="X68" s="157">
        <f>INDEX(Standings!$M$3:$M$34, MATCH(N68, Standings!$A$3:$A$34, 0)) - INDEX(Standings!$M$3:$M$34, MATCH(P68, Standings!$A$3:$A$34, 0))</f>
        <v/>
      </c>
      <c r="Y68" s="194">
        <f t="array" ref="Y68:Y68">IFERROR(AE68+(AL68-_DFactor)*AE68,"")</f>
        <v/>
      </c>
      <c r="Z68" s="157">
        <f>IFERROR(AF68+(AI68-_DFactor)*AF68,"")</f>
        <v/>
      </c>
      <c r="AC68" s="194">
        <f>VLOOKUP(M68&amp;N68,Schedule!A:F,6,0)</f>
        <v/>
      </c>
      <c r="AD68" s="194">
        <f>VLOOKUP(M68&amp;P68,Schedule!A:F,6,0)</f>
        <v/>
      </c>
      <c r="AE68" s="156">
        <f>VLOOKUP(N68,ProjPVT!B:I,8,0)*_Mag/VLOOKUP(P68,Standings!A:O,15,0)*H68*K68</f>
        <v/>
      </c>
      <c r="AF68" s="156">
        <f>VLOOKUP(P68,ProjPVT!B:I,8,0)*_Mag/VLOOKUP(N68,Standings!A:O,15,0)*J68*I68</f>
        <v/>
      </c>
      <c r="AG68" s="195">
        <f>VLOOKUP(N68,Matrix!AA:AC,3,0)</f>
        <v/>
      </c>
      <c r="AH68" s="195">
        <f>SUMIFS(Def!C:C,Def!F:F,AG68)</f>
        <v/>
      </c>
      <c r="AI68" s="156">
        <f>IFERROR(SUMIFS(Def!B:B,Def!F:F,AG68)/AH68,"")</f>
        <v/>
      </c>
      <c r="AJ68" s="195">
        <f>VLOOKUP(P68,Matrix!AA:AC,3,0)</f>
        <v/>
      </c>
      <c r="AK68" s="195">
        <f>SUMIFS(Def!C:C,Def!F:F,AJ68)</f>
        <v/>
      </c>
      <c r="AL68" s="156">
        <f>IFERROR(SUMIFS(Def!B:B,Def!F:F,AJ68)/AK68,"")</f>
        <v/>
      </c>
    </row>
    <row r="69" ht="14.4" customHeight="1" s="152">
      <c r="A69" s="157">
        <f>IF(F69="Yes",IFERROR(IF(AA69&gt;1,AA69/100,100/-AA69),""),-1)</f>
        <v/>
      </c>
      <c r="B69" s="157">
        <f>B68+1</f>
        <v/>
      </c>
      <c r="C69" s="157">
        <f>IF(Y69&gt;Z69,1,0)</f>
        <v/>
      </c>
      <c r="D69" s="157">
        <f>IF(AND(C69=1,F69="Yes"),"Yes",IF(AND(C69=0,F69="No"),"Yes","No"))</f>
        <v/>
      </c>
      <c r="E69" s="192">
        <f>IF((AC69+AB69)=AD69,"Push",IF((AC69+AB69)&gt;AD69,"Yes","No"))</f>
        <v/>
      </c>
      <c r="F69" s="192">
        <f>IF(AC69&gt;AD69,"Yes","No")</f>
        <v/>
      </c>
      <c r="G69" s="192">
        <f>IF((Y69+AB69)&gt;Z69,"Yes",IF((Y69+AB69)=Z69,"Push","No"))</f>
        <v/>
      </c>
      <c r="H69" s="157">
        <f>IF(O69="Home",VLOOKUP(N69,Matrix!A:S,19,0),1)</f>
        <v/>
      </c>
      <c r="I69" s="157">
        <f>IF(O69="Away",VLOOKUP(N69,Matrix!A:Z,20,0),1)</f>
        <v/>
      </c>
      <c r="J69" s="157">
        <f>IF(O69="Away",VLOOKUP(P69,Matrix!A:S,19,0),1)</f>
        <v/>
      </c>
      <c r="K69" s="157">
        <f>IF(O69="Home",VLOOKUP(P69,Matrix!A:Z,20,0),1)</f>
        <v/>
      </c>
      <c r="L69" s="156" t="n">
        <v>-0.357994397548488</v>
      </c>
      <c r="M69" s="179">
        <f>Schedule!B69</f>
        <v/>
      </c>
      <c r="N69" s="156">
        <f>Schedule!E69</f>
        <v/>
      </c>
      <c r="O69" s="156" t="inlineStr">
        <is>
          <t>Away</t>
        </is>
      </c>
      <c r="P69" s="157">
        <f>Schedule!H69</f>
        <v/>
      </c>
      <c r="Q69" s="157">
        <f>Schedule!C69</f>
        <v/>
      </c>
      <c r="R69" s="180">
        <f>Schedule!D69</f>
        <v/>
      </c>
      <c r="S69" s="181">
        <f>Schedule!J69</f>
        <v/>
      </c>
      <c r="T69" s="193">
        <f>Y69-Z69</f>
        <v/>
      </c>
      <c r="U69" s="182">
        <f>T69/Picks!$K$2</f>
        <v/>
      </c>
      <c r="V69" s="193">
        <f>INDEX(Standings!$T$3:$T$34, MATCH(N69, Standings!$A$3:$A$34, 0)) - INDEX(Standings!$T$3:$T$34, MATCH(P69, Standings!$A$3:$A$34, 0))</f>
        <v/>
      </c>
      <c r="W69" s="157">
        <f>INDEX(Standings!$L$3:$L$34, MATCH(N69, Standings!$A$3:$A$34, 0)) - INDEX(Standings!$L$3:$L$34, MATCH(P69, Standings!$A$3:$A$34, 0))</f>
        <v/>
      </c>
      <c r="X69" s="157">
        <f>INDEX(Standings!$M$3:$M$34, MATCH(N69, Standings!$A$3:$A$34, 0)) - INDEX(Standings!$M$3:$M$34, MATCH(P69, Standings!$A$3:$A$34, 0))</f>
        <v/>
      </c>
      <c r="Y69" s="194">
        <f t="array" ref="Y69:Y69">IFERROR(AE69+(AL69-_DFactor)*AE69,"")</f>
        <v/>
      </c>
      <c r="Z69" s="157">
        <f>IFERROR(AF69+(AI69-_DFactor)*AF69,"")</f>
        <v/>
      </c>
      <c r="AC69" s="194">
        <f>VLOOKUP(M69&amp;N69,Schedule!A:F,6,0)</f>
        <v/>
      </c>
      <c r="AD69" s="194">
        <f>VLOOKUP(M69&amp;P69,Schedule!A:F,6,0)</f>
        <v/>
      </c>
      <c r="AE69" s="156">
        <f>VLOOKUP(N69,ProjPVT!B:I,8,0)*_Mag/VLOOKUP(P69,Standings!A:O,15,0)*H69*K69</f>
        <v/>
      </c>
      <c r="AF69" s="156">
        <f>VLOOKUP(P69,ProjPVT!B:I,8,0)*_Mag/VLOOKUP(N69,Standings!A:O,15,0)*J69*I69</f>
        <v/>
      </c>
      <c r="AG69" s="195">
        <f>VLOOKUP(N69,Matrix!AA:AC,3,0)</f>
        <v/>
      </c>
      <c r="AH69" s="195">
        <f>SUMIFS(Def!C:C,Def!F:F,AG69)</f>
        <v/>
      </c>
      <c r="AI69" s="156">
        <f>IFERROR(SUMIFS(Def!B:B,Def!F:F,AG69)/AH69,"")</f>
        <v/>
      </c>
      <c r="AJ69" s="195">
        <f>VLOOKUP(P69,Matrix!AA:AC,3,0)</f>
        <v/>
      </c>
      <c r="AK69" s="195">
        <f>SUMIFS(Def!C:C,Def!F:F,AJ69)</f>
        <v/>
      </c>
      <c r="AL69" s="156">
        <f>IFERROR(SUMIFS(Def!B:B,Def!F:F,AJ69)/AK69,"")</f>
        <v/>
      </c>
    </row>
    <row r="70" ht="14.4" customHeight="1" s="152">
      <c r="A70" s="157">
        <f>IF(F70="Yes",IFERROR(IF(AA70&gt;1,AA70/100,100/-AA70),""),-1)</f>
        <v/>
      </c>
      <c r="B70" s="157">
        <f>B69+1</f>
        <v/>
      </c>
      <c r="C70" s="157">
        <f>IF(Y70&gt;Z70,1,0)</f>
        <v/>
      </c>
      <c r="D70" s="157">
        <f>IF(AND(C70=1,F70="Yes"),"Yes",IF(AND(C70=0,F70="No"),"Yes","No"))</f>
        <v/>
      </c>
      <c r="E70" s="192">
        <f>IF((AC70+AB70)=AD70,"Push",IF((AC70+AB70)&gt;AD70,"Yes","No"))</f>
        <v/>
      </c>
      <c r="F70" s="192">
        <f>IF(AC70&gt;AD70,"Yes","No")</f>
        <v/>
      </c>
      <c r="G70" s="192">
        <f>IF((Y70+AB70)&gt;Z70,"Yes",IF((Y70+AB70)=Z70,"Push","No"))</f>
        <v/>
      </c>
      <c r="H70" s="157">
        <f>IF(O70="Home",VLOOKUP(N70,Matrix!A:S,19,0),1)</f>
        <v/>
      </c>
      <c r="I70" s="157">
        <f>IF(O70="Away",VLOOKUP(N70,Matrix!A:Z,20,0),1)</f>
        <v/>
      </c>
      <c r="J70" s="157">
        <f>IF(O70="Away",VLOOKUP(P70,Matrix!A:S,19,0),1)</f>
        <v/>
      </c>
      <c r="K70" s="157">
        <f>IF(O70="Home",VLOOKUP(P70,Matrix!A:Z,20,0),1)</f>
        <v/>
      </c>
      <c r="L70" s="156" t="n">
        <v>-0.277681273615117</v>
      </c>
      <c r="M70" s="179">
        <f>Schedule!B70</f>
        <v/>
      </c>
      <c r="N70" s="156">
        <f>Schedule!E70</f>
        <v/>
      </c>
      <c r="O70" s="156" t="inlineStr">
        <is>
          <t>Home</t>
        </is>
      </c>
      <c r="P70" s="157">
        <f>Schedule!H70</f>
        <v/>
      </c>
      <c r="Q70" s="157">
        <f>Schedule!C70</f>
        <v/>
      </c>
      <c r="R70" s="180">
        <f>Schedule!D70</f>
        <v/>
      </c>
      <c r="S70" s="181">
        <f>Schedule!J70</f>
        <v/>
      </c>
      <c r="T70" s="193">
        <f>Y70-Z70</f>
        <v/>
      </c>
      <c r="U70" s="182">
        <f>T70/Picks!$K$2</f>
        <v/>
      </c>
      <c r="V70" s="193">
        <f>INDEX(Standings!$T$3:$T$34, MATCH(N70, Standings!$A$3:$A$34, 0)) - INDEX(Standings!$T$3:$T$34, MATCH(P70, Standings!$A$3:$A$34, 0))</f>
        <v/>
      </c>
      <c r="W70" s="157">
        <f>INDEX(Standings!$L$3:$L$34, MATCH(N70, Standings!$A$3:$A$34, 0)) - INDEX(Standings!$L$3:$L$34, MATCH(P70, Standings!$A$3:$A$34, 0))</f>
        <v/>
      </c>
      <c r="X70" s="157">
        <f>INDEX(Standings!$M$3:$M$34, MATCH(N70, Standings!$A$3:$A$34, 0)) - INDEX(Standings!$M$3:$M$34, MATCH(P70, Standings!$A$3:$A$34, 0))</f>
        <v/>
      </c>
      <c r="Y70" s="194">
        <f t="array" ref="Y70:Y70">IFERROR(AE70+(AL70-_DFactor)*AE70,"")</f>
        <v/>
      </c>
      <c r="Z70" s="157">
        <f>IFERROR(AF70+(AI70-_DFactor)*AF70,"")</f>
        <v/>
      </c>
      <c r="AC70" s="194">
        <f>VLOOKUP(M70&amp;N70,Schedule!A:F,6,0)</f>
        <v/>
      </c>
      <c r="AD70" s="194">
        <f>VLOOKUP(M70&amp;P70,Schedule!A:F,6,0)</f>
        <v/>
      </c>
      <c r="AE70" s="156">
        <f>VLOOKUP(N70,ProjPVT!B:I,8,0)*_Mag/VLOOKUP(P70,Standings!A:O,15,0)*H70*K70</f>
        <v/>
      </c>
      <c r="AF70" s="156">
        <f>VLOOKUP(P70,ProjPVT!B:I,8,0)*_Mag/VLOOKUP(N70,Standings!A:O,15,0)*J70*I70</f>
        <v/>
      </c>
      <c r="AG70" s="195">
        <f>VLOOKUP(N70,Matrix!AA:AC,3,0)</f>
        <v/>
      </c>
      <c r="AH70" s="195">
        <f>SUMIFS(Def!C:C,Def!F:F,AG70)</f>
        <v/>
      </c>
      <c r="AI70" s="156">
        <f>IFERROR(SUMIFS(Def!B:B,Def!F:F,AG70)/AH70,"")</f>
        <v/>
      </c>
      <c r="AJ70" s="195">
        <f>VLOOKUP(P70,Matrix!AA:AC,3,0)</f>
        <v/>
      </c>
      <c r="AK70" s="195">
        <f>SUMIFS(Def!C:C,Def!F:F,AJ70)</f>
        <v/>
      </c>
      <c r="AL70" s="156">
        <f>IFERROR(SUMIFS(Def!B:B,Def!F:F,AJ70)/AK70,"")</f>
        <v/>
      </c>
    </row>
    <row r="71" ht="14.4" customHeight="1" s="152">
      <c r="A71" s="157">
        <f>IF(F71="Yes",IFERROR(IF(AA71&gt;1,AA71/100,100/-AA71),""),-1)</f>
        <v/>
      </c>
      <c r="B71" s="157">
        <f>B70+1</f>
        <v/>
      </c>
      <c r="C71" s="157">
        <f>IF(Y71&gt;Z71,1,0)</f>
        <v/>
      </c>
      <c r="D71" s="157">
        <f>IF(AND(C71=1,F71="Yes"),"Yes",IF(AND(C71=0,F71="No"),"Yes","No"))</f>
        <v/>
      </c>
      <c r="E71" s="192">
        <f>IF((AC71+AB71)=AD71,"Push",IF((AC71+AB71)&gt;AD71,"Yes","No"))</f>
        <v/>
      </c>
      <c r="F71" s="192">
        <f>IF(AC71&gt;AD71,"Yes","No")</f>
        <v/>
      </c>
      <c r="G71" s="192">
        <f>IF((Y71+AB71)&gt;Z71,"Yes",IF((Y71+AB71)=Z71,"Push","No"))</f>
        <v/>
      </c>
      <c r="H71" s="157">
        <f>IF(O71="Home",VLOOKUP(N71,Matrix!A:S,19,0),1)</f>
        <v/>
      </c>
      <c r="I71" s="157">
        <f>IF(O71="Away",VLOOKUP(N71,Matrix!A:Z,20,0),1)</f>
        <v/>
      </c>
      <c r="J71" s="157">
        <f>IF(O71="Away",VLOOKUP(P71,Matrix!A:S,19,0),1)</f>
        <v/>
      </c>
      <c r="K71" s="157">
        <f>IF(O71="Home",VLOOKUP(P71,Matrix!A:Z,20,0),1)</f>
        <v/>
      </c>
      <c r="L71" s="156" t="n">
        <v>-0.201879753290414</v>
      </c>
      <c r="M71" s="179">
        <f>Schedule!B71</f>
        <v/>
      </c>
      <c r="N71" s="156">
        <f>Schedule!E71</f>
        <v/>
      </c>
      <c r="O71" s="156" t="inlineStr">
        <is>
          <t>Home</t>
        </is>
      </c>
      <c r="P71" s="157">
        <f>Schedule!H71</f>
        <v/>
      </c>
      <c r="Q71" s="157">
        <f>Schedule!C71</f>
        <v/>
      </c>
      <c r="R71" s="180">
        <f>Schedule!D71</f>
        <v/>
      </c>
      <c r="S71" s="181">
        <f>Schedule!J71</f>
        <v/>
      </c>
      <c r="T71" s="193">
        <f>Y71-Z71</f>
        <v/>
      </c>
      <c r="U71" s="182">
        <f>T71/Picks!$K$2</f>
        <v/>
      </c>
      <c r="V71" s="193">
        <f>INDEX(Standings!$T$3:$T$34, MATCH(N71, Standings!$A$3:$A$34, 0)) - INDEX(Standings!$T$3:$T$34, MATCH(P71, Standings!$A$3:$A$34, 0))</f>
        <v/>
      </c>
      <c r="W71" s="157">
        <f>INDEX(Standings!$L$3:$L$34, MATCH(N71, Standings!$A$3:$A$34, 0)) - INDEX(Standings!$L$3:$L$34, MATCH(P71, Standings!$A$3:$A$34, 0))</f>
        <v/>
      </c>
      <c r="X71" s="157">
        <f>INDEX(Standings!$M$3:$M$34, MATCH(N71, Standings!$A$3:$A$34, 0)) - INDEX(Standings!$M$3:$M$34, MATCH(P71, Standings!$A$3:$A$34, 0))</f>
        <v/>
      </c>
      <c r="Y71" s="194">
        <f t="array" ref="Y71:Y71">IFERROR(AE71+(AL71-_DFactor)*AE71,"")</f>
        <v/>
      </c>
      <c r="Z71" s="157">
        <f>IFERROR(AF71+(AI71-_DFactor)*AF71,"")</f>
        <v/>
      </c>
      <c r="AC71" s="194">
        <f>VLOOKUP(M71&amp;N71,Schedule!A:F,6,0)</f>
        <v/>
      </c>
      <c r="AD71" s="194">
        <f>VLOOKUP(M71&amp;P71,Schedule!A:F,6,0)</f>
        <v/>
      </c>
      <c r="AE71" s="156">
        <f>VLOOKUP(N71,ProjPVT!B:I,8,0)*_Mag/VLOOKUP(P71,Standings!A:O,15,0)*H71*K71</f>
        <v/>
      </c>
      <c r="AF71" s="156">
        <f>VLOOKUP(P71,ProjPVT!B:I,8,0)*_Mag/VLOOKUP(N71,Standings!A:O,15,0)*J71*I71</f>
        <v/>
      </c>
      <c r="AG71" s="195">
        <f>VLOOKUP(N71,Matrix!AA:AC,3,0)</f>
        <v/>
      </c>
      <c r="AH71" s="195">
        <f>SUMIFS(Def!C:C,Def!F:F,AG71)</f>
        <v/>
      </c>
      <c r="AI71" s="156">
        <f>IFERROR(SUMIFS(Def!B:B,Def!F:F,AG71)/AH71,"")</f>
        <v/>
      </c>
      <c r="AJ71" s="195">
        <f>VLOOKUP(P71,Matrix!AA:AC,3,0)</f>
        <v/>
      </c>
      <c r="AK71" s="195">
        <f>SUMIFS(Def!C:C,Def!F:F,AJ71)</f>
        <v/>
      </c>
      <c r="AL71" s="156">
        <f>IFERROR(SUMIFS(Def!B:B,Def!F:F,AJ71)/AK71,"")</f>
        <v/>
      </c>
    </row>
    <row r="72" ht="14.4" customHeight="1" s="152">
      <c r="A72" s="157">
        <f>IF(F72="Yes",IFERROR(IF(AA72&gt;1,AA72/100,100/-AA72),""),-1)</f>
        <v/>
      </c>
      <c r="B72" s="157">
        <f>B71+1</f>
        <v/>
      </c>
      <c r="C72" s="157">
        <f>IF(Y72&gt;Z72,1,0)</f>
        <v/>
      </c>
      <c r="D72" s="157">
        <f>IF(AND(C72=1,F72="Yes"),"Yes",IF(AND(C72=0,F72="No"),"Yes","No"))</f>
        <v/>
      </c>
      <c r="E72" s="192">
        <f>IF((AC72+AB72)=AD72,"Push",IF((AC72+AB72)&gt;AD72,"Yes","No"))</f>
        <v/>
      </c>
      <c r="F72" s="192">
        <f>IF(AC72&gt;AD72,"Yes","No")</f>
        <v/>
      </c>
      <c r="G72" s="192">
        <f>IF((Y72+AB72)&gt;Z72,"Yes",IF((Y72+AB72)=Z72,"Push","No"))</f>
        <v/>
      </c>
      <c r="H72" s="157">
        <f>IF(O72="Home",VLOOKUP(N72,Matrix!A:S,19,0),1)</f>
        <v/>
      </c>
      <c r="I72" s="157">
        <f>IF(O72="Away",VLOOKUP(N72,Matrix!A:Z,20,0),1)</f>
        <v/>
      </c>
      <c r="J72" s="157">
        <f>IF(O72="Away",VLOOKUP(P72,Matrix!A:S,19,0),1)</f>
        <v/>
      </c>
      <c r="K72" s="157">
        <f>IF(O72="Home",VLOOKUP(P72,Matrix!A:Z,20,0),1)</f>
        <v/>
      </c>
      <c r="L72" s="156" t="n">
        <v>-0.201332139825888</v>
      </c>
      <c r="M72" s="179">
        <f>Schedule!B72</f>
        <v/>
      </c>
      <c r="N72" s="156">
        <f>Schedule!E72</f>
        <v/>
      </c>
      <c r="O72" s="156" t="inlineStr">
        <is>
          <t>Away</t>
        </is>
      </c>
      <c r="P72" s="157">
        <f>Schedule!H72</f>
        <v/>
      </c>
      <c r="Q72" s="157">
        <f>Schedule!C72</f>
        <v/>
      </c>
      <c r="R72" s="180">
        <f>Schedule!D72</f>
        <v/>
      </c>
      <c r="S72" s="181">
        <f>Schedule!J72</f>
        <v/>
      </c>
      <c r="T72" s="193">
        <f>Y72-Z72</f>
        <v/>
      </c>
      <c r="U72" s="182">
        <f>T72/Picks!$K$2</f>
        <v/>
      </c>
      <c r="V72" s="193">
        <f>INDEX(Standings!$T$3:$T$34, MATCH(N72, Standings!$A$3:$A$34, 0)) - INDEX(Standings!$T$3:$T$34, MATCH(P72, Standings!$A$3:$A$34, 0))</f>
        <v/>
      </c>
      <c r="W72" s="157">
        <f>INDEX(Standings!$L$3:$L$34, MATCH(N72, Standings!$A$3:$A$34, 0)) - INDEX(Standings!$L$3:$L$34, MATCH(P72, Standings!$A$3:$A$34, 0))</f>
        <v/>
      </c>
      <c r="X72" s="157">
        <f>INDEX(Standings!$M$3:$M$34, MATCH(N72, Standings!$A$3:$A$34, 0)) - INDEX(Standings!$M$3:$M$34, MATCH(P72, Standings!$A$3:$A$34, 0))</f>
        <v/>
      </c>
      <c r="Y72" s="194">
        <f t="array" ref="Y72:Y72">IFERROR(AE72+(AL72-_DFactor)*AE72,"")</f>
        <v/>
      </c>
      <c r="Z72" s="157">
        <f>IFERROR(AF72+(AI72-_DFactor)*AF72,"")</f>
        <v/>
      </c>
      <c r="AC72" s="194">
        <f>VLOOKUP(M72&amp;N72,Schedule!A:F,6,0)</f>
        <v/>
      </c>
      <c r="AD72" s="194">
        <f>VLOOKUP(M72&amp;P72,Schedule!A:F,6,0)</f>
        <v/>
      </c>
      <c r="AE72" s="156">
        <f>VLOOKUP(N72,ProjPVT!B:I,8,0)*_Mag/VLOOKUP(P72,Standings!A:O,15,0)*H72*K72</f>
        <v/>
      </c>
      <c r="AF72" s="156">
        <f>VLOOKUP(P72,ProjPVT!B:I,8,0)*_Mag/VLOOKUP(N72,Standings!A:O,15,0)*J72*I72</f>
        <v/>
      </c>
      <c r="AG72" s="195">
        <f>VLOOKUP(N72,Matrix!AA:AC,3,0)</f>
        <v/>
      </c>
      <c r="AH72" s="195">
        <f>SUMIFS(Def!C:C,Def!F:F,AG72)</f>
        <v/>
      </c>
      <c r="AI72" s="156">
        <f>IFERROR(SUMIFS(Def!B:B,Def!F:F,AG72)/AH72,"")</f>
        <v/>
      </c>
      <c r="AJ72" s="195">
        <f>VLOOKUP(P72,Matrix!AA:AC,3,0)</f>
        <v/>
      </c>
      <c r="AK72" s="195">
        <f>SUMIFS(Def!C:C,Def!F:F,AJ72)</f>
        <v/>
      </c>
      <c r="AL72" s="156">
        <f>IFERROR(SUMIFS(Def!B:B,Def!F:F,AJ72)/AK72,"")</f>
        <v/>
      </c>
    </row>
    <row r="73" ht="14.4" customHeight="1" s="152">
      <c r="A73" s="157">
        <f>IF(F73="Yes",IFERROR(IF(AA73&gt;1,AA73/100,100/-AA73),""),-1)</f>
        <v/>
      </c>
      <c r="B73" s="157">
        <f>B72+1</f>
        <v/>
      </c>
      <c r="C73" s="157">
        <f>IF(Y73&gt;Z73,1,0)</f>
        <v/>
      </c>
      <c r="D73" s="157">
        <f>IF(AND(C73=1,F73="Yes"),"Yes",IF(AND(C73=0,F73="No"),"Yes","No"))</f>
        <v/>
      </c>
      <c r="E73" s="192">
        <f>IF((AC73+AB73)=AD73,"Push",IF((AC73+AB73)&gt;AD73,"Yes","No"))</f>
        <v/>
      </c>
      <c r="F73" s="192">
        <f>IF(AC73&gt;AD73,"Yes","No")</f>
        <v/>
      </c>
      <c r="G73" s="192">
        <f>IF((Y73+AB73)&gt;Z73,"Yes",IF((Y73+AB73)=Z73,"Push","No"))</f>
        <v/>
      </c>
      <c r="H73" s="157">
        <f>IF(O73="Home",VLOOKUP(N73,Matrix!A:S,19,0),1)</f>
        <v/>
      </c>
      <c r="I73" s="157">
        <f>IF(O73="Away",VLOOKUP(N73,Matrix!A:Z,20,0),1)</f>
        <v/>
      </c>
      <c r="J73" s="157">
        <f>IF(O73="Away",VLOOKUP(P73,Matrix!A:S,19,0),1)</f>
        <v/>
      </c>
      <c r="K73" s="157">
        <f>IF(O73="Home",VLOOKUP(P73,Matrix!A:Z,20,0),1)</f>
        <v/>
      </c>
      <c r="L73" s="156" t="n">
        <v>-0.184042128075905</v>
      </c>
      <c r="M73" s="179">
        <f>Schedule!B73</f>
        <v/>
      </c>
      <c r="N73" s="156">
        <f>Schedule!E73</f>
        <v/>
      </c>
      <c r="O73" s="156" t="inlineStr">
        <is>
          <t>Home</t>
        </is>
      </c>
      <c r="P73" s="157">
        <f>Schedule!H73</f>
        <v/>
      </c>
      <c r="Q73" s="157">
        <f>Schedule!C73</f>
        <v/>
      </c>
      <c r="R73" s="180">
        <f>Schedule!D73</f>
        <v/>
      </c>
      <c r="S73" s="181">
        <f>Schedule!J73</f>
        <v/>
      </c>
      <c r="T73" s="193">
        <f>Y73-Z73</f>
        <v/>
      </c>
      <c r="U73" s="182">
        <f>T73/Picks!$K$2</f>
        <v/>
      </c>
      <c r="V73" s="193">
        <f>INDEX(Standings!$T$3:$T$34, MATCH(N73, Standings!$A$3:$A$34, 0)) - INDEX(Standings!$T$3:$T$34, MATCH(P73, Standings!$A$3:$A$34, 0))</f>
        <v/>
      </c>
      <c r="W73" s="157">
        <f>INDEX(Standings!$L$3:$L$34, MATCH(N73, Standings!$A$3:$A$34, 0)) - INDEX(Standings!$L$3:$L$34, MATCH(P73, Standings!$A$3:$A$34, 0))</f>
        <v/>
      </c>
      <c r="X73" s="157">
        <f>INDEX(Standings!$M$3:$M$34, MATCH(N73, Standings!$A$3:$A$34, 0)) - INDEX(Standings!$M$3:$M$34, MATCH(P73, Standings!$A$3:$A$34, 0))</f>
        <v/>
      </c>
      <c r="Y73" s="194">
        <f t="array" ref="Y73:Y73">IFERROR(AE73+(AL73-_DFactor)*AE73,"")</f>
        <v/>
      </c>
      <c r="Z73" s="157">
        <f>IFERROR(AF73+(AI73-_DFactor)*AF73,"")</f>
        <v/>
      </c>
      <c r="AC73" s="194">
        <f>VLOOKUP(M73&amp;N73,Schedule!A:F,6,0)</f>
        <v/>
      </c>
      <c r="AD73" s="194">
        <f>VLOOKUP(M73&amp;P73,Schedule!A:F,6,0)</f>
        <v/>
      </c>
      <c r="AE73" s="156">
        <f>VLOOKUP(N73,ProjPVT!B:I,8,0)*_Mag/VLOOKUP(P73,Standings!A:O,15,0)*H73*K73</f>
        <v/>
      </c>
      <c r="AF73" s="156">
        <f>VLOOKUP(P73,ProjPVT!B:I,8,0)*_Mag/VLOOKUP(N73,Standings!A:O,15,0)*J73*I73</f>
        <v/>
      </c>
      <c r="AG73" s="195">
        <f>VLOOKUP(N73,Matrix!AA:AC,3,0)</f>
        <v/>
      </c>
      <c r="AH73" s="195">
        <f>SUMIFS(Def!C:C,Def!F:F,AG73)</f>
        <v/>
      </c>
      <c r="AI73" s="156">
        <f>IFERROR(SUMIFS(Def!B:B,Def!F:F,AG73)/AH73,"")</f>
        <v/>
      </c>
      <c r="AJ73" s="195">
        <f>VLOOKUP(P73,Matrix!AA:AC,3,0)</f>
        <v/>
      </c>
      <c r="AK73" s="195">
        <f>SUMIFS(Def!C:C,Def!F:F,AJ73)</f>
        <v/>
      </c>
      <c r="AL73" s="156">
        <f>IFERROR(SUMIFS(Def!B:B,Def!F:F,AJ73)/AK73,"")</f>
        <v/>
      </c>
    </row>
    <row r="74" ht="14.4" customHeight="1" s="152">
      <c r="A74" s="157">
        <f>IF(F74="Yes",IFERROR(IF(AA74&gt;1,AA74/100,100/-AA74),""),-1)</f>
        <v/>
      </c>
      <c r="B74" s="157">
        <f>B73+1</f>
        <v/>
      </c>
      <c r="C74" s="157">
        <f>IF(Y74&gt;Z74,1,0)</f>
        <v/>
      </c>
      <c r="D74" s="157">
        <f>IF(AND(C74=1,F74="Yes"),"Yes",IF(AND(C74=0,F74="No"),"Yes","No"))</f>
        <v/>
      </c>
      <c r="E74" s="192">
        <f>IF((AC74+AB74)=AD74,"Push",IF((AC74+AB74)&gt;AD74,"Yes","No"))</f>
        <v/>
      </c>
      <c r="F74" s="192">
        <f>IF(AC74&gt;AD74,"Yes","No")</f>
        <v/>
      </c>
      <c r="G74" s="192">
        <f>IF((Y74+AB74)&gt;Z74,"Yes",IF((Y74+AB74)=Z74,"Push","No"))</f>
        <v/>
      </c>
      <c r="H74" s="157">
        <f>IF(O74="Home",VLOOKUP(N74,Matrix!A:S,19,0),1)</f>
        <v/>
      </c>
      <c r="I74" s="157">
        <f>IF(O74="Away",VLOOKUP(N74,Matrix!A:Z,20,0),1)</f>
        <v/>
      </c>
      <c r="J74" s="157">
        <f>IF(O74="Away",VLOOKUP(P74,Matrix!A:S,19,0),1)</f>
        <v/>
      </c>
      <c r="K74" s="157">
        <f>IF(O74="Home",VLOOKUP(P74,Matrix!A:Z,20,0),1)</f>
        <v/>
      </c>
      <c r="L74" s="156" t="n">
        <v>-0.152516620199557</v>
      </c>
      <c r="M74" s="179">
        <f>Schedule!B74</f>
        <v/>
      </c>
      <c r="N74" s="156">
        <f>Schedule!E74</f>
        <v/>
      </c>
      <c r="O74" s="156" t="inlineStr">
        <is>
          <t>Away</t>
        </is>
      </c>
      <c r="P74" s="157">
        <f>Schedule!H74</f>
        <v/>
      </c>
      <c r="Q74" s="157">
        <f>Schedule!C74</f>
        <v/>
      </c>
      <c r="R74" s="180">
        <f>Schedule!D74</f>
        <v/>
      </c>
      <c r="S74" s="181">
        <f>Schedule!J74</f>
        <v/>
      </c>
      <c r="T74" s="193">
        <f>Y74-Z74</f>
        <v/>
      </c>
      <c r="U74" s="182">
        <f>T74/Picks!$K$2</f>
        <v/>
      </c>
      <c r="V74" s="193">
        <f>INDEX(Standings!$T$3:$T$34, MATCH(N74, Standings!$A$3:$A$34, 0)) - INDEX(Standings!$T$3:$T$34, MATCH(P74, Standings!$A$3:$A$34, 0))</f>
        <v/>
      </c>
      <c r="W74" s="157">
        <f>INDEX(Standings!$L$3:$L$34, MATCH(N74, Standings!$A$3:$A$34, 0)) - INDEX(Standings!$L$3:$L$34, MATCH(P74, Standings!$A$3:$A$34, 0))</f>
        <v/>
      </c>
      <c r="X74" s="157">
        <f>INDEX(Standings!$M$3:$M$34, MATCH(N74, Standings!$A$3:$A$34, 0)) - INDEX(Standings!$M$3:$M$34, MATCH(P74, Standings!$A$3:$A$34, 0))</f>
        <v/>
      </c>
      <c r="Y74" s="194">
        <f t="array" ref="Y74:Y74">IFERROR(AE74+(AL74-_DFactor)*AE74,"")</f>
        <v/>
      </c>
      <c r="Z74" s="157">
        <f>IFERROR(AF74+(AI74-_DFactor)*AF74,"")</f>
        <v/>
      </c>
      <c r="AC74" s="194">
        <f>VLOOKUP(M74&amp;N74,Schedule!A:F,6,0)</f>
        <v/>
      </c>
      <c r="AD74" s="194">
        <f>VLOOKUP(M74&amp;P74,Schedule!A:F,6,0)</f>
        <v/>
      </c>
      <c r="AE74" s="156">
        <f>VLOOKUP(N74,ProjPVT!B:I,8,0)*_Mag/VLOOKUP(P74,Standings!A:O,15,0)*H74*K74</f>
        <v/>
      </c>
      <c r="AF74" s="156">
        <f>VLOOKUP(P74,ProjPVT!B:I,8,0)*_Mag/VLOOKUP(N74,Standings!A:O,15,0)*J74*I74</f>
        <v/>
      </c>
      <c r="AG74" s="195">
        <f>VLOOKUP(N74,Matrix!AA:AC,3,0)</f>
        <v/>
      </c>
      <c r="AH74" s="195">
        <f>SUMIFS(Def!C:C,Def!F:F,AG74)</f>
        <v/>
      </c>
      <c r="AI74" s="156">
        <f>IFERROR(SUMIFS(Def!B:B,Def!F:F,AG74)/AH74,"")</f>
        <v/>
      </c>
      <c r="AJ74" s="195">
        <f>VLOOKUP(P74,Matrix!AA:AC,3,0)</f>
        <v/>
      </c>
      <c r="AK74" s="195">
        <f>SUMIFS(Def!C:C,Def!F:F,AJ74)</f>
        <v/>
      </c>
      <c r="AL74" s="156">
        <f>IFERROR(SUMIFS(Def!B:B,Def!F:F,AJ74)/AK74,"")</f>
        <v/>
      </c>
    </row>
    <row r="75" ht="14.4" customHeight="1" s="152">
      <c r="A75" s="157">
        <f>IF(F75="Yes",IFERROR(IF(AA75&gt;1,AA75/100,100/-AA75),""),-1)</f>
        <v/>
      </c>
      <c r="B75" s="157">
        <f>B74+1</f>
        <v/>
      </c>
      <c r="C75" s="157">
        <f>IF(Y75&gt;Z75,1,0)</f>
        <v/>
      </c>
      <c r="D75" s="157">
        <f>IF(AND(C75=1,F75="Yes"),"Yes",IF(AND(C75=0,F75="No"),"Yes","No"))</f>
        <v/>
      </c>
      <c r="E75" s="192">
        <f>IF((AC75+AB75)=AD75,"Push",IF((AC75+AB75)&gt;AD75,"Yes","No"))</f>
        <v/>
      </c>
      <c r="F75" s="192">
        <f>IF(AC75&gt;AD75,"Yes","No")</f>
        <v/>
      </c>
      <c r="G75" s="192">
        <f>IF((Y75+AB75)&gt;Z75,"Yes",IF((Y75+AB75)=Z75,"Push","No"))</f>
        <v/>
      </c>
      <c r="H75" s="157">
        <f>IF(O75="Home",VLOOKUP(N75,Matrix!A:S,19,0),1)</f>
        <v/>
      </c>
      <c r="I75" s="157">
        <f>IF(O75="Away",VLOOKUP(N75,Matrix!A:Z,20,0),1)</f>
        <v/>
      </c>
      <c r="J75" s="157">
        <f>IF(O75="Away",VLOOKUP(P75,Matrix!A:S,19,0),1)</f>
        <v/>
      </c>
      <c r="K75" s="157">
        <f>IF(O75="Home",VLOOKUP(P75,Matrix!A:Z,20,0),1)</f>
        <v/>
      </c>
      <c r="L75" s="156" t="n">
        <v>-0.137464745682236</v>
      </c>
      <c r="M75" s="179">
        <f>Schedule!B75</f>
        <v/>
      </c>
      <c r="N75" s="156">
        <f>Schedule!E75</f>
        <v/>
      </c>
      <c r="O75" s="156" t="inlineStr">
        <is>
          <t>Away</t>
        </is>
      </c>
      <c r="P75" s="157">
        <f>Schedule!H75</f>
        <v/>
      </c>
      <c r="Q75" s="157">
        <f>Schedule!C75</f>
        <v/>
      </c>
      <c r="R75" s="180">
        <f>Schedule!D75</f>
        <v/>
      </c>
      <c r="S75" s="181">
        <f>Schedule!J75</f>
        <v/>
      </c>
      <c r="T75" s="193">
        <f>Y75-Z75</f>
        <v/>
      </c>
      <c r="U75" s="182">
        <f>T75/Picks!$K$2</f>
        <v/>
      </c>
      <c r="V75" s="193">
        <f>INDEX(Standings!$T$3:$T$34, MATCH(N75, Standings!$A$3:$A$34, 0)) - INDEX(Standings!$T$3:$T$34, MATCH(P75, Standings!$A$3:$A$34, 0))</f>
        <v/>
      </c>
      <c r="W75" s="157">
        <f>INDEX(Standings!$L$3:$L$34, MATCH(N75, Standings!$A$3:$A$34, 0)) - INDEX(Standings!$L$3:$L$34, MATCH(P75, Standings!$A$3:$A$34, 0))</f>
        <v/>
      </c>
      <c r="X75" s="157">
        <f>INDEX(Standings!$M$3:$M$34, MATCH(N75, Standings!$A$3:$A$34, 0)) - INDEX(Standings!$M$3:$M$34, MATCH(P75, Standings!$A$3:$A$34, 0))</f>
        <v/>
      </c>
      <c r="Y75" s="194">
        <f t="array" ref="Y75:Y75">IFERROR(AE75+(AL75-_DFactor)*AE75,"")</f>
        <v/>
      </c>
      <c r="Z75" s="157">
        <f>IFERROR(AF75+(AI75-_DFactor)*AF75,"")</f>
        <v/>
      </c>
      <c r="AC75" s="194">
        <f>VLOOKUP(M75&amp;N75,Schedule!A:F,6,0)</f>
        <v/>
      </c>
      <c r="AD75" s="194">
        <f>VLOOKUP(M75&amp;P75,Schedule!A:F,6,0)</f>
        <v/>
      </c>
      <c r="AE75" s="156">
        <f>VLOOKUP(N75,ProjPVT!B:I,8,0)*_Mag/VLOOKUP(P75,Standings!A:O,15,0)*H75*K75</f>
        <v/>
      </c>
      <c r="AF75" s="156">
        <f>VLOOKUP(P75,ProjPVT!B:I,8,0)*_Mag/VLOOKUP(N75,Standings!A:O,15,0)*J75*I75</f>
        <v/>
      </c>
      <c r="AG75" s="195">
        <f>VLOOKUP(N75,Matrix!AA:AC,3,0)</f>
        <v/>
      </c>
      <c r="AH75" s="195">
        <f>SUMIFS(Def!C:C,Def!F:F,AG75)</f>
        <v/>
      </c>
      <c r="AI75" s="156">
        <f>IFERROR(SUMIFS(Def!B:B,Def!F:F,AG75)/AH75,"")</f>
        <v/>
      </c>
      <c r="AJ75" s="195">
        <f>VLOOKUP(P75,Matrix!AA:AC,3,0)</f>
        <v/>
      </c>
      <c r="AK75" s="195">
        <f>SUMIFS(Def!C:C,Def!F:F,AJ75)</f>
        <v/>
      </c>
      <c r="AL75" s="156">
        <f>IFERROR(SUMIFS(Def!B:B,Def!F:F,AJ75)/AK75,"")</f>
        <v/>
      </c>
    </row>
    <row r="76" ht="14.4" customHeight="1" s="152">
      <c r="A76" s="157">
        <f>IF(F76="Yes",IFERROR(IF(AA76&gt;1,AA76/100,100/-AA76),""),-1)</f>
        <v/>
      </c>
      <c r="B76" s="157">
        <f>B75+1</f>
        <v/>
      </c>
      <c r="C76" s="157">
        <f>IF(Y76&gt;Z76,1,0)</f>
        <v/>
      </c>
      <c r="D76" s="157">
        <f>IF(AND(C76=1,F76="Yes"),"Yes",IF(AND(C76=0,F76="No"),"Yes","No"))</f>
        <v/>
      </c>
      <c r="E76" s="192">
        <f>IF((AC76+AB76)=AD76,"Push",IF((AC76+AB76)&gt;AD76,"Yes","No"))</f>
        <v/>
      </c>
      <c r="F76" s="192">
        <f>IF(AC76&gt;AD76,"Yes","No")</f>
        <v/>
      </c>
      <c r="G76" s="192">
        <f>IF((Y76+AB76)&gt;Z76,"Yes",IF((Y76+AB76)=Z76,"Push","No"))</f>
        <v/>
      </c>
      <c r="H76" s="157">
        <f>IF(O76="Home",VLOOKUP(N76,Matrix!A:S,19,0),1)</f>
        <v/>
      </c>
      <c r="I76" s="157">
        <f>IF(O76="Away",VLOOKUP(N76,Matrix!A:Z,20,0),1)</f>
        <v/>
      </c>
      <c r="J76" s="157">
        <f>IF(O76="Away",VLOOKUP(P76,Matrix!A:S,19,0),1)</f>
        <v/>
      </c>
      <c r="K76" s="157">
        <f>IF(O76="Home",VLOOKUP(P76,Matrix!A:Z,20,0),1)</f>
        <v/>
      </c>
      <c r="L76" s="156" t="n">
        <v>-0.123205287892784</v>
      </c>
      <c r="M76" s="179">
        <f>Schedule!B76</f>
        <v/>
      </c>
      <c r="N76" s="156">
        <f>Schedule!E76</f>
        <v/>
      </c>
      <c r="O76" s="156" t="inlineStr">
        <is>
          <t>Away</t>
        </is>
      </c>
      <c r="P76" s="157">
        <f>Schedule!H76</f>
        <v/>
      </c>
      <c r="Q76" s="157">
        <f>Schedule!C76</f>
        <v/>
      </c>
      <c r="R76" s="180">
        <f>Schedule!D76</f>
        <v/>
      </c>
      <c r="S76" s="181">
        <f>Schedule!J76</f>
        <v/>
      </c>
      <c r="T76" s="193">
        <f>Y76-Z76</f>
        <v/>
      </c>
      <c r="U76" s="182">
        <f>T76/Picks!$K$2</f>
        <v/>
      </c>
      <c r="V76" s="193">
        <f>INDEX(Standings!$T$3:$T$34, MATCH(N76, Standings!$A$3:$A$34, 0)) - INDEX(Standings!$T$3:$T$34, MATCH(P76, Standings!$A$3:$A$34, 0))</f>
        <v/>
      </c>
      <c r="W76" s="157">
        <f>INDEX(Standings!$L$3:$L$34, MATCH(N76, Standings!$A$3:$A$34, 0)) - INDEX(Standings!$L$3:$L$34, MATCH(P76, Standings!$A$3:$A$34, 0))</f>
        <v/>
      </c>
      <c r="X76" s="157">
        <f>INDEX(Standings!$M$3:$M$34, MATCH(N76, Standings!$A$3:$A$34, 0)) - INDEX(Standings!$M$3:$M$34, MATCH(P76, Standings!$A$3:$A$34, 0))</f>
        <v/>
      </c>
      <c r="Y76" s="194">
        <f t="array" ref="Y76:Y76">IFERROR(AE76+(AL76-_DFactor)*AE76,"")</f>
        <v/>
      </c>
      <c r="Z76" s="157">
        <f>IFERROR(AF76+(AI76-_DFactor)*AF76,"")</f>
        <v/>
      </c>
      <c r="AC76" s="194">
        <f>VLOOKUP(M76&amp;N76,Schedule!A:F,6,0)</f>
        <v/>
      </c>
      <c r="AD76" s="194">
        <f>VLOOKUP(M76&amp;P76,Schedule!A:F,6,0)</f>
        <v/>
      </c>
      <c r="AE76" s="156">
        <f>VLOOKUP(N76,ProjPVT!B:I,8,0)*_Mag/VLOOKUP(P76,Standings!A:O,15,0)*H76*K76</f>
        <v/>
      </c>
      <c r="AF76" s="156">
        <f>VLOOKUP(P76,ProjPVT!B:I,8,0)*_Mag/VLOOKUP(N76,Standings!A:O,15,0)*J76*I76</f>
        <v/>
      </c>
      <c r="AG76" s="195">
        <f>VLOOKUP(N76,Matrix!AA:AC,3,0)</f>
        <v/>
      </c>
      <c r="AH76" s="195">
        <f>SUMIFS(Def!C:C,Def!F:F,AG76)</f>
        <v/>
      </c>
      <c r="AI76" s="156">
        <f>IFERROR(SUMIFS(Def!B:B,Def!F:F,AG76)/AH76,"")</f>
        <v/>
      </c>
      <c r="AJ76" s="195">
        <f>VLOOKUP(P76,Matrix!AA:AC,3,0)</f>
        <v/>
      </c>
      <c r="AK76" s="195">
        <f>SUMIFS(Def!C:C,Def!F:F,AJ76)</f>
        <v/>
      </c>
      <c r="AL76" s="156">
        <f>IFERROR(SUMIFS(Def!B:B,Def!F:F,AJ76)/AK76,"")</f>
        <v/>
      </c>
    </row>
    <row r="77" ht="14.4" customHeight="1" s="152">
      <c r="A77" s="157">
        <f>IF(F77="Yes",IFERROR(IF(AA77&gt;1,AA77/100,100/-AA77),""),-1)</f>
        <v/>
      </c>
      <c r="B77" s="157">
        <f>B76+1</f>
        <v/>
      </c>
      <c r="C77" s="157">
        <f>IF(Y77&gt;Z77,1,0)</f>
        <v/>
      </c>
      <c r="D77" s="157">
        <f>IF(AND(C77=1,F77="Yes"),"Yes",IF(AND(C77=0,F77="No"),"Yes","No"))</f>
        <v/>
      </c>
      <c r="E77" s="192">
        <f>IF((AC77+AB77)=AD77,"Push",IF((AC77+AB77)&gt;AD77,"Yes","No"))</f>
        <v/>
      </c>
      <c r="F77" s="192">
        <f>IF(AC77&gt;AD77,"Yes","No")</f>
        <v/>
      </c>
      <c r="G77" s="192">
        <f>IF((Y77+AB77)&gt;Z77,"Yes",IF((Y77+AB77)=Z77,"Push","No"))</f>
        <v/>
      </c>
      <c r="H77" s="157">
        <f>IF(O77="Home",VLOOKUP(N77,Matrix!A:S,19,0),1)</f>
        <v/>
      </c>
      <c r="I77" s="157">
        <f>IF(O77="Away",VLOOKUP(N77,Matrix!A:Z,20,0),1)</f>
        <v/>
      </c>
      <c r="J77" s="157">
        <f>IF(O77="Away",VLOOKUP(P77,Matrix!A:S,19,0),1)</f>
        <v/>
      </c>
      <c r="K77" s="157">
        <f>IF(O77="Home",VLOOKUP(P77,Matrix!A:Z,20,0),1)</f>
        <v/>
      </c>
      <c r="L77" s="156" t="n">
        <v>-0.070428780612492</v>
      </c>
      <c r="M77" s="179">
        <f>Schedule!B77</f>
        <v/>
      </c>
      <c r="N77" s="156">
        <f>Schedule!E77</f>
        <v/>
      </c>
      <c r="O77" s="156" t="inlineStr">
        <is>
          <t>Home</t>
        </is>
      </c>
      <c r="P77" s="157">
        <f>Schedule!H77</f>
        <v/>
      </c>
      <c r="Q77" s="157">
        <f>Schedule!C77</f>
        <v/>
      </c>
      <c r="R77" s="180">
        <f>Schedule!D77</f>
        <v/>
      </c>
      <c r="S77" s="181">
        <f>Schedule!J77</f>
        <v/>
      </c>
      <c r="T77" s="193">
        <f>Y77-Z77</f>
        <v/>
      </c>
      <c r="U77" s="182">
        <f>T77/Picks!$K$2</f>
        <v/>
      </c>
      <c r="V77" s="193">
        <f>INDEX(Standings!$T$3:$T$34, MATCH(N77, Standings!$A$3:$A$34, 0)) - INDEX(Standings!$T$3:$T$34, MATCH(P77, Standings!$A$3:$A$34, 0))</f>
        <v/>
      </c>
      <c r="W77" s="157">
        <f>INDEX(Standings!$L$3:$L$34, MATCH(N77, Standings!$A$3:$A$34, 0)) - INDEX(Standings!$L$3:$L$34, MATCH(P77, Standings!$A$3:$A$34, 0))</f>
        <v/>
      </c>
      <c r="X77" s="157">
        <f>INDEX(Standings!$M$3:$M$34, MATCH(N77, Standings!$A$3:$A$34, 0)) - INDEX(Standings!$M$3:$M$34, MATCH(P77, Standings!$A$3:$A$34, 0))</f>
        <v/>
      </c>
      <c r="Y77" s="194">
        <f t="array" ref="Y77:Y77">IFERROR(AE77+(AL77-_DFactor)*AE77,"")</f>
        <v/>
      </c>
      <c r="Z77" s="157">
        <f>IFERROR(AF77+(AI77-_DFactor)*AF77,"")</f>
        <v/>
      </c>
      <c r="AC77" s="194">
        <f>VLOOKUP(M77&amp;N77,Schedule!A:F,6,0)</f>
        <v/>
      </c>
      <c r="AD77" s="194">
        <f>VLOOKUP(M77&amp;P77,Schedule!A:F,6,0)</f>
        <v/>
      </c>
      <c r="AE77" s="156">
        <f>VLOOKUP(N77,ProjPVT!B:I,8,0)*_Mag/VLOOKUP(P77,Standings!A:O,15,0)*H77*K77</f>
        <v/>
      </c>
      <c r="AF77" s="156">
        <f>VLOOKUP(P77,ProjPVT!B:I,8,0)*_Mag/VLOOKUP(N77,Standings!A:O,15,0)*J77*I77</f>
        <v/>
      </c>
      <c r="AG77" s="195">
        <f>VLOOKUP(N77,Matrix!AA:AC,3,0)</f>
        <v/>
      </c>
      <c r="AH77" s="195">
        <f>SUMIFS(Def!C:C,Def!F:F,AG77)</f>
        <v/>
      </c>
      <c r="AI77" s="156">
        <f>IFERROR(SUMIFS(Def!B:B,Def!F:F,AG77)/AH77,"")</f>
        <v/>
      </c>
      <c r="AJ77" s="195">
        <f>VLOOKUP(P77,Matrix!AA:AC,3,0)</f>
        <v/>
      </c>
      <c r="AK77" s="195">
        <f>SUMIFS(Def!C:C,Def!F:F,AJ77)</f>
        <v/>
      </c>
      <c r="AL77" s="156">
        <f>IFERROR(SUMIFS(Def!B:B,Def!F:F,AJ77)/AK77,"")</f>
        <v/>
      </c>
    </row>
    <row r="78" ht="14.4" customHeight="1" s="152">
      <c r="A78" s="157">
        <f>IF(F78="Yes",IFERROR(IF(AA78&gt;1,AA78/100,100/-AA78),""),-1)</f>
        <v/>
      </c>
      <c r="B78" s="157">
        <f>B77+1</f>
        <v/>
      </c>
      <c r="C78" s="157">
        <f>IF(Y78&gt;Z78,1,0)</f>
        <v/>
      </c>
      <c r="D78" s="157">
        <f>IF(AND(C78=1,F78="Yes"),"Yes",IF(AND(C78=0,F78="No"),"Yes","No"))</f>
        <v/>
      </c>
      <c r="E78" s="192">
        <f>IF((AC78+AB78)=AD78,"Push",IF((AC78+AB78)&gt;AD78,"Yes","No"))</f>
        <v/>
      </c>
      <c r="F78" s="192">
        <f>IF(AC78&gt;AD78,"Yes","No")</f>
        <v/>
      </c>
      <c r="G78" s="192">
        <f>IF((Y78+AB78)&gt;Z78,"Yes",IF((Y78+AB78)=Z78,"Push","No"))</f>
        <v/>
      </c>
      <c r="H78" s="157">
        <f>IF(O78="Home",VLOOKUP(N78,Matrix!A:S,19,0),1)</f>
        <v/>
      </c>
      <c r="I78" s="157">
        <f>IF(O78="Away",VLOOKUP(N78,Matrix!A:Z,20,0),1)</f>
        <v/>
      </c>
      <c r="J78" s="157">
        <f>IF(O78="Away",VLOOKUP(P78,Matrix!A:S,19,0),1)</f>
        <v/>
      </c>
      <c r="K78" s="157">
        <f>IF(O78="Home",VLOOKUP(P78,Matrix!A:Z,20,0),1)</f>
        <v/>
      </c>
      <c r="L78" s="156" t="n">
        <v>-0.0609315447895726</v>
      </c>
      <c r="M78" s="179">
        <f>Schedule!B78</f>
        <v/>
      </c>
      <c r="N78" s="156">
        <f>Schedule!E78</f>
        <v/>
      </c>
      <c r="O78" s="156" t="inlineStr">
        <is>
          <t>Away</t>
        </is>
      </c>
      <c r="P78" s="157">
        <f>Schedule!H78</f>
        <v/>
      </c>
      <c r="Q78" s="157">
        <f>Schedule!C78</f>
        <v/>
      </c>
      <c r="R78" s="180">
        <f>Schedule!D78</f>
        <v/>
      </c>
      <c r="S78" s="181">
        <f>Schedule!J78</f>
        <v/>
      </c>
      <c r="T78" s="193">
        <f>Y78-Z78</f>
        <v/>
      </c>
      <c r="U78" s="182">
        <f>T78/Picks!$K$2</f>
        <v/>
      </c>
      <c r="V78" s="193">
        <f>INDEX(Standings!$T$3:$T$34, MATCH(N78, Standings!$A$3:$A$34, 0)) - INDEX(Standings!$T$3:$T$34, MATCH(P78, Standings!$A$3:$A$34, 0))</f>
        <v/>
      </c>
      <c r="W78" s="157">
        <f>INDEX(Standings!$L$3:$L$34, MATCH(N78, Standings!$A$3:$A$34, 0)) - INDEX(Standings!$L$3:$L$34, MATCH(P78, Standings!$A$3:$A$34, 0))</f>
        <v/>
      </c>
      <c r="X78" s="157">
        <f>INDEX(Standings!$M$3:$M$34, MATCH(N78, Standings!$A$3:$A$34, 0)) - INDEX(Standings!$M$3:$M$34, MATCH(P78, Standings!$A$3:$A$34, 0))</f>
        <v/>
      </c>
      <c r="Y78" s="194">
        <f t="array" ref="Y78:Y78">IFERROR(AE78+(AL78-_DFactor)*AE78,"")</f>
        <v/>
      </c>
      <c r="Z78" s="157">
        <f>IFERROR(AF78+(AI78-_DFactor)*AF78,"")</f>
        <v/>
      </c>
      <c r="AC78" s="194">
        <f>VLOOKUP(M78&amp;N78,Schedule!A:F,6,0)</f>
        <v/>
      </c>
      <c r="AD78" s="194">
        <f>VLOOKUP(M78&amp;P78,Schedule!A:F,6,0)</f>
        <v/>
      </c>
      <c r="AE78" s="156">
        <f>VLOOKUP(N78,ProjPVT!B:I,8,0)*_Mag/VLOOKUP(P78,Standings!A:O,15,0)*H78*K78</f>
        <v/>
      </c>
      <c r="AF78" s="156">
        <f>VLOOKUP(P78,ProjPVT!B:I,8,0)*_Mag/VLOOKUP(N78,Standings!A:O,15,0)*J78*I78</f>
        <v/>
      </c>
      <c r="AG78" s="195">
        <f>VLOOKUP(N78,Matrix!AA:AC,3,0)</f>
        <v/>
      </c>
      <c r="AH78" s="195">
        <f>SUMIFS(Def!C:C,Def!F:F,AG78)</f>
        <v/>
      </c>
      <c r="AI78" s="156">
        <f>IFERROR(SUMIFS(Def!B:B,Def!F:F,AG78)/AH78,"")</f>
        <v/>
      </c>
      <c r="AJ78" s="195">
        <f>VLOOKUP(P78,Matrix!AA:AC,3,0)</f>
        <v/>
      </c>
      <c r="AK78" s="195">
        <f>SUMIFS(Def!C:C,Def!F:F,AJ78)</f>
        <v/>
      </c>
      <c r="AL78" s="156">
        <f>IFERROR(SUMIFS(Def!B:B,Def!F:F,AJ78)/AK78,"")</f>
        <v/>
      </c>
    </row>
    <row r="79" ht="14.4" customHeight="1" s="152">
      <c r="A79" s="157">
        <f>IF(F79="Yes",IFERROR(IF(AA79&gt;1,AA79/100,100/-AA79),""),-1)</f>
        <v/>
      </c>
      <c r="B79" s="157">
        <f>B78+1</f>
        <v/>
      </c>
      <c r="C79" s="157">
        <f>IF(Y79&gt;Z79,1,0)</f>
        <v/>
      </c>
      <c r="D79" s="157">
        <f>IF(AND(C79=1,F79="Yes"),"Yes",IF(AND(C79=0,F79="No"),"Yes","No"))</f>
        <v/>
      </c>
      <c r="E79" s="192">
        <f>IF((AC79+AB79)=AD79,"Push",IF((AC79+AB79)&gt;AD79,"Yes","No"))</f>
        <v/>
      </c>
      <c r="F79" s="192">
        <f>IF(AC79&gt;AD79,"Yes","No")</f>
        <v/>
      </c>
      <c r="G79" s="192">
        <f>IF((Y79+AB79)&gt;Z79,"Yes",IF((Y79+AB79)=Z79,"Push","No"))</f>
        <v/>
      </c>
      <c r="H79" s="157">
        <f>IF(O79="Home",VLOOKUP(N79,Matrix!A:S,19,0),1)</f>
        <v/>
      </c>
      <c r="I79" s="157">
        <f>IF(O79="Away",VLOOKUP(N79,Matrix!A:Z,20,0),1)</f>
        <v/>
      </c>
      <c r="J79" s="157">
        <f>IF(O79="Away",VLOOKUP(P79,Matrix!A:S,19,0),1)</f>
        <v/>
      </c>
      <c r="K79" s="157">
        <f>IF(O79="Home",VLOOKUP(P79,Matrix!A:Z,20,0),1)</f>
        <v/>
      </c>
      <c r="L79" s="156" t="n">
        <v>-0.032244274386676</v>
      </c>
      <c r="M79" s="179">
        <f>Schedule!B79</f>
        <v/>
      </c>
      <c r="N79" s="156">
        <f>Schedule!E79</f>
        <v/>
      </c>
      <c r="O79" s="156" t="inlineStr">
        <is>
          <t>Home</t>
        </is>
      </c>
      <c r="P79" s="157">
        <f>Schedule!H79</f>
        <v/>
      </c>
      <c r="Q79" s="157">
        <f>Schedule!C79</f>
        <v/>
      </c>
      <c r="R79" s="180">
        <f>Schedule!D79</f>
        <v/>
      </c>
      <c r="S79" s="181">
        <f>Schedule!J79</f>
        <v/>
      </c>
      <c r="T79" s="193">
        <f>Y79-Z79</f>
        <v/>
      </c>
      <c r="U79" s="182">
        <f>T79/Picks!$K$2</f>
        <v/>
      </c>
      <c r="V79" s="193">
        <f>INDEX(Standings!$T$3:$T$34, MATCH(N79, Standings!$A$3:$A$34, 0)) - INDEX(Standings!$T$3:$T$34, MATCH(P79, Standings!$A$3:$A$34, 0))</f>
        <v/>
      </c>
      <c r="W79" s="157">
        <f>INDEX(Standings!$L$3:$L$34, MATCH(N79, Standings!$A$3:$A$34, 0)) - INDEX(Standings!$L$3:$L$34, MATCH(P79, Standings!$A$3:$A$34, 0))</f>
        <v/>
      </c>
      <c r="X79" s="157">
        <f>INDEX(Standings!$M$3:$M$34, MATCH(N79, Standings!$A$3:$A$34, 0)) - INDEX(Standings!$M$3:$M$34, MATCH(P79, Standings!$A$3:$A$34, 0))</f>
        <v/>
      </c>
      <c r="Y79" s="194">
        <f t="array" ref="Y79:Y79">IFERROR(AE79+(AL79-_DFactor)*AE79,"")</f>
        <v/>
      </c>
      <c r="Z79" s="157">
        <f>IFERROR(AF79+(AI79-_DFactor)*AF79,"")</f>
        <v/>
      </c>
      <c r="AC79" s="194">
        <f>VLOOKUP(M79&amp;N79,Schedule!A:F,6,0)</f>
        <v/>
      </c>
      <c r="AD79" s="194">
        <f>VLOOKUP(M79&amp;P79,Schedule!A:F,6,0)</f>
        <v/>
      </c>
      <c r="AE79" s="156">
        <f>VLOOKUP(N79,ProjPVT!B:I,8,0)*_Mag/VLOOKUP(P79,Standings!A:O,15,0)*H79*K79</f>
        <v/>
      </c>
      <c r="AF79" s="156">
        <f>VLOOKUP(P79,ProjPVT!B:I,8,0)*_Mag/VLOOKUP(N79,Standings!A:O,15,0)*J79*I79</f>
        <v/>
      </c>
      <c r="AG79" s="195">
        <f>VLOOKUP(N79,Matrix!AA:AC,3,0)</f>
        <v/>
      </c>
      <c r="AH79" s="195">
        <f>SUMIFS(Def!C:C,Def!F:F,AG79)</f>
        <v/>
      </c>
      <c r="AI79" s="156">
        <f>IFERROR(SUMIFS(Def!B:B,Def!F:F,AG79)/AH79,"")</f>
        <v/>
      </c>
      <c r="AJ79" s="195">
        <f>VLOOKUP(P79,Matrix!AA:AC,3,0)</f>
        <v/>
      </c>
      <c r="AK79" s="195">
        <f>SUMIFS(Def!C:C,Def!F:F,AJ79)</f>
        <v/>
      </c>
      <c r="AL79" s="156">
        <f>IFERROR(SUMIFS(Def!B:B,Def!F:F,AJ79)/AK79,"")</f>
        <v/>
      </c>
    </row>
    <row r="80" ht="14.4" customHeight="1" s="152">
      <c r="A80" s="157">
        <f>IF(F80="Yes",IFERROR(IF(AA80&gt;1,AA80/100,100/-AA80),""),-1)</f>
        <v/>
      </c>
      <c r="B80" s="157">
        <f>B79+1</f>
        <v/>
      </c>
      <c r="C80" s="157">
        <f>IF(Y80&gt;Z80,1,0)</f>
        <v/>
      </c>
      <c r="D80" s="157">
        <f>IF(AND(C80=1,F80="Yes"),"Yes",IF(AND(C80=0,F80="No"),"Yes","No"))</f>
        <v/>
      </c>
      <c r="E80" s="192">
        <f>IF((AC80+AB80)=AD80,"Push",IF((AC80+AB80)&gt;AD80,"Yes","No"))</f>
        <v/>
      </c>
      <c r="F80" s="192">
        <f>IF(AC80&gt;AD80,"Yes","No")</f>
        <v/>
      </c>
      <c r="G80" s="192">
        <f>IF((Y80+AB80)&gt;Z80,"Yes",IF((Y80+AB80)=Z80,"Push","No"))</f>
        <v/>
      </c>
      <c r="H80" s="157">
        <f>IF(O80="Home",VLOOKUP(N80,Matrix!A:S,19,0),1)</f>
        <v/>
      </c>
      <c r="I80" s="157">
        <f>IF(O80="Away",VLOOKUP(N80,Matrix!A:Z,20,0),1)</f>
        <v/>
      </c>
      <c r="J80" s="157">
        <f>IF(O80="Away",VLOOKUP(P80,Matrix!A:S,19,0),1)</f>
        <v/>
      </c>
      <c r="K80" s="157">
        <f>IF(O80="Home",VLOOKUP(P80,Matrix!A:Z,20,0),1)</f>
        <v/>
      </c>
      <c r="L80" s="156" t="n">
        <v>-0.0223442036755927</v>
      </c>
      <c r="M80" s="179">
        <f>Schedule!B80</f>
        <v/>
      </c>
      <c r="N80" s="156">
        <f>Schedule!E80</f>
        <v/>
      </c>
      <c r="O80" s="156" t="inlineStr">
        <is>
          <t>Away</t>
        </is>
      </c>
      <c r="P80" s="157">
        <f>Schedule!H80</f>
        <v/>
      </c>
      <c r="Q80" s="157">
        <f>Schedule!C80</f>
        <v/>
      </c>
      <c r="R80" s="180">
        <f>Schedule!D80</f>
        <v/>
      </c>
      <c r="S80" s="181">
        <f>Schedule!J80</f>
        <v/>
      </c>
      <c r="T80" s="193">
        <f>Y80-Z80</f>
        <v/>
      </c>
      <c r="U80" s="182">
        <f>T80/Picks!$K$2</f>
        <v/>
      </c>
      <c r="V80" s="193">
        <f>INDEX(Standings!$T$3:$T$34, MATCH(N80, Standings!$A$3:$A$34, 0)) - INDEX(Standings!$T$3:$T$34, MATCH(P80, Standings!$A$3:$A$34, 0))</f>
        <v/>
      </c>
      <c r="W80" s="157">
        <f>INDEX(Standings!$L$3:$L$34, MATCH(N80, Standings!$A$3:$A$34, 0)) - INDEX(Standings!$L$3:$L$34, MATCH(P80, Standings!$A$3:$A$34, 0))</f>
        <v/>
      </c>
      <c r="X80" s="157">
        <f>INDEX(Standings!$M$3:$M$34, MATCH(N80, Standings!$A$3:$A$34, 0)) - INDEX(Standings!$M$3:$M$34, MATCH(P80, Standings!$A$3:$A$34, 0))</f>
        <v/>
      </c>
      <c r="Y80" s="194">
        <f t="array" ref="Y80:Y80">IFERROR(AE80+(AL80-_DFactor)*AE80,"")</f>
        <v/>
      </c>
      <c r="Z80" s="157">
        <f>IFERROR(AF80+(AI80-_DFactor)*AF80,"")</f>
        <v/>
      </c>
      <c r="AC80" s="194">
        <f>VLOOKUP(M80&amp;N80,Schedule!A:F,6,0)</f>
        <v/>
      </c>
      <c r="AD80" s="194">
        <f>VLOOKUP(M80&amp;P80,Schedule!A:F,6,0)</f>
        <v/>
      </c>
      <c r="AE80" s="156">
        <f>VLOOKUP(N80,ProjPVT!B:I,8,0)*_Mag/VLOOKUP(P80,Standings!A:O,15,0)*H80*K80</f>
        <v/>
      </c>
      <c r="AF80" s="156">
        <f>VLOOKUP(P80,ProjPVT!B:I,8,0)*_Mag/VLOOKUP(N80,Standings!A:O,15,0)*J80*I80</f>
        <v/>
      </c>
      <c r="AG80" s="195">
        <f>VLOOKUP(N80,Matrix!AA:AC,3,0)</f>
        <v/>
      </c>
      <c r="AH80" s="195">
        <f>SUMIFS(Def!C:C,Def!F:F,AG80)</f>
        <v/>
      </c>
      <c r="AI80" s="156">
        <f>IFERROR(SUMIFS(Def!B:B,Def!F:F,AG80)/AH80,"")</f>
        <v/>
      </c>
      <c r="AJ80" s="195">
        <f>VLOOKUP(P80,Matrix!AA:AC,3,0)</f>
        <v/>
      </c>
      <c r="AK80" s="195">
        <f>SUMIFS(Def!C:C,Def!F:F,AJ80)</f>
        <v/>
      </c>
      <c r="AL80" s="156">
        <f>IFERROR(SUMIFS(Def!B:B,Def!F:F,AJ80)/AK80,"")</f>
        <v/>
      </c>
    </row>
    <row r="81" ht="14.4" customHeight="1" s="152">
      <c r="A81" s="157">
        <f>IF(F81="Yes",IFERROR(IF(AA81&gt;1,AA81/100,100/-AA81),""),-1)</f>
        <v/>
      </c>
      <c r="B81" s="157">
        <f>B80+1</f>
        <v/>
      </c>
      <c r="C81" s="157">
        <f>IF(Y81&gt;Z81,1,0)</f>
        <v/>
      </c>
      <c r="D81" s="157">
        <f>IF(AND(C81=1,F81="Yes"),"Yes",IF(AND(C81=0,F81="No"),"Yes","No"))</f>
        <v/>
      </c>
      <c r="E81" s="192">
        <f>IF((AC81+AB81)=AD81,"Push",IF((AC81+AB81)&gt;AD81,"Yes","No"))</f>
        <v/>
      </c>
      <c r="F81" s="192">
        <f>IF(AC81&gt;AD81,"Yes","No")</f>
        <v/>
      </c>
      <c r="G81" s="192">
        <f>IF((Y81+AB81)&gt;Z81,"Yes",IF((Y81+AB81)=Z81,"Push","No"))</f>
        <v/>
      </c>
      <c r="H81" s="157">
        <f>IF(O81="Home",VLOOKUP(N81,Matrix!A:S,19,0),1)</f>
        <v/>
      </c>
      <c r="I81" s="157">
        <f>IF(O81="Away",VLOOKUP(N81,Matrix!A:Z,20,0),1)</f>
        <v/>
      </c>
      <c r="J81" s="157">
        <f>IF(O81="Away",VLOOKUP(P81,Matrix!A:S,19,0),1)</f>
        <v/>
      </c>
      <c r="K81" s="157">
        <f>IF(O81="Home",VLOOKUP(P81,Matrix!A:Z,20,0),1)</f>
        <v/>
      </c>
      <c r="L81" s="156" t="n">
        <v>-0.0139254354903369</v>
      </c>
      <c r="M81" s="179">
        <f>Schedule!B81</f>
        <v/>
      </c>
      <c r="N81" s="156">
        <f>Schedule!E81</f>
        <v/>
      </c>
      <c r="O81" s="156" t="inlineStr">
        <is>
          <t>Away</t>
        </is>
      </c>
      <c r="P81" s="157">
        <f>Schedule!H81</f>
        <v/>
      </c>
      <c r="Q81" s="157">
        <f>Schedule!C81</f>
        <v/>
      </c>
      <c r="R81" s="180">
        <f>Schedule!D81</f>
        <v/>
      </c>
      <c r="S81" s="181">
        <f>Schedule!J81</f>
        <v/>
      </c>
      <c r="T81" s="193">
        <f>Y81-Z81</f>
        <v/>
      </c>
      <c r="U81" s="182">
        <f>T81/Picks!$K$2</f>
        <v/>
      </c>
      <c r="V81" s="193">
        <f>INDEX(Standings!$T$3:$T$34, MATCH(N81, Standings!$A$3:$A$34, 0)) - INDEX(Standings!$T$3:$T$34, MATCH(P81, Standings!$A$3:$A$34, 0))</f>
        <v/>
      </c>
      <c r="W81" s="157">
        <f>INDEX(Standings!$L$3:$L$34, MATCH(N81, Standings!$A$3:$A$34, 0)) - INDEX(Standings!$L$3:$L$34, MATCH(P81, Standings!$A$3:$A$34, 0))</f>
        <v/>
      </c>
      <c r="X81" s="157">
        <f>INDEX(Standings!$M$3:$M$34, MATCH(N81, Standings!$A$3:$A$34, 0)) - INDEX(Standings!$M$3:$M$34, MATCH(P81, Standings!$A$3:$A$34, 0))</f>
        <v/>
      </c>
      <c r="Y81" s="194">
        <f t="array" ref="Y81:Y81">IFERROR(AE81+(AL81-_DFactor)*AE81,"")</f>
        <v/>
      </c>
      <c r="Z81" s="157">
        <f>IFERROR(AF81+(AI81-_DFactor)*AF81,"")</f>
        <v/>
      </c>
      <c r="AC81" s="194">
        <f>VLOOKUP(M81&amp;N81,Schedule!A:F,6,0)</f>
        <v/>
      </c>
      <c r="AD81" s="194">
        <f>VLOOKUP(M81&amp;P81,Schedule!A:F,6,0)</f>
        <v/>
      </c>
      <c r="AE81" s="156">
        <f>VLOOKUP(N81,ProjPVT!B:I,8,0)*_Mag/VLOOKUP(P81,Standings!A:O,15,0)*H81*K81</f>
        <v/>
      </c>
      <c r="AF81" s="156">
        <f>VLOOKUP(P81,ProjPVT!B:I,8,0)*_Mag/VLOOKUP(N81,Standings!A:O,15,0)*J81*I81</f>
        <v/>
      </c>
      <c r="AG81" s="195">
        <f>VLOOKUP(N81,Matrix!AA:AC,3,0)</f>
        <v/>
      </c>
      <c r="AH81" s="195">
        <f>SUMIFS(Def!C:C,Def!F:F,AG81)</f>
        <v/>
      </c>
      <c r="AI81" s="156">
        <f>IFERROR(SUMIFS(Def!B:B,Def!F:F,AG81)/AH81,"")</f>
        <v/>
      </c>
      <c r="AJ81" s="195">
        <f>VLOOKUP(P81,Matrix!AA:AC,3,0)</f>
        <v/>
      </c>
      <c r="AK81" s="195">
        <f>SUMIFS(Def!C:C,Def!F:F,AJ81)</f>
        <v/>
      </c>
      <c r="AL81" s="156">
        <f>IFERROR(SUMIFS(Def!B:B,Def!F:F,AJ81)/AK81,"")</f>
        <v/>
      </c>
    </row>
    <row r="82" ht="14.4" customHeight="1" s="152">
      <c r="A82" s="157">
        <f>IF(F82="Yes",IFERROR(IF(AA82&gt;1,AA82/100,100/-AA82),""),-1)</f>
        <v/>
      </c>
      <c r="B82" s="157">
        <f>B81+1</f>
        <v/>
      </c>
      <c r="C82" s="157">
        <f>IF(Y82&gt;Z82,1,0)</f>
        <v/>
      </c>
      <c r="D82" s="157">
        <f>IF(AND(C82=1,F82="Yes"),"Yes",IF(AND(C82=0,F82="No"),"Yes","No"))</f>
        <v/>
      </c>
      <c r="E82" s="192">
        <f>IF((AC82+AB82)=AD82,"Push",IF((AC82+AB82)&gt;AD82,"Yes","No"))</f>
        <v/>
      </c>
      <c r="F82" s="192">
        <f>IF(AC82&gt;AD82,"Yes","No")</f>
        <v/>
      </c>
      <c r="G82" s="192">
        <f>IF((Y82+AB82)&gt;Z82,"Yes",IF((Y82+AB82)=Z82,"Push","No"))</f>
        <v/>
      </c>
      <c r="H82" s="157">
        <f>IF(O82="Home",VLOOKUP(N82,Matrix!A:S,19,0),1)</f>
        <v/>
      </c>
      <c r="I82" s="157">
        <f>IF(O82="Away",VLOOKUP(N82,Matrix!A:Z,20,0),1)</f>
        <v/>
      </c>
      <c r="J82" s="157">
        <f>IF(O82="Away",VLOOKUP(P82,Matrix!A:S,19,0),1)</f>
        <v/>
      </c>
      <c r="K82" s="157">
        <f>IF(O82="Home",VLOOKUP(P82,Matrix!A:Z,20,0),1)</f>
        <v/>
      </c>
      <c r="L82" s="156" t="n">
        <v>0.0139254354903369</v>
      </c>
      <c r="M82" s="179">
        <f>Schedule!B82</f>
        <v/>
      </c>
      <c r="N82" s="156">
        <f>Schedule!E82</f>
        <v/>
      </c>
      <c r="O82" s="156" t="inlineStr">
        <is>
          <t>Home</t>
        </is>
      </c>
      <c r="P82" s="157">
        <f>Schedule!H82</f>
        <v/>
      </c>
      <c r="Q82" s="157">
        <f>Schedule!C82</f>
        <v/>
      </c>
      <c r="R82" s="180">
        <f>Schedule!D82</f>
        <v/>
      </c>
      <c r="S82" s="181">
        <f>Schedule!J82</f>
        <v/>
      </c>
      <c r="T82" s="193">
        <f>Y82-Z82</f>
        <v/>
      </c>
      <c r="U82" s="182">
        <f>T82/Picks!$K$2</f>
        <v/>
      </c>
      <c r="V82" s="193">
        <f>INDEX(Standings!$T$3:$T$34, MATCH(N82, Standings!$A$3:$A$34, 0)) - INDEX(Standings!$T$3:$T$34, MATCH(P82, Standings!$A$3:$A$34, 0))</f>
        <v/>
      </c>
      <c r="W82" s="157">
        <f>INDEX(Standings!$L$3:$L$34, MATCH(N82, Standings!$A$3:$A$34, 0)) - INDEX(Standings!$L$3:$L$34, MATCH(P82, Standings!$A$3:$A$34, 0))</f>
        <v/>
      </c>
      <c r="X82" s="157">
        <f>INDEX(Standings!$M$3:$M$34, MATCH(N82, Standings!$A$3:$A$34, 0)) - INDEX(Standings!$M$3:$M$34, MATCH(P82, Standings!$A$3:$A$34, 0))</f>
        <v/>
      </c>
      <c r="Y82" s="194">
        <f t="array" ref="Y82:Y82">IFERROR(AE82+(AL82-_DFactor)*AE82,"")</f>
        <v/>
      </c>
      <c r="Z82" s="157">
        <f>IFERROR(AF82+(AI82-_DFactor)*AF82,"")</f>
        <v/>
      </c>
      <c r="AC82" s="194">
        <f>VLOOKUP(M82&amp;N82,Schedule!A:F,6,0)</f>
        <v/>
      </c>
      <c r="AD82" s="194">
        <f>VLOOKUP(M82&amp;P82,Schedule!A:F,6,0)</f>
        <v/>
      </c>
      <c r="AE82" s="156">
        <f>VLOOKUP(N82,ProjPVT!B:I,8,0)*_Mag/VLOOKUP(P82,Standings!A:O,15,0)*H82*K82</f>
        <v/>
      </c>
      <c r="AF82" s="156">
        <f>VLOOKUP(P82,ProjPVT!B:I,8,0)*_Mag/VLOOKUP(N82,Standings!A:O,15,0)*J82*I82</f>
        <v/>
      </c>
      <c r="AG82" s="195">
        <f>VLOOKUP(N82,Matrix!AA:AC,3,0)</f>
        <v/>
      </c>
      <c r="AH82" s="195">
        <f>SUMIFS(Def!C:C,Def!F:F,AG82)</f>
        <v/>
      </c>
      <c r="AI82" s="156">
        <f>IFERROR(SUMIFS(Def!B:B,Def!F:F,AG82)/AH82,"")</f>
        <v/>
      </c>
      <c r="AJ82" s="195">
        <f>VLOOKUP(P82,Matrix!AA:AC,3,0)</f>
        <v/>
      </c>
      <c r="AK82" s="195">
        <f>SUMIFS(Def!C:C,Def!F:F,AJ82)</f>
        <v/>
      </c>
      <c r="AL82" s="156">
        <f>IFERROR(SUMIFS(Def!B:B,Def!F:F,AJ82)/AK82,"")</f>
        <v/>
      </c>
    </row>
    <row r="83" ht="14.4" customHeight="1" s="152">
      <c r="A83" s="157">
        <f>IF(F83="Yes",IFERROR(IF(AA83&gt;1,AA83/100,100/-AA83),""),-1)</f>
        <v/>
      </c>
      <c r="B83" s="157">
        <f>B82+1</f>
        <v/>
      </c>
      <c r="C83" s="157">
        <f>IF(Y83&gt;Z83,1,0)</f>
        <v/>
      </c>
      <c r="D83" s="157">
        <f>IF(AND(C83=1,F83="Yes"),"Yes",IF(AND(C83=0,F83="No"),"Yes","No"))</f>
        <v/>
      </c>
      <c r="E83" s="192">
        <f>IF((AC83+AB83)=AD83,"Push",IF((AC83+AB83)&gt;AD83,"Yes","No"))</f>
        <v/>
      </c>
      <c r="F83" s="192">
        <f>IF(AC83&gt;AD83,"Yes","No")</f>
        <v/>
      </c>
      <c r="G83" s="192">
        <f>IF((Y83+AB83)&gt;Z83,"Yes",IF((Y83+AB83)=Z83,"Push","No"))</f>
        <v/>
      </c>
      <c r="H83" s="157">
        <f>IF(O83="Home",VLOOKUP(N83,Matrix!A:S,19,0),1)</f>
        <v/>
      </c>
      <c r="I83" s="157">
        <f>IF(O83="Away",VLOOKUP(N83,Matrix!A:Z,20,0),1)</f>
        <v/>
      </c>
      <c r="J83" s="157">
        <f>IF(O83="Away",VLOOKUP(P83,Matrix!A:S,19,0),1)</f>
        <v/>
      </c>
      <c r="K83" s="157">
        <f>IF(O83="Home",VLOOKUP(P83,Matrix!A:Z,20,0),1)</f>
        <v/>
      </c>
      <c r="L83" s="156" t="n">
        <v>0.0223442036755927</v>
      </c>
      <c r="M83" s="179">
        <f>Schedule!B83</f>
        <v/>
      </c>
      <c r="N83" s="156">
        <f>Schedule!E83</f>
        <v/>
      </c>
      <c r="O83" s="156" t="inlineStr">
        <is>
          <t>Home</t>
        </is>
      </c>
      <c r="P83" s="157">
        <f>Schedule!H83</f>
        <v/>
      </c>
      <c r="Q83" s="157">
        <f>Schedule!C83</f>
        <v/>
      </c>
      <c r="R83" s="180">
        <f>Schedule!D83</f>
        <v/>
      </c>
      <c r="S83" s="181">
        <f>Schedule!J83</f>
        <v/>
      </c>
      <c r="T83" s="193">
        <f>Y83-Z83</f>
        <v/>
      </c>
      <c r="U83" s="182">
        <f>T83/Picks!$K$2</f>
        <v/>
      </c>
      <c r="V83" s="193">
        <f>INDEX(Standings!$T$3:$T$34, MATCH(N83, Standings!$A$3:$A$34, 0)) - INDEX(Standings!$T$3:$T$34, MATCH(P83, Standings!$A$3:$A$34, 0))</f>
        <v/>
      </c>
      <c r="W83" s="157">
        <f>INDEX(Standings!$L$3:$L$34, MATCH(N83, Standings!$A$3:$A$34, 0)) - INDEX(Standings!$L$3:$L$34, MATCH(P83, Standings!$A$3:$A$34, 0))</f>
        <v/>
      </c>
      <c r="X83" s="157">
        <f>INDEX(Standings!$M$3:$M$34, MATCH(N83, Standings!$A$3:$A$34, 0)) - INDEX(Standings!$M$3:$M$34, MATCH(P83, Standings!$A$3:$A$34, 0))</f>
        <v/>
      </c>
      <c r="Y83" s="194">
        <f t="array" ref="Y83:Y83">IFERROR(AE83+(AL83-_DFactor)*AE83,"")</f>
        <v/>
      </c>
      <c r="Z83" s="157">
        <f>IFERROR(AF83+(AI83-_DFactor)*AF83,"")</f>
        <v/>
      </c>
      <c r="AC83" s="194">
        <f>VLOOKUP(M83&amp;N83,Schedule!A:F,6,0)</f>
        <v/>
      </c>
      <c r="AD83" s="194">
        <f>VLOOKUP(M83&amp;P83,Schedule!A:F,6,0)</f>
        <v/>
      </c>
      <c r="AE83" s="156">
        <f>VLOOKUP(N83,ProjPVT!B:I,8,0)*_Mag/VLOOKUP(P83,Standings!A:O,15,0)*H83*K83</f>
        <v/>
      </c>
      <c r="AF83" s="156">
        <f>VLOOKUP(P83,ProjPVT!B:I,8,0)*_Mag/VLOOKUP(N83,Standings!A:O,15,0)*J83*I83</f>
        <v/>
      </c>
      <c r="AG83" s="195">
        <f>VLOOKUP(N83,Matrix!AA:AC,3,0)</f>
        <v/>
      </c>
      <c r="AH83" s="195">
        <f>SUMIFS(Def!C:C,Def!F:F,AG83)</f>
        <v/>
      </c>
      <c r="AI83" s="156">
        <f>IFERROR(SUMIFS(Def!B:B,Def!F:F,AG83)/AH83,"")</f>
        <v/>
      </c>
      <c r="AJ83" s="195">
        <f>VLOOKUP(P83,Matrix!AA:AC,3,0)</f>
        <v/>
      </c>
      <c r="AK83" s="195">
        <f>SUMIFS(Def!C:C,Def!F:F,AJ83)</f>
        <v/>
      </c>
      <c r="AL83" s="156">
        <f>IFERROR(SUMIFS(Def!B:B,Def!F:F,AJ83)/AK83,"")</f>
        <v/>
      </c>
    </row>
    <row r="84" ht="14.4" customHeight="1" s="152">
      <c r="A84" s="157">
        <f>IF(F84="Yes",IFERROR(IF(AA84&gt;1,AA84/100,100/-AA84),""),-1)</f>
        <v/>
      </c>
      <c r="B84" s="157">
        <f>B83+1</f>
        <v/>
      </c>
      <c r="C84" s="157">
        <f>IF(Y84&gt;Z84,1,0)</f>
        <v/>
      </c>
      <c r="D84" s="157">
        <f>IF(AND(C84=1,F84="Yes"),"Yes",IF(AND(C84=0,F84="No"),"Yes","No"))</f>
        <v/>
      </c>
      <c r="E84" s="192">
        <f>IF((AC84+AB84)=AD84,"Push",IF((AC84+AB84)&gt;AD84,"Yes","No"))</f>
        <v/>
      </c>
      <c r="F84" s="192">
        <f>IF(AC84&gt;AD84,"Yes","No")</f>
        <v/>
      </c>
      <c r="G84" s="192">
        <f>IF((Y84+AB84)&gt;Z84,"Yes",IF((Y84+AB84)=Z84,"Push","No"))</f>
        <v/>
      </c>
      <c r="H84" s="157">
        <f>IF(O84="Home",VLOOKUP(N84,Matrix!A:S,19,0),1)</f>
        <v/>
      </c>
      <c r="I84" s="157">
        <f>IF(O84="Away",VLOOKUP(N84,Matrix!A:Z,20,0),1)</f>
        <v/>
      </c>
      <c r="J84" s="157">
        <f>IF(O84="Away",VLOOKUP(P84,Matrix!A:S,19,0),1)</f>
        <v/>
      </c>
      <c r="K84" s="157">
        <f>IF(O84="Home",VLOOKUP(P84,Matrix!A:Z,20,0),1)</f>
        <v/>
      </c>
      <c r="L84" s="156" t="n">
        <v>0.032244274386676</v>
      </c>
      <c r="M84" s="179">
        <f>Schedule!B84</f>
        <v/>
      </c>
      <c r="N84" s="156">
        <f>Schedule!E84</f>
        <v/>
      </c>
      <c r="O84" s="156" t="inlineStr">
        <is>
          <t>Away</t>
        </is>
      </c>
      <c r="P84" s="157">
        <f>Schedule!H84</f>
        <v/>
      </c>
      <c r="Q84" s="157">
        <f>Schedule!C84</f>
        <v/>
      </c>
      <c r="R84" s="180">
        <f>Schedule!D84</f>
        <v/>
      </c>
      <c r="S84" s="181">
        <f>Schedule!J84</f>
        <v/>
      </c>
      <c r="T84" s="193">
        <f>Y84-Z84</f>
        <v/>
      </c>
      <c r="U84" s="182">
        <f>T84/Picks!$K$2</f>
        <v/>
      </c>
      <c r="V84" s="193">
        <f>INDEX(Standings!$T$3:$T$34, MATCH(N84, Standings!$A$3:$A$34, 0)) - INDEX(Standings!$T$3:$T$34, MATCH(P84, Standings!$A$3:$A$34, 0))</f>
        <v/>
      </c>
      <c r="W84" s="157">
        <f>INDEX(Standings!$L$3:$L$34, MATCH(N84, Standings!$A$3:$A$34, 0)) - INDEX(Standings!$L$3:$L$34, MATCH(P84, Standings!$A$3:$A$34, 0))</f>
        <v/>
      </c>
      <c r="X84" s="157">
        <f>INDEX(Standings!$M$3:$M$34, MATCH(N84, Standings!$A$3:$A$34, 0)) - INDEX(Standings!$M$3:$M$34, MATCH(P84, Standings!$A$3:$A$34, 0))</f>
        <v/>
      </c>
      <c r="Y84" s="194">
        <f t="array" ref="Y84:Y84">IFERROR(AE84+(AL84-_DFactor)*AE84,"")</f>
        <v/>
      </c>
      <c r="Z84" s="157">
        <f>IFERROR(AF84+(AI84-_DFactor)*AF84,"")</f>
        <v/>
      </c>
      <c r="AC84" s="194">
        <f>VLOOKUP(M84&amp;N84,Schedule!A:F,6,0)</f>
        <v/>
      </c>
      <c r="AD84" s="194">
        <f>VLOOKUP(M84&amp;P84,Schedule!A:F,6,0)</f>
        <v/>
      </c>
      <c r="AE84" s="156">
        <f>VLOOKUP(N84,ProjPVT!B:I,8,0)*_Mag/VLOOKUP(P84,Standings!A:O,15,0)*H84*K84</f>
        <v/>
      </c>
      <c r="AF84" s="156">
        <f>VLOOKUP(P84,ProjPVT!B:I,8,0)*_Mag/VLOOKUP(N84,Standings!A:O,15,0)*J84*I84</f>
        <v/>
      </c>
      <c r="AG84" s="195">
        <f>VLOOKUP(N84,Matrix!AA:AC,3,0)</f>
        <v/>
      </c>
      <c r="AH84" s="195">
        <f>SUMIFS(Def!C:C,Def!F:F,AG84)</f>
        <v/>
      </c>
      <c r="AI84" s="156">
        <f>IFERROR(SUMIFS(Def!B:B,Def!F:F,AG84)/AH84,"")</f>
        <v/>
      </c>
      <c r="AJ84" s="195">
        <f>VLOOKUP(P84,Matrix!AA:AC,3,0)</f>
        <v/>
      </c>
      <c r="AK84" s="195">
        <f>SUMIFS(Def!C:C,Def!F:F,AJ84)</f>
        <v/>
      </c>
      <c r="AL84" s="156">
        <f>IFERROR(SUMIFS(Def!B:B,Def!F:F,AJ84)/AK84,"")</f>
        <v/>
      </c>
    </row>
    <row r="85" ht="14.4" customHeight="1" s="152">
      <c r="A85" s="157">
        <f>IF(F85="Yes",IFERROR(IF(AA85&gt;1,AA85/100,100/-AA85),""),-1)</f>
        <v/>
      </c>
      <c r="B85" s="157">
        <f>B84+1</f>
        <v/>
      </c>
      <c r="C85" s="157">
        <f>IF(Y85&gt;Z85,1,0)</f>
        <v/>
      </c>
      <c r="D85" s="157">
        <f>IF(AND(C85=1,F85="Yes"),"Yes",IF(AND(C85=0,F85="No"),"Yes","No"))</f>
        <v/>
      </c>
      <c r="E85" s="192">
        <f>IF((AC85+AB85)=AD85,"Push",IF((AC85+AB85)&gt;AD85,"Yes","No"))</f>
        <v/>
      </c>
      <c r="F85" s="192">
        <f>IF(AC85&gt;AD85,"Yes","No")</f>
        <v/>
      </c>
      <c r="G85" s="192">
        <f>IF((Y85+AB85)&gt;Z85,"Yes",IF((Y85+AB85)=Z85,"Push","No"))</f>
        <v/>
      </c>
      <c r="H85" s="157">
        <f>IF(O85="Home",VLOOKUP(N85,Matrix!A:S,19,0),1)</f>
        <v/>
      </c>
      <c r="I85" s="157">
        <f>IF(O85="Away",VLOOKUP(N85,Matrix!A:Z,20,0),1)</f>
        <v/>
      </c>
      <c r="J85" s="157">
        <f>IF(O85="Away",VLOOKUP(P85,Matrix!A:S,19,0),1)</f>
        <v/>
      </c>
      <c r="K85" s="157">
        <f>IF(O85="Home",VLOOKUP(P85,Matrix!A:Z,20,0),1)</f>
        <v/>
      </c>
      <c r="L85" s="156" t="n">
        <v>0.0609315447895726</v>
      </c>
      <c r="M85" s="179">
        <f>Schedule!B85</f>
        <v/>
      </c>
      <c r="N85" s="156">
        <f>Schedule!E85</f>
        <v/>
      </c>
      <c r="O85" s="156" t="inlineStr">
        <is>
          <t>Home</t>
        </is>
      </c>
      <c r="P85" s="157">
        <f>Schedule!H85</f>
        <v/>
      </c>
      <c r="Q85" s="157">
        <f>Schedule!C85</f>
        <v/>
      </c>
      <c r="R85" s="180">
        <f>Schedule!D85</f>
        <v/>
      </c>
      <c r="S85" s="181">
        <f>Schedule!J85</f>
        <v/>
      </c>
      <c r="T85" s="193">
        <f>Y85-Z85</f>
        <v/>
      </c>
      <c r="U85" s="182">
        <f>T85/Picks!$K$2</f>
        <v/>
      </c>
      <c r="V85" s="193">
        <f>INDEX(Standings!$T$3:$T$34, MATCH(N85, Standings!$A$3:$A$34, 0)) - INDEX(Standings!$T$3:$T$34, MATCH(P85, Standings!$A$3:$A$34, 0))</f>
        <v/>
      </c>
      <c r="W85" s="157">
        <f>INDEX(Standings!$L$3:$L$34, MATCH(N85, Standings!$A$3:$A$34, 0)) - INDEX(Standings!$L$3:$L$34, MATCH(P85, Standings!$A$3:$A$34, 0))</f>
        <v/>
      </c>
      <c r="X85" s="157">
        <f>INDEX(Standings!$M$3:$M$34, MATCH(N85, Standings!$A$3:$A$34, 0)) - INDEX(Standings!$M$3:$M$34, MATCH(P85, Standings!$A$3:$A$34, 0))</f>
        <v/>
      </c>
      <c r="Y85" s="194">
        <f t="array" ref="Y85:Y85">IFERROR(AE85+(AL85-_DFactor)*AE85,"")</f>
        <v/>
      </c>
      <c r="Z85" s="157">
        <f>IFERROR(AF85+(AI85-_DFactor)*AF85,"")</f>
        <v/>
      </c>
      <c r="AC85" s="194">
        <f>VLOOKUP(M85&amp;N85,Schedule!A:F,6,0)</f>
        <v/>
      </c>
      <c r="AD85" s="194">
        <f>VLOOKUP(M85&amp;P85,Schedule!A:F,6,0)</f>
        <v/>
      </c>
      <c r="AE85" s="156">
        <f>VLOOKUP(N85,ProjPVT!B:I,8,0)*_Mag/VLOOKUP(P85,Standings!A:O,15,0)*H85*K85</f>
        <v/>
      </c>
      <c r="AF85" s="156">
        <f>VLOOKUP(P85,ProjPVT!B:I,8,0)*_Mag/VLOOKUP(N85,Standings!A:O,15,0)*J85*I85</f>
        <v/>
      </c>
      <c r="AG85" s="195">
        <f>VLOOKUP(N85,Matrix!AA:AC,3,0)</f>
        <v/>
      </c>
      <c r="AH85" s="195">
        <f>SUMIFS(Def!C:C,Def!F:F,AG85)</f>
        <v/>
      </c>
      <c r="AI85" s="156">
        <f>IFERROR(SUMIFS(Def!B:B,Def!F:F,AG85)/AH85,"")</f>
        <v/>
      </c>
      <c r="AJ85" s="195">
        <f>VLOOKUP(P85,Matrix!AA:AC,3,0)</f>
        <v/>
      </c>
      <c r="AK85" s="195">
        <f>SUMIFS(Def!C:C,Def!F:F,AJ85)</f>
        <v/>
      </c>
      <c r="AL85" s="156">
        <f>IFERROR(SUMIFS(Def!B:B,Def!F:F,AJ85)/AK85,"")</f>
        <v/>
      </c>
    </row>
    <row r="86" ht="14.4" customHeight="1" s="152">
      <c r="A86" s="157">
        <f>IF(F86="Yes",IFERROR(IF(AA86&gt;1,AA86/100,100/-AA86),""),-1)</f>
        <v/>
      </c>
      <c r="B86" s="157">
        <f>B85+1</f>
        <v/>
      </c>
      <c r="C86" s="157">
        <f>IF(Y86&gt;Z86,1,0)</f>
        <v/>
      </c>
      <c r="D86" s="157">
        <f>IF(AND(C86=1,F86="Yes"),"Yes",IF(AND(C86=0,F86="No"),"Yes","No"))</f>
        <v/>
      </c>
      <c r="E86" s="192">
        <f>IF((AC86+AB86)=AD86,"Push",IF((AC86+AB86)&gt;AD86,"Yes","No"))</f>
        <v/>
      </c>
      <c r="F86" s="192">
        <f>IF(AC86&gt;AD86,"Yes","No")</f>
        <v/>
      </c>
      <c r="G86" s="192">
        <f>IF((Y86+AB86)&gt;Z86,"Yes",IF((Y86+AB86)=Z86,"Push","No"))</f>
        <v/>
      </c>
      <c r="H86" s="157">
        <f>IF(O86="Home",VLOOKUP(N86,Matrix!A:S,19,0),1)</f>
        <v/>
      </c>
      <c r="I86" s="157">
        <f>IF(O86="Away",VLOOKUP(N86,Matrix!A:Z,20,0),1)</f>
        <v/>
      </c>
      <c r="J86" s="157">
        <f>IF(O86="Away",VLOOKUP(P86,Matrix!A:S,19,0),1)</f>
        <v/>
      </c>
      <c r="K86" s="157">
        <f>IF(O86="Home",VLOOKUP(P86,Matrix!A:Z,20,0),1)</f>
        <v/>
      </c>
      <c r="L86" s="156" t="n">
        <v>0.070428780612492</v>
      </c>
      <c r="M86" s="179">
        <f>Schedule!B86</f>
        <v/>
      </c>
      <c r="N86" s="156">
        <f>Schedule!E86</f>
        <v/>
      </c>
      <c r="O86" s="156" t="inlineStr">
        <is>
          <t>Away</t>
        </is>
      </c>
      <c r="P86" s="157">
        <f>Schedule!H86</f>
        <v/>
      </c>
      <c r="Q86" s="157">
        <f>Schedule!C86</f>
        <v/>
      </c>
      <c r="R86" s="180">
        <f>Schedule!D86</f>
        <v/>
      </c>
      <c r="S86" s="181">
        <f>Schedule!J86</f>
        <v/>
      </c>
      <c r="T86" s="193">
        <f>Y86-Z86</f>
        <v/>
      </c>
      <c r="U86" s="182">
        <f>T86/Picks!$K$2</f>
        <v/>
      </c>
      <c r="V86" s="193">
        <f>INDEX(Standings!$T$3:$T$34, MATCH(N86, Standings!$A$3:$A$34, 0)) - INDEX(Standings!$T$3:$T$34, MATCH(P86, Standings!$A$3:$A$34, 0))</f>
        <v/>
      </c>
      <c r="W86" s="157">
        <f>INDEX(Standings!$L$3:$L$34, MATCH(N86, Standings!$A$3:$A$34, 0)) - INDEX(Standings!$L$3:$L$34, MATCH(P86, Standings!$A$3:$A$34, 0))</f>
        <v/>
      </c>
      <c r="X86" s="157">
        <f>INDEX(Standings!$M$3:$M$34, MATCH(N86, Standings!$A$3:$A$34, 0)) - INDEX(Standings!$M$3:$M$34, MATCH(P86, Standings!$A$3:$A$34, 0))</f>
        <v/>
      </c>
      <c r="Y86" s="194">
        <f t="array" ref="Y86:Y86">IFERROR(AE86+(AL86-_DFactor)*AE86,"")</f>
        <v/>
      </c>
      <c r="Z86" s="157">
        <f>IFERROR(AF86+(AI86-_DFactor)*AF86,"")</f>
        <v/>
      </c>
      <c r="AC86" s="194">
        <f>VLOOKUP(M86&amp;N86,Schedule!A:F,6,0)</f>
        <v/>
      </c>
      <c r="AD86" s="194">
        <f>VLOOKUP(M86&amp;P86,Schedule!A:F,6,0)</f>
        <v/>
      </c>
      <c r="AE86" s="156">
        <f>VLOOKUP(N86,ProjPVT!B:I,8,0)*_Mag/VLOOKUP(P86,Standings!A:O,15,0)*H86*K86</f>
        <v/>
      </c>
      <c r="AF86" s="156">
        <f>VLOOKUP(P86,ProjPVT!B:I,8,0)*_Mag/VLOOKUP(N86,Standings!A:O,15,0)*J86*I86</f>
        <v/>
      </c>
      <c r="AG86" s="195">
        <f>VLOOKUP(N86,Matrix!AA:AC,3,0)</f>
        <v/>
      </c>
      <c r="AH86" s="195">
        <f>SUMIFS(Def!C:C,Def!F:F,AG86)</f>
        <v/>
      </c>
      <c r="AI86" s="156">
        <f>IFERROR(SUMIFS(Def!B:B,Def!F:F,AG86)/AH86,"")</f>
        <v/>
      </c>
      <c r="AJ86" s="195">
        <f>VLOOKUP(P86,Matrix!AA:AC,3,0)</f>
        <v/>
      </c>
      <c r="AK86" s="195">
        <f>SUMIFS(Def!C:C,Def!F:F,AJ86)</f>
        <v/>
      </c>
      <c r="AL86" s="156">
        <f>IFERROR(SUMIFS(Def!B:B,Def!F:F,AJ86)/AK86,"")</f>
        <v/>
      </c>
    </row>
    <row r="87" ht="14.4" customHeight="1" s="152">
      <c r="A87" s="157">
        <f>IF(F87="Yes",IFERROR(IF(AA87&gt;1,AA87/100,100/-AA87),""),-1)</f>
        <v/>
      </c>
      <c r="B87" s="157">
        <f>B86+1</f>
        <v/>
      </c>
      <c r="C87" s="157">
        <f>IF(Y87&gt;Z87,1,0)</f>
        <v/>
      </c>
      <c r="D87" s="157">
        <f>IF(AND(C87=1,F87="Yes"),"Yes",IF(AND(C87=0,F87="No"),"Yes","No"))</f>
        <v/>
      </c>
      <c r="E87" s="192">
        <f>IF((AC87+AB87)=AD87,"Push",IF((AC87+AB87)&gt;AD87,"Yes","No"))</f>
        <v/>
      </c>
      <c r="F87" s="192">
        <f>IF(AC87&gt;AD87,"Yes","No")</f>
        <v/>
      </c>
      <c r="G87" s="192">
        <f>IF((Y87+AB87)&gt;Z87,"Yes",IF((Y87+AB87)=Z87,"Push","No"))</f>
        <v/>
      </c>
      <c r="H87" s="157">
        <f>IF(O87="Home",VLOOKUP(N87,Matrix!A:S,19,0),1)</f>
        <v/>
      </c>
      <c r="I87" s="157">
        <f>IF(O87="Away",VLOOKUP(N87,Matrix!A:Z,20,0),1)</f>
        <v/>
      </c>
      <c r="J87" s="157">
        <f>IF(O87="Away",VLOOKUP(P87,Matrix!A:S,19,0),1)</f>
        <v/>
      </c>
      <c r="K87" s="157">
        <f>IF(O87="Home",VLOOKUP(P87,Matrix!A:Z,20,0),1)</f>
        <v/>
      </c>
      <c r="L87" s="156" t="n">
        <v>0.123205287892784</v>
      </c>
      <c r="M87" s="179">
        <f>Schedule!B87</f>
        <v/>
      </c>
      <c r="N87" s="156">
        <f>Schedule!E87</f>
        <v/>
      </c>
      <c r="O87" s="156" t="inlineStr">
        <is>
          <t>Home</t>
        </is>
      </c>
      <c r="P87" s="157">
        <f>Schedule!H87</f>
        <v/>
      </c>
      <c r="Q87" s="157">
        <f>Schedule!C87</f>
        <v/>
      </c>
      <c r="R87" s="180">
        <f>Schedule!D87</f>
        <v/>
      </c>
      <c r="S87" s="181">
        <f>Schedule!J87</f>
        <v/>
      </c>
      <c r="T87" s="193">
        <f>Y87-Z87</f>
        <v/>
      </c>
      <c r="U87" s="182">
        <f>T87/Picks!$K$2</f>
        <v/>
      </c>
      <c r="V87" s="193">
        <f>INDEX(Standings!$T$3:$T$34, MATCH(N87, Standings!$A$3:$A$34, 0)) - INDEX(Standings!$T$3:$T$34, MATCH(P87, Standings!$A$3:$A$34, 0))</f>
        <v/>
      </c>
      <c r="W87" s="157">
        <f>INDEX(Standings!$L$3:$L$34, MATCH(N87, Standings!$A$3:$A$34, 0)) - INDEX(Standings!$L$3:$L$34, MATCH(P87, Standings!$A$3:$A$34, 0))</f>
        <v/>
      </c>
      <c r="X87" s="157">
        <f>INDEX(Standings!$M$3:$M$34, MATCH(N87, Standings!$A$3:$A$34, 0)) - INDEX(Standings!$M$3:$M$34, MATCH(P87, Standings!$A$3:$A$34, 0))</f>
        <v/>
      </c>
      <c r="Y87" s="194">
        <f t="array" ref="Y87:Y87">IFERROR(AE87+(AL87-_DFactor)*AE87,"")</f>
        <v/>
      </c>
      <c r="Z87" s="157">
        <f>IFERROR(AF87+(AI87-_DFactor)*AF87,"")</f>
        <v/>
      </c>
      <c r="AC87" s="194">
        <f>VLOOKUP(M87&amp;N87,Schedule!A:F,6,0)</f>
        <v/>
      </c>
      <c r="AD87" s="194">
        <f>VLOOKUP(M87&amp;P87,Schedule!A:F,6,0)</f>
        <v/>
      </c>
      <c r="AE87" s="156">
        <f>VLOOKUP(N87,ProjPVT!B:I,8,0)*_Mag/VLOOKUP(P87,Standings!A:O,15,0)*H87*K87</f>
        <v/>
      </c>
      <c r="AF87" s="156">
        <f>VLOOKUP(P87,ProjPVT!B:I,8,0)*_Mag/VLOOKUP(N87,Standings!A:O,15,0)*J87*I87</f>
        <v/>
      </c>
      <c r="AG87" s="195">
        <f>VLOOKUP(N87,Matrix!AA:AC,3,0)</f>
        <v/>
      </c>
      <c r="AH87" s="195">
        <f>SUMIFS(Def!C:C,Def!F:F,AG87)</f>
        <v/>
      </c>
      <c r="AI87" s="156">
        <f>IFERROR(SUMIFS(Def!B:B,Def!F:F,AG87)/AH87,"")</f>
        <v/>
      </c>
      <c r="AJ87" s="195">
        <f>VLOOKUP(P87,Matrix!AA:AC,3,0)</f>
        <v/>
      </c>
      <c r="AK87" s="195">
        <f>SUMIFS(Def!C:C,Def!F:F,AJ87)</f>
        <v/>
      </c>
      <c r="AL87" s="156">
        <f>IFERROR(SUMIFS(Def!B:B,Def!F:F,AJ87)/AK87,"")</f>
        <v/>
      </c>
    </row>
    <row r="88" ht="14.4" customHeight="1" s="152">
      <c r="A88" s="157">
        <f>IF(F88="Yes",IFERROR(IF(AA88&gt;1,AA88/100,100/-AA88),""),-1)</f>
        <v/>
      </c>
      <c r="B88" s="157">
        <f>B87+1</f>
        <v/>
      </c>
      <c r="C88" s="157">
        <f>IF(Y88&gt;Z88,1,0)</f>
        <v/>
      </c>
      <c r="D88" s="157">
        <f>IF(AND(C88=1,F88="Yes"),"Yes",IF(AND(C88=0,F88="No"),"Yes","No"))</f>
        <v/>
      </c>
      <c r="E88" s="192">
        <f>IF((AC88+AB88)=AD88,"Push",IF((AC88+AB88)&gt;AD88,"Yes","No"))</f>
        <v/>
      </c>
      <c r="F88" s="192">
        <f>IF(AC88&gt;AD88,"Yes","No")</f>
        <v/>
      </c>
      <c r="G88" s="192">
        <f>IF((Y88+AB88)&gt;Z88,"Yes",IF((Y88+AB88)=Z88,"Push","No"))</f>
        <v/>
      </c>
      <c r="H88" s="157">
        <f>IF(O88="Home",VLOOKUP(N88,Matrix!A:S,19,0),1)</f>
        <v/>
      </c>
      <c r="I88" s="157">
        <f>IF(O88="Away",VLOOKUP(N88,Matrix!A:Z,20,0),1)</f>
        <v/>
      </c>
      <c r="J88" s="157">
        <f>IF(O88="Away",VLOOKUP(P88,Matrix!A:S,19,0),1)</f>
        <v/>
      </c>
      <c r="K88" s="157">
        <f>IF(O88="Home",VLOOKUP(P88,Matrix!A:Z,20,0),1)</f>
        <v/>
      </c>
      <c r="L88" s="156" t="n">
        <v>0.137464745682236</v>
      </c>
      <c r="M88" s="179">
        <f>Schedule!B88</f>
        <v/>
      </c>
      <c r="N88" s="156">
        <f>Schedule!E88</f>
        <v/>
      </c>
      <c r="O88" s="156" t="inlineStr">
        <is>
          <t>Home</t>
        </is>
      </c>
      <c r="P88" s="157">
        <f>Schedule!H88</f>
        <v/>
      </c>
      <c r="Q88" s="157">
        <f>Schedule!C88</f>
        <v/>
      </c>
      <c r="R88" s="180">
        <f>Schedule!D88</f>
        <v/>
      </c>
      <c r="S88" s="181">
        <f>Schedule!J88</f>
        <v/>
      </c>
      <c r="T88" s="193">
        <f>Y88-Z88</f>
        <v/>
      </c>
      <c r="U88" s="182">
        <f>T88/Picks!$K$2</f>
        <v/>
      </c>
      <c r="V88" s="193">
        <f>INDEX(Standings!$T$3:$T$34, MATCH(N88, Standings!$A$3:$A$34, 0)) - INDEX(Standings!$T$3:$T$34, MATCH(P88, Standings!$A$3:$A$34, 0))</f>
        <v/>
      </c>
      <c r="W88" s="157">
        <f>INDEX(Standings!$L$3:$L$34, MATCH(N88, Standings!$A$3:$A$34, 0)) - INDEX(Standings!$L$3:$L$34, MATCH(P88, Standings!$A$3:$A$34, 0))</f>
        <v/>
      </c>
      <c r="X88" s="157">
        <f>INDEX(Standings!$M$3:$M$34, MATCH(N88, Standings!$A$3:$A$34, 0)) - INDEX(Standings!$M$3:$M$34, MATCH(P88, Standings!$A$3:$A$34, 0))</f>
        <v/>
      </c>
      <c r="Y88" s="194">
        <f t="array" ref="Y88:Y88">IFERROR(AE88+(AL88-_DFactor)*AE88,"")</f>
        <v/>
      </c>
      <c r="Z88" s="157">
        <f>IFERROR(AF88+(AI88-_DFactor)*AF88,"")</f>
        <v/>
      </c>
      <c r="AC88" s="194">
        <f>VLOOKUP(M88&amp;N88,Schedule!A:F,6,0)</f>
        <v/>
      </c>
      <c r="AD88" s="194">
        <f>VLOOKUP(M88&amp;P88,Schedule!A:F,6,0)</f>
        <v/>
      </c>
      <c r="AE88" s="156">
        <f>VLOOKUP(N88,ProjPVT!B:I,8,0)*_Mag/VLOOKUP(P88,Standings!A:O,15,0)*H88*K88</f>
        <v/>
      </c>
      <c r="AF88" s="156">
        <f>VLOOKUP(P88,ProjPVT!B:I,8,0)*_Mag/VLOOKUP(N88,Standings!A:O,15,0)*J88*I88</f>
        <v/>
      </c>
      <c r="AG88" s="195">
        <f>VLOOKUP(N88,Matrix!AA:AC,3,0)</f>
        <v/>
      </c>
      <c r="AH88" s="195">
        <f>SUMIFS(Def!C:C,Def!F:F,AG88)</f>
        <v/>
      </c>
      <c r="AI88" s="156">
        <f>IFERROR(SUMIFS(Def!B:B,Def!F:F,AG88)/AH88,"")</f>
        <v/>
      </c>
      <c r="AJ88" s="195">
        <f>VLOOKUP(P88,Matrix!AA:AC,3,0)</f>
        <v/>
      </c>
      <c r="AK88" s="195">
        <f>SUMIFS(Def!C:C,Def!F:F,AJ88)</f>
        <v/>
      </c>
      <c r="AL88" s="156">
        <f>IFERROR(SUMIFS(Def!B:B,Def!F:F,AJ88)/AK88,"")</f>
        <v/>
      </c>
    </row>
    <row r="89" ht="14.4" customHeight="1" s="152">
      <c r="A89" s="157">
        <f>IF(F89="Yes",IFERROR(IF(AA89&gt;1,AA89/100,100/-AA89),""),-1)</f>
        <v/>
      </c>
      <c r="B89" s="157">
        <f>B88+1</f>
        <v/>
      </c>
      <c r="C89" s="157">
        <f>IF(Y89&gt;Z89,1,0)</f>
        <v/>
      </c>
      <c r="D89" s="157">
        <f>IF(AND(C89=1,F89="Yes"),"Yes",IF(AND(C89=0,F89="No"),"Yes","No"))</f>
        <v/>
      </c>
      <c r="E89" s="192">
        <f>IF((AC89+AB89)=AD89,"Push",IF((AC89+AB89)&gt;AD89,"Yes","No"))</f>
        <v/>
      </c>
      <c r="F89" s="192">
        <f>IF(AC89&gt;AD89,"Yes","No")</f>
        <v/>
      </c>
      <c r="G89" s="192">
        <f>IF((Y89+AB89)&gt;Z89,"Yes",IF((Y89+AB89)=Z89,"Push","No"))</f>
        <v/>
      </c>
      <c r="H89" s="157">
        <f>IF(O89="Home",VLOOKUP(N89,Matrix!A:S,19,0),1)</f>
        <v/>
      </c>
      <c r="I89" s="157">
        <f>IF(O89="Away",VLOOKUP(N89,Matrix!A:Z,20,0),1)</f>
        <v/>
      </c>
      <c r="J89" s="157">
        <f>IF(O89="Away",VLOOKUP(P89,Matrix!A:S,19,0),1)</f>
        <v/>
      </c>
      <c r="K89" s="157">
        <f>IF(O89="Home",VLOOKUP(P89,Matrix!A:Z,20,0),1)</f>
        <v/>
      </c>
      <c r="L89" s="156" t="n">
        <v>0.152516620199557</v>
      </c>
      <c r="M89" s="179">
        <f>Schedule!B89</f>
        <v/>
      </c>
      <c r="N89" s="156">
        <f>Schedule!E89</f>
        <v/>
      </c>
      <c r="O89" s="156" t="inlineStr">
        <is>
          <t>Home</t>
        </is>
      </c>
      <c r="P89" s="157">
        <f>Schedule!H89</f>
        <v/>
      </c>
      <c r="Q89" s="157">
        <f>Schedule!C89</f>
        <v/>
      </c>
      <c r="R89" s="180">
        <f>Schedule!D89</f>
        <v/>
      </c>
      <c r="S89" s="181">
        <f>Schedule!J89</f>
        <v/>
      </c>
      <c r="T89" s="193">
        <f>Y89-Z89</f>
        <v/>
      </c>
      <c r="U89" s="182">
        <f>T89/Picks!$K$2</f>
        <v/>
      </c>
      <c r="V89" s="193">
        <f>INDEX(Standings!$T$3:$T$34, MATCH(N89, Standings!$A$3:$A$34, 0)) - INDEX(Standings!$T$3:$T$34, MATCH(P89, Standings!$A$3:$A$34, 0))</f>
        <v/>
      </c>
      <c r="W89" s="157">
        <f>INDEX(Standings!$L$3:$L$34, MATCH(N89, Standings!$A$3:$A$34, 0)) - INDEX(Standings!$L$3:$L$34, MATCH(P89, Standings!$A$3:$A$34, 0))</f>
        <v/>
      </c>
      <c r="X89" s="157">
        <f>INDEX(Standings!$M$3:$M$34, MATCH(N89, Standings!$A$3:$A$34, 0)) - INDEX(Standings!$M$3:$M$34, MATCH(P89, Standings!$A$3:$A$34, 0))</f>
        <v/>
      </c>
      <c r="Y89" s="194">
        <f t="array" ref="Y89:Y89">IFERROR(AE89+(AL89-_DFactor)*AE89,"")</f>
        <v/>
      </c>
      <c r="Z89" s="157">
        <f>IFERROR(AF89+(AI89-_DFactor)*AF89,"")</f>
        <v/>
      </c>
      <c r="AC89" s="194">
        <f>VLOOKUP(M89&amp;N89,Schedule!A:F,6,0)</f>
        <v/>
      </c>
      <c r="AD89" s="194">
        <f>VLOOKUP(M89&amp;P89,Schedule!A:F,6,0)</f>
        <v/>
      </c>
      <c r="AE89" s="156">
        <f>VLOOKUP(N89,ProjPVT!B:I,8,0)*_Mag/VLOOKUP(P89,Standings!A:O,15,0)*H89*K89</f>
        <v/>
      </c>
      <c r="AF89" s="156">
        <f>VLOOKUP(P89,ProjPVT!B:I,8,0)*_Mag/VLOOKUP(N89,Standings!A:O,15,0)*J89*I89</f>
        <v/>
      </c>
      <c r="AG89" s="195">
        <f>VLOOKUP(N89,Matrix!AA:AC,3,0)</f>
        <v/>
      </c>
      <c r="AH89" s="195">
        <f>SUMIFS(Def!C:C,Def!F:F,AG89)</f>
        <v/>
      </c>
      <c r="AI89" s="156">
        <f>IFERROR(SUMIFS(Def!B:B,Def!F:F,AG89)/AH89,"")</f>
        <v/>
      </c>
      <c r="AJ89" s="195">
        <f>VLOOKUP(P89,Matrix!AA:AC,3,0)</f>
        <v/>
      </c>
      <c r="AK89" s="195">
        <f>SUMIFS(Def!C:C,Def!F:F,AJ89)</f>
        <v/>
      </c>
      <c r="AL89" s="156">
        <f>IFERROR(SUMIFS(Def!B:B,Def!F:F,AJ89)/AK89,"")</f>
        <v/>
      </c>
    </row>
    <row r="90" ht="14.4" customHeight="1" s="152">
      <c r="A90" s="157">
        <f>IF(F90="Yes",IFERROR(IF(AA90&gt;1,AA90/100,100/-AA90),""),-1)</f>
        <v/>
      </c>
      <c r="B90" s="157">
        <f>B89+1</f>
        <v/>
      </c>
      <c r="C90" s="157">
        <f>IF(Y90&gt;Z90,1,0)</f>
        <v/>
      </c>
      <c r="D90" s="157">
        <f>IF(AND(C90=1,F90="Yes"),"Yes",IF(AND(C90=0,F90="No"),"Yes","No"))</f>
        <v/>
      </c>
      <c r="E90" s="192">
        <f>IF((AC90+AB90)=AD90,"Push",IF((AC90+AB90)&gt;AD90,"Yes","No"))</f>
        <v/>
      </c>
      <c r="F90" s="192">
        <f>IF(AC90&gt;AD90,"Yes","No")</f>
        <v/>
      </c>
      <c r="G90" s="192">
        <f>IF((Y90+AB90)&gt;Z90,"Yes",IF((Y90+AB90)=Z90,"Push","No"))</f>
        <v/>
      </c>
      <c r="H90" s="157">
        <f>IF(O90="Home",VLOOKUP(N90,Matrix!A:S,19,0),1)</f>
        <v/>
      </c>
      <c r="I90" s="157">
        <f>IF(O90="Away",VLOOKUP(N90,Matrix!A:Z,20,0),1)</f>
        <v/>
      </c>
      <c r="J90" s="157">
        <f>IF(O90="Away",VLOOKUP(P90,Matrix!A:S,19,0),1)</f>
        <v/>
      </c>
      <c r="K90" s="157">
        <f>IF(O90="Home",VLOOKUP(P90,Matrix!A:Z,20,0),1)</f>
        <v/>
      </c>
      <c r="L90" s="156" t="n">
        <v>0.184042128075905</v>
      </c>
      <c r="M90" s="179">
        <f>Schedule!B90</f>
        <v/>
      </c>
      <c r="N90" s="156">
        <f>Schedule!E90</f>
        <v/>
      </c>
      <c r="O90" s="156" t="inlineStr">
        <is>
          <t>Away</t>
        </is>
      </c>
      <c r="P90" s="157">
        <f>Schedule!H90</f>
        <v/>
      </c>
      <c r="Q90" s="157">
        <f>Schedule!C90</f>
        <v/>
      </c>
      <c r="R90" s="180">
        <f>Schedule!D90</f>
        <v/>
      </c>
      <c r="S90" s="181">
        <f>Schedule!J90</f>
        <v/>
      </c>
      <c r="T90" s="193">
        <f>Y90-Z90</f>
        <v/>
      </c>
      <c r="U90" s="182">
        <f>T90/Picks!$K$2</f>
        <v/>
      </c>
      <c r="V90" s="193">
        <f>INDEX(Standings!$T$3:$T$34, MATCH(N90, Standings!$A$3:$A$34, 0)) - INDEX(Standings!$T$3:$T$34, MATCH(P90, Standings!$A$3:$A$34, 0))</f>
        <v/>
      </c>
      <c r="W90" s="157">
        <f>INDEX(Standings!$L$3:$L$34, MATCH(N90, Standings!$A$3:$A$34, 0)) - INDEX(Standings!$L$3:$L$34, MATCH(P90, Standings!$A$3:$A$34, 0))</f>
        <v/>
      </c>
      <c r="X90" s="157">
        <f>INDEX(Standings!$M$3:$M$34, MATCH(N90, Standings!$A$3:$A$34, 0)) - INDEX(Standings!$M$3:$M$34, MATCH(P90, Standings!$A$3:$A$34, 0))</f>
        <v/>
      </c>
      <c r="Y90" s="194">
        <f t="array" ref="Y90:Y90">IFERROR(AE90+(AL90-_DFactor)*AE90,"")</f>
        <v/>
      </c>
      <c r="Z90" s="157">
        <f>IFERROR(AF90+(AI90-_DFactor)*AF90,"")</f>
        <v/>
      </c>
      <c r="AC90" s="194">
        <f>VLOOKUP(M90&amp;N90,Schedule!A:F,6,0)</f>
        <v/>
      </c>
      <c r="AD90" s="194">
        <f>VLOOKUP(M90&amp;P90,Schedule!A:F,6,0)</f>
        <v/>
      </c>
      <c r="AE90" s="156">
        <f>VLOOKUP(N90,ProjPVT!B:I,8,0)*_Mag/VLOOKUP(P90,Standings!A:O,15,0)*H90*K90</f>
        <v/>
      </c>
      <c r="AF90" s="156">
        <f>VLOOKUP(P90,ProjPVT!B:I,8,0)*_Mag/VLOOKUP(N90,Standings!A:O,15,0)*J90*I90</f>
        <v/>
      </c>
      <c r="AG90" s="195">
        <f>VLOOKUP(N90,Matrix!AA:AC,3,0)</f>
        <v/>
      </c>
      <c r="AH90" s="195">
        <f>SUMIFS(Def!C:C,Def!F:F,AG90)</f>
        <v/>
      </c>
      <c r="AI90" s="156">
        <f>IFERROR(SUMIFS(Def!B:B,Def!F:F,AG90)/AH90,"")</f>
        <v/>
      </c>
      <c r="AJ90" s="195">
        <f>VLOOKUP(P90,Matrix!AA:AC,3,0)</f>
        <v/>
      </c>
      <c r="AK90" s="195">
        <f>SUMIFS(Def!C:C,Def!F:F,AJ90)</f>
        <v/>
      </c>
      <c r="AL90" s="156">
        <f>IFERROR(SUMIFS(Def!B:B,Def!F:F,AJ90)/AK90,"")</f>
        <v/>
      </c>
    </row>
    <row r="91" ht="14.4" customHeight="1" s="152">
      <c r="A91" s="157">
        <f>IF(F91="Yes",IFERROR(IF(AA91&gt;1,AA91/100,100/-AA91),""),-1)</f>
        <v/>
      </c>
      <c r="B91" s="157">
        <f>B90+1</f>
        <v/>
      </c>
      <c r="C91" s="157">
        <f>IF(Y91&gt;Z91,1,0)</f>
        <v/>
      </c>
      <c r="D91" s="157">
        <f>IF(AND(C91=1,F91="Yes"),"Yes",IF(AND(C91=0,F91="No"),"Yes","No"))</f>
        <v/>
      </c>
      <c r="E91" s="192">
        <f>IF((AC91+AB91)=AD91,"Push",IF((AC91+AB91)&gt;AD91,"Yes","No"))</f>
        <v/>
      </c>
      <c r="F91" s="192">
        <f>IF(AC91&gt;AD91,"Yes","No")</f>
        <v/>
      </c>
      <c r="G91" s="192">
        <f>IF((Y91+AB91)&gt;Z91,"Yes",IF((Y91+AB91)=Z91,"Push","No"))</f>
        <v/>
      </c>
      <c r="H91" s="157">
        <f>IF(O91="Home",VLOOKUP(N91,Matrix!A:S,19,0),1)</f>
        <v/>
      </c>
      <c r="I91" s="157">
        <f>IF(O91="Away",VLOOKUP(N91,Matrix!A:Z,20,0),1)</f>
        <v/>
      </c>
      <c r="J91" s="157">
        <f>IF(O91="Away",VLOOKUP(P91,Matrix!A:S,19,0),1)</f>
        <v/>
      </c>
      <c r="K91" s="157">
        <f>IF(O91="Home",VLOOKUP(P91,Matrix!A:Z,20,0),1)</f>
        <v/>
      </c>
      <c r="L91" s="156" t="n">
        <v>0.201332139825888</v>
      </c>
      <c r="M91" s="179">
        <f>Schedule!B91</f>
        <v/>
      </c>
      <c r="N91" s="156">
        <f>Schedule!E91</f>
        <v/>
      </c>
      <c r="O91" s="156" t="inlineStr">
        <is>
          <t>Home</t>
        </is>
      </c>
      <c r="P91" s="157">
        <f>Schedule!H91</f>
        <v/>
      </c>
      <c r="Q91" s="157">
        <f>Schedule!C91</f>
        <v/>
      </c>
      <c r="R91" s="180">
        <f>Schedule!D91</f>
        <v/>
      </c>
      <c r="S91" s="181">
        <f>Schedule!J91</f>
        <v/>
      </c>
      <c r="T91" s="193">
        <f>Y91-Z91</f>
        <v/>
      </c>
      <c r="U91" s="182">
        <f>T91/Picks!$K$2</f>
        <v/>
      </c>
      <c r="V91" s="193">
        <f>INDEX(Standings!$T$3:$T$34, MATCH(N91, Standings!$A$3:$A$34, 0)) - INDEX(Standings!$T$3:$T$34, MATCH(P91, Standings!$A$3:$A$34, 0))</f>
        <v/>
      </c>
      <c r="W91" s="157">
        <f>INDEX(Standings!$L$3:$L$34, MATCH(N91, Standings!$A$3:$A$34, 0)) - INDEX(Standings!$L$3:$L$34, MATCH(P91, Standings!$A$3:$A$34, 0))</f>
        <v/>
      </c>
      <c r="X91" s="157">
        <f>INDEX(Standings!$M$3:$M$34, MATCH(N91, Standings!$A$3:$A$34, 0)) - INDEX(Standings!$M$3:$M$34, MATCH(P91, Standings!$A$3:$A$34, 0))</f>
        <v/>
      </c>
      <c r="Y91" s="194">
        <f t="array" ref="Y91:Y91">IFERROR(AE91+(AL91-_DFactor)*AE91,"")</f>
        <v/>
      </c>
      <c r="Z91" s="157">
        <f>IFERROR(AF91+(AI91-_DFactor)*AF91,"")</f>
        <v/>
      </c>
      <c r="AC91" s="194">
        <f>VLOOKUP(M91&amp;N91,Schedule!A:F,6,0)</f>
        <v/>
      </c>
      <c r="AD91" s="194">
        <f>VLOOKUP(M91&amp;P91,Schedule!A:F,6,0)</f>
        <v/>
      </c>
      <c r="AE91" s="156">
        <f>VLOOKUP(N91,ProjPVT!B:I,8,0)*_Mag/VLOOKUP(P91,Standings!A:O,15,0)*H91*K91</f>
        <v/>
      </c>
      <c r="AF91" s="156">
        <f>VLOOKUP(P91,ProjPVT!B:I,8,0)*_Mag/VLOOKUP(N91,Standings!A:O,15,0)*J91*I91</f>
        <v/>
      </c>
      <c r="AG91" s="195">
        <f>VLOOKUP(N91,Matrix!AA:AC,3,0)</f>
        <v/>
      </c>
      <c r="AH91" s="195">
        <f>SUMIFS(Def!C:C,Def!F:F,AG91)</f>
        <v/>
      </c>
      <c r="AI91" s="156">
        <f>IFERROR(SUMIFS(Def!B:B,Def!F:F,AG91)/AH91,"")</f>
        <v/>
      </c>
      <c r="AJ91" s="195">
        <f>VLOOKUP(P91,Matrix!AA:AC,3,0)</f>
        <v/>
      </c>
      <c r="AK91" s="195">
        <f>SUMIFS(Def!C:C,Def!F:F,AJ91)</f>
        <v/>
      </c>
      <c r="AL91" s="156">
        <f>IFERROR(SUMIFS(Def!B:B,Def!F:F,AJ91)/AK91,"")</f>
        <v/>
      </c>
    </row>
    <row r="92" ht="14.4" customHeight="1" s="152">
      <c r="A92" s="157">
        <f>IF(F92="Yes",IFERROR(IF(AA92&gt;1,AA92/100,100/-AA92),""),-1)</f>
        <v/>
      </c>
      <c r="B92" s="157">
        <f>B91+1</f>
        <v/>
      </c>
      <c r="C92" s="157">
        <f>IF(Y92&gt;Z92,1,0)</f>
        <v/>
      </c>
      <c r="D92" s="157">
        <f>IF(AND(C92=1,F92="Yes"),"Yes",IF(AND(C92=0,F92="No"),"Yes","No"))</f>
        <v/>
      </c>
      <c r="E92" s="192">
        <f>IF((AC92+AB92)=AD92,"Push",IF((AC92+AB92)&gt;AD92,"Yes","No"))</f>
        <v/>
      </c>
      <c r="F92" s="192">
        <f>IF(AC92&gt;AD92,"Yes","No")</f>
        <v/>
      </c>
      <c r="G92" s="192">
        <f>IF((Y92+AB92)&gt;Z92,"Yes",IF((Y92+AB92)=Z92,"Push","No"))</f>
        <v/>
      </c>
      <c r="H92" s="157">
        <f>IF(O92="Home",VLOOKUP(N92,Matrix!A:S,19,0),1)</f>
        <v/>
      </c>
      <c r="I92" s="157">
        <f>IF(O92="Away",VLOOKUP(N92,Matrix!A:Z,20,0),1)</f>
        <v/>
      </c>
      <c r="J92" s="157">
        <f>IF(O92="Away",VLOOKUP(P92,Matrix!A:S,19,0),1)</f>
        <v/>
      </c>
      <c r="K92" s="157">
        <f>IF(O92="Home",VLOOKUP(P92,Matrix!A:Z,20,0),1)</f>
        <v/>
      </c>
      <c r="L92" s="156" t="n">
        <v>0.201879753290414</v>
      </c>
      <c r="M92" s="179">
        <f>Schedule!B92</f>
        <v/>
      </c>
      <c r="N92" s="156">
        <f>Schedule!E92</f>
        <v/>
      </c>
      <c r="O92" s="156" t="inlineStr">
        <is>
          <t>Away</t>
        </is>
      </c>
      <c r="P92" s="157">
        <f>Schedule!H92</f>
        <v/>
      </c>
      <c r="Q92" s="157">
        <f>Schedule!C92</f>
        <v/>
      </c>
      <c r="R92" s="180">
        <f>Schedule!D92</f>
        <v/>
      </c>
      <c r="S92" s="181">
        <f>Schedule!J92</f>
        <v/>
      </c>
      <c r="T92" s="193">
        <f>Y92-Z92</f>
        <v/>
      </c>
      <c r="U92" s="182">
        <f>T92/Picks!$K$2</f>
        <v/>
      </c>
      <c r="V92" s="193">
        <f>INDEX(Standings!$T$3:$T$34, MATCH(N92, Standings!$A$3:$A$34, 0)) - INDEX(Standings!$T$3:$T$34, MATCH(P92, Standings!$A$3:$A$34, 0))</f>
        <v/>
      </c>
      <c r="W92" s="157">
        <f>INDEX(Standings!$L$3:$L$34, MATCH(N92, Standings!$A$3:$A$34, 0)) - INDEX(Standings!$L$3:$L$34, MATCH(P92, Standings!$A$3:$A$34, 0))</f>
        <v/>
      </c>
      <c r="X92" s="157">
        <f>INDEX(Standings!$M$3:$M$34, MATCH(N92, Standings!$A$3:$A$34, 0)) - INDEX(Standings!$M$3:$M$34, MATCH(P92, Standings!$A$3:$A$34, 0))</f>
        <v/>
      </c>
      <c r="Y92" s="194">
        <f t="array" ref="Y92:Y92">IFERROR(AE92+(AL92-_DFactor)*AE92,"")</f>
        <v/>
      </c>
      <c r="Z92" s="157">
        <f>IFERROR(AF92+(AI92-_DFactor)*AF92,"")</f>
        <v/>
      </c>
      <c r="AC92" s="194">
        <f>VLOOKUP(M92&amp;N92,Schedule!A:F,6,0)</f>
        <v/>
      </c>
      <c r="AD92" s="194">
        <f>VLOOKUP(M92&amp;P92,Schedule!A:F,6,0)</f>
        <v/>
      </c>
      <c r="AE92" s="156">
        <f>VLOOKUP(N92,ProjPVT!B:I,8,0)*_Mag/VLOOKUP(P92,Standings!A:O,15,0)*H92*K92</f>
        <v/>
      </c>
      <c r="AF92" s="156">
        <f>VLOOKUP(P92,ProjPVT!B:I,8,0)*_Mag/VLOOKUP(N92,Standings!A:O,15,0)*J92*I92</f>
        <v/>
      </c>
      <c r="AG92" s="195">
        <f>VLOOKUP(N92,Matrix!AA:AC,3,0)</f>
        <v/>
      </c>
      <c r="AH92" s="195">
        <f>SUMIFS(Def!C:C,Def!F:F,AG92)</f>
        <v/>
      </c>
      <c r="AI92" s="156">
        <f>IFERROR(SUMIFS(Def!B:B,Def!F:F,AG92)/AH92,"")</f>
        <v/>
      </c>
      <c r="AJ92" s="195">
        <f>VLOOKUP(P92,Matrix!AA:AC,3,0)</f>
        <v/>
      </c>
      <c r="AK92" s="195">
        <f>SUMIFS(Def!C:C,Def!F:F,AJ92)</f>
        <v/>
      </c>
      <c r="AL92" s="156">
        <f>IFERROR(SUMIFS(Def!B:B,Def!F:F,AJ92)/AK92,"")</f>
        <v/>
      </c>
    </row>
    <row r="93" ht="14.4" customHeight="1" s="152">
      <c r="A93" s="157">
        <f>IF(F93="Yes",IFERROR(IF(AA93&gt;1,AA93/100,100/-AA93),""),-1)</f>
        <v/>
      </c>
      <c r="B93" s="157">
        <f>B92+1</f>
        <v/>
      </c>
      <c r="C93" s="157">
        <f>IF(Y93&gt;Z93,1,0)</f>
        <v/>
      </c>
      <c r="D93" s="157">
        <f>IF(AND(C93=1,F93="Yes"),"Yes",IF(AND(C93=0,F93="No"),"Yes","No"))</f>
        <v/>
      </c>
      <c r="E93" s="192">
        <f>IF((AC93+AB93)=AD93,"Push",IF((AC93+AB93)&gt;AD93,"Yes","No"))</f>
        <v/>
      </c>
      <c r="F93" s="192">
        <f>IF(AC93&gt;AD93,"Yes","No")</f>
        <v/>
      </c>
      <c r="G93" s="192">
        <f>IF((Y93+AB93)&gt;Z93,"Yes",IF((Y93+AB93)=Z93,"Push","No"))</f>
        <v/>
      </c>
      <c r="H93" s="157">
        <f>IF(O93="Home",VLOOKUP(N93,Matrix!A:S,19,0),1)</f>
        <v/>
      </c>
      <c r="I93" s="157">
        <f>IF(O93="Away",VLOOKUP(N93,Matrix!A:Z,20,0),1)</f>
        <v/>
      </c>
      <c r="J93" s="157">
        <f>IF(O93="Away",VLOOKUP(P93,Matrix!A:S,19,0),1)</f>
        <v/>
      </c>
      <c r="K93" s="157">
        <f>IF(O93="Home",VLOOKUP(P93,Matrix!A:Z,20,0),1)</f>
        <v/>
      </c>
      <c r="L93" s="156" t="n">
        <v>0.277681273615117</v>
      </c>
      <c r="M93" s="179">
        <f>Schedule!B93</f>
        <v/>
      </c>
      <c r="N93" s="156">
        <f>Schedule!E93</f>
        <v/>
      </c>
      <c r="O93" s="156" t="inlineStr">
        <is>
          <t>Away</t>
        </is>
      </c>
      <c r="P93" s="157">
        <f>Schedule!H93</f>
        <v/>
      </c>
      <c r="Q93" s="157">
        <f>Schedule!C93</f>
        <v/>
      </c>
      <c r="R93" s="180">
        <f>Schedule!D93</f>
        <v/>
      </c>
      <c r="S93" s="181">
        <f>Schedule!J93</f>
        <v/>
      </c>
      <c r="T93" s="193">
        <f>Y93-Z93</f>
        <v/>
      </c>
      <c r="U93" s="182">
        <f>T93/Picks!$K$2</f>
        <v/>
      </c>
      <c r="V93" s="193">
        <f>INDEX(Standings!$T$3:$T$34, MATCH(N93, Standings!$A$3:$A$34, 0)) - INDEX(Standings!$T$3:$T$34, MATCH(P93, Standings!$A$3:$A$34, 0))</f>
        <v/>
      </c>
      <c r="W93" s="157">
        <f>INDEX(Standings!$L$3:$L$34, MATCH(N93, Standings!$A$3:$A$34, 0)) - INDEX(Standings!$L$3:$L$34, MATCH(P93, Standings!$A$3:$A$34, 0))</f>
        <v/>
      </c>
      <c r="X93" s="157">
        <f>INDEX(Standings!$M$3:$M$34, MATCH(N93, Standings!$A$3:$A$34, 0)) - INDEX(Standings!$M$3:$M$34, MATCH(P93, Standings!$A$3:$A$34, 0))</f>
        <v/>
      </c>
      <c r="Y93" s="194">
        <f t="array" ref="Y93:Y93">IFERROR(AE93+(AL93-_DFactor)*AE93,"")</f>
        <v/>
      </c>
      <c r="Z93" s="157">
        <f>IFERROR(AF93+(AI93-_DFactor)*AF93,"")</f>
        <v/>
      </c>
      <c r="AC93" s="194">
        <f>VLOOKUP(M93&amp;N93,Schedule!A:F,6,0)</f>
        <v/>
      </c>
      <c r="AD93" s="194">
        <f>VLOOKUP(M93&amp;P93,Schedule!A:F,6,0)</f>
        <v/>
      </c>
      <c r="AE93" s="156">
        <f>VLOOKUP(N93,ProjPVT!B:I,8,0)*_Mag/VLOOKUP(P93,Standings!A:O,15,0)*H93*K93</f>
        <v/>
      </c>
      <c r="AF93" s="156">
        <f>VLOOKUP(P93,ProjPVT!B:I,8,0)*_Mag/VLOOKUP(N93,Standings!A:O,15,0)*J93*I93</f>
        <v/>
      </c>
      <c r="AG93" s="195">
        <f>VLOOKUP(N93,Matrix!AA:AC,3,0)</f>
        <v/>
      </c>
      <c r="AH93" s="195">
        <f>SUMIFS(Def!C:C,Def!F:F,AG93)</f>
        <v/>
      </c>
      <c r="AI93" s="156">
        <f>IFERROR(SUMIFS(Def!B:B,Def!F:F,AG93)/AH93,"")</f>
        <v/>
      </c>
      <c r="AJ93" s="195">
        <f>VLOOKUP(P93,Matrix!AA:AC,3,0)</f>
        <v/>
      </c>
      <c r="AK93" s="195">
        <f>SUMIFS(Def!C:C,Def!F:F,AJ93)</f>
        <v/>
      </c>
      <c r="AL93" s="156">
        <f>IFERROR(SUMIFS(Def!B:B,Def!F:F,AJ93)/AK93,"")</f>
        <v/>
      </c>
    </row>
    <row r="94" ht="14.4" customHeight="1" s="152">
      <c r="A94" s="157">
        <f>IF(F94="Yes",IFERROR(IF(AA94&gt;1,AA94/100,100/-AA94),""),-1)</f>
        <v/>
      </c>
      <c r="B94" s="157">
        <f>B93+1</f>
        <v/>
      </c>
      <c r="C94" s="157">
        <f>IF(Y94&gt;Z94,1,0)</f>
        <v/>
      </c>
      <c r="D94" s="157">
        <f>IF(AND(C94=1,F94="Yes"),"Yes",IF(AND(C94=0,F94="No"),"Yes","No"))</f>
        <v/>
      </c>
      <c r="E94" s="192">
        <f>IF((AC94+AB94)=AD94,"Push",IF((AC94+AB94)&gt;AD94,"Yes","No"))</f>
        <v/>
      </c>
      <c r="F94" s="192">
        <f>IF(AC94&gt;AD94,"Yes","No")</f>
        <v/>
      </c>
      <c r="G94" s="192">
        <f>IF((Y94+AB94)&gt;Z94,"Yes",IF((Y94+AB94)=Z94,"Push","No"))</f>
        <v/>
      </c>
      <c r="H94" s="157">
        <f>IF(O94="Home",VLOOKUP(N94,Matrix!A:S,19,0),1)</f>
        <v/>
      </c>
      <c r="I94" s="157">
        <f>IF(O94="Away",VLOOKUP(N94,Matrix!A:Z,20,0),1)</f>
        <v/>
      </c>
      <c r="J94" s="157">
        <f>IF(O94="Away",VLOOKUP(P94,Matrix!A:S,19,0),1)</f>
        <v/>
      </c>
      <c r="K94" s="157">
        <f>IF(O94="Home",VLOOKUP(P94,Matrix!A:Z,20,0),1)</f>
        <v/>
      </c>
      <c r="L94" s="156" t="n">
        <v>0.357994397548488</v>
      </c>
      <c r="M94" s="179">
        <f>Schedule!B94</f>
        <v/>
      </c>
      <c r="N94" s="156">
        <f>Schedule!E94</f>
        <v/>
      </c>
      <c r="O94" s="156" t="inlineStr">
        <is>
          <t>Home</t>
        </is>
      </c>
      <c r="P94" s="157">
        <f>Schedule!H94</f>
        <v/>
      </c>
      <c r="Q94" s="157">
        <f>Schedule!C94</f>
        <v/>
      </c>
      <c r="R94" s="180">
        <f>Schedule!D94</f>
        <v/>
      </c>
      <c r="S94" s="181">
        <f>Schedule!J94</f>
        <v/>
      </c>
      <c r="T94" s="193">
        <f>Y94-Z94</f>
        <v/>
      </c>
      <c r="U94" s="182">
        <f>T94/Picks!$K$2</f>
        <v/>
      </c>
      <c r="V94" s="193">
        <f>INDEX(Standings!$T$3:$T$34, MATCH(N94, Standings!$A$3:$A$34, 0)) - INDEX(Standings!$T$3:$T$34, MATCH(P94, Standings!$A$3:$A$34, 0))</f>
        <v/>
      </c>
      <c r="W94" s="157">
        <f>INDEX(Standings!$L$3:$L$34, MATCH(N94, Standings!$A$3:$A$34, 0)) - INDEX(Standings!$L$3:$L$34, MATCH(P94, Standings!$A$3:$A$34, 0))</f>
        <v/>
      </c>
      <c r="X94" s="157">
        <f>INDEX(Standings!$M$3:$M$34, MATCH(N94, Standings!$A$3:$A$34, 0)) - INDEX(Standings!$M$3:$M$34, MATCH(P94, Standings!$A$3:$A$34, 0))</f>
        <v/>
      </c>
      <c r="Y94" s="194">
        <f t="array" ref="Y94:Y94">IFERROR(AE94+(AL94-_DFactor)*AE94,"")</f>
        <v/>
      </c>
      <c r="Z94" s="157">
        <f>IFERROR(AF94+(AI94-_DFactor)*AF94,"")</f>
        <v/>
      </c>
      <c r="AC94" s="194">
        <f>VLOOKUP(M94&amp;N94,Schedule!A:F,6,0)</f>
        <v/>
      </c>
      <c r="AD94" s="194">
        <f>VLOOKUP(M94&amp;P94,Schedule!A:F,6,0)</f>
        <v/>
      </c>
      <c r="AE94" s="156">
        <f>VLOOKUP(N94,ProjPVT!B:I,8,0)*_Mag/VLOOKUP(P94,Standings!A:O,15,0)*H94*K94</f>
        <v/>
      </c>
      <c r="AF94" s="156">
        <f>VLOOKUP(P94,ProjPVT!B:I,8,0)*_Mag/VLOOKUP(N94,Standings!A:O,15,0)*J94*I94</f>
        <v/>
      </c>
      <c r="AG94" s="195">
        <f>VLOOKUP(N94,Matrix!AA:AC,3,0)</f>
        <v/>
      </c>
      <c r="AH94" s="195">
        <f>SUMIFS(Def!C:C,Def!F:F,AG94)</f>
        <v/>
      </c>
      <c r="AI94" s="156">
        <f>IFERROR(SUMIFS(Def!B:B,Def!F:F,AG94)/AH94,"")</f>
        <v/>
      </c>
      <c r="AJ94" s="195">
        <f>VLOOKUP(P94,Matrix!AA:AC,3,0)</f>
        <v/>
      </c>
      <c r="AK94" s="195">
        <f>SUMIFS(Def!C:C,Def!F:F,AJ94)</f>
        <v/>
      </c>
      <c r="AL94" s="156">
        <f>IFERROR(SUMIFS(Def!B:B,Def!F:F,AJ94)/AK94,"")</f>
        <v/>
      </c>
    </row>
    <row r="95" ht="14.4" customHeight="1" s="152">
      <c r="A95" s="157">
        <f>IF(F95="Yes",IFERROR(IF(AA95&gt;1,AA95/100,100/-AA95),""),-1)</f>
        <v/>
      </c>
      <c r="B95" s="157">
        <f>B94+1</f>
        <v/>
      </c>
      <c r="C95" s="157">
        <f>IF(Y95&gt;Z95,1,0)</f>
        <v/>
      </c>
      <c r="D95" s="157">
        <f>IF(AND(C95=1,F95="Yes"),"Yes",IF(AND(C95=0,F95="No"),"Yes","No"))</f>
        <v/>
      </c>
      <c r="E95" s="192">
        <f>IF((AC95+AB95)=AD95,"Push",IF((AC95+AB95)&gt;AD95,"Yes","No"))</f>
        <v/>
      </c>
      <c r="F95" s="192">
        <f>IF(AC95&gt;AD95,"Yes","No")</f>
        <v/>
      </c>
      <c r="G95" s="192">
        <f>IF((Y95+AB95)&gt;Z95,"Yes",IF((Y95+AB95)=Z95,"Push","No"))</f>
        <v/>
      </c>
      <c r="H95" s="157">
        <f>IF(O95="Home",VLOOKUP(N95,Matrix!A:S,19,0),1)</f>
        <v/>
      </c>
      <c r="I95" s="157">
        <f>IF(O95="Away",VLOOKUP(N95,Matrix!A:Z,20,0),1)</f>
        <v/>
      </c>
      <c r="J95" s="157">
        <f>IF(O95="Away",VLOOKUP(P95,Matrix!A:S,19,0),1)</f>
        <v/>
      </c>
      <c r="K95" s="157">
        <f>IF(O95="Home",VLOOKUP(P95,Matrix!A:Z,20,0),1)</f>
        <v/>
      </c>
      <c r="L95" s="156" t="n">
        <v>0.456467875612578</v>
      </c>
      <c r="M95" s="179">
        <f>Schedule!B95</f>
        <v/>
      </c>
      <c r="N95" s="156">
        <f>Schedule!E95</f>
        <v/>
      </c>
      <c r="O95" s="156" t="inlineStr">
        <is>
          <t>Away</t>
        </is>
      </c>
      <c r="P95" s="157">
        <f>Schedule!H95</f>
        <v/>
      </c>
      <c r="Q95" s="157">
        <f>Schedule!C95</f>
        <v/>
      </c>
      <c r="R95" s="180">
        <f>Schedule!D95</f>
        <v/>
      </c>
      <c r="S95" s="181">
        <f>Schedule!J95</f>
        <v/>
      </c>
      <c r="T95" s="193">
        <f>Y95-Z95</f>
        <v/>
      </c>
      <c r="U95" s="182">
        <f>T95/Picks!$K$2</f>
        <v/>
      </c>
      <c r="V95" s="193">
        <f>INDEX(Standings!$T$3:$T$34, MATCH(N95, Standings!$A$3:$A$34, 0)) - INDEX(Standings!$T$3:$T$34, MATCH(P95, Standings!$A$3:$A$34, 0))</f>
        <v/>
      </c>
      <c r="W95" s="157">
        <f>INDEX(Standings!$L$3:$L$34, MATCH(N95, Standings!$A$3:$A$34, 0)) - INDEX(Standings!$L$3:$L$34, MATCH(P95, Standings!$A$3:$A$34, 0))</f>
        <v/>
      </c>
      <c r="X95" s="157">
        <f>INDEX(Standings!$M$3:$M$34, MATCH(N95, Standings!$A$3:$A$34, 0)) - INDEX(Standings!$M$3:$M$34, MATCH(P95, Standings!$A$3:$A$34, 0))</f>
        <v/>
      </c>
      <c r="Y95" s="194">
        <f t="array" ref="Y95:Y95">IFERROR(AE95+(AL95-_DFactor)*AE95,"")</f>
        <v/>
      </c>
      <c r="Z95" s="157">
        <f>IFERROR(AF95+(AI95-_DFactor)*AF95,"")</f>
        <v/>
      </c>
      <c r="AC95" s="194">
        <f>VLOOKUP(M95&amp;N95,Schedule!A:F,6,0)</f>
        <v/>
      </c>
      <c r="AD95" s="194">
        <f>VLOOKUP(M95&amp;P95,Schedule!A:F,6,0)</f>
        <v/>
      </c>
      <c r="AE95" s="156">
        <f>VLOOKUP(N95,ProjPVT!B:I,8,0)*_Mag/VLOOKUP(P95,Standings!A:O,15,0)*H95*K95</f>
        <v/>
      </c>
      <c r="AF95" s="156">
        <f>VLOOKUP(P95,ProjPVT!B:I,8,0)*_Mag/VLOOKUP(N95,Standings!A:O,15,0)*J95*I95</f>
        <v/>
      </c>
      <c r="AG95" s="195">
        <f>VLOOKUP(N95,Matrix!AA:AC,3,0)</f>
        <v/>
      </c>
      <c r="AH95" s="195">
        <f>SUMIFS(Def!C:C,Def!F:F,AG95)</f>
        <v/>
      </c>
      <c r="AI95" s="156">
        <f>IFERROR(SUMIFS(Def!B:B,Def!F:F,AG95)/AH95,"")</f>
        <v/>
      </c>
      <c r="AJ95" s="195">
        <f>VLOOKUP(P95,Matrix!AA:AC,3,0)</f>
        <v/>
      </c>
      <c r="AK95" s="195">
        <f>SUMIFS(Def!C:C,Def!F:F,AJ95)</f>
        <v/>
      </c>
      <c r="AL95" s="156">
        <f>IFERROR(SUMIFS(Def!B:B,Def!F:F,AJ95)/AK95,"")</f>
        <v/>
      </c>
    </row>
    <row r="96" ht="14.4" customHeight="1" s="152">
      <c r="A96" s="157">
        <f>IF(F96="Yes",IFERROR(IF(AA96&gt;1,AA96/100,100/-AA96),""),-1)</f>
        <v/>
      </c>
      <c r="B96" s="157">
        <f>B95+1</f>
        <v/>
      </c>
      <c r="C96" s="157">
        <f>IF(Y96&gt;Z96,1,0)</f>
        <v/>
      </c>
      <c r="D96" s="157">
        <f>IF(AND(C96=1,F96="Yes"),"Yes",IF(AND(C96=0,F96="No"),"Yes","No"))</f>
        <v/>
      </c>
      <c r="E96" s="192">
        <f>IF((AC96+AB96)=AD96,"Push",IF((AC96+AB96)&gt;AD96,"Yes","No"))</f>
        <v/>
      </c>
      <c r="F96" s="192">
        <f>IF(AC96&gt;AD96,"Yes","No")</f>
        <v/>
      </c>
      <c r="G96" s="192">
        <f>IF((Y96+AB96)&gt;Z96,"Yes",IF((Y96+AB96)=Z96,"Push","No"))</f>
        <v/>
      </c>
      <c r="H96" s="157">
        <f>IF(O96="Home",VLOOKUP(N96,Matrix!A:S,19,0),1)</f>
        <v/>
      </c>
      <c r="I96" s="157">
        <f>IF(O96="Away",VLOOKUP(N96,Matrix!A:Z,20,0),1)</f>
        <v/>
      </c>
      <c r="J96" s="157">
        <f>IF(O96="Away",VLOOKUP(P96,Matrix!A:S,19,0),1)</f>
        <v/>
      </c>
      <c r="K96" s="157">
        <f>IF(O96="Home",VLOOKUP(P96,Matrix!A:Z,20,0),1)</f>
        <v/>
      </c>
      <c r="L96" s="156" t="n">
        <v>0.580349984725387</v>
      </c>
      <c r="M96" s="179">
        <f>Schedule!B96</f>
        <v/>
      </c>
      <c r="N96" s="156">
        <f>Schedule!E96</f>
        <v/>
      </c>
      <c r="O96" s="156" t="inlineStr">
        <is>
          <t>Home</t>
        </is>
      </c>
      <c r="P96" s="157">
        <f>Schedule!H96</f>
        <v/>
      </c>
      <c r="Q96" s="157">
        <f>Schedule!C96</f>
        <v/>
      </c>
      <c r="R96" s="180">
        <f>Schedule!D96</f>
        <v/>
      </c>
      <c r="S96" s="181">
        <f>Schedule!J96</f>
        <v/>
      </c>
      <c r="T96" s="193">
        <f>Y96-Z96</f>
        <v/>
      </c>
      <c r="U96" s="182">
        <f>T96/Picks!$K$2</f>
        <v/>
      </c>
      <c r="V96" s="193">
        <f>INDEX(Standings!$T$3:$T$34, MATCH(N96, Standings!$A$3:$A$34, 0)) - INDEX(Standings!$T$3:$T$34, MATCH(P96, Standings!$A$3:$A$34, 0))</f>
        <v/>
      </c>
      <c r="W96" s="157">
        <f>INDEX(Standings!$L$3:$L$34, MATCH(N96, Standings!$A$3:$A$34, 0)) - INDEX(Standings!$L$3:$L$34, MATCH(P96, Standings!$A$3:$A$34, 0))</f>
        <v/>
      </c>
      <c r="X96" s="157">
        <f>INDEX(Standings!$M$3:$M$34, MATCH(N96, Standings!$A$3:$A$34, 0)) - INDEX(Standings!$M$3:$M$34, MATCH(P96, Standings!$A$3:$A$34, 0))</f>
        <v/>
      </c>
      <c r="Y96" s="194">
        <f t="array" ref="Y96:Y96">IFERROR(AE96+(AL96-_DFactor)*AE96,"")</f>
        <v/>
      </c>
      <c r="Z96" s="157">
        <f>IFERROR(AF96+(AI96-_DFactor)*AF96,"")</f>
        <v/>
      </c>
      <c r="AC96" s="194">
        <f>VLOOKUP(M96&amp;N96,Schedule!A:F,6,0)</f>
        <v/>
      </c>
      <c r="AD96" s="194">
        <f>VLOOKUP(M96&amp;P96,Schedule!A:F,6,0)</f>
        <v/>
      </c>
      <c r="AE96" s="156">
        <f>VLOOKUP(N96,ProjPVT!B:I,8,0)*_Mag/VLOOKUP(P96,Standings!A:O,15,0)*H96*K96</f>
        <v/>
      </c>
      <c r="AF96" s="156">
        <f>VLOOKUP(P96,ProjPVT!B:I,8,0)*_Mag/VLOOKUP(N96,Standings!A:O,15,0)*J96*I96</f>
        <v/>
      </c>
      <c r="AG96" s="195">
        <f>VLOOKUP(N96,Matrix!AA:AC,3,0)</f>
        <v/>
      </c>
      <c r="AH96" s="195">
        <f>SUMIFS(Def!C:C,Def!F:F,AG96)</f>
        <v/>
      </c>
      <c r="AI96" s="156">
        <f>IFERROR(SUMIFS(Def!B:B,Def!F:F,AG96)/AH96,"")</f>
        <v/>
      </c>
      <c r="AJ96" s="195">
        <f>VLOOKUP(P96,Matrix!AA:AC,3,0)</f>
        <v/>
      </c>
      <c r="AK96" s="195">
        <f>SUMIFS(Def!C:C,Def!F:F,AJ96)</f>
        <v/>
      </c>
      <c r="AL96" s="156">
        <f>IFERROR(SUMIFS(Def!B:B,Def!F:F,AJ96)/AK96,"")</f>
        <v/>
      </c>
    </row>
    <row r="97" ht="14.4" customHeight="1" s="152">
      <c r="A97" s="157">
        <f>IF(F97="Yes",IFERROR(IF(AA97&gt;1,AA97/100,100/-AA97),""),-1)</f>
        <v/>
      </c>
      <c r="B97" s="157">
        <f>B96+1</f>
        <v/>
      </c>
      <c r="C97" s="157">
        <f>IF(Y97&gt;Z97,1,0)</f>
        <v/>
      </c>
      <c r="D97" s="157">
        <f>IF(AND(C97=1,F97="Yes"),"Yes",IF(AND(C97=0,F97="No"),"Yes","No"))</f>
        <v/>
      </c>
      <c r="E97" s="192">
        <f>IF((AC97+AB97)=AD97,"Push",IF((AC97+AB97)&gt;AD97,"Yes","No"))</f>
        <v/>
      </c>
      <c r="F97" s="192">
        <f>IF(AC97&gt;AD97,"Yes","No")</f>
        <v/>
      </c>
      <c r="G97" s="192">
        <f>IF((Y97+AB97)&gt;Z97,"Yes",IF((Y97+AB97)=Z97,"Push","No"))</f>
        <v/>
      </c>
      <c r="H97" s="157">
        <f>IF(O97="Home",VLOOKUP(N97,Matrix!A:S,19,0),1)</f>
        <v/>
      </c>
      <c r="I97" s="157">
        <f>IF(O97="Away",VLOOKUP(N97,Matrix!A:Z,20,0),1)</f>
        <v/>
      </c>
      <c r="J97" s="157">
        <f>IF(O97="Away",VLOOKUP(P97,Matrix!A:S,19,0),1)</f>
        <v/>
      </c>
      <c r="K97" s="157">
        <f>IF(O97="Home",VLOOKUP(P97,Matrix!A:Z,20,0),1)</f>
        <v/>
      </c>
      <c r="L97" s="156" t="n">
        <v>0.666758211242625</v>
      </c>
      <c r="M97" s="179">
        <f>Schedule!B97</f>
        <v/>
      </c>
      <c r="N97" s="156">
        <f>Schedule!E97</f>
        <v/>
      </c>
      <c r="O97" s="156" t="inlineStr">
        <is>
          <t>Home</t>
        </is>
      </c>
      <c r="P97" s="157">
        <f>Schedule!H97</f>
        <v/>
      </c>
      <c r="Q97" s="157">
        <f>Schedule!C97</f>
        <v/>
      </c>
      <c r="R97" s="180">
        <f>Schedule!D97</f>
        <v/>
      </c>
      <c r="S97" s="181">
        <f>Schedule!J97</f>
        <v/>
      </c>
      <c r="T97" s="193">
        <f>Y97-Z97</f>
        <v/>
      </c>
      <c r="U97" s="182">
        <f>T97/Picks!$K$2</f>
        <v/>
      </c>
      <c r="V97" s="193">
        <f>INDEX(Standings!$T$3:$T$34, MATCH(N97, Standings!$A$3:$A$34, 0)) - INDEX(Standings!$T$3:$T$34, MATCH(P97, Standings!$A$3:$A$34, 0))</f>
        <v/>
      </c>
      <c r="W97" s="157">
        <f>INDEX(Standings!$L$3:$L$34, MATCH(N97, Standings!$A$3:$A$34, 0)) - INDEX(Standings!$L$3:$L$34, MATCH(P97, Standings!$A$3:$A$34, 0))</f>
        <v/>
      </c>
      <c r="X97" s="157">
        <f>INDEX(Standings!$M$3:$M$34, MATCH(N97, Standings!$A$3:$A$34, 0)) - INDEX(Standings!$M$3:$M$34, MATCH(P97, Standings!$A$3:$A$34, 0))</f>
        <v/>
      </c>
      <c r="Y97" s="194">
        <f t="array" ref="Y97:Y97">IFERROR(AE97+(AL97-_DFactor)*AE97,"")</f>
        <v/>
      </c>
      <c r="Z97" s="157">
        <f>IFERROR(AF97+(AI97-_DFactor)*AF97,"")</f>
        <v/>
      </c>
      <c r="AC97" s="194">
        <f>VLOOKUP(M97&amp;N97,Schedule!A:F,6,0)</f>
        <v/>
      </c>
      <c r="AD97" s="194">
        <f>VLOOKUP(M97&amp;P97,Schedule!A:F,6,0)</f>
        <v/>
      </c>
      <c r="AE97" s="156">
        <f>VLOOKUP(N97,ProjPVT!B:I,8,0)*_Mag/VLOOKUP(P97,Standings!A:O,15,0)*H97*K97</f>
        <v/>
      </c>
      <c r="AF97" s="156">
        <f>VLOOKUP(P97,ProjPVT!B:I,8,0)*_Mag/VLOOKUP(N97,Standings!A:O,15,0)*J97*I97</f>
        <v/>
      </c>
      <c r="AG97" s="195">
        <f>VLOOKUP(N97,Matrix!AA:AC,3,0)</f>
        <v/>
      </c>
      <c r="AH97" s="195">
        <f>SUMIFS(Def!C:C,Def!F:F,AG97)</f>
        <v/>
      </c>
      <c r="AI97" s="156">
        <f>IFERROR(SUMIFS(Def!B:B,Def!F:F,AG97)/AH97,"")</f>
        <v/>
      </c>
      <c r="AJ97" s="195">
        <f>VLOOKUP(P97,Matrix!AA:AC,3,0)</f>
        <v/>
      </c>
      <c r="AK97" s="195">
        <f>SUMIFS(Def!C:C,Def!F:F,AJ97)</f>
        <v/>
      </c>
      <c r="AL97" s="156">
        <f>IFERROR(SUMIFS(Def!B:B,Def!F:F,AJ97)/AK97,"")</f>
        <v/>
      </c>
    </row>
    <row r="98" ht="14.4" customHeight="1" s="152">
      <c r="A98" s="157">
        <f>IF(F98="Yes",IFERROR(IF(AA98&gt;1,AA98/100,100/-AA98),""),-1)</f>
        <v/>
      </c>
      <c r="B98" s="157">
        <f>B97+1</f>
        <v/>
      </c>
      <c r="C98" s="157">
        <f>IF(Y98&gt;Z98,1,0)</f>
        <v/>
      </c>
      <c r="D98" s="157">
        <f>IF(AND(C98=1,F98="Yes"),"Yes",IF(AND(C98=0,F98="No"),"Yes","No"))</f>
        <v/>
      </c>
      <c r="E98" s="192">
        <f>IF((AC98+AB98)=AD98,"Push",IF((AC98+AB98)&gt;AD98,"Yes","No"))</f>
        <v/>
      </c>
      <c r="F98" s="192">
        <f>IF(AC98&gt;AD98,"Yes","No")</f>
        <v/>
      </c>
      <c r="G98" s="192">
        <f>IF((Y98+AB98)&gt;Z98,"Yes",IF((Y98+AB98)=Z98,"Push","No"))</f>
        <v/>
      </c>
      <c r="H98" s="157">
        <f>IF(O98="Home",VLOOKUP(N98,Matrix!A:S,19,0),1)</f>
        <v/>
      </c>
      <c r="I98" s="157">
        <f>IF(O98="Away",VLOOKUP(N98,Matrix!A:Z,20,0),1)</f>
        <v/>
      </c>
      <c r="J98" s="157">
        <f>IF(O98="Away",VLOOKUP(P98,Matrix!A:S,19,0),1)</f>
        <v/>
      </c>
      <c r="K98" s="157">
        <f>IF(O98="Home",VLOOKUP(P98,Matrix!A:Z,20,0),1)</f>
        <v/>
      </c>
      <c r="L98" s="156" t="n">
        <v>-0.629415868375433</v>
      </c>
      <c r="M98" s="179">
        <f>Schedule!B98</f>
        <v/>
      </c>
      <c r="N98" s="156">
        <f>Schedule!E98</f>
        <v/>
      </c>
      <c r="O98" s="156" t="inlineStr">
        <is>
          <t>Away</t>
        </is>
      </c>
      <c r="P98" s="157">
        <f>Schedule!H98</f>
        <v/>
      </c>
      <c r="Q98" s="157">
        <f>Schedule!C98</f>
        <v/>
      </c>
      <c r="R98" s="180">
        <f>Schedule!D98</f>
        <v/>
      </c>
      <c r="S98" s="181">
        <f>Schedule!J98</f>
        <v/>
      </c>
      <c r="T98" s="193">
        <f>Y98-Z98</f>
        <v/>
      </c>
      <c r="U98" s="182">
        <f>T98/Picks!$K$2</f>
        <v/>
      </c>
      <c r="V98" s="193">
        <f>INDEX(Standings!$T$3:$T$34, MATCH(N98, Standings!$A$3:$A$34, 0)) - INDEX(Standings!$T$3:$T$34, MATCH(P98, Standings!$A$3:$A$34, 0))</f>
        <v/>
      </c>
      <c r="W98" s="157">
        <f>INDEX(Standings!$L$3:$L$34, MATCH(N98, Standings!$A$3:$A$34, 0)) - INDEX(Standings!$L$3:$L$34, MATCH(P98, Standings!$A$3:$A$34, 0))</f>
        <v/>
      </c>
      <c r="X98" s="157">
        <f>INDEX(Standings!$M$3:$M$34, MATCH(N98, Standings!$A$3:$A$34, 0)) - INDEX(Standings!$M$3:$M$34, MATCH(P98, Standings!$A$3:$A$34, 0))</f>
        <v/>
      </c>
      <c r="Y98" s="194">
        <f t="array" ref="Y98:Y98">IFERROR(AE98+(AL98-_DFactor)*AE98,"")</f>
        <v/>
      </c>
      <c r="Z98" s="157">
        <f>IFERROR(AF98+(AI98-_DFactor)*AF98,"")</f>
        <v/>
      </c>
      <c r="AC98" s="194">
        <f>VLOOKUP(M98&amp;N98,Schedule!A:F,6,0)</f>
        <v/>
      </c>
      <c r="AD98" s="194">
        <f>VLOOKUP(M98&amp;P98,Schedule!A:F,6,0)</f>
        <v/>
      </c>
      <c r="AE98" s="156">
        <f>VLOOKUP(N98,ProjPVT!B:I,8,0)*_Mag/VLOOKUP(P98,Standings!A:O,15,0)*H98*K98</f>
        <v/>
      </c>
      <c r="AF98" s="156">
        <f>VLOOKUP(P98,ProjPVT!B:I,8,0)*_Mag/VLOOKUP(N98,Standings!A:O,15,0)*J98*I98</f>
        <v/>
      </c>
      <c r="AG98" s="195">
        <f>VLOOKUP(N98,Matrix!AA:AC,3,0)</f>
        <v/>
      </c>
      <c r="AH98" s="195">
        <f>SUMIFS(Def!C:C,Def!F:F,AG98)</f>
        <v/>
      </c>
      <c r="AI98" s="156">
        <f>IFERROR(SUMIFS(Def!B:B,Def!F:F,AG98)/AH98,"")</f>
        <v/>
      </c>
      <c r="AJ98" s="195">
        <f>VLOOKUP(P98,Matrix!AA:AC,3,0)</f>
        <v/>
      </c>
      <c r="AK98" s="195">
        <f>SUMIFS(Def!C:C,Def!F:F,AJ98)</f>
        <v/>
      </c>
      <c r="AL98" s="156">
        <f>IFERROR(SUMIFS(Def!B:B,Def!F:F,AJ98)/AK98,"")</f>
        <v/>
      </c>
    </row>
    <row r="99" ht="14.4" customHeight="1" s="152">
      <c r="A99" s="157">
        <f>IF(F99="Yes",IFERROR(IF(AA99&gt;1,AA99/100,100/-AA99),""),-1)</f>
        <v/>
      </c>
      <c r="B99" s="157">
        <f>B98+1</f>
        <v/>
      </c>
      <c r="C99" s="157">
        <f>IF(Y99&gt;Z99,1,0)</f>
        <v/>
      </c>
      <c r="D99" s="157">
        <f>IF(AND(C99=1,F99="Yes"),"Yes",IF(AND(C99=0,F99="No"),"Yes","No"))</f>
        <v/>
      </c>
      <c r="E99" s="192">
        <f>IF((AC99+AB99)=AD99,"Push",IF((AC99+AB99)&gt;AD99,"Yes","No"))</f>
        <v/>
      </c>
      <c r="F99" s="192">
        <f>IF(AC99&gt;AD99,"Yes","No")</f>
        <v/>
      </c>
      <c r="G99" s="192">
        <f>IF((Y99+AB99)&gt;Z99,"Yes",IF((Y99+AB99)=Z99,"Push","No"))</f>
        <v/>
      </c>
      <c r="H99" s="157">
        <f>IF(O99="Home",VLOOKUP(N99,Matrix!A:S,19,0),1)</f>
        <v/>
      </c>
      <c r="I99" s="157">
        <f>IF(O99="Away",VLOOKUP(N99,Matrix!A:Z,20,0),1)</f>
        <v/>
      </c>
      <c r="J99" s="157">
        <f>IF(O99="Away",VLOOKUP(P99,Matrix!A:S,19,0),1)</f>
        <v/>
      </c>
      <c r="K99" s="157">
        <f>IF(O99="Home",VLOOKUP(P99,Matrix!A:Z,20,0),1)</f>
        <v/>
      </c>
      <c r="L99" s="156" t="n">
        <v>-0.524413990817754</v>
      </c>
      <c r="M99" s="179">
        <f>Schedule!B99</f>
        <v/>
      </c>
      <c r="N99" s="156">
        <f>Schedule!E99</f>
        <v/>
      </c>
      <c r="O99" s="156" t="inlineStr">
        <is>
          <t>Away</t>
        </is>
      </c>
      <c r="P99" s="157">
        <f>Schedule!H99</f>
        <v/>
      </c>
      <c r="Q99" s="157">
        <f>Schedule!C99</f>
        <v/>
      </c>
      <c r="R99" s="180">
        <f>Schedule!D99</f>
        <v/>
      </c>
      <c r="S99" s="181">
        <f>Schedule!J99</f>
        <v/>
      </c>
      <c r="T99" s="193">
        <f>Y99-Z99</f>
        <v/>
      </c>
      <c r="U99" s="182">
        <f>T99/Picks!$K$2</f>
        <v/>
      </c>
      <c r="V99" s="193">
        <f>INDEX(Standings!$T$3:$T$34, MATCH(N99, Standings!$A$3:$A$34, 0)) - INDEX(Standings!$T$3:$T$34, MATCH(P99, Standings!$A$3:$A$34, 0))</f>
        <v/>
      </c>
      <c r="W99" s="157">
        <f>INDEX(Standings!$L$3:$L$34, MATCH(N99, Standings!$A$3:$A$34, 0)) - INDEX(Standings!$L$3:$L$34, MATCH(P99, Standings!$A$3:$A$34, 0))</f>
        <v/>
      </c>
      <c r="X99" s="157">
        <f>INDEX(Standings!$M$3:$M$34, MATCH(N99, Standings!$A$3:$A$34, 0)) - INDEX(Standings!$M$3:$M$34, MATCH(P99, Standings!$A$3:$A$34, 0))</f>
        <v/>
      </c>
      <c r="Y99" s="194">
        <f t="array" ref="Y99:Y99">IFERROR(AE99+(AL99-_DFactor)*AE99,"")</f>
        <v/>
      </c>
      <c r="Z99" s="157">
        <f>IFERROR(AF99+(AI99-_DFactor)*AF99,"")</f>
        <v/>
      </c>
      <c r="AC99" s="194">
        <f>VLOOKUP(M99&amp;N99,Schedule!A:F,6,0)</f>
        <v/>
      </c>
      <c r="AD99" s="194">
        <f>VLOOKUP(M99&amp;P99,Schedule!A:F,6,0)</f>
        <v/>
      </c>
      <c r="AE99" s="156">
        <f>VLOOKUP(N99,ProjPVT!B:I,8,0)*_Mag/VLOOKUP(P99,Standings!A:O,15,0)*H99*K99</f>
        <v/>
      </c>
      <c r="AF99" s="156">
        <f>VLOOKUP(P99,ProjPVT!B:I,8,0)*_Mag/VLOOKUP(N99,Standings!A:O,15,0)*J99*I99</f>
        <v/>
      </c>
      <c r="AG99" s="195">
        <f>VLOOKUP(N99,Matrix!AA:AC,3,0)</f>
        <v/>
      </c>
      <c r="AH99" s="195">
        <f>SUMIFS(Def!C:C,Def!F:F,AG99)</f>
        <v/>
      </c>
      <c r="AI99" s="156">
        <f>IFERROR(SUMIFS(Def!B:B,Def!F:F,AG99)/AH99,"")</f>
        <v/>
      </c>
      <c r="AJ99" s="195">
        <f>VLOOKUP(P99,Matrix!AA:AC,3,0)</f>
        <v/>
      </c>
      <c r="AK99" s="195">
        <f>SUMIFS(Def!C:C,Def!F:F,AJ99)</f>
        <v/>
      </c>
      <c r="AL99" s="156">
        <f>IFERROR(SUMIFS(Def!B:B,Def!F:F,AJ99)/AK99,"")</f>
        <v/>
      </c>
    </row>
    <row r="100" ht="14.4" customHeight="1" s="152">
      <c r="A100" s="157">
        <f>IF(F100="Yes",IFERROR(IF(AA100&gt;1,AA100/100,100/-AA100),""),-1)</f>
        <v/>
      </c>
      <c r="B100" s="157">
        <f>B99+1</f>
        <v/>
      </c>
      <c r="C100" s="157">
        <f>IF(Y100&gt;Z100,1,0)</f>
        <v/>
      </c>
      <c r="D100" s="157">
        <f>IF(AND(C100=1,F100="Yes"),"Yes",IF(AND(C100=0,F100="No"),"Yes","No"))</f>
        <v/>
      </c>
      <c r="E100" s="192">
        <f>IF((AC100+AB100)=AD100,"Push",IF((AC100+AB100)&gt;AD100,"Yes","No"))</f>
        <v/>
      </c>
      <c r="F100" s="192">
        <f>IF(AC100&gt;AD100,"Yes","No")</f>
        <v/>
      </c>
      <c r="G100" s="192">
        <f>IF((Y100+AB100)&gt;Z100,"Yes",IF((Y100+AB100)=Z100,"Push","No"))</f>
        <v/>
      </c>
      <c r="H100" s="157">
        <f>IF(O100="Home",VLOOKUP(N100,Matrix!A:S,19,0),1)</f>
        <v/>
      </c>
      <c r="I100" s="157">
        <f>IF(O100="Away",VLOOKUP(N100,Matrix!A:Z,20,0),1)</f>
        <v/>
      </c>
      <c r="J100" s="157">
        <f>IF(O100="Away",VLOOKUP(P100,Matrix!A:S,19,0),1)</f>
        <v/>
      </c>
      <c r="K100" s="157">
        <f>IF(O100="Home",VLOOKUP(P100,Matrix!A:Z,20,0),1)</f>
        <v/>
      </c>
      <c r="L100" s="156" t="n">
        <v>-0.450453298096736</v>
      </c>
      <c r="M100" s="179">
        <f>Schedule!B100</f>
        <v/>
      </c>
      <c r="N100" s="156">
        <f>Schedule!E100</f>
        <v/>
      </c>
      <c r="O100" s="156" t="inlineStr">
        <is>
          <t>Home</t>
        </is>
      </c>
      <c r="P100" s="157">
        <f>Schedule!H100</f>
        <v/>
      </c>
      <c r="Q100" s="157">
        <f>Schedule!C100</f>
        <v/>
      </c>
      <c r="R100" s="180">
        <f>Schedule!D100</f>
        <v/>
      </c>
      <c r="S100" s="181">
        <f>Schedule!J100</f>
        <v/>
      </c>
      <c r="T100" s="193">
        <f>Y100-Z100</f>
        <v/>
      </c>
      <c r="U100" s="182">
        <f>T100/Picks!$K$2</f>
        <v/>
      </c>
      <c r="V100" s="193">
        <f>INDEX(Standings!$T$3:$T$34, MATCH(N100, Standings!$A$3:$A$34, 0)) - INDEX(Standings!$T$3:$T$34, MATCH(P100, Standings!$A$3:$A$34, 0))</f>
        <v/>
      </c>
      <c r="W100" s="157">
        <f>INDEX(Standings!$L$3:$L$34, MATCH(N100, Standings!$A$3:$A$34, 0)) - INDEX(Standings!$L$3:$L$34, MATCH(P100, Standings!$A$3:$A$34, 0))</f>
        <v/>
      </c>
      <c r="X100" s="157">
        <f>INDEX(Standings!$M$3:$M$34, MATCH(N100, Standings!$A$3:$A$34, 0)) - INDEX(Standings!$M$3:$M$34, MATCH(P100, Standings!$A$3:$A$34, 0))</f>
        <v/>
      </c>
      <c r="Y100" s="194">
        <f t="array" ref="Y100:Y100">IFERROR(AE100+(AL100-_DFactor)*AE100,"")</f>
        <v/>
      </c>
      <c r="Z100" s="157">
        <f>IFERROR(AF100+(AI100-_DFactor)*AF100,"")</f>
        <v/>
      </c>
      <c r="AC100" s="194">
        <f>VLOOKUP(M100&amp;N100,Schedule!A:F,6,0)</f>
        <v/>
      </c>
      <c r="AD100" s="194">
        <f>VLOOKUP(M100&amp;P100,Schedule!A:F,6,0)</f>
        <v/>
      </c>
      <c r="AE100" s="156">
        <f>VLOOKUP(N100,ProjPVT!B:I,8,0)*_Mag/VLOOKUP(P100,Standings!A:O,15,0)*H100*K100</f>
        <v/>
      </c>
      <c r="AF100" s="156">
        <f>VLOOKUP(P100,ProjPVT!B:I,8,0)*_Mag/VLOOKUP(N100,Standings!A:O,15,0)*J100*I100</f>
        <v/>
      </c>
      <c r="AG100" s="195">
        <f>VLOOKUP(N100,Matrix!AA:AC,3,0)</f>
        <v/>
      </c>
      <c r="AH100" s="195">
        <f>SUMIFS(Def!C:C,Def!F:F,AG100)</f>
        <v/>
      </c>
      <c r="AI100" s="156">
        <f>IFERROR(SUMIFS(Def!B:B,Def!F:F,AG100)/AH100,"")</f>
        <v/>
      </c>
      <c r="AJ100" s="195">
        <f>VLOOKUP(P100,Matrix!AA:AC,3,0)</f>
        <v/>
      </c>
      <c r="AK100" s="195">
        <f>SUMIFS(Def!C:C,Def!F:F,AJ100)</f>
        <v/>
      </c>
      <c r="AL100" s="156">
        <f>IFERROR(SUMIFS(Def!B:B,Def!F:F,AJ100)/AK100,"")</f>
        <v/>
      </c>
    </row>
    <row r="101" ht="14.4" customHeight="1" s="152">
      <c r="A101" s="157">
        <f>IF(F101="Yes",IFERROR(IF(AA101&gt;1,AA101/100,100/-AA101),""),-1)</f>
        <v/>
      </c>
      <c r="B101" s="157">
        <f>B100+1</f>
        <v/>
      </c>
      <c r="C101" s="157">
        <f>IF(Y101&gt;Z101,1,0)</f>
        <v/>
      </c>
      <c r="D101" s="157">
        <f>IF(AND(C101=1,F101="Yes"),"Yes",IF(AND(C101=0,F101="No"),"Yes","No"))</f>
        <v/>
      </c>
      <c r="E101" s="192">
        <f>IF((AC101+AB101)=AD101,"Push",IF((AC101+AB101)&gt;AD101,"Yes","No"))</f>
        <v/>
      </c>
      <c r="F101" s="192">
        <f>IF(AC101&gt;AD101,"Yes","No")</f>
        <v/>
      </c>
      <c r="G101" s="192">
        <f>IF((Y101+AB101)&gt;Z101,"Yes",IF((Y101+AB101)=Z101,"Push","No"))</f>
        <v/>
      </c>
      <c r="H101" s="157">
        <f>IF(O101="Home",VLOOKUP(N101,Matrix!A:S,19,0),1)</f>
        <v/>
      </c>
      <c r="I101" s="157">
        <f>IF(O101="Away",VLOOKUP(N101,Matrix!A:Z,20,0),1)</f>
        <v/>
      </c>
      <c r="J101" s="157">
        <f>IF(O101="Away",VLOOKUP(P101,Matrix!A:S,19,0),1)</f>
        <v/>
      </c>
      <c r="K101" s="157">
        <f>IF(O101="Home",VLOOKUP(P101,Matrix!A:Z,20,0),1)</f>
        <v/>
      </c>
      <c r="L101" s="156" t="n">
        <v>-0.317980333252378</v>
      </c>
      <c r="M101" s="179">
        <f>Schedule!B101</f>
        <v/>
      </c>
      <c r="N101" s="156">
        <f>Schedule!E101</f>
        <v/>
      </c>
      <c r="O101" s="156" t="inlineStr">
        <is>
          <t>Home</t>
        </is>
      </c>
      <c r="P101" s="157">
        <f>Schedule!H101</f>
        <v/>
      </c>
      <c r="Q101" s="157">
        <f>Schedule!C101</f>
        <v/>
      </c>
      <c r="R101" s="180">
        <f>Schedule!D101</f>
        <v/>
      </c>
      <c r="S101" s="181">
        <f>Schedule!J101</f>
        <v/>
      </c>
      <c r="T101" s="193">
        <f>Y101-Z101</f>
        <v/>
      </c>
      <c r="U101" s="182">
        <f>T101/Picks!$K$2</f>
        <v/>
      </c>
      <c r="V101" s="193">
        <f>INDEX(Standings!$T$3:$T$34, MATCH(N101, Standings!$A$3:$A$34, 0)) - INDEX(Standings!$T$3:$T$34, MATCH(P101, Standings!$A$3:$A$34, 0))</f>
        <v/>
      </c>
      <c r="W101" s="157">
        <f>INDEX(Standings!$L$3:$L$34, MATCH(N101, Standings!$A$3:$A$34, 0)) - INDEX(Standings!$L$3:$L$34, MATCH(P101, Standings!$A$3:$A$34, 0))</f>
        <v/>
      </c>
      <c r="X101" s="157">
        <f>INDEX(Standings!$M$3:$M$34, MATCH(N101, Standings!$A$3:$A$34, 0)) - INDEX(Standings!$M$3:$M$34, MATCH(P101, Standings!$A$3:$A$34, 0))</f>
        <v/>
      </c>
      <c r="Y101" s="194">
        <f t="array" ref="Y101:Y101">IFERROR(AE101+(AL101-_DFactor)*AE101,"")</f>
        <v/>
      </c>
      <c r="Z101" s="157">
        <f>IFERROR(AF101+(AI101-_DFactor)*AF101,"")</f>
        <v/>
      </c>
      <c r="AC101" s="194">
        <f>VLOOKUP(M101&amp;N101,Schedule!A:F,6,0)</f>
        <v/>
      </c>
      <c r="AD101" s="194">
        <f>VLOOKUP(M101&amp;P101,Schedule!A:F,6,0)</f>
        <v/>
      </c>
      <c r="AE101" s="156">
        <f>VLOOKUP(N101,ProjPVT!B:I,8,0)*_Mag/VLOOKUP(P101,Standings!A:O,15,0)*H101*K101</f>
        <v/>
      </c>
      <c r="AF101" s="156">
        <f>VLOOKUP(P101,ProjPVT!B:I,8,0)*_Mag/VLOOKUP(N101,Standings!A:O,15,0)*J101*I101</f>
        <v/>
      </c>
      <c r="AG101" s="195">
        <f>VLOOKUP(N101,Matrix!AA:AC,3,0)</f>
        <v/>
      </c>
      <c r="AH101" s="195">
        <f>SUMIFS(Def!C:C,Def!F:F,AG101)</f>
        <v/>
      </c>
      <c r="AI101" s="156">
        <f>IFERROR(SUMIFS(Def!B:B,Def!F:F,AG101)/AH101,"")</f>
        <v/>
      </c>
      <c r="AJ101" s="195">
        <f>VLOOKUP(P101,Matrix!AA:AC,3,0)</f>
        <v/>
      </c>
      <c r="AK101" s="195">
        <f>SUMIFS(Def!C:C,Def!F:F,AJ101)</f>
        <v/>
      </c>
      <c r="AL101" s="156">
        <f>IFERROR(SUMIFS(Def!B:B,Def!F:F,AJ101)/AK101,"")</f>
        <v/>
      </c>
    </row>
    <row r="102" ht="14.4" customHeight="1" s="152">
      <c r="A102" s="157">
        <f>IF(F102="Yes",IFERROR(IF(AA102&gt;1,AA102/100,100/-AA102),""),-1)</f>
        <v/>
      </c>
      <c r="B102" s="157">
        <f>B101+1</f>
        <v/>
      </c>
      <c r="C102" s="157">
        <f>IF(Y102&gt;Z102,1,0)</f>
        <v/>
      </c>
      <c r="D102" s="157">
        <f>IF(AND(C102=1,F102="Yes"),"Yes",IF(AND(C102=0,F102="No"),"Yes","No"))</f>
        <v/>
      </c>
      <c r="E102" s="192">
        <f>IF((AC102+AB102)=AD102,"Push",IF((AC102+AB102)&gt;AD102,"Yes","No"))</f>
        <v/>
      </c>
      <c r="F102" s="192">
        <f>IF(AC102&gt;AD102,"Yes","No")</f>
        <v/>
      </c>
      <c r="G102" s="192">
        <f>IF((Y102+AB102)&gt;Z102,"Yes",IF((Y102+AB102)=Z102,"Push","No"))</f>
        <v/>
      </c>
      <c r="H102" s="157">
        <f>IF(O102="Home",VLOOKUP(N102,Matrix!A:S,19,0),1)</f>
        <v/>
      </c>
      <c r="I102" s="157">
        <f>IF(O102="Away",VLOOKUP(N102,Matrix!A:Z,20,0),1)</f>
        <v/>
      </c>
      <c r="J102" s="157">
        <f>IF(O102="Away",VLOOKUP(P102,Matrix!A:S,19,0),1)</f>
        <v/>
      </c>
      <c r="K102" s="157">
        <f>IF(O102="Home",VLOOKUP(P102,Matrix!A:Z,20,0),1)</f>
        <v/>
      </c>
      <c r="L102" s="156" t="n">
        <v>-0.304067973122506</v>
      </c>
      <c r="M102" s="179">
        <f>Schedule!B102</f>
        <v/>
      </c>
      <c r="N102" s="156">
        <f>Schedule!E102</f>
        <v/>
      </c>
      <c r="O102" s="156" t="inlineStr">
        <is>
          <t>Away</t>
        </is>
      </c>
      <c r="P102" s="157">
        <f>Schedule!H102</f>
        <v/>
      </c>
      <c r="Q102" s="157">
        <f>Schedule!C102</f>
        <v/>
      </c>
      <c r="R102" s="180">
        <f>Schedule!D102</f>
        <v/>
      </c>
      <c r="S102" s="181">
        <f>Schedule!J102</f>
        <v/>
      </c>
      <c r="T102" s="193">
        <f>Y102-Z102</f>
        <v/>
      </c>
      <c r="U102" s="182">
        <f>T102/Picks!$K$2</f>
        <v/>
      </c>
      <c r="V102" s="193">
        <f>INDEX(Standings!$T$3:$T$34, MATCH(N102, Standings!$A$3:$A$34, 0)) - INDEX(Standings!$T$3:$T$34, MATCH(P102, Standings!$A$3:$A$34, 0))</f>
        <v/>
      </c>
      <c r="W102" s="157">
        <f>INDEX(Standings!$L$3:$L$34, MATCH(N102, Standings!$A$3:$A$34, 0)) - INDEX(Standings!$L$3:$L$34, MATCH(P102, Standings!$A$3:$A$34, 0))</f>
        <v/>
      </c>
      <c r="X102" s="157">
        <f>INDEX(Standings!$M$3:$M$34, MATCH(N102, Standings!$A$3:$A$34, 0)) - INDEX(Standings!$M$3:$M$34, MATCH(P102, Standings!$A$3:$A$34, 0))</f>
        <v/>
      </c>
      <c r="Y102" s="194">
        <f t="array" ref="Y102:Y102">IFERROR(AE102+(AL102-_DFactor)*AE102,"")</f>
        <v/>
      </c>
      <c r="Z102" s="157">
        <f>IFERROR(AF102+(AI102-_DFactor)*AF102,"")</f>
        <v/>
      </c>
      <c r="AC102" s="194">
        <f>VLOOKUP(M102&amp;N102,Schedule!A:F,6,0)</f>
        <v/>
      </c>
      <c r="AD102" s="194">
        <f>VLOOKUP(M102&amp;P102,Schedule!A:F,6,0)</f>
        <v/>
      </c>
      <c r="AE102" s="156">
        <f>VLOOKUP(N102,ProjPVT!B:I,8,0)*_Mag/VLOOKUP(P102,Standings!A:O,15,0)*H102*K102</f>
        <v/>
      </c>
      <c r="AF102" s="156">
        <f>VLOOKUP(P102,ProjPVT!B:I,8,0)*_Mag/VLOOKUP(N102,Standings!A:O,15,0)*J102*I102</f>
        <v/>
      </c>
      <c r="AG102" s="195">
        <f>VLOOKUP(N102,Matrix!AA:AC,3,0)</f>
        <v/>
      </c>
      <c r="AH102" s="195">
        <f>SUMIFS(Def!C:C,Def!F:F,AG102)</f>
        <v/>
      </c>
      <c r="AI102" s="156">
        <f>IFERROR(SUMIFS(Def!B:B,Def!F:F,AG102)/AH102,"")</f>
        <v/>
      </c>
      <c r="AJ102" s="195">
        <f>VLOOKUP(P102,Matrix!AA:AC,3,0)</f>
        <v/>
      </c>
      <c r="AK102" s="195">
        <f>SUMIFS(Def!C:C,Def!F:F,AJ102)</f>
        <v/>
      </c>
      <c r="AL102" s="156">
        <f>IFERROR(SUMIFS(Def!B:B,Def!F:F,AJ102)/AK102,"")</f>
        <v/>
      </c>
    </row>
    <row r="103" ht="14.4" customHeight="1" s="152">
      <c r="A103" s="157">
        <f>IF(F103="Yes",IFERROR(IF(AA103&gt;1,AA103/100,100/-AA103),""),-1)</f>
        <v/>
      </c>
      <c r="B103" s="157">
        <f>B102+1</f>
        <v/>
      </c>
      <c r="C103" s="157">
        <f>IF(Y103&gt;Z103,1,0)</f>
        <v/>
      </c>
      <c r="D103" s="157">
        <f>IF(AND(C103=1,F103="Yes"),"Yes",IF(AND(C103=0,F103="No"),"Yes","No"))</f>
        <v/>
      </c>
      <c r="E103" s="192">
        <f>IF((AC103+AB103)=AD103,"Push",IF((AC103+AB103)&gt;AD103,"Yes","No"))</f>
        <v/>
      </c>
      <c r="F103" s="192">
        <f>IF(AC103&gt;AD103,"Yes","No")</f>
        <v/>
      </c>
      <c r="G103" s="192">
        <f>IF((Y103+AB103)&gt;Z103,"Yes",IF((Y103+AB103)=Z103,"Push","No"))</f>
        <v/>
      </c>
      <c r="H103" s="157">
        <f>IF(O103="Home",VLOOKUP(N103,Matrix!A:S,19,0),1)</f>
        <v/>
      </c>
      <c r="I103" s="157">
        <f>IF(O103="Away",VLOOKUP(N103,Matrix!A:Z,20,0),1)</f>
        <v/>
      </c>
      <c r="J103" s="157">
        <f>IF(O103="Away",VLOOKUP(P103,Matrix!A:S,19,0),1)</f>
        <v/>
      </c>
      <c r="K103" s="157">
        <f>IF(O103="Home",VLOOKUP(P103,Matrix!A:Z,20,0),1)</f>
        <v/>
      </c>
      <c r="L103" s="156" t="n">
        <v>-0.252486388844689</v>
      </c>
      <c r="M103" s="179">
        <f>Schedule!B103</f>
        <v/>
      </c>
      <c r="N103" s="156">
        <f>Schedule!E103</f>
        <v/>
      </c>
      <c r="O103" s="156" t="inlineStr">
        <is>
          <t>Home</t>
        </is>
      </c>
      <c r="P103" s="157">
        <f>Schedule!H103</f>
        <v/>
      </c>
      <c r="Q103" s="157">
        <f>Schedule!C103</f>
        <v/>
      </c>
      <c r="R103" s="180">
        <f>Schedule!D103</f>
        <v/>
      </c>
      <c r="S103" s="181">
        <f>Schedule!J103</f>
        <v/>
      </c>
      <c r="T103" s="193">
        <f>Y103-Z103</f>
        <v/>
      </c>
      <c r="U103" s="182">
        <f>T103/Picks!$K$2</f>
        <v/>
      </c>
      <c r="V103" s="193">
        <f>INDEX(Standings!$T$3:$T$34, MATCH(N103, Standings!$A$3:$A$34, 0)) - INDEX(Standings!$T$3:$T$34, MATCH(P103, Standings!$A$3:$A$34, 0))</f>
        <v/>
      </c>
      <c r="W103" s="157">
        <f>INDEX(Standings!$L$3:$L$34, MATCH(N103, Standings!$A$3:$A$34, 0)) - INDEX(Standings!$L$3:$L$34, MATCH(P103, Standings!$A$3:$A$34, 0))</f>
        <v/>
      </c>
      <c r="X103" s="157">
        <f>INDEX(Standings!$M$3:$M$34, MATCH(N103, Standings!$A$3:$A$34, 0)) - INDEX(Standings!$M$3:$M$34, MATCH(P103, Standings!$A$3:$A$34, 0))</f>
        <v/>
      </c>
      <c r="Y103" s="194">
        <f t="array" ref="Y103:Y103">IFERROR(AE103+(AL103-_DFactor)*AE103,"")</f>
        <v/>
      </c>
      <c r="Z103" s="157">
        <f>IFERROR(AF103+(AI103-_DFactor)*AF103,"")</f>
        <v/>
      </c>
      <c r="AC103" s="194">
        <f>VLOOKUP(M103&amp;N103,Schedule!A:F,6,0)</f>
        <v/>
      </c>
      <c r="AD103" s="194">
        <f>VLOOKUP(M103&amp;P103,Schedule!A:F,6,0)</f>
        <v/>
      </c>
      <c r="AE103" s="156">
        <f>VLOOKUP(N103,ProjPVT!B:I,8,0)*_Mag/VLOOKUP(P103,Standings!A:O,15,0)*H103*K103</f>
        <v/>
      </c>
      <c r="AF103" s="156">
        <f>VLOOKUP(P103,ProjPVT!B:I,8,0)*_Mag/VLOOKUP(N103,Standings!A:O,15,0)*J103*I103</f>
        <v/>
      </c>
      <c r="AG103" s="195">
        <f>VLOOKUP(N103,Matrix!AA:AC,3,0)</f>
        <v/>
      </c>
      <c r="AH103" s="195">
        <f>SUMIFS(Def!C:C,Def!F:F,AG103)</f>
        <v/>
      </c>
      <c r="AI103" s="156">
        <f>IFERROR(SUMIFS(Def!B:B,Def!F:F,AG103)/AH103,"")</f>
        <v/>
      </c>
      <c r="AJ103" s="195">
        <f>VLOOKUP(P103,Matrix!AA:AC,3,0)</f>
        <v/>
      </c>
      <c r="AK103" s="195">
        <f>SUMIFS(Def!C:C,Def!F:F,AJ103)</f>
        <v/>
      </c>
      <c r="AL103" s="156">
        <f>IFERROR(SUMIFS(Def!B:B,Def!F:F,AJ103)/AK103,"")</f>
        <v/>
      </c>
    </row>
    <row r="104" ht="14.4" customHeight="1" s="152">
      <c r="A104" s="157">
        <f>IF(F104="Yes",IFERROR(IF(AA104&gt;1,AA104/100,100/-AA104),""),-1)</f>
        <v/>
      </c>
      <c r="B104" s="157">
        <f>B103+1</f>
        <v/>
      </c>
      <c r="C104" s="157">
        <f>IF(Y104&gt;Z104,1,0)</f>
        <v/>
      </c>
      <c r="D104" s="157">
        <f>IF(AND(C104=1,F104="Yes"),"Yes",IF(AND(C104=0,F104="No"),"Yes","No"))</f>
        <v/>
      </c>
      <c r="E104" s="192">
        <f>IF((AC104+AB104)=AD104,"Push",IF((AC104+AB104)&gt;AD104,"Yes","No"))</f>
        <v/>
      </c>
      <c r="F104" s="192">
        <f>IF(AC104&gt;AD104,"Yes","No")</f>
        <v/>
      </c>
      <c r="G104" s="192">
        <f>IF((Y104+AB104)&gt;Z104,"Yes",IF((Y104+AB104)=Z104,"Push","No"))</f>
        <v/>
      </c>
      <c r="H104" s="157">
        <f>IF(O104="Home",VLOOKUP(N104,Matrix!A:S,19,0),1)</f>
        <v/>
      </c>
      <c r="I104" s="157">
        <f>IF(O104="Away",VLOOKUP(N104,Matrix!A:Z,20,0),1)</f>
        <v/>
      </c>
      <c r="J104" s="157">
        <f>IF(O104="Away",VLOOKUP(P104,Matrix!A:S,19,0),1)</f>
        <v/>
      </c>
      <c r="K104" s="157">
        <f>IF(O104="Home",VLOOKUP(P104,Matrix!A:Z,20,0),1)</f>
        <v/>
      </c>
      <c r="L104" s="156" t="n">
        <v>-0.226754531681078</v>
      </c>
      <c r="M104" s="179">
        <f>Schedule!B104</f>
        <v/>
      </c>
      <c r="N104" s="156">
        <f>Schedule!E104</f>
        <v/>
      </c>
      <c r="O104" s="156" t="inlineStr">
        <is>
          <t>Away</t>
        </is>
      </c>
      <c r="P104" s="157">
        <f>Schedule!H104</f>
        <v/>
      </c>
      <c r="Q104" s="157">
        <f>Schedule!C104</f>
        <v/>
      </c>
      <c r="R104" s="180">
        <f>Schedule!D104</f>
        <v/>
      </c>
      <c r="S104" s="181">
        <f>Schedule!J104</f>
        <v/>
      </c>
      <c r="T104" s="193">
        <f>Y104-Z104</f>
        <v/>
      </c>
      <c r="U104" s="182">
        <f>T104/Picks!$K$2</f>
        <v/>
      </c>
      <c r="V104" s="193">
        <f>INDEX(Standings!$T$3:$T$34, MATCH(N104, Standings!$A$3:$A$34, 0)) - INDEX(Standings!$T$3:$T$34, MATCH(P104, Standings!$A$3:$A$34, 0))</f>
        <v/>
      </c>
      <c r="W104" s="157">
        <f>INDEX(Standings!$L$3:$L$34, MATCH(N104, Standings!$A$3:$A$34, 0)) - INDEX(Standings!$L$3:$L$34, MATCH(P104, Standings!$A$3:$A$34, 0))</f>
        <v/>
      </c>
      <c r="X104" s="157">
        <f>INDEX(Standings!$M$3:$M$34, MATCH(N104, Standings!$A$3:$A$34, 0)) - INDEX(Standings!$M$3:$M$34, MATCH(P104, Standings!$A$3:$A$34, 0))</f>
        <v/>
      </c>
      <c r="Y104" s="194">
        <f t="array" ref="Y104:Y104">IFERROR(AE104+(AL104-_DFactor)*AE104,"")</f>
        <v/>
      </c>
      <c r="Z104" s="157">
        <f>IFERROR(AF104+(AI104-_DFactor)*AF104,"")</f>
        <v/>
      </c>
      <c r="AC104" s="194">
        <f>VLOOKUP(M104&amp;N104,Schedule!A:F,6,0)</f>
        <v/>
      </c>
      <c r="AD104" s="194">
        <f>VLOOKUP(M104&amp;P104,Schedule!A:F,6,0)</f>
        <v/>
      </c>
      <c r="AE104" s="156">
        <f>VLOOKUP(N104,ProjPVT!B:I,8,0)*_Mag/VLOOKUP(P104,Standings!A:O,15,0)*H104*K104</f>
        <v/>
      </c>
      <c r="AF104" s="156">
        <f>VLOOKUP(P104,ProjPVT!B:I,8,0)*_Mag/VLOOKUP(N104,Standings!A:O,15,0)*J104*I104</f>
        <v/>
      </c>
      <c r="AG104" s="195">
        <f>VLOOKUP(N104,Matrix!AA:AC,3,0)</f>
        <v/>
      </c>
      <c r="AH104" s="195">
        <f>SUMIFS(Def!C:C,Def!F:F,AG104)</f>
        <v/>
      </c>
      <c r="AI104" s="156">
        <f>IFERROR(SUMIFS(Def!B:B,Def!F:F,AG104)/AH104,"")</f>
        <v/>
      </c>
      <c r="AJ104" s="195">
        <f>VLOOKUP(P104,Matrix!AA:AC,3,0)</f>
        <v/>
      </c>
      <c r="AK104" s="195">
        <f>SUMIFS(Def!C:C,Def!F:F,AJ104)</f>
        <v/>
      </c>
      <c r="AL104" s="156">
        <f>IFERROR(SUMIFS(Def!B:B,Def!F:F,AJ104)/AK104,"")</f>
        <v/>
      </c>
    </row>
    <row r="105" ht="14.4" customHeight="1" s="152">
      <c r="A105" s="157">
        <f>IF(F105="Yes",IFERROR(IF(AA105&gt;1,AA105/100,100/-AA105),""),-1)</f>
        <v/>
      </c>
      <c r="B105" s="157">
        <f>B104+1</f>
        <v/>
      </c>
      <c r="C105" s="157">
        <f>IF(Y105&gt;Z105,1,0)</f>
        <v/>
      </c>
      <c r="D105" s="157">
        <f>IF(AND(C105=1,F105="Yes"),"Yes",IF(AND(C105=0,F105="No"),"Yes","No"))</f>
        <v/>
      </c>
      <c r="E105" s="192">
        <f>IF((AC105+AB105)=AD105,"Push",IF((AC105+AB105)&gt;AD105,"Yes","No"))</f>
        <v/>
      </c>
      <c r="F105" s="192">
        <f>IF(AC105&gt;AD105,"Yes","No")</f>
        <v/>
      </c>
      <c r="G105" s="192">
        <f>IF((Y105+AB105)&gt;Z105,"Yes",IF((Y105+AB105)=Z105,"Push","No"))</f>
        <v/>
      </c>
      <c r="H105" s="157">
        <f>IF(O105="Home",VLOOKUP(N105,Matrix!A:S,19,0),1)</f>
        <v/>
      </c>
      <c r="I105" s="157">
        <f>IF(O105="Away",VLOOKUP(N105,Matrix!A:Z,20,0),1)</f>
        <v/>
      </c>
      <c r="J105" s="157">
        <f>IF(O105="Away",VLOOKUP(P105,Matrix!A:S,19,0),1)</f>
        <v/>
      </c>
      <c r="K105" s="157">
        <f>IF(O105="Home",VLOOKUP(P105,Matrix!A:Z,20,0),1)</f>
        <v/>
      </c>
      <c r="L105" s="156" t="n">
        <v>-0.08929025643509091</v>
      </c>
      <c r="M105" s="179">
        <f>Schedule!B105</f>
        <v/>
      </c>
      <c r="N105" s="156">
        <f>Schedule!E105</f>
        <v/>
      </c>
      <c r="O105" s="156" t="inlineStr">
        <is>
          <t>Away</t>
        </is>
      </c>
      <c r="P105" s="157">
        <f>Schedule!H105</f>
        <v/>
      </c>
      <c r="Q105" s="157">
        <f>Schedule!C105</f>
        <v/>
      </c>
      <c r="R105" s="180">
        <f>Schedule!D105</f>
        <v/>
      </c>
      <c r="S105" s="181">
        <f>Schedule!J105</f>
        <v/>
      </c>
      <c r="T105" s="193">
        <f>Y105-Z105</f>
        <v/>
      </c>
      <c r="U105" s="182">
        <f>T105/Picks!$K$2</f>
        <v/>
      </c>
      <c r="V105" s="193">
        <f>INDEX(Standings!$T$3:$T$34, MATCH(N105, Standings!$A$3:$A$34, 0)) - INDEX(Standings!$T$3:$T$34, MATCH(P105, Standings!$A$3:$A$34, 0))</f>
        <v/>
      </c>
      <c r="W105" s="157">
        <f>INDEX(Standings!$L$3:$L$34, MATCH(N105, Standings!$A$3:$A$34, 0)) - INDEX(Standings!$L$3:$L$34, MATCH(P105, Standings!$A$3:$A$34, 0))</f>
        <v/>
      </c>
      <c r="X105" s="157">
        <f>INDEX(Standings!$M$3:$M$34, MATCH(N105, Standings!$A$3:$A$34, 0)) - INDEX(Standings!$M$3:$M$34, MATCH(P105, Standings!$A$3:$A$34, 0))</f>
        <v/>
      </c>
      <c r="Y105" s="194">
        <f t="array" ref="Y105:Y105">IFERROR(AE105+(AL105-_DFactor)*AE105,"")</f>
        <v/>
      </c>
      <c r="Z105" s="157">
        <f>IFERROR(AF105+(AI105-_DFactor)*AF105,"")</f>
        <v/>
      </c>
      <c r="AC105" s="194">
        <f>VLOOKUP(M105&amp;N105,Schedule!A:F,6,0)</f>
        <v/>
      </c>
      <c r="AD105" s="194">
        <f>VLOOKUP(M105&amp;P105,Schedule!A:F,6,0)</f>
        <v/>
      </c>
      <c r="AE105" s="156">
        <f>VLOOKUP(N105,ProjPVT!B:I,8,0)*_Mag/VLOOKUP(P105,Standings!A:O,15,0)*H105*K105</f>
        <v/>
      </c>
      <c r="AF105" s="156">
        <f>VLOOKUP(P105,ProjPVT!B:I,8,0)*_Mag/VLOOKUP(N105,Standings!A:O,15,0)*J105*I105</f>
        <v/>
      </c>
      <c r="AG105" s="195">
        <f>VLOOKUP(N105,Matrix!AA:AC,3,0)</f>
        <v/>
      </c>
      <c r="AH105" s="195">
        <f>SUMIFS(Def!C:C,Def!F:F,AG105)</f>
        <v/>
      </c>
      <c r="AI105" s="156">
        <f>IFERROR(SUMIFS(Def!B:B,Def!F:F,AG105)/AH105,"")</f>
        <v/>
      </c>
      <c r="AJ105" s="195">
        <f>VLOOKUP(P105,Matrix!AA:AC,3,0)</f>
        <v/>
      </c>
      <c r="AK105" s="195">
        <f>SUMIFS(Def!C:C,Def!F:F,AJ105)</f>
        <v/>
      </c>
      <c r="AL105" s="156">
        <f>IFERROR(SUMIFS(Def!B:B,Def!F:F,AJ105)/AK105,"")</f>
        <v/>
      </c>
    </row>
    <row r="106" ht="14.4" customHeight="1" s="152">
      <c r="A106" s="157">
        <f>IF(F106="Yes",IFERROR(IF(AA106&gt;1,AA106/100,100/-AA106),""),-1)</f>
        <v/>
      </c>
      <c r="B106" s="157">
        <f>B105+1</f>
        <v/>
      </c>
      <c r="C106" s="157">
        <f>IF(Y106&gt;Z106,1,0)</f>
        <v/>
      </c>
      <c r="D106" s="157">
        <f>IF(AND(C106=1,F106="Yes"),"Yes",IF(AND(C106=0,F106="No"),"Yes","No"))</f>
        <v/>
      </c>
      <c r="E106" s="192">
        <f>IF((AC106+AB106)=AD106,"Push",IF((AC106+AB106)&gt;AD106,"Yes","No"))</f>
        <v/>
      </c>
      <c r="F106" s="192">
        <f>IF(AC106&gt;AD106,"Yes","No")</f>
        <v/>
      </c>
      <c r="G106" s="192">
        <f>IF((Y106+AB106)&gt;Z106,"Yes",IF((Y106+AB106)=Z106,"Push","No"))</f>
        <v/>
      </c>
      <c r="H106" s="157">
        <f>IF(O106="Home",VLOOKUP(N106,Matrix!A:S,19,0),1)</f>
        <v/>
      </c>
      <c r="I106" s="157">
        <f>IF(O106="Away",VLOOKUP(N106,Matrix!A:Z,20,0),1)</f>
        <v/>
      </c>
      <c r="J106" s="157">
        <f>IF(O106="Away",VLOOKUP(P106,Matrix!A:S,19,0),1)</f>
        <v/>
      </c>
      <c r="K106" s="157">
        <f>IF(O106="Home",VLOOKUP(P106,Matrix!A:Z,20,0),1)</f>
        <v/>
      </c>
      <c r="L106" s="156" t="n">
        <v>-0.0867559784910138</v>
      </c>
      <c r="M106" s="179">
        <f>Schedule!B106</f>
        <v/>
      </c>
      <c r="N106" s="156">
        <f>Schedule!E106</f>
        <v/>
      </c>
      <c r="O106" s="156" t="inlineStr">
        <is>
          <t>Home</t>
        </is>
      </c>
      <c r="P106" s="157">
        <f>Schedule!H106</f>
        <v/>
      </c>
      <c r="Q106" s="157">
        <f>Schedule!C106</f>
        <v/>
      </c>
      <c r="R106" s="180">
        <f>Schedule!D106</f>
        <v/>
      </c>
      <c r="S106" s="181">
        <f>Schedule!J106</f>
        <v/>
      </c>
      <c r="T106" s="193">
        <f>Y106-Z106</f>
        <v/>
      </c>
      <c r="U106" s="182">
        <f>T106/Picks!$K$2</f>
        <v/>
      </c>
      <c r="V106" s="193">
        <f>INDEX(Standings!$T$3:$T$34, MATCH(N106, Standings!$A$3:$A$34, 0)) - INDEX(Standings!$T$3:$T$34, MATCH(P106, Standings!$A$3:$A$34, 0))</f>
        <v/>
      </c>
      <c r="W106" s="157">
        <f>INDEX(Standings!$L$3:$L$34, MATCH(N106, Standings!$A$3:$A$34, 0)) - INDEX(Standings!$L$3:$L$34, MATCH(P106, Standings!$A$3:$A$34, 0))</f>
        <v/>
      </c>
      <c r="X106" s="157">
        <f>INDEX(Standings!$M$3:$M$34, MATCH(N106, Standings!$A$3:$A$34, 0)) - INDEX(Standings!$M$3:$M$34, MATCH(P106, Standings!$A$3:$A$34, 0))</f>
        <v/>
      </c>
      <c r="Y106" s="194">
        <f t="array" ref="Y106:Y106">IFERROR(AE106+(AL106-_DFactor)*AE106,"")</f>
        <v/>
      </c>
      <c r="Z106" s="157">
        <f>IFERROR(AF106+(AI106-_DFactor)*AF106,"")</f>
        <v/>
      </c>
      <c r="AC106" s="194">
        <f>VLOOKUP(M106&amp;N106,Schedule!A:F,6,0)</f>
        <v/>
      </c>
      <c r="AD106" s="194">
        <f>VLOOKUP(M106&amp;P106,Schedule!A:F,6,0)</f>
        <v/>
      </c>
      <c r="AE106" s="156">
        <f>VLOOKUP(N106,ProjPVT!B:I,8,0)*_Mag/VLOOKUP(P106,Standings!A:O,15,0)*H106*K106</f>
        <v/>
      </c>
      <c r="AF106" s="156">
        <f>VLOOKUP(P106,ProjPVT!B:I,8,0)*_Mag/VLOOKUP(N106,Standings!A:O,15,0)*J106*I106</f>
        <v/>
      </c>
      <c r="AG106" s="195">
        <f>VLOOKUP(N106,Matrix!AA:AC,3,0)</f>
        <v/>
      </c>
      <c r="AH106" s="195">
        <f>SUMIFS(Def!C:C,Def!F:F,AG106)</f>
        <v/>
      </c>
      <c r="AI106" s="156">
        <f>IFERROR(SUMIFS(Def!B:B,Def!F:F,AG106)/AH106,"")</f>
        <v/>
      </c>
      <c r="AJ106" s="195">
        <f>VLOOKUP(P106,Matrix!AA:AC,3,0)</f>
        <v/>
      </c>
      <c r="AK106" s="195">
        <f>SUMIFS(Def!C:C,Def!F:F,AJ106)</f>
        <v/>
      </c>
      <c r="AL106" s="156">
        <f>IFERROR(SUMIFS(Def!B:B,Def!F:F,AJ106)/AK106,"")</f>
        <v/>
      </c>
    </row>
    <row r="107" ht="14.4" customHeight="1" s="152">
      <c r="A107" s="157">
        <f>IF(F107="Yes",IFERROR(IF(AA107&gt;1,AA107/100,100/-AA107),""),-1)</f>
        <v/>
      </c>
      <c r="B107" s="157">
        <f>B106+1</f>
        <v/>
      </c>
      <c r="C107" s="157">
        <f>IF(Y107&gt;Z107,1,0)</f>
        <v/>
      </c>
      <c r="D107" s="157">
        <f>IF(AND(C107=1,F107="Yes"),"Yes",IF(AND(C107=0,F107="No"),"Yes","No"))</f>
        <v/>
      </c>
      <c r="E107" s="192">
        <f>IF((AC107+AB107)=AD107,"Push",IF((AC107+AB107)&gt;AD107,"Yes","No"))</f>
        <v/>
      </c>
      <c r="F107" s="192">
        <f>IF(AC107&gt;AD107,"Yes","No")</f>
        <v/>
      </c>
      <c r="G107" s="192">
        <f>IF((Y107+AB107)&gt;Z107,"Yes",IF((Y107+AB107)=Z107,"Push","No"))</f>
        <v/>
      </c>
      <c r="H107" s="157">
        <f>IF(O107="Home",VLOOKUP(N107,Matrix!A:S,19,0),1)</f>
        <v/>
      </c>
      <c r="I107" s="157">
        <f>IF(O107="Away",VLOOKUP(N107,Matrix!A:Z,20,0),1)</f>
        <v/>
      </c>
      <c r="J107" s="157">
        <f>IF(O107="Away",VLOOKUP(P107,Matrix!A:S,19,0),1)</f>
        <v/>
      </c>
      <c r="K107" s="157">
        <f>IF(O107="Home",VLOOKUP(P107,Matrix!A:Z,20,0),1)</f>
        <v/>
      </c>
      <c r="L107" s="156" t="n">
        <v>-0.0804006940755254</v>
      </c>
      <c r="M107" s="179">
        <f>Schedule!B107</f>
        <v/>
      </c>
      <c r="N107" s="156">
        <f>Schedule!E107</f>
        <v/>
      </c>
      <c r="O107" s="156" t="inlineStr">
        <is>
          <t>Away</t>
        </is>
      </c>
      <c r="P107" s="157">
        <f>Schedule!H107</f>
        <v/>
      </c>
      <c r="Q107" s="157">
        <f>Schedule!C107</f>
        <v/>
      </c>
      <c r="R107" s="180">
        <f>Schedule!D107</f>
        <v/>
      </c>
      <c r="S107" s="181">
        <f>Schedule!J107</f>
        <v/>
      </c>
      <c r="T107" s="193">
        <f>Y107-Z107</f>
        <v/>
      </c>
      <c r="U107" s="182">
        <f>T107/Picks!$K$2</f>
        <v/>
      </c>
      <c r="V107" s="193">
        <f>INDEX(Standings!$T$3:$T$34, MATCH(N107, Standings!$A$3:$A$34, 0)) - INDEX(Standings!$T$3:$T$34, MATCH(P107, Standings!$A$3:$A$34, 0))</f>
        <v/>
      </c>
      <c r="W107" s="157">
        <f>INDEX(Standings!$L$3:$L$34, MATCH(N107, Standings!$A$3:$A$34, 0)) - INDEX(Standings!$L$3:$L$34, MATCH(P107, Standings!$A$3:$A$34, 0))</f>
        <v/>
      </c>
      <c r="X107" s="157">
        <f>INDEX(Standings!$M$3:$M$34, MATCH(N107, Standings!$A$3:$A$34, 0)) - INDEX(Standings!$M$3:$M$34, MATCH(P107, Standings!$A$3:$A$34, 0))</f>
        <v/>
      </c>
      <c r="Y107" s="194">
        <f t="array" ref="Y107:Y107">IFERROR(AE107+(AL107-_DFactor)*AE107,"")</f>
        <v/>
      </c>
      <c r="Z107" s="157">
        <f>IFERROR(AF107+(AI107-_DFactor)*AF107,"")</f>
        <v/>
      </c>
      <c r="AC107" s="194">
        <f>VLOOKUP(M107&amp;N107,Schedule!A:F,6,0)</f>
        <v/>
      </c>
      <c r="AD107" s="194">
        <f>VLOOKUP(M107&amp;P107,Schedule!A:F,6,0)</f>
        <v/>
      </c>
      <c r="AE107" s="156">
        <f>VLOOKUP(N107,ProjPVT!B:I,8,0)*_Mag/VLOOKUP(P107,Standings!A:O,15,0)*H107*K107</f>
        <v/>
      </c>
      <c r="AF107" s="156">
        <f>VLOOKUP(P107,ProjPVT!B:I,8,0)*_Mag/VLOOKUP(N107,Standings!A:O,15,0)*J107*I107</f>
        <v/>
      </c>
      <c r="AG107" s="195">
        <f>VLOOKUP(N107,Matrix!AA:AC,3,0)</f>
        <v/>
      </c>
      <c r="AH107" s="195">
        <f>SUMIFS(Def!C:C,Def!F:F,AG107)</f>
        <v/>
      </c>
      <c r="AI107" s="156">
        <f>IFERROR(SUMIFS(Def!B:B,Def!F:F,AG107)/AH107,"")</f>
        <v/>
      </c>
      <c r="AJ107" s="195">
        <f>VLOOKUP(P107,Matrix!AA:AC,3,0)</f>
        <v/>
      </c>
      <c r="AK107" s="195">
        <f>SUMIFS(Def!C:C,Def!F:F,AJ107)</f>
        <v/>
      </c>
      <c r="AL107" s="156">
        <f>IFERROR(SUMIFS(Def!B:B,Def!F:F,AJ107)/AK107,"")</f>
        <v/>
      </c>
    </row>
    <row r="108" ht="14.4" customHeight="1" s="152">
      <c r="A108" s="157">
        <f>IF(F108="Yes",IFERROR(IF(AA108&gt;1,AA108/100,100/-AA108),""),-1)</f>
        <v/>
      </c>
      <c r="B108" s="157">
        <f>B107+1</f>
        <v/>
      </c>
      <c r="C108" s="157">
        <f>IF(Y108&gt;Z108,1,0)</f>
        <v/>
      </c>
      <c r="D108" s="157">
        <f>IF(AND(C108=1,F108="Yes"),"Yes",IF(AND(C108=0,F108="No"),"Yes","No"))</f>
        <v/>
      </c>
      <c r="E108" s="192">
        <f>IF((AC108+AB108)=AD108,"Push",IF((AC108+AB108)&gt;AD108,"Yes","No"))</f>
        <v/>
      </c>
      <c r="F108" s="192">
        <f>IF(AC108&gt;AD108,"Yes","No")</f>
        <v/>
      </c>
      <c r="G108" s="192">
        <f>IF((Y108+AB108)&gt;Z108,"Yes",IF((Y108+AB108)=Z108,"Push","No"))</f>
        <v/>
      </c>
      <c r="H108" s="157">
        <f>IF(O108="Home",VLOOKUP(N108,Matrix!A:S,19,0),1)</f>
        <v/>
      </c>
      <c r="I108" s="157">
        <f>IF(O108="Away",VLOOKUP(N108,Matrix!A:Z,20,0),1)</f>
        <v/>
      </c>
      <c r="J108" s="157">
        <f>IF(O108="Away",VLOOKUP(P108,Matrix!A:S,19,0),1)</f>
        <v/>
      </c>
      <c r="K108" s="157">
        <f>IF(O108="Home",VLOOKUP(P108,Matrix!A:Z,20,0),1)</f>
        <v/>
      </c>
      <c r="L108" s="156" t="n">
        <v>-0.0691467143923999</v>
      </c>
      <c r="M108" s="179">
        <f>Schedule!B108</f>
        <v/>
      </c>
      <c r="N108" s="156">
        <f>Schedule!E108</f>
        <v/>
      </c>
      <c r="O108" s="156" t="inlineStr">
        <is>
          <t>Home</t>
        </is>
      </c>
      <c r="P108" s="157">
        <f>Schedule!H108</f>
        <v/>
      </c>
      <c r="Q108" s="157">
        <f>Schedule!C108</f>
        <v/>
      </c>
      <c r="R108" s="180">
        <f>Schedule!D108</f>
        <v/>
      </c>
      <c r="S108" s="181">
        <f>Schedule!J108</f>
        <v/>
      </c>
      <c r="T108" s="193">
        <f>Y108-Z108</f>
        <v/>
      </c>
      <c r="U108" s="182">
        <f>T108/Picks!$K$2</f>
        <v/>
      </c>
      <c r="V108" s="193">
        <f>INDEX(Standings!$T$3:$T$34, MATCH(N108, Standings!$A$3:$A$34, 0)) - INDEX(Standings!$T$3:$T$34, MATCH(P108, Standings!$A$3:$A$34, 0))</f>
        <v/>
      </c>
      <c r="W108" s="157">
        <f>INDEX(Standings!$L$3:$L$34, MATCH(N108, Standings!$A$3:$A$34, 0)) - INDEX(Standings!$L$3:$L$34, MATCH(P108, Standings!$A$3:$A$34, 0))</f>
        <v/>
      </c>
      <c r="X108" s="157">
        <f>INDEX(Standings!$M$3:$M$34, MATCH(N108, Standings!$A$3:$A$34, 0)) - INDEX(Standings!$M$3:$M$34, MATCH(P108, Standings!$A$3:$A$34, 0))</f>
        <v/>
      </c>
      <c r="Y108" s="194">
        <f t="array" ref="Y108:Y108">IFERROR(AE108+(AL108-_DFactor)*AE108,"")</f>
        <v/>
      </c>
      <c r="Z108" s="157">
        <f>IFERROR(AF108+(AI108-_DFactor)*AF108,"")</f>
        <v/>
      </c>
      <c r="AC108" s="194">
        <f>VLOOKUP(M108&amp;N108,Schedule!A:F,6,0)</f>
        <v/>
      </c>
      <c r="AD108" s="194">
        <f>VLOOKUP(M108&amp;P108,Schedule!A:F,6,0)</f>
        <v/>
      </c>
      <c r="AE108" s="156">
        <f>VLOOKUP(N108,ProjPVT!B:I,8,0)*_Mag/VLOOKUP(P108,Standings!A:O,15,0)*H108*K108</f>
        <v/>
      </c>
      <c r="AF108" s="156">
        <f>VLOOKUP(P108,ProjPVT!B:I,8,0)*_Mag/VLOOKUP(N108,Standings!A:O,15,0)*J108*I108</f>
        <v/>
      </c>
      <c r="AG108" s="195">
        <f>VLOOKUP(N108,Matrix!AA:AC,3,0)</f>
        <v/>
      </c>
      <c r="AH108" s="195">
        <f>SUMIFS(Def!C:C,Def!F:F,AG108)</f>
        <v/>
      </c>
      <c r="AI108" s="156">
        <f>IFERROR(SUMIFS(Def!B:B,Def!F:F,AG108)/AH108,"")</f>
        <v/>
      </c>
      <c r="AJ108" s="195">
        <f>VLOOKUP(P108,Matrix!AA:AC,3,0)</f>
        <v/>
      </c>
      <c r="AK108" s="195">
        <f>SUMIFS(Def!C:C,Def!F:F,AJ108)</f>
        <v/>
      </c>
      <c r="AL108" s="156">
        <f>IFERROR(SUMIFS(Def!B:B,Def!F:F,AJ108)/AK108,"")</f>
        <v/>
      </c>
    </row>
    <row r="109" ht="14.4" customHeight="1" s="152">
      <c r="A109" s="157">
        <f>IF(F109="Yes",IFERROR(IF(AA109&gt;1,AA109/100,100/-AA109),""),-1)</f>
        <v/>
      </c>
      <c r="B109" s="157">
        <f>B108+1</f>
        <v/>
      </c>
      <c r="C109" s="157">
        <f>IF(Y109&gt;Z109,1,0)</f>
        <v/>
      </c>
      <c r="D109" s="157">
        <f>IF(AND(C109=1,F109="Yes"),"Yes",IF(AND(C109=0,F109="No"),"Yes","No"))</f>
        <v/>
      </c>
      <c r="E109" s="192">
        <f>IF((AC109+AB109)=AD109,"Push",IF((AC109+AB109)&gt;AD109,"Yes","No"))</f>
        <v/>
      </c>
      <c r="F109" s="192">
        <f>IF(AC109&gt;AD109,"Yes","No")</f>
        <v/>
      </c>
      <c r="G109" s="192">
        <f>IF((Y109+AB109)&gt;Z109,"Yes",IF((Y109+AB109)=Z109,"Push","No"))</f>
        <v/>
      </c>
      <c r="H109" s="157">
        <f>IF(O109="Home",VLOOKUP(N109,Matrix!A:S,19,0),1)</f>
        <v/>
      </c>
      <c r="I109" s="157">
        <f>IF(O109="Away",VLOOKUP(N109,Matrix!A:Z,20,0),1)</f>
        <v/>
      </c>
      <c r="J109" s="157">
        <f>IF(O109="Away",VLOOKUP(P109,Matrix!A:S,19,0),1)</f>
        <v/>
      </c>
      <c r="K109" s="157">
        <f>IF(O109="Home",VLOOKUP(P109,Matrix!A:Z,20,0),1)</f>
        <v/>
      </c>
      <c r="L109" s="156" t="n">
        <v>-0.0373521524825162</v>
      </c>
      <c r="M109" s="179">
        <f>Schedule!B109</f>
        <v/>
      </c>
      <c r="N109" s="156">
        <f>Schedule!E109</f>
        <v/>
      </c>
      <c r="O109" s="156" t="inlineStr">
        <is>
          <t>Away</t>
        </is>
      </c>
      <c r="P109" s="157">
        <f>Schedule!H109</f>
        <v/>
      </c>
      <c r="Q109" s="157">
        <f>Schedule!C109</f>
        <v/>
      </c>
      <c r="R109" s="180">
        <f>Schedule!D109</f>
        <v/>
      </c>
      <c r="S109" s="181">
        <f>Schedule!J109</f>
        <v/>
      </c>
      <c r="T109" s="193">
        <f>Y109-Z109</f>
        <v/>
      </c>
      <c r="U109" s="182">
        <f>T109/Picks!$K$2</f>
        <v/>
      </c>
      <c r="V109" s="193">
        <f>INDEX(Standings!$T$3:$T$34, MATCH(N109, Standings!$A$3:$A$34, 0)) - INDEX(Standings!$T$3:$T$34, MATCH(P109, Standings!$A$3:$A$34, 0))</f>
        <v/>
      </c>
      <c r="W109" s="157">
        <f>INDEX(Standings!$L$3:$L$34, MATCH(N109, Standings!$A$3:$A$34, 0)) - INDEX(Standings!$L$3:$L$34, MATCH(P109, Standings!$A$3:$A$34, 0))</f>
        <v/>
      </c>
      <c r="X109" s="157">
        <f>INDEX(Standings!$M$3:$M$34, MATCH(N109, Standings!$A$3:$A$34, 0)) - INDEX(Standings!$M$3:$M$34, MATCH(P109, Standings!$A$3:$A$34, 0))</f>
        <v/>
      </c>
      <c r="Y109" s="194">
        <f t="array" ref="Y109:Y109">IFERROR(AE109+(AL109-_DFactor)*AE109,"")</f>
        <v/>
      </c>
      <c r="Z109" s="157">
        <f>IFERROR(AF109+(AI109-_DFactor)*AF109,"")</f>
        <v/>
      </c>
      <c r="AC109" s="194">
        <f>VLOOKUP(M109&amp;N109,Schedule!A:F,6,0)</f>
        <v/>
      </c>
      <c r="AD109" s="194">
        <f>VLOOKUP(M109&amp;P109,Schedule!A:F,6,0)</f>
        <v/>
      </c>
      <c r="AE109" s="156">
        <f>VLOOKUP(N109,ProjPVT!B:I,8,0)*_Mag/VLOOKUP(P109,Standings!A:O,15,0)*H109*K109</f>
        <v/>
      </c>
      <c r="AF109" s="156">
        <f>VLOOKUP(P109,ProjPVT!B:I,8,0)*_Mag/VLOOKUP(N109,Standings!A:O,15,0)*J109*I109</f>
        <v/>
      </c>
      <c r="AG109" s="195">
        <f>VLOOKUP(N109,Matrix!AA:AC,3,0)</f>
        <v/>
      </c>
      <c r="AH109" s="195">
        <f>SUMIFS(Def!C:C,Def!F:F,AG109)</f>
        <v/>
      </c>
      <c r="AI109" s="156">
        <f>IFERROR(SUMIFS(Def!B:B,Def!F:F,AG109)/AH109,"")</f>
        <v/>
      </c>
      <c r="AJ109" s="195">
        <f>VLOOKUP(P109,Matrix!AA:AC,3,0)</f>
        <v/>
      </c>
      <c r="AK109" s="195">
        <f>SUMIFS(Def!C:C,Def!F:F,AJ109)</f>
        <v/>
      </c>
      <c r="AL109" s="156">
        <f>IFERROR(SUMIFS(Def!B:B,Def!F:F,AJ109)/AK109,"")</f>
        <v/>
      </c>
    </row>
    <row r="110" ht="14.4" customHeight="1" s="152">
      <c r="A110" s="157">
        <f>IF(F110="Yes",IFERROR(IF(AA110&gt;1,AA110/100,100/-AA110),""),-1)</f>
        <v/>
      </c>
      <c r="B110" s="157">
        <f>B109+1</f>
        <v/>
      </c>
      <c r="C110" s="157">
        <f>IF(Y110&gt;Z110,1,0)</f>
        <v/>
      </c>
      <c r="D110" s="157">
        <f>IF(AND(C110=1,F110="Yes"),"Yes",IF(AND(C110=0,F110="No"),"Yes","No"))</f>
        <v/>
      </c>
      <c r="E110" s="192">
        <f>IF((AC110+AB110)=AD110,"Push",IF((AC110+AB110)&gt;AD110,"Yes","No"))</f>
        <v/>
      </c>
      <c r="F110" s="192">
        <f>IF(AC110&gt;AD110,"Yes","No")</f>
        <v/>
      </c>
      <c r="G110" s="192">
        <f>IF((Y110+AB110)&gt;Z110,"Yes",IF((Y110+AB110)=Z110,"Push","No"))</f>
        <v/>
      </c>
      <c r="H110" s="157">
        <f>IF(O110="Home",VLOOKUP(N110,Matrix!A:S,19,0),1)</f>
        <v/>
      </c>
      <c r="I110" s="157">
        <f>IF(O110="Away",VLOOKUP(N110,Matrix!A:Z,20,0),1)</f>
        <v/>
      </c>
      <c r="J110" s="157">
        <f>IF(O110="Away",VLOOKUP(P110,Matrix!A:S,19,0),1)</f>
        <v/>
      </c>
      <c r="K110" s="157">
        <f>IF(O110="Home",VLOOKUP(P110,Matrix!A:Z,20,0),1)</f>
        <v/>
      </c>
      <c r="L110" s="156" t="n">
        <v>-0.0359463777319074</v>
      </c>
      <c r="M110" s="179">
        <f>Schedule!B110</f>
        <v/>
      </c>
      <c r="N110" s="156">
        <f>Schedule!E110</f>
        <v/>
      </c>
      <c r="O110" s="156" t="inlineStr">
        <is>
          <t>Home</t>
        </is>
      </c>
      <c r="P110" s="157">
        <f>Schedule!H110</f>
        <v/>
      </c>
      <c r="Q110" s="157">
        <f>Schedule!C110</f>
        <v/>
      </c>
      <c r="R110" s="180">
        <f>Schedule!D110</f>
        <v/>
      </c>
      <c r="S110" s="181">
        <f>Schedule!J110</f>
        <v/>
      </c>
      <c r="T110" s="193">
        <f>Y110-Z110</f>
        <v/>
      </c>
      <c r="U110" s="182">
        <f>T110/Picks!$K$2</f>
        <v/>
      </c>
      <c r="V110" s="193">
        <f>INDEX(Standings!$T$3:$T$34, MATCH(N110, Standings!$A$3:$A$34, 0)) - INDEX(Standings!$T$3:$T$34, MATCH(P110, Standings!$A$3:$A$34, 0))</f>
        <v/>
      </c>
      <c r="W110" s="157">
        <f>INDEX(Standings!$L$3:$L$34, MATCH(N110, Standings!$A$3:$A$34, 0)) - INDEX(Standings!$L$3:$L$34, MATCH(P110, Standings!$A$3:$A$34, 0))</f>
        <v/>
      </c>
      <c r="X110" s="157">
        <f>INDEX(Standings!$M$3:$M$34, MATCH(N110, Standings!$A$3:$A$34, 0)) - INDEX(Standings!$M$3:$M$34, MATCH(P110, Standings!$A$3:$A$34, 0))</f>
        <v/>
      </c>
      <c r="Y110" s="194">
        <f t="array" ref="Y110:Y110">IFERROR(AE110+(AL110-_DFactor)*AE110,"")</f>
        <v/>
      </c>
      <c r="Z110" s="157">
        <f>IFERROR(AF110+(AI110-_DFactor)*AF110,"")</f>
        <v/>
      </c>
      <c r="AC110" s="194">
        <f>VLOOKUP(M110&amp;N110,Schedule!A:F,6,0)</f>
        <v/>
      </c>
      <c r="AD110" s="194">
        <f>VLOOKUP(M110&amp;P110,Schedule!A:F,6,0)</f>
        <v/>
      </c>
      <c r="AE110" s="156">
        <f>VLOOKUP(N110,ProjPVT!B:I,8,0)*_Mag/VLOOKUP(P110,Standings!A:O,15,0)*H110*K110</f>
        <v/>
      </c>
      <c r="AF110" s="156">
        <f>VLOOKUP(P110,ProjPVT!B:I,8,0)*_Mag/VLOOKUP(N110,Standings!A:O,15,0)*J110*I110</f>
        <v/>
      </c>
      <c r="AG110" s="195">
        <f>VLOOKUP(N110,Matrix!AA:AC,3,0)</f>
        <v/>
      </c>
      <c r="AH110" s="195">
        <f>SUMIFS(Def!C:C,Def!F:F,AG110)</f>
        <v/>
      </c>
      <c r="AI110" s="156">
        <f>IFERROR(SUMIFS(Def!B:B,Def!F:F,AG110)/AH110,"")</f>
        <v/>
      </c>
      <c r="AJ110" s="195">
        <f>VLOOKUP(P110,Matrix!AA:AC,3,0)</f>
        <v/>
      </c>
      <c r="AK110" s="195">
        <f>SUMIFS(Def!C:C,Def!F:F,AJ110)</f>
        <v/>
      </c>
      <c r="AL110" s="156">
        <f>IFERROR(SUMIFS(Def!B:B,Def!F:F,AJ110)/AK110,"")</f>
        <v/>
      </c>
    </row>
    <row r="111" ht="14.4" customHeight="1" s="152">
      <c r="A111" s="157">
        <f>IF(F111="Yes",IFERROR(IF(AA111&gt;1,AA111/100,100/-AA111),""),-1)</f>
        <v/>
      </c>
      <c r="B111" s="157">
        <f>B110+1</f>
        <v/>
      </c>
      <c r="C111" s="157">
        <f>IF(Y111&gt;Z111,1,0)</f>
        <v/>
      </c>
      <c r="D111" s="157">
        <f>IF(AND(C111=1,F111="Yes"),"Yes",IF(AND(C111=0,F111="No"),"Yes","No"))</f>
        <v/>
      </c>
      <c r="E111" s="192">
        <f>IF((AC111+AB111)=AD111,"Push",IF((AC111+AB111)&gt;AD111,"Yes","No"))</f>
        <v/>
      </c>
      <c r="F111" s="192">
        <f>IF(AC111&gt;AD111,"Yes","No")</f>
        <v/>
      </c>
      <c r="G111" s="192">
        <f>IF((Y111+AB111)&gt;Z111,"Yes",IF((Y111+AB111)=Z111,"Push","No"))</f>
        <v/>
      </c>
      <c r="H111" s="157">
        <f>IF(O111="Home",VLOOKUP(N111,Matrix!A:S,19,0),1)</f>
        <v/>
      </c>
      <c r="I111" s="157">
        <f>IF(O111="Away",VLOOKUP(N111,Matrix!A:Z,20,0),1)</f>
        <v/>
      </c>
      <c r="J111" s="157">
        <f>IF(O111="Away",VLOOKUP(P111,Matrix!A:S,19,0),1)</f>
        <v/>
      </c>
      <c r="K111" s="157">
        <f>IF(O111="Home",VLOOKUP(P111,Matrix!A:Z,20,0),1)</f>
        <v/>
      </c>
      <c r="L111" s="156" t="n">
        <v>-0.0160449769096636</v>
      </c>
      <c r="M111" s="179">
        <f>Schedule!B111</f>
        <v/>
      </c>
      <c r="N111" s="156">
        <f>Schedule!E111</f>
        <v/>
      </c>
      <c r="O111" s="156" t="inlineStr">
        <is>
          <t>Home</t>
        </is>
      </c>
      <c r="P111" s="157">
        <f>Schedule!H111</f>
        <v/>
      </c>
      <c r="Q111" s="157">
        <f>Schedule!C111</f>
        <v/>
      </c>
      <c r="R111" s="180">
        <f>Schedule!D111</f>
        <v/>
      </c>
      <c r="S111" s="181">
        <f>Schedule!J111</f>
        <v/>
      </c>
      <c r="T111" s="193">
        <f>Y111-Z111</f>
        <v/>
      </c>
      <c r="U111" s="182">
        <f>T111/Picks!$K$2</f>
        <v/>
      </c>
      <c r="V111" s="193">
        <f>INDEX(Standings!$T$3:$T$34, MATCH(N111, Standings!$A$3:$A$34, 0)) - INDEX(Standings!$T$3:$T$34, MATCH(P111, Standings!$A$3:$A$34, 0))</f>
        <v/>
      </c>
      <c r="W111" s="157">
        <f>INDEX(Standings!$L$3:$L$34, MATCH(N111, Standings!$A$3:$A$34, 0)) - INDEX(Standings!$L$3:$L$34, MATCH(P111, Standings!$A$3:$A$34, 0))</f>
        <v/>
      </c>
      <c r="X111" s="157">
        <f>INDEX(Standings!$M$3:$M$34, MATCH(N111, Standings!$A$3:$A$34, 0)) - INDEX(Standings!$M$3:$M$34, MATCH(P111, Standings!$A$3:$A$34, 0))</f>
        <v/>
      </c>
      <c r="Y111" s="194">
        <f t="array" ref="Y111:Y111">IFERROR(AE111+(AL111-_DFactor)*AE111,"")</f>
        <v/>
      </c>
      <c r="Z111" s="157">
        <f>IFERROR(AF111+(AI111-_DFactor)*AF111,"")</f>
        <v/>
      </c>
      <c r="AC111" s="194">
        <f>VLOOKUP(M111&amp;N111,Schedule!A:F,6,0)</f>
        <v/>
      </c>
      <c r="AD111" s="194">
        <f>VLOOKUP(M111&amp;P111,Schedule!A:F,6,0)</f>
        <v/>
      </c>
      <c r="AE111" s="156">
        <f>VLOOKUP(N111,ProjPVT!B:I,8,0)*_Mag/VLOOKUP(P111,Standings!A:O,15,0)*H111*K111</f>
        <v/>
      </c>
      <c r="AF111" s="156">
        <f>VLOOKUP(P111,ProjPVT!B:I,8,0)*_Mag/VLOOKUP(N111,Standings!A:O,15,0)*J111*I111</f>
        <v/>
      </c>
      <c r="AG111" s="195">
        <f>VLOOKUP(N111,Matrix!AA:AC,3,0)</f>
        <v/>
      </c>
      <c r="AH111" s="195">
        <f>SUMIFS(Def!C:C,Def!F:F,AG111)</f>
        <v/>
      </c>
      <c r="AI111" s="156">
        <f>IFERROR(SUMIFS(Def!B:B,Def!F:F,AG111)/AH111,"")</f>
        <v/>
      </c>
      <c r="AJ111" s="195">
        <f>VLOOKUP(P111,Matrix!AA:AC,3,0)</f>
        <v/>
      </c>
      <c r="AK111" s="195">
        <f>SUMIFS(Def!C:C,Def!F:F,AJ111)</f>
        <v/>
      </c>
      <c r="AL111" s="156">
        <f>IFERROR(SUMIFS(Def!B:B,Def!F:F,AJ111)/AK111,"")</f>
        <v/>
      </c>
    </row>
    <row r="112" ht="14.4" customHeight="1" s="152">
      <c r="A112" s="157">
        <f>IF(F112="Yes",IFERROR(IF(AA112&gt;1,AA112/100,100/-AA112),""),-1)</f>
        <v/>
      </c>
      <c r="B112" s="157">
        <f>B111+1</f>
        <v/>
      </c>
      <c r="C112" s="157">
        <f>IF(Y112&gt;Z112,1,0)</f>
        <v/>
      </c>
      <c r="D112" s="157">
        <f>IF(AND(C112=1,F112="Yes"),"Yes",IF(AND(C112=0,F112="No"),"Yes","No"))</f>
        <v/>
      </c>
      <c r="E112" s="192">
        <f>IF((AC112+AB112)=AD112,"Push",IF((AC112+AB112)&gt;AD112,"Yes","No"))</f>
        <v/>
      </c>
      <c r="F112" s="192">
        <f>IF(AC112&gt;AD112,"Yes","No")</f>
        <v/>
      </c>
      <c r="G112" s="192">
        <f>IF((Y112+AB112)&gt;Z112,"Yes",IF((Y112+AB112)=Z112,"Push","No"))</f>
        <v/>
      </c>
      <c r="H112" s="157">
        <f>IF(O112="Home",VLOOKUP(N112,Matrix!A:S,19,0),1)</f>
        <v/>
      </c>
      <c r="I112" s="157">
        <f>IF(O112="Away",VLOOKUP(N112,Matrix!A:Z,20,0),1)</f>
        <v/>
      </c>
      <c r="J112" s="157">
        <f>IF(O112="Away",VLOOKUP(P112,Matrix!A:S,19,0),1)</f>
        <v/>
      </c>
      <c r="K112" s="157">
        <f>IF(O112="Home",VLOOKUP(P112,Matrix!A:Z,20,0),1)</f>
        <v/>
      </c>
      <c r="L112" s="156" t="n">
        <v>-0.0114081447734787</v>
      </c>
      <c r="M112" s="179">
        <f>Schedule!B112</f>
        <v/>
      </c>
      <c r="N112" s="156">
        <f>Schedule!E112</f>
        <v/>
      </c>
      <c r="O112" s="156" t="inlineStr">
        <is>
          <t>Away</t>
        </is>
      </c>
      <c r="P112" s="157">
        <f>Schedule!H112</f>
        <v/>
      </c>
      <c r="Q112" s="157">
        <f>Schedule!C112</f>
        <v/>
      </c>
      <c r="R112" s="180">
        <f>Schedule!D112</f>
        <v/>
      </c>
      <c r="S112" s="181">
        <f>Schedule!J112</f>
        <v/>
      </c>
      <c r="T112" s="193">
        <f>Y112-Z112</f>
        <v/>
      </c>
      <c r="U112" s="182">
        <f>T112/Picks!$K$2</f>
        <v/>
      </c>
      <c r="V112" s="193">
        <f>INDEX(Standings!$T$3:$T$34, MATCH(N112, Standings!$A$3:$A$34, 0)) - INDEX(Standings!$T$3:$T$34, MATCH(P112, Standings!$A$3:$A$34, 0))</f>
        <v/>
      </c>
      <c r="W112" s="157">
        <f>INDEX(Standings!$L$3:$L$34, MATCH(N112, Standings!$A$3:$A$34, 0)) - INDEX(Standings!$L$3:$L$34, MATCH(P112, Standings!$A$3:$A$34, 0))</f>
        <v/>
      </c>
      <c r="X112" s="157">
        <f>INDEX(Standings!$M$3:$M$34, MATCH(N112, Standings!$A$3:$A$34, 0)) - INDEX(Standings!$M$3:$M$34, MATCH(P112, Standings!$A$3:$A$34, 0))</f>
        <v/>
      </c>
      <c r="Y112" s="194">
        <f t="array" ref="Y112:Y112">IFERROR(AE112+(AL112-_DFactor)*AE112,"")</f>
        <v/>
      </c>
      <c r="Z112" s="157">
        <f>IFERROR(AF112+(AI112-_DFactor)*AF112,"")</f>
        <v/>
      </c>
      <c r="AC112" s="194">
        <f>VLOOKUP(M112&amp;N112,Schedule!A:F,6,0)</f>
        <v/>
      </c>
      <c r="AD112" s="194">
        <f>VLOOKUP(M112&amp;P112,Schedule!A:F,6,0)</f>
        <v/>
      </c>
      <c r="AE112" s="156">
        <f>VLOOKUP(N112,ProjPVT!B:I,8,0)*_Mag/VLOOKUP(P112,Standings!A:O,15,0)*H112*K112</f>
        <v/>
      </c>
      <c r="AF112" s="156">
        <f>VLOOKUP(P112,ProjPVT!B:I,8,0)*_Mag/VLOOKUP(N112,Standings!A:O,15,0)*J112*I112</f>
        <v/>
      </c>
      <c r="AG112" s="195">
        <f>VLOOKUP(N112,Matrix!AA:AC,3,0)</f>
        <v/>
      </c>
      <c r="AH112" s="195">
        <f>SUMIFS(Def!C:C,Def!F:F,AG112)</f>
        <v/>
      </c>
      <c r="AI112" s="156">
        <f>IFERROR(SUMIFS(Def!B:B,Def!F:F,AG112)/AH112,"")</f>
        <v/>
      </c>
      <c r="AJ112" s="195">
        <f>VLOOKUP(P112,Matrix!AA:AC,3,0)</f>
        <v/>
      </c>
      <c r="AK112" s="195">
        <f>SUMIFS(Def!C:C,Def!F:F,AJ112)</f>
        <v/>
      </c>
      <c r="AL112" s="156">
        <f>IFERROR(SUMIFS(Def!B:B,Def!F:F,AJ112)/AK112,"")</f>
        <v/>
      </c>
    </row>
    <row r="113" ht="14.4" customHeight="1" s="152">
      <c r="A113" s="157">
        <f>IF(F113="Yes",IFERROR(IF(AA113&gt;1,AA113/100,100/-AA113),""),-1)</f>
        <v/>
      </c>
      <c r="B113" s="157">
        <f>B112+1</f>
        <v/>
      </c>
      <c r="C113" s="157">
        <f>IF(Y113&gt;Z113,1,0)</f>
        <v/>
      </c>
      <c r="D113" s="157">
        <f>IF(AND(C113=1,F113="Yes"),"Yes",IF(AND(C113=0,F113="No"),"Yes","No"))</f>
        <v/>
      </c>
      <c r="E113" s="192">
        <f>IF((AC113+AB113)=AD113,"Push",IF((AC113+AB113)&gt;AD113,"Yes","No"))</f>
        <v/>
      </c>
      <c r="F113" s="192">
        <f>IF(AC113&gt;AD113,"Yes","No")</f>
        <v/>
      </c>
      <c r="G113" s="192">
        <f>IF((Y113+AB113)&gt;Z113,"Yes",IF((Y113+AB113)=Z113,"Push","No"))</f>
        <v/>
      </c>
      <c r="H113" s="157">
        <f>IF(O113="Home",VLOOKUP(N113,Matrix!A:S,19,0),1)</f>
        <v/>
      </c>
      <c r="I113" s="157">
        <f>IF(O113="Away",VLOOKUP(N113,Matrix!A:Z,20,0),1)</f>
        <v/>
      </c>
      <c r="J113" s="157">
        <f>IF(O113="Away",VLOOKUP(P113,Matrix!A:S,19,0),1)</f>
        <v/>
      </c>
      <c r="K113" s="157">
        <f>IF(O113="Home",VLOOKUP(P113,Matrix!A:Z,20,0),1)</f>
        <v/>
      </c>
      <c r="L113" s="156" t="n">
        <v>-0.00139834061987623</v>
      </c>
      <c r="M113" s="179">
        <f>Schedule!B113</f>
        <v/>
      </c>
      <c r="N113" s="156">
        <f>Schedule!E113</f>
        <v/>
      </c>
      <c r="O113" s="156" t="inlineStr">
        <is>
          <t>Home</t>
        </is>
      </c>
      <c r="P113" s="157">
        <f>Schedule!H113</f>
        <v/>
      </c>
      <c r="Q113" s="157">
        <f>Schedule!C113</f>
        <v/>
      </c>
      <c r="R113" s="180">
        <f>Schedule!D113</f>
        <v/>
      </c>
      <c r="S113" s="181">
        <f>Schedule!J113</f>
        <v/>
      </c>
      <c r="T113" s="193">
        <f>Y113-Z113</f>
        <v/>
      </c>
      <c r="U113" s="182">
        <f>T113/Picks!$K$2</f>
        <v/>
      </c>
      <c r="V113" s="193">
        <f>INDEX(Standings!$T$3:$T$34, MATCH(N113, Standings!$A$3:$A$34, 0)) - INDEX(Standings!$T$3:$T$34, MATCH(P113, Standings!$A$3:$A$34, 0))</f>
        <v/>
      </c>
      <c r="W113" s="157">
        <f>INDEX(Standings!$L$3:$L$34, MATCH(N113, Standings!$A$3:$A$34, 0)) - INDEX(Standings!$L$3:$L$34, MATCH(P113, Standings!$A$3:$A$34, 0))</f>
        <v/>
      </c>
      <c r="X113" s="157">
        <f>INDEX(Standings!$M$3:$M$34, MATCH(N113, Standings!$A$3:$A$34, 0)) - INDEX(Standings!$M$3:$M$34, MATCH(P113, Standings!$A$3:$A$34, 0))</f>
        <v/>
      </c>
      <c r="Y113" s="194">
        <f t="array" ref="Y113:Y113">IFERROR(AE113+(AL113-_DFactor)*AE113,"")</f>
        <v/>
      </c>
      <c r="Z113" s="157">
        <f>IFERROR(AF113+(AI113-_DFactor)*AF113,"")</f>
        <v/>
      </c>
      <c r="AC113" s="194">
        <f>VLOOKUP(M113&amp;N113,Schedule!A:F,6,0)</f>
        <v/>
      </c>
      <c r="AD113" s="194">
        <f>VLOOKUP(M113&amp;P113,Schedule!A:F,6,0)</f>
        <v/>
      </c>
      <c r="AE113" s="156">
        <f>VLOOKUP(N113,ProjPVT!B:I,8,0)*_Mag/VLOOKUP(P113,Standings!A:O,15,0)*H113*K113</f>
        <v/>
      </c>
      <c r="AF113" s="156">
        <f>VLOOKUP(P113,ProjPVT!B:I,8,0)*_Mag/VLOOKUP(N113,Standings!A:O,15,0)*J113*I113</f>
        <v/>
      </c>
      <c r="AG113" s="195">
        <f>VLOOKUP(N113,Matrix!AA:AC,3,0)</f>
        <v/>
      </c>
      <c r="AH113" s="195">
        <f>SUMIFS(Def!C:C,Def!F:F,AG113)</f>
        <v/>
      </c>
      <c r="AI113" s="156">
        <f>IFERROR(SUMIFS(Def!B:B,Def!F:F,AG113)/AH113,"")</f>
        <v/>
      </c>
      <c r="AJ113" s="195">
        <f>VLOOKUP(P113,Matrix!AA:AC,3,0)</f>
        <v/>
      </c>
      <c r="AK113" s="195">
        <f>SUMIFS(Def!C:C,Def!F:F,AJ113)</f>
        <v/>
      </c>
      <c r="AL113" s="156">
        <f>IFERROR(SUMIFS(Def!B:B,Def!F:F,AJ113)/AK113,"")</f>
        <v/>
      </c>
    </row>
    <row r="114" ht="14.4" customHeight="1" s="152">
      <c r="A114" s="157">
        <f>IF(F114="Yes",IFERROR(IF(AA114&gt;1,AA114/100,100/-AA114),""),-1)</f>
        <v/>
      </c>
      <c r="B114" s="157">
        <f>B113+1</f>
        <v/>
      </c>
      <c r="C114" s="157">
        <f>IF(Y114&gt;Z114,1,0)</f>
        <v/>
      </c>
      <c r="D114" s="157">
        <f>IF(AND(C114=1,F114="Yes"),"Yes",IF(AND(C114=0,F114="No"),"Yes","No"))</f>
        <v/>
      </c>
      <c r="E114" s="192">
        <f>IF((AC114+AB114)=AD114,"Push",IF((AC114+AB114)&gt;AD114,"Yes","No"))</f>
        <v/>
      </c>
      <c r="F114" s="192">
        <f>IF(AC114&gt;AD114,"Yes","No")</f>
        <v/>
      </c>
      <c r="G114" s="192">
        <f>IF((Y114+AB114)&gt;Z114,"Yes",IF((Y114+AB114)=Z114,"Push","No"))</f>
        <v/>
      </c>
      <c r="H114" s="157">
        <f>IF(O114="Home",VLOOKUP(N114,Matrix!A:S,19,0),1)</f>
        <v/>
      </c>
      <c r="I114" s="157">
        <f>IF(O114="Away",VLOOKUP(N114,Matrix!A:Z,20,0),1)</f>
        <v/>
      </c>
      <c r="J114" s="157">
        <f>IF(O114="Away",VLOOKUP(P114,Matrix!A:S,19,0),1)</f>
        <v/>
      </c>
      <c r="K114" s="157">
        <f>IF(O114="Home",VLOOKUP(P114,Matrix!A:Z,20,0),1)</f>
        <v/>
      </c>
      <c r="L114" s="156" t="n">
        <v>0.00139834061987623</v>
      </c>
      <c r="M114" s="179">
        <f>Schedule!B114</f>
        <v/>
      </c>
      <c r="N114" s="156">
        <f>Schedule!E114</f>
        <v/>
      </c>
      <c r="O114" s="156" t="inlineStr">
        <is>
          <t>Away</t>
        </is>
      </c>
      <c r="P114" s="157">
        <f>Schedule!H114</f>
        <v/>
      </c>
      <c r="Q114" s="157">
        <f>Schedule!C114</f>
        <v/>
      </c>
      <c r="R114" s="180">
        <f>Schedule!D114</f>
        <v/>
      </c>
      <c r="S114" s="181">
        <f>Schedule!J114</f>
        <v/>
      </c>
      <c r="T114" s="193">
        <f>Y114-Z114</f>
        <v/>
      </c>
      <c r="U114" s="182">
        <f>T114/Picks!$K$2</f>
        <v/>
      </c>
      <c r="V114" s="193">
        <f>INDEX(Standings!$T$3:$T$34, MATCH(N114, Standings!$A$3:$A$34, 0)) - INDEX(Standings!$T$3:$T$34, MATCH(P114, Standings!$A$3:$A$34, 0))</f>
        <v/>
      </c>
      <c r="W114" s="157">
        <f>INDEX(Standings!$L$3:$L$34, MATCH(N114, Standings!$A$3:$A$34, 0)) - INDEX(Standings!$L$3:$L$34, MATCH(P114, Standings!$A$3:$A$34, 0))</f>
        <v/>
      </c>
      <c r="X114" s="157">
        <f>INDEX(Standings!$M$3:$M$34, MATCH(N114, Standings!$A$3:$A$34, 0)) - INDEX(Standings!$M$3:$M$34, MATCH(P114, Standings!$A$3:$A$34, 0))</f>
        <v/>
      </c>
      <c r="Y114" s="194">
        <f t="array" ref="Y114:Y114">IFERROR(AE114+(AL114-_DFactor)*AE114,"")</f>
        <v/>
      </c>
      <c r="Z114" s="157">
        <f>IFERROR(AF114+(AI114-_DFactor)*AF114,"")</f>
        <v/>
      </c>
      <c r="AC114" s="194">
        <f>VLOOKUP(M114&amp;N114,Schedule!A:F,6,0)</f>
        <v/>
      </c>
      <c r="AD114" s="194">
        <f>VLOOKUP(M114&amp;P114,Schedule!A:F,6,0)</f>
        <v/>
      </c>
      <c r="AE114" s="156">
        <f>VLOOKUP(N114,ProjPVT!B:I,8,0)*_Mag/VLOOKUP(P114,Standings!A:O,15,0)*H114*K114</f>
        <v/>
      </c>
      <c r="AF114" s="156">
        <f>VLOOKUP(P114,ProjPVT!B:I,8,0)*_Mag/VLOOKUP(N114,Standings!A:O,15,0)*J114*I114</f>
        <v/>
      </c>
      <c r="AG114" s="195">
        <f>VLOOKUP(N114,Matrix!AA:AC,3,0)</f>
        <v/>
      </c>
      <c r="AH114" s="195">
        <f>SUMIFS(Def!C:C,Def!F:F,AG114)</f>
        <v/>
      </c>
      <c r="AI114" s="156">
        <f>IFERROR(SUMIFS(Def!B:B,Def!F:F,AG114)/AH114,"")</f>
        <v/>
      </c>
      <c r="AJ114" s="195">
        <f>VLOOKUP(P114,Matrix!AA:AC,3,0)</f>
        <v/>
      </c>
      <c r="AK114" s="195">
        <f>SUMIFS(Def!C:C,Def!F:F,AJ114)</f>
        <v/>
      </c>
      <c r="AL114" s="156">
        <f>IFERROR(SUMIFS(Def!B:B,Def!F:F,AJ114)/AK114,"")</f>
        <v/>
      </c>
    </row>
    <row r="115" ht="14.4" customHeight="1" s="152">
      <c r="A115" s="157">
        <f>IF(F115="Yes",IFERROR(IF(AA115&gt;1,AA115/100,100/-AA115),""),-1)</f>
        <v/>
      </c>
      <c r="B115" s="157">
        <f>B114+1</f>
        <v/>
      </c>
      <c r="C115" s="157">
        <f>IF(Y115&gt;Z115,1,0)</f>
        <v/>
      </c>
      <c r="D115" s="157">
        <f>IF(AND(C115=1,F115="Yes"),"Yes",IF(AND(C115=0,F115="No"),"Yes","No"))</f>
        <v/>
      </c>
      <c r="E115" s="192">
        <f>IF((AC115+AB115)=AD115,"Push",IF((AC115+AB115)&gt;AD115,"Yes","No"))</f>
        <v/>
      </c>
      <c r="F115" s="192">
        <f>IF(AC115&gt;AD115,"Yes","No")</f>
        <v/>
      </c>
      <c r="G115" s="192">
        <f>IF((Y115+AB115)&gt;Z115,"Yes",IF((Y115+AB115)=Z115,"Push","No"))</f>
        <v/>
      </c>
      <c r="H115" s="157">
        <f>IF(O115="Home",VLOOKUP(N115,Matrix!A:S,19,0),1)</f>
        <v/>
      </c>
      <c r="I115" s="157">
        <f>IF(O115="Away",VLOOKUP(N115,Matrix!A:Z,20,0),1)</f>
        <v/>
      </c>
      <c r="J115" s="157">
        <f>IF(O115="Away",VLOOKUP(P115,Matrix!A:S,19,0),1)</f>
        <v/>
      </c>
      <c r="K115" s="157">
        <f>IF(O115="Home",VLOOKUP(P115,Matrix!A:Z,20,0),1)</f>
        <v/>
      </c>
      <c r="L115" s="156" t="n">
        <v>0.0114081447734787</v>
      </c>
      <c r="M115" s="179">
        <f>Schedule!B115</f>
        <v/>
      </c>
      <c r="N115" s="156">
        <f>Schedule!E115</f>
        <v/>
      </c>
      <c r="O115" s="156" t="inlineStr">
        <is>
          <t>Home</t>
        </is>
      </c>
      <c r="P115" s="157">
        <f>Schedule!H115</f>
        <v/>
      </c>
      <c r="Q115" s="157">
        <f>Schedule!C115</f>
        <v/>
      </c>
      <c r="R115" s="180">
        <f>Schedule!D115</f>
        <v/>
      </c>
      <c r="S115" s="181">
        <f>Schedule!J115</f>
        <v/>
      </c>
      <c r="T115" s="193">
        <f>Y115-Z115</f>
        <v/>
      </c>
      <c r="U115" s="182">
        <f>T115/Picks!$K$2</f>
        <v/>
      </c>
      <c r="V115" s="193">
        <f>INDEX(Standings!$T$3:$T$34, MATCH(N115, Standings!$A$3:$A$34, 0)) - INDEX(Standings!$T$3:$T$34, MATCH(P115, Standings!$A$3:$A$34, 0))</f>
        <v/>
      </c>
      <c r="W115" s="157">
        <f>INDEX(Standings!$L$3:$L$34, MATCH(N115, Standings!$A$3:$A$34, 0)) - INDEX(Standings!$L$3:$L$34, MATCH(P115, Standings!$A$3:$A$34, 0))</f>
        <v/>
      </c>
      <c r="X115" s="157">
        <f>INDEX(Standings!$M$3:$M$34, MATCH(N115, Standings!$A$3:$A$34, 0)) - INDEX(Standings!$M$3:$M$34, MATCH(P115, Standings!$A$3:$A$34, 0))</f>
        <v/>
      </c>
      <c r="Y115" s="194">
        <f t="array" ref="Y115:Y115">IFERROR(AE115+(AL115-_DFactor)*AE115,"")</f>
        <v/>
      </c>
      <c r="Z115" s="157">
        <f>IFERROR(AF115+(AI115-_DFactor)*AF115,"")</f>
        <v/>
      </c>
      <c r="AC115" s="194">
        <f>VLOOKUP(M115&amp;N115,Schedule!A:F,6,0)</f>
        <v/>
      </c>
      <c r="AD115" s="194">
        <f>VLOOKUP(M115&amp;P115,Schedule!A:F,6,0)</f>
        <v/>
      </c>
      <c r="AE115" s="156">
        <f>VLOOKUP(N115,ProjPVT!B:I,8,0)*_Mag/VLOOKUP(P115,Standings!A:O,15,0)*H115*K115</f>
        <v/>
      </c>
      <c r="AF115" s="156">
        <f>VLOOKUP(P115,ProjPVT!B:I,8,0)*_Mag/VLOOKUP(N115,Standings!A:O,15,0)*J115*I115</f>
        <v/>
      </c>
      <c r="AG115" s="195">
        <f>VLOOKUP(N115,Matrix!AA:AC,3,0)</f>
        <v/>
      </c>
      <c r="AH115" s="195">
        <f>SUMIFS(Def!C:C,Def!F:F,AG115)</f>
        <v/>
      </c>
      <c r="AI115" s="156">
        <f>IFERROR(SUMIFS(Def!B:B,Def!F:F,AG115)/AH115,"")</f>
        <v/>
      </c>
      <c r="AJ115" s="195">
        <f>VLOOKUP(P115,Matrix!AA:AC,3,0)</f>
        <v/>
      </c>
      <c r="AK115" s="195">
        <f>SUMIFS(Def!C:C,Def!F:F,AJ115)</f>
        <v/>
      </c>
      <c r="AL115" s="156">
        <f>IFERROR(SUMIFS(Def!B:B,Def!F:F,AJ115)/AK115,"")</f>
        <v/>
      </c>
    </row>
    <row r="116" ht="14.4" customHeight="1" s="152">
      <c r="A116" s="157">
        <f>IF(F116="Yes",IFERROR(IF(AA116&gt;1,AA116/100,100/-AA116),""),-1)</f>
        <v/>
      </c>
      <c r="B116" s="157">
        <f>B115+1</f>
        <v/>
      </c>
      <c r="C116" s="157">
        <f>IF(Y116&gt;Z116,1,0)</f>
        <v/>
      </c>
      <c r="D116" s="157">
        <f>IF(AND(C116=1,F116="Yes"),"Yes",IF(AND(C116=0,F116="No"),"Yes","No"))</f>
        <v/>
      </c>
      <c r="E116" s="192">
        <f>IF((AC116+AB116)=AD116,"Push",IF((AC116+AB116)&gt;AD116,"Yes","No"))</f>
        <v/>
      </c>
      <c r="F116" s="192">
        <f>IF(AC116&gt;AD116,"Yes","No")</f>
        <v/>
      </c>
      <c r="G116" s="192">
        <f>IF((Y116+AB116)&gt;Z116,"Yes",IF((Y116+AB116)=Z116,"Push","No"))</f>
        <v/>
      </c>
      <c r="H116" s="157">
        <f>IF(O116="Home",VLOOKUP(N116,Matrix!A:S,19,0),1)</f>
        <v/>
      </c>
      <c r="I116" s="157">
        <f>IF(O116="Away",VLOOKUP(N116,Matrix!A:Z,20,0),1)</f>
        <v/>
      </c>
      <c r="J116" s="157">
        <f>IF(O116="Away",VLOOKUP(P116,Matrix!A:S,19,0),1)</f>
        <v/>
      </c>
      <c r="K116" s="157">
        <f>IF(O116="Home",VLOOKUP(P116,Matrix!A:Z,20,0),1)</f>
        <v/>
      </c>
      <c r="L116" s="156" t="n">
        <v>0.0160449769096636</v>
      </c>
      <c r="M116" s="179">
        <f>Schedule!B116</f>
        <v/>
      </c>
      <c r="N116" s="156">
        <f>Schedule!E116</f>
        <v/>
      </c>
      <c r="O116" s="156" t="inlineStr">
        <is>
          <t>Away</t>
        </is>
      </c>
      <c r="P116" s="157">
        <f>Schedule!H116</f>
        <v/>
      </c>
      <c r="Q116" s="157">
        <f>Schedule!C116</f>
        <v/>
      </c>
      <c r="R116" s="180">
        <f>Schedule!D116</f>
        <v/>
      </c>
      <c r="S116" s="181">
        <f>Schedule!J116</f>
        <v/>
      </c>
      <c r="T116" s="193">
        <f>Y116-Z116</f>
        <v/>
      </c>
      <c r="U116" s="182">
        <f>T116/Picks!$K$2</f>
        <v/>
      </c>
      <c r="V116" s="193">
        <f>INDEX(Standings!$T$3:$T$34, MATCH(N116, Standings!$A$3:$A$34, 0)) - INDEX(Standings!$T$3:$T$34, MATCH(P116, Standings!$A$3:$A$34, 0))</f>
        <v/>
      </c>
      <c r="W116" s="157">
        <f>INDEX(Standings!$L$3:$L$34, MATCH(N116, Standings!$A$3:$A$34, 0)) - INDEX(Standings!$L$3:$L$34, MATCH(P116, Standings!$A$3:$A$34, 0))</f>
        <v/>
      </c>
      <c r="X116" s="157">
        <f>INDEX(Standings!$M$3:$M$34, MATCH(N116, Standings!$A$3:$A$34, 0)) - INDEX(Standings!$M$3:$M$34, MATCH(P116, Standings!$A$3:$A$34, 0))</f>
        <v/>
      </c>
      <c r="Y116" s="194">
        <f t="array" ref="Y116:Y116">IFERROR(AE116+(AL116-_DFactor)*AE116,"")</f>
        <v/>
      </c>
      <c r="Z116" s="157">
        <f>IFERROR(AF116+(AI116-_DFactor)*AF116,"")</f>
        <v/>
      </c>
      <c r="AC116" s="194">
        <f>VLOOKUP(M116&amp;N116,Schedule!A:F,6,0)</f>
        <v/>
      </c>
      <c r="AD116" s="194">
        <f>VLOOKUP(M116&amp;P116,Schedule!A:F,6,0)</f>
        <v/>
      </c>
      <c r="AE116" s="156">
        <f>VLOOKUP(N116,ProjPVT!B:I,8,0)*_Mag/VLOOKUP(P116,Standings!A:O,15,0)*H116*K116</f>
        <v/>
      </c>
      <c r="AF116" s="156">
        <f>VLOOKUP(P116,ProjPVT!B:I,8,0)*_Mag/VLOOKUP(N116,Standings!A:O,15,0)*J116*I116</f>
        <v/>
      </c>
      <c r="AG116" s="195">
        <f>VLOOKUP(N116,Matrix!AA:AC,3,0)</f>
        <v/>
      </c>
      <c r="AH116" s="195">
        <f>SUMIFS(Def!C:C,Def!F:F,AG116)</f>
        <v/>
      </c>
      <c r="AI116" s="156">
        <f>IFERROR(SUMIFS(Def!B:B,Def!F:F,AG116)/AH116,"")</f>
        <v/>
      </c>
      <c r="AJ116" s="195">
        <f>VLOOKUP(P116,Matrix!AA:AC,3,0)</f>
        <v/>
      </c>
      <c r="AK116" s="195">
        <f>SUMIFS(Def!C:C,Def!F:F,AJ116)</f>
        <v/>
      </c>
      <c r="AL116" s="156">
        <f>IFERROR(SUMIFS(Def!B:B,Def!F:F,AJ116)/AK116,"")</f>
        <v/>
      </c>
    </row>
    <row r="117" ht="14.4" customHeight="1" s="152">
      <c r="A117" s="157">
        <f>IF(F117="Yes",IFERROR(IF(AA117&gt;1,AA117/100,100/-AA117),""),-1)</f>
        <v/>
      </c>
      <c r="B117" s="157">
        <f>B116+1</f>
        <v/>
      </c>
      <c r="C117" s="157">
        <f>IF(Y117&gt;Z117,1,0)</f>
        <v/>
      </c>
      <c r="D117" s="157">
        <f>IF(AND(C117=1,F117="Yes"),"Yes",IF(AND(C117=0,F117="No"),"Yes","No"))</f>
        <v/>
      </c>
      <c r="E117" s="192">
        <f>IF((AC117+AB117)=AD117,"Push",IF((AC117+AB117)&gt;AD117,"Yes","No"))</f>
        <v/>
      </c>
      <c r="F117" s="192">
        <f>IF(AC117&gt;AD117,"Yes","No")</f>
        <v/>
      </c>
      <c r="G117" s="192">
        <f>IF((Y117+AB117)&gt;Z117,"Yes",IF((Y117+AB117)=Z117,"Push","No"))</f>
        <v/>
      </c>
      <c r="H117" s="157">
        <f>IF(O117="Home",VLOOKUP(N117,Matrix!A:S,19,0),1)</f>
        <v/>
      </c>
      <c r="I117" s="157">
        <f>IF(O117="Away",VLOOKUP(N117,Matrix!A:Z,20,0),1)</f>
        <v/>
      </c>
      <c r="J117" s="157">
        <f>IF(O117="Away",VLOOKUP(P117,Matrix!A:S,19,0),1)</f>
        <v/>
      </c>
      <c r="K117" s="157">
        <f>IF(O117="Home",VLOOKUP(P117,Matrix!A:Z,20,0),1)</f>
        <v/>
      </c>
      <c r="L117" s="156" t="n">
        <v>0.0359463777319074</v>
      </c>
      <c r="M117" s="179">
        <f>Schedule!B117</f>
        <v/>
      </c>
      <c r="N117" s="156">
        <f>Schedule!E117</f>
        <v/>
      </c>
      <c r="O117" s="156" t="inlineStr">
        <is>
          <t>Away</t>
        </is>
      </c>
      <c r="P117" s="157">
        <f>Schedule!H117</f>
        <v/>
      </c>
      <c r="Q117" s="157">
        <f>Schedule!C117</f>
        <v/>
      </c>
      <c r="R117" s="180">
        <f>Schedule!D117</f>
        <v/>
      </c>
      <c r="S117" s="181">
        <f>Schedule!J117</f>
        <v/>
      </c>
      <c r="T117" s="193">
        <f>Y117-Z117</f>
        <v/>
      </c>
      <c r="U117" s="182">
        <f>T117/Picks!$K$2</f>
        <v/>
      </c>
      <c r="V117" s="193">
        <f>INDEX(Standings!$T$3:$T$34, MATCH(N117, Standings!$A$3:$A$34, 0)) - INDEX(Standings!$T$3:$T$34, MATCH(P117, Standings!$A$3:$A$34, 0))</f>
        <v/>
      </c>
      <c r="W117" s="157">
        <f>INDEX(Standings!$L$3:$L$34, MATCH(N117, Standings!$A$3:$A$34, 0)) - INDEX(Standings!$L$3:$L$34, MATCH(P117, Standings!$A$3:$A$34, 0))</f>
        <v/>
      </c>
      <c r="X117" s="157">
        <f>INDEX(Standings!$M$3:$M$34, MATCH(N117, Standings!$A$3:$A$34, 0)) - INDEX(Standings!$M$3:$M$34, MATCH(P117, Standings!$A$3:$A$34, 0))</f>
        <v/>
      </c>
      <c r="Y117" s="194">
        <f t="array" ref="Y117:Y117">IFERROR(AE117+(AL117-_DFactor)*AE117,"")</f>
        <v/>
      </c>
      <c r="Z117" s="157">
        <f>IFERROR(AF117+(AI117-_DFactor)*AF117,"")</f>
        <v/>
      </c>
      <c r="AC117" s="194">
        <f>VLOOKUP(M117&amp;N117,Schedule!A:F,6,0)</f>
        <v/>
      </c>
      <c r="AD117" s="194">
        <f>VLOOKUP(M117&amp;P117,Schedule!A:F,6,0)</f>
        <v/>
      </c>
      <c r="AE117" s="156">
        <f>VLOOKUP(N117,ProjPVT!B:I,8,0)*_Mag/VLOOKUP(P117,Standings!A:O,15,0)*H117*K117</f>
        <v/>
      </c>
      <c r="AF117" s="156">
        <f>VLOOKUP(P117,ProjPVT!B:I,8,0)*_Mag/VLOOKUP(N117,Standings!A:O,15,0)*J117*I117</f>
        <v/>
      </c>
      <c r="AG117" s="195">
        <f>VLOOKUP(N117,Matrix!AA:AC,3,0)</f>
        <v/>
      </c>
      <c r="AH117" s="195">
        <f>SUMIFS(Def!C:C,Def!F:F,AG117)</f>
        <v/>
      </c>
      <c r="AI117" s="156">
        <f>IFERROR(SUMIFS(Def!B:B,Def!F:F,AG117)/AH117,"")</f>
        <v/>
      </c>
      <c r="AJ117" s="195">
        <f>VLOOKUP(P117,Matrix!AA:AC,3,0)</f>
        <v/>
      </c>
      <c r="AK117" s="195">
        <f>SUMIFS(Def!C:C,Def!F:F,AJ117)</f>
        <v/>
      </c>
      <c r="AL117" s="156">
        <f>IFERROR(SUMIFS(Def!B:B,Def!F:F,AJ117)/AK117,"")</f>
        <v/>
      </c>
    </row>
    <row r="118" ht="14.4" customHeight="1" s="152">
      <c r="A118" s="157">
        <f>IF(F118="Yes",IFERROR(IF(AA118&gt;1,AA118/100,100/-AA118),""),-1)</f>
        <v/>
      </c>
      <c r="B118" s="157">
        <f>B117+1</f>
        <v/>
      </c>
      <c r="C118" s="157">
        <f>IF(Y118&gt;Z118,1,0)</f>
        <v/>
      </c>
      <c r="D118" s="157">
        <f>IF(AND(C118=1,F118="Yes"),"Yes",IF(AND(C118=0,F118="No"),"Yes","No"))</f>
        <v/>
      </c>
      <c r="E118" s="192">
        <f>IF((AC118+AB118)=AD118,"Push",IF((AC118+AB118)&gt;AD118,"Yes","No"))</f>
        <v/>
      </c>
      <c r="F118" s="192">
        <f>IF(AC118&gt;AD118,"Yes","No")</f>
        <v/>
      </c>
      <c r="G118" s="192">
        <f>IF((Y118+AB118)&gt;Z118,"Yes",IF((Y118+AB118)=Z118,"Push","No"))</f>
        <v/>
      </c>
      <c r="H118" s="157">
        <f>IF(O118="Home",VLOOKUP(N118,Matrix!A:S,19,0),1)</f>
        <v/>
      </c>
      <c r="I118" s="157">
        <f>IF(O118="Away",VLOOKUP(N118,Matrix!A:Z,20,0),1)</f>
        <v/>
      </c>
      <c r="J118" s="157">
        <f>IF(O118="Away",VLOOKUP(P118,Matrix!A:S,19,0),1)</f>
        <v/>
      </c>
      <c r="K118" s="157">
        <f>IF(O118="Home",VLOOKUP(P118,Matrix!A:Z,20,0),1)</f>
        <v/>
      </c>
      <c r="L118" s="156" t="n">
        <v>0.0373521524825162</v>
      </c>
      <c r="M118" s="179">
        <f>Schedule!B118</f>
        <v/>
      </c>
      <c r="N118" s="156">
        <f>Schedule!E118</f>
        <v/>
      </c>
      <c r="O118" s="156" t="inlineStr">
        <is>
          <t>Home</t>
        </is>
      </c>
      <c r="P118" s="157">
        <f>Schedule!H118</f>
        <v/>
      </c>
      <c r="Q118" s="157">
        <f>Schedule!C118</f>
        <v/>
      </c>
      <c r="R118" s="180">
        <f>Schedule!D118</f>
        <v/>
      </c>
      <c r="S118" s="181">
        <f>Schedule!J118</f>
        <v/>
      </c>
      <c r="T118" s="193">
        <f>Y118-Z118</f>
        <v/>
      </c>
      <c r="U118" s="182">
        <f>T118/Picks!$K$2</f>
        <v/>
      </c>
      <c r="V118" s="193">
        <f>INDEX(Standings!$T$3:$T$34, MATCH(N118, Standings!$A$3:$A$34, 0)) - INDEX(Standings!$T$3:$T$34, MATCH(P118, Standings!$A$3:$A$34, 0))</f>
        <v/>
      </c>
      <c r="W118" s="157">
        <f>INDEX(Standings!$L$3:$L$34, MATCH(N118, Standings!$A$3:$A$34, 0)) - INDEX(Standings!$L$3:$L$34, MATCH(P118, Standings!$A$3:$A$34, 0))</f>
        <v/>
      </c>
      <c r="X118" s="157">
        <f>INDEX(Standings!$M$3:$M$34, MATCH(N118, Standings!$A$3:$A$34, 0)) - INDEX(Standings!$M$3:$M$34, MATCH(P118, Standings!$A$3:$A$34, 0))</f>
        <v/>
      </c>
      <c r="Y118" s="194">
        <f t="array" ref="Y118:Y118">IFERROR(AE118+(AL118-_DFactor)*AE118,"")</f>
        <v/>
      </c>
      <c r="Z118" s="157">
        <f>IFERROR(AF118+(AI118-_DFactor)*AF118,"")</f>
        <v/>
      </c>
      <c r="AC118" s="194">
        <f>VLOOKUP(M118&amp;N118,Schedule!A:F,6,0)</f>
        <v/>
      </c>
      <c r="AD118" s="194">
        <f>VLOOKUP(M118&amp;P118,Schedule!A:F,6,0)</f>
        <v/>
      </c>
      <c r="AE118" s="156">
        <f>VLOOKUP(N118,ProjPVT!B:I,8,0)*_Mag/VLOOKUP(P118,Standings!A:O,15,0)*H118*K118</f>
        <v/>
      </c>
      <c r="AF118" s="156">
        <f>VLOOKUP(P118,ProjPVT!B:I,8,0)*_Mag/VLOOKUP(N118,Standings!A:O,15,0)*J118*I118</f>
        <v/>
      </c>
      <c r="AG118" s="195">
        <f>VLOOKUP(N118,Matrix!AA:AC,3,0)</f>
        <v/>
      </c>
      <c r="AH118" s="195">
        <f>SUMIFS(Def!C:C,Def!F:F,AG118)</f>
        <v/>
      </c>
      <c r="AI118" s="156">
        <f>IFERROR(SUMIFS(Def!B:B,Def!F:F,AG118)/AH118,"")</f>
        <v/>
      </c>
      <c r="AJ118" s="195">
        <f>VLOOKUP(P118,Matrix!AA:AC,3,0)</f>
        <v/>
      </c>
      <c r="AK118" s="195">
        <f>SUMIFS(Def!C:C,Def!F:F,AJ118)</f>
        <v/>
      </c>
      <c r="AL118" s="156">
        <f>IFERROR(SUMIFS(Def!B:B,Def!F:F,AJ118)/AK118,"")</f>
        <v/>
      </c>
    </row>
    <row r="119" ht="14.4" customHeight="1" s="152">
      <c r="A119" s="157">
        <f>IF(F119="Yes",IFERROR(IF(AA119&gt;1,AA119/100,100/-AA119),""),-1)</f>
        <v/>
      </c>
      <c r="B119" s="157">
        <f>B118+1</f>
        <v/>
      </c>
      <c r="C119" s="157">
        <f>IF(Y119&gt;Z119,1,0)</f>
        <v/>
      </c>
      <c r="D119" s="157">
        <f>IF(AND(C119=1,F119="Yes"),"Yes",IF(AND(C119=0,F119="No"),"Yes","No"))</f>
        <v/>
      </c>
      <c r="E119" s="192">
        <f>IF((AC119+AB119)=AD119,"Push",IF((AC119+AB119)&gt;AD119,"Yes","No"))</f>
        <v/>
      </c>
      <c r="F119" s="192">
        <f>IF(AC119&gt;AD119,"Yes","No")</f>
        <v/>
      </c>
      <c r="G119" s="192">
        <f>IF((Y119+AB119)&gt;Z119,"Yes",IF((Y119+AB119)=Z119,"Push","No"))</f>
        <v/>
      </c>
      <c r="H119" s="157">
        <f>IF(O119="Home",VLOOKUP(N119,Matrix!A:S,19,0),1)</f>
        <v/>
      </c>
      <c r="I119" s="157">
        <f>IF(O119="Away",VLOOKUP(N119,Matrix!A:Z,20,0),1)</f>
        <v/>
      </c>
      <c r="J119" s="157">
        <f>IF(O119="Away",VLOOKUP(P119,Matrix!A:S,19,0),1)</f>
        <v/>
      </c>
      <c r="K119" s="157">
        <f>IF(O119="Home",VLOOKUP(P119,Matrix!A:Z,20,0),1)</f>
        <v/>
      </c>
      <c r="L119" s="156" t="n">
        <v>0.0691467143923999</v>
      </c>
      <c r="M119" s="179">
        <f>Schedule!B119</f>
        <v/>
      </c>
      <c r="N119" s="156">
        <f>Schedule!E119</f>
        <v/>
      </c>
      <c r="O119" s="156" t="inlineStr">
        <is>
          <t>Away</t>
        </is>
      </c>
      <c r="P119" s="157">
        <f>Schedule!H119</f>
        <v/>
      </c>
      <c r="Q119" s="157">
        <f>Schedule!C119</f>
        <v/>
      </c>
      <c r="R119" s="180">
        <f>Schedule!D119</f>
        <v/>
      </c>
      <c r="S119" s="181">
        <f>Schedule!J119</f>
        <v/>
      </c>
      <c r="T119" s="193">
        <f>Y119-Z119</f>
        <v/>
      </c>
      <c r="U119" s="182">
        <f>T119/Picks!$K$2</f>
        <v/>
      </c>
      <c r="V119" s="193">
        <f>INDEX(Standings!$T$3:$T$34, MATCH(N119, Standings!$A$3:$A$34, 0)) - INDEX(Standings!$T$3:$T$34, MATCH(P119, Standings!$A$3:$A$34, 0))</f>
        <v/>
      </c>
      <c r="W119" s="157">
        <f>INDEX(Standings!$L$3:$L$34, MATCH(N119, Standings!$A$3:$A$34, 0)) - INDEX(Standings!$L$3:$L$34, MATCH(P119, Standings!$A$3:$A$34, 0))</f>
        <v/>
      </c>
      <c r="X119" s="157">
        <f>INDEX(Standings!$M$3:$M$34, MATCH(N119, Standings!$A$3:$A$34, 0)) - INDEX(Standings!$M$3:$M$34, MATCH(P119, Standings!$A$3:$A$34, 0))</f>
        <v/>
      </c>
      <c r="Y119" s="194">
        <f t="array" ref="Y119:Y119">IFERROR(AE119+(AL119-_DFactor)*AE119,"")</f>
        <v/>
      </c>
      <c r="Z119" s="157">
        <f>IFERROR(AF119+(AI119-_DFactor)*AF119,"")</f>
        <v/>
      </c>
      <c r="AC119" s="194">
        <f>VLOOKUP(M119&amp;N119,Schedule!A:F,6,0)</f>
        <v/>
      </c>
      <c r="AD119" s="194">
        <f>VLOOKUP(M119&amp;P119,Schedule!A:F,6,0)</f>
        <v/>
      </c>
      <c r="AE119" s="156">
        <f>VLOOKUP(N119,ProjPVT!B:I,8,0)*_Mag/VLOOKUP(P119,Standings!A:O,15,0)*H119*K119</f>
        <v/>
      </c>
      <c r="AF119" s="156">
        <f>VLOOKUP(P119,ProjPVT!B:I,8,0)*_Mag/VLOOKUP(N119,Standings!A:O,15,0)*J119*I119</f>
        <v/>
      </c>
      <c r="AG119" s="195">
        <f>VLOOKUP(N119,Matrix!AA:AC,3,0)</f>
        <v/>
      </c>
      <c r="AH119" s="195">
        <f>SUMIFS(Def!C:C,Def!F:F,AG119)</f>
        <v/>
      </c>
      <c r="AI119" s="156">
        <f>IFERROR(SUMIFS(Def!B:B,Def!F:F,AG119)/AH119,"")</f>
        <v/>
      </c>
      <c r="AJ119" s="195">
        <f>VLOOKUP(P119,Matrix!AA:AC,3,0)</f>
        <v/>
      </c>
      <c r="AK119" s="195">
        <f>SUMIFS(Def!C:C,Def!F:F,AJ119)</f>
        <v/>
      </c>
      <c r="AL119" s="156">
        <f>IFERROR(SUMIFS(Def!B:B,Def!F:F,AJ119)/AK119,"")</f>
        <v/>
      </c>
    </row>
    <row r="120" ht="14.4" customHeight="1" s="152">
      <c r="A120" s="157">
        <f>IF(F120="Yes",IFERROR(IF(AA120&gt;1,AA120/100,100/-AA120),""),-1)</f>
        <v/>
      </c>
      <c r="B120" s="157">
        <f>B119+1</f>
        <v/>
      </c>
      <c r="C120" s="157">
        <f>IF(Y120&gt;Z120,1,0)</f>
        <v/>
      </c>
      <c r="D120" s="157">
        <f>IF(AND(C120=1,F120="Yes"),"Yes",IF(AND(C120=0,F120="No"),"Yes","No"))</f>
        <v/>
      </c>
      <c r="E120" s="192">
        <f>IF((AC120+AB120)=AD120,"Push",IF((AC120+AB120)&gt;AD120,"Yes","No"))</f>
        <v/>
      </c>
      <c r="F120" s="192">
        <f>IF(AC120&gt;AD120,"Yes","No")</f>
        <v/>
      </c>
      <c r="G120" s="192">
        <f>IF((Y120+AB120)&gt;Z120,"Yes",IF((Y120+AB120)=Z120,"Push","No"))</f>
        <v/>
      </c>
      <c r="H120" s="157">
        <f>IF(O120="Home",VLOOKUP(N120,Matrix!A:S,19,0),1)</f>
        <v/>
      </c>
      <c r="I120" s="157">
        <f>IF(O120="Away",VLOOKUP(N120,Matrix!A:Z,20,0),1)</f>
        <v/>
      </c>
      <c r="J120" s="157">
        <f>IF(O120="Away",VLOOKUP(P120,Matrix!A:S,19,0),1)</f>
        <v/>
      </c>
      <c r="K120" s="157">
        <f>IF(O120="Home",VLOOKUP(P120,Matrix!A:Z,20,0),1)</f>
        <v/>
      </c>
      <c r="L120" s="156" t="n">
        <v>0.0804006940755254</v>
      </c>
      <c r="M120" s="179">
        <f>Schedule!B120</f>
        <v/>
      </c>
      <c r="N120" s="156">
        <f>Schedule!E120</f>
        <v/>
      </c>
      <c r="O120" s="156" t="inlineStr">
        <is>
          <t>Home</t>
        </is>
      </c>
      <c r="P120" s="157">
        <f>Schedule!H120</f>
        <v/>
      </c>
      <c r="Q120" s="157">
        <f>Schedule!C120</f>
        <v/>
      </c>
      <c r="R120" s="180">
        <f>Schedule!D120</f>
        <v/>
      </c>
      <c r="S120" s="181">
        <f>Schedule!J120</f>
        <v/>
      </c>
      <c r="T120" s="193">
        <f>Y120-Z120</f>
        <v/>
      </c>
      <c r="U120" s="182">
        <f>T120/Picks!$K$2</f>
        <v/>
      </c>
      <c r="V120" s="193">
        <f>INDEX(Standings!$T$3:$T$34, MATCH(N120, Standings!$A$3:$A$34, 0)) - INDEX(Standings!$T$3:$T$34, MATCH(P120, Standings!$A$3:$A$34, 0))</f>
        <v/>
      </c>
      <c r="W120" s="157">
        <f>INDEX(Standings!$L$3:$L$34, MATCH(N120, Standings!$A$3:$A$34, 0)) - INDEX(Standings!$L$3:$L$34, MATCH(P120, Standings!$A$3:$A$34, 0))</f>
        <v/>
      </c>
      <c r="X120" s="157">
        <f>INDEX(Standings!$M$3:$M$34, MATCH(N120, Standings!$A$3:$A$34, 0)) - INDEX(Standings!$M$3:$M$34, MATCH(P120, Standings!$A$3:$A$34, 0))</f>
        <v/>
      </c>
      <c r="Y120" s="194">
        <f t="array" ref="Y120:Y120">IFERROR(AE120+(AL120-_DFactor)*AE120,"")</f>
        <v/>
      </c>
      <c r="Z120" s="157">
        <f>IFERROR(AF120+(AI120-_DFactor)*AF120,"")</f>
        <v/>
      </c>
      <c r="AC120" s="194">
        <f>VLOOKUP(M120&amp;N120,Schedule!A:F,6,0)</f>
        <v/>
      </c>
      <c r="AD120" s="194">
        <f>VLOOKUP(M120&amp;P120,Schedule!A:F,6,0)</f>
        <v/>
      </c>
      <c r="AE120" s="156">
        <f>VLOOKUP(N120,ProjPVT!B:I,8,0)*_Mag/VLOOKUP(P120,Standings!A:O,15,0)*H120*K120</f>
        <v/>
      </c>
      <c r="AF120" s="156">
        <f>VLOOKUP(P120,ProjPVT!B:I,8,0)*_Mag/VLOOKUP(N120,Standings!A:O,15,0)*J120*I120</f>
        <v/>
      </c>
      <c r="AG120" s="195">
        <f>VLOOKUP(N120,Matrix!AA:AC,3,0)</f>
        <v/>
      </c>
      <c r="AH120" s="195">
        <f>SUMIFS(Def!C:C,Def!F:F,AG120)</f>
        <v/>
      </c>
      <c r="AI120" s="156">
        <f>IFERROR(SUMIFS(Def!B:B,Def!F:F,AG120)/AH120,"")</f>
        <v/>
      </c>
      <c r="AJ120" s="195">
        <f>VLOOKUP(P120,Matrix!AA:AC,3,0)</f>
        <v/>
      </c>
      <c r="AK120" s="195">
        <f>SUMIFS(Def!C:C,Def!F:F,AJ120)</f>
        <v/>
      </c>
      <c r="AL120" s="156">
        <f>IFERROR(SUMIFS(Def!B:B,Def!F:F,AJ120)/AK120,"")</f>
        <v/>
      </c>
    </row>
    <row r="121" ht="14.4" customHeight="1" s="152">
      <c r="A121" s="157">
        <f>IF(F121="Yes",IFERROR(IF(AA121&gt;1,AA121/100,100/-AA121),""),-1)</f>
        <v/>
      </c>
      <c r="B121" s="157">
        <f>B120+1</f>
        <v/>
      </c>
      <c r="C121" s="157">
        <f>IF(Y121&gt;Z121,1,0)</f>
        <v/>
      </c>
      <c r="D121" s="157">
        <f>IF(AND(C121=1,F121="Yes"),"Yes",IF(AND(C121=0,F121="No"),"Yes","No"))</f>
        <v/>
      </c>
      <c r="E121" s="192">
        <f>IF((AC121+AB121)=AD121,"Push",IF((AC121+AB121)&gt;AD121,"Yes","No"))</f>
        <v/>
      </c>
      <c r="F121" s="192">
        <f>IF(AC121&gt;AD121,"Yes","No")</f>
        <v/>
      </c>
      <c r="G121" s="192">
        <f>IF((Y121+AB121)&gt;Z121,"Yes",IF((Y121+AB121)=Z121,"Push","No"))</f>
        <v/>
      </c>
      <c r="H121" s="157">
        <f>IF(O121="Home",VLOOKUP(N121,Matrix!A:S,19,0),1)</f>
        <v/>
      </c>
      <c r="I121" s="157">
        <f>IF(O121="Away",VLOOKUP(N121,Matrix!A:Z,20,0),1)</f>
        <v/>
      </c>
      <c r="J121" s="157">
        <f>IF(O121="Away",VLOOKUP(P121,Matrix!A:S,19,0),1)</f>
        <v/>
      </c>
      <c r="K121" s="157">
        <f>IF(O121="Home",VLOOKUP(P121,Matrix!A:Z,20,0),1)</f>
        <v/>
      </c>
      <c r="L121" s="156" t="n">
        <v>0.0867559784910138</v>
      </c>
      <c r="M121" s="179">
        <f>Schedule!B121</f>
        <v/>
      </c>
      <c r="N121" s="156">
        <f>Schedule!E121</f>
        <v/>
      </c>
      <c r="O121" s="156" t="inlineStr">
        <is>
          <t>Away</t>
        </is>
      </c>
      <c r="P121" s="157">
        <f>Schedule!H121</f>
        <v/>
      </c>
      <c r="Q121" s="157">
        <f>Schedule!C121</f>
        <v/>
      </c>
      <c r="R121" s="180">
        <f>Schedule!D121</f>
        <v/>
      </c>
      <c r="S121" s="181">
        <f>Schedule!J121</f>
        <v/>
      </c>
      <c r="T121" s="193">
        <f>Y121-Z121</f>
        <v/>
      </c>
      <c r="U121" s="182">
        <f>T121/Picks!$K$2</f>
        <v/>
      </c>
      <c r="V121" s="193">
        <f>INDEX(Standings!$T$3:$T$34, MATCH(N121, Standings!$A$3:$A$34, 0)) - INDEX(Standings!$T$3:$T$34, MATCH(P121, Standings!$A$3:$A$34, 0))</f>
        <v/>
      </c>
      <c r="W121" s="157">
        <f>INDEX(Standings!$L$3:$L$34, MATCH(N121, Standings!$A$3:$A$34, 0)) - INDEX(Standings!$L$3:$L$34, MATCH(P121, Standings!$A$3:$A$34, 0))</f>
        <v/>
      </c>
      <c r="X121" s="157">
        <f>INDEX(Standings!$M$3:$M$34, MATCH(N121, Standings!$A$3:$A$34, 0)) - INDEX(Standings!$M$3:$M$34, MATCH(P121, Standings!$A$3:$A$34, 0))</f>
        <v/>
      </c>
      <c r="Y121" s="194">
        <f t="array" ref="Y121:Y121">IFERROR(AE121+(AL121-_DFactor)*AE121,"")</f>
        <v/>
      </c>
      <c r="Z121" s="157">
        <f>IFERROR(AF121+(AI121-_DFactor)*AF121,"")</f>
        <v/>
      </c>
      <c r="AC121" s="194">
        <f>VLOOKUP(M121&amp;N121,Schedule!A:F,6,0)</f>
        <v/>
      </c>
      <c r="AD121" s="194">
        <f>VLOOKUP(M121&amp;P121,Schedule!A:F,6,0)</f>
        <v/>
      </c>
      <c r="AE121" s="156">
        <f>VLOOKUP(N121,ProjPVT!B:I,8,0)*_Mag/VLOOKUP(P121,Standings!A:O,15,0)*H121*K121</f>
        <v/>
      </c>
      <c r="AF121" s="156">
        <f>VLOOKUP(P121,ProjPVT!B:I,8,0)*_Mag/VLOOKUP(N121,Standings!A:O,15,0)*J121*I121</f>
        <v/>
      </c>
      <c r="AG121" s="195">
        <f>VLOOKUP(N121,Matrix!AA:AC,3,0)</f>
        <v/>
      </c>
      <c r="AH121" s="195">
        <f>SUMIFS(Def!C:C,Def!F:F,AG121)</f>
        <v/>
      </c>
      <c r="AI121" s="156">
        <f>IFERROR(SUMIFS(Def!B:B,Def!F:F,AG121)/AH121,"")</f>
        <v/>
      </c>
      <c r="AJ121" s="195">
        <f>VLOOKUP(P121,Matrix!AA:AC,3,0)</f>
        <v/>
      </c>
      <c r="AK121" s="195">
        <f>SUMIFS(Def!C:C,Def!F:F,AJ121)</f>
        <v/>
      </c>
      <c r="AL121" s="156">
        <f>IFERROR(SUMIFS(Def!B:B,Def!F:F,AJ121)/AK121,"")</f>
        <v/>
      </c>
    </row>
    <row r="122" ht="14.4" customHeight="1" s="152">
      <c r="A122" s="157">
        <f>IF(F122="Yes",IFERROR(IF(AA122&gt;1,AA122/100,100/-AA122),""),-1)</f>
        <v/>
      </c>
      <c r="B122" s="157">
        <f>B121+1</f>
        <v/>
      </c>
      <c r="C122" s="157">
        <f>IF(Y122&gt;Z122,1,0)</f>
        <v/>
      </c>
      <c r="D122" s="157">
        <f>IF(AND(C122=1,F122="Yes"),"Yes",IF(AND(C122=0,F122="No"),"Yes","No"))</f>
        <v/>
      </c>
      <c r="E122" s="192">
        <f>IF((AC122+AB122)=AD122,"Push",IF((AC122+AB122)&gt;AD122,"Yes","No"))</f>
        <v/>
      </c>
      <c r="F122" s="192">
        <f>IF(AC122&gt;AD122,"Yes","No")</f>
        <v/>
      </c>
      <c r="G122" s="192">
        <f>IF((Y122+AB122)&gt;Z122,"Yes",IF((Y122+AB122)=Z122,"Push","No"))</f>
        <v/>
      </c>
      <c r="H122" s="157">
        <f>IF(O122="Home",VLOOKUP(N122,Matrix!A:S,19,0),1)</f>
        <v/>
      </c>
      <c r="I122" s="157">
        <f>IF(O122="Away",VLOOKUP(N122,Matrix!A:Z,20,0),1)</f>
        <v/>
      </c>
      <c r="J122" s="157">
        <f>IF(O122="Away",VLOOKUP(P122,Matrix!A:S,19,0),1)</f>
        <v/>
      </c>
      <c r="K122" s="157">
        <f>IF(O122="Home",VLOOKUP(P122,Matrix!A:Z,20,0),1)</f>
        <v/>
      </c>
      <c r="L122" s="156" t="n">
        <v>0.08929025643509091</v>
      </c>
      <c r="M122" s="179">
        <f>Schedule!B122</f>
        <v/>
      </c>
      <c r="N122" s="156">
        <f>Schedule!E122</f>
        <v/>
      </c>
      <c r="O122" s="156" t="inlineStr">
        <is>
          <t>Home</t>
        </is>
      </c>
      <c r="P122" s="157">
        <f>Schedule!H122</f>
        <v/>
      </c>
      <c r="Q122" s="157">
        <f>Schedule!C122</f>
        <v/>
      </c>
      <c r="R122" s="180">
        <f>Schedule!D122</f>
        <v/>
      </c>
      <c r="S122" s="181">
        <f>Schedule!J122</f>
        <v/>
      </c>
      <c r="T122" s="193">
        <f>Y122-Z122</f>
        <v/>
      </c>
      <c r="U122" s="182">
        <f>T122/Picks!$K$2</f>
        <v/>
      </c>
      <c r="V122" s="193">
        <f>INDEX(Standings!$T$3:$T$34, MATCH(N122, Standings!$A$3:$A$34, 0)) - INDEX(Standings!$T$3:$T$34, MATCH(P122, Standings!$A$3:$A$34, 0))</f>
        <v/>
      </c>
      <c r="W122" s="157">
        <f>INDEX(Standings!$L$3:$L$34, MATCH(N122, Standings!$A$3:$A$34, 0)) - INDEX(Standings!$L$3:$L$34, MATCH(P122, Standings!$A$3:$A$34, 0))</f>
        <v/>
      </c>
      <c r="X122" s="157">
        <f>INDEX(Standings!$M$3:$M$34, MATCH(N122, Standings!$A$3:$A$34, 0)) - INDEX(Standings!$M$3:$M$34, MATCH(P122, Standings!$A$3:$A$34, 0))</f>
        <v/>
      </c>
      <c r="Y122" s="194">
        <f t="array" ref="Y122:Y122">IFERROR(AE122+(AL122-_DFactor)*AE122,"")</f>
        <v/>
      </c>
      <c r="Z122" s="157">
        <f>IFERROR(AF122+(AI122-_DFactor)*AF122,"")</f>
        <v/>
      </c>
      <c r="AC122" s="194">
        <f>VLOOKUP(M122&amp;N122,Schedule!A:F,6,0)</f>
        <v/>
      </c>
      <c r="AD122" s="194">
        <f>VLOOKUP(M122&amp;P122,Schedule!A:F,6,0)</f>
        <v/>
      </c>
      <c r="AE122" s="156">
        <f>VLOOKUP(N122,ProjPVT!B:I,8,0)*_Mag/VLOOKUP(P122,Standings!A:O,15,0)*H122*K122</f>
        <v/>
      </c>
      <c r="AF122" s="156">
        <f>VLOOKUP(P122,ProjPVT!B:I,8,0)*_Mag/VLOOKUP(N122,Standings!A:O,15,0)*J122*I122</f>
        <v/>
      </c>
      <c r="AG122" s="195">
        <f>VLOOKUP(N122,Matrix!AA:AC,3,0)</f>
        <v/>
      </c>
      <c r="AH122" s="195">
        <f>SUMIFS(Def!C:C,Def!F:F,AG122)</f>
        <v/>
      </c>
      <c r="AI122" s="156">
        <f>IFERROR(SUMIFS(Def!B:B,Def!F:F,AG122)/AH122,"")</f>
        <v/>
      </c>
      <c r="AJ122" s="195">
        <f>VLOOKUP(P122,Matrix!AA:AC,3,0)</f>
        <v/>
      </c>
      <c r="AK122" s="195">
        <f>SUMIFS(Def!C:C,Def!F:F,AJ122)</f>
        <v/>
      </c>
      <c r="AL122" s="156">
        <f>IFERROR(SUMIFS(Def!B:B,Def!F:F,AJ122)/AK122,"")</f>
        <v/>
      </c>
    </row>
    <row r="123" ht="14.4" customHeight="1" s="152">
      <c r="A123" s="157">
        <f>IF(F123="Yes",IFERROR(IF(AA123&gt;1,AA123/100,100/-AA123),""),-1)</f>
        <v/>
      </c>
      <c r="B123" s="157">
        <f>B122+1</f>
        <v/>
      </c>
      <c r="C123" s="157">
        <f>IF(Y123&gt;Z123,1,0)</f>
        <v/>
      </c>
      <c r="D123" s="157">
        <f>IF(AND(C123=1,F123="Yes"),"Yes",IF(AND(C123=0,F123="No"),"Yes","No"))</f>
        <v/>
      </c>
      <c r="E123" s="192">
        <f>IF((AC123+AB123)=AD123,"Push",IF((AC123+AB123)&gt;AD123,"Yes","No"))</f>
        <v/>
      </c>
      <c r="F123" s="192">
        <f>IF(AC123&gt;AD123,"Yes","No")</f>
        <v/>
      </c>
      <c r="G123" s="192">
        <f>IF((Y123+AB123)&gt;Z123,"Yes",IF((Y123+AB123)=Z123,"Push","No"))</f>
        <v/>
      </c>
      <c r="H123" s="157">
        <f>IF(O123="Home",VLOOKUP(N123,Matrix!A:S,19,0),1)</f>
        <v/>
      </c>
      <c r="I123" s="157">
        <f>IF(O123="Away",VLOOKUP(N123,Matrix!A:Z,20,0),1)</f>
        <v/>
      </c>
      <c r="J123" s="157">
        <f>IF(O123="Away",VLOOKUP(P123,Matrix!A:S,19,0),1)</f>
        <v/>
      </c>
      <c r="K123" s="157">
        <f>IF(O123="Home",VLOOKUP(P123,Matrix!A:Z,20,0),1)</f>
        <v/>
      </c>
      <c r="L123" s="156" t="n">
        <v>0.226754531681078</v>
      </c>
      <c r="M123" s="179">
        <f>Schedule!B123</f>
        <v/>
      </c>
      <c r="N123" s="156">
        <f>Schedule!E123</f>
        <v/>
      </c>
      <c r="O123" s="156" t="inlineStr">
        <is>
          <t>Home</t>
        </is>
      </c>
      <c r="P123" s="157">
        <f>Schedule!H123</f>
        <v/>
      </c>
      <c r="Q123" s="157">
        <f>Schedule!C123</f>
        <v/>
      </c>
      <c r="R123" s="180">
        <f>Schedule!D123</f>
        <v/>
      </c>
      <c r="S123" s="181">
        <f>Schedule!J123</f>
        <v/>
      </c>
      <c r="T123" s="193">
        <f>Y123-Z123</f>
        <v/>
      </c>
      <c r="U123" s="182">
        <f>T123/Picks!$K$2</f>
        <v/>
      </c>
      <c r="V123" s="193">
        <f>INDEX(Standings!$T$3:$T$34, MATCH(N123, Standings!$A$3:$A$34, 0)) - INDEX(Standings!$T$3:$T$34, MATCH(P123, Standings!$A$3:$A$34, 0))</f>
        <v/>
      </c>
      <c r="W123" s="157">
        <f>INDEX(Standings!$L$3:$L$34, MATCH(N123, Standings!$A$3:$A$34, 0)) - INDEX(Standings!$L$3:$L$34, MATCH(P123, Standings!$A$3:$A$34, 0))</f>
        <v/>
      </c>
      <c r="X123" s="157">
        <f>INDEX(Standings!$M$3:$M$34, MATCH(N123, Standings!$A$3:$A$34, 0)) - INDEX(Standings!$M$3:$M$34, MATCH(P123, Standings!$A$3:$A$34, 0))</f>
        <v/>
      </c>
      <c r="Y123" s="194">
        <f t="array" ref="Y123:Y123">IFERROR(AE123+(AL123-_DFactor)*AE123,"")</f>
        <v/>
      </c>
      <c r="Z123" s="157">
        <f>IFERROR(AF123+(AI123-_DFactor)*AF123,"")</f>
        <v/>
      </c>
      <c r="AC123" s="194">
        <f>VLOOKUP(M123&amp;N123,Schedule!A:F,6,0)</f>
        <v/>
      </c>
      <c r="AD123" s="194">
        <f>VLOOKUP(M123&amp;P123,Schedule!A:F,6,0)</f>
        <v/>
      </c>
      <c r="AE123" s="156">
        <f>VLOOKUP(N123,ProjPVT!B:I,8,0)*_Mag/VLOOKUP(P123,Standings!A:O,15,0)*H123*K123</f>
        <v/>
      </c>
      <c r="AF123" s="156">
        <f>VLOOKUP(P123,ProjPVT!B:I,8,0)*_Mag/VLOOKUP(N123,Standings!A:O,15,0)*J123*I123</f>
        <v/>
      </c>
      <c r="AG123" s="195">
        <f>VLOOKUP(N123,Matrix!AA:AC,3,0)</f>
        <v/>
      </c>
      <c r="AH123" s="195">
        <f>SUMIFS(Def!C:C,Def!F:F,AG123)</f>
        <v/>
      </c>
      <c r="AI123" s="156">
        <f>IFERROR(SUMIFS(Def!B:B,Def!F:F,AG123)/AH123,"")</f>
        <v/>
      </c>
      <c r="AJ123" s="195">
        <f>VLOOKUP(P123,Matrix!AA:AC,3,0)</f>
        <v/>
      </c>
      <c r="AK123" s="195">
        <f>SUMIFS(Def!C:C,Def!F:F,AJ123)</f>
        <v/>
      </c>
      <c r="AL123" s="156">
        <f>IFERROR(SUMIFS(Def!B:B,Def!F:F,AJ123)/AK123,"")</f>
        <v/>
      </c>
    </row>
    <row r="124" ht="14.4" customHeight="1" s="152">
      <c r="A124" s="157">
        <f>IF(F124="Yes",IFERROR(IF(AA124&gt;1,AA124/100,100/-AA124),""),-1)</f>
        <v/>
      </c>
      <c r="B124" s="157">
        <f>B123+1</f>
        <v/>
      </c>
      <c r="C124" s="157">
        <f>IF(Y124&gt;Z124,1,0)</f>
        <v/>
      </c>
      <c r="D124" s="157">
        <f>IF(AND(C124=1,F124="Yes"),"Yes",IF(AND(C124=0,F124="No"),"Yes","No"))</f>
        <v/>
      </c>
      <c r="E124" s="192">
        <f>IF((AC124+AB124)=AD124,"Push",IF((AC124+AB124)&gt;AD124,"Yes","No"))</f>
        <v/>
      </c>
      <c r="F124" s="192">
        <f>IF(AC124&gt;AD124,"Yes","No")</f>
        <v/>
      </c>
      <c r="G124" s="192">
        <f>IF((Y124+AB124)&gt;Z124,"Yes",IF((Y124+AB124)=Z124,"Push","No"))</f>
        <v/>
      </c>
      <c r="H124" s="157">
        <f>IF(O124="Home",VLOOKUP(N124,Matrix!A:S,19,0),1)</f>
        <v/>
      </c>
      <c r="I124" s="157">
        <f>IF(O124="Away",VLOOKUP(N124,Matrix!A:Z,20,0),1)</f>
        <v/>
      </c>
      <c r="J124" s="157">
        <f>IF(O124="Away",VLOOKUP(P124,Matrix!A:S,19,0),1)</f>
        <v/>
      </c>
      <c r="K124" s="157">
        <f>IF(O124="Home",VLOOKUP(P124,Matrix!A:Z,20,0),1)</f>
        <v/>
      </c>
      <c r="L124" s="156" t="n">
        <v>0.252486388844689</v>
      </c>
      <c r="M124" s="179">
        <f>Schedule!B124</f>
        <v/>
      </c>
      <c r="N124" s="156">
        <f>Schedule!E124</f>
        <v/>
      </c>
      <c r="O124" s="156" t="inlineStr">
        <is>
          <t>Away</t>
        </is>
      </c>
      <c r="P124" s="157">
        <f>Schedule!H124</f>
        <v/>
      </c>
      <c r="Q124" s="157">
        <f>Schedule!C124</f>
        <v/>
      </c>
      <c r="R124" s="180">
        <f>Schedule!D124</f>
        <v/>
      </c>
      <c r="S124" s="181">
        <f>Schedule!J124</f>
        <v/>
      </c>
      <c r="T124" s="193">
        <f>Y124-Z124</f>
        <v/>
      </c>
      <c r="U124" s="182">
        <f>T124/Picks!$K$2</f>
        <v/>
      </c>
      <c r="V124" s="193">
        <f>INDEX(Standings!$T$3:$T$34, MATCH(N124, Standings!$A$3:$A$34, 0)) - INDEX(Standings!$T$3:$T$34, MATCH(P124, Standings!$A$3:$A$34, 0))</f>
        <v/>
      </c>
      <c r="W124" s="157">
        <f>INDEX(Standings!$L$3:$L$34, MATCH(N124, Standings!$A$3:$A$34, 0)) - INDEX(Standings!$L$3:$L$34, MATCH(P124, Standings!$A$3:$A$34, 0))</f>
        <v/>
      </c>
      <c r="X124" s="157">
        <f>INDEX(Standings!$M$3:$M$34, MATCH(N124, Standings!$A$3:$A$34, 0)) - INDEX(Standings!$M$3:$M$34, MATCH(P124, Standings!$A$3:$A$34, 0))</f>
        <v/>
      </c>
      <c r="Y124" s="194">
        <f t="array" ref="Y124:Y124">IFERROR(AE124+(AL124-_DFactor)*AE124,"")</f>
        <v/>
      </c>
      <c r="Z124" s="157">
        <f>IFERROR(AF124+(AI124-_DFactor)*AF124,"")</f>
        <v/>
      </c>
      <c r="AC124" s="194">
        <f>VLOOKUP(M124&amp;N124,Schedule!A:F,6,0)</f>
        <v/>
      </c>
      <c r="AD124" s="194">
        <f>VLOOKUP(M124&amp;P124,Schedule!A:F,6,0)</f>
        <v/>
      </c>
      <c r="AE124" s="156">
        <f>VLOOKUP(N124,ProjPVT!B:I,8,0)*_Mag/VLOOKUP(P124,Standings!A:O,15,0)*H124*K124</f>
        <v/>
      </c>
      <c r="AF124" s="156">
        <f>VLOOKUP(P124,ProjPVT!B:I,8,0)*_Mag/VLOOKUP(N124,Standings!A:O,15,0)*J124*I124</f>
        <v/>
      </c>
      <c r="AG124" s="195">
        <f>VLOOKUP(N124,Matrix!AA:AC,3,0)</f>
        <v/>
      </c>
      <c r="AH124" s="195">
        <f>SUMIFS(Def!C:C,Def!F:F,AG124)</f>
        <v/>
      </c>
      <c r="AI124" s="156">
        <f>IFERROR(SUMIFS(Def!B:B,Def!F:F,AG124)/AH124,"")</f>
        <v/>
      </c>
      <c r="AJ124" s="195">
        <f>VLOOKUP(P124,Matrix!AA:AC,3,0)</f>
        <v/>
      </c>
      <c r="AK124" s="195">
        <f>SUMIFS(Def!C:C,Def!F:F,AJ124)</f>
        <v/>
      </c>
      <c r="AL124" s="156">
        <f>IFERROR(SUMIFS(Def!B:B,Def!F:F,AJ124)/AK124,"")</f>
        <v/>
      </c>
    </row>
    <row r="125" ht="14.4" customHeight="1" s="152">
      <c r="A125" s="157">
        <f>IF(F125="Yes",IFERROR(IF(AA125&gt;1,AA125/100,100/-AA125),""),-1)</f>
        <v/>
      </c>
      <c r="B125" s="157">
        <f>B124+1</f>
        <v/>
      </c>
      <c r="C125" s="157">
        <f>IF(Y125&gt;Z125,1,0)</f>
        <v/>
      </c>
      <c r="D125" s="157">
        <f>IF(AND(C125=1,F125="Yes"),"Yes",IF(AND(C125=0,F125="No"),"Yes","No"))</f>
        <v/>
      </c>
      <c r="E125" s="192">
        <f>IF((AC125+AB125)=AD125,"Push",IF((AC125+AB125)&gt;AD125,"Yes","No"))</f>
        <v/>
      </c>
      <c r="F125" s="192">
        <f>IF(AC125&gt;AD125,"Yes","No")</f>
        <v/>
      </c>
      <c r="G125" s="192">
        <f>IF((Y125+AB125)&gt;Z125,"Yes",IF((Y125+AB125)=Z125,"Push","No"))</f>
        <v/>
      </c>
      <c r="H125" s="157">
        <f>IF(O125="Home",VLOOKUP(N125,Matrix!A:S,19,0),1)</f>
        <v/>
      </c>
      <c r="I125" s="157">
        <f>IF(O125="Away",VLOOKUP(N125,Matrix!A:Z,20,0),1)</f>
        <v/>
      </c>
      <c r="J125" s="157">
        <f>IF(O125="Away",VLOOKUP(P125,Matrix!A:S,19,0),1)</f>
        <v/>
      </c>
      <c r="K125" s="157">
        <f>IF(O125="Home",VLOOKUP(P125,Matrix!A:Z,20,0),1)</f>
        <v/>
      </c>
      <c r="L125" s="156" t="n">
        <v>0.304067973122506</v>
      </c>
      <c r="M125" s="179">
        <f>Schedule!B125</f>
        <v/>
      </c>
      <c r="N125" s="156">
        <f>Schedule!E125</f>
        <v/>
      </c>
      <c r="O125" s="156" t="inlineStr">
        <is>
          <t>Home</t>
        </is>
      </c>
      <c r="P125" s="157">
        <f>Schedule!H125</f>
        <v/>
      </c>
      <c r="Q125" s="157">
        <f>Schedule!C125</f>
        <v/>
      </c>
      <c r="R125" s="180">
        <f>Schedule!D125</f>
        <v/>
      </c>
      <c r="S125" s="181">
        <f>Schedule!J125</f>
        <v/>
      </c>
      <c r="T125" s="193">
        <f>Y125-Z125</f>
        <v/>
      </c>
      <c r="U125" s="182">
        <f>T125/Picks!$K$2</f>
        <v/>
      </c>
      <c r="V125" s="193">
        <f>INDEX(Standings!$T$3:$T$34, MATCH(N125, Standings!$A$3:$A$34, 0)) - INDEX(Standings!$T$3:$T$34, MATCH(P125, Standings!$A$3:$A$34, 0))</f>
        <v/>
      </c>
      <c r="W125" s="157">
        <f>INDEX(Standings!$L$3:$L$34, MATCH(N125, Standings!$A$3:$A$34, 0)) - INDEX(Standings!$L$3:$L$34, MATCH(P125, Standings!$A$3:$A$34, 0))</f>
        <v/>
      </c>
      <c r="X125" s="157">
        <f>INDEX(Standings!$M$3:$M$34, MATCH(N125, Standings!$A$3:$A$34, 0)) - INDEX(Standings!$M$3:$M$34, MATCH(P125, Standings!$A$3:$A$34, 0))</f>
        <v/>
      </c>
      <c r="Y125" s="194">
        <f t="array" ref="Y125:Y125">IFERROR(AE125+(AL125-_DFactor)*AE125,"")</f>
        <v/>
      </c>
      <c r="Z125" s="157">
        <f>IFERROR(AF125+(AI125-_DFactor)*AF125,"")</f>
        <v/>
      </c>
      <c r="AC125" s="194">
        <f>VLOOKUP(M125&amp;N125,Schedule!A:F,6,0)</f>
        <v/>
      </c>
      <c r="AD125" s="194">
        <f>VLOOKUP(M125&amp;P125,Schedule!A:F,6,0)</f>
        <v/>
      </c>
      <c r="AE125" s="156">
        <f>VLOOKUP(N125,ProjPVT!B:I,8,0)*_Mag/VLOOKUP(P125,Standings!A:O,15,0)*H125*K125</f>
        <v/>
      </c>
      <c r="AF125" s="156">
        <f>VLOOKUP(P125,ProjPVT!B:I,8,0)*_Mag/VLOOKUP(N125,Standings!A:O,15,0)*J125*I125</f>
        <v/>
      </c>
      <c r="AG125" s="195">
        <f>VLOOKUP(N125,Matrix!AA:AC,3,0)</f>
        <v/>
      </c>
      <c r="AH125" s="195">
        <f>SUMIFS(Def!C:C,Def!F:F,AG125)</f>
        <v/>
      </c>
      <c r="AI125" s="156">
        <f>IFERROR(SUMIFS(Def!B:B,Def!F:F,AG125)/AH125,"")</f>
        <v/>
      </c>
      <c r="AJ125" s="195">
        <f>VLOOKUP(P125,Matrix!AA:AC,3,0)</f>
        <v/>
      </c>
      <c r="AK125" s="195">
        <f>SUMIFS(Def!C:C,Def!F:F,AJ125)</f>
        <v/>
      </c>
      <c r="AL125" s="156">
        <f>IFERROR(SUMIFS(Def!B:B,Def!F:F,AJ125)/AK125,"")</f>
        <v/>
      </c>
    </row>
    <row r="126" ht="14.4" customHeight="1" s="152">
      <c r="A126" s="157">
        <f>IF(F126="Yes",IFERROR(IF(AA126&gt;1,AA126/100,100/-AA126),""),-1)</f>
        <v/>
      </c>
      <c r="B126" s="157">
        <f>B125+1</f>
        <v/>
      </c>
      <c r="C126" s="157">
        <f>IF(Y126&gt;Z126,1,0)</f>
        <v/>
      </c>
      <c r="D126" s="157">
        <f>IF(AND(C126=1,F126="Yes"),"Yes",IF(AND(C126=0,F126="No"),"Yes","No"))</f>
        <v/>
      </c>
      <c r="E126" s="192">
        <f>IF((AC126+AB126)=AD126,"Push",IF((AC126+AB126)&gt;AD126,"Yes","No"))</f>
        <v/>
      </c>
      <c r="F126" s="192">
        <f>IF(AC126&gt;AD126,"Yes","No")</f>
        <v/>
      </c>
      <c r="G126" s="192">
        <f>IF((Y126+AB126)&gt;Z126,"Yes",IF((Y126+AB126)=Z126,"Push","No"))</f>
        <v/>
      </c>
      <c r="H126" s="157">
        <f>IF(O126="Home",VLOOKUP(N126,Matrix!A:S,19,0),1)</f>
        <v/>
      </c>
      <c r="I126" s="157">
        <f>IF(O126="Away",VLOOKUP(N126,Matrix!A:Z,20,0),1)</f>
        <v/>
      </c>
      <c r="J126" s="157">
        <f>IF(O126="Away",VLOOKUP(P126,Matrix!A:S,19,0),1)</f>
        <v/>
      </c>
      <c r="K126" s="157">
        <f>IF(O126="Home",VLOOKUP(P126,Matrix!A:Z,20,0),1)</f>
        <v/>
      </c>
      <c r="L126" s="156" t="n">
        <v>0.317980333252378</v>
      </c>
      <c r="M126" s="179">
        <f>Schedule!B126</f>
        <v/>
      </c>
      <c r="N126" s="156">
        <f>Schedule!E126</f>
        <v/>
      </c>
      <c r="O126" s="156" t="inlineStr">
        <is>
          <t>Away</t>
        </is>
      </c>
      <c r="P126" s="157">
        <f>Schedule!H126</f>
        <v/>
      </c>
      <c r="Q126" s="157">
        <f>Schedule!C126</f>
        <v/>
      </c>
      <c r="R126" s="180">
        <f>Schedule!D126</f>
        <v/>
      </c>
      <c r="S126" s="181">
        <f>Schedule!J126</f>
        <v/>
      </c>
      <c r="T126" s="193">
        <f>Y126-Z126</f>
        <v/>
      </c>
      <c r="U126" s="182">
        <f>T126/Picks!$K$2</f>
        <v/>
      </c>
      <c r="V126" s="193">
        <f>INDEX(Standings!$T$3:$T$34, MATCH(N126, Standings!$A$3:$A$34, 0)) - INDEX(Standings!$T$3:$T$34, MATCH(P126, Standings!$A$3:$A$34, 0))</f>
        <v/>
      </c>
      <c r="W126" s="157">
        <f>INDEX(Standings!$L$3:$L$34, MATCH(N126, Standings!$A$3:$A$34, 0)) - INDEX(Standings!$L$3:$L$34, MATCH(P126, Standings!$A$3:$A$34, 0))</f>
        <v/>
      </c>
      <c r="X126" s="157">
        <f>INDEX(Standings!$M$3:$M$34, MATCH(N126, Standings!$A$3:$A$34, 0)) - INDEX(Standings!$M$3:$M$34, MATCH(P126, Standings!$A$3:$A$34, 0))</f>
        <v/>
      </c>
      <c r="Y126" s="194">
        <f t="array" ref="Y126:Y126">IFERROR(AE126+(AL126-_DFactor)*AE126,"")</f>
        <v/>
      </c>
      <c r="Z126" s="157">
        <f>IFERROR(AF126+(AI126-_DFactor)*AF126,"")</f>
        <v/>
      </c>
      <c r="AC126" s="194">
        <f>VLOOKUP(M126&amp;N126,Schedule!A:F,6,0)</f>
        <v/>
      </c>
      <c r="AD126" s="194">
        <f>VLOOKUP(M126&amp;P126,Schedule!A:F,6,0)</f>
        <v/>
      </c>
      <c r="AE126" s="156">
        <f>VLOOKUP(N126,ProjPVT!B:I,8,0)*_Mag/VLOOKUP(P126,Standings!A:O,15,0)*H126*K126</f>
        <v/>
      </c>
      <c r="AF126" s="156">
        <f>VLOOKUP(P126,ProjPVT!B:I,8,0)*_Mag/VLOOKUP(N126,Standings!A:O,15,0)*J126*I126</f>
        <v/>
      </c>
      <c r="AG126" s="195">
        <f>VLOOKUP(N126,Matrix!AA:AC,3,0)</f>
        <v/>
      </c>
      <c r="AH126" s="195">
        <f>SUMIFS(Def!C:C,Def!F:F,AG126)</f>
        <v/>
      </c>
      <c r="AI126" s="156">
        <f>IFERROR(SUMIFS(Def!B:B,Def!F:F,AG126)/AH126,"")</f>
        <v/>
      </c>
      <c r="AJ126" s="195">
        <f>VLOOKUP(P126,Matrix!AA:AC,3,0)</f>
        <v/>
      </c>
      <c r="AK126" s="195">
        <f>SUMIFS(Def!C:C,Def!F:F,AJ126)</f>
        <v/>
      </c>
      <c r="AL126" s="156">
        <f>IFERROR(SUMIFS(Def!B:B,Def!F:F,AJ126)/AK126,"")</f>
        <v/>
      </c>
    </row>
    <row r="127" ht="14.4" customHeight="1" s="152">
      <c r="A127" s="157">
        <f>IF(F127="Yes",IFERROR(IF(AA127&gt;1,AA127/100,100/-AA127),""),-1)</f>
        <v/>
      </c>
      <c r="B127" s="157">
        <f>B126+1</f>
        <v/>
      </c>
      <c r="C127" s="157">
        <f>IF(Y127&gt;Z127,1,0)</f>
        <v/>
      </c>
      <c r="D127" s="157">
        <f>IF(AND(C127=1,F127="Yes"),"Yes",IF(AND(C127=0,F127="No"),"Yes","No"))</f>
        <v/>
      </c>
      <c r="E127" s="192">
        <f>IF((AC127+AB127)=AD127,"Push",IF((AC127+AB127)&gt;AD127,"Yes","No"))</f>
        <v/>
      </c>
      <c r="F127" s="192">
        <f>IF(AC127&gt;AD127,"Yes","No")</f>
        <v/>
      </c>
      <c r="G127" s="192">
        <f>IF((Y127+AB127)&gt;Z127,"Yes",IF((Y127+AB127)=Z127,"Push","No"))</f>
        <v/>
      </c>
      <c r="H127" s="157">
        <f>IF(O127="Home",VLOOKUP(N127,Matrix!A:S,19,0),1)</f>
        <v/>
      </c>
      <c r="I127" s="157">
        <f>IF(O127="Away",VLOOKUP(N127,Matrix!A:Z,20,0),1)</f>
        <v/>
      </c>
      <c r="J127" s="157">
        <f>IF(O127="Away",VLOOKUP(P127,Matrix!A:S,19,0),1)</f>
        <v/>
      </c>
      <c r="K127" s="157">
        <f>IF(O127="Home",VLOOKUP(P127,Matrix!A:Z,20,0),1)</f>
        <v/>
      </c>
      <c r="L127" s="156" t="n">
        <v>0.450453298096736</v>
      </c>
      <c r="M127" s="179">
        <f>Schedule!B127</f>
        <v/>
      </c>
      <c r="N127" s="156">
        <f>Schedule!E127</f>
        <v/>
      </c>
      <c r="O127" s="156" t="inlineStr">
        <is>
          <t>Away</t>
        </is>
      </c>
      <c r="P127" s="157">
        <f>Schedule!H127</f>
        <v/>
      </c>
      <c r="Q127" s="157">
        <f>Schedule!C127</f>
        <v/>
      </c>
      <c r="R127" s="180">
        <f>Schedule!D127</f>
        <v/>
      </c>
      <c r="S127" s="181">
        <f>Schedule!J127</f>
        <v/>
      </c>
      <c r="T127" s="193">
        <f>Y127-Z127</f>
        <v/>
      </c>
      <c r="U127" s="182">
        <f>T127/Picks!$K$2</f>
        <v/>
      </c>
      <c r="V127" s="193">
        <f>INDEX(Standings!$T$3:$T$34, MATCH(N127, Standings!$A$3:$A$34, 0)) - INDEX(Standings!$T$3:$T$34, MATCH(P127, Standings!$A$3:$A$34, 0))</f>
        <v/>
      </c>
      <c r="W127" s="157">
        <f>INDEX(Standings!$L$3:$L$34, MATCH(N127, Standings!$A$3:$A$34, 0)) - INDEX(Standings!$L$3:$L$34, MATCH(P127, Standings!$A$3:$A$34, 0))</f>
        <v/>
      </c>
      <c r="X127" s="157">
        <f>INDEX(Standings!$M$3:$M$34, MATCH(N127, Standings!$A$3:$A$34, 0)) - INDEX(Standings!$M$3:$M$34, MATCH(P127, Standings!$A$3:$A$34, 0))</f>
        <v/>
      </c>
      <c r="Y127" s="194">
        <f t="array" ref="Y127:Y127">IFERROR(AE127+(AL127-_DFactor)*AE127,"")</f>
        <v/>
      </c>
      <c r="Z127" s="157">
        <f>IFERROR(AF127+(AI127-_DFactor)*AF127,"")</f>
        <v/>
      </c>
      <c r="AC127" s="194">
        <f>VLOOKUP(M127&amp;N127,Schedule!A:F,6,0)</f>
        <v/>
      </c>
      <c r="AD127" s="194">
        <f>VLOOKUP(M127&amp;P127,Schedule!A:F,6,0)</f>
        <v/>
      </c>
      <c r="AE127" s="156">
        <f>VLOOKUP(N127,ProjPVT!B:I,8,0)*_Mag/VLOOKUP(P127,Standings!A:O,15,0)*H127*K127</f>
        <v/>
      </c>
      <c r="AF127" s="156">
        <f>VLOOKUP(P127,ProjPVT!B:I,8,0)*_Mag/VLOOKUP(N127,Standings!A:O,15,0)*J127*I127</f>
        <v/>
      </c>
      <c r="AG127" s="195">
        <f>VLOOKUP(N127,Matrix!AA:AC,3,0)</f>
        <v/>
      </c>
      <c r="AH127" s="195">
        <f>SUMIFS(Def!C:C,Def!F:F,AG127)</f>
        <v/>
      </c>
      <c r="AI127" s="156">
        <f>IFERROR(SUMIFS(Def!B:B,Def!F:F,AG127)/AH127,"")</f>
        <v/>
      </c>
      <c r="AJ127" s="195">
        <f>VLOOKUP(P127,Matrix!AA:AC,3,0)</f>
        <v/>
      </c>
      <c r="AK127" s="195">
        <f>SUMIFS(Def!C:C,Def!F:F,AJ127)</f>
        <v/>
      </c>
      <c r="AL127" s="156">
        <f>IFERROR(SUMIFS(Def!B:B,Def!F:F,AJ127)/AK127,"")</f>
        <v/>
      </c>
    </row>
    <row r="128" ht="14.4" customHeight="1" s="152">
      <c r="A128" s="157">
        <f>IF(F128="Yes",IFERROR(IF(AA128&gt;1,AA128/100,100/-AA128),""),-1)</f>
        <v/>
      </c>
      <c r="B128" s="157">
        <f>B127+1</f>
        <v/>
      </c>
      <c r="C128" s="157">
        <f>IF(Y128&gt;Z128,1,0)</f>
        <v/>
      </c>
      <c r="D128" s="157">
        <f>IF(AND(C128=1,F128="Yes"),"Yes",IF(AND(C128=0,F128="No"),"Yes","No"))</f>
        <v/>
      </c>
      <c r="E128" s="192">
        <f>IF((AC128+AB128)=AD128,"Push",IF((AC128+AB128)&gt;AD128,"Yes","No"))</f>
        <v/>
      </c>
      <c r="F128" s="192">
        <f>IF(AC128&gt;AD128,"Yes","No")</f>
        <v/>
      </c>
      <c r="G128" s="192">
        <f>IF((Y128+AB128)&gt;Z128,"Yes",IF((Y128+AB128)=Z128,"Push","No"))</f>
        <v/>
      </c>
      <c r="H128" s="157">
        <f>IF(O128="Home",VLOOKUP(N128,Matrix!A:S,19,0),1)</f>
        <v/>
      </c>
      <c r="I128" s="157">
        <f>IF(O128="Away",VLOOKUP(N128,Matrix!A:Z,20,0),1)</f>
        <v/>
      </c>
      <c r="J128" s="157">
        <f>IF(O128="Away",VLOOKUP(P128,Matrix!A:S,19,0),1)</f>
        <v/>
      </c>
      <c r="K128" s="157">
        <f>IF(O128="Home",VLOOKUP(P128,Matrix!A:Z,20,0),1)</f>
        <v/>
      </c>
      <c r="L128" s="156" t="n">
        <v>0.524413990817754</v>
      </c>
      <c r="M128" s="179">
        <f>Schedule!B128</f>
        <v/>
      </c>
      <c r="N128" s="156">
        <f>Schedule!E128</f>
        <v/>
      </c>
      <c r="O128" s="156" t="inlineStr">
        <is>
          <t>Home</t>
        </is>
      </c>
      <c r="P128" s="157">
        <f>Schedule!H128</f>
        <v/>
      </c>
      <c r="Q128" s="157">
        <f>Schedule!C128</f>
        <v/>
      </c>
      <c r="R128" s="180">
        <f>Schedule!D128</f>
        <v/>
      </c>
      <c r="S128" s="181">
        <f>Schedule!J128</f>
        <v/>
      </c>
      <c r="T128" s="193">
        <f>Y128-Z128</f>
        <v/>
      </c>
      <c r="U128" s="182">
        <f>T128/Picks!$K$2</f>
        <v/>
      </c>
      <c r="V128" s="193">
        <f>INDEX(Standings!$T$3:$T$34, MATCH(N128, Standings!$A$3:$A$34, 0)) - INDEX(Standings!$T$3:$T$34, MATCH(P128, Standings!$A$3:$A$34, 0))</f>
        <v/>
      </c>
      <c r="W128" s="157">
        <f>INDEX(Standings!$L$3:$L$34, MATCH(N128, Standings!$A$3:$A$34, 0)) - INDEX(Standings!$L$3:$L$34, MATCH(P128, Standings!$A$3:$A$34, 0))</f>
        <v/>
      </c>
      <c r="X128" s="157">
        <f>INDEX(Standings!$M$3:$M$34, MATCH(N128, Standings!$A$3:$A$34, 0)) - INDEX(Standings!$M$3:$M$34, MATCH(P128, Standings!$A$3:$A$34, 0))</f>
        <v/>
      </c>
      <c r="Y128" s="194">
        <f t="array" ref="Y128:Y128">IFERROR(AE128+(AL128-_DFactor)*AE128,"")</f>
        <v/>
      </c>
      <c r="Z128" s="157">
        <f>IFERROR(AF128+(AI128-_DFactor)*AF128,"")</f>
        <v/>
      </c>
      <c r="AC128" s="194">
        <f>VLOOKUP(M128&amp;N128,Schedule!A:F,6,0)</f>
        <v/>
      </c>
      <c r="AD128" s="194">
        <f>VLOOKUP(M128&amp;P128,Schedule!A:F,6,0)</f>
        <v/>
      </c>
      <c r="AE128" s="156">
        <f>VLOOKUP(N128,ProjPVT!B:I,8,0)*_Mag/VLOOKUP(P128,Standings!A:O,15,0)*H128*K128</f>
        <v/>
      </c>
      <c r="AF128" s="156">
        <f>VLOOKUP(P128,ProjPVT!B:I,8,0)*_Mag/VLOOKUP(N128,Standings!A:O,15,0)*J128*I128</f>
        <v/>
      </c>
      <c r="AG128" s="195">
        <f>VLOOKUP(N128,Matrix!AA:AC,3,0)</f>
        <v/>
      </c>
      <c r="AH128" s="195">
        <f>SUMIFS(Def!C:C,Def!F:F,AG128)</f>
        <v/>
      </c>
      <c r="AI128" s="156">
        <f>IFERROR(SUMIFS(Def!B:B,Def!F:F,AG128)/AH128,"")</f>
        <v/>
      </c>
      <c r="AJ128" s="195">
        <f>VLOOKUP(P128,Matrix!AA:AC,3,0)</f>
        <v/>
      </c>
      <c r="AK128" s="195">
        <f>SUMIFS(Def!C:C,Def!F:F,AJ128)</f>
        <v/>
      </c>
      <c r="AL128" s="156">
        <f>IFERROR(SUMIFS(Def!B:B,Def!F:F,AJ128)/AK128,"")</f>
        <v/>
      </c>
    </row>
    <row r="129" ht="14.4" customHeight="1" s="152">
      <c r="A129" s="157">
        <f>IF(F129="Yes",IFERROR(IF(AA129&gt;1,AA129/100,100/-AA129),""),-1)</f>
        <v/>
      </c>
      <c r="B129" s="157">
        <f>B128+1</f>
        <v/>
      </c>
      <c r="C129" s="157">
        <f>IF(Y129&gt;Z129,1,0)</f>
        <v/>
      </c>
      <c r="D129" s="157">
        <f>IF(AND(C129=1,F129="Yes"),"Yes",IF(AND(C129=0,F129="No"),"Yes","No"))</f>
        <v/>
      </c>
      <c r="E129" s="192">
        <f>IF((AC129+AB129)=AD129,"Push",IF((AC129+AB129)&gt;AD129,"Yes","No"))</f>
        <v/>
      </c>
      <c r="F129" s="192">
        <f>IF(AC129&gt;AD129,"Yes","No")</f>
        <v/>
      </c>
      <c r="G129" s="192">
        <f>IF((Y129+AB129)&gt;Z129,"Yes",IF((Y129+AB129)=Z129,"Push","No"))</f>
        <v/>
      </c>
      <c r="H129" s="157">
        <f>IF(O129="Home",VLOOKUP(N129,Matrix!A:S,19,0),1)</f>
        <v/>
      </c>
      <c r="I129" s="157">
        <f>IF(O129="Away",VLOOKUP(N129,Matrix!A:Z,20,0),1)</f>
        <v/>
      </c>
      <c r="J129" s="157">
        <f>IF(O129="Away",VLOOKUP(P129,Matrix!A:S,19,0),1)</f>
        <v/>
      </c>
      <c r="K129" s="157">
        <f>IF(O129="Home",VLOOKUP(P129,Matrix!A:Z,20,0),1)</f>
        <v/>
      </c>
      <c r="L129" s="156" t="n">
        <v>0.629415868375433</v>
      </c>
      <c r="M129" s="179">
        <f>Schedule!B129</f>
        <v/>
      </c>
      <c r="N129" s="156">
        <f>Schedule!E129</f>
        <v/>
      </c>
      <c r="O129" s="156" t="inlineStr">
        <is>
          <t>Home</t>
        </is>
      </c>
      <c r="P129" s="157">
        <f>Schedule!H129</f>
        <v/>
      </c>
      <c r="Q129" s="157">
        <f>Schedule!C129</f>
        <v/>
      </c>
      <c r="R129" s="180">
        <f>Schedule!D129</f>
        <v/>
      </c>
      <c r="S129" s="181">
        <f>Schedule!J129</f>
        <v/>
      </c>
      <c r="T129" s="193">
        <f>Y129-Z129</f>
        <v/>
      </c>
      <c r="U129" s="182">
        <f>T129/Picks!$K$2</f>
        <v/>
      </c>
      <c r="V129" s="193">
        <f>INDEX(Standings!$T$3:$T$34, MATCH(N129, Standings!$A$3:$A$34, 0)) - INDEX(Standings!$T$3:$T$34, MATCH(P129, Standings!$A$3:$A$34, 0))</f>
        <v/>
      </c>
      <c r="W129" s="157">
        <f>INDEX(Standings!$L$3:$L$34, MATCH(N129, Standings!$A$3:$A$34, 0)) - INDEX(Standings!$L$3:$L$34, MATCH(P129, Standings!$A$3:$A$34, 0))</f>
        <v/>
      </c>
      <c r="X129" s="157">
        <f>INDEX(Standings!$M$3:$M$34, MATCH(N129, Standings!$A$3:$A$34, 0)) - INDEX(Standings!$M$3:$M$34, MATCH(P129, Standings!$A$3:$A$34, 0))</f>
        <v/>
      </c>
      <c r="Y129" s="194">
        <f t="array" ref="Y129:Y129">IFERROR(AE129+(AL129-_DFactor)*AE129,"")</f>
        <v/>
      </c>
      <c r="Z129" s="157">
        <f>IFERROR(AF129+(AI129-_DFactor)*AF129,"")</f>
        <v/>
      </c>
      <c r="AC129" s="194">
        <f>VLOOKUP(M129&amp;N129,Schedule!A:F,6,0)</f>
        <v/>
      </c>
      <c r="AD129" s="194">
        <f>VLOOKUP(M129&amp;P129,Schedule!A:F,6,0)</f>
        <v/>
      </c>
      <c r="AE129" s="156">
        <f>VLOOKUP(N129,ProjPVT!B:I,8,0)*_Mag/VLOOKUP(P129,Standings!A:O,15,0)*H129*K129</f>
        <v/>
      </c>
      <c r="AF129" s="156">
        <f>VLOOKUP(P129,ProjPVT!B:I,8,0)*_Mag/VLOOKUP(N129,Standings!A:O,15,0)*J129*I129</f>
        <v/>
      </c>
      <c r="AG129" s="195">
        <f>VLOOKUP(N129,Matrix!AA:AC,3,0)</f>
        <v/>
      </c>
      <c r="AH129" s="195">
        <f>SUMIFS(Def!C:C,Def!F:F,AG129)</f>
        <v/>
      </c>
      <c r="AI129" s="156">
        <f>IFERROR(SUMIFS(Def!B:B,Def!F:F,AG129)/AH129,"")</f>
        <v/>
      </c>
      <c r="AJ129" s="195">
        <f>VLOOKUP(P129,Matrix!AA:AC,3,0)</f>
        <v/>
      </c>
      <c r="AK129" s="195">
        <f>SUMIFS(Def!C:C,Def!F:F,AJ129)</f>
        <v/>
      </c>
      <c r="AL129" s="156">
        <f>IFERROR(SUMIFS(Def!B:B,Def!F:F,AJ129)/AK129,"")</f>
        <v/>
      </c>
    </row>
    <row r="130" ht="14.4" customHeight="1" s="152">
      <c r="A130" s="157">
        <f>IF(F130="Yes",IFERROR(IF(AA130&gt;1,AA130/100,100/-AA130),""),-1)</f>
        <v/>
      </c>
      <c r="B130" s="157">
        <f>B129+1</f>
        <v/>
      </c>
      <c r="C130" s="157">
        <f>IF(Y130&gt;Z130,1,0)</f>
        <v/>
      </c>
      <c r="D130" s="157">
        <f>IF(AND(C130=1,F130="Yes"),"Yes",IF(AND(C130=0,F130="No"),"Yes","No"))</f>
        <v/>
      </c>
      <c r="E130" s="192">
        <f>IF((AC130+AB130)=AD130,"Push",IF((AC130+AB130)&gt;AD130,"Yes","No"))</f>
        <v/>
      </c>
      <c r="F130" s="192">
        <f>IF(AC130&gt;AD130,"Yes","No")</f>
        <v/>
      </c>
      <c r="G130" s="192">
        <f>IF((Y130+AB130)&gt;Z130,"Yes",IF((Y130+AB130)=Z130,"Push","No"))</f>
        <v/>
      </c>
      <c r="H130" s="157">
        <f>IF(O130="Home",VLOOKUP(N130,Matrix!A:S,19,0),1)</f>
        <v/>
      </c>
      <c r="I130" s="157">
        <f>IF(O130="Away",VLOOKUP(N130,Matrix!A:Z,20,0),1)</f>
        <v/>
      </c>
      <c r="J130" s="157">
        <f>IF(O130="Away",VLOOKUP(P130,Matrix!A:S,19,0),1)</f>
        <v/>
      </c>
      <c r="K130" s="157">
        <f>IF(O130="Home",VLOOKUP(P130,Matrix!A:Z,20,0),1)</f>
        <v/>
      </c>
      <c r="L130" s="156" t="n">
        <v>-0.569043571608808</v>
      </c>
      <c r="M130" s="179">
        <f>Schedule!B130</f>
        <v/>
      </c>
      <c r="N130" s="156">
        <f>Schedule!E130</f>
        <v/>
      </c>
      <c r="O130" s="156" t="inlineStr">
        <is>
          <t>Away</t>
        </is>
      </c>
      <c r="P130" s="157">
        <f>Schedule!H130</f>
        <v/>
      </c>
      <c r="Q130" s="157">
        <f>Schedule!C130</f>
        <v/>
      </c>
      <c r="R130" s="180">
        <f>Schedule!D130</f>
        <v/>
      </c>
      <c r="S130" s="181">
        <f>Schedule!J130</f>
        <v/>
      </c>
      <c r="T130" s="193">
        <f>Y130-Z130</f>
        <v/>
      </c>
      <c r="U130" s="182">
        <f>T130/Picks!$K$2</f>
        <v/>
      </c>
      <c r="V130" s="193">
        <f>INDEX(Standings!$T$3:$T$34, MATCH(N130, Standings!$A$3:$A$34, 0)) - INDEX(Standings!$T$3:$T$34, MATCH(P130, Standings!$A$3:$A$34, 0))</f>
        <v/>
      </c>
      <c r="W130" s="157">
        <f>INDEX(Standings!$L$3:$L$34, MATCH(N130, Standings!$A$3:$A$34, 0)) - INDEX(Standings!$L$3:$L$34, MATCH(P130, Standings!$A$3:$A$34, 0))</f>
        <v/>
      </c>
      <c r="X130" s="157">
        <f>INDEX(Standings!$M$3:$M$34, MATCH(N130, Standings!$A$3:$A$34, 0)) - INDEX(Standings!$M$3:$M$34, MATCH(P130, Standings!$A$3:$A$34, 0))</f>
        <v/>
      </c>
      <c r="Y130" s="194">
        <f t="array" ref="Y130:Y130">IFERROR(AE130+(AL130-_DFactor)*AE130,"")</f>
        <v/>
      </c>
      <c r="Z130" s="157">
        <f>IFERROR(AF130+(AI130-_DFactor)*AF130,"")</f>
        <v/>
      </c>
      <c r="AC130" s="194">
        <f>VLOOKUP(M130&amp;N130,Schedule!A:F,6,0)</f>
        <v/>
      </c>
      <c r="AD130" s="194">
        <f>VLOOKUP(M130&amp;P130,Schedule!A:F,6,0)</f>
        <v/>
      </c>
      <c r="AE130" s="156">
        <f>VLOOKUP(N130,ProjPVT!B:I,8,0)*_Mag/VLOOKUP(P130,Standings!A:O,15,0)*H130*K130</f>
        <v/>
      </c>
      <c r="AF130" s="156">
        <f>VLOOKUP(P130,ProjPVT!B:I,8,0)*_Mag/VLOOKUP(N130,Standings!A:O,15,0)*J130*I130</f>
        <v/>
      </c>
      <c r="AG130" s="195">
        <f>VLOOKUP(N130,Matrix!AA:AC,3,0)</f>
        <v/>
      </c>
      <c r="AH130" s="195">
        <f>SUMIFS(Def!C:C,Def!F:F,AG130)</f>
        <v/>
      </c>
      <c r="AI130" s="156">
        <f>IFERROR(SUMIFS(Def!B:B,Def!F:F,AG130)/AH130,"")</f>
        <v/>
      </c>
      <c r="AJ130" s="195">
        <f>VLOOKUP(P130,Matrix!AA:AC,3,0)</f>
        <v/>
      </c>
      <c r="AK130" s="195">
        <f>SUMIFS(Def!C:C,Def!F:F,AJ130)</f>
        <v/>
      </c>
      <c r="AL130" s="156">
        <f>IFERROR(SUMIFS(Def!B:B,Def!F:F,AJ130)/AK130,"")</f>
        <v/>
      </c>
    </row>
    <row r="131" ht="14.4" customHeight="1" s="152">
      <c r="A131" s="157">
        <f>IF(F131="Yes",IFERROR(IF(AA131&gt;1,AA131/100,100/-AA131),""),-1)</f>
        <v/>
      </c>
      <c r="B131" s="157">
        <f>B130+1</f>
        <v/>
      </c>
      <c r="C131" s="157">
        <f>IF(Y131&gt;Z131,1,0)</f>
        <v/>
      </c>
      <c r="D131" s="157">
        <f>IF(AND(C131=1,F131="Yes"),"Yes",IF(AND(C131=0,F131="No"),"Yes","No"))</f>
        <v/>
      </c>
      <c r="E131" s="192">
        <f>IF((AC131+AB131)=AD131,"Push",IF((AC131+AB131)&gt;AD131,"Yes","No"))</f>
        <v/>
      </c>
      <c r="F131" s="192">
        <f>IF(AC131&gt;AD131,"Yes","No")</f>
        <v/>
      </c>
      <c r="G131" s="192">
        <f>IF((Y131+AB131)&gt;Z131,"Yes",IF((Y131+AB131)=Z131,"Push","No"))</f>
        <v/>
      </c>
      <c r="H131" s="157">
        <f>IF(O131="Home",VLOOKUP(N131,Matrix!A:S,19,0),1)</f>
        <v/>
      </c>
      <c r="I131" s="157">
        <f>IF(O131="Away",VLOOKUP(N131,Matrix!A:Z,20,0),1)</f>
        <v/>
      </c>
      <c r="J131" s="157">
        <f>IF(O131="Away",VLOOKUP(P131,Matrix!A:S,19,0),1)</f>
        <v/>
      </c>
      <c r="K131" s="157">
        <f>IF(O131="Home",VLOOKUP(P131,Matrix!A:Z,20,0),1)</f>
        <v/>
      </c>
      <c r="L131" s="156" t="n">
        <v>-0.567890457171549</v>
      </c>
      <c r="M131" s="179">
        <f>Schedule!B131</f>
        <v/>
      </c>
      <c r="N131" s="156">
        <f>Schedule!E131</f>
        <v/>
      </c>
      <c r="O131" s="156" t="inlineStr">
        <is>
          <t>Away</t>
        </is>
      </c>
      <c r="P131" s="157">
        <f>Schedule!H131</f>
        <v/>
      </c>
      <c r="Q131" s="157">
        <f>Schedule!C131</f>
        <v/>
      </c>
      <c r="R131" s="180">
        <f>Schedule!D131</f>
        <v/>
      </c>
      <c r="S131" s="181">
        <f>Schedule!J131</f>
        <v/>
      </c>
      <c r="T131" s="193">
        <f>Y131-Z131</f>
        <v/>
      </c>
      <c r="U131" s="182">
        <f>T131/Picks!$K$2</f>
        <v/>
      </c>
      <c r="V131" s="193">
        <f>INDEX(Standings!$T$3:$T$34, MATCH(N131, Standings!$A$3:$A$34, 0)) - INDEX(Standings!$T$3:$T$34, MATCH(P131, Standings!$A$3:$A$34, 0))</f>
        <v/>
      </c>
      <c r="W131" s="157">
        <f>INDEX(Standings!$L$3:$L$34, MATCH(N131, Standings!$A$3:$A$34, 0)) - INDEX(Standings!$L$3:$L$34, MATCH(P131, Standings!$A$3:$A$34, 0))</f>
        <v/>
      </c>
      <c r="X131" s="157">
        <f>INDEX(Standings!$M$3:$M$34, MATCH(N131, Standings!$A$3:$A$34, 0)) - INDEX(Standings!$M$3:$M$34, MATCH(P131, Standings!$A$3:$A$34, 0))</f>
        <v/>
      </c>
      <c r="Y131" s="194">
        <f t="array" ref="Y131:Y131">IFERROR(AE131+(AL131-_DFactor)*AE131,"")</f>
        <v/>
      </c>
      <c r="Z131" s="157">
        <f>IFERROR(AF131+(AI131-_DFactor)*AF131,"")</f>
        <v/>
      </c>
      <c r="AC131" s="194">
        <f>VLOOKUP(M131&amp;N131,Schedule!A:F,6,0)</f>
        <v/>
      </c>
      <c r="AD131" s="194">
        <f>VLOOKUP(M131&amp;P131,Schedule!A:F,6,0)</f>
        <v/>
      </c>
      <c r="AE131" s="156">
        <f>VLOOKUP(N131,ProjPVT!B:I,8,0)*_Mag/VLOOKUP(P131,Standings!A:O,15,0)*H131*K131</f>
        <v/>
      </c>
      <c r="AF131" s="156">
        <f>VLOOKUP(P131,ProjPVT!B:I,8,0)*_Mag/VLOOKUP(N131,Standings!A:O,15,0)*J131*I131</f>
        <v/>
      </c>
      <c r="AG131" s="195">
        <f>VLOOKUP(N131,Matrix!AA:AC,3,0)</f>
        <v/>
      </c>
      <c r="AH131" s="195">
        <f>SUMIFS(Def!C:C,Def!F:F,AG131)</f>
        <v/>
      </c>
      <c r="AI131" s="156">
        <f>IFERROR(SUMIFS(Def!B:B,Def!F:F,AG131)/AH131,"")</f>
        <v/>
      </c>
      <c r="AJ131" s="195">
        <f>VLOOKUP(P131,Matrix!AA:AC,3,0)</f>
        <v/>
      </c>
      <c r="AK131" s="195">
        <f>SUMIFS(Def!C:C,Def!F:F,AJ131)</f>
        <v/>
      </c>
      <c r="AL131" s="156">
        <f>IFERROR(SUMIFS(Def!B:B,Def!F:F,AJ131)/AK131,"")</f>
        <v/>
      </c>
    </row>
    <row r="132" ht="14.4" customHeight="1" s="152">
      <c r="A132" s="157">
        <f>IF(F132="Yes",IFERROR(IF(AA132&gt;1,AA132/100,100/-AA132),""),-1)</f>
        <v/>
      </c>
      <c r="B132" s="157">
        <f>B131+1</f>
        <v/>
      </c>
      <c r="C132" s="157">
        <f>IF(Y132&gt;Z132,1,0)</f>
        <v/>
      </c>
      <c r="D132" s="157">
        <f>IF(AND(C132=1,F132="Yes"),"Yes",IF(AND(C132=0,F132="No"),"Yes","No"))</f>
        <v/>
      </c>
      <c r="E132" s="192">
        <f>IF((AC132+AB132)=AD132,"Push",IF((AC132+AB132)&gt;AD132,"Yes","No"))</f>
        <v/>
      </c>
      <c r="F132" s="192">
        <f>IF(AC132&gt;AD132,"Yes","No")</f>
        <v/>
      </c>
      <c r="G132" s="192">
        <f>IF((Y132+AB132)&gt;Z132,"Yes",IF((Y132+AB132)=Z132,"Push","No"))</f>
        <v/>
      </c>
      <c r="H132" s="157">
        <f>IF(O132="Home",VLOOKUP(N132,Matrix!A:S,19,0),1)</f>
        <v/>
      </c>
      <c r="I132" s="157">
        <f>IF(O132="Away",VLOOKUP(N132,Matrix!A:Z,20,0),1)</f>
        <v/>
      </c>
      <c r="J132" s="157">
        <f>IF(O132="Away",VLOOKUP(P132,Matrix!A:S,19,0),1)</f>
        <v/>
      </c>
      <c r="K132" s="157">
        <f>IF(O132="Home",VLOOKUP(P132,Matrix!A:Z,20,0),1)</f>
        <v/>
      </c>
      <c r="L132" s="156" t="n">
        <v>-0.518637931034483</v>
      </c>
      <c r="M132" s="179">
        <f>Schedule!B132</f>
        <v/>
      </c>
      <c r="N132" s="156">
        <f>Schedule!E132</f>
        <v/>
      </c>
      <c r="O132" s="156" t="inlineStr">
        <is>
          <t>Home</t>
        </is>
      </c>
      <c r="P132" s="157">
        <f>Schedule!H132</f>
        <v/>
      </c>
      <c r="Q132" s="157">
        <f>Schedule!C132</f>
        <v/>
      </c>
      <c r="R132" s="180">
        <f>Schedule!D132</f>
        <v/>
      </c>
      <c r="S132" s="181">
        <f>Schedule!J132</f>
        <v/>
      </c>
      <c r="T132" s="193">
        <f>Y132-Z132</f>
        <v/>
      </c>
      <c r="U132" s="182">
        <f>T132/Picks!$K$2</f>
        <v/>
      </c>
      <c r="V132" s="193">
        <f>INDEX(Standings!$T$3:$T$34, MATCH(N132, Standings!$A$3:$A$34, 0)) - INDEX(Standings!$T$3:$T$34, MATCH(P132, Standings!$A$3:$A$34, 0))</f>
        <v/>
      </c>
      <c r="W132" s="157">
        <f>INDEX(Standings!$L$3:$L$34, MATCH(N132, Standings!$A$3:$A$34, 0)) - INDEX(Standings!$L$3:$L$34, MATCH(P132, Standings!$A$3:$A$34, 0))</f>
        <v/>
      </c>
      <c r="X132" s="157">
        <f>INDEX(Standings!$M$3:$M$34, MATCH(N132, Standings!$A$3:$A$34, 0)) - INDEX(Standings!$M$3:$M$34, MATCH(P132, Standings!$A$3:$A$34, 0))</f>
        <v/>
      </c>
      <c r="Y132" s="194">
        <f t="array" ref="Y132:Y132">IFERROR(AE132+(AL132-_DFactor)*AE132,"")</f>
        <v/>
      </c>
      <c r="Z132" s="157">
        <f>IFERROR(AF132+(AI132-_DFactor)*AF132,"")</f>
        <v/>
      </c>
      <c r="AC132" s="194">
        <f>VLOOKUP(M132&amp;N132,Schedule!A:F,6,0)</f>
        <v/>
      </c>
      <c r="AD132" s="194">
        <f>VLOOKUP(M132&amp;P132,Schedule!A:F,6,0)</f>
        <v/>
      </c>
      <c r="AE132" s="156">
        <f>VLOOKUP(N132,ProjPVT!B:I,8,0)*_Mag/VLOOKUP(P132,Standings!A:O,15,0)*H132*K132</f>
        <v/>
      </c>
      <c r="AF132" s="156">
        <f>VLOOKUP(P132,ProjPVT!B:I,8,0)*_Mag/VLOOKUP(N132,Standings!A:O,15,0)*J132*I132</f>
        <v/>
      </c>
      <c r="AG132" s="195">
        <f>VLOOKUP(N132,Matrix!AA:AC,3,0)</f>
        <v/>
      </c>
      <c r="AH132" s="195">
        <f>SUMIFS(Def!C:C,Def!F:F,AG132)</f>
        <v/>
      </c>
      <c r="AI132" s="156">
        <f>IFERROR(SUMIFS(Def!B:B,Def!F:F,AG132)/AH132,"")</f>
        <v/>
      </c>
      <c r="AJ132" s="195">
        <f>VLOOKUP(P132,Matrix!AA:AC,3,0)</f>
        <v/>
      </c>
      <c r="AK132" s="195">
        <f>SUMIFS(Def!C:C,Def!F:F,AJ132)</f>
        <v/>
      </c>
      <c r="AL132" s="156">
        <f>IFERROR(SUMIFS(Def!B:B,Def!F:F,AJ132)/AK132,"")</f>
        <v/>
      </c>
    </row>
    <row r="133" ht="14.4" customHeight="1" s="152">
      <c r="A133" s="157">
        <f>IF(F133="Yes",IFERROR(IF(AA133&gt;1,AA133/100,100/-AA133),""),-1)</f>
        <v/>
      </c>
      <c r="B133" s="157">
        <f>B132+1</f>
        <v/>
      </c>
      <c r="C133" s="157">
        <f>IF(Y133&gt;Z133,1,0)</f>
        <v/>
      </c>
      <c r="D133" s="157">
        <f>IF(AND(C133=1,F133="Yes"),"Yes",IF(AND(C133=0,F133="No"),"Yes","No"))</f>
        <v/>
      </c>
      <c r="E133" s="192">
        <f>IF((AC133+AB133)=AD133,"Push",IF((AC133+AB133)&gt;AD133,"Yes","No"))</f>
        <v/>
      </c>
      <c r="F133" s="192">
        <f>IF(AC133&gt;AD133,"Yes","No")</f>
        <v/>
      </c>
      <c r="G133" s="192">
        <f>IF((Y133+AB133)&gt;Z133,"Yes",IF((Y133+AB133)=Z133,"Push","No"))</f>
        <v/>
      </c>
      <c r="H133" s="157">
        <f>IF(O133="Home",VLOOKUP(N133,Matrix!A:S,19,0),1)</f>
        <v/>
      </c>
      <c r="I133" s="157">
        <f>IF(O133="Away",VLOOKUP(N133,Matrix!A:Z,20,0),1)</f>
        <v/>
      </c>
      <c r="J133" s="157">
        <f>IF(O133="Away",VLOOKUP(P133,Matrix!A:S,19,0),1)</f>
        <v/>
      </c>
      <c r="K133" s="157">
        <f>IF(O133="Home",VLOOKUP(P133,Matrix!A:Z,20,0),1)</f>
        <v/>
      </c>
      <c r="L133" s="156" t="n">
        <v>-0.408692036118726</v>
      </c>
      <c r="M133" s="179">
        <f>Schedule!B133</f>
        <v/>
      </c>
      <c r="N133" s="156">
        <f>Schedule!E133</f>
        <v/>
      </c>
      <c r="O133" s="156" t="inlineStr">
        <is>
          <t>Away</t>
        </is>
      </c>
      <c r="P133" s="157">
        <f>Schedule!H133</f>
        <v/>
      </c>
      <c r="Q133" s="157">
        <f>Schedule!C133</f>
        <v/>
      </c>
      <c r="R133" s="180">
        <f>Schedule!D133</f>
        <v/>
      </c>
      <c r="S133" s="181">
        <f>Schedule!J133</f>
        <v/>
      </c>
      <c r="T133" s="193">
        <f>Y133-Z133</f>
        <v/>
      </c>
      <c r="U133" s="182">
        <f>T133/Picks!$K$2</f>
        <v/>
      </c>
      <c r="V133" s="193">
        <f>INDEX(Standings!$T$3:$T$34, MATCH(N133, Standings!$A$3:$A$34, 0)) - INDEX(Standings!$T$3:$T$34, MATCH(P133, Standings!$A$3:$A$34, 0))</f>
        <v/>
      </c>
      <c r="W133" s="157">
        <f>INDEX(Standings!$L$3:$L$34, MATCH(N133, Standings!$A$3:$A$34, 0)) - INDEX(Standings!$L$3:$L$34, MATCH(P133, Standings!$A$3:$A$34, 0))</f>
        <v/>
      </c>
      <c r="X133" s="157">
        <f>INDEX(Standings!$M$3:$M$34, MATCH(N133, Standings!$A$3:$A$34, 0)) - INDEX(Standings!$M$3:$M$34, MATCH(P133, Standings!$A$3:$A$34, 0))</f>
        <v/>
      </c>
      <c r="Y133" s="194">
        <f t="array" ref="Y133:Y133">IFERROR(AE133+(AL133-_DFactor)*AE133,"")</f>
        <v/>
      </c>
      <c r="Z133" s="157">
        <f>IFERROR(AF133+(AI133-_DFactor)*AF133,"")</f>
        <v/>
      </c>
      <c r="AC133" s="194">
        <f>VLOOKUP(M133&amp;N133,Schedule!A:F,6,0)</f>
        <v/>
      </c>
      <c r="AD133" s="194">
        <f>VLOOKUP(M133&amp;P133,Schedule!A:F,6,0)</f>
        <v/>
      </c>
      <c r="AE133" s="156">
        <f>VLOOKUP(N133,ProjPVT!B:I,8,0)*_Mag/VLOOKUP(P133,Standings!A:O,15,0)*H133*K133</f>
        <v/>
      </c>
      <c r="AF133" s="156">
        <f>VLOOKUP(P133,ProjPVT!B:I,8,0)*_Mag/VLOOKUP(N133,Standings!A:O,15,0)*J133*I133</f>
        <v/>
      </c>
      <c r="AG133" s="195">
        <f>VLOOKUP(N133,Matrix!AA:AC,3,0)</f>
        <v/>
      </c>
      <c r="AH133" s="195">
        <f>SUMIFS(Def!C:C,Def!F:F,AG133)</f>
        <v/>
      </c>
      <c r="AI133" s="156">
        <f>IFERROR(SUMIFS(Def!B:B,Def!F:F,AG133)/AH133,"")</f>
        <v/>
      </c>
      <c r="AJ133" s="195">
        <f>VLOOKUP(P133,Matrix!AA:AC,3,0)</f>
        <v/>
      </c>
      <c r="AK133" s="195">
        <f>SUMIFS(Def!C:C,Def!F:F,AJ133)</f>
        <v/>
      </c>
      <c r="AL133" s="156">
        <f>IFERROR(SUMIFS(Def!B:B,Def!F:F,AJ133)/AK133,"")</f>
        <v/>
      </c>
    </row>
    <row r="134" ht="14.4" customHeight="1" s="152">
      <c r="A134" s="157">
        <f>IF(F134="Yes",IFERROR(IF(AA134&gt;1,AA134/100,100/-AA134),""),-1)</f>
        <v/>
      </c>
      <c r="B134" s="157">
        <f>B133+1</f>
        <v/>
      </c>
      <c r="C134" s="157">
        <f>IF(Y134&gt;Z134,1,0)</f>
        <v/>
      </c>
      <c r="D134" s="157">
        <f>IF(AND(C134=1,F134="Yes"),"Yes",IF(AND(C134=0,F134="No"),"Yes","No"))</f>
        <v/>
      </c>
      <c r="E134" s="192">
        <f>IF((AC134+AB134)=AD134,"Push",IF((AC134+AB134)&gt;AD134,"Yes","No"))</f>
        <v/>
      </c>
      <c r="F134" s="192">
        <f>IF(AC134&gt;AD134,"Yes","No")</f>
        <v/>
      </c>
      <c r="G134" s="192">
        <f>IF((Y134+AB134)&gt;Z134,"Yes",IF((Y134+AB134)=Z134,"Push","No"))</f>
        <v/>
      </c>
      <c r="H134" s="157">
        <f>IF(O134="Home",VLOOKUP(N134,Matrix!A:S,19,0),1)</f>
        <v/>
      </c>
      <c r="I134" s="157">
        <f>IF(O134="Away",VLOOKUP(N134,Matrix!A:Z,20,0),1)</f>
        <v/>
      </c>
      <c r="J134" s="157">
        <f>IF(O134="Away",VLOOKUP(P134,Matrix!A:S,19,0),1)</f>
        <v/>
      </c>
      <c r="K134" s="157">
        <f>IF(O134="Home",VLOOKUP(P134,Matrix!A:Z,20,0),1)</f>
        <v/>
      </c>
      <c r="L134" s="156" t="n">
        <v>-0.393727168822165</v>
      </c>
      <c r="M134" s="179">
        <f>Schedule!B134</f>
        <v/>
      </c>
      <c r="N134" s="156">
        <f>Schedule!E134</f>
        <v/>
      </c>
      <c r="O134" s="156" t="inlineStr">
        <is>
          <t>Home</t>
        </is>
      </c>
      <c r="P134" s="157">
        <f>Schedule!H134</f>
        <v/>
      </c>
      <c r="Q134" s="157">
        <f>Schedule!C134</f>
        <v/>
      </c>
      <c r="R134" s="180">
        <f>Schedule!D134</f>
        <v/>
      </c>
      <c r="S134" s="181">
        <f>Schedule!J134</f>
        <v/>
      </c>
      <c r="T134" s="193">
        <f>Y134-Z134</f>
        <v/>
      </c>
      <c r="U134" s="182">
        <f>T134/Picks!$K$2</f>
        <v/>
      </c>
      <c r="V134" s="193">
        <f>INDEX(Standings!$T$3:$T$34, MATCH(N134, Standings!$A$3:$A$34, 0)) - INDEX(Standings!$T$3:$T$34, MATCH(P134, Standings!$A$3:$A$34, 0))</f>
        <v/>
      </c>
      <c r="W134" s="157">
        <f>INDEX(Standings!$L$3:$L$34, MATCH(N134, Standings!$A$3:$A$34, 0)) - INDEX(Standings!$L$3:$L$34, MATCH(P134, Standings!$A$3:$A$34, 0))</f>
        <v/>
      </c>
      <c r="X134" s="157">
        <f>INDEX(Standings!$M$3:$M$34, MATCH(N134, Standings!$A$3:$A$34, 0)) - INDEX(Standings!$M$3:$M$34, MATCH(P134, Standings!$A$3:$A$34, 0))</f>
        <v/>
      </c>
      <c r="Y134" s="194">
        <f t="array" ref="Y134:Y134">IFERROR(AE134+(AL134-_DFactor)*AE134,"")</f>
        <v/>
      </c>
      <c r="Z134" s="157">
        <f>IFERROR(AF134+(AI134-_DFactor)*AF134,"")</f>
        <v/>
      </c>
      <c r="AC134" s="194">
        <f>VLOOKUP(M134&amp;N134,Schedule!A:F,6,0)</f>
        <v/>
      </c>
      <c r="AD134" s="194">
        <f>VLOOKUP(M134&amp;P134,Schedule!A:F,6,0)</f>
        <v/>
      </c>
      <c r="AE134" s="156">
        <f>VLOOKUP(N134,ProjPVT!B:I,8,0)*_Mag/VLOOKUP(P134,Standings!A:O,15,0)*H134*K134</f>
        <v/>
      </c>
      <c r="AF134" s="156">
        <f>VLOOKUP(P134,ProjPVT!B:I,8,0)*_Mag/VLOOKUP(N134,Standings!A:O,15,0)*J134*I134</f>
        <v/>
      </c>
      <c r="AG134" s="195">
        <f>VLOOKUP(N134,Matrix!AA:AC,3,0)</f>
        <v/>
      </c>
      <c r="AH134" s="195">
        <f>SUMIFS(Def!C:C,Def!F:F,AG134)</f>
        <v/>
      </c>
      <c r="AI134" s="156">
        <f>IFERROR(SUMIFS(Def!B:B,Def!F:F,AG134)/AH134,"")</f>
        <v/>
      </c>
      <c r="AJ134" s="195">
        <f>VLOOKUP(P134,Matrix!AA:AC,3,0)</f>
        <v/>
      </c>
      <c r="AK134" s="195">
        <f>SUMIFS(Def!C:C,Def!F:F,AJ134)</f>
        <v/>
      </c>
      <c r="AL134" s="156">
        <f>IFERROR(SUMIFS(Def!B:B,Def!F:F,AJ134)/AK134,"")</f>
        <v/>
      </c>
    </row>
    <row r="135" ht="14.4" customHeight="1" s="152">
      <c r="A135" s="157">
        <f>IF(F135="Yes",IFERROR(IF(AA135&gt;1,AA135/100,100/-AA135),""),-1)</f>
        <v/>
      </c>
      <c r="B135" s="157">
        <f>B134+1</f>
        <v/>
      </c>
      <c r="C135" s="157">
        <f>IF(Y135&gt;Z135,1,0)</f>
        <v/>
      </c>
      <c r="D135" s="157">
        <f>IF(AND(C135=1,F135="Yes"),"Yes",IF(AND(C135=0,F135="No"),"Yes","No"))</f>
        <v/>
      </c>
      <c r="E135" s="192">
        <f>IF((AC135+AB135)=AD135,"Push",IF((AC135+AB135)&gt;AD135,"Yes","No"))</f>
        <v/>
      </c>
      <c r="F135" s="192">
        <f>IF(AC135&gt;AD135,"Yes","No")</f>
        <v/>
      </c>
      <c r="G135" s="192">
        <f>IF((Y135+AB135)&gt;Z135,"Yes",IF((Y135+AB135)=Z135,"Push","No"))</f>
        <v/>
      </c>
      <c r="H135" s="157">
        <f>IF(O135="Home",VLOOKUP(N135,Matrix!A:S,19,0),1)</f>
        <v/>
      </c>
      <c r="I135" s="157">
        <f>IF(O135="Away",VLOOKUP(N135,Matrix!A:Z,20,0),1)</f>
        <v/>
      </c>
      <c r="J135" s="157">
        <f>IF(O135="Away",VLOOKUP(P135,Matrix!A:S,19,0),1)</f>
        <v/>
      </c>
      <c r="K135" s="157">
        <f>IF(O135="Home",VLOOKUP(P135,Matrix!A:Z,20,0),1)</f>
        <v/>
      </c>
      <c r="L135" s="156" t="n">
        <v>-0.38228202270838</v>
      </c>
      <c r="M135" s="179">
        <f>Schedule!B135</f>
        <v/>
      </c>
      <c r="N135" s="156">
        <f>Schedule!E135</f>
        <v/>
      </c>
      <c r="O135" s="156" t="inlineStr">
        <is>
          <t>Home</t>
        </is>
      </c>
      <c r="P135" s="157">
        <f>Schedule!H135</f>
        <v/>
      </c>
      <c r="Q135" s="157">
        <f>Schedule!C135</f>
        <v/>
      </c>
      <c r="R135" s="180">
        <f>Schedule!D135</f>
        <v/>
      </c>
      <c r="S135" s="181">
        <f>Schedule!J135</f>
        <v/>
      </c>
      <c r="T135" s="193">
        <f>Y135-Z135</f>
        <v/>
      </c>
      <c r="U135" s="182">
        <f>T135/Picks!$K$2</f>
        <v/>
      </c>
      <c r="V135" s="193">
        <f>INDEX(Standings!$T$3:$T$34, MATCH(N135, Standings!$A$3:$A$34, 0)) - INDEX(Standings!$T$3:$T$34, MATCH(P135, Standings!$A$3:$A$34, 0))</f>
        <v/>
      </c>
      <c r="W135" s="157">
        <f>INDEX(Standings!$L$3:$L$34, MATCH(N135, Standings!$A$3:$A$34, 0)) - INDEX(Standings!$L$3:$L$34, MATCH(P135, Standings!$A$3:$A$34, 0))</f>
        <v/>
      </c>
      <c r="X135" s="157">
        <f>INDEX(Standings!$M$3:$M$34, MATCH(N135, Standings!$A$3:$A$34, 0)) - INDEX(Standings!$M$3:$M$34, MATCH(P135, Standings!$A$3:$A$34, 0))</f>
        <v/>
      </c>
      <c r="Y135" s="194">
        <f t="array" ref="Y135:Y135">IFERROR(AE135+(AL135-_DFactor)*AE135,"")</f>
        <v/>
      </c>
      <c r="Z135" s="157">
        <f>IFERROR(AF135+(AI135-_DFactor)*AF135,"")</f>
        <v/>
      </c>
      <c r="AC135" s="194">
        <f>VLOOKUP(M135&amp;N135,Schedule!A:F,6,0)</f>
        <v/>
      </c>
      <c r="AD135" s="194">
        <f>VLOOKUP(M135&amp;P135,Schedule!A:F,6,0)</f>
        <v/>
      </c>
      <c r="AE135" s="156">
        <f>VLOOKUP(N135,ProjPVT!B:I,8,0)*_Mag/VLOOKUP(P135,Standings!A:O,15,0)*H135*K135</f>
        <v/>
      </c>
      <c r="AF135" s="156">
        <f>VLOOKUP(P135,ProjPVT!B:I,8,0)*_Mag/VLOOKUP(N135,Standings!A:O,15,0)*J135*I135</f>
        <v/>
      </c>
      <c r="AG135" s="195">
        <f>VLOOKUP(N135,Matrix!AA:AC,3,0)</f>
        <v/>
      </c>
      <c r="AH135" s="195">
        <f>SUMIFS(Def!C:C,Def!F:F,AG135)</f>
        <v/>
      </c>
      <c r="AI135" s="156">
        <f>IFERROR(SUMIFS(Def!B:B,Def!F:F,AG135)/AH135,"")</f>
        <v/>
      </c>
      <c r="AJ135" s="195">
        <f>VLOOKUP(P135,Matrix!AA:AC,3,0)</f>
        <v/>
      </c>
      <c r="AK135" s="195">
        <f>SUMIFS(Def!C:C,Def!F:F,AJ135)</f>
        <v/>
      </c>
      <c r="AL135" s="156">
        <f>IFERROR(SUMIFS(Def!B:B,Def!F:F,AJ135)/AK135,"")</f>
        <v/>
      </c>
    </row>
    <row r="136" ht="14.4" customHeight="1" s="152">
      <c r="A136" s="157">
        <f>IF(F136="Yes",IFERROR(IF(AA136&gt;1,AA136/100,100/-AA136),""),-1)</f>
        <v/>
      </c>
      <c r="B136" s="157">
        <f>B135+1</f>
        <v/>
      </c>
      <c r="C136" s="157">
        <f>IF(Y136&gt;Z136,1,0)</f>
        <v/>
      </c>
      <c r="D136" s="157">
        <f>IF(AND(C136=1,F136="Yes"),"Yes",IF(AND(C136=0,F136="No"),"Yes","No"))</f>
        <v/>
      </c>
      <c r="E136" s="192">
        <f>IF((AC136+AB136)=AD136,"Push",IF((AC136+AB136)&gt;AD136,"Yes","No"))</f>
        <v/>
      </c>
      <c r="F136" s="192">
        <f>IF(AC136&gt;AD136,"Yes","No")</f>
        <v/>
      </c>
      <c r="G136" s="192">
        <f>IF((Y136+AB136)&gt;Z136,"Yes",IF((Y136+AB136)=Z136,"Push","No"))</f>
        <v/>
      </c>
      <c r="H136" s="157">
        <f>IF(O136="Home",VLOOKUP(N136,Matrix!A:S,19,0),1)</f>
        <v/>
      </c>
      <c r="I136" s="157">
        <f>IF(O136="Away",VLOOKUP(N136,Matrix!A:Z,20,0),1)</f>
        <v/>
      </c>
      <c r="J136" s="157">
        <f>IF(O136="Away",VLOOKUP(P136,Matrix!A:S,19,0),1)</f>
        <v/>
      </c>
      <c r="K136" s="157">
        <f>IF(O136="Home",VLOOKUP(P136,Matrix!A:Z,20,0),1)</f>
        <v/>
      </c>
      <c r="L136" s="156" t="n">
        <v>-0.185240911969071</v>
      </c>
      <c r="M136" s="179">
        <f>Schedule!B136</f>
        <v/>
      </c>
      <c r="N136" s="156">
        <f>Schedule!E136</f>
        <v/>
      </c>
      <c r="O136" s="156" t="inlineStr">
        <is>
          <t>Away</t>
        </is>
      </c>
      <c r="P136" s="157">
        <f>Schedule!H136</f>
        <v/>
      </c>
      <c r="Q136" s="157">
        <f>Schedule!C136</f>
        <v/>
      </c>
      <c r="R136" s="180">
        <f>Schedule!D136</f>
        <v/>
      </c>
      <c r="S136" s="181">
        <f>Schedule!J136</f>
        <v/>
      </c>
      <c r="T136" s="193">
        <f>Y136-Z136</f>
        <v/>
      </c>
      <c r="U136" s="182">
        <f>T136/Picks!$K$2</f>
        <v/>
      </c>
      <c r="V136" s="193">
        <f>INDEX(Standings!$T$3:$T$34, MATCH(N136, Standings!$A$3:$A$34, 0)) - INDEX(Standings!$T$3:$T$34, MATCH(P136, Standings!$A$3:$A$34, 0))</f>
        <v/>
      </c>
      <c r="W136" s="157">
        <f>INDEX(Standings!$L$3:$L$34, MATCH(N136, Standings!$A$3:$A$34, 0)) - INDEX(Standings!$L$3:$L$34, MATCH(P136, Standings!$A$3:$A$34, 0))</f>
        <v/>
      </c>
      <c r="X136" s="157">
        <f>INDEX(Standings!$M$3:$M$34, MATCH(N136, Standings!$A$3:$A$34, 0)) - INDEX(Standings!$M$3:$M$34, MATCH(P136, Standings!$A$3:$A$34, 0))</f>
        <v/>
      </c>
      <c r="Y136" s="194">
        <f t="array" ref="Y136:Y136">IFERROR(AE136+(AL136-_DFactor)*AE136,"")</f>
        <v/>
      </c>
      <c r="Z136" s="157">
        <f>IFERROR(AF136+(AI136-_DFactor)*AF136,"")</f>
        <v/>
      </c>
      <c r="AC136" s="194">
        <f>VLOOKUP(M136&amp;N136,Schedule!A:F,6,0)</f>
        <v/>
      </c>
      <c r="AD136" s="194">
        <f>VLOOKUP(M136&amp;P136,Schedule!A:F,6,0)</f>
        <v/>
      </c>
      <c r="AE136" s="156">
        <f>VLOOKUP(N136,ProjPVT!B:I,8,0)*_Mag/VLOOKUP(P136,Standings!A:O,15,0)*H136*K136</f>
        <v/>
      </c>
      <c r="AF136" s="156">
        <f>VLOOKUP(P136,ProjPVT!B:I,8,0)*_Mag/VLOOKUP(N136,Standings!A:O,15,0)*J136*I136</f>
        <v/>
      </c>
      <c r="AG136" s="195">
        <f>VLOOKUP(N136,Matrix!AA:AC,3,0)</f>
        <v/>
      </c>
      <c r="AH136" s="195">
        <f>SUMIFS(Def!C:C,Def!F:F,AG136)</f>
        <v/>
      </c>
      <c r="AI136" s="156">
        <f>IFERROR(SUMIFS(Def!B:B,Def!F:F,AG136)/AH136,"")</f>
        <v/>
      </c>
      <c r="AJ136" s="195">
        <f>VLOOKUP(P136,Matrix!AA:AC,3,0)</f>
        <v/>
      </c>
      <c r="AK136" s="195">
        <f>SUMIFS(Def!C:C,Def!F:F,AJ136)</f>
        <v/>
      </c>
      <c r="AL136" s="156">
        <f>IFERROR(SUMIFS(Def!B:B,Def!F:F,AJ136)/AK136,"")</f>
        <v/>
      </c>
    </row>
    <row r="137" ht="14.4" customHeight="1" s="152">
      <c r="A137" s="157">
        <f>IF(F137="Yes",IFERROR(IF(AA137&gt;1,AA137/100,100/-AA137),""),-1)</f>
        <v/>
      </c>
      <c r="B137" s="157">
        <f>B136+1</f>
        <v/>
      </c>
      <c r="C137" s="157">
        <f>IF(Y137&gt;Z137,1,0)</f>
        <v/>
      </c>
      <c r="D137" s="157">
        <f>IF(AND(C137=1,F137="Yes"),"Yes",IF(AND(C137=0,F137="No"),"Yes","No"))</f>
        <v/>
      </c>
      <c r="E137" s="192">
        <f>IF((AC137+AB137)=AD137,"Push",IF((AC137+AB137)&gt;AD137,"Yes","No"))</f>
        <v/>
      </c>
      <c r="F137" s="192">
        <f>IF(AC137&gt;AD137,"Yes","No")</f>
        <v/>
      </c>
      <c r="G137" s="192">
        <f>IF((Y137+AB137)&gt;Z137,"Yes",IF((Y137+AB137)=Z137,"Push","No"))</f>
        <v/>
      </c>
      <c r="H137" s="157">
        <f>IF(O137="Home",VLOOKUP(N137,Matrix!A:S,19,0),1)</f>
        <v/>
      </c>
      <c r="I137" s="157">
        <f>IF(O137="Away",VLOOKUP(N137,Matrix!A:Z,20,0),1)</f>
        <v/>
      </c>
      <c r="J137" s="157">
        <f>IF(O137="Away",VLOOKUP(P137,Matrix!A:S,19,0),1)</f>
        <v/>
      </c>
      <c r="K137" s="157">
        <f>IF(O137="Home",VLOOKUP(P137,Matrix!A:Z,20,0),1)</f>
        <v/>
      </c>
      <c r="L137" s="156" t="n">
        <v>-0.14646568000067</v>
      </c>
      <c r="M137" s="179">
        <f>Schedule!B137</f>
        <v/>
      </c>
      <c r="N137" s="156">
        <f>Schedule!E137</f>
        <v/>
      </c>
      <c r="O137" s="156" t="inlineStr">
        <is>
          <t>Home</t>
        </is>
      </c>
      <c r="P137" s="157">
        <f>Schedule!H137</f>
        <v/>
      </c>
      <c r="Q137" s="157">
        <f>Schedule!C137</f>
        <v/>
      </c>
      <c r="R137" s="180">
        <f>Schedule!D137</f>
        <v/>
      </c>
      <c r="S137" s="181">
        <f>Schedule!J137</f>
        <v/>
      </c>
      <c r="T137" s="193">
        <f>Y137-Z137</f>
        <v/>
      </c>
      <c r="U137" s="182">
        <f>T137/Picks!$K$2</f>
        <v/>
      </c>
      <c r="V137" s="193">
        <f>INDEX(Standings!$T$3:$T$34, MATCH(N137, Standings!$A$3:$A$34, 0)) - INDEX(Standings!$T$3:$T$34, MATCH(P137, Standings!$A$3:$A$34, 0))</f>
        <v/>
      </c>
      <c r="W137" s="157">
        <f>INDEX(Standings!$L$3:$L$34, MATCH(N137, Standings!$A$3:$A$34, 0)) - INDEX(Standings!$L$3:$L$34, MATCH(P137, Standings!$A$3:$A$34, 0))</f>
        <v/>
      </c>
      <c r="X137" s="157">
        <f>INDEX(Standings!$M$3:$M$34, MATCH(N137, Standings!$A$3:$A$34, 0)) - INDEX(Standings!$M$3:$M$34, MATCH(P137, Standings!$A$3:$A$34, 0))</f>
        <v/>
      </c>
      <c r="Y137" s="194">
        <f t="array" ref="Y137:Y137">IFERROR(AE137+(AL137-_DFactor)*AE137,"")</f>
        <v/>
      </c>
      <c r="Z137" s="157">
        <f>IFERROR(AF137+(AI137-_DFactor)*AF137,"")</f>
        <v/>
      </c>
      <c r="AC137" s="194">
        <f>VLOOKUP(M137&amp;N137,Schedule!A:F,6,0)</f>
        <v/>
      </c>
      <c r="AD137" s="194">
        <f>VLOOKUP(M137&amp;P137,Schedule!A:F,6,0)</f>
        <v/>
      </c>
      <c r="AE137" s="156">
        <f>VLOOKUP(N137,ProjPVT!B:I,8,0)*_Mag/VLOOKUP(P137,Standings!A:O,15,0)*H137*K137</f>
        <v/>
      </c>
      <c r="AF137" s="156">
        <f>VLOOKUP(P137,ProjPVT!B:I,8,0)*_Mag/VLOOKUP(N137,Standings!A:O,15,0)*J137*I137</f>
        <v/>
      </c>
      <c r="AG137" s="195">
        <f>VLOOKUP(N137,Matrix!AA:AC,3,0)</f>
        <v/>
      </c>
      <c r="AH137" s="195">
        <f>SUMIFS(Def!C:C,Def!F:F,AG137)</f>
        <v/>
      </c>
      <c r="AI137" s="156">
        <f>IFERROR(SUMIFS(Def!B:B,Def!F:F,AG137)/AH137,"")</f>
        <v/>
      </c>
      <c r="AJ137" s="195">
        <f>VLOOKUP(P137,Matrix!AA:AC,3,0)</f>
        <v/>
      </c>
      <c r="AK137" s="195">
        <f>SUMIFS(Def!C:C,Def!F:F,AJ137)</f>
        <v/>
      </c>
      <c r="AL137" s="156">
        <f>IFERROR(SUMIFS(Def!B:B,Def!F:F,AJ137)/AK137,"")</f>
        <v/>
      </c>
    </row>
    <row r="138" ht="14.4" customHeight="1" s="152">
      <c r="A138" s="157">
        <f>IF(F138="Yes",IFERROR(IF(AA138&gt;1,AA138/100,100/-AA138),""),-1)</f>
        <v/>
      </c>
      <c r="B138" s="157">
        <f>B137+1</f>
        <v/>
      </c>
      <c r="C138" s="157">
        <f>IF(Y138&gt;Z138,1,0)</f>
        <v/>
      </c>
      <c r="D138" s="157">
        <f>IF(AND(C138=1,F138="Yes"),"Yes",IF(AND(C138=0,F138="No"),"Yes","No"))</f>
        <v/>
      </c>
      <c r="E138" s="192">
        <f>IF((AC138+AB138)=AD138,"Push",IF((AC138+AB138)&gt;AD138,"Yes","No"))</f>
        <v/>
      </c>
      <c r="F138" s="192">
        <f>IF(AC138&gt;AD138,"Yes","No")</f>
        <v/>
      </c>
      <c r="G138" s="192">
        <f>IF((Y138+AB138)&gt;Z138,"Yes",IF((Y138+AB138)=Z138,"Push","No"))</f>
        <v/>
      </c>
      <c r="H138" s="157">
        <f>IF(O138="Home",VLOOKUP(N138,Matrix!A:S,19,0),1)</f>
        <v/>
      </c>
      <c r="I138" s="157">
        <f>IF(O138="Away",VLOOKUP(N138,Matrix!A:Z,20,0),1)</f>
        <v/>
      </c>
      <c r="J138" s="157">
        <f>IF(O138="Away",VLOOKUP(P138,Matrix!A:S,19,0),1)</f>
        <v/>
      </c>
      <c r="K138" s="157">
        <f>IF(O138="Home",VLOOKUP(P138,Matrix!A:Z,20,0),1)</f>
        <v/>
      </c>
      <c r="L138" s="156" t="n">
        <v>-0.137766380156912</v>
      </c>
      <c r="M138" s="179">
        <f>Schedule!B138</f>
        <v/>
      </c>
      <c r="N138" s="156">
        <f>Schedule!E138</f>
        <v/>
      </c>
      <c r="O138" s="156" t="inlineStr">
        <is>
          <t>Away</t>
        </is>
      </c>
      <c r="P138" s="157">
        <f>Schedule!H138</f>
        <v/>
      </c>
      <c r="Q138" s="157">
        <f>Schedule!C138</f>
        <v/>
      </c>
      <c r="R138" s="180">
        <f>Schedule!D138</f>
        <v/>
      </c>
      <c r="S138" s="181">
        <f>Schedule!J138</f>
        <v/>
      </c>
      <c r="T138" s="193">
        <f>Y138-Z138</f>
        <v/>
      </c>
      <c r="U138" s="182">
        <f>T138/Picks!$K$2</f>
        <v/>
      </c>
      <c r="V138" s="193">
        <f>INDEX(Standings!$T$3:$T$34, MATCH(N138, Standings!$A$3:$A$34, 0)) - INDEX(Standings!$T$3:$T$34, MATCH(P138, Standings!$A$3:$A$34, 0))</f>
        <v/>
      </c>
      <c r="W138" s="157">
        <f>INDEX(Standings!$L$3:$L$34, MATCH(N138, Standings!$A$3:$A$34, 0)) - INDEX(Standings!$L$3:$L$34, MATCH(P138, Standings!$A$3:$A$34, 0))</f>
        <v/>
      </c>
      <c r="X138" s="157">
        <f>INDEX(Standings!$M$3:$M$34, MATCH(N138, Standings!$A$3:$A$34, 0)) - INDEX(Standings!$M$3:$M$34, MATCH(P138, Standings!$A$3:$A$34, 0))</f>
        <v/>
      </c>
      <c r="Y138" s="194">
        <f t="array" ref="Y138:Y138">IFERROR(AE138+(AL138-_DFactor)*AE138,"")</f>
        <v/>
      </c>
      <c r="Z138" s="157">
        <f>IFERROR(AF138+(AI138-_DFactor)*AF138,"")</f>
        <v/>
      </c>
      <c r="AC138" s="194">
        <f>VLOOKUP(M138&amp;N138,Schedule!A:F,6,0)</f>
        <v/>
      </c>
      <c r="AD138" s="194">
        <f>VLOOKUP(M138&amp;P138,Schedule!A:F,6,0)</f>
        <v/>
      </c>
      <c r="AE138" s="156">
        <f>VLOOKUP(N138,ProjPVT!B:I,8,0)*_Mag/VLOOKUP(P138,Standings!A:O,15,0)*H138*K138</f>
        <v/>
      </c>
      <c r="AF138" s="156">
        <f>VLOOKUP(P138,ProjPVT!B:I,8,0)*_Mag/VLOOKUP(N138,Standings!A:O,15,0)*J138*I138</f>
        <v/>
      </c>
      <c r="AG138" s="195">
        <f>VLOOKUP(N138,Matrix!AA:AC,3,0)</f>
        <v/>
      </c>
      <c r="AH138" s="195">
        <f>SUMIFS(Def!C:C,Def!F:F,AG138)</f>
        <v/>
      </c>
      <c r="AI138" s="156">
        <f>IFERROR(SUMIFS(Def!B:B,Def!F:F,AG138)/AH138,"")</f>
        <v/>
      </c>
      <c r="AJ138" s="195">
        <f>VLOOKUP(P138,Matrix!AA:AC,3,0)</f>
        <v/>
      </c>
      <c r="AK138" s="195">
        <f>SUMIFS(Def!C:C,Def!F:F,AJ138)</f>
        <v/>
      </c>
      <c r="AL138" s="156">
        <f>IFERROR(SUMIFS(Def!B:B,Def!F:F,AJ138)/AK138,"")</f>
        <v/>
      </c>
    </row>
    <row r="139" ht="14.4" customHeight="1" s="152">
      <c r="A139" s="157">
        <f>IF(F139="Yes",IFERROR(IF(AA139&gt;1,AA139/100,100/-AA139),""),-1)</f>
        <v/>
      </c>
      <c r="B139" s="157">
        <f>B138+1</f>
        <v/>
      </c>
      <c r="C139" s="157">
        <f>IF(Y139&gt;Z139,1,0)</f>
        <v/>
      </c>
      <c r="D139" s="157">
        <f>IF(AND(C139=1,F139="Yes"),"Yes",IF(AND(C139=0,F139="No"),"Yes","No"))</f>
        <v/>
      </c>
      <c r="E139" s="192">
        <f>IF((AC139+AB139)=AD139,"Push",IF((AC139+AB139)&gt;AD139,"Yes","No"))</f>
        <v/>
      </c>
      <c r="F139" s="192">
        <f>IF(AC139&gt;AD139,"Yes","No")</f>
        <v/>
      </c>
      <c r="G139" s="192">
        <f>IF((Y139+AB139)&gt;Z139,"Yes",IF((Y139+AB139)=Z139,"Push","No"))</f>
        <v/>
      </c>
      <c r="H139" s="157">
        <f>IF(O139="Home",VLOOKUP(N139,Matrix!A:S,19,0),1)</f>
        <v/>
      </c>
      <c r="I139" s="157">
        <f>IF(O139="Away",VLOOKUP(N139,Matrix!A:Z,20,0),1)</f>
        <v/>
      </c>
      <c r="J139" s="157">
        <f>IF(O139="Away",VLOOKUP(P139,Matrix!A:S,19,0),1)</f>
        <v/>
      </c>
      <c r="K139" s="157">
        <f>IF(O139="Home",VLOOKUP(P139,Matrix!A:Z,20,0),1)</f>
        <v/>
      </c>
      <c r="L139" s="156" t="n">
        <v>-0.11423190577293</v>
      </c>
      <c r="M139" s="179">
        <f>Schedule!B139</f>
        <v/>
      </c>
      <c r="N139" s="156">
        <f>Schedule!E139</f>
        <v/>
      </c>
      <c r="O139" s="156" t="inlineStr">
        <is>
          <t>Away</t>
        </is>
      </c>
      <c r="P139" s="157">
        <f>Schedule!H139</f>
        <v/>
      </c>
      <c r="Q139" s="157">
        <f>Schedule!C139</f>
        <v/>
      </c>
      <c r="R139" s="180">
        <f>Schedule!D139</f>
        <v/>
      </c>
      <c r="S139" s="181">
        <f>Schedule!J139</f>
        <v/>
      </c>
      <c r="T139" s="193">
        <f>Y139-Z139</f>
        <v/>
      </c>
      <c r="U139" s="182">
        <f>T139/Picks!$K$2</f>
        <v/>
      </c>
      <c r="V139" s="193">
        <f>INDEX(Standings!$T$3:$T$34, MATCH(N139, Standings!$A$3:$A$34, 0)) - INDEX(Standings!$T$3:$T$34, MATCH(P139, Standings!$A$3:$A$34, 0))</f>
        <v/>
      </c>
      <c r="W139" s="157">
        <f>INDEX(Standings!$L$3:$L$34, MATCH(N139, Standings!$A$3:$A$34, 0)) - INDEX(Standings!$L$3:$L$34, MATCH(P139, Standings!$A$3:$A$34, 0))</f>
        <v/>
      </c>
      <c r="X139" s="157">
        <f>INDEX(Standings!$M$3:$M$34, MATCH(N139, Standings!$A$3:$A$34, 0)) - INDEX(Standings!$M$3:$M$34, MATCH(P139, Standings!$A$3:$A$34, 0))</f>
        <v/>
      </c>
      <c r="Y139" s="194">
        <f t="array" ref="Y139:Y139">IFERROR(AE139+(AL139-_DFactor)*AE139,"")</f>
        <v/>
      </c>
      <c r="Z139" s="157">
        <f>IFERROR(AF139+(AI139-_DFactor)*AF139,"")</f>
        <v/>
      </c>
      <c r="AC139" s="194">
        <f>VLOOKUP(M139&amp;N139,Schedule!A:F,6,0)</f>
        <v/>
      </c>
      <c r="AD139" s="194">
        <f>VLOOKUP(M139&amp;P139,Schedule!A:F,6,0)</f>
        <v/>
      </c>
      <c r="AE139" s="156">
        <f>VLOOKUP(N139,ProjPVT!B:I,8,0)*_Mag/VLOOKUP(P139,Standings!A:O,15,0)*H139*K139</f>
        <v/>
      </c>
      <c r="AF139" s="156">
        <f>VLOOKUP(P139,ProjPVT!B:I,8,0)*_Mag/VLOOKUP(N139,Standings!A:O,15,0)*J139*I139</f>
        <v/>
      </c>
      <c r="AG139" s="195">
        <f>VLOOKUP(N139,Matrix!AA:AC,3,0)</f>
        <v/>
      </c>
      <c r="AH139" s="195">
        <f>SUMIFS(Def!C:C,Def!F:F,AG139)</f>
        <v/>
      </c>
      <c r="AI139" s="156">
        <f>IFERROR(SUMIFS(Def!B:B,Def!F:F,AG139)/AH139,"")</f>
        <v/>
      </c>
      <c r="AJ139" s="195">
        <f>VLOOKUP(P139,Matrix!AA:AC,3,0)</f>
        <v/>
      </c>
      <c r="AK139" s="195">
        <f>SUMIFS(Def!C:C,Def!F:F,AJ139)</f>
        <v/>
      </c>
      <c r="AL139" s="156">
        <f>IFERROR(SUMIFS(Def!B:B,Def!F:F,AJ139)/AK139,"")</f>
        <v/>
      </c>
    </row>
    <row r="140" ht="14.4" customHeight="1" s="152">
      <c r="A140" s="157">
        <f>IF(F140="Yes",IFERROR(IF(AA140&gt;1,AA140/100,100/-AA140),""),-1)</f>
        <v/>
      </c>
      <c r="B140" s="157">
        <f>B139+1</f>
        <v/>
      </c>
      <c r="C140" s="157">
        <f>IF(Y140&gt;Z140,1,0)</f>
        <v/>
      </c>
      <c r="D140" s="157">
        <f>IF(AND(C140=1,F140="Yes"),"Yes",IF(AND(C140=0,F140="No"),"Yes","No"))</f>
        <v/>
      </c>
      <c r="E140" s="192">
        <f>IF((AC140+AB140)=AD140,"Push",IF((AC140+AB140)&gt;AD140,"Yes","No"))</f>
        <v/>
      </c>
      <c r="F140" s="192">
        <f>IF(AC140&gt;AD140,"Yes","No")</f>
        <v/>
      </c>
      <c r="G140" s="192">
        <f>IF((Y140+AB140)&gt;Z140,"Yes",IF((Y140+AB140)=Z140,"Push","No"))</f>
        <v/>
      </c>
      <c r="H140" s="157">
        <f>IF(O140="Home",VLOOKUP(N140,Matrix!A:S,19,0),1)</f>
        <v/>
      </c>
      <c r="I140" s="157">
        <f>IF(O140="Away",VLOOKUP(N140,Matrix!A:Z,20,0),1)</f>
        <v/>
      </c>
      <c r="J140" s="157">
        <f>IF(O140="Away",VLOOKUP(P140,Matrix!A:S,19,0),1)</f>
        <v/>
      </c>
      <c r="K140" s="157">
        <f>IF(O140="Home",VLOOKUP(P140,Matrix!A:Z,20,0),1)</f>
        <v/>
      </c>
      <c r="L140" s="156" t="n">
        <v>-0.0837904485056185</v>
      </c>
      <c r="M140" s="179">
        <f>Schedule!B140</f>
        <v/>
      </c>
      <c r="N140" s="156">
        <f>Schedule!E140</f>
        <v/>
      </c>
      <c r="O140" s="156" t="inlineStr">
        <is>
          <t>Home</t>
        </is>
      </c>
      <c r="P140" s="157">
        <f>Schedule!H140</f>
        <v/>
      </c>
      <c r="Q140" s="157">
        <f>Schedule!C140</f>
        <v/>
      </c>
      <c r="R140" s="180">
        <f>Schedule!D140</f>
        <v/>
      </c>
      <c r="S140" s="181">
        <f>Schedule!J140</f>
        <v/>
      </c>
      <c r="T140" s="193">
        <f>Y140-Z140</f>
        <v/>
      </c>
      <c r="U140" s="182">
        <f>T140/Picks!$K$2</f>
        <v/>
      </c>
      <c r="V140" s="193">
        <f>INDEX(Standings!$T$3:$T$34, MATCH(N140, Standings!$A$3:$A$34, 0)) - INDEX(Standings!$T$3:$T$34, MATCH(P140, Standings!$A$3:$A$34, 0))</f>
        <v/>
      </c>
      <c r="W140" s="157">
        <f>INDEX(Standings!$L$3:$L$34, MATCH(N140, Standings!$A$3:$A$34, 0)) - INDEX(Standings!$L$3:$L$34, MATCH(P140, Standings!$A$3:$A$34, 0))</f>
        <v/>
      </c>
      <c r="X140" s="157">
        <f>INDEX(Standings!$M$3:$M$34, MATCH(N140, Standings!$A$3:$A$34, 0)) - INDEX(Standings!$M$3:$M$34, MATCH(P140, Standings!$A$3:$A$34, 0))</f>
        <v/>
      </c>
      <c r="Y140" s="194">
        <f t="array" ref="Y140:Y140">IFERROR(AE140+(AL140-_DFactor)*AE140,"")</f>
        <v/>
      </c>
      <c r="Z140" s="157">
        <f>IFERROR(AF140+(AI140-_DFactor)*AF140,"")</f>
        <v/>
      </c>
      <c r="AC140" s="194">
        <f>VLOOKUP(M140&amp;N140,Schedule!A:F,6,0)</f>
        <v/>
      </c>
      <c r="AD140" s="194">
        <f>VLOOKUP(M140&amp;P140,Schedule!A:F,6,0)</f>
        <v/>
      </c>
      <c r="AE140" s="156">
        <f>VLOOKUP(N140,ProjPVT!B:I,8,0)*_Mag/VLOOKUP(P140,Standings!A:O,15,0)*H140*K140</f>
        <v/>
      </c>
      <c r="AF140" s="156">
        <f>VLOOKUP(P140,ProjPVT!B:I,8,0)*_Mag/VLOOKUP(N140,Standings!A:O,15,0)*J140*I140</f>
        <v/>
      </c>
      <c r="AG140" s="195">
        <f>VLOOKUP(N140,Matrix!AA:AC,3,0)</f>
        <v/>
      </c>
      <c r="AH140" s="195">
        <f>SUMIFS(Def!C:C,Def!F:F,AG140)</f>
        <v/>
      </c>
      <c r="AI140" s="156">
        <f>IFERROR(SUMIFS(Def!B:B,Def!F:F,AG140)/AH140,"")</f>
        <v/>
      </c>
      <c r="AJ140" s="195">
        <f>VLOOKUP(P140,Matrix!AA:AC,3,0)</f>
        <v/>
      </c>
      <c r="AK140" s="195">
        <f>SUMIFS(Def!C:C,Def!F:F,AJ140)</f>
        <v/>
      </c>
      <c r="AL140" s="156">
        <f>IFERROR(SUMIFS(Def!B:B,Def!F:F,AJ140)/AK140,"")</f>
        <v/>
      </c>
    </row>
    <row r="141" ht="14.4" customHeight="1" s="152">
      <c r="A141" s="157">
        <f>IF(F141="Yes",IFERROR(IF(AA141&gt;1,AA141/100,100/-AA141),""),-1)</f>
        <v/>
      </c>
      <c r="B141" s="157">
        <f>B140+1</f>
        <v/>
      </c>
      <c r="C141" s="157">
        <f>IF(Y141&gt;Z141,1,0)</f>
        <v/>
      </c>
      <c r="D141" s="157">
        <f>IF(AND(C141=1,F141="Yes"),"Yes",IF(AND(C141=0,F141="No"),"Yes","No"))</f>
        <v/>
      </c>
      <c r="E141" s="192">
        <f>IF((AC141+AB141)=AD141,"Push",IF((AC141+AB141)&gt;AD141,"Yes","No"))</f>
        <v/>
      </c>
      <c r="F141" s="192">
        <f>IF(AC141&gt;AD141,"Yes","No")</f>
        <v/>
      </c>
      <c r="G141" s="192">
        <f>IF((Y141+AB141)&gt;Z141,"Yes",IF((Y141+AB141)=Z141,"Push","No"))</f>
        <v/>
      </c>
      <c r="H141" s="157">
        <f>IF(O141="Home",VLOOKUP(N141,Matrix!A:S,19,0),1)</f>
        <v/>
      </c>
      <c r="I141" s="157">
        <f>IF(O141="Away",VLOOKUP(N141,Matrix!A:Z,20,0),1)</f>
        <v/>
      </c>
      <c r="J141" s="157">
        <f>IF(O141="Away",VLOOKUP(P141,Matrix!A:S,19,0),1)</f>
        <v/>
      </c>
      <c r="K141" s="157">
        <f>IF(O141="Home",VLOOKUP(P141,Matrix!A:Z,20,0),1)</f>
        <v/>
      </c>
      <c r="L141" s="156" t="n">
        <v>-0.0301340981806279</v>
      </c>
      <c r="M141" s="179">
        <f>Schedule!B141</f>
        <v/>
      </c>
      <c r="N141" s="156">
        <f>Schedule!E141</f>
        <v/>
      </c>
      <c r="O141" s="156" t="inlineStr">
        <is>
          <t>Away</t>
        </is>
      </c>
      <c r="P141" s="157">
        <f>Schedule!H141</f>
        <v/>
      </c>
      <c r="Q141" s="157">
        <f>Schedule!C141</f>
        <v/>
      </c>
      <c r="R141" s="180">
        <f>Schedule!D141</f>
        <v/>
      </c>
      <c r="S141" s="181">
        <f>Schedule!J141</f>
        <v/>
      </c>
      <c r="T141" s="193">
        <f>Y141-Z141</f>
        <v/>
      </c>
      <c r="U141" s="182">
        <f>T141/Picks!$K$2</f>
        <v/>
      </c>
      <c r="V141" s="193">
        <f>INDEX(Standings!$T$3:$T$34, MATCH(N141, Standings!$A$3:$A$34, 0)) - INDEX(Standings!$T$3:$T$34, MATCH(P141, Standings!$A$3:$A$34, 0))</f>
        <v/>
      </c>
      <c r="W141" s="157">
        <f>INDEX(Standings!$L$3:$L$34, MATCH(N141, Standings!$A$3:$A$34, 0)) - INDEX(Standings!$L$3:$L$34, MATCH(P141, Standings!$A$3:$A$34, 0))</f>
        <v/>
      </c>
      <c r="X141" s="157">
        <f>INDEX(Standings!$M$3:$M$34, MATCH(N141, Standings!$A$3:$A$34, 0)) - INDEX(Standings!$M$3:$M$34, MATCH(P141, Standings!$A$3:$A$34, 0))</f>
        <v/>
      </c>
      <c r="Y141" s="194">
        <f t="array" ref="Y141:Y141">IFERROR(AE141+(AL141-_DFactor)*AE141,"")</f>
        <v/>
      </c>
      <c r="Z141" s="157">
        <f>IFERROR(AF141+(AI141-_DFactor)*AF141,"")</f>
        <v/>
      </c>
      <c r="AC141" s="194">
        <f>VLOOKUP(M141&amp;N141,Schedule!A:F,6,0)</f>
        <v/>
      </c>
      <c r="AD141" s="194">
        <f>VLOOKUP(M141&amp;P141,Schedule!A:F,6,0)</f>
        <v/>
      </c>
      <c r="AE141" s="156">
        <f>VLOOKUP(N141,ProjPVT!B:I,8,0)*_Mag/VLOOKUP(P141,Standings!A:O,15,0)*H141*K141</f>
        <v/>
      </c>
      <c r="AF141" s="156">
        <f>VLOOKUP(P141,ProjPVT!B:I,8,0)*_Mag/VLOOKUP(N141,Standings!A:O,15,0)*J141*I141</f>
        <v/>
      </c>
      <c r="AG141" s="195">
        <f>VLOOKUP(N141,Matrix!AA:AC,3,0)</f>
        <v/>
      </c>
      <c r="AH141" s="195">
        <f>SUMIFS(Def!C:C,Def!F:F,AG141)</f>
        <v/>
      </c>
      <c r="AI141" s="156">
        <f>IFERROR(SUMIFS(Def!B:B,Def!F:F,AG141)/AH141,"")</f>
        <v/>
      </c>
      <c r="AJ141" s="195">
        <f>VLOOKUP(P141,Matrix!AA:AC,3,0)</f>
        <v/>
      </c>
      <c r="AK141" s="195">
        <f>SUMIFS(Def!C:C,Def!F:F,AJ141)</f>
        <v/>
      </c>
      <c r="AL141" s="156">
        <f>IFERROR(SUMIFS(Def!B:B,Def!F:F,AJ141)/AK141,"")</f>
        <v/>
      </c>
    </row>
    <row r="142" ht="14.4" customHeight="1" s="152">
      <c r="A142" s="157">
        <f>IF(F142="Yes",IFERROR(IF(AA142&gt;1,AA142/100,100/-AA142),""),-1)</f>
        <v/>
      </c>
      <c r="B142" s="157">
        <f>B141+1</f>
        <v/>
      </c>
      <c r="C142" s="157">
        <f>IF(Y142&gt;Z142,1,0)</f>
        <v/>
      </c>
      <c r="D142" s="157">
        <f>IF(AND(C142=1,F142="Yes"),"Yes",IF(AND(C142=0,F142="No"),"Yes","No"))</f>
        <v/>
      </c>
      <c r="E142" s="192">
        <f>IF((AC142+AB142)=AD142,"Push",IF((AC142+AB142)&gt;AD142,"Yes","No"))</f>
        <v/>
      </c>
      <c r="F142" s="192">
        <f>IF(AC142&gt;AD142,"Yes","No")</f>
        <v/>
      </c>
      <c r="G142" s="192">
        <f>IF((Y142+AB142)&gt;Z142,"Yes",IF((Y142+AB142)=Z142,"Push","No"))</f>
        <v/>
      </c>
      <c r="H142" s="157">
        <f>IF(O142="Home",VLOOKUP(N142,Matrix!A:S,19,0),1)</f>
        <v/>
      </c>
      <c r="I142" s="157">
        <f>IF(O142="Away",VLOOKUP(N142,Matrix!A:Z,20,0),1)</f>
        <v/>
      </c>
      <c r="J142" s="157">
        <f>IF(O142="Away",VLOOKUP(P142,Matrix!A:S,19,0),1)</f>
        <v/>
      </c>
      <c r="K142" s="157">
        <f>IF(O142="Home",VLOOKUP(P142,Matrix!A:Z,20,0),1)</f>
        <v/>
      </c>
      <c r="L142" s="156" t="n">
        <v>-0.0229426437352056</v>
      </c>
      <c r="M142" s="179">
        <f>Schedule!B142</f>
        <v/>
      </c>
      <c r="N142" s="156">
        <f>Schedule!E142</f>
        <v/>
      </c>
      <c r="O142" s="156" t="inlineStr">
        <is>
          <t>Home</t>
        </is>
      </c>
      <c r="P142" s="157">
        <f>Schedule!H142</f>
        <v/>
      </c>
      <c r="Q142" s="157">
        <f>Schedule!C142</f>
        <v/>
      </c>
      <c r="R142" s="180">
        <f>Schedule!D142</f>
        <v/>
      </c>
      <c r="S142" s="181">
        <f>Schedule!J142</f>
        <v/>
      </c>
      <c r="T142" s="193">
        <f>Y142-Z142</f>
        <v/>
      </c>
      <c r="U142" s="182">
        <f>T142/Picks!$K$2</f>
        <v/>
      </c>
      <c r="V142" s="193">
        <f>INDEX(Standings!$T$3:$T$34, MATCH(N142, Standings!$A$3:$A$34, 0)) - INDEX(Standings!$T$3:$T$34, MATCH(P142, Standings!$A$3:$A$34, 0))</f>
        <v/>
      </c>
      <c r="W142" s="157">
        <f>INDEX(Standings!$L$3:$L$34, MATCH(N142, Standings!$A$3:$A$34, 0)) - INDEX(Standings!$L$3:$L$34, MATCH(P142, Standings!$A$3:$A$34, 0))</f>
        <v/>
      </c>
      <c r="X142" s="157">
        <f>INDEX(Standings!$M$3:$M$34, MATCH(N142, Standings!$A$3:$A$34, 0)) - INDEX(Standings!$M$3:$M$34, MATCH(P142, Standings!$A$3:$A$34, 0))</f>
        <v/>
      </c>
      <c r="Y142" s="194">
        <f t="array" ref="Y142:Y142">IFERROR(AE142+(AL142-_DFactor)*AE142,"")</f>
        <v/>
      </c>
      <c r="Z142" s="157">
        <f>IFERROR(AF142+(AI142-_DFactor)*AF142,"")</f>
        <v/>
      </c>
      <c r="AC142" s="194">
        <f>VLOOKUP(M142&amp;N142,Schedule!A:F,6,0)</f>
        <v/>
      </c>
      <c r="AD142" s="194">
        <f>VLOOKUP(M142&amp;P142,Schedule!A:F,6,0)</f>
        <v/>
      </c>
      <c r="AE142" s="156">
        <f>VLOOKUP(N142,ProjPVT!B:I,8,0)*_Mag/VLOOKUP(P142,Standings!A:O,15,0)*H142*K142</f>
        <v/>
      </c>
      <c r="AF142" s="156">
        <f>VLOOKUP(P142,ProjPVT!B:I,8,0)*_Mag/VLOOKUP(N142,Standings!A:O,15,0)*J142*I142</f>
        <v/>
      </c>
      <c r="AG142" s="195">
        <f>VLOOKUP(N142,Matrix!AA:AC,3,0)</f>
        <v/>
      </c>
      <c r="AH142" s="195">
        <f>SUMIFS(Def!C:C,Def!F:F,AG142)</f>
        <v/>
      </c>
      <c r="AI142" s="156">
        <f>IFERROR(SUMIFS(Def!B:B,Def!F:F,AG142)/AH142,"")</f>
        <v/>
      </c>
      <c r="AJ142" s="195">
        <f>VLOOKUP(P142,Matrix!AA:AC,3,0)</f>
        <v/>
      </c>
      <c r="AK142" s="195">
        <f>SUMIFS(Def!C:C,Def!F:F,AJ142)</f>
        <v/>
      </c>
      <c r="AL142" s="156">
        <f>IFERROR(SUMIFS(Def!B:B,Def!F:F,AJ142)/AK142,"")</f>
        <v/>
      </c>
    </row>
    <row r="143" ht="14.4" customHeight="1" s="152">
      <c r="A143" s="157">
        <f>IF(F143="Yes",IFERROR(IF(AA143&gt;1,AA143/100,100/-AA143),""),-1)</f>
        <v/>
      </c>
      <c r="B143" s="157">
        <f>B142+1</f>
        <v/>
      </c>
      <c r="C143" s="157">
        <f>IF(Y143&gt;Z143,1,0)</f>
        <v/>
      </c>
      <c r="D143" s="157">
        <f>IF(AND(C143=1,F143="Yes"),"Yes",IF(AND(C143=0,F143="No"),"Yes","No"))</f>
        <v/>
      </c>
      <c r="E143" s="192">
        <f>IF((AC143+AB143)=AD143,"Push",IF((AC143+AB143)&gt;AD143,"Yes","No"))</f>
        <v/>
      </c>
      <c r="F143" s="192">
        <f>IF(AC143&gt;AD143,"Yes","No")</f>
        <v/>
      </c>
      <c r="G143" s="192">
        <f>IF((Y143+AB143)&gt;Z143,"Yes",IF((Y143+AB143)=Z143,"Push","No"))</f>
        <v/>
      </c>
      <c r="H143" s="157">
        <f>IF(O143="Home",VLOOKUP(N143,Matrix!A:S,19,0),1)</f>
        <v/>
      </c>
      <c r="I143" s="157">
        <f>IF(O143="Away",VLOOKUP(N143,Matrix!A:Z,20,0),1)</f>
        <v/>
      </c>
      <c r="J143" s="157">
        <f>IF(O143="Away",VLOOKUP(P143,Matrix!A:S,19,0),1)</f>
        <v/>
      </c>
      <c r="K143" s="157">
        <f>IF(O143="Home",VLOOKUP(P143,Matrix!A:Z,20,0),1)</f>
        <v/>
      </c>
      <c r="L143" s="156" t="n">
        <v>-0.0113525664809804</v>
      </c>
      <c r="M143" s="179">
        <f>Schedule!B143</f>
        <v/>
      </c>
      <c r="N143" s="156">
        <f>Schedule!E143</f>
        <v/>
      </c>
      <c r="O143" s="156" t="inlineStr">
        <is>
          <t>Home</t>
        </is>
      </c>
      <c r="P143" s="157">
        <f>Schedule!H143</f>
        <v/>
      </c>
      <c r="Q143" s="157">
        <f>Schedule!C143</f>
        <v/>
      </c>
      <c r="R143" s="180">
        <f>Schedule!D143</f>
        <v/>
      </c>
      <c r="S143" s="181">
        <f>Schedule!J143</f>
        <v/>
      </c>
      <c r="T143" s="193">
        <f>Y143-Z143</f>
        <v/>
      </c>
      <c r="U143" s="182">
        <f>T143/Picks!$K$2</f>
        <v/>
      </c>
      <c r="V143" s="193">
        <f>INDEX(Standings!$T$3:$T$34, MATCH(N143, Standings!$A$3:$A$34, 0)) - INDEX(Standings!$T$3:$T$34, MATCH(P143, Standings!$A$3:$A$34, 0))</f>
        <v/>
      </c>
      <c r="W143" s="157">
        <f>INDEX(Standings!$L$3:$L$34, MATCH(N143, Standings!$A$3:$A$34, 0)) - INDEX(Standings!$L$3:$L$34, MATCH(P143, Standings!$A$3:$A$34, 0))</f>
        <v/>
      </c>
      <c r="X143" s="157">
        <f>INDEX(Standings!$M$3:$M$34, MATCH(N143, Standings!$A$3:$A$34, 0)) - INDEX(Standings!$M$3:$M$34, MATCH(P143, Standings!$A$3:$A$34, 0))</f>
        <v/>
      </c>
      <c r="Y143" s="194">
        <f t="array" ref="Y143:Y143">IFERROR(AE143+(AL143-_DFactor)*AE143,"")</f>
        <v/>
      </c>
      <c r="Z143" s="157">
        <f>IFERROR(AF143+(AI143-_DFactor)*AF143,"")</f>
        <v/>
      </c>
      <c r="AC143" s="194">
        <f>VLOOKUP(M143&amp;N143,Schedule!A:F,6,0)</f>
        <v/>
      </c>
      <c r="AD143" s="194">
        <f>VLOOKUP(M143&amp;P143,Schedule!A:F,6,0)</f>
        <v/>
      </c>
      <c r="AE143" s="156">
        <f>VLOOKUP(N143,ProjPVT!B:I,8,0)*_Mag/VLOOKUP(P143,Standings!A:O,15,0)*H143*K143</f>
        <v/>
      </c>
      <c r="AF143" s="156">
        <f>VLOOKUP(P143,ProjPVT!B:I,8,0)*_Mag/VLOOKUP(N143,Standings!A:O,15,0)*J143*I143</f>
        <v/>
      </c>
      <c r="AG143" s="195">
        <f>VLOOKUP(N143,Matrix!AA:AC,3,0)</f>
        <v/>
      </c>
      <c r="AH143" s="195">
        <f>SUMIFS(Def!C:C,Def!F:F,AG143)</f>
        <v/>
      </c>
      <c r="AI143" s="156">
        <f>IFERROR(SUMIFS(Def!B:B,Def!F:F,AG143)/AH143,"")</f>
        <v/>
      </c>
      <c r="AJ143" s="195">
        <f>VLOOKUP(P143,Matrix!AA:AC,3,0)</f>
        <v/>
      </c>
      <c r="AK143" s="195">
        <f>SUMIFS(Def!C:C,Def!F:F,AJ143)</f>
        <v/>
      </c>
      <c r="AL143" s="156">
        <f>IFERROR(SUMIFS(Def!B:B,Def!F:F,AJ143)/AK143,"")</f>
        <v/>
      </c>
    </row>
    <row r="144" ht="14.4" customHeight="1" s="152">
      <c r="A144" s="157">
        <f>IF(F144="Yes",IFERROR(IF(AA144&gt;1,AA144/100,100/-AA144),""),-1)</f>
        <v/>
      </c>
      <c r="B144" s="157">
        <f>B143+1</f>
        <v/>
      </c>
      <c r="C144" s="157">
        <f>IF(Y144&gt;Z144,1,0)</f>
        <v/>
      </c>
      <c r="D144" s="157">
        <f>IF(AND(C144=1,F144="Yes"),"Yes",IF(AND(C144=0,F144="No"),"Yes","No"))</f>
        <v/>
      </c>
      <c r="E144" s="192">
        <f>IF((AC144+AB144)=AD144,"Push",IF((AC144+AB144)&gt;AD144,"Yes","No"))</f>
        <v/>
      </c>
      <c r="F144" s="192">
        <f>IF(AC144&gt;AD144,"Yes","No")</f>
        <v/>
      </c>
      <c r="G144" s="192">
        <f>IF((Y144+AB144)&gt;Z144,"Yes",IF((Y144+AB144)=Z144,"Push","No"))</f>
        <v/>
      </c>
      <c r="H144" s="157">
        <f>IF(O144="Home",VLOOKUP(N144,Matrix!A:S,19,0),1)</f>
        <v/>
      </c>
      <c r="I144" s="157">
        <f>IF(O144="Away",VLOOKUP(N144,Matrix!A:Z,20,0),1)</f>
        <v/>
      </c>
      <c r="J144" s="157">
        <f>IF(O144="Away",VLOOKUP(P144,Matrix!A:S,19,0),1)</f>
        <v/>
      </c>
      <c r="K144" s="157">
        <f>IF(O144="Home",VLOOKUP(P144,Matrix!A:Z,20,0),1)</f>
        <v/>
      </c>
      <c r="L144" s="156" t="n">
        <v>0.0113525664809804</v>
      </c>
      <c r="M144" s="179">
        <f>Schedule!B144</f>
        <v/>
      </c>
      <c r="N144" s="156">
        <f>Schedule!E144</f>
        <v/>
      </c>
      <c r="O144" s="156" t="inlineStr">
        <is>
          <t>Away</t>
        </is>
      </c>
      <c r="P144" s="157">
        <f>Schedule!H144</f>
        <v/>
      </c>
      <c r="Q144" s="157">
        <f>Schedule!C144</f>
        <v/>
      </c>
      <c r="R144" s="180">
        <f>Schedule!D144</f>
        <v/>
      </c>
      <c r="S144" s="181">
        <f>Schedule!J144</f>
        <v/>
      </c>
      <c r="T144" s="193">
        <f>Y144-Z144</f>
        <v/>
      </c>
      <c r="U144" s="182">
        <f>T144/Picks!$K$2</f>
        <v/>
      </c>
      <c r="V144" s="193">
        <f>INDEX(Standings!$T$3:$T$34, MATCH(N144, Standings!$A$3:$A$34, 0)) - INDEX(Standings!$T$3:$T$34, MATCH(P144, Standings!$A$3:$A$34, 0))</f>
        <v/>
      </c>
      <c r="W144" s="157">
        <f>INDEX(Standings!$L$3:$L$34, MATCH(N144, Standings!$A$3:$A$34, 0)) - INDEX(Standings!$L$3:$L$34, MATCH(P144, Standings!$A$3:$A$34, 0))</f>
        <v/>
      </c>
      <c r="X144" s="157">
        <f>INDEX(Standings!$M$3:$M$34, MATCH(N144, Standings!$A$3:$A$34, 0)) - INDEX(Standings!$M$3:$M$34, MATCH(P144, Standings!$A$3:$A$34, 0))</f>
        <v/>
      </c>
      <c r="Y144" s="194">
        <f t="array" ref="Y144:Y144">IFERROR(AE144+(AL144-_DFactor)*AE144,"")</f>
        <v/>
      </c>
      <c r="Z144" s="157">
        <f>IFERROR(AF144+(AI144-_DFactor)*AF144,"")</f>
        <v/>
      </c>
      <c r="AC144" s="194">
        <f>VLOOKUP(M144&amp;N144,Schedule!A:F,6,0)</f>
        <v/>
      </c>
      <c r="AD144" s="194">
        <f>VLOOKUP(M144&amp;P144,Schedule!A:F,6,0)</f>
        <v/>
      </c>
      <c r="AE144" s="156">
        <f>VLOOKUP(N144,ProjPVT!B:I,8,0)*_Mag/VLOOKUP(P144,Standings!A:O,15,0)*H144*K144</f>
        <v/>
      </c>
      <c r="AF144" s="156">
        <f>VLOOKUP(P144,ProjPVT!B:I,8,0)*_Mag/VLOOKUP(N144,Standings!A:O,15,0)*J144*I144</f>
        <v/>
      </c>
      <c r="AG144" s="195">
        <f>VLOOKUP(N144,Matrix!AA:AC,3,0)</f>
        <v/>
      </c>
      <c r="AH144" s="195">
        <f>SUMIFS(Def!C:C,Def!F:F,AG144)</f>
        <v/>
      </c>
      <c r="AI144" s="156">
        <f>IFERROR(SUMIFS(Def!B:B,Def!F:F,AG144)/AH144,"")</f>
        <v/>
      </c>
      <c r="AJ144" s="195">
        <f>VLOOKUP(P144,Matrix!AA:AC,3,0)</f>
        <v/>
      </c>
      <c r="AK144" s="195">
        <f>SUMIFS(Def!C:C,Def!F:F,AJ144)</f>
        <v/>
      </c>
      <c r="AL144" s="156">
        <f>IFERROR(SUMIFS(Def!B:B,Def!F:F,AJ144)/AK144,"")</f>
        <v/>
      </c>
    </row>
    <row r="145" ht="14.4" customHeight="1" s="152">
      <c r="A145" s="157">
        <f>IF(F145="Yes",IFERROR(IF(AA145&gt;1,AA145/100,100/-AA145),""),-1)</f>
        <v/>
      </c>
      <c r="B145" s="157">
        <f>B144+1</f>
        <v/>
      </c>
      <c r="C145" s="157">
        <f>IF(Y145&gt;Z145,1,0)</f>
        <v/>
      </c>
      <c r="D145" s="157">
        <f>IF(AND(C145=1,F145="Yes"),"Yes",IF(AND(C145=0,F145="No"),"Yes","No"))</f>
        <v/>
      </c>
      <c r="E145" s="192">
        <f>IF((AC145+AB145)=AD145,"Push",IF((AC145+AB145)&gt;AD145,"Yes","No"))</f>
        <v/>
      </c>
      <c r="F145" s="192">
        <f>IF(AC145&gt;AD145,"Yes","No")</f>
        <v/>
      </c>
      <c r="G145" s="192">
        <f>IF((Y145+AB145)&gt;Z145,"Yes",IF((Y145+AB145)=Z145,"Push","No"))</f>
        <v/>
      </c>
      <c r="H145" s="157">
        <f>IF(O145="Home",VLOOKUP(N145,Matrix!A:S,19,0),1)</f>
        <v/>
      </c>
      <c r="I145" s="157">
        <f>IF(O145="Away",VLOOKUP(N145,Matrix!A:Z,20,0),1)</f>
        <v/>
      </c>
      <c r="J145" s="157">
        <f>IF(O145="Away",VLOOKUP(P145,Matrix!A:S,19,0),1)</f>
        <v/>
      </c>
      <c r="K145" s="157">
        <f>IF(O145="Home",VLOOKUP(P145,Matrix!A:Z,20,0),1)</f>
        <v/>
      </c>
      <c r="L145" s="156" t="n">
        <v>0.0229426437352056</v>
      </c>
      <c r="M145" s="179">
        <f>Schedule!B145</f>
        <v/>
      </c>
      <c r="N145" s="156">
        <f>Schedule!E145</f>
        <v/>
      </c>
      <c r="O145" s="156" t="inlineStr">
        <is>
          <t>Away</t>
        </is>
      </c>
      <c r="P145" s="157">
        <f>Schedule!H145</f>
        <v/>
      </c>
      <c r="Q145" s="157">
        <f>Schedule!C145</f>
        <v/>
      </c>
      <c r="R145" s="180">
        <f>Schedule!D145</f>
        <v/>
      </c>
      <c r="S145" s="181">
        <f>Schedule!J145</f>
        <v/>
      </c>
      <c r="T145" s="193">
        <f>Y145-Z145</f>
        <v/>
      </c>
      <c r="U145" s="182">
        <f>T145/Picks!$K$2</f>
        <v/>
      </c>
      <c r="V145" s="193">
        <f>INDEX(Standings!$T$3:$T$34, MATCH(N145, Standings!$A$3:$A$34, 0)) - INDEX(Standings!$T$3:$T$34, MATCH(P145, Standings!$A$3:$A$34, 0))</f>
        <v/>
      </c>
      <c r="W145" s="157">
        <f>INDEX(Standings!$L$3:$L$34, MATCH(N145, Standings!$A$3:$A$34, 0)) - INDEX(Standings!$L$3:$L$34, MATCH(P145, Standings!$A$3:$A$34, 0))</f>
        <v/>
      </c>
      <c r="X145" s="157">
        <f>INDEX(Standings!$M$3:$M$34, MATCH(N145, Standings!$A$3:$A$34, 0)) - INDEX(Standings!$M$3:$M$34, MATCH(P145, Standings!$A$3:$A$34, 0))</f>
        <v/>
      </c>
      <c r="Y145" s="194">
        <f t="array" ref="Y145:Y145">IFERROR(AE145+(AL145-_DFactor)*AE145,"")</f>
        <v/>
      </c>
      <c r="Z145" s="157">
        <f>IFERROR(AF145+(AI145-_DFactor)*AF145,"")</f>
        <v/>
      </c>
      <c r="AC145" s="194">
        <f>VLOOKUP(M145&amp;N145,Schedule!A:F,6,0)</f>
        <v/>
      </c>
      <c r="AD145" s="194">
        <f>VLOOKUP(M145&amp;P145,Schedule!A:F,6,0)</f>
        <v/>
      </c>
      <c r="AE145" s="156">
        <f>VLOOKUP(N145,ProjPVT!B:I,8,0)*_Mag/VLOOKUP(P145,Standings!A:O,15,0)*H145*K145</f>
        <v/>
      </c>
      <c r="AF145" s="156">
        <f>VLOOKUP(P145,ProjPVT!B:I,8,0)*_Mag/VLOOKUP(N145,Standings!A:O,15,0)*J145*I145</f>
        <v/>
      </c>
      <c r="AG145" s="195">
        <f>VLOOKUP(N145,Matrix!AA:AC,3,0)</f>
        <v/>
      </c>
      <c r="AH145" s="195">
        <f>SUMIFS(Def!C:C,Def!F:F,AG145)</f>
        <v/>
      </c>
      <c r="AI145" s="156">
        <f>IFERROR(SUMIFS(Def!B:B,Def!F:F,AG145)/AH145,"")</f>
        <v/>
      </c>
      <c r="AJ145" s="195">
        <f>VLOOKUP(P145,Matrix!AA:AC,3,0)</f>
        <v/>
      </c>
      <c r="AK145" s="195">
        <f>SUMIFS(Def!C:C,Def!F:F,AJ145)</f>
        <v/>
      </c>
      <c r="AL145" s="156">
        <f>IFERROR(SUMIFS(Def!B:B,Def!F:F,AJ145)/AK145,"")</f>
        <v/>
      </c>
    </row>
    <row r="146" ht="14.4" customHeight="1" s="152">
      <c r="A146" s="157">
        <f>IF(F146="Yes",IFERROR(IF(AA146&gt;1,AA146/100,100/-AA146),""),-1)</f>
        <v/>
      </c>
      <c r="B146" s="157">
        <f>B145+1</f>
        <v/>
      </c>
      <c r="C146" s="157">
        <f>IF(Y146&gt;Z146,1,0)</f>
        <v/>
      </c>
      <c r="D146" s="157">
        <f>IF(AND(C146=1,F146="Yes"),"Yes",IF(AND(C146=0,F146="No"),"Yes","No"))</f>
        <v/>
      </c>
      <c r="E146" s="192">
        <f>IF((AC146+AB146)=AD146,"Push",IF((AC146+AB146)&gt;AD146,"Yes","No"))</f>
        <v/>
      </c>
      <c r="F146" s="192">
        <f>IF(AC146&gt;AD146,"Yes","No")</f>
        <v/>
      </c>
      <c r="G146" s="192">
        <f>IF((Y146+AB146)&gt;Z146,"Yes",IF((Y146+AB146)=Z146,"Push","No"))</f>
        <v/>
      </c>
      <c r="H146" s="157">
        <f>IF(O146="Home",VLOOKUP(N146,Matrix!A:S,19,0),1)</f>
        <v/>
      </c>
      <c r="I146" s="157">
        <f>IF(O146="Away",VLOOKUP(N146,Matrix!A:Z,20,0),1)</f>
        <v/>
      </c>
      <c r="J146" s="157">
        <f>IF(O146="Away",VLOOKUP(P146,Matrix!A:S,19,0),1)</f>
        <v/>
      </c>
      <c r="K146" s="157">
        <f>IF(O146="Home",VLOOKUP(P146,Matrix!A:Z,20,0),1)</f>
        <v/>
      </c>
      <c r="L146" s="156" t="n">
        <v>0.0301340981806279</v>
      </c>
      <c r="M146" s="179">
        <f>Schedule!B146</f>
        <v/>
      </c>
      <c r="N146" s="156">
        <f>Schedule!E146</f>
        <v/>
      </c>
      <c r="O146" s="156" t="inlineStr">
        <is>
          <t>Home</t>
        </is>
      </c>
      <c r="P146" s="157">
        <f>Schedule!H146</f>
        <v/>
      </c>
      <c r="Q146" s="157">
        <f>Schedule!C146</f>
        <v/>
      </c>
      <c r="R146" s="180">
        <f>Schedule!D146</f>
        <v/>
      </c>
      <c r="S146" s="181">
        <f>Schedule!J146</f>
        <v/>
      </c>
      <c r="T146" s="193">
        <f>Y146-Z146</f>
        <v/>
      </c>
      <c r="U146" s="182">
        <f>T146/Picks!$K$2</f>
        <v/>
      </c>
      <c r="V146" s="193">
        <f>INDEX(Standings!$T$3:$T$34, MATCH(N146, Standings!$A$3:$A$34, 0)) - INDEX(Standings!$T$3:$T$34, MATCH(P146, Standings!$A$3:$A$34, 0))</f>
        <v/>
      </c>
      <c r="W146" s="157">
        <f>INDEX(Standings!$L$3:$L$34, MATCH(N146, Standings!$A$3:$A$34, 0)) - INDEX(Standings!$L$3:$L$34, MATCH(P146, Standings!$A$3:$A$34, 0))</f>
        <v/>
      </c>
      <c r="X146" s="157">
        <f>INDEX(Standings!$M$3:$M$34, MATCH(N146, Standings!$A$3:$A$34, 0)) - INDEX(Standings!$M$3:$M$34, MATCH(P146, Standings!$A$3:$A$34, 0))</f>
        <v/>
      </c>
      <c r="Y146" s="194">
        <f t="array" ref="Y146:Y146">IFERROR(AE146+(AL146-_DFactor)*AE146,"")</f>
        <v/>
      </c>
      <c r="Z146" s="157">
        <f>IFERROR(AF146+(AI146-_DFactor)*AF146,"")</f>
        <v/>
      </c>
      <c r="AC146" s="194">
        <f>VLOOKUP(M146&amp;N146,Schedule!A:F,6,0)</f>
        <v/>
      </c>
      <c r="AD146" s="194">
        <f>VLOOKUP(M146&amp;P146,Schedule!A:F,6,0)</f>
        <v/>
      </c>
      <c r="AE146" s="156">
        <f>VLOOKUP(N146,ProjPVT!B:I,8,0)*_Mag/VLOOKUP(P146,Standings!A:O,15,0)*H146*K146</f>
        <v/>
      </c>
      <c r="AF146" s="156">
        <f>VLOOKUP(P146,ProjPVT!B:I,8,0)*_Mag/VLOOKUP(N146,Standings!A:O,15,0)*J146*I146</f>
        <v/>
      </c>
      <c r="AG146" s="195">
        <f>VLOOKUP(N146,Matrix!AA:AC,3,0)</f>
        <v/>
      </c>
      <c r="AH146" s="195">
        <f>SUMIFS(Def!C:C,Def!F:F,AG146)</f>
        <v/>
      </c>
      <c r="AI146" s="156">
        <f>IFERROR(SUMIFS(Def!B:B,Def!F:F,AG146)/AH146,"")</f>
        <v/>
      </c>
      <c r="AJ146" s="195">
        <f>VLOOKUP(P146,Matrix!AA:AC,3,0)</f>
        <v/>
      </c>
      <c r="AK146" s="195">
        <f>SUMIFS(Def!C:C,Def!F:F,AJ146)</f>
        <v/>
      </c>
      <c r="AL146" s="156">
        <f>IFERROR(SUMIFS(Def!B:B,Def!F:F,AJ146)/AK146,"")</f>
        <v/>
      </c>
    </row>
    <row r="147" ht="14.4" customHeight="1" s="152">
      <c r="A147" s="157">
        <f>IF(F147="Yes",IFERROR(IF(AA147&gt;1,AA147/100,100/-AA147),""),-1)</f>
        <v/>
      </c>
      <c r="B147" s="157">
        <f>B146+1</f>
        <v/>
      </c>
      <c r="C147" s="157">
        <f>IF(Y147&gt;Z147,1,0)</f>
        <v/>
      </c>
      <c r="D147" s="157">
        <f>IF(AND(C147=1,F147="Yes"),"Yes",IF(AND(C147=0,F147="No"),"Yes","No"))</f>
        <v/>
      </c>
      <c r="E147" s="192">
        <f>IF((AC147+AB147)=AD147,"Push",IF((AC147+AB147)&gt;AD147,"Yes","No"))</f>
        <v/>
      </c>
      <c r="F147" s="192">
        <f>IF(AC147&gt;AD147,"Yes","No")</f>
        <v/>
      </c>
      <c r="G147" s="192">
        <f>IF((Y147+AB147)&gt;Z147,"Yes",IF((Y147+AB147)=Z147,"Push","No"))</f>
        <v/>
      </c>
      <c r="H147" s="157">
        <f>IF(O147="Home",VLOOKUP(N147,Matrix!A:S,19,0),1)</f>
        <v/>
      </c>
      <c r="I147" s="157">
        <f>IF(O147="Away",VLOOKUP(N147,Matrix!A:Z,20,0),1)</f>
        <v/>
      </c>
      <c r="J147" s="157">
        <f>IF(O147="Away",VLOOKUP(P147,Matrix!A:S,19,0),1)</f>
        <v/>
      </c>
      <c r="K147" s="157">
        <f>IF(O147="Home",VLOOKUP(P147,Matrix!A:Z,20,0),1)</f>
        <v/>
      </c>
      <c r="L147" s="156" t="n">
        <v>0.0837904485056185</v>
      </c>
      <c r="M147" s="179">
        <f>Schedule!B147</f>
        <v/>
      </c>
      <c r="N147" s="156">
        <f>Schedule!E147</f>
        <v/>
      </c>
      <c r="O147" s="156" t="inlineStr">
        <is>
          <t>Away</t>
        </is>
      </c>
      <c r="P147" s="157">
        <f>Schedule!H147</f>
        <v/>
      </c>
      <c r="Q147" s="157">
        <f>Schedule!C147</f>
        <v/>
      </c>
      <c r="R147" s="180">
        <f>Schedule!D147</f>
        <v/>
      </c>
      <c r="S147" s="181">
        <f>Schedule!J147</f>
        <v/>
      </c>
      <c r="T147" s="193">
        <f>Y147-Z147</f>
        <v/>
      </c>
      <c r="U147" s="182">
        <f>T147/Picks!$K$2</f>
        <v/>
      </c>
      <c r="V147" s="193">
        <f>INDEX(Standings!$T$3:$T$34, MATCH(N147, Standings!$A$3:$A$34, 0)) - INDEX(Standings!$T$3:$T$34, MATCH(P147, Standings!$A$3:$A$34, 0))</f>
        <v/>
      </c>
      <c r="W147" s="157">
        <f>INDEX(Standings!$L$3:$L$34, MATCH(N147, Standings!$A$3:$A$34, 0)) - INDEX(Standings!$L$3:$L$34, MATCH(P147, Standings!$A$3:$A$34, 0))</f>
        <v/>
      </c>
      <c r="X147" s="157">
        <f>INDEX(Standings!$M$3:$M$34, MATCH(N147, Standings!$A$3:$A$34, 0)) - INDEX(Standings!$M$3:$M$34, MATCH(P147, Standings!$A$3:$A$34, 0))</f>
        <v/>
      </c>
      <c r="Y147" s="194">
        <f t="array" ref="Y147:Y147">IFERROR(AE147+(AL147-_DFactor)*AE147,"")</f>
        <v/>
      </c>
      <c r="Z147" s="157">
        <f>IFERROR(AF147+(AI147-_DFactor)*AF147,"")</f>
        <v/>
      </c>
      <c r="AC147" s="194">
        <f>VLOOKUP(M147&amp;N147,Schedule!A:F,6,0)</f>
        <v/>
      </c>
      <c r="AD147" s="194">
        <f>VLOOKUP(M147&amp;P147,Schedule!A:F,6,0)</f>
        <v/>
      </c>
      <c r="AE147" s="156">
        <f>VLOOKUP(N147,ProjPVT!B:I,8,0)*_Mag/VLOOKUP(P147,Standings!A:O,15,0)*H147*K147</f>
        <v/>
      </c>
      <c r="AF147" s="156">
        <f>VLOOKUP(P147,ProjPVT!B:I,8,0)*_Mag/VLOOKUP(N147,Standings!A:O,15,0)*J147*I147</f>
        <v/>
      </c>
      <c r="AG147" s="195">
        <f>VLOOKUP(N147,Matrix!AA:AC,3,0)</f>
        <v/>
      </c>
      <c r="AH147" s="195">
        <f>SUMIFS(Def!C:C,Def!F:F,AG147)</f>
        <v/>
      </c>
      <c r="AI147" s="156">
        <f>IFERROR(SUMIFS(Def!B:B,Def!F:F,AG147)/AH147,"")</f>
        <v/>
      </c>
      <c r="AJ147" s="195">
        <f>VLOOKUP(P147,Matrix!AA:AC,3,0)</f>
        <v/>
      </c>
      <c r="AK147" s="195">
        <f>SUMIFS(Def!C:C,Def!F:F,AJ147)</f>
        <v/>
      </c>
      <c r="AL147" s="156">
        <f>IFERROR(SUMIFS(Def!B:B,Def!F:F,AJ147)/AK147,"")</f>
        <v/>
      </c>
    </row>
    <row r="148" ht="14.4" customHeight="1" s="152">
      <c r="A148" s="157">
        <f>IF(F148="Yes",IFERROR(IF(AA148&gt;1,AA148/100,100/-AA148),""),-1)</f>
        <v/>
      </c>
      <c r="B148" s="157">
        <f>B147+1</f>
        <v/>
      </c>
      <c r="C148" s="157">
        <f>IF(Y148&gt;Z148,1,0)</f>
        <v/>
      </c>
      <c r="D148" s="157">
        <f>IF(AND(C148=1,F148="Yes"),"Yes",IF(AND(C148=0,F148="No"),"Yes","No"))</f>
        <v/>
      </c>
      <c r="E148" s="192">
        <f>IF((AC148+AB148)=AD148,"Push",IF((AC148+AB148)&gt;AD148,"Yes","No"))</f>
        <v/>
      </c>
      <c r="F148" s="192">
        <f>IF(AC148&gt;AD148,"Yes","No")</f>
        <v/>
      </c>
      <c r="G148" s="192">
        <f>IF((Y148+AB148)&gt;Z148,"Yes",IF((Y148+AB148)=Z148,"Push","No"))</f>
        <v/>
      </c>
      <c r="H148" s="157">
        <f>IF(O148="Home",VLOOKUP(N148,Matrix!A:S,19,0),1)</f>
        <v/>
      </c>
      <c r="I148" s="157">
        <f>IF(O148="Away",VLOOKUP(N148,Matrix!A:Z,20,0),1)</f>
        <v/>
      </c>
      <c r="J148" s="157">
        <f>IF(O148="Away",VLOOKUP(P148,Matrix!A:S,19,0),1)</f>
        <v/>
      </c>
      <c r="K148" s="157">
        <f>IF(O148="Home",VLOOKUP(P148,Matrix!A:Z,20,0),1)</f>
        <v/>
      </c>
      <c r="L148" s="156" t="n">
        <v>0.11423190577293</v>
      </c>
      <c r="M148" s="179">
        <f>Schedule!B148</f>
        <v/>
      </c>
      <c r="N148" s="156">
        <f>Schedule!E148</f>
        <v/>
      </c>
      <c r="O148" s="156" t="inlineStr">
        <is>
          <t>Home</t>
        </is>
      </c>
      <c r="P148" s="157">
        <f>Schedule!H148</f>
        <v/>
      </c>
      <c r="Q148" s="157">
        <f>Schedule!C148</f>
        <v/>
      </c>
      <c r="R148" s="180">
        <f>Schedule!D148</f>
        <v/>
      </c>
      <c r="S148" s="181">
        <f>Schedule!J148</f>
        <v/>
      </c>
      <c r="T148" s="193">
        <f>Y148-Z148</f>
        <v/>
      </c>
      <c r="U148" s="182">
        <f>T148/Picks!$K$2</f>
        <v/>
      </c>
      <c r="V148" s="193">
        <f>INDEX(Standings!$T$3:$T$34, MATCH(N148, Standings!$A$3:$A$34, 0)) - INDEX(Standings!$T$3:$T$34, MATCH(P148, Standings!$A$3:$A$34, 0))</f>
        <v/>
      </c>
      <c r="W148" s="157">
        <f>INDEX(Standings!$L$3:$L$34, MATCH(N148, Standings!$A$3:$A$34, 0)) - INDEX(Standings!$L$3:$L$34, MATCH(P148, Standings!$A$3:$A$34, 0))</f>
        <v/>
      </c>
      <c r="X148" s="157">
        <f>INDEX(Standings!$M$3:$M$34, MATCH(N148, Standings!$A$3:$A$34, 0)) - INDEX(Standings!$M$3:$M$34, MATCH(P148, Standings!$A$3:$A$34, 0))</f>
        <v/>
      </c>
      <c r="Y148" s="194">
        <f t="array" ref="Y148:Y148">IFERROR(AE148+(AL148-_DFactor)*AE148,"")</f>
        <v/>
      </c>
      <c r="Z148" s="157">
        <f>IFERROR(AF148+(AI148-_DFactor)*AF148,"")</f>
        <v/>
      </c>
      <c r="AC148" s="194">
        <f>VLOOKUP(M148&amp;N148,Schedule!A:F,6,0)</f>
        <v/>
      </c>
      <c r="AD148" s="194">
        <f>VLOOKUP(M148&amp;P148,Schedule!A:F,6,0)</f>
        <v/>
      </c>
      <c r="AE148" s="156">
        <f>VLOOKUP(N148,ProjPVT!B:I,8,0)*_Mag/VLOOKUP(P148,Standings!A:O,15,0)*H148*K148</f>
        <v/>
      </c>
      <c r="AF148" s="156">
        <f>VLOOKUP(P148,ProjPVT!B:I,8,0)*_Mag/VLOOKUP(N148,Standings!A:O,15,0)*J148*I148</f>
        <v/>
      </c>
      <c r="AG148" s="195">
        <f>VLOOKUP(N148,Matrix!AA:AC,3,0)</f>
        <v/>
      </c>
      <c r="AH148" s="195">
        <f>SUMIFS(Def!C:C,Def!F:F,AG148)</f>
        <v/>
      </c>
      <c r="AI148" s="156">
        <f>IFERROR(SUMIFS(Def!B:B,Def!F:F,AG148)/AH148,"")</f>
        <v/>
      </c>
      <c r="AJ148" s="195">
        <f>VLOOKUP(P148,Matrix!AA:AC,3,0)</f>
        <v/>
      </c>
      <c r="AK148" s="195">
        <f>SUMIFS(Def!C:C,Def!F:F,AJ148)</f>
        <v/>
      </c>
      <c r="AL148" s="156">
        <f>IFERROR(SUMIFS(Def!B:B,Def!F:F,AJ148)/AK148,"")</f>
        <v/>
      </c>
    </row>
    <row r="149" ht="14.4" customHeight="1" s="152">
      <c r="A149" s="157">
        <f>IF(F149="Yes",IFERROR(IF(AA149&gt;1,AA149/100,100/-AA149),""),-1)</f>
        <v/>
      </c>
      <c r="B149" s="157">
        <f>B148+1</f>
        <v/>
      </c>
      <c r="C149" s="157">
        <f>IF(Y149&gt;Z149,1,0)</f>
        <v/>
      </c>
      <c r="D149" s="157">
        <f>IF(AND(C149=1,F149="Yes"),"Yes",IF(AND(C149=0,F149="No"),"Yes","No"))</f>
        <v/>
      </c>
      <c r="E149" s="192">
        <f>IF((AC149+AB149)=AD149,"Push",IF((AC149+AB149)&gt;AD149,"Yes","No"))</f>
        <v/>
      </c>
      <c r="F149" s="192">
        <f>IF(AC149&gt;AD149,"Yes","No")</f>
        <v/>
      </c>
      <c r="G149" s="192">
        <f>IF((Y149+AB149)&gt;Z149,"Yes",IF((Y149+AB149)=Z149,"Push","No"))</f>
        <v/>
      </c>
      <c r="H149" s="157">
        <f>IF(O149="Home",VLOOKUP(N149,Matrix!A:S,19,0),1)</f>
        <v/>
      </c>
      <c r="I149" s="157">
        <f>IF(O149="Away",VLOOKUP(N149,Matrix!A:Z,20,0),1)</f>
        <v/>
      </c>
      <c r="J149" s="157">
        <f>IF(O149="Away",VLOOKUP(P149,Matrix!A:S,19,0),1)</f>
        <v/>
      </c>
      <c r="K149" s="157">
        <f>IF(O149="Home",VLOOKUP(P149,Matrix!A:Z,20,0),1)</f>
        <v/>
      </c>
      <c r="L149" s="156" t="n">
        <v>0.137766380156912</v>
      </c>
      <c r="M149" s="179">
        <f>Schedule!B149</f>
        <v/>
      </c>
      <c r="N149" s="156">
        <f>Schedule!E149</f>
        <v/>
      </c>
      <c r="O149" s="156" t="inlineStr">
        <is>
          <t>Home</t>
        </is>
      </c>
      <c r="P149" s="157">
        <f>Schedule!H149</f>
        <v/>
      </c>
      <c r="Q149" s="157">
        <f>Schedule!C149</f>
        <v/>
      </c>
      <c r="R149" s="180">
        <f>Schedule!D149</f>
        <v/>
      </c>
      <c r="S149" s="181">
        <f>Schedule!J149</f>
        <v/>
      </c>
      <c r="T149" s="193">
        <f>Y149-Z149</f>
        <v/>
      </c>
      <c r="U149" s="182">
        <f>T149/Picks!$K$2</f>
        <v/>
      </c>
      <c r="V149" s="193">
        <f>INDEX(Standings!$T$3:$T$34, MATCH(N149, Standings!$A$3:$A$34, 0)) - INDEX(Standings!$T$3:$T$34, MATCH(P149, Standings!$A$3:$A$34, 0))</f>
        <v/>
      </c>
      <c r="W149" s="157">
        <f>INDEX(Standings!$L$3:$L$34, MATCH(N149, Standings!$A$3:$A$34, 0)) - INDEX(Standings!$L$3:$L$34, MATCH(P149, Standings!$A$3:$A$34, 0))</f>
        <v/>
      </c>
      <c r="X149" s="157">
        <f>INDEX(Standings!$M$3:$M$34, MATCH(N149, Standings!$A$3:$A$34, 0)) - INDEX(Standings!$M$3:$M$34, MATCH(P149, Standings!$A$3:$A$34, 0))</f>
        <v/>
      </c>
      <c r="Y149" s="194">
        <f t="array" ref="Y149:Y149">IFERROR(AE149+(AL149-_DFactor)*AE149,"")</f>
        <v/>
      </c>
      <c r="Z149" s="157">
        <f>IFERROR(AF149+(AI149-_DFactor)*AF149,"")</f>
        <v/>
      </c>
      <c r="AC149" s="194">
        <f>VLOOKUP(M149&amp;N149,Schedule!A:F,6,0)</f>
        <v/>
      </c>
      <c r="AD149" s="194">
        <f>VLOOKUP(M149&amp;P149,Schedule!A:F,6,0)</f>
        <v/>
      </c>
      <c r="AE149" s="156">
        <f>VLOOKUP(N149,ProjPVT!B:I,8,0)*_Mag/VLOOKUP(P149,Standings!A:O,15,0)*H149*K149</f>
        <v/>
      </c>
      <c r="AF149" s="156">
        <f>VLOOKUP(P149,ProjPVT!B:I,8,0)*_Mag/VLOOKUP(N149,Standings!A:O,15,0)*J149*I149</f>
        <v/>
      </c>
      <c r="AG149" s="195">
        <f>VLOOKUP(N149,Matrix!AA:AC,3,0)</f>
        <v/>
      </c>
      <c r="AH149" s="195">
        <f>SUMIFS(Def!C:C,Def!F:F,AG149)</f>
        <v/>
      </c>
      <c r="AI149" s="156">
        <f>IFERROR(SUMIFS(Def!B:B,Def!F:F,AG149)/AH149,"")</f>
        <v/>
      </c>
      <c r="AJ149" s="195">
        <f>VLOOKUP(P149,Matrix!AA:AC,3,0)</f>
        <v/>
      </c>
      <c r="AK149" s="195">
        <f>SUMIFS(Def!C:C,Def!F:F,AJ149)</f>
        <v/>
      </c>
      <c r="AL149" s="156">
        <f>IFERROR(SUMIFS(Def!B:B,Def!F:F,AJ149)/AK149,"")</f>
        <v/>
      </c>
    </row>
    <row r="150" ht="14.4" customHeight="1" s="152">
      <c r="A150" s="157">
        <f>IF(F150="Yes",IFERROR(IF(AA150&gt;1,AA150/100,100/-AA150),""),-1)</f>
        <v/>
      </c>
      <c r="B150" s="157">
        <f>B149+1</f>
        <v/>
      </c>
      <c r="C150" s="157">
        <f>IF(Y150&gt;Z150,1,0)</f>
        <v/>
      </c>
      <c r="D150" s="157">
        <f>IF(AND(C150=1,F150="Yes"),"Yes",IF(AND(C150=0,F150="No"),"Yes","No"))</f>
        <v/>
      </c>
      <c r="E150" s="192">
        <f>IF((AC150+AB150)=AD150,"Push",IF((AC150+AB150)&gt;AD150,"Yes","No"))</f>
        <v/>
      </c>
      <c r="F150" s="192">
        <f>IF(AC150&gt;AD150,"Yes","No")</f>
        <v/>
      </c>
      <c r="G150" s="192">
        <f>IF((Y150+AB150)&gt;Z150,"Yes",IF((Y150+AB150)=Z150,"Push","No"))</f>
        <v/>
      </c>
      <c r="H150" s="157">
        <f>IF(O150="Home",VLOOKUP(N150,Matrix!A:S,19,0),1)</f>
        <v/>
      </c>
      <c r="I150" s="157">
        <f>IF(O150="Away",VLOOKUP(N150,Matrix!A:Z,20,0),1)</f>
        <v/>
      </c>
      <c r="J150" s="157">
        <f>IF(O150="Away",VLOOKUP(P150,Matrix!A:S,19,0),1)</f>
        <v/>
      </c>
      <c r="K150" s="157">
        <f>IF(O150="Home",VLOOKUP(P150,Matrix!A:Z,20,0),1)</f>
        <v/>
      </c>
      <c r="L150" s="156" t="n">
        <v>0.14646568000067</v>
      </c>
      <c r="M150" s="179">
        <f>Schedule!B150</f>
        <v/>
      </c>
      <c r="N150" s="156">
        <f>Schedule!E150</f>
        <v/>
      </c>
      <c r="O150" s="156" t="inlineStr">
        <is>
          <t>Away</t>
        </is>
      </c>
      <c r="P150" s="157">
        <f>Schedule!H150</f>
        <v/>
      </c>
      <c r="Q150" s="157">
        <f>Schedule!C150</f>
        <v/>
      </c>
      <c r="R150" s="180">
        <f>Schedule!D150</f>
        <v/>
      </c>
      <c r="S150" s="181">
        <f>Schedule!J150</f>
        <v/>
      </c>
      <c r="T150" s="193">
        <f>Y150-Z150</f>
        <v/>
      </c>
      <c r="U150" s="182">
        <f>T150/Picks!$K$2</f>
        <v/>
      </c>
      <c r="V150" s="193">
        <f>INDEX(Standings!$T$3:$T$34, MATCH(N150, Standings!$A$3:$A$34, 0)) - INDEX(Standings!$T$3:$T$34, MATCH(P150, Standings!$A$3:$A$34, 0))</f>
        <v/>
      </c>
      <c r="W150" s="157">
        <f>INDEX(Standings!$L$3:$L$34, MATCH(N150, Standings!$A$3:$A$34, 0)) - INDEX(Standings!$L$3:$L$34, MATCH(P150, Standings!$A$3:$A$34, 0))</f>
        <v/>
      </c>
      <c r="X150" s="157">
        <f>INDEX(Standings!$M$3:$M$34, MATCH(N150, Standings!$A$3:$A$34, 0)) - INDEX(Standings!$M$3:$M$34, MATCH(P150, Standings!$A$3:$A$34, 0))</f>
        <v/>
      </c>
      <c r="Y150" s="194">
        <f t="array" ref="Y150:Y150">IFERROR(AE150+(AL150-_DFactor)*AE150,"")</f>
        <v/>
      </c>
      <c r="Z150" s="157">
        <f>IFERROR(AF150+(AI150-_DFactor)*AF150,"")</f>
        <v/>
      </c>
      <c r="AC150" s="194">
        <f>VLOOKUP(M150&amp;N150,Schedule!A:F,6,0)</f>
        <v/>
      </c>
      <c r="AD150" s="194">
        <f>VLOOKUP(M150&amp;P150,Schedule!A:F,6,0)</f>
        <v/>
      </c>
      <c r="AE150" s="156">
        <f>VLOOKUP(N150,ProjPVT!B:I,8,0)*_Mag/VLOOKUP(P150,Standings!A:O,15,0)*H150*K150</f>
        <v/>
      </c>
      <c r="AF150" s="156">
        <f>VLOOKUP(P150,ProjPVT!B:I,8,0)*_Mag/VLOOKUP(N150,Standings!A:O,15,0)*J150*I150</f>
        <v/>
      </c>
      <c r="AG150" s="195">
        <f>VLOOKUP(N150,Matrix!AA:AC,3,0)</f>
        <v/>
      </c>
      <c r="AH150" s="195">
        <f>SUMIFS(Def!C:C,Def!F:F,AG150)</f>
        <v/>
      </c>
      <c r="AI150" s="156">
        <f>IFERROR(SUMIFS(Def!B:B,Def!F:F,AG150)/AH150,"")</f>
        <v/>
      </c>
      <c r="AJ150" s="195">
        <f>VLOOKUP(P150,Matrix!AA:AC,3,0)</f>
        <v/>
      </c>
      <c r="AK150" s="195">
        <f>SUMIFS(Def!C:C,Def!F:F,AJ150)</f>
        <v/>
      </c>
      <c r="AL150" s="156">
        <f>IFERROR(SUMIFS(Def!B:B,Def!F:F,AJ150)/AK150,"")</f>
        <v/>
      </c>
    </row>
    <row r="151" ht="14.4" customHeight="1" s="152">
      <c r="A151" s="157">
        <f>IF(F151="Yes",IFERROR(IF(AA151&gt;1,AA151/100,100/-AA151),""),-1)</f>
        <v/>
      </c>
      <c r="B151" s="157">
        <f>B150+1</f>
        <v/>
      </c>
      <c r="C151" s="157">
        <f>IF(Y151&gt;Z151,1,0)</f>
        <v/>
      </c>
      <c r="D151" s="157">
        <f>IF(AND(C151=1,F151="Yes"),"Yes",IF(AND(C151=0,F151="No"),"Yes","No"))</f>
        <v/>
      </c>
      <c r="E151" s="192">
        <f>IF((AC151+AB151)=AD151,"Push",IF((AC151+AB151)&gt;AD151,"Yes","No"))</f>
        <v/>
      </c>
      <c r="F151" s="192">
        <f>IF(AC151&gt;AD151,"Yes","No")</f>
        <v/>
      </c>
      <c r="G151" s="192">
        <f>IF((Y151+AB151)&gt;Z151,"Yes",IF((Y151+AB151)=Z151,"Push","No"))</f>
        <v/>
      </c>
      <c r="H151" s="157">
        <f>IF(O151="Home",VLOOKUP(N151,Matrix!A:S,19,0),1)</f>
        <v/>
      </c>
      <c r="I151" s="157">
        <f>IF(O151="Away",VLOOKUP(N151,Matrix!A:Z,20,0),1)</f>
        <v/>
      </c>
      <c r="J151" s="157">
        <f>IF(O151="Away",VLOOKUP(P151,Matrix!A:S,19,0),1)</f>
        <v/>
      </c>
      <c r="K151" s="157">
        <f>IF(O151="Home",VLOOKUP(P151,Matrix!A:Z,20,0),1)</f>
        <v/>
      </c>
      <c r="L151" s="156" t="n">
        <v>0.185240911969071</v>
      </c>
      <c r="M151" s="179">
        <f>Schedule!B151</f>
        <v/>
      </c>
      <c r="N151" s="156">
        <f>Schedule!E151</f>
        <v/>
      </c>
      <c r="O151" s="156" t="inlineStr">
        <is>
          <t>Home</t>
        </is>
      </c>
      <c r="P151" s="157">
        <f>Schedule!H151</f>
        <v/>
      </c>
      <c r="Q151" s="157">
        <f>Schedule!C151</f>
        <v/>
      </c>
      <c r="R151" s="180">
        <f>Schedule!D151</f>
        <v/>
      </c>
      <c r="S151" s="181">
        <f>Schedule!J151</f>
        <v/>
      </c>
      <c r="T151" s="193">
        <f>Y151-Z151</f>
        <v/>
      </c>
      <c r="U151" s="182">
        <f>T151/Picks!$K$2</f>
        <v/>
      </c>
      <c r="V151" s="193">
        <f>INDEX(Standings!$T$3:$T$34, MATCH(N151, Standings!$A$3:$A$34, 0)) - INDEX(Standings!$T$3:$T$34, MATCH(P151, Standings!$A$3:$A$34, 0))</f>
        <v/>
      </c>
      <c r="W151" s="157">
        <f>INDEX(Standings!$L$3:$L$34, MATCH(N151, Standings!$A$3:$A$34, 0)) - INDEX(Standings!$L$3:$L$34, MATCH(P151, Standings!$A$3:$A$34, 0))</f>
        <v/>
      </c>
      <c r="X151" s="157">
        <f>INDEX(Standings!$M$3:$M$34, MATCH(N151, Standings!$A$3:$A$34, 0)) - INDEX(Standings!$M$3:$M$34, MATCH(P151, Standings!$A$3:$A$34, 0))</f>
        <v/>
      </c>
      <c r="Y151" s="194">
        <f t="array" ref="Y151:Y151">IFERROR(AE151+(AL151-_DFactor)*AE151,"")</f>
        <v/>
      </c>
      <c r="Z151" s="157">
        <f>IFERROR(AF151+(AI151-_DFactor)*AF151,"")</f>
        <v/>
      </c>
      <c r="AC151" s="194">
        <f>VLOOKUP(M151&amp;N151,Schedule!A:F,6,0)</f>
        <v/>
      </c>
      <c r="AD151" s="194">
        <f>VLOOKUP(M151&amp;P151,Schedule!A:F,6,0)</f>
        <v/>
      </c>
      <c r="AE151" s="156">
        <f>VLOOKUP(N151,ProjPVT!B:I,8,0)*_Mag/VLOOKUP(P151,Standings!A:O,15,0)*H151*K151</f>
        <v/>
      </c>
      <c r="AF151" s="156">
        <f>VLOOKUP(P151,ProjPVT!B:I,8,0)*_Mag/VLOOKUP(N151,Standings!A:O,15,0)*J151*I151</f>
        <v/>
      </c>
      <c r="AG151" s="195">
        <f>VLOOKUP(N151,Matrix!AA:AC,3,0)</f>
        <v/>
      </c>
      <c r="AH151" s="195">
        <f>SUMIFS(Def!C:C,Def!F:F,AG151)</f>
        <v/>
      </c>
      <c r="AI151" s="156">
        <f>IFERROR(SUMIFS(Def!B:B,Def!F:F,AG151)/AH151,"")</f>
        <v/>
      </c>
      <c r="AJ151" s="195">
        <f>VLOOKUP(P151,Matrix!AA:AC,3,0)</f>
        <v/>
      </c>
      <c r="AK151" s="195">
        <f>SUMIFS(Def!C:C,Def!F:F,AJ151)</f>
        <v/>
      </c>
      <c r="AL151" s="156">
        <f>IFERROR(SUMIFS(Def!B:B,Def!F:F,AJ151)/AK151,"")</f>
        <v/>
      </c>
    </row>
    <row r="152" ht="14.4" customHeight="1" s="152">
      <c r="A152" s="157">
        <f>IF(F152="Yes",IFERROR(IF(AA152&gt;1,AA152/100,100/-AA152),""),-1)</f>
        <v/>
      </c>
      <c r="B152" s="157">
        <f>B151+1</f>
        <v/>
      </c>
      <c r="C152" s="157">
        <f>IF(Y152&gt;Z152,1,0)</f>
        <v/>
      </c>
      <c r="D152" s="157">
        <f>IF(AND(C152=1,F152="Yes"),"Yes",IF(AND(C152=0,F152="No"),"Yes","No"))</f>
        <v/>
      </c>
      <c r="E152" s="192">
        <f>IF((AC152+AB152)=AD152,"Push",IF((AC152+AB152)&gt;AD152,"Yes","No"))</f>
        <v/>
      </c>
      <c r="F152" s="192">
        <f>IF(AC152&gt;AD152,"Yes","No")</f>
        <v/>
      </c>
      <c r="G152" s="192">
        <f>IF((Y152+AB152)&gt;Z152,"Yes",IF((Y152+AB152)=Z152,"Push","No"))</f>
        <v/>
      </c>
      <c r="H152" s="157">
        <f>IF(O152="Home",VLOOKUP(N152,Matrix!A:S,19,0),1)</f>
        <v/>
      </c>
      <c r="I152" s="157">
        <f>IF(O152="Away",VLOOKUP(N152,Matrix!A:Z,20,0),1)</f>
        <v/>
      </c>
      <c r="J152" s="157">
        <f>IF(O152="Away",VLOOKUP(P152,Matrix!A:S,19,0),1)</f>
        <v/>
      </c>
      <c r="K152" s="157">
        <f>IF(O152="Home",VLOOKUP(P152,Matrix!A:Z,20,0),1)</f>
        <v/>
      </c>
      <c r="L152" s="156" t="n">
        <v>0.38228202270838</v>
      </c>
      <c r="M152" s="179">
        <f>Schedule!B152</f>
        <v/>
      </c>
      <c r="N152" s="156">
        <f>Schedule!E152</f>
        <v/>
      </c>
      <c r="O152" s="156" t="inlineStr">
        <is>
          <t>Away</t>
        </is>
      </c>
      <c r="P152" s="157">
        <f>Schedule!H152</f>
        <v/>
      </c>
      <c r="Q152" s="157">
        <f>Schedule!C152</f>
        <v/>
      </c>
      <c r="R152" s="180">
        <f>Schedule!D152</f>
        <v/>
      </c>
      <c r="S152" s="181">
        <f>Schedule!J152</f>
        <v/>
      </c>
      <c r="T152" s="193">
        <f>Y152-Z152</f>
        <v/>
      </c>
      <c r="U152" s="182">
        <f>T152/Picks!$K$2</f>
        <v/>
      </c>
      <c r="V152" s="193">
        <f>INDEX(Standings!$T$3:$T$34, MATCH(N152, Standings!$A$3:$A$34, 0)) - INDEX(Standings!$T$3:$T$34, MATCH(P152, Standings!$A$3:$A$34, 0))</f>
        <v/>
      </c>
      <c r="W152" s="157">
        <f>INDEX(Standings!$L$3:$L$34, MATCH(N152, Standings!$A$3:$A$34, 0)) - INDEX(Standings!$L$3:$L$34, MATCH(P152, Standings!$A$3:$A$34, 0))</f>
        <v/>
      </c>
      <c r="X152" s="157">
        <f>INDEX(Standings!$M$3:$M$34, MATCH(N152, Standings!$A$3:$A$34, 0)) - INDEX(Standings!$M$3:$M$34, MATCH(P152, Standings!$A$3:$A$34, 0))</f>
        <v/>
      </c>
      <c r="Y152" s="194">
        <f t="array" ref="Y152:Y152">IFERROR(AE152+(AL152-_DFactor)*AE152,"")</f>
        <v/>
      </c>
      <c r="Z152" s="157">
        <f>IFERROR(AF152+(AI152-_DFactor)*AF152,"")</f>
        <v/>
      </c>
      <c r="AC152" s="194">
        <f>VLOOKUP(M152&amp;N152,Schedule!A:F,6,0)</f>
        <v/>
      </c>
      <c r="AD152" s="194">
        <f>VLOOKUP(M152&amp;P152,Schedule!A:F,6,0)</f>
        <v/>
      </c>
      <c r="AE152" s="156">
        <f>VLOOKUP(N152,ProjPVT!B:I,8,0)*_Mag/VLOOKUP(P152,Standings!A:O,15,0)*H152*K152</f>
        <v/>
      </c>
      <c r="AF152" s="156">
        <f>VLOOKUP(P152,ProjPVT!B:I,8,0)*_Mag/VLOOKUP(N152,Standings!A:O,15,0)*J152*I152</f>
        <v/>
      </c>
      <c r="AG152" s="195">
        <f>VLOOKUP(N152,Matrix!AA:AC,3,0)</f>
        <v/>
      </c>
      <c r="AH152" s="195">
        <f>SUMIFS(Def!C:C,Def!F:F,AG152)</f>
        <v/>
      </c>
      <c r="AI152" s="156">
        <f>IFERROR(SUMIFS(Def!B:B,Def!F:F,AG152)/AH152,"")</f>
        <v/>
      </c>
      <c r="AJ152" s="195">
        <f>VLOOKUP(P152,Matrix!AA:AC,3,0)</f>
        <v/>
      </c>
      <c r="AK152" s="195">
        <f>SUMIFS(Def!C:C,Def!F:F,AJ152)</f>
        <v/>
      </c>
      <c r="AL152" s="156">
        <f>IFERROR(SUMIFS(Def!B:B,Def!F:F,AJ152)/AK152,"")</f>
        <v/>
      </c>
    </row>
    <row r="153" ht="14.4" customHeight="1" s="152">
      <c r="A153" s="157">
        <f>IF(F153="Yes",IFERROR(IF(AA153&gt;1,AA153/100,100/-AA153),""),-1)</f>
        <v/>
      </c>
      <c r="B153" s="157">
        <f>B152+1</f>
        <v/>
      </c>
      <c r="C153" s="157">
        <f>IF(Y153&gt;Z153,1,0)</f>
        <v/>
      </c>
      <c r="D153" s="157">
        <f>IF(AND(C153=1,F153="Yes"),"Yes",IF(AND(C153=0,F153="No"),"Yes","No"))</f>
        <v/>
      </c>
      <c r="E153" s="192">
        <f>IF((AC153+AB153)=AD153,"Push",IF((AC153+AB153)&gt;AD153,"Yes","No"))</f>
        <v/>
      </c>
      <c r="F153" s="192">
        <f>IF(AC153&gt;AD153,"Yes","No")</f>
        <v/>
      </c>
      <c r="G153" s="192">
        <f>IF((Y153+AB153)&gt;Z153,"Yes",IF((Y153+AB153)=Z153,"Push","No"))</f>
        <v/>
      </c>
      <c r="H153" s="157">
        <f>IF(O153="Home",VLOOKUP(N153,Matrix!A:S,19,0),1)</f>
        <v/>
      </c>
      <c r="I153" s="157">
        <f>IF(O153="Away",VLOOKUP(N153,Matrix!A:Z,20,0),1)</f>
        <v/>
      </c>
      <c r="J153" s="157">
        <f>IF(O153="Away",VLOOKUP(P153,Matrix!A:S,19,0),1)</f>
        <v/>
      </c>
      <c r="K153" s="157">
        <f>IF(O153="Home",VLOOKUP(P153,Matrix!A:Z,20,0),1)</f>
        <v/>
      </c>
      <c r="L153" s="156" t="n">
        <v>0.393727168822165</v>
      </c>
      <c r="M153" s="179">
        <f>Schedule!B153</f>
        <v/>
      </c>
      <c r="N153" s="156">
        <f>Schedule!E153</f>
        <v/>
      </c>
      <c r="O153" s="156" t="inlineStr">
        <is>
          <t>Away</t>
        </is>
      </c>
      <c r="P153" s="157">
        <f>Schedule!H153</f>
        <v/>
      </c>
      <c r="Q153" s="157">
        <f>Schedule!C153</f>
        <v/>
      </c>
      <c r="R153" s="180">
        <f>Schedule!D153</f>
        <v/>
      </c>
      <c r="S153" s="181">
        <f>Schedule!J153</f>
        <v/>
      </c>
      <c r="T153" s="193">
        <f>Y153-Z153</f>
        <v/>
      </c>
      <c r="U153" s="182">
        <f>T153/Picks!$K$2</f>
        <v/>
      </c>
      <c r="V153" s="193">
        <f>INDEX(Standings!$T$3:$T$34, MATCH(N153, Standings!$A$3:$A$34, 0)) - INDEX(Standings!$T$3:$T$34, MATCH(P153, Standings!$A$3:$A$34, 0))</f>
        <v/>
      </c>
      <c r="W153" s="157">
        <f>INDEX(Standings!$L$3:$L$34, MATCH(N153, Standings!$A$3:$A$34, 0)) - INDEX(Standings!$L$3:$L$34, MATCH(P153, Standings!$A$3:$A$34, 0))</f>
        <v/>
      </c>
      <c r="X153" s="157">
        <f>INDEX(Standings!$M$3:$M$34, MATCH(N153, Standings!$A$3:$A$34, 0)) - INDEX(Standings!$M$3:$M$34, MATCH(P153, Standings!$A$3:$A$34, 0))</f>
        <v/>
      </c>
      <c r="Y153" s="194">
        <f t="array" ref="Y153:Y153">IFERROR(AE153+(AL153-_DFactor)*AE153,"")</f>
        <v/>
      </c>
      <c r="Z153" s="157">
        <f>IFERROR(AF153+(AI153-_DFactor)*AF153,"")</f>
        <v/>
      </c>
      <c r="AC153" s="194">
        <f>VLOOKUP(M153&amp;N153,Schedule!A:F,6,0)</f>
        <v/>
      </c>
      <c r="AD153" s="194">
        <f>VLOOKUP(M153&amp;P153,Schedule!A:F,6,0)</f>
        <v/>
      </c>
      <c r="AE153" s="156">
        <f>VLOOKUP(N153,ProjPVT!B:I,8,0)*_Mag/VLOOKUP(P153,Standings!A:O,15,0)*H153*K153</f>
        <v/>
      </c>
      <c r="AF153" s="156">
        <f>VLOOKUP(P153,ProjPVT!B:I,8,0)*_Mag/VLOOKUP(N153,Standings!A:O,15,0)*J153*I153</f>
        <v/>
      </c>
      <c r="AG153" s="195">
        <f>VLOOKUP(N153,Matrix!AA:AC,3,0)</f>
        <v/>
      </c>
      <c r="AH153" s="195">
        <f>SUMIFS(Def!C:C,Def!F:F,AG153)</f>
        <v/>
      </c>
      <c r="AI153" s="156">
        <f>IFERROR(SUMIFS(Def!B:B,Def!F:F,AG153)/AH153,"")</f>
        <v/>
      </c>
      <c r="AJ153" s="195">
        <f>VLOOKUP(P153,Matrix!AA:AC,3,0)</f>
        <v/>
      </c>
      <c r="AK153" s="195">
        <f>SUMIFS(Def!C:C,Def!F:F,AJ153)</f>
        <v/>
      </c>
      <c r="AL153" s="156">
        <f>IFERROR(SUMIFS(Def!B:B,Def!F:F,AJ153)/AK153,"")</f>
        <v/>
      </c>
    </row>
    <row r="154" ht="14.4" customHeight="1" s="152">
      <c r="A154" s="157">
        <f>IF(F154="Yes",IFERROR(IF(AA154&gt;1,AA154/100,100/-AA154),""),-1)</f>
        <v/>
      </c>
      <c r="B154" s="157">
        <f>B153+1</f>
        <v/>
      </c>
      <c r="C154" s="157">
        <f>IF(Y154&gt;Z154,1,0)</f>
        <v/>
      </c>
      <c r="D154" s="157">
        <f>IF(AND(C154=1,F154="Yes"),"Yes",IF(AND(C154=0,F154="No"),"Yes","No"))</f>
        <v/>
      </c>
      <c r="E154" s="192">
        <f>IF((AC154+AB154)=AD154,"Push",IF((AC154+AB154)&gt;AD154,"Yes","No"))</f>
        <v/>
      </c>
      <c r="F154" s="192">
        <f>IF(AC154&gt;AD154,"Yes","No")</f>
        <v/>
      </c>
      <c r="G154" s="192">
        <f>IF((Y154+AB154)&gt;Z154,"Yes",IF((Y154+AB154)=Z154,"Push","No"))</f>
        <v/>
      </c>
      <c r="H154" s="157">
        <f>IF(O154="Home",VLOOKUP(N154,Matrix!A:S,19,0),1)</f>
        <v/>
      </c>
      <c r="I154" s="157">
        <f>IF(O154="Away",VLOOKUP(N154,Matrix!A:Z,20,0),1)</f>
        <v/>
      </c>
      <c r="J154" s="157">
        <f>IF(O154="Away",VLOOKUP(P154,Matrix!A:S,19,0),1)</f>
        <v/>
      </c>
      <c r="K154" s="157">
        <f>IF(O154="Home",VLOOKUP(P154,Matrix!A:Z,20,0),1)</f>
        <v/>
      </c>
      <c r="L154" s="156" t="n">
        <v>0.408692036118726</v>
      </c>
      <c r="M154" s="179">
        <f>Schedule!B154</f>
        <v/>
      </c>
      <c r="N154" s="156">
        <f>Schedule!E154</f>
        <v/>
      </c>
      <c r="O154" s="156" t="inlineStr">
        <is>
          <t>Home</t>
        </is>
      </c>
      <c r="P154" s="157">
        <f>Schedule!H154</f>
        <v/>
      </c>
      <c r="Q154" s="157">
        <f>Schedule!C154</f>
        <v/>
      </c>
      <c r="R154" s="180">
        <f>Schedule!D154</f>
        <v/>
      </c>
      <c r="S154" s="181">
        <f>Schedule!J154</f>
        <v/>
      </c>
      <c r="T154" s="193">
        <f>Y154-Z154</f>
        <v/>
      </c>
      <c r="U154" s="182">
        <f>T154/Picks!$K$2</f>
        <v/>
      </c>
      <c r="V154" s="193">
        <f>INDEX(Standings!$T$3:$T$34, MATCH(N154, Standings!$A$3:$A$34, 0)) - INDEX(Standings!$T$3:$T$34, MATCH(P154, Standings!$A$3:$A$34, 0))</f>
        <v/>
      </c>
      <c r="W154" s="157">
        <f>INDEX(Standings!$L$3:$L$34, MATCH(N154, Standings!$A$3:$A$34, 0)) - INDEX(Standings!$L$3:$L$34, MATCH(P154, Standings!$A$3:$A$34, 0))</f>
        <v/>
      </c>
      <c r="X154" s="157">
        <f>INDEX(Standings!$M$3:$M$34, MATCH(N154, Standings!$A$3:$A$34, 0)) - INDEX(Standings!$M$3:$M$34, MATCH(P154, Standings!$A$3:$A$34, 0))</f>
        <v/>
      </c>
      <c r="Y154" s="194">
        <f t="array" ref="Y154:Y154">IFERROR(AE154+(AL154-_DFactor)*AE154,"")</f>
        <v/>
      </c>
      <c r="Z154" s="157">
        <f>IFERROR(AF154+(AI154-_DFactor)*AF154,"")</f>
        <v/>
      </c>
      <c r="AC154" s="194">
        <f>VLOOKUP(M154&amp;N154,Schedule!A:F,6,0)</f>
        <v/>
      </c>
      <c r="AD154" s="194">
        <f>VLOOKUP(M154&amp;P154,Schedule!A:F,6,0)</f>
        <v/>
      </c>
      <c r="AE154" s="156">
        <f>VLOOKUP(N154,ProjPVT!B:I,8,0)*_Mag/VLOOKUP(P154,Standings!A:O,15,0)*H154*K154</f>
        <v/>
      </c>
      <c r="AF154" s="156">
        <f>VLOOKUP(P154,ProjPVT!B:I,8,0)*_Mag/VLOOKUP(N154,Standings!A:O,15,0)*J154*I154</f>
        <v/>
      </c>
      <c r="AG154" s="195">
        <f>VLOOKUP(N154,Matrix!AA:AC,3,0)</f>
        <v/>
      </c>
      <c r="AH154" s="195">
        <f>SUMIFS(Def!C:C,Def!F:F,AG154)</f>
        <v/>
      </c>
      <c r="AI154" s="156">
        <f>IFERROR(SUMIFS(Def!B:B,Def!F:F,AG154)/AH154,"")</f>
        <v/>
      </c>
      <c r="AJ154" s="195">
        <f>VLOOKUP(P154,Matrix!AA:AC,3,0)</f>
        <v/>
      </c>
      <c r="AK154" s="195">
        <f>SUMIFS(Def!C:C,Def!F:F,AJ154)</f>
        <v/>
      </c>
      <c r="AL154" s="156">
        <f>IFERROR(SUMIFS(Def!B:B,Def!F:F,AJ154)/AK154,"")</f>
        <v/>
      </c>
    </row>
    <row r="155" ht="14.4" customHeight="1" s="152">
      <c r="A155" s="157">
        <f>IF(F155="Yes",IFERROR(IF(AA155&gt;1,AA155/100,100/-AA155),""),-1)</f>
        <v/>
      </c>
      <c r="B155" s="157">
        <f>B154+1</f>
        <v/>
      </c>
      <c r="C155" s="157">
        <f>IF(Y155&gt;Z155,1,0)</f>
        <v/>
      </c>
      <c r="D155" s="157">
        <f>IF(AND(C155=1,F155="Yes"),"Yes",IF(AND(C155=0,F155="No"),"Yes","No"))</f>
        <v/>
      </c>
      <c r="E155" s="192">
        <f>IF((AC155+AB155)=AD155,"Push",IF((AC155+AB155)&gt;AD155,"Yes","No"))</f>
        <v/>
      </c>
      <c r="F155" s="192">
        <f>IF(AC155&gt;AD155,"Yes","No")</f>
        <v/>
      </c>
      <c r="G155" s="192">
        <f>IF((Y155+AB155)&gt;Z155,"Yes",IF((Y155+AB155)=Z155,"Push","No"))</f>
        <v/>
      </c>
      <c r="H155" s="157">
        <f>IF(O155="Home",VLOOKUP(N155,Matrix!A:S,19,0),1)</f>
        <v/>
      </c>
      <c r="I155" s="157">
        <f>IF(O155="Away",VLOOKUP(N155,Matrix!A:Z,20,0),1)</f>
        <v/>
      </c>
      <c r="J155" s="157">
        <f>IF(O155="Away",VLOOKUP(P155,Matrix!A:S,19,0),1)</f>
        <v/>
      </c>
      <c r="K155" s="157">
        <f>IF(O155="Home",VLOOKUP(P155,Matrix!A:Z,20,0),1)</f>
        <v/>
      </c>
      <c r="L155" s="156" t="n">
        <v>0.518637931034483</v>
      </c>
      <c r="M155" s="179">
        <f>Schedule!B155</f>
        <v/>
      </c>
      <c r="N155" s="156">
        <f>Schedule!E155</f>
        <v/>
      </c>
      <c r="O155" s="156" t="inlineStr">
        <is>
          <t>Away</t>
        </is>
      </c>
      <c r="P155" s="157">
        <f>Schedule!H155</f>
        <v/>
      </c>
      <c r="Q155" s="157">
        <f>Schedule!C155</f>
        <v/>
      </c>
      <c r="R155" s="180">
        <f>Schedule!D155</f>
        <v/>
      </c>
      <c r="S155" s="181">
        <f>Schedule!J155</f>
        <v/>
      </c>
      <c r="T155" s="193">
        <f>Y155-Z155</f>
        <v/>
      </c>
      <c r="U155" s="182">
        <f>T155/Picks!$K$2</f>
        <v/>
      </c>
      <c r="V155" s="193">
        <f>INDEX(Standings!$T$3:$T$34, MATCH(N155, Standings!$A$3:$A$34, 0)) - INDEX(Standings!$T$3:$T$34, MATCH(P155, Standings!$A$3:$A$34, 0))</f>
        <v/>
      </c>
      <c r="W155" s="157">
        <f>INDEX(Standings!$L$3:$L$34, MATCH(N155, Standings!$A$3:$A$34, 0)) - INDEX(Standings!$L$3:$L$34, MATCH(P155, Standings!$A$3:$A$34, 0))</f>
        <v/>
      </c>
      <c r="X155" s="157">
        <f>INDEX(Standings!$M$3:$M$34, MATCH(N155, Standings!$A$3:$A$34, 0)) - INDEX(Standings!$M$3:$M$34, MATCH(P155, Standings!$A$3:$A$34, 0))</f>
        <v/>
      </c>
      <c r="Y155" s="194">
        <f t="array" ref="Y155:Y155">IFERROR(AE155+(AL155-_DFactor)*AE155,"")</f>
        <v/>
      </c>
      <c r="Z155" s="157">
        <f>IFERROR(AF155+(AI155-_DFactor)*AF155,"")</f>
        <v/>
      </c>
      <c r="AC155" s="194">
        <f>VLOOKUP(M155&amp;N155,Schedule!A:F,6,0)</f>
        <v/>
      </c>
      <c r="AD155" s="194">
        <f>VLOOKUP(M155&amp;P155,Schedule!A:F,6,0)</f>
        <v/>
      </c>
      <c r="AE155" s="156">
        <f>VLOOKUP(N155,ProjPVT!B:I,8,0)*_Mag/VLOOKUP(P155,Standings!A:O,15,0)*H155*K155</f>
        <v/>
      </c>
      <c r="AF155" s="156">
        <f>VLOOKUP(P155,ProjPVT!B:I,8,0)*_Mag/VLOOKUP(N155,Standings!A:O,15,0)*J155*I155</f>
        <v/>
      </c>
      <c r="AG155" s="195">
        <f>VLOOKUP(N155,Matrix!AA:AC,3,0)</f>
        <v/>
      </c>
      <c r="AH155" s="195">
        <f>SUMIFS(Def!C:C,Def!F:F,AG155)</f>
        <v/>
      </c>
      <c r="AI155" s="156">
        <f>IFERROR(SUMIFS(Def!B:B,Def!F:F,AG155)/AH155,"")</f>
        <v/>
      </c>
      <c r="AJ155" s="195">
        <f>VLOOKUP(P155,Matrix!AA:AC,3,0)</f>
        <v/>
      </c>
      <c r="AK155" s="195">
        <f>SUMIFS(Def!C:C,Def!F:F,AJ155)</f>
        <v/>
      </c>
      <c r="AL155" s="156">
        <f>IFERROR(SUMIFS(Def!B:B,Def!F:F,AJ155)/AK155,"")</f>
        <v/>
      </c>
    </row>
    <row r="156" ht="14.4" customHeight="1" s="152">
      <c r="A156" s="157">
        <f>IF(F156="Yes",IFERROR(IF(AA156&gt;1,AA156/100,100/-AA156),""),-1)</f>
        <v/>
      </c>
      <c r="B156" s="157">
        <f>B155+1</f>
        <v/>
      </c>
      <c r="C156" s="157">
        <f>IF(Y156&gt;Z156,1,0)</f>
        <v/>
      </c>
      <c r="D156" s="157">
        <f>IF(AND(C156=1,F156="Yes"),"Yes",IF(AND(C156=0,F156="No"),"Yes","No"))</f>
        <v/>
      </c>
      <c r="E156" s="192">
        <f>IF((AC156+AB156)=AD156,"Push",IF((AC156+AB156)&gt;AD156,"Yes","No"))</f>
        <v/>
      </c>
      <c r="F156" s="192">
        <f>IF(AC156&gt;AD156,"Yes","No")</f>
        <v/>
      </c>
      <c r="G156" s="192">
        <f>IF((Y156+AB156)&gt;Z156,"Yes",IF((Y156+AB156)=Z156,"Push","No"))</f>
        <v/>
      </c>
      <c r="H156" s="157">
        <f>IF(O156="Home",VLOOKUP(N156,Matrix!A:S,19,0),1)</f>
        <v/>
      </c>
      <c r="I156" s="157">
        <f>IF(O156="Away",VLOOKUP(N156,Matrix!A:Z,20,0),1)</f>
        <v/>
      </c>
      <c r="J156" s="157">
        <f>IF(O156="Away",VLOOKUP(P156,Matrix!A:S,19,0),1)</f>
        <v/>
      </c>
      <c r="K156" s="157">
        <f>IF(O156="Home",VLOOKUP(P156,Matrix!A:Z,20,0),1)</f>
        <v/>
      </c>
      <c r="L156" s="156" t="n">
        <v>0.567890457171549</v>
      </c>
      <c r="M156" s="179">
        <f>Schedule!B156</f>
        <v/>
      </c>
      <c r="N156" s="156">
        <f>Schedule!E156</f>
        <v/>
      </c>
      <c r="O156" s="156" t="inlineStr">
        <is>
          <t>Home</t>
        </is>
      </c>
      <c r="P156" s="157">
        <f>Schedule!H156</f>
        <v/>
      </c>
      <c r="Q156" s="157">
        <f>Schedule!C156</f>
        <v/>
      </c>
      <c r="R156" s="180">
        <f>Schedule!D156</f>
        <v/>
      </c>
      <c r="S156" s="181">
        <f>Schedule!J156</f>
        <v/>
      </c>
      <c r="T156" s="193">
        <f>Y156-Z156</f>
        <v/>
      </c>
      <c r="U156" s="182">
        <f>T156/Picks!$K$2</f>
        <v/>
      </c>
      <c r="V156" s="193">
        <f>INDEX(Standings!$T$3:$T$34, MATCH(N156, Standings!$A$3:$A$34, 0)) - INDEX(Standings!$T$3:$T$34, MATCH(P156, Standings!$A$3:$A$34, 0))</f>
        <v/>
      </c>
      <c r="W156" s="157">
        <f>INDEX(Standings!$L$3:$L$34, MATCH(N156, Standings!$A$3:$A$34, 0)) - INDEX(Standings!$L$3:$L$34, MATCH(P156, Standings!$A$3:$A$34, 0))</f>
        <v/>
      </c>
      <c r="X156" s="157">
        <f>INDEX(Standings!$M$3:$M$34, MATCH(N156, Standings!$A$3:$A$34, 0)) - INDEX(Standings!$M$3:$M$34, MATCH(P156, Standings!$A$3:$A$34, 0))</f>
        <v/>
      </c>
      <c r="Y156" s="194">
        <f t="array" ref="Y156:Y156">IFERROR(AE156+(AL156-_DFactor)*AE156,"")</f>
        <v/>
      </c>
      <c r="Z156" s="157">
        <f>IFERROR(AF156+(AI156-_DFactor)*AF156,"")</f>
        <v/>
      </c>
      <c r="AC156" s="194">
        <f>VLOOKUP(M156&amp;N156,Schedule!A:F,6,0)</f>
        <v/>
      </c>
      <c r="AD156" s="194">
        <f>VLOOKUP(M156&amp;P156,Schedule!A:F,6,0)</f>
        <v/>
      </c>
      <c r="AE156" s="156">
        <f>VLOOKUP(N156,ProjPVT!B:I,8,0)*_Mag/VLOOKUP(P156,Standings!A:O,15,0)*H156*K156</f>
        <v/>
      </c>
      <c r="AF156" s="156">
        <f>VLOOKUP(P156,ProjPVT!B:I,8,0)*_Mag/VLOOKUP(N156,Standings!A:O,15,0)*J156*I156</f>
        <v/>
      </c>
      <c r="AG156" s="195">
        <f>VLOOKUP(N156,Matrix!AA:AC,3,0)</f>
        <v/>
      </c>
      <c r="AH156" s="195">
        <f>SUMIFS(Def!C:C,Def!F:F,AG156)</f>
        <v/>
      </c>
      <c r="AI156" s="156">
        <f>IFERROR(SUMIFS(Def!B:B,Def!F:F,AG156)/AH156,"")</f>
        <v/>
      </c>
      <c r="AJ156" s="195">
        <f>VLOOKUP(P156,Matrix!AA:AC,3,0)</f>
        <v/>
      </c>
      <c r="AK156" s="195">
        <f>SUMIFS(Def!C:C,Def!F:F,AJ156)</f>
        <v/>
      </c>
      <c r="AL156" s="156">
        <f>IFERROR(SUMIFS(Def!B:B,Def!F:F,AJ156)/AK156,"")</f>
        <v/>
      </c>
    </row>
    <row r="157" ht="14.4" customHeight="1" s="152">
      <c r="A157" s="157">
        <f>IF(F157="Yes",IFERROR(IF(AA157&gt;1,AA157/100,100/-AA157),""),-1)</f>
        <v/>
      </c>
      <c r="B157" s="157">
        <f>B156+1</f>
        <v/>
      </c>
      <c r="C157" s="157">
        <f>IF(Y157&gt;Z157,1,0)</f>
        <v/>
      </c>
      <c r="D157" s="157">
        <f>IF(AND(C157=1,F157="Yes"),"Yes",IF(AND(C157=0,F157="No"),"Yes","No"))</f>
        <v/>
      </c>
      <c r="E157" s="192">
        <f>IF((AC157+AB157)=AD157,"Push",IF((AC157+AB157)&gt;AD157,"Yes","No"))</f>
        <v/>
      </c>
      <c r="F157" s="192">
        <f>IF(AC157&gt;AD157,"Yes","No")</f>
        <v/>
      </c>
      <c r="G157" s="192">
        <f>IF((Y157+AB157)&gt;Z157,"Yes",IF((Y157+AB157)=Z157,"Push","No"))</f>
        <v/>
      </c>
      <c r="H157" s="157">
        <f>IF(O157="Home",VLOOKUP(N157,Matrix!A:S,19,0),1)</f>
        <v/>
      </c>
      <c r="I157" s="157">
        <f>IF(O157="Away",VLOOKUP(N157,Matrix!A:Z,20,0),1)</f>
        <v/>
      </c>
      <c r="J157" s="157">
        <f>IF(O157="Away",VLOOKUP(P157,Matrix!A:S,19,0),1)</f>
        <v/>
      </c>
      <c r="K157" s="157">
        <f>IF(O157="Home",VLOOKUP(P157,Matrix!A:Z,20,0),1)</f>
        <v/>
      </c>
      <c r="L157" s="156" t="n">
        <v>0.569043571608808</v>
      </c>
      <c r="M157" s="179">
        <f>Schedule!B157</f>
        <v/>
      </c>
      <c r="N157" s="156">
        <f>Schedule!E157</f>
        <v/>
      </c>
      <c r="O157" s="156" t="inlineStr">
        <is>
          <t>Home</t>
        </is>
      </c>
      <c r="P157" s="157">
        <f>Schedule!H157</f>
        <v/>
      </c>
      <c r="Q157" s="157">
        <f>Schedule!C157</f>
        <v/>
      </c>
      <c r="R157" s="180">
        <f>Schedule!D157</f>
        <v/>
      </c>
      <c r="S157" s="181">
        <f>Schedule!J157</f>
        <v/>
      </c>
      <c r="T157" s="193">
        <f>Y157-Z157</f>
        <v/>
      </c>
      <c r="U157" s="182">
        <f>T157/Picks!$K$2</f>
        <v/>
      </c>
      <c r="V157" s="193">
        <f>INDEX(Standings!$T$3:$T$34, MATCH(N157, Standings!$A$3:$A$34, 0)) - INDEX(Standings!$T$3:$T$34, MATCH(P157, Standings!$A$3:$A$34, 0))</f>
        <v/>
      </c>
      <c r="W157" s="157">
        <f>INDEX(Standings!$L$3:$L$34, MATCH(N157, Standings!$A$3:$A$34, 0)) - INDEX(Standings!$L$3:$L$34, MATCH(P157, Standings!$A$3:$A$34, 0))</f>
        <v/>
      </c>
      <c r="X157" s="157">
        <f>INDEX(Standings!$M$3:$M$34, MATCH(N157, Standings!$A$3:$A$34, 0)) - INDEX(Standings!$M$3:$M$34, MATCH(P157, Standings!$A$3:$A$34, 0))</f>
        <v/>
      </c>
      <c r="Y157" s="194">
        <f t="array" ref="Y157:Y157">IFERROR(AE157+(AL157-_DFactor)*AE157,"")</f>
        <v/>
      </c>
      <c r="Z157" s="157">
        <f>IFERROR(AF157+(AI157-_DFactor)*AF157,"")</f>
        <v/>
      </c>
      <c r="AC157" s="194">
        <f>VLOOKUP(M157&amp;N157,Schedule!A:F,6,0)</f>
        <v/>
      </c>
      <c r="AD157" s="194">
        <f>VLOOKUP(M157&amp;P157,Schedule!A:F,6,0)</f>
        <v/>
      </c>
      <c r="AE157" s="156">
        <f>VLOOKUP(N157,ProjPVT!B:I,8,0)*_Mag/VLOOKUP(P157,Standings!A:O,15,0)*H157*K157</f>
        <v/>
      </c>
      <c r="AF157" s="156">
        <f>VLOOKUP(P157,ProjPVT!B:I,8,0)*_Mag/VLOOKUP(N157,Standings!A:O,15,0)*J157*I157</f>
        <v/>
      </c>
      <c r="AG157" s="195">
        <f>VLOOKUP(N157,Matrix!AA:AC,3,0)</f>
        <v/>
      </c>
      <c r="AH157" s="195">
        <f>SUMIFS(Def!C:C,Def!F:F,AG157)</f>
        <v/>
      </c>
      <c r="AI157" s="156">
        <f>IFERROR(SUMIFS(Def!B:B,Def!F:F,AG157)/AH157,"")</f>
        <v/>
      </c>
      <c r="AJ157" s="195">
        <f>VLOOKUP(P157,Matrix!AA:AC,3,0)</f>
        <v/>
      </c>
      <c r="AK157" s="195">
        <f>SUMIFS(Def!C:C,Def!F:F,AJ157)</f>
        <v/>
      </c>
      <c r="AL157" s="156">
        <f>IFERROR(SUMIFS(Def!B:B,Def!F:F,AJ157)/AK157,"")</f>
        <v/>
      </c>
    </row>
    <row r="158" ht="14.4" customHeight="1" s="152">
      <c r="A158" s="157">
        <f>IF(F158="Yes",IFERROR(IF(AA158&gt;1,AA158/100,100/-AA158),""),-1)</f>
        <v/>
      </c>
      <c r="B158" s="157">
        <f>B157+1</f>
        <v/>
      </c>
      <c r="C158" s="157">
        <f>IF(Y158&gt;Z158,1,0)</f>
        <v/>
      </c>
      <c r="D158" s="157">
        <f>IF(AND(C158=1,F158="Yes"),"Yes",IF(AND(C158=0,F158="No"),"Yes","No"))</f>
        <v/>
      </c>
      <c r="E158" s="192">
        <f>IF((AC158+AB158)=AD158,"Push",IF((AC158+AB158)&gt;AD158,"Yes","No"))</f>
        <v/>
      </c>
      <c r="F158" s="192">
        <f>IF(AC158&gt;AD158,"Yes","No")</f>
        <v/>
      </c>
      <c r="G158" s="192">
        <f>IF((Y158+AB158)&gt;Z158,"Yes",IF((Y158+AB158)=Z158,"Push","No"))</f>
        <v/>
      </c>
      <c r="H158" s="157">
        <f>IF(O158="Home",VLOOKUP(N158,Matrix!A:S,19,0),1)</f>
        <v/>
      </c>
      <c r="I158" s="157">
        <f>IF(O158="Away",VLOOKUP(N158,Matrix!A:Z,20,0),1)</f>
        <v/>
      </c>
      <c r="J158" s="157">
        <f>IF(O158="Away",VLOOKUP(P158,Matrix!A:S,19,0),1)</f>
        <v/>
      </c>
      <c r="K158" s="157">
        <f>IF(O158="Home",VLOOKUP(P158,Matrix!A:Z,20,0),1)</f>
        <v/>
      </c>
      <c r="L158" s="156" t="n">
        <v>-0.617792994942082</v>
      </c>
      <c r="M158" s="179">
        <f>Schedule!B158</f>
        <v/>
      </c>
      <c r="N158" s="156">
        <f>Schedule!E158</f>
        <v/>
      </c>
      <c r="O158" s="156" t="inlineStr">
        <is>
          <t>Away</t>
        </is>
      </c>
      <c r="P158" s="157">
        <f>Schedule!H158</f>
        <v/>
      </c>
      <c r="Q158" s="157">
        <f>Schedule!C158</f>
        <v/>
      </c>
      <c r="R158" s="180">
        <f>Schedule!D158</f>
        <v/>
      </c>
      <c r="S158" s="181">
        <f>Schedule!J158</f>
        <v/>
      </c>
      <c r="T158" s="193">
        <f>Y158-Z158</f>
        <v/>
      </c>
      <c r="U158" s="182">
        <f>T158/Picks!$K$2</f>
        <v/>
      </c>
      <c r="V158" s="193">
        <f>INDEX(Standings!$T$3:$T$34, MATCH(N158, Standings!$A$3:$A$34, 0)) - INDEX(Standings!$T$3:$T$34, MATCH(P158, Standings!$A$3:$A$34, 0))</f>
        <v/>
      </c>
      <c r="W158" s="157">
        <f>INDEX(Standings!$L$3:$L$34, MATCH(N158, Standings!$A$3:$A$34, 0)) - INDEX(Standings!$L$3:$L$34, MATCH(P158, Standings!$A$3:$A$34, 0))</f>
        <v/>
      </c>
      <c r="X158" s="157">
        <f>INDEX(Standings!$M$3:$M$34, MATCH(N158, Standings!$A$3:$A$34, 0)) - INDEX(Standings!$M$3:$M$34, MATCH(P158, Standings!$A$3:$A$34, 0))</f>
        <v/>
      </c>
      <c r="Y158" s="194">
        <f t="array" ref="Y158:Y158">IFERROR(AE158+(AL158-_DFactor)*AE158,"")</f>
        <v/>
      </c>
      <c r="Z158" s="157">
        <f>IFERROR(AF158+(AI158-_DFactor)*AF158,"")</f>
        <v/>
      </c>
      <c r="AC158" s="194">
        <f>VLOOKUP(M158&amp;N158,Schedule!A:F,6,0)</f>
        <v/>
      </c>
      <c r="AD158" s="194">
        <f>VLOOKUP(M158&amp;P158,Schedule!A:F,6,0)</f>
        <v/>
      </c>
      <c r="AE158" s="156">
        <f>VLOOKUP(N158,ProjPVT!B:I,8,0)*_Mag/VLOOKUP(P158,Standings!A:O,15,0)*H158*K158</f>
        <v/>
      </c>
      <c r="AF158" s="156">
        <f>VLOOKUP(P158,ProjPVT!B:I,8,0)*_Mag/VLOOKUP(N158,Standings!A:O,15,0)*J158*I158</f>
        <v/>
      </c>
      <c r="AG158" s="195">
        <f>VLOOKUP(N158,Matrix!AA:AC,3,0)</f>
        <v/>
      </c>
      <c r="AH158" s="195">
        <f>SUMIFS(Def!C:C,Def!F:F,AG158)</f>
        <v/>
      </c>
      <c r="AI158" s="156">
        <f>IFERROR(SUMIFS(Def!B:B,Def!F:F,AG158)/AH158,"")</f>
        <v/>
      </c>
      <c r="AJ158" s="195">
        <f>VLOOKUP(P158,Matrix!AA:AC,3,0)</f>
        <v/>
      </c>
      <c r="AK158" s="195">
        <f>SUMIFS(Def!C:C,Def!F:F,AJ158)</f>
        <v/>
      </c>
      <c r="AL158" s="156">
        <f>IFERROR(SUMIFS(Def!B:B,Def!F:F,AJ158)/AK158,"")</f>
        <v/>
      </c>
    </row>
    <row r="159" ht="14.4" customHeight="1" s="152">
      <c r="A159" s="157">
        <f>IF(F159="Yes",IFERROR(IF(AA159&gt;1,AA159/100,100/-AA159),""),-1)</f>
        <v/>
      </c>
      <c r="B159" s="157">
        <f>B158+1</f>
        <v/>
      </c>
      <c r="C159" s="157">
        <f>IF(Y159&gt;Z159,1,0)</f>
        <v/>
      </c>
      <c r="D159" s="157">
        <f>IF(AND(C159=1,F159="Yes"),"Yes",IF(AND(C159=0,F159="No"),"Yes","No"))</f>
        <v/>
      </c>
      <c r="E159" s="192">
        <f>IF((AC159+AB159)=AD159,"Push",IF((AC159+AB159)&gt;AD159,"Yes","No"))</f>
        <v/>
      </c>
      <c r="F159" s="192">
        <f>IF(AC159&gt;AD159,"Yes","No")</f>
        <v/>
      </c>
      <c r="G159" s="192">
        <f>IF((Y159+AB159)&gt;Z159,"Yes",IF((Y159+AB159)=Z159,"Push","No"))</f>
        <v/>
      </c>
      <c r="H159" s="157">
        <f>IF(O159="Home",VLOOKUP(N159,Matrix!A:S,19,0),1)</f>
        <v/>
      </c>
      <c r="I159" s="157">
        <f>IF(O159="Away",VLOOKUP(N159,Matrix!A:Z,20,0),1)</f>
        <v/>
      </c>
      <c r="J159" s="157">
        <f>IF(O159="Away",VLOOKUP(P159,Matrix!A:S,19,0),1)</f>
        <v/>
      </c>
      <c r="K159" s="157">
        <f>IF(O159="Home",VLOOKUP(P159,Matrix!A:Z,20,0),1)</f>
        <v/>
      </c>
      <c r="L159" s="156" t="n">
        <v>-0.400107771046105</v>
      </c>
      <c r="M159" s="179">
        <f>Schedule!B159</f>
        <v/>
      </c>
      <c r="N159" s="156">
        <f>Schedule!E159</f>
        <v/>
      </c>
      <c r="O159" s="156" t="inlineStr">
        <is>
          <t>Home</t>
        </is>
      </c>
      <c r="P159" s="157">
        <f>Schedule!H159</f>
        <v/>
      </c>
      <c r="Q159" s="157">
        <f>Schedule!C159</f>
        <v/>
      </c>
      <c r="R159" s="180">
        <f>Schedule!D159</f>
        <v/>
      </c>
      <c r="S159" s="181">
        <f>Schedule!J159</f>
        <v/>
      </c>
      <c r="T159" s="193">
        <f>Y159-Z159</f>
        <v/>
      </c>
      <c r="U159" s="182">
        <f>T159/Picks!$K$2</f>
        <v/>
      </c>
      <c r="V159" s="193">
        <f>INDEX(Standings!$T$3:$T$34, MATCH(N159, Standings!$A$3:$A$34, 0)) - INDEX(Standings!$T$3:$T$34, MATCH(P159, Standings!$A$3:$A$34, 0))</f>
        <v/>
      </c>
      <c r="W159" s="157">
        <f>INDEX(Standings!$L$3:$L$34, MATCH(N159, Standings!$A$3:$A$34, 0)) - INDEX(Standings!$L$3:$L$34, MATCH(P159, Standings!$A$3:$A$34, 0))</f>
        <v/>
      </c>
      <c r="X159" s="157">
        <f>INDEX(Standings!$M$3:$M$34, MATCH(N159, Standings!$A$3:$A$34, 0)) - INDEX(Standings!$M$3:$M$34, MATCH(P159, Standings!$A$3:$A$34, 0))</f>
        <v/>
      </c>
      <c r="Y159" s="194">
        <f t="array" ref="Y159:Y159">IFERROR(AE159+(AL159-_DFactor)*AE159,"")</f>
        <v/>
      </c>
      <c r="Z159" s="157">
        <f>IFERROR(AF159+(AI159-_DFactor)*AF159,"")</f>
        <v/>
      </c>
      <c r="AC159" s="194">
        <f>VLOOKUP(M159&amp;N159,Schedule!A:F,6,0)</f>
        <v/>
      </c>
      <c r="AD159" s="194">
        <f>VLOOKUP(M159&amp;P159,Schedule!A:F,6,0)</f>
        <v/>
      </c>
      <c r="AE159" s="156">
        <f>VLOOKUP(N159,ProjPVT!B:I,8,0)*_Mag/VLOOKUP(P159,Standings!A:O,15,0)*H159*K159</f>
        <v/>
      </c>
      <c r="AF159" s="156">
        <f>VLOOKUP(P159,ProjPVT!B:I,8,0)*_Mag/VLOOKUP(N159,Standings!A:O,15,0)*J159*I159</f>
        <v/>
      </c>
      <c r="AG159" s="195">
        <f>VLOOKUP(N159,Matrix!AA:AC,3,0)</f>
        <v/>
      </c>
      <c r="AH159" s="195">
        <f>SUMIFS(Def!C:C,Def!F:F,AG159)</f>
        <v/>
      </c>
      <c r="AI159" s="156">
        <f>IFERROR(SUMIFS(Def!B:B,Def!F:F,AG159)/AH159,"")</f>
        <v/>
      </c>
      <c r="AJ159" s="195">
        <f>VLOOKUP(P159,Matrix!AA:AC,3,0)</f>
        <v/>
      </c>
      <c r="AK159" s="195">
        <f>SUMIFS(Def!C:C,Def!F:F,AJ159)</f>
        <v/>
      </c>
      <c r="AL159" s="156">
        <f>IFERROR(SUMIFS(Def!B:B,Def!F:F,AJ159)/AK159,"")</f>
        <v/>
      </c>
    </row>
    <row r="160" ht="14.4" customHeight="1" s="152">
      <c r="A160" s="157">
        <f>IF(F160="Yes",IFERROR(IF(AA160&gt;1,AA160/100,100/-AA160),""),-1)</f>
        <v/>
      </c>
      <c r="B160" s="157">
        <f>B159+1</f>
        <v/>
      </c>
      <c r="C160" s="157">
        <f>IF(Y160&gt;Z160,1,0)</f>
        <v/>
      </c>
      <c r="D160" s="157">
        <f>IF(AND(C160=1,F160="Yes"),"Yes",IF(AND(C160=0,F160="No"),"Yes","No"))</f>
        <v/>
      </c>
      <c r="E160" s="192">
        <f>IF((AC160+AB160)=AD160,"Push",IF((AC160+AB160)&gt;AD160,"Yes","No"))</f>
        <v/>
      </c>
      <c r="F160" s="192">
        <f>IF(AC160&gt;AD160,"Yes","No")</f>
        <v/>
      </c>
      <c r="G160" s="192">
        <f>IF((Y160+AB160)&gt;Z160,"Yes",IF((Y160+AB160)=Z160,"Push","No"))</f>
        <v/>
      </c>
      <c r="H160" s="157">
        <f>IF(O160="Home",VLOOKUP(N160,Matrix!A:S,19,0),1)</f>
        <v/>
      </c>
      <c r="I160" s="157">
        <f>IF(O160="Away",VLOOKUP(N160,Matrix!A:Z,20,0),1)</f>
        <v/>
      </c>
      <c r="J160" s="157">
        <f>IF(O160="Away",VLOOKUP(P160,Matrix!A:S,19,0),1)</f>
        <v/>
      </c>
      <c r="K160" s="157">
        <f>IF(O160="Home",VLOOKUP(P160,Matrix!A:Z,20,0),1)</f>
        <v/>
      </c>
      <c r="L160" s="156" t="n">
        <v>-0.366728517685235</v>
      </c>
      <c r="M160" s="179">
        <f>Schedule!B160</f>
        <v/>
      </c>
      <c r="N160" s="156">
        <f>Schedule!E160</f>
        <v/>
      </c>
      <c r="O160" s="156" t="inlineStr">
        <is>
          <t>Away</t>
        </is>
      </c>
      <c r="P160" s="157">
        <f>Schedule!H160</f>
        <v/>
      </c>
      <c r="Q160" s="157">
        <f>Schedule!C160</f>
        <v/>
      </c>
      <c r="R160" s="180">
        <f>Schedule!D160</f>
        <v/>
      </c>
      <c r="S160" s="181">
        <f>Schedule!J160</f>
        <v/>
      </c>
      <c r="T160" s="193">
        <f>Y160-Z160</f>
        <v/>
      </c>
      <c r="U160" s="182">
        <f>T160/Picks!$K$2</f>
        <v/>
      </c>
      <c r="V160" s="193">
        <f>INDEX(Standings!$T$3:$T$34, MATCH(N160, Standings!$A$3:$A$34, 0)) - INDEX(Standings!$T$3:$T$34, MATCH(P160, Standings!$A$3:$A$34, 0))</f>
        <v/>
      </c>
      <c r="W160" s="157">
        <f>INDEX(Standings!$L$3:$L$34, MATCH(N160, Standings!$A$3:$A$34, 0)) - INDEX(Standings!$L$3:$L$34, MATCH(P160, Standings!$A$3:$A$34, 0))</f>
        <v/>
      </c>
      <c r="X160" s="157">
        <f>INDEX(Standings!$M$3:$M$34, MATCH(N160, Standings!$A$3:$A$34, 0)) - INDEX(Standings!$M$3:$M$34, MATCH(P160, Standings!$A$3:$A$34, 0))</f>
        <v/>
      </c>
      <c r="Y160" s="194">
        <f t="array" ref="Y160:Y160">IFERROR(AE160+(AL160-_DFactor)*AE160,"")</f>
        <v/>
      </c>
      <c r="Z160" s="157">
        <f>IFERROR(AF160+(AI160-_DFactor)*AF160,"")</f>
        <v/>
      </c>
      <c r="AC160" s="194">
        <f>VLOOKUP(M160&amp;N160,Schedule!A:F,6,0)</f>
        <v/>
      </c>
      <c r="AD160" s="194">
        <f>VLOOKUP(M160&amp;P160,Schedule!A:F,6,0)</f>
        <v/>
      </c>
      <c r="AE160" s="156">
        <f>VLOOKUP(N160,ProjPVT!B:I,8,0)*_Mag/VLOOKUP(P160,Standings!A:O,15,0)*H160*K160</f>
        <v/>
      </c>
      <c r="AF160" s="156">
        <f>VLOOKUP(P160,ProjPVT!B:I,8,0)*_Mag/VLOOKUP(N160,Standings!A:O,15,0)*J160*I160</f>
        <v/>
      </c>
      <c r="AG160" s="195">
        <f>VLOOKUP(N160,Matrix!AA:AC,3,0)</f>
        <v/>
      </c>
      <c r="AH160" s="195">
        <f>SUMIFS(Def!C:C,Def!F:F,AG160)</f>
        <v/>
      </c>
      <c r="AI160" s="156">
        <f>IFERROR(SUMIFS(Def!B:B,Def!F:F,AG160)/AH160,"")</f>
        <v/>
      </c>
      <c r="AJ160" s="195">
        <f>VLOOKUP(P160,Matrix!AA:AC,3,0)</f>
        <v/>
      </c>
      <c r="AK160" s="195">
        <f>SUMIFS(Def!C:C,Def!F:F,AJ160)</f>
        <v/>
      </c>
      <c r="AL160" s="156">
        <f>IFERROR(SUMIFS(Def!B:B,Def!F:F,AJ160)/AK160,"")</f>
        <v/>
      </c>
    </row>
    <row r="161" ht="14.4" customHeight="1" s="152">
      <c r="A161" s="157">
        <f>IF(F161="Yes",IFERROR(IF(AA161&gt;1,AA161/100,100/-AA161),""),-1)</f>
        <v/>
      </c>
      <c r="B161" s="157">
        <f>B160+1</f>
        <v/>
      </c>
      <c r="C161" s="157">
        <f>IF(Y161&gt;Z161,1,0)</f>
        <v/>
      </c>
      <c r="D161" s="157">
        <f>IF(AND(C161=1,F161="Yes"),"Yes",IF(AND(C161=0,F161="No"),"Yes","No"))</f>
        <v/>
      </c>
      <c r="E161" s="192">
        <f>IF((AC161+AB161)=AD161,"Push",IF((AC161+AB161)&gt;AD161,"Yes","No"))</f>
        <v/>
      </c>
      <c r="F161" s="192">
        <f>IF(AC161&gt;AD161,"Yes","No")</f>
        <v/>
      </c>
      <c r="G161" s="192">
        <f>IF((Y161+AB161)&gt;Z161,"Yes",IF((Y161+AB161)=Z161,"Push","No"))</f>
        <v/>
      </c>
      <c r="H161" s="157">
        <f>IF(O161="Home",VLOOKUP(N161,Matrix!A:S,19,0),1)</f>
        <v/>
      </c>
      <c r="I161" s="157">
        <f>IF(O161="Away",VLOOKUP(N161,Matrix!A:Z,20,0),1)</f>
        <v/>
      </c>
      <c r="J161" s="157">
        <f>IF(O161="Away",VLOOKUP(P161,Matrix!A:S,19,0),1)</f>
        <v/>
      </c>
      <c r="K161" s="157">
        <f>IF(O161="Home",VLOOKUP(P161,Matrix!A:Z,20,0),1)</f>
        <v/>
      </c>
      <c r="L161" s="156" t="n">
        <v>-0.344061983252906</v>
      </c>
      <c r="M161" s="179">
        <f>Schedule!B161</f>
        <v/>
      </c>
      <c r="N161" s="156">
        <f>Schedule!E161</f>
        <v/>
      </c>
      <c r="O161" s="156" t="inlineStr">
        <is>
          <t>Home</t>
        </is>
      </c>
      <c r="P161" s="157">
        <f>Schedule!H161</f>
        <v/>
      </c>
      <c r="Q161" s="157">
        <f>Schedule!C161</f>
        <v/>
      </c>
      <c r="R161" s="180">
        <f>Schedule!D161</f>
        <v/>
      </c>
      <c r="S161" s="181">
        <f>Schedule!J161</f>
        <v/>
      </c>
      <c r="T161" s="193">
        <f>Y161-Z161</f>
        <v/>
      </c>
      <c r="U161" s="182">
        <f>T161/Picks!$K$2</f>
        <v/>
      </c>
      <c r="V161" s="193">
        <f>INDEX(Standings!$T$3:$T$34, MATCH(N161, Standings!$A$3:$A$34, 0)) - INDEX(Standings!$T$3:$T$34, MATCH(P161, Standings!$A$3:$A$34, 0))</f>
        <v/>
      </c>
      <c r="W161" s="157">
        <f>INDEX(Standings!$L$3:$L$34, MATCH(N161, Standings!$A$3:$A$34, 0)) - INDEX(Standings!$L$3:$L$34, MATCH(P161, Standings!$A$3:$A$34, 0))</f>
        <v/>
      </c>
      <c r="X161" s="157">
        <f>INDEX(Standings!$M$3:$M$34, MATCH(N161, Standings!$A$3:$A$34, 0)) - INDEX(Standings!$M$3:$M$34, MATCH(P161, Standings!$A$3:$A$34, 0))</f>
        <v/>
      </c>
      <c r="Y161" s="194">
        <f t="array" ref="Y161:Y161">IFERROR(AE161+(AL161-_DFactor)*AE161,"")</f>
        <v/>
      </c>
      <c r="Z161" s="157">
        <f>IFERROR(AF161+(AI161-_DFactor)*AF161,"")</f>
        <v/>
      </c>
      <c r="AC161" s="194">
        <f>VLOOKUP(M161&amp;N161,Schedule!A:F,6,0)</f>
        <v/>
      </c>
      <c r="AD161" s="194">
        <f>VLOOKUP(M161&amp;P161,Schedule!A:F,6,0)</f>
        <v/>
      </c>
      <c r="AE161" s="156">
        <f>VLOOKUP(N161,ProjPVT!B:I,8,0)*_Mag/VLOOKUP(P161,Standings!A:O,15,0)*H161*K161</f>
        <v/>
      </c>
      <c r="AF161" s="156">
        <f>VLOOKUP(P161,ProjPVT!B:I,8,0)*_Mag/VLOOKUP(N161,Standings!A:O,15,0)*J161*I161</f>
        <v/>
      </c>
      <c r="AG161" s="195">
        <f>VLOOKUP(N161,Matrix!AA:AC,3,0)</f>
        <v/>
      </c>
      <c r="AH161" s="195">
        <f>SUMIFS(Def!C:C,Def!F:F,AG161)</f>
        <v/>
      </c>
      <c r="AI161" s="156">
        <f>IFERROR(SUMIFS(Def!B:B,Def!F:F,AG161)/AH161,"")</f>
        <v/>
      </c>
      <c r="AJ161" s="195">
        <f>VLOOKUP(P161,Matrix!AA:AC,3,0)</f>
        <v/>
      </c>
      <c r="AK161" s="195">
        <f>SUMIFS(Def!C:C,Def!F:F,AJ161)</f>
        <v/>
      </c>
      <c r="AL161" s="156">
        <f>IFERROR(SUMIFS(Def!B:B,Def!F:F,AJ161)/AK161,"")</f>
        <v/>
      </c>
    </row>
    <row r="162" ht="14.4" customHeight="1" s="152">
      <c r="A162" s="157">
        <f>IF(F162="Yes",IFERROR(IF(AA162&gt;1,AA162/100,100/-AA162),""),-1)</f>
        <v/>
      </c>
      <c r="B162" s="157">
        <f>B161+1</f>
        <v/>
      </c>
      <c r="C162" s="157">
        <f>IF(Y162&gt;Z162,1,0)</f>
        <v/>
      </c>
      <c r="D162" s="157">
        <f>IF(AND(C162=1,F162="Yes"),"Yes",IF(AND(C162=0,F162="No"),"Yes","No"))</f>
        <v/>
      </c>
      <c r="E162" s="192">
        <f>IF((AC162+AB162)=AD162,"Push",IF((AC162+AB162)&gt;AD162,"Yes","No"))</f>
        <v/>
      </c>
      <c r="F162" s="192">
        <f>IF(AC162&gt;AD162,"Yes","No")</f>
        <v/>
      </c>
      <c r="G162" s="192">
        <f>IF((Y162+AB162)&gt;Z162,"Yes",IF((Y162+AB162)=Z162,"Push","No"))</f>
        <v/>
      </c>
      <c r="H162" s="157">
        <f>IF(O162="Home",VLOOKUP(N162,Matrix!A:S,19,0),1)</f>
        <v/>
      </c>
      <c r="I162" s="157">
        <f>IF(O162="Away",VLOOKUP(N162,Matrix!A:Z,20,0),1)</f>
        <v/>
      </c>
      <c r="J162" s="157">
        <f>IF(O162="Away",VLOOKUP(P162,Matrix!A:S,19,0),1)</f>
        <v/>
      </c>
      <c r="K162" s="157">
        <f>IF(O162="Home",VLOOKUP(P162,Matrix!A:Z,20,0),1)</f>
        <v/>
      </c>
      <c r="L162" s="156" t="n">
        <v>-0.310577466868289</v>
      </c>
      <c r="M162" s="179">
        <f>Schedule!B162</f>
        <v/>
      </c>
      <c r="N162" s="156">
        <f>Schedule!E162</f>
        <v/>
      </c>
      <c r="O162" s="156" t="inlineStr">
        <is>
          <t>Away</t>
        </is>
      </c>
      <c r="P162" s="157">
        <f>Schedule!H162</f>
        <v/>
      </c>
      <c r="Q162" s="157">
        <f>Schedule!C162</f>
        <v/>
      </c>
      <c r="R162" s="180">
        <f>Schedule!D162</f>
        <v/>
      </c>
      <c r="S162" s="181">
        <f>Schedule!J162</f>
        <v/>
      </c>
      <c r="T162" s="193">
        <f>Y162-Z162</f>
        <v/>
      </c>
      <c r="U162" s="182">
        <f>T162/Picks!$K$2</f>
        <v/>
      </c>
      <c r="V162" s="193">
        <f>INDEX(Standings!$T$3:$T$34, MATCH(N162, Standings!$A$3:$A$34, 0)) - INDEX(Standings!$T$3:$T$34, MATCH(P162, Standings!$A$3:$A$34, 0))</f>
        <v/>
      </c>
      <c r="W162" s="157">
        <f>INDEX(Standings!$L$3:$L$34, MATCH(N162, Standings!$A$3:$A$34, 0)) - INDEX(Standings!$L$3:$L$34, MATCH(P162, Standings!$A$3:$A$34, 0))</f>
        <v/>
      </c>
      <c r="X162" s="157">
        <f>INDEX(Standings!$M$3:$M$34, MATCH(N162, Standings!$A$3:$A$34, 0)) - INDEX(Standings!$M$3:$M$34, MATCH(P162, Standings!$A$3:$A$34, 0))</f>
        <v/>
      </c>
      <c r="Y162" s="194">
        <f t="array" ref="Y162:Y162">IFERROR(AE162+(AL162-_DFactor)*AE162,"")</f>
        <v/>
      </c>
      <c r="Z162" s="157">
        <f>IFERROR(AF162+(AI162-_DFactor)*AF162,"")</f>
        <v/>
      </c>
      <c r="AC162" s="194">
        <f>VLOOKUP(M162&amp;N162,Schedule!A:F,6,0)</f>
        <v/>
      </c>
      <c r="AD162" s="194">
        <f>VLOOKUP(M162&amp;P162,Schedule!A:F,6,0)</f>
        <v/>
      </c>
      <c r="AE162" s="156">
        <f>VLOOKUP(N162,ProjPVT!B:I,8,0)*_Mag/VLOOKUP(P162,Standings!A:O,15,0)*H162*K162</f>
        <v/>
      </c>
      <c r="AF162" s="156">
        <f>VLOOKUP(P162,ProjPVT!B:I,8,0)*_Mag/VLOOKUP(N162,Standings!A:O,15,0)*J162*I162</f>
        <v/>
      </c>
      <c r="AG162" s="195">
        <f>VLOOKUP(N162,Matrix!AA:AC,3,0)</f>
        <v/>
      </c>
      <c r="AH162" s="195">
        <f>SUMIFS(Def!C:C,Def!F:F,AG162)</f>
        <v/>
      </c>
      <c r="AI162" s="156">
        <f>IFERROR(SUMIFS(Def!B:B,Def!F:F,AG162)/AH162,"")</f>
        <v/>
      </c>
      <c r="AJ162" s="195">
        <f>VLOOKUP(P162,Matrix!AA:AC,3,0)</f>
        <v/>
      </c>
      <c r="AK162" s="195">
        <f>SUMIFS(Def!C:C,Def!F:F,AJ162)</f>
        <v/>
      </c>
      <c r="AL162" s="156">
        <f>IFERROR(SUMIFS(Def!B:B,Def!F:F,AJ162)/AK162,"")</f>
        <v/>
      </c>
    </row>
    <row r="163" ht="14.4" customHeight="1" s="152">
      <c r="A163" s="157">
        <f>IF(F163="Yes",IFERROR(IF(AA163&gt;1,AA163/100,100/-AA163),""),-1)</f>
        <v/>
      </c>
      <c r="B163" s="157">
        <f>B162+1</f>
        <v/>
      </c>
      <c r="C163" s="157">
        <f>IF(Y163&gt;Z163,1,0)</f>
        <v/>
      </c>
      <c r="D163" s="157">
        <f>IF(AND(C163=1,F163="Yes"),"Yes",IF(AND(C163=0,F163="No"),"Yes","No"))</f>
        <v/>
      </c>
      <c r="E163" s="192">
        <f>IF((AC163+AB163)=AD163,"Push",IF((AC163+AB163)&gt;AD163,"Yes","No"))</f>
        <v/>
      </c>
      <c r="F163" s="192">
        <f>IF(AC163&gt;AD163,"Yes","No")</f>
        <v/>
      </c>
      <c r="G163" s="192">
        <f>IF((Y163+AB163)&gt;Z163,"Yes",IF((Y163+AB163)=Z163,"Push","No"))</f>
        <v/>
      </c>
      <c r="H163" s="157">
        <f>IF(O163="Home",VLOOKUP(N163,Matrix!A:S,19,0),1)</f>
        <v/>
      </c>
      <c r="I163" s="157">
        <f>IF(O163="Away",VLOOKUP(N163,Matrix!A:Z,20,0),1)</f>
        <v/>
      </c>
      <c r="J163" s="157">
        <f>IF(O163="Away",VLOOKUP(P163,Matrix!A:S,19,0),1)</f>
        <v/>
      </c>
      <c r="K163" s="157">
        <f>IF(O163="Home",VLOOKUP(P163,Matrix!A:Z,20,0),1)</f>
        <v/>
      </c>
      <c r="L163" s="156" t="n">
        <v>-0.288028792737513</v>
      </c>
      <c r="M163" s="179">
        <f>Schedule!B163</f>
        <v/>
      </c>
      <c r="N163" s="156">
        <f>Schedule!E163</f>
        <v/>
      </c>
      <c r="O163" s="156" t="inlineStr">
        <is>
          <t>Home</t>
        </is>
      </c>
      <c r="P163" s="157">
        <f>Schedule!H163</f>
        <v/>
      </c>
      <c r="Q163" s="157">
        <f>Schedule!C163</f>
        <v/>
      </c>
      <c r="R163" s="180">
        <f>Schedule!D163</f>
        <v/>
      </c>
      <c r="S163" s="181">
        <f>Schedule!J163</f>
        <v/>
      </c>
      <c r="T163" s="193">
        <f>Y163-Z163</f>
        <v/>
      </c>
      <c r="U163" s="182">
        <f>T163/Picks!$K$2</f>
        <v/>
      </c>
      <c r="V163" s="193">
        <f>INDEX(Standings!$T$3:$T$34, MATCH(N163, Standings!$A$3:$A$34, 0)) - INDEX(Standings!$T$3:$T$34, MATCH(P163, Standings!$A$3:$A$34, 0))</f>
        <v/>
      </c>
      <c r="W163" s="157">
        <f>INDEX(Standings!$L$3:$L$34, MATCH(N163, Standings!$A$3:$A$34, 0)) - INDEX(Standings!$L$3:$L$34, MATCH(P163, Standings!$A$3:$A$34, 0))</f>
        <v/>
      </c>
      <c r="X163" s="157">
        <f>INDEX(Standings!$M$3:$M$34, MATCH(N163, Standings!$A$3:$A$34, 0)) - INDEX(Standings!$M$3:$M$34, MATCH(P163, Standings!$A$3:$A$34, 0))</f>
        <v/>
      </c>
      <c r="Y163" s="194">
        <f t="array" ref="Y163:Y163">IFERROR(AE163+(AL163-_DFactor)*AE163,"")</f>
        <v/>
      </c>
      <c r="Z163" s="157">
        <f>IFERROR(AF163+(AI163-_DFactor)*AF163,"")</f>
        <v/>
      </c>
      <c r="AC163" s="194">
        <f>VLOOKUP(M163&amp;N163,Schedule!A:F,6,0)</f>
        <v/>
      </c>
      <c r="AD163" s="194">
        <f>VLOOKUP(M163&amp;P163,Schedule!A:F,6,0)</f>
        <v/>
      </c>
      <c r="AE163" s="156">
        <f>VLOOKUP(N163,ProjPVT!B:I,8,0)*_Mag/VLOOKUP(P163,Standings!A:O,15,0)*H163*K163</f>
        <v/>
      </c>
      <c r="AF163" s="156">
        <f>VLOOKUP(P163,ProjPVT!B:I,8,0)*_Mag/VLOOKUP(N163,Standings!A:O,15,0)*J163*I163</f>
        <v/>
      </c>
      <c r="AG163" s="195">
        <f>VLOOKUP(N163,Matrix!AA:AC,3,0)</f>
        <v/>
      </c>
      <c r="AH163" s="195">
        <f>SUMIFS(Def!C:C,Def!F:F,AG163)</f>
        <v/>
      </c>
      <c r="AI163" s="156">
        <f>IFERROR(SUMIFS(Def!B:B,Def!F:F,AG163)/AH163,"")</f>
        <v/>
      </c>
      <c r="AJ163" s="195">
        <f>VLOOKUP(P163,Matrix!AA:AC,3,0)</f>
        <v/>
      </c>
      <c r="AK163" s="195">
        <f>SUMIFS(Def!C:C,Def!F:F,AJ163)</f>
        <v/>
      </c>
      <c r="AL163" s="156">
        <f>IFERROR(SUMIFS(Def!B:B,Def!F:F,AJ163)/AK163,"")</f>
        <v/>
      </c>
    </row>
    <row r="164" ht="14.4" customHeight="1" s="152">
      <c r="A164" s="157">
        <f>IF(F164="Yes",IFERROR(IF(AA164&gt;1,AA164/100,100/-AA164),""),-1)</f>
        <v/>
      </c>
      <c r="B164" s="157">
        <f>B163+1</f>
        <v/>
      </c>
      <c r="C164" s="157">
        <f>IF(Y164&gt;Z164,1,0)</f>
        <v/>
      </c>
      <c r="D164" s="157">
        <f>IF(AND(C164=1,F164="Yes"),"Yes",IF(AND(C164=0,F164="No"),"Yes","No"))</f>
        <v/>
      </c>
      <c r="E164" s="192">
        <f>IF((AC164+AB164)=AD164,"Push",IF((AC164+AB164)&gt;AD164,"Yes","No"))</f>
        <v/>
      </c>
      <c r="F164" s="192">
        <f>IF(AC164&gt;AD164,"Yes","No")</f>
        <v/>
      </c>
      <c r="G164" s="192">
        <f>IF((Y164+AB164)&gt;Z164,"Yes",IF((Y164+AB164)=Z164,"Push","No"))</f>
        <v/>
      </c>
      <c r="H164" s="157">
        <f>IF(O164="Home",VLOOKUP(N164,Matrix!A:S,19,0),1)</f>
        <v/>
      </c>
      <c r="I164" s="157">
        <f>IF(O164="Away",VLOOKUP(N164,Matrix!A:Z,20,0),1)</f>
        <v/>
      </c>
      <c r="J164" s="157">
        <f>IF(O164="Away",VLOOKUP(P164,Matrix!A:S,19,0),1)</f>
        <v/>
      </c>
      <c r="K164" s="157">
        <f>IF(O164="Home",VLOOKUP(P164,Matrix!A:Z,20,0),1)</f>
        <v/>
      </c>
      <c r="L164" s="156" t="n">
        <v>-0.222214057050226</v>
      </c>
      <c r="M164" s="179">
        <f>Schedule!B164</f>
        <v/>
      </c>
      <c r="N164" s="156">
        <f>Schedule!E164</f>
        <v/>
      </c>
      <c r="O164" s="156" t="inlineStr">
        <is>
          <t>Away</t>
        </is>
      </c>
      <c r="P164" s="157">
        <f>Schedule!H164</f>
        <v/>
      </c>
      <c r="Q164" s="157">
        <f>Schedule!C164</f>
        <v/>
      </c>
      <c r="R164" s="180">
        <f>Schedule!D164</f>
        <v/>
      </c>
      <c r="S164" s="181">
        <f>Schedule!J164</f>
        <v/>
      </c>
      <c r="T164" s="193">
        <f>Y164-Z164</f>
        <v/>
      </c>
      <c r="U164" s="182">
        <f>T164/Picks!$K$2</f>
        <v/>
      </c>
      <c r="V164" s="193">
        <f>INDEX(Standings!$T$3:$T$34, MATCH(N164, Standings!$A$3:$A$34, 0)) - INDEX(Standings!$T$3:$T$34, MATCH(P164, Standings!$A$3:$A$34, 0))</f>
        <v/>
      </c>
      <c r="W164" s="157">
        <f>INDEX(Standings!$L$3:$L$34, MATCH(N164, Standings!$A$3:$A$34, 0)) - INDEX(Standings!$L$3:$L$34, MATCH(P164, Standings!$A$3:$A$34, 0))</f>
        <v/>
      </c>
      <c r="X164" s="157">
        <f>INDEX(Standings!$M$3:$M$34, MATCH(N164, Standings!$A$3:$A$34, 0)) - INDEX(Standings!$M$3:$M$34, MATCH(P164, Standings!$A$3:$A$34, 0))</f>
        <v/>
      </c>
      <c r="Y164" s="194">
        <f t="array" ref="Y164:Y164">IFERROR(AE164+(AL164-_DFactor)*AE164,"")</f>
        <v/>
      </c>
      <c r="Z164" s="157">
        <f>IFERROR(AF164+(AI164-_DFactor)*AF164,"")</f>
        <v/>
      </c>
      <c r="AC164" s="194">
        <f>VLOOKUP(M164&amp;N164,Schedule!A:F,6,0)</f>
        <v/>
      </c>
      <c r="AD164" s="194">
        <f>VLOOKUP(M164&amp;P164,Schedule!A:F,6,0)</f>
        <v/>
      </c>
      <c r="AE164" s="156">
        <f>VLOOKUP(N164,ProjPVT!B:I,8,0)*_Mag/VLOOKUP(P164,Standings!A:O,15,0)*H164*K164</f>
        <v/>
      </c>
      <c r="AF164" s="156">
        <f>VLOOKUP(P164,ProjPVT!B:I,8,0)*_Mag/VLOOKUP(N164,Standings!A:O,15,0)*J164*I164</f>
        <v/>
      </c>
      <c r="AG164" s="195">
        <f>VLOOKUP(N164,Matrix!AA:AC,3,0)</f>
        <v/>
      </c>
      <c r="AH164" s="195">
        <f>SUMIFS(Def!C:C,Def!F:F,AG164)</f>
        <v/>
      </c>
      <c r="AI164" s="156">
        <f>IFERROR(SUMIFS(Def!B:B,Def!F:F,AG164)/AH164,"")</f>
        <v/>
      </c>
      <c r="AJ164" s="195">
        <f>VLOOKUP(P164,Matrix!AA:AC,3,0)</f>
        <v/>
      </c>
      <c r="AK164" s="195">
        <f>SUMIFS(Def!C:C,Def!F:F,AJ164)</f>
        <v/>
      </c>
      <c r="AL164" s="156">
        <f>IFERROR(SUMIFS(Def!B:B,Def!F:F,AJ164)/AK164,"")</f>
        <v/>
      </c>
    </row>
    <row r="165" ht="14.4" customHeight="1" s="152">
      <c r="A165" s="157">
        <f>IF(F165="Yes",IFERROR(IF(AA165&gt;1,AA165/100,100/-AA165),""),-1)</f>
        <v/>
      </c>
      <c r="B165" s="157">
        <f>B164+1</f>
        <v/>
      </c>
      <c r="C165" s="157">
        <f>IF(Y165&gt;Z165,1,0)</f>
        <v/>
      </c>
      <c r="D165" s="157">
        <f>IF(AND(C165=1,F165="Yes"),"Yes",IF(AND(C165=0,F165="No"),"Yes","No"))</f>
        <v/>
      </c>
      <c r="E165" s="192">
        <f>IF((AC165+AB165)=AD165,"Push",IF((AC165+AB165)&gt;AD165,"Yes","No"))</f>
        <v/>
      </c>
      <c r="F165" s="192">
        <f>IF(AC165&gt;AD165,"Yes","No")</f>
        <v/>
      </c>
      <c r="G165" s="192">
        <f>IF((Y165+AB165)&gt;Z165,"Yes",IF((Y165+AB165)=Z165,"Push","No"))</f>
        <v/>
      </c>
      <c r="H165" s="157">
        <f>IF(O165="Home",VLOOKUP(N165,Matrix!A:S,19,0),1)</f>
        <v/>
      </c>
      <c r="I165" s="157">
        <f>IF(O165="Away",VLOOKUP(N165,Matrix!A:Z,20,0),1)</f>
        <v/>
      </c>
      <c r="J165" s="157">
        <f>IF(O165="Away",VLOOKUP(P165,Matrix!A:S,19,0),1)</f>
        <v/>
      </c>
      <c r="K165" s="157">
        <f>IF(O165="Home",VLOOKUP(P165,Matrix!A:Z,20,0),1)</f>
        <v/>
      </c>
      <c r="L165" s="156" t="n">
        <v>-0.118982297833481</v>
      </c>
      <c r="M165" s="179">
        <f>Schedule!B165</f>
        <v/>
      </c>
      <c r="N165" s="156">
        <f>Schedule!E165</f>
        <v/>
      </c>
      <c r="O165" s="156" t="inlineStr">
        <is>
          <t>Home</t>
        </is>
      </c>
      <c r="P165" s="157">
        <f>Schedule!H165</f>
        <v/>
      </c>
      <c r="Q165" s="157">
        <f>Schedule!C165</f>
        <v/>
      </c>
      <c r="R165" s="180">
        <f>Schedule!D165</f>
        <v/>
      </c>
      <c r="S165" s="181">
        <f>Schedule!J165</f>
        <v/>
      </c>
      <c r="T165" s="193">
        <f>Y165-Z165</f>
        <v/>
      </c>
      <c r="U165" s="182">
        <f>T165/Picks!$K$2</f>
        <v/>
      </c>
      <c r="V165" s="193">
        <f>INDEX(Standings!$T$3:$T$34, MATCH(N165, Standings!$A$3:$A$34, 0)) - INDEX(Standings!$T$3:$T$34, MATCH(P165, Standings!$A$3:$A$34, 0))</f>
        <v/>
      </c>
      <c r="W165" s="157">
        <f>INDEX(Standings!$L$3:$L$34, MATCH(N165, Standings!$A$3:$A$34, 0)) - INDEX(Standings!$L$3:$L$34, MATCH(P165, Standings!$A$3:$A$34, 0))</f>
        <v/>
      </c>
      <c r="X165" s="157">
        <f>INDEX(Standings!$M$3:$M$34, MATCH(N165, Standings!$A$3:$A$34, 0)) - INDEX(Standings!$M$3:$M$34, MATCH(P165, Standings!$A$3:$A$34, 0))</f>
        <v/>
      </c>
      <c r="Y165" s="194">
        <f t="array" ref="Y165:Y165">IFERROR(AE165+(AL165-_DFactor)*AE165,"")</f>
        <v/>
      </c>
      <c r="Z165" s="157">
        <f>IFERROR(AF165+(AI165-_DFactor)*AF165,"")</f>
        <v/>
      </c>
      <c r="AC165" s="194">
        <f>VLOOKUP(M165&amp;N165,Schedule!A:F,6,0)</f>
        <v/>
      </c>
      <c r="AD165" s="194">
        <f>VLOOKUP(M165&amp;P165,Schedule!A:F,6,0)</f>
        <v/>
      </c>
      <c r="AE165" s="156">
        <f>VLOOKUP(N165,ProjPVT!B:I,8,0)*_Mag/VLOOKUP(P165,Standings!A:O,15,0)*H165*K165</f>
        <v/>
      </c>
      <c r="AF165" s="156">
        <f>VLOOKUP(P165,ProjPVT!B:I,8,0)*_Mag/VLOOKUP(N165,Standings!A:O,15,0)*J165*I165</f>
        <v/>
      </c>
      <c r="AG165" s="195">
        <f>VLOOKUP(N165,Matrix!AA:AC,3,0)</f>
        <v/>
      </c>
      <c r="AH165" s="195">
        <f>SUMIFS(Def!C:C,Def!F:F,AG165)</f>
        <v/>
      </c>
      <c r="AI165" s="156">
        <f>IFERROR(SUMIFS(Def!B:B,Def!F:F,AG165)/AH165,"")</f>
        <v/>
      </c>
      <c r="AJ165" s="195">
        <f>VLOOKUP(P165,Matrix!AA:AC,3,0)</f>
        <v/>
      </c>
      <c r="AK165" s="195">
        <f>SUMIFS(Def!C:C,Def!F:F,AJ165)</f>
        <v/>
      </c>
      <c r="AL165" s="156">
        <f>IFERROR(SUMIFS(Def!B:B,Def!F:F,AJ165)/AK165,"")</f>
        <v/>
      </c>
    </row>
    <row r="166" ht="14.4" customHeight="1" s="152">
      <c r="A166" s="157">
        <f>IF(F166="Yes",IFERROR(IF(AA166&gt;1,AA166/100,100/-AA166),""),-1)</f>
        <v/>
      </c>
      <c r="B166" s="157">
        <f>B165+1</f>
        <v/>
      </c>
      <c r="C166" s="157">
        <f>IF(Y166&gt;Z166,1,0)</f>
        <v/>
      </c>
      <c r="D166" s="157">
        <f>IF(AND(C166=1,F166="Yes"),"Yes",IF(AND(C166=0,F166="No"),"Yes","No"))</f>
        <v/>
      </c>
      <c r="E166" s="192">
        <f>IF((AC166+AB166)=AD166,"Push",IF((AC166+AB166)&gt;AD166,"Yes","No"))</f>
        <v/>
      </c>
      <c r="F166" s="192">
        <f>IF(AC166&gt;AD166,"Yes","No")</f>
        <v/>
      </c>
      <c r="G166" s="192">
        <f>IF((Y166+AB166)&gt;Z166,"Yes",IF((Y166+AB166)=Z166,"Push","No"))</f>
        <v/>
      </c>
      <c r="H166" s="157">
        <f>IF(O166="Home",VLOOKUP(N166,Matrix!A:S,19,0),1)</f>
        <v/>
      </c>
      <c r="I166" s="157">
        <f>IF(O166="Away",VLOOKUP(N166,Matrix!A:Z,20,0),1)</f>
        <v/>
      </c>
      <c r="J166" s="157">
        <f>IF(O166="Away",VLOOKUP(P166,Matrix!A:S,19,0),1)</f>
        <v/>
      </c>
      <c r="K166" s="157">
        <f>IF(O166="Home",VLOOKUP(P166,Matrix!A:Z,20,0),1)</f>
        <v/>
      </c>
      <c r="L166" s="156" t="n">
        <v>-0.116194300002148</v>
      </c>
      <c r="M166" s="179">
        <f>Schedule!B166</f>
        <v/>
      </c>
      <c r="N166" s="156">
        <f>Schedule!E166</f>
        <v/>
      </c>
      <c r="O166" s="156" t="inlineStr">
        <is>
          <t>Away</t>
        </is>
      </c>
      <c r="P166" s="157">
        <f>Schedule!H166</f>
        <v/>
      </c>
      <c r="Q166" s="157">
        <f>Schedule!C166</f>
        <v/>
      </c>
      <c r="R166" s="180">
        <f>Schedule!D166</f>
        <v/>
      </c>
      <c r="S166" s="181">
        <f>Schedule!J166</f>
        <v/>
      </c>
      <c r="T166" s="193">
        <f>Y166-Z166</f>
        <v/>
      </c>
      <c r="U166" s="182">
        <f>T166/Picks!$K$2</f>
        <v/>
      </c>
      <c r="V166" s="193">
        <f>INDEX(Standings!$T$3:$T$34, MATCH(N166, Standings!$A$3:$A$34, 0)) - INDEX(Standings!$T$3:$T$34, MATCH(P166, Standings!$A$3:$A$34, 0))</f>
        <v/>
      </c>
      <c r="W166" s="157">
        <f>INDEX(Standings!$L$3:$L$34, MATCH(N166, Standings!$A$3:$A$34, 0)) - INDEX(Standings!$L$3:$L$34, MATCH(P166, Standings!$A$3:$A$34, 0))</f>
        <v/>
      </c>
      <c r="X166" s="157">
        <f>INDEX(Standings!$M$3:$M$34, MATCH(N166, Standings!$A$3:$A$34, 0)) - INDEX(Standings!$M$3:$M$34, MATCH(P166, Standings!$A$3:$A$34, 0))</f>
        <v/>
      </c>
      <c r="Y166" s="194">
        <f t="array" ref="Y166:Y166">IFERROR(AE166+(AL166-_DFactor)*AE166,"")</f>
        <v/>
      </c>
      <c r="Z166" s="157">
        <f>IFERROR(AF166+(AI166-_DFactor)*AF166,"")</f>
        <v/>
      </c>
      <c r="AC166" s="194">
        <f>VLOOKUP(M166&amp;N166,Schedule!A:F,6,0)</f>
        <v/>
      </c>
      <c r="AD166" s="194">
        <f>VLOOKUP(M166&amp;P166,Schedule!A:F,6,0)</f>
        <v/>
      </c>
      <c r="AE166" s="156">
        <f>VLOOKUP(N166,ProjPVT!B:I,8,0)*_Mag/VLOOKUP(P166,Standings!A:O,15,0)*H166*K166</f>
        <v/>
      </c>
      <c r="AF166" s="156">
        <f>VLOOKUP(P166,ProjPVT!B:I,8,0)*_Mag/VLOOKUP(N166,Standings!A:O,15,0)*J166*I166</f>
        <v/>
      </c>
      <c r="AG166" s="195">
        <f>VLOOKUP(N166,Matrix!AA:AC,3,0)</f>
        <v/>
      </c>
      <c r="AH166" s="195">
        <f>SUMIFS(Def!C:C,Def!F:F,AG166)</f>
        <v/>
      </c>
      <c r="AI166" s="156">
        <f>IFERROR(SUMIFS(Def!B:B,Def!F:F,AG166)/AH166,"")</f>
        <v/>
      </c>
      <c r="AJ166" s="195">
        <f>VLOOKUP(P166,Matrix!AA:AC,3,0)</f>
        <v/>
      </c>
      <c r="AK166" s="195">
        <f>SUMIFS(Def!C:C,Def!F:F,AJ166)</f>
        <v/>
      </c>
      <c r="AL166" s="156">
        <f>IFERROR(SUMIFS(Def!B:B,Def!F:F,AJ166)/AK166,"")</f>
        <v/>
      </c>
    </row>
    <row r="167" ht="14.4" customHeight="1" s="152">
      <c r="A167" s="157">
        <f>IF(F167="Yes",IFERROR(IF(AA167&gt;1,AA167/100,100/-AA167),""),-1)</f>
        <v/>
      </c>
      <c r="B167" s="157">
        <f>B166+1</f>
        <v/>
      </c>
      <c r="C167" s="157">
        <f>IF(Y167&gt;Z167,1,0)</f>
        <v/>
      </c>
      <c r="D167" s="157">
        <f>IF(AND(C167=1,F167="Yes"),"Yes",IF(AND(C167=0,F167="No"),"Yes","No"))</f>
        <v/>
      </c>
      <c r="E167" s="192">
        <f>IF((AC167+AB167)=AD167,"Push",IF((AC167+AB167)&gt;AD167,"Yes","No"))</f>
        <v/>
      </c>
      <c r="F167" s="192">
        <f>IF(AC167&gt;AD167,"Yes","No")</f>
        <v/>
      </c>
      <c r="G167" s="192">
        <f>IF((Y167+AB167)&gt;Z167,"Yes",IF((Y167+AB167)=Z167,"Push","No"))</f>
        <v/>
      </c>
      <c r="H167" s="157">
        <f>IF(O167="Home",VLOOKUP(N167,Matrix!A:S,19,0),1)</f>
        <v/>
      </c>
      <c r="I167" s="157">
        <f>IF(O167="Away",VLOOKUP(N167,Matrix!A:Z,20,0),1)</f>
        <v/>
      </c>
      <c r="J167" s="157">
        <f>IF(O167="Away",VLOOKUP(P167,Matrix!A:S,19,0),1)</f>
        <v/>
      </c>
      <c r="K167" s="157">
        <f>IF(O167="Home",VLOOKUP(P167,Matrix!A:Z,20,0),1)</f>
        <v/>
      </c>
      <c r="L167" s="156" t="n">
        <v>-0.112255855784345</v>
      </c>
      <c r="M167" s="179">
        <f>Schedule!B167</f>
        <v/>
      </c>
      <c r="N167" s="156">
        <f>Schedule!E167</f>
        <v/>
      </c>
      <c r="O167" s="156" t="inlineStr">
        <is>
          <t>Home</t>
        </is>
      </c>
      <c r="P167" s="157">
        <f>Schedule!H167</f>
        <v/>
      </c>
      <c r="Q167" s="157">
        <f>Schedule!C167</f>
        <v/>
      </c>
      <c r="R167" s="180">
        <f>Schedule!D167</f>
        <v/>
      </c>
      <c r="S167" s="181">
        <f>Schedule!J167</f>
        <v/>
      </c>
      <c r="T167" s="193">
        <f>Y167-Z167</f>
        <v/>
      </c>
      <c r="U167" s="182">
        <f>T167/Picks!$K$2</f>
        <v/>
      </c>
      <c r="V167" s="193">
        <f>INDEX(Standings!$T$3:$T$34, MATCH(N167, Standings!$A$3:$A$34, 0)) - INDEX(Standings!$T$3:$T$34, MATCH(P167, Standings!$A$3:$A$34, 0))</f>
        <v/>
      </c>
      <c r="W167" s="157">
        <f>INDEX(Standings!$L$3:$L$34, MATCH(N167, Standings!$A$3:$A$34, 0)) - INDEX(Standings!$L$3:$L$34, MATCH(P167, Standings!$A$3:$A$34, 0))</f>
        <v/>
      </c>
      <c r="X167" s="157">
        <f>INDEX(Standings!$M$3:$M$34, MATCH(N167, Standings!$A$3:$A$34, 0)) - INDEX(Standings!$M$3:$M$34, MATCH(P167, Standings!$A$3:$A$34, 0))</f>
        <v/>
      </c>
      <c r="Y167" s="194">
        <f t="array" ref="Y167:Y167">IFERROR(AE167+(AL167-_DFactor)*AE167,"")</f>
        <v/>
      </c>
      <c r="Z167" s="157">
        <f>IFERROR(AF167+(AI167-_DFactor)*AF167,"")</f>
        <v/>
      </c>
      <c r="AC167" s="194">
        <f>VLOOKUP(M167&amp;N167,Schedule!A:F,6,0)</f>
        <v/>
      </c>
      <c r="AD167" s="194">
        <f>VLOOKUP(M167&amp;P167,Schedule!A:F,6,0)</f>
        <v/>
      </c>
      <c r="AE167" s="156">
        <f>VLOOKUP(N167,ProjPVT!B:I,8,0)*_Mag/VLOOKUP(P167,Standings!A:O,15,0)*H167*K167</f>
        <v/>
      </c>
      <c r="AF167" s="156">
        <f>VLOOKUP(P167,ProjPVT!B:I,8,0)*_Mag/VLOOKUP(N167,Standings!A:O,15,0)*J167*I167</f>
        <v/>
      </c>
      <c r="AG167" s="195">
        <f>VLOOKUP(N167,Matrix!AA:AC,3,0)</f>
        <v/>
      </c>
      <c r="AH167" s="195">
        <f>SUMIFS(Def!C:C,Def!F:F,AG167)</f>
        <v/>
      </c>
      <c r="AI167" s="156">
        <f>IFERROR(SUMIFS(Def!B:B,Def!F:F,AG167)/AH167,"")</f>
        <v/>
      </c>
      <c r="AJ167" s="195">
        <f>VLOOKUP(P167,Matrix!AA:AC,3,0)</f>
        <v/>
      </c>
      <c r="AK167" s="195">
        <f>SUMIFS(Def!C:C,Def!F:F,AJ167)</f>
        <v/>
      </c>
      <c r="AL167" s="156">
        <f>IFERROR(SUMIFS(Def!B:B,Def!F:F,AJ167)/AK167,"")</f>
        <v/>
      </c>
    </row>
    <row r="168" ht="14.4" customHeight="1" s="152">
      <c r="A168" s="157">
        <f>IF(F168="Yes",IFERROR(IF(AA168&gt;1,AA168/100,100/-AA168),""),-1)</f>
        <v/>
      </c>
      <c r="B168" s="157">
        <f>B167+1</f>
        <v/>
      </c>
      <c r="C168" s="157">
        <f>IF(Y168&gt;Z168,1,0)</f>
        <v/>
      </c>
      <c r="D168" s="157">
        <f>IF(AND(C168=1,F168="Yes"),"Yes",IF(AND(C168=0,F168="No"),"Yes","No"))</f>
        <v/>
      </c>
      <c r="E168" s="192">
        <f>IF((AC168+AB168)=AD168,"Push",IF((AC168+AB168)&gt;AD168,"Yes","No"))</f>
        <v/>
      </c>
      <c r="F168" s="192">
        <f>IF(AC168&gt;AD168,"Yes","No")</f>
        <v/>
      </c>
      <c r="G168" s="192">
        <f>IF((Y168+AB168)&gt;Z168,"Yes",IF((Y168+AB168)=Z168,"Push","No"))</f>
        <v/>
      </c>
      <c r="H168" s="157">
        <f>IF(O168="Home",VLOOKUP(N168,Matrix!A:S,19,0),1)</f>
        <v/>
      </c>
      <c r="I168" s="157">
        <f>IF(O168="Away",VLOOKUP(N168,Matrix!A:Z,20,0),1)</f>
        <v/>
      </c>
      <c r="J168" s="157">
        <f>IF(O168="Away",VLOOKUP(P168,Matrix!A:S,19,0),1)</f>
        <v/>
      </c>
      <c r="K168" s="157">
        <f>IF(O168="Home",VLOOKUP(P168,Matrix!A:Z,20,0),1)</f>
        <v/>
      </c>
      <c r="L168" s="156" t="n">
        <v>-0.0799705860827334</v>
      </c>
      <c r="M168" s="179">
        <f>Schedule!B168</f>
        <v/>
      </c>
      <c r="N168" s="156">
        <f>Schedule!E168</f>
        <v/>
      </c>
      <c r="O168" s="156" t="inlineStr">
        <is>
          <t>Home</t>
        </is>
      </c>
      <c r="P168" s="157">
        <f>Schedule!H168</f>
        <v/>
      </c>
      <c r="Q168" s="157">
        <f>Schedule!C168</f>
        <v/>
      </c>
      <c r="R168" s="180">
        <f>Schedule!D168</f>
        <v/>
      </c>
      <c r="S168" s="181">
        <f>Schedule!J168</f>
        <v/>
      </c>
      <c r="T168" s="193">
        <f>Y168-Z168</f>
        <v/>
      </c>
      <c r="U168" s="182">
        <f>T168/Picks!$K$2</f>
        <v/>
      </c>
      <c r="V168" s="193">
        <f>INDEX(Standings!$T$3:$T$34, MATCH(N168, Standings!$A$3:$A$34, 0)) - INDEX(Standings!$T$3:$T$34, MATCH(P168, Standings!$A$3:$A$34, 0))</f>
        <v/>
      </c>
      <c r="W168" s="157">
        <f>INDEX(Standings!$L$3:$L$34, MATCH(N168, Standings!$A$3:$A$34, 0)) - INDEX(Standings!$L$3:$L$34, MATCH(P168, Standings!$A$3:$A$34, 0))</f>
        <v/>
      </c>
      <c r="X168" s="157">
        <f>INDEX(Standings!$M$3:$M$34, MATCH(N168, Standings!$A$3:$A$34, 0)) - INDEX(Standings!$M$3:$M$34, MATCH(P168, Standings!$A$3:$A$34, 0))</f>
        <v/>
      </c>
      <c r="Y168" s="194">
        <f t="array" ref="Y168:Y168">IFERROR(AE168+(AL168-_DFactor)*AE168,"")</f>
        <v/>
      </c>
      <c r="Z168" s="157">
        <f>IFERROR(AF168+(AI168-_DFactor)*AF168,"")</f>
        <v/>
      </c>
      <c r="AC168" s="194">
        <f>VLOOKUP(M168&amp;N168,Schedule!A:F,6,0)</f>
        <v/>
      </c>
      <c r="AD168" s="194">
        <f>VLOOKUP(M168&amp;P168,Schedule!A:F,6,0)</f>
        <v/>
      </c>
      <c r="AE168" s="156">
        <f>VLOOKUP(N168,ProjPVT!B:I,8,0)*_Mag/VLOOKUP(P168,Standings!A:O,15,0)*H168*K168</f>
        <v/>
      </c>
      <c r="AF168" s="156">
        <f>VLOOKUP(P168,ProjPVT!B:I,8,0)*_Mag/VLOOKUP(N168,Standings!A:O,15,0)*J168*I168</f>
        <v/>
      </c>
      <c r="AG168" s="195">
        <f>VLOOKUP(N168,Matrix!AA:AC,3,0)</f>
        <v/>
      </c>
      <c r="AH168" s="195">
        <f>SUMIFS(Def!C:C,Def!F:F,AG168)</f>
        <v/>
      </c>
      <c r="AI168" s="156">
        <f>IFERROR(SUMIFS(Def!B:B,Def!F:F,AG168)/AH168,"")</f>
        <v/>
      </c>
      <c r="AJ168" s="195">
        <f>VLOOKUP(P168,Matrix!AA:AC,3,0)</f>
        <v/>
      </c>
      <c r="AK168" s="195">
        <f>SUMIFS(Def!C:C,Def!F:F,AJ168)</f>
        <v/>
      </c>
      <c r="AL168" s="156">
        <f>IFERROR(SUMIFS(Def!B:B,Def!F:F,AJ168)/AK168,"")</f>
        <v/>
      </c>
    </row>
    <row r="169" ht="14.4" customHeight="1" s="152">
      <c r="A169" s="157">
        <f>IF(F169="Yes",IFERROR(IF(AA169&gt;1,AA169/100,100/-AA169),""),-1)</f>
        <v/>
      </c>
      <c r="B169" s="157">
        <f>B168+1</f>
        <v/>
      </c>
      <c r="C169" s="157">
        <f>IF(Y169&gt;Z169,1,0)</f>
        <v/>
      </c>
      <c r="D169" s="157">
        <f>IF(AND(C169=1,F169="Yes"),"Yes",IF(AND(C169=0,F169="No"),"Yes","No"))</f>
        <v/>
      </c>
      <c r="E169" s="192">
        <f>IF((AC169+AB169)=AD169,"Push",IF((AC169+AB169)&gt;AD169,"Yes","No"))</f>
        <v/>
      </c>
      <c r="F169" s="192">
        <f>IF(AC169&gt;AD169,"Yes","No")</f>
        <v/>
      </c>
      <c r="G169" s="192">
        <f>IF((Y169+AB169)&gt;Z169,"Yes",IF((Y169+AB169)=Z169,"Push","No"))</f>
        <v/>
      </c>
      <c r="H169" s="157">
        <f>IF(O169="Home",VLOOKUP(N169,Matrix!A:S,19,0),1)</f>
        <v/>
      </c>
      <c r="I169" s="157">
        <f>IF(O169="Away",VLOOKUP(N169,Matrix!A:Z,20,0),1)</f>
        <v/>
      </c>
      <c r="J169" s="157">
        <f>IF(O169="Away",VLOOKUP(P169,Matrix!A:S,19,0),1)</f>
        <v/>
      </c>
      <c r="K169" s="157">
        <f>IF(O169="Home",VLOOKUP(P169,Matrix!A:Z,20,0),1)</f>
        <v/>
      </c>
      <c r="L169" s="156" t="n">
        <v>-0.0557766323537069</v>
      </c>
      <c r="M169" s="179">
        <f>Schedule!B169</f>
        <v/>
      </c>
      <c r="N169" s="156">
        <f>Schedule!E169</f>
        <v/>
      </c>
      <c r="O169" s="156" t="inlineStr">
        <is>
          <t>Away</t>
        </is>
      </c>
      <c r="P169" s="157">
        <f>Schedule!H169</f>
        <v/>
      </c>
      <c r="Q169" s="157">
        <f>Schedule!C169</f>
        <v/>
      </c>
      <c r="R169" s="180">
        <f>Schedule!D169</f>
        <v/>
      </c>
      <c r="S169" s="181">
        <f>Schedule!J169</f>
        <v/>
      </c>
      <c r="T169" s="193">
        <f>Y169-Z169</f>
        <v/>
      </c>
      <c r="U169" s="182">
        <f>T169/Picks!$K$2</f>
        <v/>
      </c>
      <c r="V169" s="193">
        <f>INDEX(Standings!$T$3:$T$34, MATCH(N169, Standings!$A$3:$A$34, 0)) - INDEX(Standings!$T$3:$T$34, MATCH(P169, Standings!$A$3:$A$34, 0))</f>
        <v/>
      </c>
      <c r="W169" s="157">
        <f>INDEX(Standings!$L$3:$L$34, MATCH(N169, Standings!$A$3:$A$34, 0)) - INDEX(Standings!$L$3:$L$34, MATCH(P169, Standings!$A$3:$A$34, 0))</f>
        <v/>
      </c>
      <c r="X169" s="157">
        <f>INDEX(Standings!$M$3:$M$34, MATCH(N169, Standings!$A$3:$A$34, 0)) - INDEX(Standings!$M$3:$M$34, MATCH(P169, Standings!$A$3:$A$34, 0))</f>
        <v/>
      </c>
      <c r="Y169" s="194">
        <f t="array" ref="Y169:Y169">IFERROR(AE169+(AL169-_DFactor)*AE169,"")</f>
        <v/>
      </c>
      <c r="Z169" s="157">
        <f>IFERROR(AF169+(AI169-_DFactor)*AF169,"")</f>
        <v/>
      </c>
      <c r="AC169" s="194">
        <f>VLOOKUP(M169&amp;N169,Schedule!A:F,6,0)</f>
        <v/>
      </c>
      <c r="AD169" s="194">
        <f>VLOOKUP(M169&amp;P169,Schedule!A:F,6,0)</f>
        <v/>
      </c>
      <c r="AE169" s="156">
        <f>VLOOKUP(N169,ProjPVT!B:I,8,0)*_Mag/VLOOKUP(P169,Standings!A:O,15,0)*H169*K169</f>
        <v/>
      </c>
      <c r="AF169" s="156">
        <f>VLOOKUP(P169,ProjPVT!B:I,8,0)*_Mag/VLOOKUP(N169,Standings!A:O,15,0)*J169*I169</f>
        <v/>
      </c>
      <c r="AG169" s="195">
        <f>VLOOKUP(N169,Matrix!AA:AC,3,0)</f>
        <v/>
      </c>
      <c r="AH169" s="195">
        <f>SUMIFS(Def!C:C,Def!F:F,AG169)</f>
        <v/>
      </c>
      <c r="AI169" s="156">
        <f>IFERROR(SUMIFS(Def!B:B,Def!F:F,AG169)/AH169,"")</f>
        <v/>
      </c>
      <c r="AJ169" s="195">
        <f>VLOOKUP(P169,Matrix!AA:AC,3,0)</f>
        <v/>
      </c>
      <c r="AK169" s="195">
        <f>SUMIFS(Def!C:C,Def!F:F,AJ169)</f>
        <v/>
      </c>
      <c r="AL169" s="156">
        <f>IFERROR(SUMIFS(Def!B:B,Def!F:F,AJ169)/AK169,"")</f>
        <v/>
      </c>
    </row>
    <row r="170" ht="14.4" customHeight="1" s="152">
      <c r="A170" s="157">
        <f>IF(F170="Yes",IFERROR(IF(AA170&gt;1,AA170/100,100/-AA170),""),-1)</f>
        <v/>
      </c>
      <c r="B170" s="157">
        <f>B169+1</f>
        <v/>
      </c>
      <c r="C170" s="157">
        <f>IF(Y170&gt;Z170,1,0)</f>
        <v/>
      </c>
      <c r="D170" s="157">
        <f>IF(AND(C170=1,F170="Yes"),"Yes",IF(AND(C170=0,F170="No"),"Yes","No"))</f>
        <v/>
      </c>
      <c r="E170" s="192">
        <f>IF((AC170+AB170)=AD170,"Push",IF((AC170+AB170)&gt;AD170,"Yes","No"))</f>
        <v/>
      </c>
      <c r="F170" s="192">
        <f>IF(AC170&gt;AD170,"Yes","No")</f>
        <v/>
      </c>
      <c r="G170" s="192">
        <f>IF((Y170+AB170)&gt;Z170,"Yes",IF((Y170+AB170)=Z170,"Push","No"))</f>
        <v/>
      </c>
      <c r="H170" s="157">
        <f>IF(O170="Home",VLOOKUP(N170,Matrix!A:S,19,0),1)</f>
        <v/>
      </c>
      <c r="I170" s="157">
        <f>IF(O170="Away",VLOOKUP(N170,Matrix!A:Z,20,0),1)</f>
        <v/>
      </c>
      <c r="J170" s="157">
        <f>IF(O170="Away",VLOOKUP(P170,Matrix!A:S,19,0),1)</f>
        <v/>
      </c>
      <c r="K170" s="157">
        <f>IF(O170="Home",VLOOKUP(P170,Matrix!A:Z,20,0),1)</f>
        <v/>
      </c>
      <c r="L170" s="156" t="n">
        <v>-0.041940457408224</v>
      </c>
      <c r="M170" s="179">
        <f>Schedule!B170</f>
        <v/>
      </c>
      <c r="N170" s="156">
        <f>Schedule!E170</f>
        <v/>
      </c>
      <c r="O170" s="156" t="inlineStr">
        <is>
          <t>Home</t>
        </is>
      </c>
      <c r="P170" s="157">
        <f>Schedule!H170</f>
        <v/>
      </c>
      <c r="Q170" s="157">
        <f>Schedule!C170</f>
        <v/>
      </c>
      <c r="R170" s="180">
        <f>Schedule!D170</f>
        <v/>
      </c>
      <c r="S170" s="181">
        <f>Schedule!J170</f>
        <v/>
      </c>
      <c r="T170" s="193">
        <f>Y170-Z170</f>
        <v/>
      </c>
      <c r="U170" s="182">
        <f>T170/Picks!$K$2</f>
        <v/>
      </c>
      <c r="V170" s="193">
        <f>INDEX(Standings!$T$3:$T$34, MATCH(N170, Standings!$A$3:$A$34, 0)) - INDEX(Standings!$T$3:$T$34, MATCH(P170, Standings!$A$3:$A$34, 0))</f>
        <v/>
      </c>
      <c r="W170" s="157">
        <f>INDEX(Standings!$L$3:$L$34, MATCH(N170, Standings!$A$3:$A$34, 0)) - INDEX(Standings!$L$3:$L$34, MATCH(P170, Standings!$A$3:$A$34, 0))</f>
        <v/>
      </c>
      <c r="X170" s="157">
        <f>INDEX(Standings!$M$3:$M$34, MATCH(N170, Standings!$A$3:$A$34, 0)) - INDEX(Standings!$M$3:$M$34, MATCH(P170, Standings!$A$3:$A$34, 0))</f>
        <v/>
      </c>
      <c r="Y170" s="194">
        <f t="array" ref="Y170:Y170">IFERROR(AE170+(AL170-_DFactor)*AE170,"")</f>
        <v/>
      </c>
      <c r="Z170" s="157">
        <f>IFERROR(AF170+(AI170-_DFactor)*AF170,"")</f>
        <v/>
      </c>
      <c r="AC170" s="194">
        <f>VLOOKUP(M170&amp;N170,Schedule!A:F,6,0)</f>
        <v/>
      </c>
      <c r="AD170" s="194">
        <f>VLOOKUP(M170&amp;P170,Schedule!A:F,6,0)</f>
        <v/>
      </c>
      <c r="AE170" s="156">
        <f>VLOOKUP(N170,ProjPVT!B:I,8,0)*_Mag/VLOOKUP(P170,Standings!A:O,15,0)*H170*K170</f>
        <v/>
      </c>
      <c r="AF170" s="156">
        <f>VLOOKUP(P170,ProjPVT!B:I,8,0)*_Mag/VLOOKUP(N170,Standings!A:O,15,0)*J170*I170</f>
        <v/>
      </c>
      <c r="AG170" s="195">
        <f>VLOOKUP(N170,Matrix!AA:AC,3,0)</f>
        <v/>
      </c>
      <c r="AH170" s="195">
        <f>SUMIFS(Def!C:C,Def!F:F,AG170)</f>
        <v/>
      </c>
      <c r="AI170" s="156">
        <f>IFERROR(SUMIFS(Def!B:B,Def!F:F,AG170)/AH170,"")</f>
        <v/>
      </c>
      <c r="AJ170" s="195">
        <f>VLOOKUP(P170,Matrix!AA:AC,3,0)</f>
        <v/>
      </c>
      <c r="AK170" s="195">
        <f>SUMIFS(Def!C:C,Def!F:F,AJ170)</f>
        <v/>
      </c>
      <c r="AL170" s="156">
        <f>IFERROR(SUMIFS(Def!B:B,Def!F:F,AJ170)/AK170,"")</f>
        <v/>
      </c>
    </row>
    <row r="171" ht="14.4" customHeight="1" s="152">
      <c r="A171" s="157">
        <f>IF(F171="Yes",IFERROR(IF(AA171&gt;1,AA171/100,100/-AA171),""),-1)</f>
        <v/>
      </c>
      <c r="B171" s="157">
        <f>B170+1</f>
        <v/>
      </c>
      <c r="C171" s="157">
        <f>IF(Y171&gt;Z171,1,0)</f>
        <v/>
      </c>
      <c r="D171" s="157">
        <f>IF(AND(C171=1,F171="Yes"),"Yes",IF(AND(C171=0,F171="No"),"Yes","No"))</f>
        <v/>
      </c>
      <c r="E171" s="192">
        <f>IF((AC171+AB171)=AD171,"Push",IF((AC171+AB171)&gt;AD171,"Yes","No"))</f>
        <v/>
      </c>
      <c r="F171" s="192">
        <f>IF(AC171&gt;AD171,"Yes","No")</f>
        <v/>
      </c>
      <c r="G171" s="192">
        <f>IF((Y171+AB171)&gt;Z171,"Yes",IF((Y171+AB171)=Z171,"Push","No"))</f>
        <v/>
      </c>
      <c r="H171" s="157">
        <f>IF(O171="Home",VLOOKUP(N171,Matrix!A:S,19,0),1)</f>
        <v/>
      </c>
      <c r="I171" s="157">
        <f>IF(O171="Away",VLOOKUP(N171,Matrix!A:Z,20,0),1)</f>
        <v/>
      </c>
      <c r="J171" s="157">
        <f>IF(O171="Away",VLOOKUP(P171,Matrix!A:S,19,0),1)</f>
        <v/>
      </c>
      <c r="K171" s="157">
        <f>IF(O171="Home",VLOOKUP(P171,Matrix!A:Z,20,0),1)</f>
        <v/>
      </c>
      <c r="L171" s="156" t="n">
        <v>-0.0309623858545791</v>
      </c>
      <c r="M171" s="179">
        <f>Schedule!B171</f>
        <v/>
      </c>
      <c r="N171" s="156">
        <f>Schedule!E171</f>
        <v/>
      </c>
      <c r="O171" s="156" t="inlineStr">
        <is>
          <t>Away</t>
        </is>
      </c>
      <c r="P171" s="157">
        <f>Schedule!H171</f>
        <v/>
      </c>
      <c r="Q171" s="157">
        <f>Schedule!C171</f>
        <v/>
      </c>
      <c r="R171" s="180">
        <f>Schedule!D171</f>
        <v/>
      </c>
      <c r="S171" s="181">
        <f>Schedule!J171</f>
        <v/>
      </c>
      <c r="T171" s="193">
        <f>Y171-Z171</f>
        <v/>
      </c>
      <c r="U171" s="182">
        <f>T171/Picks!$K$2</f>
        <v/>
      </c>
      <c r="V171" s="193">
        <f>INDEX(Standings!$T$3:$T$34, MATCH(N171, Standings!$A$3:$A$34, 0)) - INDEX(Standings!$T$3:$T$34, MATCH(P171, Standings!$A$3:$A$34, 0))</f>
        <v/>
      </c>
      <c r="W171" s="157">
        <f>INDEX(Standings!$L$3:$L$34, MATCH(N171, Standings!$A$3:$A$34, 0)) - INDEX(Standings!$L$3:$L$34, MATCH(P171, Standings!$A$3:$A$34, 0))</f>
        <v/>
      </c>
      <c r="X171" s="157">
        <f>INDEX(Standings!$M$3:$M$34, MATCH(N171, Standings!$A$3:$A$34, 0)) - INDEX(Standings!$M$3:$M$34, MATCH(P171, Standings!$A$3:$A$34, 0))</f>
        <v/>
      </c>
      <c r="Y171" s="194">
        <f t="array" ref="Y171:Y171">IFERROR(AE171+(AL171-_DFactor)*AE171,"")</f>
        <v/>
      </c>
      <c r="Z171" s="157">
        <f>IFERROR(AF171+(AI171-_DFactor)*AF171,"")</f>
        <v/>
      </c>
      <c r="AC171" s="194">
        <f>VLOOKUP(M171&amp;N171,Schedule!A:F,6,0)</f>
        <v/>
      </c>
      <c r="AD171" s="194">
        <f>VLOOKUP(M171&amp;P171,Schedule!A:F,6,0)</f>
        <v/>
      </c>
      <c r="AE171" s="156">
        <f>VLOOKUP(N171,ProjPVT!B:I,8,0)*_Mag/VLOOKUP(P171,Standings!A:O,15,0)*H171*K171</f>
        <v/>
      </c>
      <c r="AF171" s="156">
        <f>VLOOKUP(P171,ProjPVT!B:I,8,0)*_Mag/VLOOKUP(N171,Standings!A:O,15,0)*J171*I171</f>
        <v/>
      </c>
      <c r="AG171" s="195">
        <f>VLOOKUP(N171,Matrix!AA:AC,3,0)</f>
        <v/>
      </c>
      <c r="AH171" s="195">
        <f>SUMIFS(Def!C:C,Def!F:F,AG171)</f>
        <v/>
      </c>
      <c r="AI171" s="156">
        <f>IFERROR(SUMIFS(Def!B:B,Def!F:F,AG171)/AH171,"")</f>
        <v/>
      </c>
      <c r="AJ171" s="195">
        <f>VLOOKUP(P171,Matrix!AA:AC,3,0)</f>
        <v/>
      </c>
      <c r="AK171" s="195">
        <f>SUMIFS(Def!C:C,Def!F:F,AJ171)</f>
        <v/>
      </c>
      <c r="AL171" s="156">
        <f>IFERROR(SUMIFS(Def!B:B,Def!F:F,AJ171)/AK171,"")</f>
        <v/>
      </c>
    </row>
    <row r="172" ht="14.4" customHeight="1" s="152">
      <c r="A172" s="157">
        <f>IF(F172="Yes",IFERROR(IF(AA172&gt;1,AA172/100,100/-AA172),""),-1)</f>
        <v/>
      </c>
      <c r="B172" s="157">
        <f>B171+1</f>
        <v/>
      </c>
      <c r="C172" s="157">
        <f>IF(Y172&gt;Z172,1,0)</f>
        <v/>
      </c>
      <c r="D172" s="157">
        <f>IF(AND(C172=1,F172="Yes"),"Yes",IF(AND(C172=0,F172="No"),"Yes","No"))</f>
        <v/>
      </c>
      <c r="E172" s="192">
        <f>IF((AC172+AB172)=AD172,"Push",IF((AC172+AB172)&gt;AD172,"Yes","No"))</f>
        <v/>
      </c>
      <c r="F172" s="192">
        <f>IF(AC172&gt;AD172,"Yes","No")</f>
        <v/>
      </c>
      <c r="G172" s="192">
        <f>IF((Y172+AB172)&gt;Z172,"Yes",IF((Y172+AB172)=Z172,"Push","No"))</f>
        <v/>
      </c>
      <c r="H172" s="157">
        <f>IF(O172="Home",VLOOKUP(N172,Matrix!A:S,19,0),1)</f>
        <v/>
      </c>
      <c r="I172" s="157">
        <f>IF(O172="Away",VLOOKUP(N172,Matrix!A:Z,20,0),1)</f>
        <v/>
      </c>
      <c r="J172" s="157">
        <f>IF(O172="Away",VLOOKUP(P172,Matrix!A:S,19,0),1)</f>
        <v/>
      </c>
      <c r="K172" s="157">
        <f>IF(O172="Home",VLOOKUP(P172,Matrix!A:Z,20,0),1)</f>
        <v/>
      </c>
      <c r="L172" s="156" t="n">
        <v>0.0309623858545791</v>
      </c>
      <c r="M172" s="179">
        <f>Schedule!B172</f>
        <v/>
      </c>
      <c r="N172" s="156">
        <f>Schedule!E172</f>
        <v/>
      </c>
      <c r="O172" s="156" t="inlineStr">
        <is>
          <t>Home</t>
        </is>
      </c>
      <c r="P172" s="157">
        <f>Schedule!H172</f>
        <v/>
      </c>
      <c r="Q172" s="157">
        <f>Schedule!C172</f>
        <v/>
      </c>
      <c r="R172" s="180">
        <f>Schedule!D172</f>
        <v/>
      </c>
      <c r="S172" s="181">
        <f>Schedule!J172</f>
        <v/>
      </c>
      <c r="T172" s="193">
        <f>Y172-Z172</f>
        <v/>
      </c>
      <c r="U172" s="182">
        <f>T172/Picks!$K$2</f>
        <v/>
      </c>
      <c r="V172" s="193">
        <f>INDEX(Standings!$T$3:$T$34, MATCH(N172, Standings!$A$3:$A$34, 0)) - INDEX(Standings!$T$3:$T$34, MATCH(P172, Standings!$A$3:$A$34, 0))</f>
        <v/>
      </c>
      <c r="W172" s="157">
        <f>INDEX(Standings!$L$3:$L$34, MATCH(N172, Standings!$A$3:$A$34, 0)) - INDEX(Standings!$L$3:$L$34, MATCH(P172, Standings!$A$3:$A$34, 0))</f>
        <v/>
      </c>
      <c r="X172" s="157">
        <f>INDEX(Standings!$M$3:$M$34, MATCH(N172, Standings!$A$3:$A$34, 0)) - INDEX(Standings!$M$3:$M$34, MATCH(P172, Standings!$A$3:$A$34, 0))</f>
        <v/>
      </c>
      <c r="Y172" s="194">
        <f t="array" ref="Y172:Y172">IFERROR(AE172+(AL172-_DFactor)*AE172,"")</f>
        <v/>
      </c>
      <c r="Z172" s="157">
        <f>IFERROR(AF172+(AI172-_DFactor)*AF172,"")</f>
        <v/>
      </c>
      <c r="AC172" s="194">
        <f>VLOOKUP(M172&amp;N172,Schedule!A:F,6,0)</f>
        <v/>
      </c>
      <c r="AD172" s="194">
        <f>VLOOKUP(M172&amp;P172,Schedule!A:F,6,0)</f>
        <v/>
      </c>
      <c r="AE172" s="156">
        <f>VLOOKUP(N172,ProjPVT!B:I,8,0)*_Mag/VLOOKUP(P172,Standings!A:O,15,0)*H172*K172</f>
        <v/>
      </c>
      <c r="AF172" s="156">
        <f>VLOOKUP(P172,ProjPVT!B:I,8,0)*_Mag/VLOOKUP(N172,Standings!A:O,15,0)*J172*I172</f>
        <v/>
      </c>
      <c r="AG172" s="195">
        <f>VLOOKUP(N172,Matrix!AA:AC,3,0)</f>
        <v/>
      </c>
      <c r="AH172" s="195">
        <f>SUMIFS(Def!C:C,Def!F:F,AG172)</f>
        <v/>
      </c>
      <c r="AI172" s="156">
        <f>IFERROR(SUMIFS(Def!B:B,Def!F:F,AG172)/AH172,"")</f>
        <v/>
      </c>
      <c r="AJ172" s="195">
        <f>VLOOKUP(P172,Matrix!AA:AC,3,0)</f>
        <v/>
      </c>
      <c r="AK172" s="195">
        <f>SUMIFS(Def!C:C,Def!F:F,AJ172)</f>
        <v/>
      </c>
      <c r="AL172" s="156">
        <f>IFERROR(SUMIFS(Def!B:B,Def!F:F,AJ172)/AK172,"")</f>
        <v/>
      </c>
    </row>
    <row r="173" ht="14.4" customHeight="1" s="152">
      <c r="A173" s="157">
        <f>IF(F173="Yes",IFERROR(IF(AA173&gt;1,AA173/100,100/-AA173),""),-1)</f>
        <v/>
      </c>
      <c r="B173" s="157">
        <f>B172+1</f>
        <v/>
      </c>
      <c r="C173" s="157">
        <f>IF(Y173&gt;Z173,1,0)</f>
        <v/>
      </c>
      <c r="D173" s="157">
        <f>IF(AND(C173=1,F173="Yes"),"Yes",IF(AND(C173=0,F173="No"),"Yes","No"))</f>
        <v/>
      </c>
      <c r="E173" s="192">
        <f>IF((AC173+AB173)=AD173,"Push",IF((AC173+AB173)&gt;AD173,"Yes","No"))</f>
        <v/>
      </c>
      <c r="F173" s="192">
        <f>IF(AC173&gt;AD173,"Yes","No")</f>
        <v/>
      </c>
      <c r="G173" s="192">
        <f>IF((Y173+AB173)&gt;Z173,"Yes",IF((Y173+AB173)=Z173,"Push","No"))</f>
        <v/>
      </c>
      <c r="H173" s="157">
        <f>IF(O173="Home",VLOOKUP(N173,Matrix!A:S,19,0),1)</f>
        <v/>
      </c>
      <c r="I173" s="157">
        <f>IF(O173="Away",VLOOKUP(N173,Matrix!A:Z,20,0),1)</f>
        <v/>
      </c>
      <c r="J173" s="157">
        <f>IF(O173="Away",VLOOKUP(P173,Matrix!A:S,19,0),1)</f>
        <v/>
      </c>
      <c r="K173" s="157">
        <f>IF(O173="Home",VLOOKUP(P173,Matrix!A:Z,20,0),1)</f>
        <v/>
      </c>
      <c r="L173" s="156" t="n">
        <v>0.041940457408224</v>
      </c>
      <c r="M173" s="179">
        <f>Schedule!B173</f>
        <v/>
      </c>
      <c r="N173" s="156">
        <f>Schedule!E173</f>
        <v/>
      </c>
      <c r="O173" s="156" t="inlineStr">
        <is>
          <t>Away</t>
        </is>
      </c>
      <c r="P173" s="157">
        <f>Schedule!H173</f>
        <v/>
      </c>
      <c r="Q173" s="157">
        <f>Schedule!C173</f>
        <v/>
      </c>
      <c r="R173" s="180">
        <f>Schedule!D173</f>
        <v/>
      </c>
      <c r="S173" s="181">
        <f>Schedule!J173</f>
        <v/>
      </c>
      <c r="T173" s="193">
        <f>Y173-Z173</f>
        <v/>
      </c>
      <c r="U173" s="182">
        <f>T173/Picks!$K$2</f>
        <v/>
      </c>
      <c r="V173" s="193">
        <f>INDEX(Standings!$T$3:$T$34, MATCH(N173, Standings!$A$3:$A$34, 0)) - INDEX(Standings!$T$3:$T$34, MATCH(P173, Standings!$A$3:$A$34, 0))</f>
        <v/>
      </c>
      <c r="W173" s="157">
        <f>INDEX(Standings!$L$3:$L$34, MATCH(N173, Standings!$A$3:$A$34, 0)) - INDEX(Standings!$L$3:$L$34, MATCH(P173, Standings!$A$3:$A$34, 0))</f>
        <v/>
      </c>
      <c r="X173" s="157">
        <f>INDEX(Standings!$M$3:$M$34, MATCH(N173, Standings!$A$3:$A$34, 0)) - INDEX(Standings!$M$3:$M$34, MATCH(P173, Standings!$A$3:$A$34, 0))</f>
        <v/>
      </c>
      <c r="Y173" s="194">
        <f t="array" ref="Y173:Y173">IFERROR(AE173+(AL173-_DFactor)*AE173,"")</f>
        <v/>
      </c>
      <c r="Z173" s="157">
        <f>IFERROR(AF173+(AI173-_DFactor)*AF173,"")</f>
        <v/>
      </c>
      <c r="AC173" s="194">
        <f>VLOOKUP(M173&amp;N173,Schedule!A:F,6,0)</f>
        <v/>
      </c>
      <c r="AD173" s="194">
        <f>VLOOKUP(M173&amp;P173,Schedule!A:F,6,0)</f>
        <v/>
      </c>
      <c r="AE173" s="156">
        <f>VLOOKUP(N173,ProjPVT!B:I,8,0)*_Mag/VLOOKUP(P173,Standings!A:O,15,0)*H173*K173</f>
        <v/>
      </c>
      <c r="AF173" s="156">
        <f>VLOOKUP(P173,ProjPVT!B:I,8,0)*_Mag/VLOOKUP(N173,Standings!A:O,15,0)*J173*I173</f>
        <v/>
      </c>
      <c r="AG173" s="195">
        <f>VLOOKUP(N173,Matrix!AA:AC,3,0)</f>
        <v/>
      </c>
      <c r="AH173" s="195">
        <f>SUMIFS(Def!C:C,Def!F:F,AG173)</f>
        <v/>
      </c>
      <c r="AI173" s="156">
        <f>IFERROR(SUMIFS(Def!B:B,Def!F:F,AG173)/AH173,"")</f>
        <v/>
      </c>
      <c r="AJ173" s="195">
        <f>VLOOKUP(P173,Matrix!AA:AC,3,0)</f>
        <v/>
      </c>
      <c r="AK173" s="195">
        <f>SUMIFS(Def!C:C,Def!F:F,AJ173)</f>
        <v/>
      </c>
      <c r="AL173" s="156">
        <f>IFERROR(SUMIFS(Def!B:B,Def!F:F,AJ173)/AK173,"")</f>
        <v/>
      </c>
    </row>
    <row r="174" ht="14.4" customHeight="1" s="152">
      <c r="A174" s="157">
        <f>IF(F174="Yes",IFERROR(IF(AA174&gt;1,AA174/100,100/-AA174),""),-1)</f>
        <v/>
      </c>
      <c r="B174" s="157">
        <f>B173+1</f>
        <v/>
      </c>
      <c r="C174" s="157">
        <f>IF(Y174&gt;Z174,1,0)</f>
        <v/>
      </c>
      <c r="D174" s="157">
        <f>IF(AND(C174=1,F174="Yes"),"Yes",IF(AND(C174=0,F174="No"),"Yes","No"))</f>
        <v/>
      </c>
      <c r="E174" s="192">
        <f>IF((AC174+AB174)=AD174,"Push",IF((AC174+AB174)&gt;AD174,"Yes","No"))</f>
        <v/>
      </c>
      <c r="F174" s="192">
        <f>IF(AC174&gt;AD174,"Yes","No")</f>
        <v/>
      </c>
      <c r="G174" s="192">
        <f>IF((Y174+AB174)&gt;Z174,"Yes",IF((Y174+AB174)=Z174,"Push","No"))</f>
        <v/>
      </c>
      <c r="H174" s="157">
        <f>IF(O174="Home",VLOOKUP(N174,Matrix!A:S,19,0),1)</f>
        <v/>
      </c>
      <c r="I174" s="157">
        <f>IF(O174="Away",VLOOKUP(N174,Matrix!A:Z,20,0),1)</f>
        <v/>
      </c>
      <c r="J174" s="157">
        <f>IF(O174="Away",VLOOKUP(P174,Matrix!A:S,19,0),1)</f>
        <v/>
      </c>
      <c r="K174" s="157">
        <f>IF(O174="Home",VLOOKUP(P174,Matrix!A:Z,20,0),1)</f>
        <v/>
      </c>
      <c r="L174" s="156" t="n">
        <v>0.0557766323537069</v>
      </c>
      <c r="M174" s="179">
        <f>Schedule!B174</f>
        <v/>
      </c>
      <c r="N174" s="156">
        <f>Schedule!E174</f>
        <v/>
      </c>
      <c r="O174" s="156" t="inlineStr">
        <is>
          <t>Home</t>
        </is>
      </c>
      <c r="P174" s="157">
        <f>Schedule!H174</f>
        <v/>
      </c>
      <c r="Q174" s="157">
        <f>Schedule!C174</f>
        <v/>
      </c>
      <c r="R174" s="180">
        <f>Schedule!D174</f>
        <v/>
      </c>
      <c r="S174" s="181">
        <f>Schedule!J174</f>
        <v/>
      </c>
      <c r="T174" s="193">
        <f>Y174-Z174</f>
        <v/>
      </c>
      <c r="U174" s="182">
        <f>T174/Picks!$K$2</f>
        <v/>
      </c>
      <c r="V174" s="193">
        <f>INDEX(Standings!$T$3:$T$34, MATCH(N174, Standings!$A$3:$A$34, 0)) - INDEX(Standings!$T$3:$T$34, MATCH(P174, Standings!$A$3:$A$34, 0))</f>
        <v/>
      </c>
      <c r="W174" s="157">
        <f>INDEX(Standings!$L$3:$L$34, MATCH(N174, Standings!$A$3:$A$34, 0)) - INDEX(Standings!$L$3:$L$34, MATCH(P174, Standings!$A$3:$A$34, 0))</f>
        <v/>
      </c>
      <c r="X174" s="157">
        <f>INDEX(Standings!$M$3:$M$34, MATCH(N174, Standings!$A$3:$A$34, 0)) - INDEX(Standings!$M$3:$M$34, MATCH(P174, Standings!$A$3:$A$34, 0))</f>
        <v/>
      </c>
      <c r="Y174" s="194">
        <f t="array" ref="Y174:Y174">IFERROR(AE174+(AL174-_DFactor)*AE174,"")</f>
        <v/>
      </c>
      <c r="Z174" s="157">
        <f>IFERROR(AF174+(AI174-_DFactor)*AF174,"")</f>
        <v/>
      </c>
      <c r="AC174" s="194">
        <f>VLOOKUP(M174&amp;N174,Schedule!A:F,6,0)</f>
        <v/>
      </c>
      <c r="AD174" s="194">
        <f>VLOOKUP(M174&amp;P174,Schedule!A:F,6,0)</f>
        <v/>
      </c>
      <c r="AE174" s="156">
        <f>VLOOKUP(N174,ProjPVT!B:I,8,0)*_Mag/VLOOKUP(P174,Standings!A:O,15,0)*H174*K174</f>
        <v/>
      </c>
      <c r="AF174" s="156">
        <f>VLOOKUP(P174,ProjPVT!B:I,8,0)*_Mag/VLOOKUP(N174,Standings!A:O,15,0)*J174*I174</f>
        <v/>
      </c>
      <c r="AG174" s="195">
        <f>VLOOKUP(N174,Matrix!AA:AC,3,0)</f>
        <v/>
      </c>
      <c r="AH174" s="195">
        <f>SUMIFS(Def!C:C,Def!F:F,AG174)</f>
        <v/>
      </c>
      <c r="AI174" s="156">
        <f>IFERROR(SUMIFS(Def!B:B,Def!F:F,AG174)/AH174,"")</f>
        <v/>
      </c>
      <c r="AJ174" s="195">
        <f>VLOOKUP(P174,Matrix!AA:AC,3,0)</f>
        <v/>
      </c>
      <c r="AK174" s="195">
        <f>SUMIFS(Def!C:C,Def!F:F,AJ174)</f>
        <v/>
      </c>
      <c r="AL174" s="156">
        <f>IFERROR(SUMIFS(Def!B:B,Def!F:F,AJ174)/AK174,"")</f>
        <v/>
      </c>
    </row>
    <row r="175" ht="14.4" customHeight="1" s="152">
      <c r="A175" s="157">
        <f>IF(F175="Yes",IFERROR(IF(AA175&gt;1,AA175/100,100/-AA175),""),-1)</f>
        <v/>
      </c>
      <c r="B175" s="157">
        <f>B174+1</f>
        <v/>
      </c>
      <c r="C175" s="157">
        <f>IF(Y175&gt;Z175,1,0)</f>
        <v/>
      </c>
      <c r="D175" s="157">
        <f>IF(AND(C175=1,F175="Yes"),"Yes",IF(AND(C175=0,F175="No"),"Yes","No"))</f>
        <v/>
      </c>
      <c r="E175" s="192">
        <f>IF((AC175+AB175)=AD175,"Push",IF((AC175+AB175)&gt;AD175,"Yes","No"))</f>
        <v/>
      </c>
      <c r="F175" s="192">
        <f>IF(AC175&gt;AD175,"Yes","No")</f>
        <v/>
      </c>
      <c r="G175" s="192">
        <f>IF((Y175+AB175)&gt;Z175,"Yes",IF((Y175+AB175)=Z175,"Push","No"))</f>
        <v/>
      </c>
      <c r="H175" s="157">
        <f>IF(O175="Home",VLOOKUP(N175,Matrix!A:S,19,0),1)</f>
        <v/>
      </c>
      <c r="I175" s="157">
        <f>IF(O175="Away",VLOOKUP(N175,Matrix!A:Z,20,0),1)</f>
        <v/>
      </c>
      <c r="J175" s="157">
        <f>IF(O175="Away",VLOOKUP(P175,Matrix!A:S,19,0),1)</f>
        <v/>
      </c>
      <c r="K175" s="157">
        <f>IF(O175="Home",VLOOKUP(P175,Matrix!A:Z,20,0),1)</f>
        <v/>
      </c>
      <c r="L175" s="156" t="n">
        <v>0.0799705860827334</v>
      </c>
      <c r="M175" s="179">
        <f>Schedule!B175</f>
        <v/>
      </c>
      <c r="N175" s="156">
        <f>Schedule!E175</f>
        <v/>
      </c>
      <c r="O175" s="156" t="inlineStr">
        <is>
          <t>Away</t>
        </is>
      </c>
      <c r="P175" s="157">
        <f>Schedule!H175</f>
        <v/>
      </c>
      <c r="Q175" s="157">
        <f>Schedule!C175</f>
        <v/>
      </c>
      <c r="R175" s="180">
        <f>Schedule!D175</f>
        <v/>
      </c>
      <c r="S175" s="181">
        <f>Schedule!J175</f>
        <v/>
      </c>
      <c r="T175" s="193">
        <f>Y175-Z175</f>
        <v/>
      </c>
      <c r="U175" s="182">
        <f>T175/Picks!$K$2</f>
        <v/>
      </c>
      <c r="V175" s="193">
        <f>INDEX(Standings!$T$3:$T$34, MATCH(N175, Standings!$A$3:$A$34, 0)) - INDEX(Standings!$T$3:$T$34, MATCH(P175, Standings!$A$3:$A$34, 0))</f>
        <v/>
      </c>
      <c r="W175" s="157">
        <f>INDEX(Standings!$L$3:$L$34, MATCH(N175, Standings!$A$3:$A$34, 0)) - INDEX(Standings!$L$3:$L$34, MATCH(P175, Standings!$A$3:$A$34, 0))</f>
        <v/>
      </c>
      <c r="X175" s="157">
        <f>INDEX(Standings!$M$3:$M$34, MATCH(N175, Standings!$A$3:$A$34, 0)) - INDEX(Standings!$M$3:$M$34, MATCH(P175, Standings!$A$3:$A$34, 0))</f>
        <v/>
      </c>
      <c r="Y175" s="194">
        <f t="array" ref="Y175:Y175">IFERROR(AE175+(AL175-_DFactor)*AE175,"")</f>
        <v/>
      </c>
      <c r="Z175" s="157">
        <f>IFERROR(AF175+(AI175-_DFactor)*AF175,"")</f>
        <v/>
      </c>
      <c r="AC175" s="194">
        <f>VLOOKUP(M175&amp;N175,Schedule!A:F,6,0)</f>
        <v/>
      </c>
      <c r="AD175" s="194">
        <f>VLOOKUP(M175&amp;P175,Schedule!A:F,6,0)</f>
        <v/>
      </c>
      <c r="AE175" s="156">
        <f>VLOOKUP(N175,ProjPVT!B:I,8,0)*_Mag/VLOOKUP(P175,Standings!A:O,15,0)*H175*K175</f>
        <v/>
      </c>
      <c r="AF175" s="156">
        <f>VLOOKUP(P175,ProjPVT!B:I,8,0)*_Mag/VLOOKUP(N175,Standings!A:O,15,0)*J175*I175</f>
        <v/>
      </c>
      <c r="AG175" s="195">
        <f>VLOOKUP(N175,Matrix!AA:AC,3,0)</f>
        <v/>
      </c>
      <c r="AH175" s="195">
        <f>SUMIFS(Def!C:C,Def!F:F,AG175)</f>
        <v/>
      </c>
      <c r="AI175" s="156">
        <f>IFERROR(SUMIFS(Def!B:B,Def!F:F,AG175)/AH175,"")</f>
        <v/>
      </c>
      <c r="AJ175" s="195">
        <f>VLOOKUP(P175,Matrix!AA:AC,3,0)</f>
        <v/>
      </c>
      <c r="AK175" s="195">
        <f>SUMIFS(Def!C:C,Def!F:F,AJ175)</f>
        <v/>
      </c>
      <c r="AL175" s="156">
        <f>IFERROR(SUMIFS(Def!B:B,Def!F:F,AJ175)/AK175,"")</f>
        <v/>
      </c>
    </row>
    <row r="176" ht="14.4" customHeight="1" s="152">
      <c r="A176" s="157">
        <f>IF(F176="Yes",IFERROR(IF(AA176&gt;1,AA176/100,100/-AA176),""),-1)</f>
        <v/>
      </c>
      <c r="B176" s="157">
        <f>B175+1</f>
        <v/>
      </c>
      <c r="C176" s="157">
        <f>IF(Y176&gt;Z176,1,0)</f>
        <v/>
      </c>
      <c r="D176" s="157">
        <f>IF(AND(C176=1,F176="Yes"),"Yes",IF(AND(C176=0,F176="No"),"Yes","No"))</f>
        <v/>
      </c>
      <c r="E176" s="192">
        <f>IF((AC176+AB176)=AD176,"Push",IF((AC176+AB176)&gt;AD176,"Yes","No"))</f>
        <v/>
      </c>
      <c r="F176" s="192">
        <f>IF(AC176&gt;AD176,"Yes","No")</f>
        <v/>
      </c>
      <c r="G176" s="192">
        <f>IF((Y176+AB176)&gt;Z176,"Yes",IF((Y176+AB176)=Z176,"Push","No"))</f>
        <v/>
      </c>
      <c r="H176" s="157">
        <f>IF(O176="Home",VLOOKUP(N176,Matrix!A:S,19,0),1)</f>
        <v/>
      </c>
      <c r="I176" s="157">
        <f>IF(O176="Away",VLOOKUP(N176,Matrix!A:Z,20,0),1)</f>
        <v/>
      </c>
      <c r="J176" s="157">
        <f>IF(O176="Away",VLOOKUP(P176,Matrix!A:S,19,0),1)</f>
        <v/>
      </c>
      <c r="K176" s="157">
        <f>IF(O176="Home",VLOOKUP(P176,Matrix!A:Z,20,0),1)</f>
        <v/>
      </c>
      <c r="L176" s="156" t="n">
        <v>0.112255855784345</v>
      </c>
      <c r="M176" s="179">
        <f>Schedule!B176</f>
        <v/>
      </c>
      <c r="N176" s="156">
        <f>Schedule!E176</f>
        <v/>
      </c>
      <c r="O176" s="156" t="inlineStr">
        <is>
          <t>Away</t>
        </is>
      </c>
      <c r="P176" s="157">
        <f>Schedule!H176</f>
        <v/>
      </c>
      <c r="Q176" s="157">
        <f>Schedule!C176</f>
        <v/>
      </c>
      <c r="R176" s="180">
        <f>Schedule!D176</f>
        <v/>
      </c>
      <c r="S176" s="181">
        <f>Schedule!J176</f>
        <v/>
      </c>
      <c r="T176" s="193">
        <f>Y176-Z176</f>
        <v/>
      </c>
      <c r="U176" s="182">
        <f>T176/Picks!$K$2</f>
        <v/>
      </c>
      <c r="V176" s="193">
        <f>INDEX(Standings!$T$3:$T$34, MATCH(N176, Standings!$A$3:$A$34, 0)) - INDEX(Standings!$T$3:$T$34, MATCH(P176, Standings!$A$3:$A$34, 0))</f>
        <v/>
      </c>
      <c r="W176" s="157">
        <f>INDEX(Standings!$L$3:$L$34, MATCH(N176, Standings!$A$3:$A$34, 0)) - INDEX(Standings!$L$3:$L$34, MATCH(P176, Standings!$A$3:$A$34, 0))</f>
        <v/>
      </c>
      <c r="X176" s="157">
        <f>INDEX(Standings!$M$3:$M$34, MATCH(N176, Standings!$A$3:$A$34, 0)) - INDEX(Standings!$M$3:$M$34, MATCH(P176, Standings!$A$3:$A$34, 0))</f>
        <v/>
      </c>
      <c r="Y176" s="194">
        <f t="array" ref="Y176:Y176">IFERROR(AE176+(AL176-_DFactor)*AE176,"")</f>
        <v/>
      </c>
      <c r="Z176" s="157">
        <f>IFERROR(AF176+(AI176-_DFactor)*AF176,"")</f>
        <v/>
      </c>
      <c r="AC176" s="194">
        <f>VLOOKUP(M176&amp;N176,Schedule!A:F,6,0)</f>
        <v/>
      </c>
      <c r="AD176" s="194">
        <f>VLOOKUP(M176&amp;P176,Schedule!A:F,6,0)</f>
        <v/>
      </c>
      <c r="AE176" s="156">
        <f>VLOOKUP(N176,ProjPVT!B:I,8,0)*_Mag/VLOOKUP(P176,Standings!A:O,15,0)*H176*K176</f>
        <v/>
      </c>
      <c r="AF176" s="156">
        <f>VLOOKUP(P176,ProjPVT!B:I,8,0)*_Mag/VLOOKUP(N176,Standings!A:O,15,0)*J176*I176</f>
        <v/>
      </c>
      <c r="AG176" s="195">
        <f>VLOOKUP(N176,Matrix!AA:AC,3,0)</f>
        <v/>
      </c>
      <c r="AH176" s="195">
        <f>SUMIFS(Def!C:C,Def!F:F,AG176)</f>
        <v/>
      </c>
      <c r="AI176" s="156">
        <f>IFERROR(SUMIFS(Def!B:B,Def!F:F,AG176)/AH176,"")</f>
        <v/>
      </c>
      <c r="AJ176" s="195">
        <f>VLOOKUP(P176,Matrix!AA:AC,3,0)</f>
        <v/>
      </c>
      <c r="AK176" s="195">
        <f>SUMIFS(Def!C:C,Def!F:F,AJ176)</f>
        <v/>
      </c>
      <c r="AL176" s="156">
        <f>IFERROR(SUMIFS(Def!B:B,Def!F:F,AJ176)/AK176,"")</f>
        <v/>
      </c>
    </row>
    <row r="177" ht="14.4" customHeight="1" s="152">
      <c r="A177" s="157">
        <f>IF(F177="Yes",IFERROR(IF(AA177&gt;1,AA177/100,100/-AA177),""),-1)</f>
        <v/>
      </c>
      <c r="B177" s="157">
        <f>B176+1</f>
        <v/>
      </c>
      <c r="C177" s="157">
        <f>IF(Y177&gt;Z177,1,0)</f>
        <v/>
      </c>
      <c r="D177" s="157">
        <f>IF(AND(C177=1,F177="Yes"),"Yes",IF(AND(C177=0,F177="No"),"Yes","No"))</f>
        <v/>
      </c>
      <c r="E177" s="192">
        <f>IF((AC177+AB177)=AD177,"Push",IF((AC177+AB177)&gt;AD177,"Yes","No"))</f>
        <v/>
      </c>
      <c r="F177" s="192">
        <f>IF(AC177&gt;AD177,"Yes","No")</f>
        <v/>
      </c>
      <c r="G177" s="192">
        <f>IF((Y177+AB177)&gt;Z177,"Yes",IF((Y177+AB177)=Z177,"Push","No"))</f>
        <v/>
      </c>
      <c r="H177" s="157">
        <f>IF(O177="Home",VLOOKUP(N177,Matrix!A:S,19,0),1)</f>
        <v/>
      </c>
      <c r="I177" s="157">
        <f>IF(O177="Away",VLOOKUP(N177,Matrix!A:Z,20,0),1)</f>
        <v/>
      </c>
      <c r="J177" s="157">
        <f>IF(O177="Away",VLOOKUP(P177,Matrix!A:S,19,0),1)</f>
        <v/>
      </c>
      <c r="K177" s="157">
        <f>IF(O177="Home",VLOOKUP(P177,Matrix!A:Z,20,0),1)</f>
        <v/>
      </c>
      <c r="L177" s="156" t="n">
        <v>0.116194300002148</v>
      </c>
      <c r="M177" s="179">
        <f>Schedule!B177</f>
        <v/>
      </c>
      <c r="N177" s="156">
        <f>Schedule!E177</f>
        <v/>
      </c>
      <c r="O177" s="156" t="inlineStr">
        <is>
          <t>Home</t>
        </is>
      </c>
      <c r="P177" s="157">
        <f>Schedule!H177</f>
        <v/>
      </c>
      <c r="Q177" s="157">
        <f>Schedule!C177</f>
        <v/>
      </c>
      <c r="R177" s="180">
        <f>Schedule!D177</f>
        <v/>
      </c>
      <c r="S177" s="181">
        <f>Schedule!J177</f>
        <v/>
      </c>
      <c r="T177" s="193">
        <f>Y177-Z177</f>
        <v/>
      </c>
      <c r="U177" s="182">
        <f>T177/Picks!$K$2</f>
        <v/>
      </c>
      <c r="V177" s="193">
        <f>INDEX(Standings!$T$3:$T$34, MATCH(N177, Standings!$A$3:$A$34, 0)) - INDEX(Standings!$T$3:$T$34, MATCH(P177, Standings!$A$3:$A$34, 0))</f>
        <v/>
      </c>
      <c r="W177" s="157">
        <f>INDEX(Standings!$L$3:$L$34, MATCH(N177, Standings!$A$3:$A$34, 0)) - INDEX(Standings!$L$3:$L$34, MATCH(P177, Standings!$A$3:$A$34, 0))</f>
        <v/>
      </c>
      <c r="X177" s="157">
        <f>INDEX(Standings!$M$3:$M$34, MATCH(N177, Standings!$A$3:$A$34, 0)) - INDEX(Standings!$M$3:$M$34, MATCH(P177, Standings!$A$3:$A$34, 0))</f>
        <v/>
      </c>
      <c r="Y177" s="194">
        <f t="array" ref="Y177:Y177">IFERROR(AE177+(AL177-_DFactor)*AE177,"")</f>
        <v/>
      </c>
      <c r="Z177" s="157">
        <f>IFERROR(AF177+(AI177-_DFactor)*AF177,"")</f>
        <v/>
      </c>
      <c r="AC177" s="194">
        <f>VLOOKUP(M177&amp;N177,Schedule!A:F,6,0)</f>
        <v/>
      </c>
      <c r="AD177" s="194">
        <f>VLOOKUP(M177&amp;P177,Schedule!A:F,6,0)</f>
        <v/>
      </c>
      <c r="AE177" s="156">
        <f>VLOOKUP(N177,ProjPVT!B:I,8,0)*_Mag/VLOOKUP(P177,Standings!A:O,15,0)*H177*K177</f>
        <v/>
      </c>
      <c r="AF177" s="156">
        <f>VLOOKUP(P177,ProjPVT!B:I,8,0)*_Mag/VLOOKUP(N177,Standings!A:O,15,0)*J177*I177</f>
        <v/>
      </c>
      <c r="AG177" s="195">
        <f>VLOOKUP(N177,Matrix!AA:AC,3,0)</f>
        <v/>
      </c>
      <c r="AH177" s="195">
        <f>SUMIFS(Def!C:C,Def!F:F,AG177)</f>
        <v/>
      </c>
      <c r="AI177" s="156">
        <f>IFERROR(SUMIFS(Def!B:B,Def!F:F,AG177)/AH177,"")</f>
        <v/>
      </c>
      <c r="AJ177" s="195">
        <f>VLOOKUP(P177,Matrix!AA:AC,3,0)</f>
        <v/>
      </c>
      <c r="AK177" s="195">
        <f>SUMIFS(Def!C:C,Def!F:F,AJ177)</f>
        <v/>
      </c>
      <c r="AL177" s="156">
        <f>IFERROR(SUMIFS(Def!B:B,Def!F:F,AJ177)/AK177,"")</f>
        <v/>
      </c>
    </row>
    <row r="178" ht="14.4" customHeight="1" s="152">
      <c r="A178" s="157">
        <f>IF(F178="Yes",IFERROR(IF(AA178&gt;1,AA178/100,100/-AA178),""),-1)</f>
        <v/>
      </c>
      <c r="B178" s="157">
        <f>B177+1</f>
        <v/>
      </c>
      <c r="C178" s="157">
        <f>IF(Y178&gt;Z178,1,0)</f>
        <v/>
      </c>
      <c r="D178" s="157">
        <f>IF(AND(C178=1,F178="Yes"),"Yes",IF(AND(C178=0,F178="No"),"Yes","No"))</f>
        <v/>
      </c>
      <c r="E178" s="192">
        <f>IF((AC178+AB178)=AD178,"Push",IF((AC178+AB178)&gt;AD178,"Yes","No"))</f>
        <v/>
      </c>
      <c r="F178" s="192">
        <f>IF(AC178&gt;AD178,"Yes","No")</f>
        <v/>
      </c>
      <c r="G178" s="192">
        <f>IF((Y178+AB178)&gt;Z178,"Yes",IF((Y178+AB178)=Z178,"Push","No"))</f>
        <v/>
      </c>
      <c r="H178" s="157">
        <f>IF(O178="Home",VLOOKUP(N178,Matrix!A:S,19,0),1)</f>
        <v/>
      </c>
      <c r="I178" s="157">
        <f>IF(O178="Away",VLOOKUP(N178,Matrix!A:Z,20,0),1)</f>
        <v/>
      </c>
      <c r="J178" s="157">
        <f>IF(O178="Away",VLOOKUP(P178,Matrix!A:S,19,0),1)</f>
        <v/>
      </c>
      <c r="K178" s="157">
        <f>IF(O178="Home",VLOOKUP(P178,Matrix!A:Z,20,0),1)</f>
        <v/>
      </c>
      <c r="L178" s="156" t="n">
        <v>0.118982297833481</v>
      </c>
      <c r="M178" s="179">
        <f>Schedule!B178</f>
        <v/>
      </c>
      <c r="N178" s="156">
        <f>Schedule!E178</f>
        <v/>
      </c>
      <c r="O178" s="156" t="inlineStr">
        <is>
          <t>Away</t>
        </is>
      </c>
      <c r="P178" s="157">
        <f>Schedule!H178</f>
        <v/>
      </c>
      <c r="Q178" s="157">
        <f>Schedule!C178</f>
        <v/>
      </c>
      <c r="R178" s="180">
        <f>Schedule!D178</f>
        <v/>
      </c>
      <c r="S178" s="181">
        <f>Schedule!J178</f>
        <v/>
      </c>
      <c r="T178" s="193">
        <f>Y178-Z178</f>
        <v/>
      </c>
      <c r="U178" s="182">
        <f>T178/Picks!$K$2</f>
        <v/>
      </c>
      <c r="V178" s="193">
        <f>INDEX(Standings!$T$3:$T$34, MATCH(N178, Standings!$A$3:$A$34, 0)) - INDEX(Standings!$T$3:$T$34, MATCH(P178, Standings!$A$3:$A$34, 0))</f>
        <v/>
      </c>
      <c r="W178" s="157">
        <f>INDEX(Standings!$L$3:$L$34, MATCH(N178, Standings!$A$3:$A$34, 0)) - INDEX(Standings!$L$3:$L$34, MATCH(P178, Standings!$A$3:$A$34, 0))</f>
        <v/>
      </c>
      <c r="X178" s="157">
        <f>INDEX(Standings!$M$3:$M$34, MATCH(N178, Standings!$A$3:$A$34, 0)) - INDEX(Standings!$M$3:$M$34, MATCH(P178, Standings!$A$3:$A$34, 0))</f>
        <v/>
      </c>
      <c r="Y178" s="194">
        <f t="array" ref="Y178:Y178">IFERROR(AE178+(AL178-_DFactor)*AE178,"")</f>
        <v/>
      </c>
      <c r="Z178" s="157">
        <f>IFERROR(AF178+(AI178-_DFactor)*AF178,"")</f>
        <v/>
      </c>
      <c r="AC178" s="194">
        <f>VLOOKUP(M178&amp;N178,Schedule!A:F,6,0)</f>
        <v/>
      </c>
      <c r="AD178" s="194">
        <f>VLOOKUP(M178&amp;P178,Schedule!A:F,6,0)</f>
        <v/>
      </c>
      <c r="AE178" s="156">
        <f>VLOOKUP(N178,ProjPVT!B:I,8,0)*_Mag/VLOOKUP(P178,Standings!A:O,15,0)*H178*K178</f>
        <v/>
      </c>
      <c r="AF178" s="156">
        <f>VLOOKUP(P178,ProjPVT!B:I,8,0)*_Mag/VLOOKUP(N178,Standings!A:O,15,0)*J178*I178</f>
        <v/>
      </c>
      <c r="AG178" s="195">
        <f>VLOOKUP(N178,Matrix!AA:AC,3,0)</f>
        <v/>
      </c>
      <c r="AH178" s="195">
        <f>SUMIFS(Def!C:C,Def!F:F,AG178)</f>
        <v/>
      </c>
      <c r="AI178" s="156">
        <f>IFERROR(SUMIFS(Def!B:B,Def!F:F,AG178)/AH178,"")</f>
        <v/>
      </c>
      <c r="AJ178" s="195">
        <f>VLOOKUP(P178,Matrix!AA:AC,3,0)</f>
        <v/>
      </c>
      <c r="AK178" s="195">
        <f>SUMIFS(Def!C:C,Def!F:F,AJ178)</f>
        <v/>
      </c>
      <c r="AL178" s="156">
        <f>IFERROR(SUMIFS(Def!B:B,Def!F:F,AJ178)/AK178,"")</f>
        <v/>
      </c>
    </row>
    <row r="179" ht="14.4" customHeight="1" s="152">
      <c r="A179" s="157">
        <f>IF(F179="Yes",IFERROR(IF(AA179&gt;1,AA179/100,100/-AA179),""),-1)</f>
        <v/>
      </c>
      <c r="B179" s="157">
        <f>B178+1</f>
        <v/>
      </c>
      <c r="C179" s="157">
        <f>IF(Y179&gt;Z179,1,0)</f>
        <v/>
      </c>
      <c r="D179" s="157">
        <f>IF(AND(C179=1,F179="Yes"),"Yes",IF(AND(C179=0,F179="No"),"Yes","No"))</f>
        <v/>
      </c>
      <c r="E179" s="192">
        <f>IF((AC179+AB179)=AD179,"Push",IF((AC179+AB179)&gt;AD179,"Yes","No"))</f>
        <v/>
      </c>
      <c r="F179" s="192">
        <f>IF(AC179&gt;AD179,"Yes","No")</f>
        <v/>
      </c>
      <c r="G179" s="192">
        <f>IF((Y179+AB179)&gt;Z179,"Yes",IF((Y179+AB179)=Z179,"Push","No"))</f>
        <v/>
      </c>
      <c r="H179" s="157">
        <f>IF(O179="Home",VLOOKUP(N179,Matrix!A:S,19,0),1)</f>
        <v/>
      </c>
      <c r="I179" s="157">
        <f>IF(O179="Away",VLOOKUP(N179,Matrix!A:Z,20,0),1)</f>
        <v/>
      </c>
      <c r="J179" s="157">
        <f>IF(O179="Away",VLOOKUP(P179,Matrix!A:S,19,0),1)</f>
        <v/>
      </c>
      <c r="K179" s="157">
        <f>IF(O179="Home",VLOOKUP(P179,Matrix!A:Z,20,0),1)</f>
        <v/>
      </c>
      <c r="L179" s="156" t="n">
        <v>0.222214057050226</v>
      </c>
      <c r="M179" s="179">
        <f>Schedule!B179</f>
        <v/>
      </c>
      <c r="N179" s="156">
        <f>Schedule!E179</f>
        <v/>
      </c>
      <c r="O179" s="156" t="inlineStr">
        <is>
          <t>Home</t>
        </is>
      </c>
      <c r="P179" s="157">
        <f>Schedule!H179</f>
        <v/>
      </c>
      <c r="Q179" s="157">
        <f>Schedule!C179</f>
        <v/>
      </c>
      <c r="R179" s="180">
        <f>Schedule!D179</f>
        <v/>
      </c>
      <c r="S179" s="181">
        <f>Schedule!J179</f>
        <v/>
      </c>
      <c r="T179" s="193">
        <f>Y179-Z179</f>
        <v/>
      </c>
      <c r="U179" s="182">
        <f>T179/Picks!$K$2</f>
        <v/>
      </c>
      <c r="V179" s="193">
        <f>INDEX(Standings!$T$3:$T$34, MATCH(N179, Standings!$A$3:$A$34, 0)) - INDEX(Standings!$T$3:$T$34, MATCH(P179, Standings!$A$3:$A$34, 0))</f>
        <v/>
      </c>
      <c r="W179" s="157">
        <f>INDEX(Standings!$L$3:$L$34, MATCH(N179, Standings!$A$3:$A$34, 0)) - INDEX(Standings!$L$3:$L$34, MATCH(P179, Standings!$A$3:$A$34, 0))</f>
        <v/>
      </c>
      <c r="X179" s="157">
        <f>INDEX(Standings!$M$3:$M$34, MATCH(N179, Standings!$A$3:$A$34, 0)) - INDEX(Standings!$M$3:$M$34, MATCH(P179, Standings!$A$3:$A$34, 0))</f>
        <v/>
      </c>
      <c r="Y179" s="194">
        <f t="array" ref="Y179:Y179">IFERROR(AE179+(AL179-_DFactor)*AE179,"")</f>
        <v/>
      </c>
      <c r="Z179" s="157">
        <f>IFERROR(AF179+(AI179-_DFactor)*AF179,"")</f>
        <v/>
      </c>
      <c r="AC179" s="194">
        <f>VLOOKUP(M179&amp;N179,Schedule!A:F,6,0)</f>
        <v/>
      </c>
      <c r="AD179" s="194">
        <f>VLOOKUP(M179&amp;P179,Schedule!A:F,6,0)</f>
        <v/>
      </c>
      <c r="AE179" s="156">
        <f>VLOOKUP(N179,ProjPVT!B:I,8,0)*_Mag/VLOOKUP(P179,Standings!A:O,15,0)*H179*K179</f>
        <v/>
      </c>
      <c r="AF179" s="156">
        <f>VLOOKUP(P179,ProjPVT!B:I,8,0)*_Mag/VLOOKUP(N179,Standings!A:O,15,0)*J179*I179</f>
        <v/>
      </c>
      <c r="AG179" s="195">
        <f>VLOOKUP(N179,Matrix!AA:AC,3,0)</f>
        <v/>
      </c>
      <c r="AH179" s="195">
        <f>SUMIFS(Def!C:C,Def!F:F,AG179)</f>
        <v/>
      </c>
      <c r="AI179" s="156">
        <f>IFERROR(SUMIFS(Def!B:B,Def!F:F,AG179)/AH179,"")</f>
        <v/>
      </c>
      <c r="AJ179" s="195">
        <f>VLOOKUP(P179,Matrix!AA:AC,3,0)</f>
        <v/>
      </c>
      <c r="AK179" s="195">
        <f>SUMIFS(Def!C:C,Def!F:F,AJ179)</f>
        <v/>
      </c>
      <c r="AL179" s="156">
        <f>IFERROR(SUMIFS(Def!B:B,Def!F:F,AJ179)/AK179,"")</f>
        <v/>
      </c>
    </row>
    <row r="180" ht="14.4" customHeight="1" s="152">
      <c r="A180" s="157">
        <f>IF(F180="Yes",IFERROR(IF(AA180&gt;1,AA180/100,100/-AA180),""),-1)</f>
        <v/>
      </c>
      <c r="B180" s="157">
        <f>B179+1</f>
        <v/>
      </c>
      <c r="C180" s="157">
        <f>IF(Y180&gt;Z180,1,0)</f>
        <v/>
      </c>
      <c r="D180" s="157">
        <f>IF(AND(C180=1,F180="Yes"),"Yes",IF(AND(C180=0,F180="No"),"Yes","No"))</f>
        <v/>
      </c>
      <c r="E180" s="192">
        <f>IF((AC180+AB180)=AD180,"Push",IF((AC180+AB180)&gt;AD180,"Yes","No"))</f>
        <v/>
      </c>
      <c r="F180" s="192">
        <f>IF(AC180&gt;AD180,"Yes","No")</f>
        <v/>
      </c>
      <c r="G180" s="192">
        <f>IF((Y180+AB180)&gt;Z180,"Yes",IF((Y180+AB180)=Z180,"Push","No"))</f>
        <v/>
      </c>
      <c r="H180" s="157">
        <f>IF(O180="Home",VLOOKUP(N180,Matrix!A:S,19,0),1)</f>
        <v/>
      </c>
      <c r="I180" s="157">
        <f>IF(O180="Away",VLOOKUP(N180,Matrix!A:Z,20,0),1)</f>
        <v/>
      </c>
      <c r="J180" s="157">
        <f>IF(O180="Away",VLOOKUP(P180,Matrix!A:S,19,0),1)</f>
        <v/>
      </c>
      <c r="K180" s="157">
        <f>IF(O180="Home",VLOOKUP(P180,Matrix!A:Z,20,0),1)</f>
        <v/>
      </c>
      <c r="L180" s="156" t="n">
        <v>0.288028792737513</v>
      </c>
      <c r="M180" s="179">
        <f>Schedule!B180</f>
        <v/>
      </c>
      <c r="N180" s="156">
        <f>Schedule!E180</f>
        <v/>
      </c>
      <c r="O180" s="156" t="inlineStr">
        <is>
          <t>Away</t>
        </is>
      </c>
      <c r="P180" s="157">
        <f>Schedule!H180</f>
        <v/>
      </c>
      <c r="Q180" s="157">
        <f>Schedule!C180</f>
        <v/>
      </c>
      <c r="R180" s="180">
        <f>Schedule!D180</f>
        <v/>
      </c>
      <c r="S180" s="181">
        <f>Schedule!J180</f>
        <v/>
      </c>
      <c r="T180" s="193">
        <f>Y180-Z180</f>
        <v/>
      </c>
      <c r="U180" s="182">
        <f>T180/Picks!$K$2</f>
        <v/>
      </c>
      <c r="V180" s="193">
        <f>INDEX(Standings!$T$3:$T$34, MATCH(N180, Standings!$A$3:$A$34, 0)) - INDEX(Standings!$T$3:$T$34, MATCH(P180, Standings!$A$3:$A$34, 0))</f>
        <v/>
      </c>
      <c r="W180" s="157">
        <f>INDEX(Standings!$L$3:$L$34, MATCH(N180, Standings!$A$3:$A$34, 0)) - INDEX(Standings!$L$3:$L$34, MATCH(P180, Standings!$A$3:$A$34, 0))</f>
        <v/>
      </c>
      <c r="X180" s="157">
        <f>INDEX(Standings!$M$3:$M$34, MATCH(N180, Standings!$A$3:$A$34, 0)) - INDEX(Standings!$M$3:$M$34, MATCH(P180, Standings!$A$3:$A$34, 0))</f>
        <v/>
      </c>
      <c r="Y180" s="194">
        <f t="array" ref="Y180:Y180">IFERROR(AE180+(AL180-_DFactor)*AE180,"")</f>
        <v/>
      </c>
      <c r="Z180" s="157">
        <f>IFERROR(AF180+(AI180-_DFactor)*AF180,"")</f>
        <v/>
      </c>
      <c r="AC180" s="194">
        <f>VLOOKUP(M180&amp;N180,Schedule!A:F,6,0)</f>
        <v/>
      </c>
      <c r="AD180" s="194">
        <f>VLOOKUP(M180&amp;P180,Schedule!A:F,6,0)</f>
        <v/>
      </c>
      <c r="AE180" s="156">
        <f>VLOOKUP(N180,ProjPVT!B:I,8,0)*_Mag/VLOOKUP(P180,Standings!A:O,15,0)*H180*K180</f>
        <v/>
      </c>
      <c r="AF180" s="156">
        <f>VLOOKUP(P180,ProjPVT!B:I,8,0)*_Mag/VLOOKUP(N180,Standings!A:O,15,0)*J180*I180</f>
        <v/>
      </c>
      <c r="AG180" s="195">
        <f>VLOOKUP(N180,Matrix!AA:AC,3,0)</f>
        <v/>
      </c>
      <c r="AH180" s="195">
        <f>SUMIFS(Def!C:C,Def!F:F,AG180)</f>
        <v/>
      </c>
      <c r="AI180" s="156">
        <f>IFERROR(SUMIFS(Def!B:B,Def!F:F,AG180)/AH180,"")</f>
        <v/>
      </c>
      <c r="AJ180" s="195">
        <f>VLOOKUP(P180,Matrix!AA:AC,3,0)</f>
        <v/>
      </c>
      <c r="AK180" s="195">
        <f>SUMIFS(Def!C:C,Def!F:F,AJ180)</f>
        <v/>
      </c>
      <c r="AL180" s="156">
        <f>IFERROR(SUMIFS(Def!B:B,Def!F:F,AJ180)/AK180,"")</f>
        <v/>
      </c>
    </row>
    <row r="181" ht="14.4" customHeight="1" s="152">
      <c r="A181" s="157">
        <f>IF(F181="Yes",IFERROR(IF(AA181&gt;1,AA181/100,100/-AA181),""),-1)</f>
        <v/>
      </c>
      <c r="B181" s="157">
        <f>B180+1</f>
        <v/>
      </c>
      <c r="C181" s="157">
        <f>IF(Y181&gt;Z181,1,0)</f>
        <v/>
      </c>
      <c r="D181" s="157">
        <f>IF(AND(C181=1,F181="Yes"),"Yes",IF(AND(C181=0,F181="No"),"Yes","No"))</f>
        <v/>
      </c>
      <c r="E181" s="192">
        <f>IF((AC181+AB181)=AD181,"Push",IF((AC181+AB181)&gt;AD181,"Yes","No"))</f>
        <v/>
      </c>
      <c r="F181" s="192">
        <f>IF(AC181&gt;AD181,"Yes","No")</f>
        <v/>
      </c>
      <c r="G181" s="192">
        <f>IF((Y181+AB181)&gt;Z181,"Yes",IF((Y181+AB181)=Z181,"Push","No"))</f>
        <v/>
      </c>
      <c r="H181" s="157">
        <f>IF(O181="Home",VLOOKUP(N181,Matrix!A:S,19,0),1)</f>
        <v/>
      </c>
      <c r="I181" s="157">
        <f>IF(O181="Away",VLOOKUP(N181,Matrix!A:Z,20,0),1)</f>
        <v/>
      </c>
      <c r="J181" s="157">
        <f>IF(O181="Away",VLOOKUP(P181,Matrix!A:S,19,0),1)</f>
        <v/>
      </c>
      <c r="K181" s="157">
        <f>IF(O181="Home",VLOOKUP(P181,Matrix!A:Z,20,0),1)</f>
        <v/>
      </c>
      <c r="L181" s="156" t="n">
        <v>0.310577466868289</v>
      </c>
      <c r="M181" s="179">
        <f>Schedule!B181</f>
        <v/>
      </c>
      <c r="N181" s="156">
        <f>Schedule!E181</f>
        <v/>
      </c>
      <c r="O181" s="156" t="inlineStr">
        <is>
          <t>Home</t>
        </is>
      </c>
      <c r="P181" s="157">
        <f>Schedule!H181</f>
        <v/>
      </c>
      <c r="Q181" s="157">
        <f>Schedule!C181</f>
        <v/>
      </c>
      <c r="R181" s="180">
        <f>Schedule!D181</f>
        <v/>
      </c>
      <c r="S181" s="181">
        <f>Schedule!J181</f>
        <v/>
      </c>
      <c r="T181" s="193">
        <f>Y181-Z181</f>
        <v/>
      </c>
      <c r="U181" s="182">
        <f>T181/Picks!$K$2</f>
        <v/>
      </c>
      <c r="V181" s="193">
        <f>INDEX(Standings!$T$3:$T$34, MATCH(N181, Standings!$A$3:$A$34, 0)) - INDEX(Standings!$T$3:$T$34, MATCH(P181, Standings!$A$3:$A$34, 0))</f>
        <v/>
      </c>
      <c r="W181" s="157">
        <f>INDEX(Standings!$L$3:$L$34, MATCH(N181, Standings!$A$3:$A$34, 0)) - INDEX(Standings!$L$3:$L$34, MATCH(P181, Standings!$A$3:$A$34, 0))</f>
        <v/>
      </c>
      <c r="X181" s="157">
        <f>INDEX(Standings!$M$3:$M$34, MATCH(N181, Standings!$A$3:$A$34, 0)) - INDEX(Standings!$M$3:$M$34, MATCH(P181, Standings!$A$3:$A$34, 0))</f>
        <v/>
      </c>
      <c r="Y181" s="194">
        <f t="array" ref="Y181:Y181">IFERROR(AE181+(AL181-_DFactor)*AE181,"")</f>
        <v/>
      </c>
      <c r="Z181" s="157">
        <f>IFERROR(AF181+(AI181-_DFactor)*AF181,"")</f>
        <v/>
      </c>
      <c r="AC181" s="194">
        <f>VLOOKUP(M181&amp;N181,Schedule!A:F,6,0)</f>
        <v/>
      </c>
      <c r="AD181" s="194">
        <f>VLOOKUP(M181&amp;P181,Schedule!A:F,6,0)</f>
        <v/>
      </c>
      <c r="AE181" s="156">
        <f>VLOOKUP(N181,ProjPVT!B:I,8,0)*_Mag/VLOOKUP(P181,Standings!A:O,15,0)*H181*K181</f>
        <v/>
      </c>
      <c r="AF181" s="156">
        <f>VLOOKUP(P181,ProjPVT!B:I,8,0)*_Mag/VLOOKUP(N181,Standings!A:O,15,0)*J181*I181</f>
        <v/>
      </c>
      <c r="AG181" s="195">
        <f>VLOOKUP(N181,Matrix!AA:AC,3,0)</f>
        <v/>
      </c>
      <c r="AH181" s="195">
        <f>SUMIFS(Def!C:C,Def!F:F,AG181)</f>
        <v/>
      </c>
      <c r="AI181" s="156">
        <f>IFERROR(SUMIFS(Def!B:B,Def!F:F,AG181)/AH181,"")</f>
        <v/>
      </c>
      <c r="AJ181" s="195">
        <f>VLOOKUP(P181,Matrix!AA:AC,3,0)</f>
        <v/>
      </c>
      <c r="AK181" s="195">
        <f>SUMIFS(Def!C:C,Def!F:F,AJ181)</f>
        <v/>
      </c>
      <c r="AL181" s="156">
        <f>IFERROR(SUMIFS(Def!B:B,Def!F:F,AJ181)/AK181,"")</f>
        <v/>
      </c>
    </row>
    <row r="182" ht="14.4" customHeight="1" s="152">
      <c r="A182" s="157">
        <f>IF(F182="Yes",IFERROR(IF(AA182&gt;1,AA182/100,100/-AA182),""),-1)</f>
        <v/>
      </c>
      <c r="B182" s="157">
        <f>B181+1</f>
        <v/>
      </c>
      <c r="C182" s="157">
        <f>IF(Y182&gt;Z182,1,0)</f>
        <v/>
      </c>
      <c r="D182" s="157">
        <f>IF(AND(C182=1,F182="Yes"),"Yes",IF(AND(C182=0,F182="No"),"Yes","No"))</f>
        <v/>
      </c>
      <c r="E182" s="192">
        <f>IF((AC182+AB182)=AD182,"Push",IF((AC182+AB182)&gt;AD182,"Yes","No"))</f>
        <v/>
      </c>
      <c r="F182" s="192">
        <f>IF(AC182&gt;AD182,"Yes","No")</f>
        <v/>
      </c>
      <c r="G182" s="192">
        <f>IF((Y182+AB182)&gt;Z182,"Yes",IF((Y182+AB182)=Z182,"Push","No"))</f>
        <v/>
      </c>
      <c r="H182" s="157">
        <f>IF(O182="Home",VLOOKUP(N182,Matrix!A:S,19,0),1)</f>
        <v/>
      </c>
      <c r="I182" s="157">
        <f>IF(O182="Away",VLOOKUP(N182,Matrix!A:Z,20,0),1)</f>
        <v/>
      </c>
      <c r="J182" s="157">
        <f>IF(O182="Away",VLOOKUP(P182,Matrix!A:S,19,0),1)</f>
        <v/>
      </c>
      <c r="K182" s="157">
        <f>IF(O182="Home",VLOOKUP(P182,Matrix!A:Z,20,0),1)</f>
        <v/>
      </c>
      <c r="L182" s="156" t="n">
        <v>0.344061983252906</v>
      </c>
      <c r="M182" s="179">
        <f>Schedule!B182</f>
        <v/>
      </c>
      <c r="N182" s="156">
        <f>Schedule!E182</f>
        <v/>
      </c>
      <c r="O182" s="156" t="inlineStr">
        <is>
          <t>Away</t>
        </is>
      </c>
      <c r="P182" s="157">
        <f>Schedule!H182</f>
        <v/>
      </c>
      <c r="Q182" s="157">
        <f>Schedule!C182</f>
        <v/>
      </c>
      <c r="R182" s="180">
        <f>Schedule!D182</f>
        <v/>
      </c>
      <c r="S182" s="181">
        <f>Schedule!J182</f>
        <v/>
      </c>
      <c r="T182" s="193">
        <f>Y182-Z182</f>
        <v/>
      </c>
      <c r="U182" s="182">
        <f>T182/Picks!$K$2</f>
        <v/>
      </c>
      <c r="V182" s="193">
        <f>INDEX(Standings!$T$3:$T$34, MATCH(N182, Standings!$A$3:$A$34, 0)) - INDEX(Standings!$T$3:$T$34, MATCH(P182, Standings!$A$3:$A$34, 0))</f>
        <v/>
      </c>
      <c r="W182" s="157">
        <f>INDEX(Standings!$L$3:$L$34, MATCH(N182, Standings!$A$3:$A$34, 0)) - INDEX(Standings!$L$3:$L$34, MATCH(P182, Standings!$A$3:$A$34, 0))</f>
        <v/>
      </c>
      <c r="X182" s="157">
        <f>INDEX(Standings!$M$3:$M$34, MATCH(N182, Standings!$A$3:$A$34, 0)) - INDEX(Standings!$M$3:$M$34, MATCH(P182, Standings!$A$3:$A$34, 0))</f>
        <v/>
      </c>
      <c r="Y182" s="194">
        <f t="array" ref="Y182:Y182">IFERROR(AE182+(AL182-_DFactor)*AE182,"")</f>
        <v/>
      </c>
      <c r="Z182" s="157">
        <f>IFERROR(AF182+(AI182-_DFactor)*AF182,"")</f>
        <v/>
      </c>
      <c r="AC182" s="194">
        <f>VLOOKUP(M182&amp;N182,Schedule!A:F,6,0)</f>
        <v/>
      </c>
      <c r="AD182" s="194">
        <f>VLOOKUP(M182&amp;P182,Schedule!A:F,6,0)</f>
        <v/>
      </c>
      <c r="AE182" s="156">
        <f>VLOOKUP(N182,ProjPVT!B:I,8,0)*_Mag/VLOOKUP(P182,Standings!A:O,15,0)*H182*K182</f>
        <v/>
      </c>
      <c r="AF182" s="156">
        <f>VLOOKUP(P182,ProjPVT!B:I,8,0)*_Mag/VLOOKUP(N182,Standings!A:O,15,0)*J182*I182</f>
        <v/>
      </c>
      <c r="AG182" s="195">
        <f>VLOOKUP(N182,Matrix!AA:AC,3,0)</f>
        <v/>
      </c>
      <c r="AH182" s="195">
        <f>SUMIFS(Def!C:C,Def!F:F,AG182)</f>
        <v/>
      </c>
      <c r="AI182" s="156">
        <f>IFERROR(SUMIFS(Def!B:B,Def!F:F,AG182)/AH182,"")</f>
        <v/>
      </c>
      <c r="AJ182" s="195">
        <f>VLOOKUP(P182,Matrix!AA:AC,3,0)</f>
        <v/>
      </c>
      <c r="AK182" s="195">
        <f>SUMIFS(Def!C:C,Def!F:F,AJ182)</f>
        <v/>
      </c>
      <c r="AL182" s="156">
        <f>IFERROR(SUMIFS(Def!B:B,Def!F:F,AJ182)/AK182,"")</f>
        <v/>
      </c>
    </row>
    <row r="183" ht="14.4" customHeight="1" s="152">
      <c r="A183" s="157">
        <f>IF(F183="Yes",IFERROR(IF(AA183&gt;1,AA183/100,100/-AA183),""),-1)</f>
        <v/>
      </c>
      <c r="B183" s="157">
        <f>B182+1</f>
        <v/>
      </c>
      <c r="C183" s="157">
        <f>IF(Y183&gt;Z183,1,0)</f>
        <v/>
      </c>
      <c r="D183" s="157">
        <f>IF(AND(C183=1,F183="Yes"),"Yes",IF(AND(C183=0,F183="No"),"Yes","No"))</f>
        <v/>
      </c>
      <c r="E183" s="192">
        <f>IF((AC183+AB183)=AD183,"Push",IF((AC183+AB183)&gt;AD183,"Yes","No"))</f>
        <v/>
      </c>
      <c r="F183" s="192">
        <f>IF(AC183&gt;AD183,"Yes","No")</f>
        <v/>
      </c>
      <c r="G183" s="192">
        <f>IF((Y183+AB183)&gt;Z183,"Yes",IF((Y183+AB183)=Z183,"Push","No"))</f>
        <v/>
      </c>
      <c r="H183" s="157">
        <f>IF(O183="Home",VLOOKUP(N183,Matrix!A:S,19,0),1)</f>
        <v/>
      </c>
      <c r="I183" s="157">
        <f>IF(O183="Away",VLOOKUP(N183,Matrix!A:Z,20,0),1)</f>
        <v/>
      </c>
      <c r="J183" s="157">
        <f>IF(O183="Away",VLOOKUP(P183,Matrix!A:S,19,0),1)</f>
        <v/>
      </c>
      <c r="K183" s="157">
        <f>IF(O183="Home",VLOOKUP(P183,Matrix!A:Z,20,0),1)</f>
        <v/>
      </c>
      <c r="L183" s="156" t="n">
        <v>0.366728517685235</v>
      </c>
      <c r="M183" s="179">
        <f>Schedule!B183</f>
        <v/>
      </c>
      <c r="N183" s="156">
        <f>Schedule!E183</f>
        <v/>
      </c>
      <c r="O183" s="156" t="inlineStr">
        <is>
          <t>Home</t>
        </is>
      </c>
      <c r="P183" s="157">
        <f>Schedule!H183</f>
        <v/>
      </c>
      <c r="Q183" s="157">
        <f>Schedule!C183</f>
        <v/>
      </c>
      <c r="R183" s="180">
        <f>Schedule!D183</f>
        <v/>
      </c>
      <c r="S183" s="181">
        <f>Schedule!J183</f>
        <v/>
      </c>
      <c r="T183" s="193">
        <f>Y183-Z183</f>
        <v/>
      </c>
      <c r="U183" s="182">
        <f>T183/Picks!$K$2</f>
        <v/>
      </c>
      <c r="V183" s="193">
        <f>INDEX(Standings!$T$3:$T$34, MATCH(N183, Standings!$A$3:$A$34, 0)) - INDEX(Standings!$T$3:$T$34, MATCH(P183, Standings!$A$3:$A$34, 0))</f>
        <v/>
      </c>
      <c r="W183" s="157">
        <f>INDEX(Standings!$L$3:$L$34, MATCH(N183, Standings!$A$3:$A$34, 0)) - INDEX(Standings!$L$3:$L$34, MATCH(P183, Standings!$A$3:$A$34, 0))</f>
        <v/>
      </c>
      <c r="X183" s="157">
        <f>INDEX(Standings!$M$3:$M$34, MATCH(N183, Standings!$A$3:$A$34, 0)) - INDEX(Standings!$M$3:$M$34, MATCH(P183, Standings!$A$3:$A$34, 0))</f>
        <v/>
      </c>
      <c r="Y183" s="194">
        <f t="array" ref="Y183:Y183">IFERROR(AE183+(AL183-_DFactor)*AE183,"")</f>
        <v/>
      </c>
      <c r="Z183" s="157">
        <f>IFERROR(AF183+(AI183-_DFactor)*AF183,"")</f>
        <v/>
      </c>
      <c r="AC183" s="194">
        <f>VLOOKUP(M183&amp;N183,Schedule!A:F,6,0)</f>
        <v/>
      </c>
      <c r="AD183" s="194">
        <f>VLOOKUP(M183&amp;P183,Schedule!A:F,6,0)</f>
        <v/>
      </c>
      <c r="AE183" s="156">
        <f>VLOOKUP(N183,ProjPVT!B:I,8,0)*_Mag/VLOOKUP(P183,Standings!A:O,15,0)*H183*K183</f>
        <v/>
      </c>
      <c r="AF183" s="156">
        <f>VLOOKUP(P183,ProjPVT!B:I,8,0)*_Mag/VLOOKUP(N183,Standings!A:O,15,0)*J183*I183</f>
        <v/>
      </c>
      <c r="AG183" s="195">
        <f>VLOOKUP(N183,Matrix!AA:AC,3,0)</f>
        <v/>
      </c>
      <c r="AH183" s="195">
        <f>SUMIFS(Def!C:C,Def!F:F,AG183)</f>
        <v/>
      </c>
      <c r="AI183" s="156">
        <f>IFERROR(SUMIFS(Def!B:B,Def!F:F,AG183)/AH183,"")</f>
        <v/>
      </c>
      <c r="AJ183" s="195">
        <f>VLOOKUP(P183,Matrix!AA:AC,3,0)</f>
        <v/>
      </c>
      <c r="AK183" s="195">
        <f>SUMIFS(Def!C:C,Def!F:F,AJ183)</f>
        <v/>
      </c>
      <c r="AL183" s="156">
        <f>IFERROR(SUMIFS(Def!B:B,Def!F:F,AJ183)/AK183,"")</f>
        <v/>
      </c>
    </row>
    <row r="184" ht="14.4" customHeight="1" s="152">
      <c r="A184" s="157">
        <f>IF(F184="Yes",IFERROR(IF(AA184&gt;1,AA184/100,100/-AA184),""),-1)</f>
        <v/>
      </c>
      <c r="B184" s="157">
        <f>B183+1</f>
        <v/>
      </c>
      <c r="C184" s="157">
        <f>IF(Y184&gt;Z184,1,0)</f>
        <v/>
      </c>
      <c r="D184" s="157">
        <f>IF(AND(C184=1,F184="Yes"),"Yes",IF(AND(C184=0,F184="No"),"Yes","No"))</f>
        <v/>
      </c>
      <c r="E184" s="192">
        <f>IF((AC184+AB184)=AD184,"Push",IF((AC184+AB184)&gt;AD184,"Yes","No"))</f>
        <v/>
      </c>
      <c r="F184" s="192">
        <f>IF(AC184&gt;AD184,"Yes","No")</f>
        <v/>
      </c>
      <c r="G184" s="192">
        <f>IF((Y184+AB184)&gt;Z184,"Yes",IF((Y184+AB184)=Z184,"Push","No"))</f>
        <v/>
      </c>
      <c r="H184" s="157">
        <f>IF(O184="Home",VLOOKUP(N184,Matrix!A:S,19,0),1)</f>
        <v/>
      </c>
      <c r="I184" s="157">
        <f>IF(O184="Away",VLOOKUP(N184,Matrix!A:Z,20,0),1)</f>
        <v/>
      </c>
      <c r="J184" s="157">
        <f>IF(O184="Away",VLOOKUP(P184,Matrix!A:S,19,0),1)</f>
        <v/>
      </c>
      <c r="K184" s="157">
        <f>IF(O184="Home",VLOOKUP(P184,Matrix!A:Z,20,0),1)</f>
        <v/>
      </c>
      <c r="L184" s="156" t="n">
        <v>0.400107771046105</v>
      </c>
      <c r="M184" s="179">
        <f>Schedule!B184</f>
        <v/>
      </c>
      <c r="N184" s="156">
        <f>Schedule!E184</f>
        <v/>
      </c>
      <c r="O184" s="156" t="inlineStr">
        <is>
          <t>Away</t>
        </is>
      </c>
      <c r="P184" s="157">
        <f>Schedule!H184</f>
        <v/>
      </c>
      <c r="Q184" s="157">
        <f>Schedule!C184</f>
        <v/>
      </c>
      <c r="R184" s="180">
        <f>Schedule!D184</f>
        <v/>
      </c>
      <c r="S184" s="181">
        <f>Schedule!J184</f>
        <v/>
      </c>
      <c r="T184" s="193">
        <f>Y184-Z184</f>
        <v/>
      </c>
      <c r="U184" s="182">
        <f>T184/Picks!$K$2</f>
        <v/>
      </c>
      <c r="V184" s="193">
        <f>INDEX(Standings!$T$3:$T$34, MATCH(N184, Standings!$A$3:$A$34, 0)) - INDEX(Standings!$T$3:$T$34, MATCH(P184, Standings!$A$3:$A$34, 0))</f>
        <v/>
      </c>
      <c r="W184" s="157">
        <f>INDEX(Standings!$L$3:$L$34, MATCH(N184, Standings!$A$3:$A$34, 0)) - INDEX(Standings!$L$3:$L$34, MATCH(P184, Standings!$A$3:$A$34, 0))</f>
        <v/>
      </c>
      <c r="X184" s="157">
        <f>INDEX(Standings!$M$3:$M$34, MATCH(N184, Standings!$A$3:$A$34, 0)) - INDEX(Standings!$M$3:$M$34, MATCH(P184, Standings!$A$3:$A$34, 0))</f>
        <v/>
      </c>
      <c r="Y184" s="194">
        <f t="array" ref="Y184:Y184">IFERROR(AE184+(AL184-_DFactor)*AE184,"")</f>
        <v/>
      </c>
      <c r="Z184" s="157">
        <f>IFERROR(AF184+(AI184-_DFactor)*AF184,"")</f>
        <v/>
      </c>
      <c r="AC184" s="194">
        <f>VLOOKUP(M184&amp;N184,Schedule!A:F,6,0)</f>
        <v/>
      </c>
      <c r="AD184" s="194">
        <f>VLOOKUP(M184&amp;P184,Schedule!A:F,6,0)</f>
        <v/>
      </c>
      <c r="AE184" s="156">
        <f>VLOOKUP(N184,ProjPVT!B:I,8,0)*_Mag/VLOOKUP(P184,Standings!A:O,15,0)*H184*K184</f>
        <v/>
      </c>
      <c r="AF184" s="156">
        <f>VLOOKUP(P184,ProjPVT!B:I,8,0)*_Mag/VLOOKUP(N184,Standings!A:O,15,0)*J184*I184</f>
        <v/>
      </c>
      <c r="AG184" s="195">
        <f>VLOOKUP(N184,Matrix!AA:AC,3,0)</f>
        <v/>
      </c>
      <c r="AH184" s="195">
        <f>SUMIFS(Def!C:C,Def!F:F,AG184)</f>
        <v/>
      </c>
      <c r="AI184" s="156">
        <f>IFERROR(SUMIFS(Def!B:B,Def!F:F,AG184)/AH184,"")</f>
        <v/>
      </c>
      <c r="AJ184" s="195">
        <f>VLOOKUP(P184,Matrix!AA:AC,3,0)</f>
        <v/>
      </c>
      <c r="AK184" s="195">
        <f>SUMIFS(Def!C:C,Def!F:F,AJ184)</f>
        <v/>
      </c>
      <c r="AL184" s="156">
        <f>IFERROR(SUMIFS(Def!B:B,Def!F:F,AJ184)/AK184,"")</f>
        <v/>
      </c>
    </row>
    <row r="185" ht="14.4" customHeight="1" s="152">
      <c r="A185" s="157">
        <f>IF(F185="Yes",IFERROR(IF(AA185&gt;1,AA185/100,100/-AA185),""),-1)</f>
        <v/>
      </c>
      <c r="B185" s="157">
        <f>B184+1</f>
        <v/>
      </c>
      <c r="C185" s="157">
        <f>IF(Y185&gt;Z185,1,0)</f>
        <v/>
      </c>
      <c r="D185" s="157">
        <f>IF(AND(C185=1,F185="Yes"),"Yes",IF(AND(C185=0,F185="No"),"Yes","No"))</f>
        <v/>
      </c>
      <c r="E185" s="192">
        <f>IF((AC185+AB185)=AD185,"Push",IF((AC185+AB185)&gt;AD185,"Yes","No"))</f>
        <v/>
      </c>
      <c r="F185" s="192">
        <f>IF(AC185&gt;AD185,"Yes","No")</f>
        <v/>
      </c>
      <c r="G185" s="192">
        <f>IF((Y185+AB185)&gt;Z185,"Yes",IF((Y185+AB185)=Z185,"Push","No"))</f>
        <v/>
      </c>
      <c r="H185" s="157">
        <f>IF(O185="Home",VLOOKUP(N185,Matrix!A:S,19,0),1)</f>
        <v/>
      </c>
      <c r="I185" s="157">
        <f>IF(O185="Away",VLOOKUP(N185,Matrix!A:Z,20,0),1)</f>
        <v/>
      </c>
      <c r="J185" s="157">
        <f>IF(O185="Away",VLOOKUP(P185,Matrix!A:S,19,0),1)</f>
        <v/>
      </c>
      <c r="K185" s="157">
        <f>IF(O185="Home",VLOOKUP(P185,Matrix!A:Z,20,0),1)</f>
        <v/>
      </c>
      <c r="L185" s="156" t="n">
        <v>0.617792994942082</v>
      </c>
      <c r="M185" s="179">
        <f>Schedule!B185</f>
        <v/>
      </c>
      <c r="N185" s="156">
        <f>Schedule!E185</f>
        <v/>
      </c>
      <c r="O185" s="156" t="inlineStr">
        <is>
          <t>Home</t>
        </is>
      </c>
      <c r="P185" s="157">
        <f>Schedule!H185</f>
        <v/>
      </c>
      <c r="Q185" s="157">
        <f>Schedule!C185</f>
        <v/>
      </c>
      <c r="R185" s="180">
        <f>Schedule!D185</f>
        <v/>
      </c>
      <c r="S185" s="181">
        <f>Schedule!J185</f>
        <v/>
      </c>
      <c r="T185" s="193">
        <f>Y185-Z185</f>
        <v/>
      </c>
      <c r="U185" s="182">
        <f>T185/Picks!$K$2</f>
        <v/>
      </c>
      <c r="V185" s="193">
        <f>INDEX(Standings!$T$3:$T$34, MATCH(N185, Standings!$A$3:$A$34, 0)) - INDEX(Standings!$T$3:$T$34, MATCH(P185, Standings!$A$3:$A$34, 0))</f>
        <v/>
      </c>
      <c r="W185" s="157">
        <f>INDEX(Standings!$L$3:$L$34, MATCH(N185, Standings!$A$3:$A$34, 0)) - INDEX(Standings!$L$3:$L$34, MATCH(P185, Standings!$A$3:$A$34, 0))</f>
        <v/>
      </c>
      <c r="X185" s="157">
        <f>INDEX(Standings!$M$3:$M$34, MATCH(N185, Standings!$A$3:$A$34, 0)) - INDEX(Standings!$M$3:$M$34, MATCH(P185, Standings!$A$3:$A$34, 0))</f>
        <v/>
      </c>
      <c r="Y185" s="194">
        <f t="array" ref="Y185:Y185">IFERROR(AE185+(AL185-_DFactor)*AE185,"")</f>
        <v/>
      </c>
      <c r="Z185" s="157">
        <f>IFERROR(AF185+(AI185-_DFactor)*AF185,"")</f>
        <v/>
      </c>
      <c r="AC185" s="194">
        <f>VLOOKUP(M185&amp;N185,Schedule!A:F,6,0)</f>
        <v/>
      </c>
      <c r="AD185" s="194">
        <f>VLOOKUP(M185&amp;P185,Schedule!A:F,6,0)</f>
        <v/>
      </c>
      <c r="AE185" s="156">
        <f>VLOOKUP(N185,ProjPVT!B:I,8,0)*_Mag/VLOOKUP(P185,Standings!A:O,15,0)*H185*K185</f>
        <v/>
      </c>
      <c r="AF185" s="156">
        <f>VLOOKUP(P185,ProjPVT!B:I,8,0)*_Mag/VLOOKUP(N185,Standings!A:O,15,0)*J185*I185</f>
        <v/>
      </c>
      <c r="AG185" s="195">
        <f>VLOOKUP(N185,Matrix!AA:AC,3,0)</f>
        <v/>
      </c>
      <c r="AH185" s="195">
        <f>SUMIFS(Def!C:C,Def!F:F,AG185)</f>
        <v/>
      </c>
      <c r="AI185" s="156">
        <f>IFERROR(SUMIFS(Def!B:B,Def!F:F,AG185)/AH185,"")</f>
        <v/>
      </c>
      <c r="AJ185" s="195">
        <f>VLOOKUP(P185,Matrix!AA:AC,3,0)</f>
        <v/>
      </c>
      <c r="AK185" s="195">
        <f>SUMIFS(Def!C:C,Def!F:F,AJ185)</f>
        <v/>
      </c>
      <c r="AL185" s="156">
        <f>IFERROR(SUMIFS(Def!B:B,Def!F:F,AJ185)/AK185,"")</f>
        <v/>
      </c>
    </row>
    <row r="186" ht="14.4" customHeight="1" s="152">
      <c r="A186" s="157">
        <f>IF(F186="Yes",IFERROR(IF(AA186&gt;1,AA186/100,100/-AA186),""),-1)</f>
        <v/>
      </c>
      <c r="B186" s="157">
        <f>B185+1</f>
        <v/>
      </c>
      <c r="C186" s="157">
        <f>IF(Y186&gt;Z186,1,0)</f>
        <v/>
      </c>
      <c r="D186" s="157">
        <f>IF(AND(C186=1,F186="Yes"),"Yes",IF(AND(C186=0,F186="No"),"Yes","No"))</f>
        <v/>
      </c>
      <c r="E186" s="192">
        <f>IF((AC186+AB186)=AD186,"Push",IF((AC186+AB186)&gt;AD186,"Yes","No"))</f>
        <v/>
      </c>
      <c r="F186" s="192">
        <f>IF(AC186&gt;AD186,"Yes","No")</f>
        <v/>
      </c>
      <c r="G186" s="192">
        <f>IF((Y186+AB186)&gt;Z186,"Yes",IF((Y186+AB186)=Z186,"Push","No"))</f>
        <v/>
      </c>
      <c r="H186" s="157">
        <f>IF(O186="Home",VLOOKUP(N186,Matrix!A:S,19,0),1)</f>
        <v/>
      </c>
      <c r="I186" s="157">
        <f>IF(O186="Away",VLOOKUP(N186,Matrix!A:Z,20,0),1)</f>
        <v/>
      </c>
      <c r="J186" s="157">
        <f>IF(O186="Away",VLOOKUP(P186,Matrix!A:S,19,0),1)</f>
        <v/>
      </c>
      <c r="K186" s="157">
        <f>IF(O186="Home",VLOOKUP(P186,Matrix!A:Z,20,0),1)</f>
        <v/>
      </c>
      <c r="L186" s="156" t="n">
        <v>-0.629381132010893</v>
      </c>
      <c r="M186" s="179">
        <f>Schedule!B186</f>
        <v/>
      </c>
      <c r="N186" s="156">
        <f>Schedule!E186</f>
        <v/>
      </c>
      <c r="O186" s="156" t="inlineStr">
        <is>
          <t>Away</t>
        </is>
      </c>
      <c r="P186" s="157">
        <f>Schedule!H186</f>
        <v/>
      </c>
      <c r="Q186" s="157">
        <f>Schedule!C186</f>
        <v/>
      </c>
      <c r="R186" s="180">
        <f>Schedule!D186</f>
        <v/>
      </c>
      <c r="S186" s="181">
        <f>Schedule!J186</f>
        <v/>
      </c>
      <c r="T186" s="193">
        <f>Y186-Z186</f>
        <v/>
      </c>
      <c r="U186" s="182">
        <f>T186/Picks!$K$2</f>
        <v/>
      </c>
      <c r="V186" s="193">
        <f>INDEX(Standings!$T$3:$T$34, MATCH(N186, Standings!$A$3:$A$34, 0)) - INDEX(Standings!$T$3:$T$34, MATCH(P186, Standings!$A$3:$A$34, 0))</f>
        <v/>
      </c>
      <c r="W186" s="157">
        <f>INDEX(Standings!$L$3:$L$34, MATCH(N186, Standings!$A$3:$A$34, 0)) - INDEX(Standings!$L$3:$L$34, MATCH(P186, Standings!$A$3:$A$34, 0))</f>
        <v/>
      </c>
      <c r="X186" s="157">
        <f>INDEX(Standings!$M$3:$M$34, MATCH(N186, Standings!$A$3:$A$34, 0)) - INDEX(Standings!$M$3:$M$34, MATCH(P186, Standings!$A$3:$A$34, 0))</f>
        <v/>
      </c>
      <c r="Y186" s="194">
        <f t="array" ref="Y186:Y186">IFERROR(AE186+(AL186-_DFactor)*AE186,"")</f>
        <v/>
      </c>
      <c r="Z186" s="157">
        <f>IFERROR(AF186+(AI186-_DFactor)*AF186,"")</f>
        <v/>
      </c>
      <c r="AC186" s="194">
        <f>VLOOKUP(M186&amp;N186,Schedule!A:F,6,0)</f>
        <v/>
      </c>
      <c r="AD186" s="194">
        <f>VLOOKUP(M186&amp;P186,Schedule!A:F,6,0)</f>
        <v/>
      </c>
      <c r="AE186" s="156">
        <f>VLOOKUP(N186,ProjPVT!B:I,8,0)*_Mag/VLOOKUP(P186,Standings!A:O,15,0)*H186*K186</f>
        <v/>
      </c>
      <c r="AF186" s="156">
        <f>VLOOKUP(P186,ProjPVT!B:I,8,0)*_Mag/VLOOKUP(N186,Standings!A:O,15,0)*J186*I186</f>
        <v/>
      </c>
      <c r="AG186" s="195">
        <f>VLOOKUP(N186,Matrix!AA:AC,3,0)</f>
        <v/>
      </c>
      <c r="AH186" s="195">
        <f>SUMIFS(Def!C:C,Def!F:F,AG186)</f>
        <v/>
      </c>
      <c r="AI186" s="156">
        <f>IFERROR(SUMIFS(Def!B:B,Def!F:F,AG186)/AH186,"")</f>
        <v/>
      </c>
      <c r="AJ186" s="195">
        <f>VLOOKUP(P186,Matrix!AA:AC,3,0)</f>
        <v/>
      </c>
      <c r="AK186" s="195">
        <f>SUMIFS(Def!C:C,Def!F:F,AJ186)</f>
        <v/>
      </c>
      <c r="AL186" s="156">
        <f>IFERROR(SUMIFS(Def!B:B,Def!F:F,AJ186)/AK186,"")</f>
        <v/>
      </c>
    </row>
    <row r="187" ht="14.4" customHeight="1" s="152">
      <c r="A187" s="157">
        <f>IF(F187="Yes",IFERROR(IF(AA187&gt;1,AA187/100,100/-AA187),""),-1)</f>
        <v/>
      </c>
      <c r="B187" s="157">
        <f>B186+1</f>
        <v/>
      </c>
      <c r="C187" s="157">
        <f>IF(Y187&gt;Z187,1,0)</f>
        <v/>
      </c>
      <c r="D187" s="157">
        <f>IF(AND(C187=1,F187="Yes"),"Yes",IF(AND(C187=0,F187="No"),"Yes","No"))</f>
        <v/>
      </c>
      <c r="E187" s="192">
        <f>IF((AC187+AB187)=AD187,"Push",IF((AC187+AB187)&gt;AD187,"Yes","No"))</f>
        <v/>
      </c>
      <c r="F187" s="192">
        <f>IF(AC187&gt;AD187,"Yes","No")</f>
        <v/>
      </c>
      <c r="G187" s="192">
        <f>IF((Y187+AB187)&gt;Z187,"Yes",IF((Y187+AB187)=Z187,"Push","No"))</f>
        <v/>
      </c>
      <c r="H187" s="157">
        <f>IF(O187="Home",VLOOKUP(N187,Matrix!A:S,19,0),1)</f>
        <v/>
      </c>
      <c r="I187" s="157">
        <f>IF(O187="Away",VLOOKUP(N187,Matrix!A:Z,20,0),1)</f>
        <v/>
      </c>
      <c r="J187" s="157">
        <f>IF(O187="Away",VLOOKUP(P187,Matrix!A:S,19,0),1)</f>
        <v/>
      </c>
      <c r="K187" s="157">
        <f>IF(O187="Home",VLOOKUP(P187,Matrix!A:Z,20,0),1)</f>
        <v/>
      </c>
      <c r="L187" s="156" t="n">
        <v>-0.475300772433018</v>
      </c>
      <c r="M187" s="179">
        <f>Schedule!B187</f>
        <v/>
      </c>
      <c r="N187" s="156">
        <f>Schedule!E187</f>
        <v/>
      </c>
      <c r="O187" s="156" t="inlineStr">
        <is>
          <t>Home</t>
        </is>
      </c>
      <c r="P187" s="157">
        <f>Schedule!H187</f>
        <v/>
      </c>
      <c r="Q187" s="157">
        <f>Schedule!C187</f>
        <v/>
      </c>
      <c r="R187" s="180">
        <f>Schedule!D187</f>
        <v/>
      </c>
      <c r="S187" s="181">
        <f>Schedule!J187</f>
        <v/>
      </c>
      <c r="T187" s="193">
        <f>Y187-Z187</f>
        <v/>
      </c>
      <c r="U187" s="182">
        <f>T187/Picks!$K$2</f>
        <v/>
      </c>
      <c r="V187" s="193">
        <f>INDEX(Standings!$T$3:$T$34, MATCH(N187, Standings!$A$3:$A$34, 0)) - INDEX(Standings!$T$3:$T$34, MATCH(P187, Standings!$A$3:$A$34, 0))</f>
        <v/>
      </c>
      <c r="W187" s="157">
        <f>INDEX(Standings!$L$3:$L$34, MATCH(N187, Standings!$A$3:$A$34, 0)) - INDEX(Standings!$L$3:$L$34, MATCH(P187, Standings!$A$3:$A$34, 0))</f>
        <v/>
      </c>
      <c r="X187" s="157">
        <f>INDEX(Standings!$M$3:$M$34, MATCH(N187, Standings!$A$3:$A$34, 0)) - INDEX(Standings!$M$3:$M$34, MATCH(P187, Standings!$A$3:$A$34, 0))</f>
        <v/>
      </c>
      <c r="Y187" s="194">
        <f t="array" ref="Y187:Y187">IFERROR(AE187+(AL187-_DFactor)*AE187,"")</f>
        <v/>
      </c>
      <c r="Z187" s="157">
        <f>IFERROR(AF187+(AI187-_DFactor)*AF187,"")</f>
        <v/>
      </c>
      <c r="AC187" s="194">
        <f>VLOOKUP(M187&amp;N187,Schedule!A:F,6,0)</f>
        <v/>
      </c>
      <c r="AD187" s="194">
        <f>VLOOKUP(M187&amp;P187,Schedule!A:F,6,0)</f>
        <v/>
      </c>
      <c r="AE187" s="156">
        <f>VLOOKUP(N187,ProjPVT!B:I,8,0)*_Mag/VLOOKUP(P187,Standings!A:O,15,0)*H187*K187</f>
        <v/>
      </c>
      <c r="AF187" s="156">
        <f>VLOOKUP(P187,ProjPVT!B:I,8,0)*_Mag/VLOOKUP(N187,Standings!A:O,15,0)*J187*I187</f>
        <v/>
      </c>
      <c r="AG187" s="195">
        <f>VLOOKUP(N187,Matrix!AA:AC,3,0)</f>
        <v/>
      </c>
      <c r="AH187" s="195">
        <f>SUMIFS(Def!C:C,Def!F:F,AG187)</f>
        <v/>
      </c>
      <c r="AI187" s="156">
        <f>IFERROR(SUMIFS(Def!B:B,Def!F:F,AG187)/AH187,"")</f>
        <v/>
      </c>
      <c r="AJ187" s="195">
        <f>VLOOKUP(P187,Matrix!AA:AC,3,0)</f>
        <v/>
      </c>
      <c r="AK187" s="195">
        <f>SUMIFS(Def!C:C,Def!F:F,AJ187)</f>
        <v/>
      </c>
      <c r="AL187" s="156">
        <f>IFERROR(SUMIFS(Def!B:B,Def!F:F,AJ187)/AK187,"")</f>
        <v/>
      </c>
    </row>
    <row r="188" ht="14.4" customHeight="1" s="152">
      <c r="A188" s="157">
        <f>IF(F188="Yes",IFERROR(IF(AA188&gt;1,AA188/100,100/-AA188),""),-1)</f>
        <v/>
      </c>
      <c r="B188" s="157">
        <f>B187+1</f>
        <v/>
      </c>
      <c r="C188" s="157">
        <f>IF(Y188&gt;Z188,1,0)</f>
        <v/>
      </c>
      <c r="D188" s="157">
        <f>IF(AND(C188=1,F188="Yes"),"Yes",IF(AND(C188=0,F188="No"),"Yes","No"))</f>
        <v/>
      </c>
      <c r="E188" s="192">
        <f>IF((AC188+AB188)=AD188,"Push",IF((AC188+AB188)&gt;AD188,"Yes","No"))</f>
        <v/>
      </c>
      <c r="F188" s="192">
        <f>IF(AC188&gt;AD188,"Yes","No")</f>
        <v/>
      </c>
      <c r="G188" s="192">
        <f>IF((Y188+AB188)&gt;Z188,"Yes",IF((Y188+AB188)=Z188,"Push","No"))</f>
        <v/>
      </c>
      <c r="H188" s="157">
        <f>IF(O188="Home",VLOOKUP(N188,Matrix!A:S,19,0),1)</f>
        <v/>
      </c>
      <c r="I188" s="157">
        <f>IF(O188="Away",VLOOKUP(N188,Matrix!A:Z,20,0),1)</f>
        <v/>
      </c>
      <c r="J188" s="157">
        <f>IF(O188="Away",VLOOKUP(P188,Matrix!A:S,19,0),1)</f>
        <v/>
      </c>
      <c r="K188" s="157">
        <f>IF(O188="Home",VLOOKUP(P188,Matrix!A:Z,20,0),1)</f>
        <v/>
      </c>
      <c r="L188" s="156" t="n">
        <v>-0.408216196588463</v>
      </c>
      <c r="M188" s="179">
        <f>Schedule!B188</f>
        <v/>
      </c>
      <c r="N188" s="156">
        <f>Schedule!E188</f>
        <v/>
      </c>
      <c r="O188" s="156" t="inlineStr">
        <is>
          <t>Away</t>
        </is>
      </c>
      <c r="P188" s="157">
        <f>Schedule!H188</f>
        <v/>
      </c>
      <c r="Q188" s="157">
        <f>Schedule!C188</f>
        <v/>
      </c>
      <c r="R188" s="180">
        <f>Schedule!D188</f>
        <v/>
      </c>
      <c r="S188" s="181">
        <f>Schedule!J188</f>
        <v/>
      </c>
      <c r="T188" s="193">
        <f>Y188-Z188</f>
        <v/>
      </c>
      <c r="U188" s="182">
        <f>T188/Picks!$K$2</f>
        <v/>
      </c>
      <c r="V188" s="193">
        <f>INDEX(Standings!$T$3:$T$34, MATCH(N188, Standings!$A$3:$A$34, 0)) - INDEX(Standings!$T$3:$T$34, MATCH(P188, Standings!$A$3:$A$34, 0))</f>
        <v/>
      </c>
      <c r="W188" s="157">
        <f>INDEX(Standings!$L$3:$L$34, MATCH(N188, Standings!$A$3:$A$34, 0)) - INDEX(Standings!$L$3:$L$34, MATCH(P188, Standings!$A$3:$A$34, 0))</f>
        <v/>
      </c>
      <c r="X188" s="157">
        <f>INDEX(Standings!$M$3:$M$34, MATCH(N188, Standings!$A$3:$A$34, 0)) - INDEX(Standings!$M$3:$M$34, MATCH(P188, Standings!$A$3:$A$34, 0))</f>
        <v/>
      </c>
      <c r="Y188" s="194">
        <f t="array" ref="Y188:Y188">IFERROR(AE188+(AL188-_DFactor)*AE188,"")</f>
        <v/>
      </c>
      <c r="Z188" s="157">
        <f>IFERROR(AF188+(AI188-_DFactor)*AF188,"")</f>
        <v/>
      </c>
      <c r="AC188" s="194">
        <f>VLOOKUP(M188&amp;N188,Schedule!A:F,6,0)</f>
        <v/>
      </c>
      <c r="AD188" s="194">
        <f>VLOOKUP(M188&amp;P188,Schedule!A:F,6,0)</f>
        <v/>
      </c>
      <c r="AE188" s="156">
        <f>VLOOKUP(N188,ProjPVT!B:I,8,0)*_Mag/VLOOKUP(P188,Standings!A:O,15,0)*H188*K188</f>
        <v/>
      </c>
      <c r="AF188" s="156">
        <f>VLOOKUP(P188,ProjPVT!B:I,8,0)*_Mag/VLOOKUP(N188,Standings!A:O,15,0)*J188*I188</f>
        <v/>
      </c>
      <c r="AG188" s="195">
        <f>VLOOKUP(N188,Matrix!AA:AC,3,0)</f>
        <v/>
      </c>
      <c r="AH188" s="195">
        <f>SUMIFS(Def!C:C,Def!F:F,AG188)</f>
        <v/>
      </c>
      <c r="AI188" s="156">
        <f>IFERROR(SUMIFS(Def!B:B,Def!F:F,AG188)/AH188,"")</f>
        <v/>
      </c>
      <c r="AJ188" s="195">
        <f>VLOOKUP(P188,Matrix!AA:AC,3,0)</f>
        <v/>
      </c>
      <c r="AK188" s="195">
        <f>SUMIFS(Def!C:C,Def!F:F,AJ188)</f>
        <v/>
      </c>
      <c r="AL188" s="156">
        <f>IFERROR(SUMIFS(Def!B:B,Def!F:F,AJ188)/AK188,"")</f>
        <v/>
      </c>
    </row>
    <row r="189" ht="14.4" customHeight="1" s="152">
      <c r="A189" s="157">
        <f>IF(F189="Yes",IFERROR(IF(AA189&gt;1,AA189/100,100/-AA189),""),-1)</f>
        <v/>
      </c>
      <c r="B189" s="157">
        <f>B188+1</f>
        <v/>
      </c>
      <c r="C189" s="157">
        <f>IF(Y189&gt;Z189,1,0)</f>
        <v/>
      </c>
      <c r="D189" s="157">
        <f>IF(AND(C189=1,F189="Yes"),"Yes",IF(AND(C189=0,F189="No"),"Yes","No"))</f>
        <v/>
      </c>
      <c r="E189" s="192">
        <f>IF((AC189+AB189)=AD189,"Push",IF((AC189+AB189)&gt;AD189,"Yes","No"))</f>
        <v/>
      </c>
      <c r="F189" s="192">
        <f>IF(AC189&gt;AD189,"Yes","No")</f>
        <v/>
      </c>
      <c r="G189" s="192">
        <f>IF((Y189+AB189)&gt;Z189,"Yes",IF((Y189+AB189)=Z189,"Push","No"))</f>
        <v/>
      </c>
      <c r="H189" s="157">
        <f>IF(O189="Home",VLOOKUP(N189,Matrix!A:S,19,0),1)</f>
        <v/>
      </c>
      <c r="I189" s="157">
        <f>IF(O189="Away",VLOOKUP(N189,Matrix!A:Z,20,0),1)</f>
        <v/>
      </c>
      <c r="J189" s="157">
        <f>IF(O189="Away",VLOOKUP(P189,Matrix!A:S,19,0),1)</f>
        <v/>
      </c>
      <c r="K189" s="157">
        <f>IF(O189="Home",VLOOKUP(P189,Matrix!A:Z,20,0),1)</f>
        <v/>
      </c>
      <c r="L189" s="156" t="n">
        <v>-0.366568623431439</v>
      </c>
      <c r="M189" s="179">
        <f>Schedule!B189</f>
        <v/>
      </c>
      <c r="N189" s="156">
        <f>Schedule!E189</f>
        <v/>
      </c>
      <c r="O189" s="156" t="inlineStr">
        <is>
          <t>Home</t>
        </is>
      </c>
      <c r="P189" s="157">
        <f>Schedule!H189</f>
        <v/>
      </c>
      <c r="Q189" s="157">
        <f>Schedule!C189</f>
        <v/>
      </c>
      <c r="R189" s="180">
        <f>Schedule!D189</f>
        <v/>
      </c>
      <c r="S189" s="181">
        <f>Schedule!J189</f>
        <v/>
      </c>
      <c r="T189" s="193">
        <f>Y189-Z189</f>
        <v/>
      </c>
      <c r="U189" s="182">
        <f>T189/Picks!$K$2</f>
        <v/>
      </c>
      <c r="V189" s="193">
        <f>INDEX(Standings!$T$3:$T$34, MATCH(N189, Standings!$A$3:$A$34, 0)) - INDEX(Standings!$T$3:$T$34, MATCH(P189, Standings!$A$3:$A$34, 0))</f>
        <v/>
      </c>
      <c r="W189" s="157">
        <f>INDEX(Standings!$L$3:$L$34, MATCH(N189, Standings!$A$3:$A$34, 0)) - INDEX(Standings!$L$3:$L$34, MATCH(P189, Standings!$A$3:$A$34, 0))</f>
        <v/>
      </c>
      <c r="X189" s="157">
        <f>INDEX(Standings!$M$3:$M$34, MATCH(N189, Standings!$A$3:$A$34, 0)) - INDEX(Standings!$M$3:$M$34, MATCH(P189, Standings!$A$3:$A$34, 0))</f>
        <v/>
      </c>
      <c r="Y189" s="194">
        <f t="array" ref="Y189:Y189">IFERROR(AE189+(AL189-_DFactor)*AE189,"")</f>
        <v/>
      </c>
      <c r="Z189" s="157">
        <f>IFERROR(AF189+(AI189-_DFactor)*AF189,"")</f>
        <v/>
      </c>
      <c r="AC189" s="194">
        <f>VLOOKUP(M189&amp;N189,Schedule!A:F,6,0)</f>
        <v/>
      </c>
      <c r="AD189" s="194">
        <f>VLOOKUP(M189&amp;P189,Schedule!A:F,6,0)</f>
        <v/>
      </c>
      <c r="AE189" s="156">
        <f>VLOOKUP(N189,ProjPVT!B:I,8,0)*_Mag/VLOOKUP(P189,Standings!A:O,15,0)*H189*K189</f>
        <v/>
      </c>
      <c r="AF189" s="156">
        <f>VLOOKUP(P189,ProjPVT!B:I,8,0)*_Mag/VLOOKUP(N189,Standings!A:O,15,0)*J189*I189</f>
        <v/>
      </c>
      <c r="AG189" s="195">
        <f>VLOOKUP(N189,Matrix!AA:AC,3,0)</f>
        <v/>
      </c>
      <c r="AH189" s="195">
        <f>SUMIFS(Def!C:C,Def!F:F,AG189)</f>
        <v/>
      </c>
      <c r="AI189" s="156">
        <f>IFERROR(SUMIFS(Def!B:B,Def!F:F,AG189)/AH189,"")</f>
        <v/>
      </c>
      <c r="AJ189" s="195">
        <f>VLOOKUP(P189,Matrix!AA:AC,3,0)</f>
        <v/>
      </c>
      <c r="AK189" s="195">
        <f>SUMIFS(Def!C:C,Def!F:F,AJ189)</f>
        <v/>
      </c>
      <c r="AL189" s="156">
        <f>IFERROR(SUMIFS(Def!B:B,Def!F:F,AJ189)/AK189,"")</f>
        <v/>
      </c>
    </row>
    <row r="190" ht="14.4" customHeight="1" s="152">
      <c r="A190" s="157">
        <f>IF(F190="Yes",IFERROR(IF(AA190&gt;1,AA190/100,100/-AA190),""),-1)</f>
        <v/>
      </c>
      <c r="B190" s="157">
        <f>B189+1</f>
        <v/>
      </c>
      <c r="C190" s="157">
        <f>IF(Y190&gt;Z190,1,0)</f>
        <v/>
      </c>
      <c r="D190" s="157">
        <f>IF(AND(C190=1,F190="Yes"),"Yes",IF(AND(C190=0,F190="No"),"Yes","No"))</f>
        <v/>
      </c>
      <c r="E190" s="192">
        <f>IF((AC190+AB190)=AD190,"Push",IF((AC190+AB190)&gt;AD190,"Yes","No"))</f>
        <v/>
      </c>
      <c r="F190" s="192">
        <f>IF(AC190&gt;AD190,"Yes","No")</f>
        <v/>
      </c>
      <c r="G190" s="192">
        <f>IF((Y190+AB190)&gt;Z190,"Yes",IF((Y190+AB190)=Z190,"Push","No"))</f>
        <v/>
      </c>
      <c r="H190" s="157">
        <f>IF(O190="Home",VLOOKUP(N190,Matrix!A:S,19,0),1)</f>
        <v/>
      </c>
      <c r="I190" s="157">
        <f>IF(O190="Away",VLOOKUP(N190,Matrix!A:Z,20,0),1)</f>
        <v/>
      </c>
      <c r="J190" s="157">
        <f>IF(O190="Away",VLOOKUP(P190,Matrix!A:S,19,0),1)</f>
        <v/>
      </c>
      <c r="K190" s="157">
        <f>IF(O190="Home",VLOOKUP(P190,Matrix!A:Z,20,0),1)</f>
        <v/>
      </c>
      <c r="L190" s="156" t="n">
        <v>-0.317238563793085</v>
      </c>
      <c r="M190" s="179">
        <f>Schedule!B190</f>
        <v/>
      </c>
      <c r="N190" s="156">
        <f>Schedule!E190</f>
        <v/>
      </c>
      <c r="O190" s="156" t="inlineStr">
        <is>
          <t>Away</t>
        </is>
      </c>
      <c r="P190" s="157">
        <f>Schedule!H190</f>
        <v/>
      </c>
      <c r="Q190" s="157">
        <f>Schedule!C190</f>
        <v/>
      </c>
      <c r="R190" s="180">
        <f>Schedule!D190</f>
        <v/>
      </c>
      <c r="S190" s="181">
        <f>Schedule!J190</f>
        <v/>
      </c>
      <c r="T190" s="193">
        <f>Y190-Z190</f>
        <v/>
      </c>
      <c r="U190" s="182">
        <f>T190/Picks!$K$2</f>
        <v/>
      </c>
      <c r="V190" s="193">
        <f>INDEX(Standings!$T$3:$T$34, MATCH(N190, Standings!$A$3:$A$34, 0)) - INDEX(Standings!$T$3:$T$34, MATCH(P190, Standings!$A$3:$A$34, 0))</f>
        <v/>
      </c>
      <c r="W190" s="157">
        <f>INDEX(Standings!$L$3:$L$34, MATCH(N190, Standings!$A$3:$A$34, 0)) - INDEX(Standings!$L$3:$L$34, MATCH(P190, Standings!$A$3:$A$34, 0))</f>
        <v/>
      </c>
      <c r="X190" s="157">
        <f>INDEX(Standings!$M$3:$M$34, MATCH(N190, Standings!$A$3:$A$34, 0)) - INDEX(Standings!$M$3:$M$34, MATCH(P190, Standings!$A$3:$A$34, 0))</f>
        <v/>
      </c>
      <c r="Y190" s="194">
        <f t="array" ref="Y190:Y190">IFERROR(AE190+(AL190-_DFactor)*AE190,"")</f>
        <v/>
      </c>
      <c r="Z190" s="157">
        <f>IFERROR(AF190+(AI190-_DFactor)*AF190,"")</f>
        <v/>
      </c>
      <c r="AC190" s="194">
        <f>VLOOKUP(M190&amp;N190,Schedule!A:F,6,0)</f>
        <v/>
      </c>
      <c r="AD190" s="194">
        <f>VLOOKUP(M190&amp;P190,Schedule!A:F,6,0)</f>
        <v/>
      </c>
      <c r="AE190" s="156">
        <f>VLOOKUP(N190,ProjPVT!B:I,8,0)*_Mag/VLOOKUP(P190,Standings!A:O,15,0)*H190*K190</f>
        <v/>
      </c>
      <c r="AF190" s="156">
        <f>VLOOKUP(P190,ProjPVT!B:I,8,0)*_Mag/VLOOKUP(N190,Standings!A:O,15,0)*J190*I190</f>
        <v/>
      </c>
      <c r="AG190" s="195">
        <f>VLOOKUP(N190,Matrix!AA:AC,3,0)</f>
        <v/>
      </c>
      <c r="AH190" s="195">
        <f>SUMIFS(Def!C:C,Def!F:F,AG190)</f>
        <v/>
      </c>
      <c r="AI190" s="156">
        <f>IFERROR(SUMIFS(Def!B:B,Def!F:F,AG190)/AH190,"")</f>
        <v/>
      </c>
      <c r="AJ190" s="195">
        <f>VLOOKUP(P190,Matrix!AA:AC,3,0)</f>
        <v/>
      </c>
      <c r="AK190" s="195">
        <f>SUMIFS(Def!C:C,Def!F:F,AJ190)</f>
        <v/>
      </c>
      <c r="AL190" s="156">
        <f>IFERROR(SUMIFS(Def!B:B,Def!F:F,AJ190)/AK190,"")</f>
        <v/>
      </c>
    </row>
    <row r="191" ht="14.4" customHeight="1" s="152">
      <c r="A191" s="157">
        <f>IF(F191="Yes",IFERROR(IF(AA191&gt;1,AA191/100,100/-AA191),""),-1)</f>
        <v/>
      </c>
      <c r="B191" s="157">
        <f>B190+1</f>
        <v/>
      </c>
      <c r="C191" s="157">
        <f>IF(Y191&gt;Z191,1,0)</f>
        <v/>
      </c>
      <c r="D191" s="157">
        <f>IF(AND(C191=1,F191="Yes"),"Yes",IF(AND(C191=0,F191="No"),"Yes","No"))</f>
        <v/>
      </c>
      <c r="E191" s="192">
        <f>IF((AC191+AB191)=AD191,"Push",IF((AC191+AB191)&gt;AD191,"Yes","No"))</f>
        <v/>
      </c>
      <c r="F191" s="192">
        <f>IF(AC191&gt;AD191,"Yes","No")</f>
        <v/>
      </c>
      <c r="G191" s="192">
        <f>IF((Y191+AB191)&gt;Z191,"Yes",IF((Y191+AB191)=Z191,"Push","No"))</f>
        <v/>
      </c>
      <c r="H191" s="157">
        <f>IF(O191="Home",VLOOKUP(N191,Matrix!A:S,19,0),1)</f>
        <v/>
      </c>
      <c r="I191" s="157">
        <f>IF(O191="Away",VLOOKUP(N191,Matrix!A:Z,20,0),1)</f>
        <v/>
      </c>
      <c r="J191" s="157">
        <f>IF(O191="Away",VLOOKUP(P191,Matrix!A:S,19,0),1)</f>
        <v/>
      </c>
      <c r="K191" s="157">
        <f>IF(O191="Home",VLOOKUP(P191,Matrix!A:Z,20,0),1)</f>
        <v/>
      </c>
      <c r="L191" s="156" t="n">
        <v>-0.25504369686428</v>
      </c>
      <c r="M191" s="179">
        <f>Schedule!B191</f>
        <v/>
      </c>
      <c r="N191" s="156">
        <f>Schedule!E191</f>
        <v/>
      </c>
      <c r="O191" s="156" t="inlineStr">
        <is>
          <t>Home</t>
        </is>
      </c>
      <c r="P191" s="157">
        <f>Schedule!H191</f>
        <v/>
      </c>
      <c r="Q191" s="157">
        <f>Schedule!C191</f>
        <v/>
      </c>
      <c r="R191" s="180">
        <f>Schedule!D191</f>
        <v/>
      </c>
      <c r="S191" s="181">
        <f>Schedule!J191</f>
        <v/>
      </c>
      <c r="T191" s="193">
        <f>Y191-Z191</f>
        <v/>
      </c>
      <c r="U191" s="182">
        <f>T191/Picks!$K$2</f>
        <v/>
      </c>
      <c r="V191" s="193">
        <f>INDEX(Standings!$T$3:$T$34, MATCH(N191, Standings!$A$3:$A$34, 0)) - INDEX(Standings!$T$3:$T$34, MATCH(P191, Standings!$A$3:$A$34, 0))</f>
        <v/>
      </c>
      <c r="W191" s="157">
        <f>INDEX(Standings!$L$3:$L$34, MATCH(N191, Standings!$A$3:$A$34, 0)) - INDEX(Standings!$L$3:$L$34, MATCH(P191, Standings!$A$3:$A$34, 0))</f>
        <v/>
      </c>
      <c r="X191" s="157">
        <f>INDEX(Standings!$M$3:$M$34, MATCH(N191, Standings!$A$3:$A$34, 0)) - INDEX(Standings!$M$3:$M$34, MATCH(P191, Standings!$A$3:$A$34, 0))</f>
        <v/>
      </c>
      <c r="Y191" s="194">
        <f t="array" ref="Y191:Y191">IFERROR(AE191+(AL191-_DFactor)*AE191,"")</f>
        <v/>
      </c>
      <c r="Z191" s="157">
        <f>IFERROR(AF191+(AI191-_DFactor)*AF191,"")</f>
        <v/>
      </c>
      <c r="AC191" s="194">
        <f>VLOOKUP(M191&amp;N191,Schedule!A:F,6,0)</f>
        <v/>
      </c>
      <c r="AD191" s="194">
        <f>VLOOKUP(M191&amp;P191,Schedule!A:F,6,0)</f>
        <v/>
      </c>
      <c r="AE191" s="156">
        <f>VLOOKUP(N191,ProjPVT!B:I,8,0)*_Mag/VLOOKUP(P191,Standings!A:O,15,0)*H191*K191</f>
        <v/>
      </c>
      <c r="AF191" s="156">
        <f>VLOOKUP(P191,ProjPVT!B:I,8,0)*_Mag/VLOOKUP(N191,Standings!A:O,15,0)*J191*I191</f>
        <v/>
      </c>
      <c r="AG191" s="195">
        <f>VLOOKUP(N191,Matrix!AA:AC,3,0)</f>
        <v/>
      </c>
      <c r="AH191" s="195">
        <f>SUMIFS(Def!C:C,Def!F:F,AG191)</f>
        <v/>
      </c>
      <c r="AI191" s="156">
        <f>IFERROR(SUMIFS(Def!B:B,Def!F:F,AG191)/AH191,"")</f>
        <v/>
      </c>
      <c r="AJ191" s="195">
        <f>VLOOKUP(P191,Matrix!AA:AC,3,0)</f>
        <v/>
      </c>
      <c r="AK191" s="195">
        <f>SUMIFS(Def!C:C,Def!F:F,AJ191)</f>
        <v/>
      </c>
      <c r="AL191" s="156">
        <f>IFERROR(SUMIFS(Def!B:B,Def!F:F,AJ191)/AK191,"")</f>
        <v/>
      </c>
    </row>
    <row r="192" ht="14.4" customHeight="1" s="152">
      <c r="A192" s="157">
        <f>IF(F192="Yes",IFERROR(IF(AA192&gt;1,AA192/100,100/-AA192),""),-1)</f>
        <v/>
      </c>
      <c r="B192" s="157">
        <f>B191+1</f>
        <v/>
      </c>
      <c r="C192" s="157">
        <f>IF(Y192&gt;Z192,1,0)</f>
        <v/>
      </c>
      <c r="D192" s="157">
        <f>IF(AND(C192=1,F192="Yes"),"Yes",IF(AND(C192=0,F192="No"),"Yes","No"))</f>
        <v/>
      </c>
      <c r="E192" s="192">
        <f>IF((AC192+AB192)=AD192,"Push",IF((AC192+AB192)&gt;AD192,"Yes","No"))</f>
        <v/>
      </c>
      <c r="F192" s="192">
        <f>IF(AC192&gt;AD192,"Yes","No")</f>
        <v/>
      </c>
      <c r="G192" s="192">
        <f>IF((Y192+AB192)&gt;Z192,"Yes",IF((Y192+AB192)=Z192,"Push","No"))</f>
        <v/>
      </c>
      <c r="H192" s="157">
        <f>IF(O192="Home",VLOOKUP(N192,Matrix!A:S,19,0),1)</f>
        <v/>
      </c>
      <c r="I192" s="157">
        <f>IF(O192="Away",VLOOKUP(N192,Matrix!A:Z,20,0),1)</f>
        <v/>
      </c>
      <c r="J192" s="157">
        <f>IF(O192="Away",VLOOKUP(P192,Matrix!A:S,19,0),1)</f>
        <v/>
      </c>
      <c r="K192" s="157">
        <f>IF(O192="Home",VLOOKUP(P192,Matrix!A:Z,20,0),1)</f>
        <v/>
      </c>
      <c r="L192" s="156" t="n">
        <v>-0.228955663750229</v>
      </c>
      <c r="M192" s="179">
        <f>Schedule!B192</f>
        <v/>
      </c>
      <c r="N192" s="156">
        <f>Schedule!E192</f>
        <v/>
      </c>
      <c r="O192" s="156" t="inlineStr">
        <is>
          <t>Away</t>
        </is>
      </c>
      <c r="P192" s="157">
        <f>Schedule!H192</f>
        <v/>
      </c>
      <c r="Q192" s="157">
        <f>Schedule!C192</f>
        <v/>
      </c>
      <c r="R192" s="180">
        <f>Schedule!D192</f>
        <v/>
      </c>
      <c r="S192" s="181">
        <f>Schedule!J192</f>
        <v/>
      </c>
      <c r="T192" s="193">
        <f>Y192-Z192</f>
        <v/>
      </c>
      <c r="U192" s="182">
        <f>T192/Picks!$K$2</f>
        <v/>
      </c>
      <c r="V192" s="193">
        <f>INDEX(Standings!$T$3:$T$34, MATCH(N192, Standings!$A$3:$A$34, 0)) - INDEX(Standings!$T$3:$T$34, MATCH(P192, Standings!$A$3:$A$34, 0))</f>
        <v/>
      </c>
      <c r="W192" s="157">
        <f>INDEX(Standings!$L$3:$L$34, MATCH(N192, Standings!$A$3:$A$34, 0)) - INDEX(Standings!$L$3:$L$34, MATCH(P192, Standings!$A$3:$A$34, 0))</f>
        <v/>
      </c>
      <c r="X192" s="157">
        <f>INDEX(Standings!$M$3:$M$34, MATCH(N192, Standings!$A$3:$A$34, 0)) - INDEX(Standings!$M$3:$M$34, MATCH(P192, Standings!$A$3:$A$34, 0))</f>
        <v/>
      </c>
      <c r="Y192" s="194">
        <f t="array" ref="Y192:Y192">IFERROR(AE192+(AL192-_DFactor)*AE192,"")</f>
        <v/>
      </c>
      <c r="Z192" s="157">
        <f>IFERROR(AF192+(AI192-_DFactor)*AF192,"")</f>
        <v/>
      </c>
      <c r="AC192" s="194">
        <f>VLOOKUP(M192&amp;N192,Schedule!A:F,6,0)</f>
        <v/>
      </c>
      <c r="AD192" s="194">
        <f>VLOOKUP(M192&amp;P192,Schedule!A:F,6,0)</f>
        <v/>
      </c>
      <c r="AE192" s="156">
        <f>VLOOKUP(N192,ProjPVT!B:I,8,0)*_Mag/VLOOKUP(P192,Standings!A:O,15,0)*H192*K192</f>
        <v/>
      </c>
      <c r="AF192" s="156">
        <f>VLOOKUP(P192,ProjPVT!B:I,8,0)*_Mag/VLOOKUP(N192,Standings!A:O,15,0)*J192*I192</f>
        <v/>
      </c>
      <c r="AG192" s="195">
        <f>VLOOKUP(N192,Matrix!AA:AC,3,0)</f>
        <v/>
      </c>
      <c r="AH192" s="195">
        <f>SUMIFS(Def!C:C,Def!F:F,AG192)</f>
        <v/>
      </c>
      <c r="AI192" s="156">
        <f>IFERROR(SUMIFS(Def!B:B,Def!F:F,AG192)/AH192,"")</f>
        <v/>
      </c>
      <c r="AJ192" s="195">
        <f>VLOOKUP(P192,Matrix!AA:AC,3,0)</f>
        <v/>
      </c>
      <c r="AK192" s="195">
        <f>SUMIFS(Def!C:C,Def!F:F,AJ192)</f>
        <v/>
      </c>
      <c r="AL192" s="156">
        <f>IFERROR(SUMIFS(Def!B:B,Def!F:F,AJ192)/AK192,"")</f>
        <v/>
      </c>
    </row>
    <row r="193" ht="14.4" customHeight="1" s="152">
      <c r="A193" s="157">
        <f>IF(F193="Yes",IFERROR(IF(AA193&gt;1,AA193/100,100/-AA193),""),-1)</f>
        <v/>
      </c>
      <c r="B193" s="157">
        <f>B192+1</f>
        <v/>
      </c>
      <c r="C193" s="157">
        <f>IF(Y193&gt;Z193,1,0)</f>
        <v/>
      </c>
      <c r="D193" s="157">
        <f>IF(AND(C193=1,F193="Yes"),"Yes",IF(AND(C193=0,F193="No"),"Yes","No"))</f>
        <v/>
      </c>
      <c r="E193" s="192">
        <f>IF((AC193+AB193)=AD193,"Push",IF((AC193+AB193)&gt;AD193,"Yes","No"))</f>
        <v/>
      </c>
      <c r="F193" s="192">
        <f>IF(AC193&gt;AD193,"Yes","No")</f>
        <v/>
      </c>
      <c r="G193" s="192">
        <f>IF((Y193+AB193)&gt;Z193,"Yes",IF((Y193+AB193)=Z193,"Push","No"))</f>
        <v/>
      </c>
      <c r="H193" s="157">
        <f>IF(O193="Home",VLOOKUP(N193,Matrix!A:S,19,0),1)</f>
        <v/>
      </c>
      <c r="I193" s="157">
        <f>IF(O193="Away",VLOOKUP(N193,Matrix!A:Z,20,0),1)</f>
        <v/>
      </c>
      <c r="J193" s="157">
        <f>IF(O193="Away",VLOOKUP(P193,Matrix!A:S,19,0),1)</f>
        <v/>
      </c>
      <c r="K193" s="157">
        <f>IF(O193="Home",VLOOKUP(P193,Matrix!A:Z,20,0),1)</f>
        <v/>
      </c>
      <c r="L193" s="156" t="n">
        <v>-0.210128197701198</v>
      </c>
      <c r="M193" s="179">
        <f>Schedule!B193</f>
        <v/>
      </c>
      <c r="N193" s="156">
        <f>Schedule!E193</f>
        <v/>
      </c>
      <c r="O193" s="156" t="inlineStr">
        <is>
          <t>Away</t>
        </is>
      </c>
      <c r="P193" s="157">
        <f>Schedule!H193</f>
        <v/>
      </c>
      <c r="Q193" s="157">
        <f>Schedule!C193</f>
        <v/>
      </c>
      <c r="R193" s="180">
        <f>Schedule!D193</f>
        <v/>
      </c>
      <c r="S193" s="181">
        <f>Schedule!J193</f>
        <v/>
      </c>
      <c r="T193" s="193">
        <f>Y193-Z193</f>
        <v/>
      </c>
      <c r="U193" s="182">
        <f>T193/Picks!$K$2</f>
        <v/>
      </c>
      <c r="V193" s="193">
        <f>INDEX(Standings!$T$3:$T$34, MATCH(N193, Standings!$A$3:$A$34, 0)) - INDEX(Standings!$T$3:$T$34, MATCH(P193, Standings!$A$3:$A$34, 0))</f>
        <v/>
      </c>
      <c r="W193" s="157">
        <f>INDEX(Standings!$L$3:$L$34, MATCH(N193, Standings!$A$3:$A$34, 0)) - INDEX(Standings!$L$3:$L$34, MATCH(P193, Standings!$A$3:$A$34, 0))</f>
        <v/>
      </c>
      <c r="X193" s="157">
        <f>INDEX(Standings!$M$3:$M$34, MATCH(N193, Standings!$A$3:$A$34, 0)) - INDEX(Standings!$M$3:$M$34, MATCH(P193, Standings!$A$3:$A$34, 0))</f>
        <v/>
      </c>
      <c r="Y193" s="194">
        <f t="array" ref="Y193:Y193">IFERROR(AE193+(AL193-_DFactor)*AE193,"")</f>
        <v/>
      </c>
      <c r="Z193" s="157">
        <f>IFERROR(AF193+(AI193-_DFactor)*AF193,"")</f>
        <v/>
      </c>
      <c r="AC193" s="194">
        <f>VLOOKUP(M193&amp;N193,Schedule!A:F,6,0)</f>
        <v/>
      </c>
      <c r="AD193" s="194">
        <f>VLOOKUP(M193&amp;P193,Schedule!A:F,6,0)</f>
        <v/>
      </c>
      <c r="AE193" s="156">
        <f>VLOOKUP(N193,ProjPVT!B:I,8,0)*_Mag/VLOOKUP(P193,Standings!A:O,15,0)*H193*K193</f>
        <v/>
      </c>
      <c r="AF193" s="156">
        <f>VLOOKUP(P193,ProjPVT!B:I,8,0)*_Mag/VLOOKUP(N193,Standings!A:O,15,0)*J193*I193</f>
        <v/>
      </c>
      <c r="AG193" s="195">
        <f>VLOOKUP(N193,Matrix!AA:AC,3,0)</f>
        <v/>
      </c>
      <c r="AH193" s="195">
        <f>SUMIFS(Def!C:C,Def!F:F,AG193)</f>
        <v/>
      </c>
      <c r="AI193" s="156">
        <f>IFERROR(SUMIFS(Def!B:B,Def!F:F,AG193)/AH193,"")</f>
        <v/>
      </c>
      <c r="AJ193" s="195">
        <f>VLOOKUP(P193,Matrix!AA:AC,3,0)</f>
        <v/>
      </c>
      <c r="AK193" s="195">
        <f>SUMIFS(Def!C:C,Def!F:F,AJ193)</f>
        <v/>
      </c>
      <c r="AL193" s="156">
        <f>IFERROR(SUMIFS(Def!B:B,Def!F:F,AJ193)/AK193,"")</f>
        <v/>
      </c>
    </row>
    <row r="194" ht="14.4" customHeight="1" s="152">
      <c r="A194" s="157">
        <f>IF(F194="Yes",IFERROR(IF(AA194&gt;1,AA194/100,100/-AA194),""),-1)</f>
        <v/>
      </c>
      <c r="B194" s="157">
        <f>B193+1</f>
        <v/>
      </c>
      <c r="C194" s="157">
        <f>IF(Y194&gt;Z194,1,0)</f>
        <v/>
      </c>
      <c r="D194" s="157">
        <f>IF(AND(C194=1,F194="Yes"),"Yes",IF(AND(C194=0,F194="No"),"Yes","No"))</f>
        <v/>
      </c>
      <c r="E194" s="192">
        <f>IF((AC194+AB194)=AD194,"Push",IF((AC194+AB194)&gt;AD194,"Yes","No"))</f>
        <v/>
      </c>
      <c r="F194" s="192">
        <f>IF(AC194&gt;AD194,"Yes","No")</f>
        <v/>
      </c>
      <c r="G194" s="192">
        <f>IF((Y194+AB194)&gt;Z194,"Yes",IF((Y194+AB194)=Z194,"Push","No"))</f>
        <v/>
      </c>
      <c r="H194" s="157">
        <f>IF(O194="Home",VLOOKUP(N194,Matrix!A:S,19,0),1)</f>
        <v/>
      </c>
      <c r="I194" s="157">
        <f>IF(O194="Away",VLOOKUP(N194,Matrix!A:Z,20,0),1)</f>
        <v/>
      </c>
      <c r="J194" s="157">
        <f>IF(O194="Away",VLOOKUP(P194,Matrix!A:S,19,0),1)</f>
        <v/>
      </c>
      <c r="K194" s="157">
        <f>IF(O194="Home",VLOOKUP(P194,Matrix!A:Z,20,0),1)</f>
        <v/>
      </c>
      <c r="L194" s="156" t="n">
        <v>-0.203671651336829</v>
      </c>
      <c r="M194" s="179">
        <f>Schedule!B194</f>
        <v/>
      </c>
      <c r="N194" s="156">
        <f>Schedule!E194</f>
        <v/>
      </c>
      <c r="O194" s="156" t="inlineStr">
        <is>
          <t>Away</t>
        </is>
      </c>
      <c r="P194" s="157">
        <f>Schedule!H194</f>
        <v/>
      </c>
      <c r="Q194" s="157">
        <f>Schedule!C194</f>
        <v/>
      </c>
      <c r="R194" s="180">
        <f>Schedule!D194</f>
        <v/>
      </c>
      <c r="S194" s="181">
        <f>Schedule!J194</f>
        <v/>
      </c>
      <c r="T194" s="193">
        <f>Y194-Z194</f>
        <v/>
      </c>
      <c r="U194" s="182">
        <f>T194/Picks!$K$2</f>
        <v/>
      </c>
      <c r="V194" s="193">
        <f>INDEX(Standings!$T$3:$T$34, MATCH(N194, Standings!$A$3:$A$34, 0)) - INDEX(Standings!$T$3:$T$34, MATCH(P194, Standings!$A$3:$A$34, 0))</f>
        <v/>
      </c>
      <c r="W194" s="157">
        <f>INDEX(Standings!$L$3:$L$34, MATCH(N194, Standings!$A$3:$A$34, 0)) - INDEX(Standings!$L$3:$L$34, MATCH(P194, Standings!$A$3:$A$34, 0))</f>
        <v/>
      </c>
      <c r="X194" s="157">
        <f>INDEX(Standings!$M$3:$M$34, MATCH(N194, Standings!$A$3:$A$34, 0)) - INDEX(Standings!$M$3:$M$34, MATCH(P194, Standings!$A$3:$A$34, 0))</f>
        <v/>
      </c>
      <c r="Y194" s="194">
        <f t="array" ref="Y194:Y194">IFERROR(AE194+(AL194-_DFactor)*AE194,"")</f>
        <v/>
      </c>
      <c r="Z194" s="157">
        <f>IFERROR(AF194+(AI194-_DFactor)*AF194,"")</f>
        <v/>
      </c>
      <c r="AC194" s="194">
        <f>VLOOKUP(M194&amp;N194,Schedule!A:F,6,0)</f>
        <v/>
      </c>
      <c r="AD194" s="194">
        <f>VLOOKUP(M194&amp;P194,Schedule!A:F,6,0)</f>
        <v/>
      </c>
      <c r="AE194" s="156">
        <f>VLOOKUP(N194,ProjPVT!B:I,8,0)*_Mag/VLOOKUP(P194,Standings!A:O,15,0)*H194*K194</f>
        <v/>
      </c>
      <c r="AF194" s="156">
        <f>VLOOKUP(P194,ProjPVT!B:I,8,0)*_Mag/VLOOKUP(N194,Standings!A:O,15,0)*J194*I194</f>
        <v/>
      </c>
      <c r="AG194" s="195">
        <f>VLOOKUP(N194,Matrix!AA:AC,3,0)</f>
        <v/>
      </c>
      <c r="AH194" s="195">
        <f>SUMIFS(Def!C:C,Def!F:F,AG194)</f>
        <v/>
      </c>
      <c r="AI194" s="156">
        <f>IFERROR(SUMIFS(Def!B:B,Def!F:F,AG194)/AH194,"")</f>
        <v/>
      </c>
      <c r="AJ194" s="195">
        <f>VLOOKUP(P194,Matrix!AA:AC,3,0)</f>
        <v/>
      </c>
      <c r="AK194" s="195">
        <f>SUMIFS(Def!C:C,Def!F:F,AJ194)</f>
        <v/>
      </c>
      <c r="AL194" s="156">
        <f>IFERROR(SUMIFS(Def!B:B,Def!F:F,AJ194)/AK194,"")</f>
        <v/>
      </c>
    </row>
    <row r="195" ht="14.4" customHeight="1" s="152">
      <c r="A195" s="157">
        <f>IF(F195="Yes",IFERROR(IF(AA195&gt;1,AA195/100,100/-AA195),""),-1)</f>
        <v/>
      </c>
      <c r="B195" s="157">
        <f>B194+1</f>
        <v/>
      </c>
      <c r="C195" s="157">
        <f>IF(Y195&gt;Z195,1,0)</f>
        <v/>
      </c>
      <c r="D195" s="157">
        <f>IF(AND(C195=1,F195="Yes"),"Yes",IF(AND(C195=0,F195="No"),"Yes","No"))</f>
        <v/>
      </c>
      <c r="E195" s="192">
        <f>IF((AC195+AB195)=AD195,"Push",IF((AC195+AB195)&gt;AD195,"Yes","No"))</f>
        <v/>
      </c>
      <c r="F195" s="192">
        <f>IF(AC195&gt;AD195,"Yes","No")</f>
        <v/>
      </c>
      <c r="G195" s="192">
        <f>IF((Y195+AB195)&gt;Z195,"Yes",IF((Y195+AB195)=Z195,"Push","No"))</f>
        <v/>
      </c>
      <c r="H195" s="157">
        <f>IF(O195="Home",VLOOKUP(N195,Matrix!A:S,19,0),1)</f>
        <v/>
      </c>
      <c r="I195" s="157">
        <f>IF(O195="Away",VLOOKUP(N195,Matrix!A:Z,20,0),1)</f>
        <v/>
      </c>
      <c r="J195" s="157">
        <f>IF(O195="Away",VLOOKUP(P195,Matrix!A:S,19,0),1)</f>
        <v/>
      </c>
      <c r="K195" s="157">
        <f>IF(O195="Home",VLOOKUP(P195,Matrix!A:Z,20,0),1)</f>
        <v/>
      </c>
      <c r="L195" s="156" t="n">
        <v>-0.171147856256238</v>
      </c>
      <c r="M195" s="179">
        <f>Schedule!B195</f>
        <v/>
      </c>
      <c r="N195" s="156">
        <f>Schedule!E195</f>
        <v/>
      </c>
      <c r="O195" s="156" t="inlineStr">
        <is>
          <t>Home</t>
        </is>
      </c>
      <c r="P195" s="157">
        <f>Schedule!H195</f>
        <v/>
      </c>
      <c r="Q195" s="157">
        <f>Schedule!C195</f>
        <v/>
      </c>
      <c r="R195" s="180">
        <f>Schedule!D195</f>
        <v/>
      </c>
      <c r="S195" s="181">
        <f>Schedule!J195</f>
        <v/>
      </c>
      <c r="T195" s="193">
        <f>Y195-Z195</f>
        <v/>
      </c>
      <c r="U195" s="182">
        <f>T195/Picks!$K$2</f>
        <v/>
      </c>
      <c r="V195" s="193">
        <f>INDEX(Standings!$T$3:$T$34, MATCH(N195, Standings!$A$3:$A$34, 0)) - INDEX(Standings!$T$3:$T$34, MATCH(P195, Standings!$A$3:$A$34, 0))</f>
        <v/>
      </c>
      <c r="W195" s="157">
        <f>INDEX(Standings!$L$3:$L$34, MATCH(N195, Standings!$A$3:$A$34, 0)) - INDEX(Standings!$L$3:$L$34, MATCH(P195, Standings!$A$3:$A$34, 0))</f>
        <v/>
      </c>
      <c r="X195" s="157">
        <f>INDEX(Standings!$M$3:$M$34, MATCH(N195, Standings!$A$3:$A$34, 0)) - INDEX(Standings!$M$3:$M$34, MATCH(P195, Standings!$A$3:$A$34, 0))</f>
        <v/>
      </c>
      <c r="Y195" s="194">
        <f t="array" ref="Y195:Y195">IFERROR(AE195+(AL195-_DFactor)*AE195,"")</f>
        <v/>
      </c>
      <c r="Z195" s="157">
        <f>IFERROR(AF195+(AI195-_DFactor)*AF195,"")</f>
        <v/>
      </c>
      <c r="AC195" s="194">
        <f>VLOOKUP(M195&amp;N195,Schedule!A:F,6,0)</f>
        <v/>
      </c>
      <c r="AD195" s="194">
        <f>VLOOKUP(M195&amp;P195,Schedule!A:F,6,0)</f>
        <v/>
      </c>
      <c r="AE195" s="156">
        <f>VLOOKUP(N195,ProjPVT!B:I,8,0)*_Mag/VLOOKUP(P195,Standings!A:O,15,0)*H195*K195</f>
        <v/>
      </c>
      <c r="AF195" s="156">
        <f>VLOOKUP(P195,ProjPVT!B:I,8,0)*_Mag/VLOOKUP(N195,Standings!A:O,15,0)*J195*I195</f>
        <v/>
      </c>
      <c r="AG195" s="195">
        <f>VLOOKUP(N195,Matrix!AA:AC,3,0)</f>
        <v/>
      </c>
      <c r="AH195" s="195">
        <f>SUMIFS(Def!C:C,Def!F:F,AG195)</f>
        <v/>
      </c>
      <c r="AI195" s="156">
        <f>IFERROR(SUMIFS(Def!B:B,Def!F:F,AG195)/AH195,"")</f>
        <v/>
      </c>
      <c r="AJ195" s="195">
        <f>VLOOKUP(P195,Matrix!AA:AC,3,0)</f>
        <v/>
      </c>
      <c r="AK195" s="195">
        <f>SUMIFS(Def!C:C,Def!F:F,AJ195)</f>
        <v/>
      </c>
      <c r="AL195" s="156">
        <f>IFERROR(SUMIFS(Def!B:B,Def!F:F,AJ195)/AK195,"")</f>
        <v/>
      </c>
    </row>
    <row r="196" ht="14.4" customHeight="1" s="152">
      <c r="A196" s="157">
        <f>IF(F196="Yes",IFERROR(IF(AA196&gt;1,AA196/100,100/-AA196),""),-1)</f>
        <v/>
      </c>
      <c r="B196" s="157">
        <f>B195+1</f>
        <v/>
      </c>
      <c r="C196" s="157">
        <f>IF(Y196&gt;Z196,1,0)</f>
        <v/>
      </c>
      <c r="D196" s="157">
        <f>IF(AND(C196=1,F196="Yes"),"Yes",IF(AND(C196=0,F196="No"),"Yes","No"))</f>
        <v/>
      </c>
      <c r="E196" s="192">
        <f>IF((AC196+AB196)=AD196,"Push",IF((AC196+AB196)&gt;AD196,"Yes","No"))</f>
        <v/>
      </c>
      <c r="F196" s="192">
        <f>IF(AC196&gt;AD196,"Yes","No")</f>
        <v/>
      </c>
      <c r="G196" s="192">
        <f>IF((Y196+AB196)&gt;Z196,"Yes",IF((Y196+AB196)=Z196,"Push","No"))</f>
        <v/>
      </c>
      <c r="H196" s="157">
        <f>IF(O196="Home",VLOOKUP(N196,Matrix!A:S,19,0),1)</f>
        <v/>
      </c>
      <c r="I196" s="157">
        <f>IF(O196="Away",VLOOKUP(N196,Matrix!A:Z,20,0),1)</f>
        <v/>
      </c>
      <c r="J196" s="157">
        <f>IF(O196="Away",VLOOKUP(P196,Matrix!A:S,19,0),1)</f>
        <v/>
      </c>
      <c r="K196" s="157">
        <f>IF(O196="Home",VLOOKUP(P196,Matrix!A:Z,20,0),1)</f>
        <v/>
      </c>
      <c r="L196" s="156" t="n">
        <v>-0.140231517444555</v>
      </c>
      <c r="M196" s="179">
        <f>Schedule!B196</f>
        <v/>
      </c>
      <c r="N196" s="156">
        <f>Schedule!E196</f>
        <v/>
      </c>
      <c r="O196" s="156" t="inlineStr">
        <is>
          <t>Home</t>
        </is>
      </c>
      <c r="P196" s="157">
        <f>Schedule!H196</f>
        <v/>
      </c>
      <c r="Q196" s="157">
        <f>Schedule!C196</f>
        <v/>
      </c>
      <c r="R196" s="180">
        <f>Schedule!D196</f>
        <v/>
      </c>
      <c r="S196" s="181">
        <f>Schedule!J196</f>
        <v/>
      </c>
      <c r="T196" s="193">
        <f>Y196-Z196</f>
        <v/>
      </c>
      <c r="U196" s="182">
        <f>T196/Picks!$K$2</f>
        <v/>
      </c>
      <c r="V196" s="193">
        <f>INDEX(Standings!$T$3:$T$34, MATCH(N196, Standings!$A$3:$A$34, 0)) - INDEX(Standings!$T$3:$T$34, MATCH(P196, Standings!$A$3:$A$34, 0))</f>
        <v/>
      </c>
      <c r="W196" s="157">
        <f>INDEX(Standings!$L$3:$L$34, MATCH(N196, Standings!$A$3:$A$34, 0)) - INDEX(Standings!$L$3:$L$34, MATCH(P196, Standings!$A$3:$A$34, 0))</f>
        <v/>
      </c>
      <c r="X196" s="157">
        <f>INDEX(Standings!$M$3:$M$34, MATCH(N196, Standings!$A$3:$A$34, 0)) - INDEX(Standings!$M$3:$M$34, MATCH(P196, Standings!$A$3:$A$34, 0))</f>
        <v/>
      </c>
      <c r="Y196" s="194">
        <f t="array" ref="Y196:Y196">IFERROR(AE196+(AL196-_DFactor)*AE196,"")</f>
        <v/>
      </c>
      <c r="Z196" s="157">
        <f>IFERROR(AF196+(AI196-_DFactor)*AF196,"")</f>
        <v/>
      </c>
      <c r="AC196" s="194">
        <f>VLOOKUP(M196&amp;N196,Schedule!A:F,6,0)</f>
        <v/>
      </c>
      <c r="AD196" s="194">
        <f>VLOOKUP(M196&amp;P196,Schedule!A:F,6,0)</f>
        <v/>
      </c>
      <c r="AE196" s="156">
        <f>VLOOKUP(N196,ProjPVT!B:I,8,0)*_Mag/VLOOKUP(P196,Standings!A:O,15,0)*H196*K196</f>
        <v/>
      </c>
      <c r="AF196" s="156">
        <f>VLOOKUP(P196,ProjPVT!B:I,8,0)*_Mag/VLOOKUP(N196,Standings!A:O,15,0)*J196*I196</f>
        <v/>
      </c>
      <c r="AG196" s="195">
        <f>VLOOKUP(N196,Matrix!AA:AC,3,0)</f>
        <v/>
      </c>
      <c r="AH196" s="195">
        <f>SUMIFS(Def!C:C,Def!F:F,AG196)</f>
        <v/>
      </c>
      <c r="AI196" s="156">
        <f>IFERROR(SUMIFS(Def!B:B,Def!F:F,AG196)/AH196,"")</f>
        <v/>
      </c>
      <c r="AJ196" s="195">
        <f>VLOOKUP(P196,Matrix!AA:AC,3,0)</f>
        <v/>
      </c>
      <c r="AK196" s="195">
        <f>SUMIFS(Def!C:C,Def!F:F,AJ196)</f>
        <v/>
      </c>
      <c r="AL196" s="156">
        <f>IFERROR(SUMIFS(Def!B:B,Def!F:F,AJ196)/AK196,"")</f>
        <v/>
      </c>
    </row>
    <row r="197" ht="14.4" customHeight="1" s="152">
      <c r="A197" s="157">
        <f>IF(F197="Yes",IFERROR(IF(AA197&gt;1,AA197/100,100/-AA197),""),-1)</f>
        <v/>
      </c>
      <c r="B197" s="157">
        <f>B196+1</f>
        <v/>
      </c>
      <c r="C197" s="157">
        <f>IF(Y197&gt;Z197,1,0)</f>
        <v/>
      </c>
      <c r="D197" s="157">
        <f>IF(AND(C197=1,F197="Yes"),"Yes",IF(AND(C197=0,F197="No"),"Yes","No"))</f>
        <v/>
      </c>
      <c r="E197" s="192">
        <f>IF((AC197+AB197)=AD197,"Push",IF((AC197+AB197)&gt;AD197,"Yes","No"))</f>
        <v/>
      </c>
      <c r="F197" s="192">
        <f>IF(AC197&gt;AD197,"Yes","No")</f>
        <v/>
      </c>
      <c r="G197" s="192">
        <f>IF((Y197+AB197)&gt;Z197,"Yes",IF((Y197+AB197)=Z197,"Push","No"))</f>
        <v/>
      </c>
      <c r="H197" s="157">
        <f>IF(O197="Home",VLOOKUP(N197,Matrix!A:S,19,0),1)</f>
        <v/>
      </c>
      <c r="I197" s="157">
        <f>IF(O197="Away",VLOOKUP(N197,Matrix!A:Z,20,0),1)</f>
        <v/>
      </c>
      <c r="J197" s="157">
        <f>IF(O197="Away",VLOOKUP(P197,Matrix!A:S,19,0),1)</f>
        <v/>
      </c>
      <c r="K197" s="157">
        <f>IF(O197="Home",VLOOKUP(P197,Matrix!A:Z,20,0),1)</f>
        <v/>
      </c>
      <c r="L197" s="156" t="n">
        <v>-0.108777705581915</v>
      </c>
      <c r="M197" s="179">
        <f>Schedule!B197</f>
        <v/>
      </c>
      <c r="N197" s="156">
        <f>Schedule!E197</f>
        <v/>
      </c>
      <c r="O197" s="156" t="inlineStr">
        <is>
          <t>Away</t>
        </is>
      </c>
      <c r="P197" s="157">
        <f>Schedule!H197</f>
        <v/>
      </c>
      <c r="Q197" s="157">
        <f>Schedule!C197</f>
        <v/>
      </c>
      <c r="R197" s="180">
        <f>Schedule!D197</f>
        <v/>
      </c>
      <c r="S197" s="181">
        <f>Schedule!J197</f>
        <v/>
      </c>
      <c r="T197" s="193">
        <f>Y197-Z197</f>
        <v/>
      </c>
      <c r="U197" s="182">
        <f>T197/Picks!$K$2</f>
        <v/>
      </c>
      <c r="V197" s="193">
        <f>INDEX(Standings!$T$3:$T$34, MATCH(N197, Standings!$A$3:$A$34, 0)) - INDEX(Standings!$T$3:$T$34, MATCH(P197, Standings!$A$3:$A$34, 0))</f>
        <v/>
      </c>
      <c r="W197" s="157">
        <f>INDEX(Standings!$L$3:$L$34, MATCH(N197, Standings!$A$3:$A$34, 0)) - INDEX(Standings!$L$3:$L$34, MATCH(P197, Standings!$A$3:$A$34, 0))</f>
        <v/>
      </c>
      <c r="X197" s="157">
        <f>INDEX(Standings!$M$3:$M$34, MATCH(N197, Standings!$A$3:$A$34, 0)) - INDEX(Standings!$M$3:$M$34, MATCH(P197, Standings!$A$3:$A$34, 0))</f>
        <v/>
      </c>
      <c r="Y197" s="194">
        <f t="array" ref="Y197:Y197">IFERROR(AE197+(AL197-_DFactor)*AE197,"")</f>
        <v/>
      </c>
      <c r="Z197" s="157">
        <f>IFERROR(AF197+(AI197-_DFactor)*AF197,"")</f>
        <v/>
      </c>
      <c r="AC197" s="194">
        <f>VLOOKUP(M197&amp;N197,Schedule!A:F,6,0)</f>
        <v/>
      </c>
      <c r="AD197" s="194">
        <f>VLOOKUP(M197&amp;P197,Schedule!A:F,6,0)</f>
        <v/>
      </c>
      <c r="AE197" s="156">
        <f>VLOOKUP(N197,ProjPVT!B:I,8,0)*_Mag/VLOOKUP(P197,Standings!A:O,15,0)*H197*K197</f>
        <v/>
      </c>
      <c r="AF197" s="156">
        <f>VLOOKUP(P197,ProjPVT!B:I,8,0)*_Mag/VLOOKUP(N197,Standings!A:O,15,0)*J197*I197</f>
        <v/>
      </c>
      <c r="AG197" s="195">
        <f>VLOOKUP(N197,Matrix!AA:AC,3,0)</f>
        <v/>
      </c>
      <c r="AH197" s="195">
        <f>SUMIFS(Def!C:C,Def!F:F,AG197)</f>
        <v/>
      </c>
      <c r="AI197" s="156">
        <f>IFERROR(SUMIFS(Def!B:B,Def!F:F,AG197)/AH197,"")</f>
        <v/>
      </c>
      <c r="AJ197" s="195">
        <f>VLOOKUP(P197,Matrix!AA:AC,3,0)</f>
        <v/>
      </c>
      <c r="AK197" s="195">
        <f>SUMIFS(Def!C:C,Def!F:F,AJ197)</f>
        <v/>
      </c>
      <c r="AL197" s="156">
        <f>IFERROR(SUMIFS(Def!B:B,Def!F:F,AJ197)/AK197,"")</f>
        <v/>
      </c>
    </row>
    <row r="198" ht="14.4" customHeight="1" s="152">
      <c r="A198" s="157">
        <f>IF(F198="Yes",IFERROR(IF(AA198&gt;1,AA198/100,100/-AA198),""),-1)</f>
        <v/>
      </c>
      <c r="B198" s="157">
        <f>B197+1</f>
        <v/>
      </c>
      <c r="C198" s="157">
        <f>IF(Y198&gt;Z198,1,0)</f>
        <v/>
      </c>
      <c r="D198" s="157">
        <f>IF(AND(C198=1,F198="Yes"),"Yes",IF(AND(C198=0,F198="No"),"Yes","No"))</f>
        <v/>
      </c>
      <c r="E198" s="192">
        <f>IF((AC198+AB198)=AD198,"Push",IF((AC198+AB198)&gt;AD198,"Yes","No"))</f>
        <v/>
      </c>
      <c r="F198" s="192">
        <f>IF(AC198&gt;AD198,"Yes","No")</f>
        <v/>
      </c>
      <c r="G198" s="192">
        <f>IF((Y198+AB198)&gt;Z198,"Yes",IF((Y198+AB198)=Z198,"Push","No"))</f>
        <v/>
      </c>
      <c r="H198" s="157">
        <f>IF(O198="Home",VLOOKUP(N198,Matrix!A:S,19,0),1)</f>
        <v/>
      </c>
      <c r="I198" s="157">
        <f>IF(O198="Away",VLOOKUP(N198,Matrix!A:Z,20,0),1)</f>
        <v/>
      </c>
      <c r="J198" s="157">
        <f>IF(O198="Away",VLOOKUP(P198,Matrix!A:S,19,0),1)</f>
        <v/>
      </c>
      <c r="K198" s="157">
        <f>IF(O198="Home",VLOOKUP(P198,Matrix!A:Z,20,0),1)</f>
        <v/>
      </c>
      <c r="L198" s="156" t="n">
        <v>-0.0927871374281921</v>
      </c>
      <c r="M198" s="179">
        <f>Schedule!B198</f>
        <v/>
      </c>
      <c r="N198" s="156">
        <f>Schedule!E198</f>
        <v/>
      </c>
      <c r="O198" s="156" t="inlineStr">
        <is>
          <t>Away</t>
        </is>
      </c>
      <c r="P198" s="157">
        <f>Schedule!H198</f>
        <v/>
      </c>
      <c r="Q198" s="157">
        <f>Schedule!C198</f>
        <v/>
      </c>
      <c r="R198" s="180">
        <f>Schedule!D198</f>
        <v/>
      </c>
      <c r="S198" s="181">
        <f>Schedule!J198</f>
        <v/>
      </c>
      <c r="T198" s="193">
        <f>Y198-Z198</f>
        <v/>
      </c>
      <c r="U198" s="182">
        <f>T198/Picks!$K$2</f>
        <v/>
      </c>
      <c r="V198" s="193">
        <f>INDEX(Standings!$T$3:$T$34, MATCH(N198, Standings!$A$3:$A$34, 0)) - INDEX(Standings!$T$3:$T$34, MATCH(P198, Standings!$A$3:$A$34, 0))</f>
        <v/>
      </c>
      <c r="W198" s="157">
        <f>INDEX(Standings!$L$3:$L$34, MATCH(N198, Standings!$A$3:$A$34, 0)) - INDEX(Standings!$L$3:$L$34, MATCH(P198, Standings!$A$3:$A$34, 0))</f>
        <v/>
      </c>
      <c r="X198" s="157">
        <f>INDEX(Standings!$M$3:$M$34, MATCH(N198, Standings!$A$3:$A$34, 0)) - INDEX(Standings!$M$3:$M$34, MATCH(P198, Standings!$A$3:$A$34, 0))</f>
        <v/>
      </c>
      <c r="Y198" s="194">
        <f t="array" ref="Y198:Y198">IFERROR(AE198+(AL198-_DFactor)*AE198,"")</f>
        <v/>
      </c>
      <c r="Z198" s="157">
        <f>IFERROR(AF198+(AI198-_DFactor)*AF198,"")</f>
        <v/>
      </c>
      <c r="AC198" s="194">
        <f>VLOOKUP(M198&amp;N198,Schedule!A:F,6,0)</f>
        <v/>
      </c>
      <c r="AD198" s="194">
        <f>VLOOKUP(M198&amp;P198,Schedule!A:F,6,0)</f>
        <v/>
      </c>
      <c r="AE198" s="156">
        <f>VLOOKUP(N198,ProjPVT!B:I,8,0)*_Mag/VLOOKUP(P198,Standings!A:O,15,0)*H198*K198</f>
        <v/>
      </c>
      <c r="AF198" s="156">
        <f>VLOOKUP(P198,ProjPVT!B:I,8,0)*_Mag/VLOOKUP(N198,Standings!A:O,15,0)*J198*I198</f>
        <v/>
      </c>
      <c r="AG198" s="195">
        <f>VLOOKUP(N198,Matrix!AA:AC,3,0)</f>
        <v/>
      </c>
      <c r="AH198" s="195">
        <f>SUMIFS(Def!C:C,Def!F:F,AG198)</f>
        <v/>
      </c>
      <c r="AI198" s="156">
        <f>IFERROR(SUMIFS(Def!B:B,Def!F:F,AG198)/AH198,"")</f>
        <v/>
      </c>
      <c r="AJ198" s="195">
        <f>VLOOKUP(P198,Matrix!AA:AC,3,0)</f>
        <v/>
      </c>
      <c r="AK198" s="195">
        <f>SUMIFS(Def!C:C,Def!F:F,AJ198)</f>
        <v/>
      </c>
      <c r="AL198" s="156">
        <f>IFERROR(SUMIFS(Def!B:B,Def!F:F,AJ198)/AK198,"")</f>
        <v/>
      </c>
    </row>
    <row r="199" ht="14.4" customHeight="1" s="152">
      <c r="A199" s="157">
        <f>IF(F199="Yes",IFERROR(IF(AA199&gt;1,AA199/100,100/-AA199),""),-1)</f>
        <v/>
      </c>
      <c r="B199" s="157">
        <f>B198+1</f>
        <v/>
      </c>
      <c r="C199" s="157">
        <f>IF(Y199&gt;Z199,1,0)</f>
        <v/>
      </c>
      <c r="D199" s="157">
        <f>IF(AND(C199=1,F199="Yes"),"Yes",IF(AND(C199=0,F199="No"),"Yes","No"))</f>
        <v/>
      </c>
      <c r="E199" s="192">
        <f>IF((AC199+AB199)=AD199,"Push",IF((AC199+AB199)&gt;AD199,"Yes","No"))</f>
        <v/>
      </c>
      <c r="F199" s="192">
        <f>IF(AC199&gt;AD199,"Yes","No")</f>
        <v/>
      </c>
      <c r="G199" s="192">
        <f>IF((Y199+AB199)&gt;Z199,"Yes",IF((Y199+AB199)=Z199,"Push","No"))</f>
        <v/>
      </c>
      <c r="H199" s="157">
        <f>IF(O199="Home",VLOOKUP(N199,Matrix!A:S,19,0),1)</f>
        <v/>
      </c>
      <c r="I199" s="157">
        <f>IF(O199="Away",VLOOKUP(N199,Matrix!A:Z,20,0),1)</f>
        <v/>
      </c>
      <c r="J199" s="157">
        <f>IF(O199="Away",VLOOKUP(P199,Matrix!A:S,19,0),1)</f>
        <v/>
      </c>
      <c r="K199" s="157">
        <f>IF(O199="Home",VLOOKUP(P199,Matrix!A:Z,20,0),1)</f>
        <v/>
      </c>
      <c r="L199" s="156" t="n">
        <v>-0.0846194454750914</v>
      </c>
      <c r="M199" s="179">
        <f>Schedule!B199</f>
        <v/>
      </c>
      <c r="N199" s="156">
        <f>Schedule!E199</f>
        <v/>
      </c>
      <c r="O199" s="156" t="inlineStr">
        <is>
          <t>Away</t>
        </is>
      </c>
      <c r="P199" s="157">
        <f>Schedule!H199</f>
        <v/>
      </c>
      <c r="Q199" s="157">
        <f>Schedule!C199</f>
        <v/>
      </c>
      <c r="R199" s="180">
        <f>Schedule!D199</f>
        <v/>
      </c>
      <c r="S199" s="181">
        <f>Schedule!J199</f>
        <v/>
      </c>
      <c r="T199" s="193">
        <f>Y199-Z199</f>
        <v/>
      </c>
      <c r="U199" s="182">
        <f>T199/Picks!$K$2</f>
        <v/>
      </c>
      <c r="V199" s="193">
        <f>INDEX(Standings!$T$3:$T$34, MATCH(N199, Standings!$A$3:$A$34, 0)) - INDEX(Standings!$T$3:$T$34, MATCH(P199, Standings!$A$3:$A$34, 0))</f>
        <v/>
      </c>
      <c r="W199" s="157">
        <f>INDEX(Standings!$L$3:$L$34, MATCH(N199, Standings!$A$3:$A$34, 0)) - INDEX(Standings!$L$3:$L$34, MATCH(P199, Standings!$A$3:$A$34, 0))</f>
        <v/>
      </c>
      <c r="X199" s="157">
        <f>INDEX(Standings!$M$3:$M$34, MATCH(N199, Standings!$A$3:$A$34, 0)) - INDEX(Standings!$M$3:$M$34, MATCH(P199, Standings!$A$3:$A$34, 0))</f>
        <v/>
      </c>
      <c r="Y199" s="194">
        <f t="array" ref="Y199:Y199">IFERROR(AE199+(AL199-_DFactor)*AE199,"")</f>
        <v/>
      </c>
      <c r="Z199" s="157">
        <f>IFERROR(AF199+(AI199-_DFactor)*AF199,"")</f>
        <v/>
      </c>
      <c r="AC199" s="194">
        <f>VLOOKUP(M199&amp;N199,Schedule!A:F,6,0)</f>
        <v/>
      </c>
      <c r="AD199" s="194">
        <f>VLOOKUP(M199&amp;P199,Schedule!A:F,6,0)</f>
        <v/>
      </c>
      <c r="AE199" s="156">
        <f>VLOOKUP(N199,ProjPVT!B:I,8,0)*_Mag/VLOOKUP(P199,Standings!A:O,15,0)*H199*K199</f>
        <v/>
      </c>
      <c r="AF199" s="156">
        <f>VLOOKUP(P199,ProjPVT!B:I,8,0)*_Mag/VLOOKUP(N199,Standings!A:O,15,0)*J199*I199</f>
        <v/>
      </c>
      <c r="AG199" s="195">
        <f>VLOOKUP(N199,Matrix!AA:AC,3,0)</f>
        <v/>
      </c>
      <c r="AH199" s="195">
        <f>SUMIFS(Def!C:C,Def!F:F,AG199)</f>
        <v/>
      </c>
      <c r="AI199" s="156">
        <f>IFERROR(SUMIFS(Def!B:B,Def!F:F,AG199)/AH199,"")</f>
        <v/>
      </c>
      <c r="AJ199" s="195">
        <f>VLOOKUP(P199,Matrix!AA:AC,3,0)</f>
        <v/>
      </c>
      <c r="AK199" s="195">
        <f>SUMIFS(Def!C:C,Def!F:F,AJ199)</f>
        <v/>
      </c>
      <c r="AL199" s="156">
        <f>IFERROR(SUMIFS(Def!B:B,Def!F:F,AJ199)/AK199,"")</f>
        <v/>
      </c>
    </row>
    <row r="200" ht="14.4" customHeight="1" s="152">
      <c r="A200" s="157">
        <f>IF(F200="Yes",IFERROR(IF(AA200&gt;1,AA200/100,100/-AA200),""),-1)</f>
        <v/>
      </c>
      <c r="B200" s="157">
        <f>B199+1</f>
        <v/>
      </c>
      <c r="C200" s="157">
        <f>IF(Y200&gt;Z200,1,0)</f>
        <v/>
      </c>
      <c r="D200" s="157">
        <f>IF(AND(C200=1,F200="Yes"),"Yes",IF(AND(C200=0,F200="No"),"Yes","No"))</f>
        <v/>
      </c>
      <c r="E200" s="192">
        <f>IF((AC200+AB200)=AD200,"Push",IF((AC200+AB200)&gt;AD200,"Yes","No"))</f>
        <v/>
      </c>
      <c r="F200" s="192">
        <f>IF(AC200&gt;AD200,"Yes","No")</f>
        <v/>
      </c>
      <c r="G200" s="192">
        <f>IF((Y200+AB200)&gt;Z200,"Yes",IF((Y200+AB200)=Z200,"Push","No"))</f>
        <v/>
      </c>
      <c r="H200" s="157">
        <f>IF(O200="Home",VLOOKUP(N200,Matrix!A:S,19,0),1)</f>
        <v/>
      </c>
      <c r="I200" s="157">
        <f>IF(O200="Away",VLOOKUP(N200,Matrix!A:Z,20,0),1)</f>
        <v/>
      </c>
      <c r="J200" s="157">
        <f>IF(O200="Away",VLOOKUP(P200,Matrix!A:S,19,0),1)</f>
        <v/>
      </c>
      <c r="K200" s="157">
        <f>IF(O200="Home",VLOOKUP(P200,Matrix!A:Z,20,0),1)</f>
        <v/>
      </c>
      <c r="L200" s="156" t="n">
        <v>-0.07541992734454391</v>
      </c>
      <c r="M200" s="179">
        <f>Schedule!B200</f>
        <v/>
      </c>
      <c r="N200" s="156">
        <f>Schedule!E200</f>
        <v/>
      </c>
      <c r="O200" s="156" t="inlineStr">
        <is>
          <t>Away</t>
        </is>
      </c>
      <c r="P200" s="157">
        <f>Schedule!H200</f>
        <v/>
      </c>
      <c r="Q200" s="157">
        <f>Schedule!C200</f>
        <v/>
      </c>
      <c r="R200" s="180">
        <f>Schedule!D200</f>
        <v/>
      </c>
      <c r="S200" s="181">
        <f>Schedule!J200</f>
        <v/>
      </c>
      <c r="T200" s="193">
        <f>Y200-Z200</f>
        <v/>
      </c>
      <c r="U200" s="182">
        <f>T200/Picks!$K$2</f>
        <v/>
      </c>
      <c r="V200" s="193">
        <f>INDEX(Standings!$T$3:$T$34, MATCH(N200, Standings!$A$3:$A$34, 0)) - INDEX(Standings!$T$3:$T$34, MATCH(P200, Standings!$A$3:$A$34, 0))</f>
        <v/>
      </c>
      <c r="W200" s="157">
        <f>INDEX(Standings!$L$3:$L$34, MATCH(N200, Standings!$A$3:$A$34, 0)) - INDEX(Standings!$L$3:$L$34, MATCH(P200, Standings!$A$3:$A$34, 0))</f>
        <v/>
      </c>
      <c r="X200" s="157">
        <f>INDEX(Standings!$M$3:$M$34, MATCH(N200, Standings!$A$3:$A$34, 0)) - INDEX(Standings!$M$3:$M$34, MATCH(P200, Standings!$A$3:$A$34, 0))</f>
        <v/>
      </c>
      <c r="Y200" s="194">
        <f t="array" ref="Y200:Y200">IFERROR(AE200+(AL200-_DFactor)*AE200,"")</f>
        <v/>
      </c>
      <c r="Z200" s="157">
        <f>IFERROR(AF200+(AI200-_DFactor)*AF200,"")</f>
        <v/>
      </c>
      <c r="AC200" s="194">
        <f>VLOOKUP(M200&amp;N200,Schedule!A:F,6,0)</f>
        <v/>
      </c>
      <c r="AD200" s="194">
        <f>VLOOKUP(M200&amp;P200,Schedule!A:F,6,0)</f>
        <v/>
      </c>
      <c r="AE200" s="156">
        <f>VLOOKUP(N200,ProjPVT!B:I,8,0)*_Mag/VLOOKUP(P200,Standings!A:O,15,0)*H200*K200</f>
        <v/>
      </c>
      <c r="AF200" s="156">
        <f>VLOOKUP(P200,ProjPVT!B:I,8,0)*_Mag/VLOOKUP(N200,Standings!A:O,15,0)*J200*I200</f>
        <v/>
      </c>
      <c r="AG200" s="195">
        <f>VLOOKUP(N200,Matrix!AA:AC,3,0)</f>
        <v/>
      </c>
      <c r="AH200" s="195">
        <f>SUMIFS(Def!C:C,Def!F:F,AG200)</f>
        <v/>
      </c>
      <c r="AI200" s="156">
        <f>IFERROR(SUMIFS(Def!B:B,Def!F:F,AG200)/AH200,"")</f>
        <v/>
      </c>
      <c r="AJ200" s="195">
        <f>VLOOKUP(P200,Matrix!AA:AC,3,0)</f>
        <v/>
      </c>
      <c r="AK200" s="195">
        <f>SUMIFS(Def!C:C,Def!F:F,AJ200)</f>
        <v/>
      </c>
      <c r="AL200" s="156">
        <f>IFERROR(SUMIFS(Def!B:B,Def!F:F,AJ200)/AK200,"")</f>
        <v/>
      </c>
    </row>
    <row r="201" ht="14.4" customHeight="1" s="152">
      <c r="A201" s="157">
        <f>IF(F201="Yes",IFERROR(IF(AA201&gt;1,AA201/100,100/-AA201),""),-1)</f>
        <v/>
      </c>
      <c r="B201" s="157">
        <f>B200+1</f>
        <v/>
      </c>
      <c r="C201" s="157">
        <f>IF(Y201&gt;Z201,1,0)</f>
        <v/>
      </c>
      <c r="D201" s="157">
        <f>IF(AND(C201=1,F201="Yes"),"Yes",IF(AND(C201=0,F201="No"),"Yes","No"))</f>
        <v/>
      </c>
      <c r="E201" s="192">
        <f>IF((AC201+AB201)=AD201,"Push",IF((AC201+AB201)&gt;AD201,"Yes","No"))</f>
        <v/>
      </c>
      <c r="F201" s="192">
        <f>IF(AC201&gt;AD201,"Yes","No")</f>
        <v/>
      </c>
      <c r="G201" s="192">
        <f>IF((Y201+AB201)&gt;Z201,"Yes",IF((Y201+AB201)=Z201,"Push","No"))</f>
        <v/>
      </c>
      <c r="H201" s="157">
        <f>IF(O201="Home",VLOOKUP(N201,Matrix!A:S,19,0),1)</f>
        <v/>
      </c>
      <c r="I201" s="157">
        <f>IF(O201="Away",VLOOKUP(N201,Matrix!A:Z,20,0),1)</f>
        <v/>
      </c>
      <c r="J201" s="157">
        <f>IF(O201="Away",VLOOKUP(P201,Matrix!A:S,19,0),1)</f>
        <v/>
      </c>
      <c r="K201" s="157">
        <f>IF(O201="Home",VLOOKUP(P201,Matrix!A:Z,20,0),1)</f>
        <v/>
      </c>
      <c r="L201" s="156" t="n">
        <v>0.07541992734454391</v>
      </c>
      <c r="M201" s="179">
        <f>Schedule!B201</f>
        <v/>
      </c>
      <c r="N201" s="156">
        <f>Schedule!E201</f>
        <v/>
      </c>
      <c r="O201" s="156" t="inlineStr">
        <is>
          <t>Home</t>
        </is>
      </c>
      <c r="P201" s="157">
        <f>Schedule!H201</f>
        <v/>
      </c>
      <c r="Q201" s="157">
        <f>Schedule!C201</f>
        <v/>
      </c>
      <c r="R201" s="180">
        <f>Schedule!D201</f>
        <v/>
      </c>
      <c r="S201" s="181">
        <f>Schedule!J201</f>
        <v/>
      </c>
      <c r="T201" s="193">
        <f>Y201-Z201</f>
        <v/>
      </c>
      <c r="U201" s="182">
        <f>T201/Picks!$K$2</f>
        <v/>
      </c>
      <c r="V201" s="193">
        <f>INDEX(Standings!$T$3:$T$34, MATCH(N201, Standings!$A$3:$A$34, 0)) - INDEX(Standings!$T$3:$T$34, MATCH(P201, Standings!$A$3:$A$34, 0))</f>
        <v/>
      </c>
      <c r="W201" s="157">
        <f>INDEX(Standings!$L$3:$L$34, MATCH(N201, Standings!$A$3:$A$34, 0)) - INDEX(Standings!$L$3:$L$34, MATCH(P201, Standings!$A$3:$A$34, 0))</f>
        <v/>
      </c>
      <c r="X201" s="157">
        <f>INDEX(Standings!$M$3:$M$34, MATCH(N201, Standings!$A$3:$A$34, 0)) - INDEX(Standings!$M$3:$M$34, MATCH(P201, Standings!$A$3:$A$34, 0))</f>
        <v/>
      </c>
      <c r="Y201" s="194">
        <f t="array" ref="Y201:Y201">IFERROR(AE201+(AL201-_DFactor)*AE201,"")</f>
        <v/>
      </c>
      <c r="Z201" s="157">
        <f>IFERROR(AF201+(AI201-_DFactor)*AF201,"")</f>
        <v/>
      </c>
      <c r="AC201" s="194">
        <f>VLOOKUP(M201&amp;N201,Schedule!A:F,6,0)</f>
        <v/>
      </c>
      <c r="AD201" s="194">
        <f>VLOOKUP(M201&amp;P201,Schedule!A:F,6,0)</f>
        <v/>
      </c>
      <c r="AE201" s="156">
        <f>VLOOKUP(N201,ProjPVT!B:I,8,0)*_Mag/VLOOKUP(P201,Standings!A:O,15,0)*H201*K201</f>
        <v/>
      </c>
      <c r="AF201" s="156">
        <f>VLOOKUP(P201,ProjPVT!B:I,8,0)*_Mag/VLOOKUP(N201,Standings!A:O,15,0)*J201*I201</f>
        <v/>
      </c>
      <c r="AG201" s="195">
        <f>VLOOKUP(N201,Matrix!AA:AC,3,0)</f>
        <v/>
      </c>
      <c r="AH201" s="195">
        <f>SUMIFS(Def!C:C,Def!F:F,AG201)</f>
        <v/>
      </c>
      <c r="AI201" s="156">
        <f>IFERROR(SUMIFS(Def!B:B,Def!F:F,AG201)/AH201,"")</f>
        <v/>
      </c>
      <c r="AJ201" s="195">
        <f>VLOOKUP(P201,Matrix!AA:AC,3,0)</f>
        <v/>
      </c>
      <c r="AK201" s="195">
        <f>SUMIFS(Def!C:C,Def!F:F,AJ201)</f>
        <v/>
      </c>
      <c r="AL201" s="156">
        <f>IFERROR(SUMIFS(Def!B:B,Def!F:F,AJ201)/AK201,"")</f>
        <v/>
      </c>
    </row>
    <row r="202" ht="14.4" customHeight="1" s="152">
      <c r="A202" s="157">
        <f>IF(F202="Yes",IFERROR(IF(AA202&gt;1,AA202/100,100/-AA202),""),-1)</f>
        <v/>
      </c>
      <c r="B202" s="157">
        <f>B201+1</f>
        <v/>
      </c>
      <c r="C202" s="157">
        <f>IF(Y202&gt;Z202,1,0)</f>
        <v/>
      </c>
      <c r="D202" s="157">
        <f>IF(AND(C202=1,F202="Yes"),"Yes",IF(AND(C202=0,F202="No"),"Yes","No"))</f>
        <v/>
      </c>
      <c r="E202" s="192">
        <f>IF((AC202+AB202)=AD202,"Push",IF((AC202+AB202)&gt;AD202,"Yes","No"))</f>
        <v/>
      </c>
      <c r="F202" s="192">
        <f>IF(AC202&gt;AD202,"Yes","No")</f>
        <v/>
      </c>
      <c r="G202" s="192">
        <f>IF((Y202+AB202)&gt;Z202,"Yes",IF((Y202+AB202)=Z202,"Push","No"))</f>
        <v/>
      </c>
      <c r="H202" s="157">
        <f>IF(O202="Home",VLOOKUP(N202,Matrix!A:S,19,0),1)</f>
        <v/>
      </c>
      <c r="I202" s="157">
        <f>IF(O202="Away",VLOOKUP(N202,Matrix!A:Z,20,0),1)</f>
        <v/>
      </c>
      <c r="J202" s="157">
        <f>IF(O202="Away",VLOOKUP(P202,Matrix!A:S,19,0),1)</f>
        <v/>
      </c>
      <c r="K202" s="157">
        <f>IF(O202="Home",VLOOKUP(P202,Matrix!A:Z,20,0),1)</f>
        <v/>
      </c>
      <c r="L202" s="156" t="n">
        <v>0.0846194454750914</v>
      </c>
      <c r="M202" s="179">
        <f>Schedule!B202</f>
        <v/>
      </c>
      <c r="N202" s="156">
        <f>Schedule!E202</f>
        <v/>
      </c>
      <c r="O202" s="156" t="inlineStr">
        <is>
          <t>Home</t>
        </is>
      </c>
      <c r="P202" s="157">
        <f>Schedule!H202</f>
        <v/>
      </c>
      <c r="Q202" s="157">
        <f>Schedule!C202</f>
        <v/>
      </c>
      <c r="R202" s="180">
        <f>Schedule!D202</f>
        <v/>
      </c>
      <c r="S202" s="181">
        <f>Schedule!J202</f>
        <v/>
      </c>
      <c r="T202" s="193">
        <f>Y202-Z202</f>
        <v/>
      </c>
      <c r="U202" s="182">
        <f>T202/Picks!$K$2</f>
        <v/>
      </c>
      <c r="V202" s="193">
        <f>INDEX(Standings!$T$3:$T$34, MATCH(N202, Standings!$A$3:$A$34, 0)) - INDEX(Standings!$T$3:$T$34, MATCH(P202, Standings!$A$3:$A$34, 0))</f>
        <v/>
      </c>
      <c r="W202" s="157">
        <f>INDEX(Standings!$L$3:$L$34, MATCH(N202, Standings!$A$3:$A$34, 0)) - INDEX(Standings!$L$3:$L$34, MATCH(P202, Standings!$A$3:$A$34, 0))</f>
        <v/>
      </c>
      <c r="X202" s="157">
        <f>INDEX(Standings!$M$3:$M$34, MATCH(N202, Standings!$A$3:$A$34, 0)) - INDEX(Standings!$M$3:$M$34, MATCH(P202, Standings!$A$3:$A$34, 0))</f>
        <v/>
      </c>
      <c r="Y202" s="194">
        <f t="array" ref="Y202:Y202">IFERROR(AE202+(AL202-_DFactor)*AE202,"")</f>
        <v/>
      </c>
      <c r="Z202" s="157">
        <f>IFERROR(AF202+(AI202-_DFactor)*AF202,"")</f>
        <v/>
      </c>
      <c r="AC202" s="194">
        <f>VLOOKUP(M202&amp;N202,Schedule!A:F,6,0)</f>
        <v/>
      </c>
      <c r="AD202" s="194">
        <f>VLOOKUP(M202&amp;P202,Schedule!A:F,6,0)</f>
        <v/>
      </c>
      <c r="AE202" s="156">
        <f>VLOOKUP(N202,ProjPVT!B:I,8,0)*_Mag/VLOOKUP(P202,Standings!A:O,15,0)*H202*K202</f>
        <v/>
      </c>
      <c r="AF202" s="156">
        <f>VLOOKUP(P202,ProjPVT!B:I,8,0)*_Mag/VLOOKUP(N202,Standings!A:O,15,0)*J202*I202</f>
        <v/>
      </c>
      <c r="AG202" s="195">
        <f>VLOOKUP(N202,Matrix!AA:AC,3,0)</f>
        <v/>
      </c>
      <c r="AH202" s="195">
        <f>SUMIFS(Def!C:C,Def!F:F,AG202)</f>
        <v/>
      </c>
      <c r="AI202" s="156">
        <f>IFERROR(SUMIFS(Def!B:B,Def!F:F,AG202)/AH202,"")</f>
        <v/>
      </c>
      <c r="AJ202" s="195">
        <f>VLOOKUP(P202,Matrix!AA:AC,3,0)</f>
        <v/>
      </c>
      <c r="AK202" s="195">
        <f>SUMIFS(Def!C:C,Def!F:F,AJ202)</f>
        <v/>
      </c>
      <c r="AL202" s="156">
        <f>IFERROR(SUMIFS(Def!B:B,Def!F:F,AJ202)/AK202,"")</f>
        <v/>
      </c>
    </row>
    <row r="203" ht="14.4" customHeight="1" s="152">
      <c r="A203" s="157">
        <f>IF(F203="Yes",IFERROR(IF(AA203&gt;1,AA203/100,100/-AA203),""),-1)</f>
        <v/>
      </c>
      <c r="B203" s="157">
        <f>B202+1</f>
        <v/>
      </c>
      <c r="C203" s="157">
        <f>IF(Y203&gt;Z203,1,0)</f>
        <v/>
      </c>
      <c r="D203" s="157">
        <f>IF(AND(C203=1,F203="Yes"),"Yes",IF(AND(C203=0,F203="No"),"Yes","No"))</f>
        <v/>
      </c>
      <c r="E203" s="192">
        <f>IF((AC203+AB203)=AD203,"Push",IF((AC203+AB203)&gt;AD203,"Yes","No"))</f>
        <v/>
      </c>
      <c r="F203" s="192">
        <f>IF(AC203&gt;AD203,"Yes","No")</f>
        <v/>
      </c>
      <c r="G203" s="192">
        <f>IF((Y203+AB203)&gt;Z203,"Yes",IF((Y203+AB203)=Z203,"Push","No"))</f>
        <v/>
      </c>
      <c r="H203" s="157">
        <f>IF(O203="Home",VLOOKUP(N203,Matrix!A:S,19,0),1)</f>
        <v/>
      </c>
      <c r="I203" s="157">
        <f>IF(O203="Away",VLOOKUP(N203,Matrix!A:Z,20,0),1)</f>
        <v/>
      </c>
      <c r="J203" s="157">
        <f>IF(O203="Away",VLOOKUP(P203,Matrix!A:S,19,0),1)</f>
        <v/>
      </c>
      <c r="K203" s="157">
        <f>IF(O203="Home",VLOOKUP(P203,Matrix!A:Z,20,0),1)</f>
        <v/>
      </c>
      <c r="L203" s="156" t="n">
        <v>0.0927871374281921</v>
      </c>
      <c r="M203" s="179">
        <f>Schedule!B203</f>
        <v/>
      </c>
      <c r="N203" s="156">
        <f>Schedule!E203</f>
        <v/>
      </c>
      <c r="O203" s="156" t="inlineStr">
        <is>
          <t>Home</t>
        </is>
      </c>
      <c r="P203" s="157">
        <f>Schedule!H203</f>
        <v/>
      </c>
      <c r="Q203" s="157">
        <f>Schedule!C203</f>
        <v/>
      </c>
      <c r="R203" s="180">
        <f>Schedule!D203</f>
        <v/>
      </c>
      <c r="S203" s="181">
        <f>Schedule!J203</f>
        <v/>
      </c>
      <c r="T203" s="193">
        <f>Y203-Z203</f>
        <v/>
      </c>
      <c r="U203" s="182">
        <f>T203/Picks!$K$2</f>
        <v/>
      </c>
      <c r="V203" s="193">
        <f>INDEX(Standings!$T$3:$T$34, MATCH(N203, Standings!$A$3:$A$34, 0)) - INDEX(Standings!$T$3:$T$34, MATCH(P203, Standings!$A$3:$A$34, 0))</f>
        <v/>
      </c>
      <c r="W203" s="157">
        <f>INDEX(Standings!$L$3:$L$34, MATCH(N203, Standings!$A$3:$A$34, 0)) - INDEX(Standings!$L$3:$L$34, MATCH(P203, Standings!$A$3:$A$34, 0))</f>
        <v/>
      </c>
      <c r="X203" s="157">
        <f>INDEX(Standings!$M$3:$M$34, MATCH(N203, Standings!$A$3:$A$34, 0)) - INDEX(Standings!$M$3:$M$34, MATCH(P203, Standings!$A$3:$A$34, 0))</f>
        <v/>
      </c>
      <c r="Y203" s="194">
        <f t="array" ref="Y203:Y203">IFERROR(AE203+(AL203-_DFactor)*AE203,"")</f>
        <v/>
      </c>
      <c r="Z203" s="157">
        <f>IFERROR(AF203+(AI203-_DFactor)*AF203,"")</f>
        <v/>
      </c>
      <c r="AC203" s="194">
        <f>VLOOKUP(M203&amp;N203,Schedule!A:F,6,0)</f>
        <v/>
      </c>
      <c r="AD203" s="194">
        <f>VLOOKUP(M203&amp;P203,Schedule!A:F,6,0)</f>
        <v/>
      </c>
      <c r="AE203" s="156">
        <f>VLOOKUP(N203,ProjPVT!B:I,8,0)*_Mag/VLOOKUP(P203,Standings!A:O,15,0)*H203*K203</f>
        <v/>
      </c>
      <c r="AF203" s="156">
        <f>VLOOKUP(P203,ProjPVT!B:I,8,0)*_Mag/VLOOKUP(N203,Standings!A:O,15,0)*J203*I203</f>
        <v/>
      </c>
      <c r="AG203" s="195">
        <f>VLOOKUP(N203,Matrix!AA:AC,3,0)</f>
        <v/>
      </c>
      <c r="AH203" s="195">
        <f>SUMIFS(Def!C:C,Def!F:F,AG203)</f>
        <v/>
      </c>
      <c r="AI203" s="156">
        <f>IFERROR(SUMIFS(Def!B:B,Def!F:F,AG203)/AH203,"")</f>
        <v/>
      </c>
      <c r="AJ203" s="195">
        <f>VLOOKUP(P203,Matrix!AA:AC,3,0)</f>
        <v/>
      </c>
      <c r="AK203" s="195">
        <f>SUMIFS(Def!C:C,Def!F:F,AJ203)</f>
        <v/>
      </c>
      <c r="AL203" s="156">
        <f>IFERROR(SUMIFS(Def!B:B,Def!F:F,AJ203)/AK203,"")</f>
        <v/>
      </c>
    </row>
    <row r="204" ht="14.4" customHeight="1" s="152">
      <c r="A204" s="157">
        <f>IF(F204="Yes",IFERROR(IF(AA204&gt;1,AA204/100,100/-AA204),""),-1)</f>
        <v/>
      </c>
      <c r="B204" s="157">
        <f>B203+1</f>
        <v/>
      </c>
      <c r="C204" s="157">
        <f>IF(Y204&gt;Z204,1,0)</f>
        <v/>
      </c>
      <c r="D204" s="157">
        <f>IF(AND(C204=1,F204="Yes"),"Yes",IF(AND(C204=0,F204="No"),"Yes","No"))</f>
        <v/>
      </c>
      <c r="E204" s="192">
        <f>IF((AC204+AB204)=AD204,"Push",IF((AC204+AB204)&gt;AD204,"Yes","No"))</f>
        <v/>
      </c>
      <c r="F204" s="192">
        <f>IF(AC204&gt;AD204,"Yes","No")</f>
        <v/>
      </c>
      <c r="G204" s="192">
        <f>IF((Y204+AB204)&gt;Z204,"Yes",IF((Y204+AB204)=Z204,"Push","No"))</f>
        <v/>
      </c>
      <c r="H204" s="157">
        <f>IF(O204="Home",VLOOKUP(N204,Matrix!A:S,19,0),1)</f>
        <v/>
      </c>
      <c r="I204" s="157">
        <f>IF(O204="Away",VLOOKUP(N204,Matrix!A:Z,20,0),1)</f>
        <v/>
      </c>
      <c r="J204" s="157">
        <f>IF(O204="Away",VLOOKUP(P204,Matrix!A:S,19,0),1)</f>
        <v/>
      </c>
      <c r="K204" s="157">
        <f>IF(O204="Home",VLOOKUP(P204,Matrix!A:Z,20,0),1)</f>
        <v/>
      </c>
      <c r="L204" s="156" t="n">
        <v>0.108777705581915</v>
      </c>
      <c r="M204" s="179">
        <f>Schedule!B204</f>
        <v/>
      </c>
      <c r="N204" s="156">
        <f>Schedule!E204</f>
        <v/>
      </c>
      <c r="O204" s="156" t="inlineStr">
        <is>
          <t>Home</t>
        </is>
      </c>
      <c r="P204" s="157">
        <f>Schedule!H204</f>
        <v/>
      </c>
      <c r="Q204" s="157">
        <f>Schedule!C204</f>
        <v/>
      </c>
      <c r="R204" s="180">
        <f>Schedule!D204</f>
        <v/>
      </c>
      <c r="S204" s="181">
        <f>Schedule!J204</f>
        <v/>
      </c>
      <c r="T204" s="193">
        <f>Y204-Z204</f>
        <v/>
      </c>
      <c r="U204" s="182">
        <f>T204/Picks!$K$2</f>
        <v/>
      </c>
      <c r="V204" s="193">
        <f>INDEX(Standings!$T$3:$T$34, MATCH(N204, Standings!$A$3:$A$34, 0)) - INDEX(Standings!$T$3:$T$34, MATCH(P204, Standings!$A$3:$A$34, 0))</f>
        <v/>
      </c>
      <c r="W204" s="157">
        <f>INDEX(Standings!$L$3:$L$34, MATCH(N204, Standings!$A$3:$A$34, 0)) - INDEX(Standings!$L$3:$L$34, MATCH(P204, Standings!$A$3:$A$34, 0))</f>
        <v/>
      </c>
      <c r="X204" s="157">
        <f>INDEX(Standings!$M$3:$M$34, MATCH(N204, Standings!$A$3:$A$34, 0)) - INDEX(Standings!$M$3:$M$34, MATCH(P204, Standings!$A$3:$A$34, 0))</f>
        <v/>
      </c>
      <c r="Y204" s="194">
        <f t="array" ref="Y204:Y204">IFERROR(AE204+(AL204-_DFactor)*AE204,"")</f>
        <v/>
      </c>
      <c r="Z204" s="157">
        <f>IFERROR(AF204+(AI204-_DFactor)*AF204,"")</f>
        <v/>
      </c>
      <c r="AC204" s="194">
        <f>VLOOKUP(M204&amp;N204,Schedule!A:F,6,0)</f>
        <v/>
      </c>
      <c r="AD204" s="194">
        <f>VLOOKUP(M204&amp;P204,Schedule!A:F,6,0)</f>
        <v/>
      </c>
      <c r="AE204" s="156">
        <f>VLOOKUP(N204,ProjPVT!B:I,8,0)*_Mag/VLOOKUP(P204,Standings!A:O,15,0)*H204*K204</f>
        <v/>
      </c>
      <c r="AF204" s="156">
        <f>VLOOKUP(P204,ProjPVT!B:I,8,0)*_Mag/VLOOKUP(N204,Standings!A:O,15,0)*J204*I204</f>
        <v/>
      </c>
      <c r="AG204" s="195">
        <f>VLOOKUP(N204,Matrix!AA:AC,3,0)</f>
        <v/>
      </c>
      <c r="AH204" s="195">
        <f>SUMIFS(Def!C:C,Def!F:F,AG204)</f>
        <v/>
      </c>
      <c r="AI204" s="156">
        <f>IFERROR(SUMIFS(Def!B:B,Def!F:F,AG204)/AH204,"")</f>
        <v/>
      </c>
      <c r="AJ204" s="195">
        <f>VLOOKUP(P204,Matrix!AA:AC,3,0)</f>
        <v/>
      </c>
      <c r="AK204" s="195">
        <f>SUMIFS(Def!C:C,Def!F:F,AJ204)</f>
        <v/>
      </c>
      <c r="AL204" s="156">
        <f>IFERROR(SUMIFS(Def!B:B,Def!F:F,AJ204)/AK204,"")</f>
        <v/>
      </c>
    </row>
    <row r="205" ht="14.4" customHeight="1" s="152">
      <c r="A205" s="157">
        <f>IF(F205="Yes",IFERROR(IF(AA205&gt;1,AA205/100,100/-AA205),""),-1)</f>
        <v/>
      </c>
      <c r="B205" s="157">
        <f>B204+1</f>
        <v/>
      </c>
      <c r="C205" s="157">
        <f>IF(Y205&gt;Z205,1,0)</f>
        <v/>
      </c>
      <c r="D205" s="157">
        <f>IF(AND(C205=1,F205="Yes"),"Yes",IF(AND(C205=0,F205="No"),"Yes","No"))</f>
        <v/>
      </c>
      <c r="E205" s="192">
        <f>IF((AC205+AB205)=AD205,"Push",IF((AC205+AB205)&gt;AD205,"Yes","No"))</f>
        <v/>
      </c>
      <c r="F205" s="192">
        <f>IF(AC205&gt;AD205,"Yes","No")</f>
        <v/>
      </c>
      <c r="G205" s="192">
        <f>IF((Y205+AB205)&gt;Z205,"Yes",IF((Y205+AB205)=Z205,"Push","No"))</f>
        <v/>
      </c>
      <c r="H205" s="157">
        <f>IF(O205="Home",VLOOKUP(N205,Matrix!A:S,19,0),1)</f>
        <v/>
      </c>
      <c r="I205" s="157">
        <f>IF(O205="Away",VLOOKUP(N205,Matrix!A:Z,20,0),1)</f>
        <v/>
      </c>
      <c r="J205" s="157">
        <f>IF(O205="Away",VLOOKUP(P205,Matrix!A:S,19,0),1)</f>
        <v/>
      </c>
      <c r="K205" s="157">
        <f>IF(O205="Home",VLOOKUP(P205,Matrix!A:Z,20,0),1)</f>
        <v/>
      </c>
      <c r="L205" s="156" t="n">
        <v>0.140231517444555</v>
      </c>
      <c r="M205" s="179">
        <f>Schedule!B205</f>
        <v/>
      </c>
      <c r="N205" s="156">
        <f>Schedule!E205</f>
        <v/>
      </c>
      <c r="O205" s="156" t="inlineStr">
        <is>
          <t>Away</t>
        </is>
      </c>
      <c r="P205" s="157">
        <f>Schedule!H205</f>
        <v/>
      </c>
      <c r="Q205" s="157">
        <f>Schedule!C205</f>
        <v/>
      </c>
      <c r="R205" s="180">
        <f>Schedule!D205</f>
        <v/>
      </c>
      <c r="S205" s="181">
        <f>Schedule!J205</f>
        <v/>
      </c>
      <c r="T205" s="193">
        <f>Y205-Z205</f>
        <v/>
      </c>
      <c r="U205" s="182">
        <f>T205/Picks!$K$2</f>
        <v/>
      </c>
      <c r="V205" s="193">
        <f>INDEX(Standings!$T$3:$T$34, MATCH(N205, Standings!$A$3:$A$34, 0)) - INDEX(Standings!$T$3:$T$34, MATCH(P205, Standings!$A$3:$A$34, 0))</f>
        <v/>
      </c>
      <c r="W205" s="157">
        <f>INDEX(Standings!$L$3:$L$34, MATCH(N205, Standings!$A$3:$A$34, 0)) - INDEX(Standings!$L$3:$L$34, MATCH(P205, Standings!$A$3:$A$34, 0))</f>
        <v/>
      </c>
      <c r="X205" s="157">
        <f>INDEX(Standings!$M$3:$M$34, MATCH(N205, Standings!$A$3:$A$34, 0)) - INDEX(Standings!$M$3:$M$34, MATCH(P205, Standings!$A$3:$A$34, 0))</f>
        <v/>
      </c>
      <c r="Y205" s="194">
        <f t="array" ref="Y205:Y205">IFERROR(AE205+(AL205-_DFactor)*AE205,"")</f>
        <v/>
      </c>
      <c r="Z205" s="157">
        <f>IFERROR(AF205+(AI205-_DFactor)*AF205,"")</f>
        <v/>
      </c>
      <c r="AC205" s="194">
        <f>VLOOKUP(M205&amp;N205,Schedule!A:F,6,0)</f>
        <v/>
      </c>
      <c r="AD205" s="194">
        <f>VLOOKUP(M205&amp;P205,Schedule!A:F,6,0)</f>
        <v/>
      </c>
      <c r="AE205" s="156">
        <f>VLOOKUP(N205,ProjPVT!B:I,8,0)*_Mag/VLOOKUP(P205,Standings!A:O,15,0)*H205*K205</f>
        <v/>
      </c>
      <c r="AF205" s="156">
        <f>VLOOKUP(P205,ProjPVT!B:I,8,0)*_Mag/VLOOKUP(N205,Standings!A:O,15,0)*J205*I205</f>
        <v/>
      </c>
      <c r="AG205" s="195">
        <f>VLOOKUP(N205,Matrix!AA:AC,3,0)</f>
        <v/>
      </c>
      <c r="AH205" s="195">
        <f>SUMIFS(Def!C:C,Def!F:F,AG205)</f>
        <v/>
      </c>
      <c r="AI205" s="156">
        <f>IFERROR(SUMIFS(Def!B:B,Def!F:F,AG205)/AH205,"")</f>
        <v/>
      </c>
      <c r="AJ205" s="195">
        <f>VLOOKUP(P205,Matrix!AA:AC,3,0)</f>
        <v/>
      </c>
      <c r="AK205" s="195">
        <f>SUMIFS(Def!C:C,Def!F:F,AJ205)</f>
        <v/>
      </c>
      <c r="AL205" s="156">
        <f>IFERROR(SUMIFS(Def!B:B,Def!F:F,AJ205)/AK205,"")</f>
        <v/>
      </c>
    </row>
    <row r="206" ht="14.4" customHeight="1" s="152">
      <c r="A206" s="157">
        <f>IF(F206="Yes",IFERROR(IF(AA206&gt;1,AA206/100,100/-AA206),""),-1)</f>
        <v/>
      </c>
      <c r="B206" s="157">
        <f>B205+1</f>
        <v/>
      </c>
      <c r="C206" s="157">
        <f>IF(Y206&gt;Z206,1,0)</f>
        <v/>
      </c>
      <c r="D206" s="157">
        <f>IF(AND(C206=1,F206="Yes"),"Yes",IF(AND(C206=0,F206="No"),"Yes","No"))</f>
        <v/>
      </c>
      <c r="E206" s="192">
        <f>IF((AC206+AB206)=AD206,"Push",IF((AC206+AB206)&gt;AD206,"Yes","No"))</f>
        <v/>
      </c>
      <c r="F206" s="192">
        <f>IF(AC206&gt;AD206,"Yes","No")</f>
        <v/>
      </c>
      <c r="G206" s="192">
        <f>IF((Y206+AB206)&gt;Z206,"Yes",IF((Y206+AB206)=Z206,"Push","No"))</f>
        <v/>
      </c>
      <c r="H206" s="157">
        <f>IF(O206="Home",VLOOKUP(N206,Matrix!A:S,19,0),1)</f>
        <v/>
      </c>
      <c r="I206" s="157">
        <f>IF(O206="Away",VLOOKUP(N206,Matrix!A:Z,20,0),1)</f>
        <v/>
      </c>
      <c r="J206" s="157">
        <f>IF(O206="Away",VLOOKUP(P206,Matrix!A:S,19,0),1)</f>
        <v/>
      </c>
      <c r="K206" s="157">
        <f>IF(O206="Home",VLOOKUP(P206,Matrix!A:Z,20,0),1)</f>
        <v/>
      </c>
      <c r="L206" s="156" t="n">
        <v>0.171147856256238</v>
      </c>
      <c r="M206" s="179">
        <f>Schedule!B206</f>
        <v/>
      </c>
      <c r="N206" s="156">
        <f>Schedule!E206</f>
        <v/>
      </c>
      <c r="O206" s="156" t="inlineStr">
        <is>
          <t>Away</t>
        </is>
      </c>
      <c r="P206" s="157">
        <f>Schedule!H206</f>
        <v/>
      </c>
      <c r="Q206" s="157">
        <f>Schedule!C206</f>
        <v/>
      </c>
      <c r="R206" s="180">
        <f>Schedule!D206</f>
        <v/>
      </c>
      <c r="S206" s="181">
        <f>Schedule!J206</f>
        <v/>
      </c>
      <c r="T206" s="193">
        <f>Y206-Z206</f>
        <v/>
      </c>
      <c r="U206" s="182">
        <f>T206/Picks!$K$2</f>
        <v/>
      </c>
      <c r="V206" s="193">
        <f>INDEX(Standings!$T$3:$T$34, MATCH(N206, Standings!$A$3:$A$34, 0)) - INDEX(Standings!$T$3:$T$34, MATCH(P206, Standings!$A$3:$A$34, 0))</f>
        <v/>
      </c>
      <c r="W206" s="157">
        <f>INDEX(Standings!$L$3:$L$34, MATCH(N206, Standings!$A$3:$A$34, 0)) - INDEX(Standings!$L$3:$L$34, MATCH(P206, Standings!$A$3:$A$34, 0))</f>
        <v/>
      </c>
      <c r="X206" s="157">
        <f>INDEX(Standings!$M$3:$M$34, MATCH(N206, Standings!$A$3:$A$34, 0)) - INDEX(Standings!$M$3:$M$34, MATCH(P206, Standings!$A$3:$A$34, 0))</f>
        <v/>
      </c>
      <c r="Y206" s="194">
        <f t="array" ref="Y206:Y206">IFERROR(AE206+(AL206-_DFactor)*AE206,"")</f>
        <v/>
      </c>
      <c r="Z206" s="157">
        <f>IFERROR(AF206+(AI206-_DFactor)*AF206,"")</f>
        <v/>
      </c>
      <c r="AC206" s="194">
        <f>VLOOKUP(M206&amp;N206,Schedule!A:F,6,0)</f>
        <v/>
      </c>
      <c r="AD206" s="194">
        <f>VLOOKUP(M206&amp;P206,Schedule!A:F,6,0)</f>
        <v/>
      </c>
      <c r="AE206" s="156">
        <f>VLOOKUP(N206,ProjPVT!B:I,8,0)*_Mag/VLOOKUP(P206,Standings!A:O,15,0)*H206*K206</f>
        <v/>
      </c>
      <c r="AF206" s="156">
        <f>VLOOKUP(P206,ProjPVT!B:I,8,0)*_Mag/VLOOKUP(N206,Standings!A:O,15,0)*J206*I206</f>
        <v/>
      </c>
      <c r="AG206" s="195">
        <f>VLOOKUP(N206,Matrix!AA:AC,3,0)</f>
        <v/>
      </c>
      <c r="AH206" s="195">
        <f>SUMIFS(Def!C:C,Def!F:F,AG206)</f>
        <v/>
      </c>
      <c r="AI206" s="156">
        <f>IFERROR(SUMIFS(Def!B:B,Def!F:F,AG206)/AH206,"")</f>
        <v/>
      </c>
      <c r="AJ206" s="195">
        <f>VLOOKUP(P206,Matrix!AA:AC,3,0)</f>
        <v/>
      </c>
      <c r="AK206" s="195">
        <f>SUMIFS(Def!C:C,Def!F:F,AJ206)</f>
        <v/>
      </c>
      <c r="AL206" s="156">
        <f>IFERROR(SUMIFS(Def!B:B,Def!F:F,AJ206)/AK206,"")</f>
        <v/>
      </c>
    </row>
    <row r="207" ht="14.4" customHeight="1" s="152">
      <c r="A207" s="157">
        <f>IF(F207="Yes",IFERROR(IF(AA207&gt;1,AA207/100,100/-AA207),""),-1)</f>
        <v/>
      </c>
      <c r="B207" s="157">
        <f>B206+1</f>
        <v/>
      </c>
      <c r="C207" s="157">
        <f>IF(Y207&gt;Z207,1,0)</f>
        <v/>
      </c>
      <c r="D207" s="157">
        <f>IF(AND(C207=1,F207="Yes"),"Yes",IF(AND(C207=0,F207="No"),"Yes","No"))</f>
        <v/>
      </c>
      <c r="E207" s="192">
        <f>IF((AC207+AB207)=AD207,"Push",IF((AC207+AB207)&gt;AD207,"Yes","No"))</f>
        <v/>
      </c>
      <c r="F207" s="192">
        <f>IF(AC207&gt;AD207,"Yes","No")</f>
        <v/>
      </c>
      <c r="G207" s="192">
        <f>IF((Y207+AB207)&gt;Z207,"Yes",IF((Y207+AB207)=Z207,"Push","No"))</f>
        <v/>
      </c>
      <c r="H207" s="157">
        <f>IF(O207="Home",VLOOKUP(N207,Matrix!A:S,19,0),1)</f>
        <v/>
      </c>
      <c r="I207" s="157">
        <f>IF(O207="Away",VLOOKUP(N207,Matrix!A:Z,20,0),1)</f>
        <v/>
      </c>
      <c r="J207" s="157">
        <f>IF(O207="Away",VLOOKUP(P207,Matrix!A:S,19,0),1)</f>
        <v/>
      </c>
      <c r="K207" s="157">
        <f>IF(O207="Home",VLOOKUP(P207,Matrix!A:Z,20,0),1)</f>
        <v/>
      </c>
      <c r="L207" s="156" t="n">
        <v>0.203671651336829</v>
      </c>
      <c r="M207" s="179">
        <f>Schedule!B207</f>
        <v/>
      </c>
      <c r="N207" s="156">
        <f>Schedule!E207</f>
        <v/>
      </c>
      <c r="O207" s="156" t="inlineStr">
        <is>
          <t>Home</t>
        </is>
      </c>
      <c r="P207" s="157">
        <f>Schedule!H207</f>
        <v/>
      </c>
      <c r="Q207" s="157">
        <f>Schedule!C207</f>
        <v/>
      </c>
      <c r="R207" s="180">
        <f>Schedule!D207</f>
        <v/>
      </c>
      <c r="S207" s="181">
        <f>Schedule!J207</f>
        <v/>
      </c>
      <c r="T207" s="193">
        <f>Y207-Z207</f>
        <v/>
      </c>
      <c r="U207" s="182">
        <f>T207/Picks!$K$2</f>
        <v/>
      </c>
      <c r="V207" s="193">
        <f>INDEX(Standings!$T$3:$T$34, MATCH(N207, Standings!$A$3:$A$34, 0)) - INDEX(Standings!$T$3:$T$34, MATCH(P207, Standings!$A$3:$A$34, 0))</f>
        <v/>
      </c>
      <c r="W207" s="157">
        <f>INDEX(Standings!$L$3:$L$34, MATCH(N207, Standings!$A$3:$A$34, 0)) - INDEX(Standings!$L$3:$L$34, MATCH(P207, Standings!$A$3:$A$34, 0))</f>
        <v/>
      </c>
      <c r="X207" s="157">
        <f>INDEX(Standings!$M$3:$M$34, MATCH(N207, Standings!$A$3:$A$34, 0)) - INDEX(Standings!$M$3:$M$34, MATCH(P207, Standings!$A$3:$A$34, 0))</f>
        <v/>
      </c>
      <c r="Y207" s="194">
        <f t="array" ref="Y207:Y207">IFERROR(AE207+(AL207-_DFactor)*AE207,"")</f>
        <v/>
      </c>
      <c r="Z207" s="157">
        <f>IFERROR(AF207+(AI207-_DFactor)*AF207,"")</f>
        <v/>
      </c>
      <c r="AC207" s="194">
        <f>VLOOKUP(M207&amp;N207,Schedule!A:F,6,0)</f>
        <v/>
      </c>
      <c r="AD207" s="194">
        <f>VLOOKUP(M207&amp;P207,Schedule!A:F,6,0)</f>
        <v/>
      </c>
      <c r="AE207" s="156">
        <f>VLOOKUP(N207,ProjPVT!B:I,8,0)*_Mag/VLOOKUP(P207,Standings!A:O,15,0)*H207*K207</f>
        <v/>
      </c>
      <c r="AF207" s="156">
        <f>VLOOKUP(P207,ProjPVT!B:I,8,0)*_Mag/VLOOKUP(N207,Standings!A:O,15,0)*J207*I207</f>
        <v/>
      </c>
      <c r="AG207" s="195">
        <f>VLOOKUP(N207,Matrix!AA:AC,3,0)</f>
        <v/>
      </c>
      <c r="AH207" s="195">
        <f>SUMIFS(Def!C:C,Def!F:F,AG207)</f>
        <v/>
      </c>
      <c r="AI207" s="156">
        <f>IFERROR(SUMIFS(Def!B:B,Def!F:F,AG207)/AH207,"")</f>
        <v/>
      </c>
      <c r="AJ207" s="195">
        <f>VLOOKUP(P207,Matrix!AA:AC,3,0)</f>
        <v/>
      </c>
      <c r="AK207" s="195">
        <f>SUMIFS(Def!C:C,Def!F:F,AJ207)</f>
        <v/>
      </c>
      <c r="AL207" s="156">
        <f>IFERROR(SUMIFS(Def!B:B,Def!F:F,AJ207)/AK207,"")</f>
        <v/>
      </c>
    </row>
    <row r="208" ht="14.4" customHeight="1" s="152">
      <c r="A208" s="157">
        <f>IF(F208="Yes",IFERROR(IF(AA208&gt;1,AA208/100,100/-AA208),""),-1)</f>
        <v/>
      </c>
      <c r="B208" s="157">
        <f>B207+1</f>
        <v/>
      </c>
      <c r="C208" s="157">
        <f>IF(Y208&gt;Z208,1,0)</f>
        <v/>
      </c>
      <c r="D208" s="157">
        <f>IF(AND(C208=1,F208="Yes"),"Yes",IF(AND(C208=0,F208="No"),"Yes","No"))</f>
        <v/>
      </c>
      <c r="E208" s="192">
        <f>IF((AC208+AB208)=AD208,"Push",IF((AC208+AB208)&gt;AD208,"Yes","No"))</f>
        <v/>
      </c>
      <c r="F208" s="192">
        <f>IF(AC208&gt;AD208,"Yes","No")</f>
        <v/>
      </c>
      <c r="G208" s="192">
        <f>IF((Y208+AB208)&gt;Z208,"Yes",IF((Y208+AB208)=Z208,"Push","No"))</f>
        <v/>
      </c>
      <c r="H208" s="157">
        <f>IF(O208="Home",VLOOKUP(N208,Matrix!A:S,19,0),1)</f>
        <v/>
      </c>
      <c r="I208" s="157">
        <f>IF(O208="Away",VLOOKUP(N208,Matrix!A:Z,20,0),1)</f>
        <v/>
      </c>
      <c r="J208" s="157">
        <f>IF(O208="Away",VLOOKUP(P208,Matrix!A:S,19,0),1)</f>
        <v/>
      </c>
      <c r="K208" s="157">
        <f>IF(O208="Home",VLOOKUP(P208,Matrix!A:Z,20,0),1)</f>
        <v/>
      </c>
      <c r="L208" s="156" t="n">
        <v>0.210128197701198</v>
      </c>
      <c r="M208" s="179">
        <f>Schedule!B208</f>
        <v/>
      </c>
      <c r="N208" s="156">
        <f>Schedule!E208</f>
        <v/>
      </c>
      <c r="O208" s="156" t="inlineStr">
        <is>
          <t>Home</t>
        </is>
      </c>
      <c r="P208" s="157">
        <f>Schedule!H208</f>
        <v/>
      </c>
      <c r="Q208" s="157">
        <f>Schedule!C208</f>
        <v/>
      </c>
      <c r="R208" s="180">
        <f>Schedule!D208</f>
        <v/>
      </c>
      <c r="S208" s="181">
        <f>Schedule!J208</f>
        <v/>
      </c>
      <c r="T208" s="193">
        <f>Y208-Z208</f>
        <v/>
      </c>
      <c r="U208" s="182">
        <f>T208/Picks!$K$2</f>
        <v/>
      </c>
      <c r="V208" s="193">
        <f>INDEX(Standings!$T$3:$T$34, MATCH(N208, Standings!$A$3:$A$34, 0)) - INDEX(Standings!$T$3:$T$34, MATCH(P208, Standings!$A$3:$A$34, 0))</f>
        <v/>
      </c>
      <c r="W208" s="157">
        <f>INDEX(Standings!$L$3:$L$34, MATCH(N208, Standings!$A$3:$A$34, 0)) - INDEX(Standings!$L$3:$L$34, MATCH(P208, Standings!$A$3:$A$34, 0))</f>
        <v/>
      </c>
      <c r="X208" s="157">
        <f>INDEX(Standings!$M$3:$M$34, MATCH(N208, Standings!$A$3:$A$34, 0)) - INDEX(Standings!$M$3:$M$34, MATCH(P208, Standings!$A$3:$A$34, 0))</f>
        <v/>
      </c>
      <c r="Y208" s="194">
        <f t="array" ref="Y208:Y208">IFERROR(AE208+(AL208-_DFactor)*AE208,"")</f>
        <v/>
      </c>
      <c r="Z208" s="157">
        <f>IFERROR(AF208+(AI208-_DFactor)*AF208,"")</f>
        <v/>
      </c>
      <c r="AC208" s="194">
        <f>VLOOKUP(M208&amp;N208,Schedule!A:F,6,0)</f>
        <v/>
      </c>
      <c r="AD208" s="194">
        <f>VLOOKUP(M208&amp;P208,Schedule!A:F,6,0)</f>
        <v/>
      </c>
      <c r="AE208" s="156">
        <f>VLOOKUP(N208,ProjPVT!B:I,8,0)*_Mag/VLOOKUP(P208,Standings!A:O,15,0)*H208*K208</f>
        <v/>
      </c>
      <c r="AF208" s="156">
        <f>VLOOKUP(P208,ProjPVT!B:I,8,0)*_Mag/VLOOKUP(N208,Standings!A:O,15,0)*J208*I208</f>
        <v/>
      </c>
      <c r="AG208" s="195">
        <f>VLOOKUP(N208,Matrix!AA:AC,3,0)</f>
        <v/>
      </c>
      <c r="AH208" s="195">
        <f>SUMIFS(Def!C:C,Def!F:F,AG208)</f>
        <v/>
      </c>
      <c r="AI208" s="156">
        <f>IFERROR(SUMIFS(Def!B:B,Def!F:F,AG208)/AH208,"")</f>
        <v/>
      </c>
      <c r="AJ208" s="195">
        <f>VLOOKUP(P208,Matrix!AA:AC,3,0)</f>
        <v/>
      </c>
      <c r="AK208" s="195">
        <f>SUMIFS(Def!C:C,Def!F:F,AJ208)</f>
        <v/>
      </c>
      <c r="AL208" s="156">
        <f>IFERROR(SUMIFS(Def!B:B,Def!F:F,AJ208)/AK208,"")</f>
        <v/>
      </c>
    </row>
    <row r="209" ht="14.4" customHeight="1" s="152">
      <c r="A209" s="157">
        <f>IF(F209="Yes",IFERROR(IF(AA209&gt;1,AA209/100,100/-AA209),""),-1)</f>
        <v/>
      </c>
      <c r="B209" s="157">
        <f>B208+1</f>
        <v/>
      </c>
      <c r="C209" s="157">
        <f>IF(Y209&gt;Z209,1,0)</f>
        <v/>
      </c>
      <c r="D209" s="157">
        <f>IF(AND(C209=1,F209="Yes"),"Yes",IF(AND(C209=0,F209="No"),"Yes","No"))</f>
        <v/>
      </c>
      <c r="E209" s="192">
        <f>IF((AC209+AB209)=AD209,"Push",IF((AC209+AB209)&gt;AD209,"Yes","No"))</f>
        <v/>
      </c>
      <c r="F209" s="192">
        <f>IF(AC209&gt;AD209,"Yes","No")</f>
        <v/>
      </c>
      <c r="G209" s="192">
        <f>IF((Y209+AB209)&gt;Z209,"Yes",IF((Y209+AB209)=Z209,"Push","No"))</f>
        <v/>
      </c>
      <c r="H209" s="157">
        <f>IF(O209="Home",VLOOKUP(N209,Matrix!A:S,19,0),1)</f>
        <v/>
      </c>
      <c r="I209" s="157">
        <f>IF(O209="Away",VLOOKUP(N209,Matrix!A:Z,20,0),1)</f>
        <v/>
      </c>
      <c r="J209" s="157">
        <f>IF(O209="Away",VLOOKUP(P209,Matrix!A:S,19,0),1)</f>
        <v/>
      </c>
      <c r="K209" s="157">
        <f>IF(O209="Home",VLOOKUP(P209,Matrix!A:Z,20,0),1)</f>
        <v/>
      </c>
      <c r="L209" s="156" t="n">
        <v>0.228955663750229</v>
      </c>
      <c r="M209" s="179">
        <f>Schedule!B209</f>
        <v/>
      </c>
      <c r="N209" s="156">
        <f>Schedule!E209</f>
        <v/>
      </c>
      <c r="O209" s="156" t="inlineStr">
        <is>
          <t>Home</t>
        </is>
      </c>
      <c r="P209" s="157">
        <f>Schedule!H209</f>
        <v/>
      </c>
      <c r="Q209" s="157">
        <f>Schedule!C209</f>
        <v/>
      </c>
      <c r="R209" s="180">
        <f>Schedule!D209</f>
        <v/>
      </c>
      <c r="S209" s="181">
        <f>Schedule!J209</f>
        <v/>
      </c>
      <c r="T209" s="193">
        <f>Y209-Z209</f>
        <v/>
      </c>
      <c r="U209" s="182">
        <f>T209/Picks!$K$2</f>
        <v/>
      </c>
      <c r="V209" s="193">
        <f>INDEX(Standings!$T$3:$T$34, MATCH(N209, Standings!$A$3:$A$34, 0)) - INDEX(Standings!$T$3:$T$34, MATCH(P209, Standings!$A$3:$A$34, 0))</f>
        <v/>
      </c>
      <c r="W209" s="157">
        <f>INDEX(Standings!$L$3:$L$34, MATCH(N209, Standings!$A$3:$A$34, 0)) - INDEX(Standings!$L$3:$L$34, MATCH(P209, Standings!$A$3:$A$34, 0))</f>
        <v/>
      </c>
      <c r="X209" s="157">
        <f>INDEX(Standings!$M$3:$M$34, MATCH(N209, Standings!$A$3:$A$34, 0)) - INDEX(Standings!$M$3:$M$34, MATCH(P209, Standings!$A$3:$A$34, 0))</f>
        <v/>
      </c>
      <c r="Y209" s="194">
        <f t="array" ref="Y209:Y209">IFERROR(AE209+(AL209-_DFactor)*AE209,"")</f>
        <v/>
      </c>
      <c r="Z209" s="157">
        <f>IFERROR(AF209+(AI209-_DFactor)*AF209,"")</f>
        <v/>
      </c>
      <c r="AC209" s="194">
        <f>VLOOKUP(M209&amp;N209,Schedule!A:F,6,0)</f>
        <v/>
      </c>
      <c r="AD209" s="194">
        <f>VLOOKUP(M209&amp;P209,Schedule!A:F,6,0)</f>
        <v/>
      </c>
      <c r="AE209" s="156">
        <f>VLOOKUP(N209,ProjPVT!B:I,8,0)*_Mag/VLOOKUP(P209,Standings!A:O,15,0)*H209*K209</f>
        <v/>
      </c>
      <c r="AF209" s="156">
        <f>VLOOKUP(P209,ProjPVT!B:I,8,0)*_Mag/VLOOKUP(N209,Standings!A:O,15,0)*J209*I209</f>
        <v/>
      </c>
      <c r="AG209" s="195">
        <f>VLOOKUP(N209,Matrix!AA:AC,3,0)</f>
        <v/>
      </c>
      <c r="AH209" s="195">
        <f>SUMIFS(Def!C:C,Def!F:F,AG209)</f>
        <v/>
      </c>
      <c r="AI209" s="156">
        <f>IFERROR(SUMIFS(Def!B:B,Def!F:F,AG209)/AH209,"")</f>
        <v/>
      </c>
      <c r="AJ209" s="195">
        <f>VLOOKUP(P209,Matrix!AA:AC,3,0)</f>
        <v/>
      </c>
      <c r="AK209" s="195">
        <f>SUMIFS(Def!C:C,Def!F:F,AJ209)</f>
        <v/>
      </c>
      <c r="AL209" s="156">
        <f>IFERROR(SUMIFS(Def!B:B,Def!F:F,AJ209)/AK209,"")</f>
        <v/>
      </c>
    </row>
    <row r="210" ht="14.4" customHeight="1" s="152">
      <c r="A210" s="157">
        <f>IF(F210="Yes",IFERROR(IF(AA210&gt;1,AA210/100,100/-AA210),""),-1)</f>
        <v/>
      </c>
      <c r="B210" s="157">
        <f>B209+1</f>
        <v/>
      </c>
      <c r="C210" s="157">
        <f>IF(Y210&gt;Z210,1,0)</f>
        <v/>
      </c>
      <c r="D210" s="157">
        <f>IF(AND(C210=1,F210="Yes"),"Yes",IF(AND(C210=0,F210="No"),"Yes","No"))</f>
        <v/>
      </c>
      <c r="E210" s="192">
        <f>IF((AC210+AB210)=AD210,"Push",IF((AC210+AB210)&gt;AD210,"Yes","No"))</f>
        <v/>
      </c>
      <c r="F210" s="192">
        <f>IF(AC210&gt;AD210,"Yes","No")</f>
        <v/>
      </c>
      <c r="G210" s="192">
        <f>IF((Y210+AB210)&gt;Z210,"Yes",IF((Y210+AB210)=Z210,"Push","No"))</f>
        <v/>
      </c>
      <c r="H210" s="157">
        <f>IF(O210="Home",VLOOKUP(N210,Matrix!A:S,19,0),1)</f>
        <v/>
      </c>
      <c r="I210" s="157">
        <f>IF(O210="Away",VLOOKUP(N210,Matrix!A:Z,20,0),1)</f>
        <v/>
      </c>
      <c r="J210" s="157">
        <f>IF(O210="Away",VLOOKUP(P210,Matrix!A:S,19,0),1)</f>
        <v/>
      </c>
      <c r="K210" s="157">
        <f>IF(O210="Home",VLOOKUP(P210,Matrix!A:Z,20,0),1)</f>
        <v/>
      </c>
      <c r="L210" s="156" t="n">
        <v>0.25504369686428</v>
      </c>
      <c r="M210" s="179">
        <f>Schedule!B210</f>
        <v/>
      </c>
      <c r="N210" s="156">
        <f>Schedule!E210</f>
        <v/>
      </c>
      <c r="O210" s="156" t="inlineStr">
        <is>
          <t>Away</t>
        </is>
      </c>
      <c r="P210" s="157">
        <f>Schedule!H210</f>
        <v/>
      </c>
      <c r="Q210" s="157">
        <f>Schedule!C210</f>
        <v/>
      </c>
      <c r="R210" s="180">
        <f>Schedule!D210</f>
        <v/>
      </c>
      <c r="S210" s="181">
        <f>Schedule!J210</f>
        <v/>
      </c>
      <c r="T210" s="193">
        <f>Y210-Z210</f>
        <v/>
      </c>
      <c r="U210" s="182">
        <f>T210/Picks!$K$2</f>
        <v/>
      </c>
      <c r="V210" s="193">
        <f>INDEX(Standings!$T$3:$T$34, MATCH(N210, Standings!$A$3:$A$34, 0)) - INDEX(Standings!$T$3:$T$34, MATCH(P210, Standings!$A$3:$A$34, 0))</f>
        <v/>
      </c>
      <c r="W210" s="157">
        <f>INDEX(Standings!$L$3:$L$34, MATCH(N210, Standings!$A$3:$A$34, 0)) - INDEX(Standings!$L$3:$L$34, MATCH(P210, Standings!$A$3:$A$34, 0))</f>
        <v/>
      </c>
      <c r="X210" s="157">
        <f>INDEX(Standings!$M$3:$M$34, MATCH(N210, Standings!$A$3:$A$34, 0)) - INDEX(Standings!$M$3:$M$34, MATCH(P210, Standings!$A$3:$A$34, 0))</f>
        <v/>
      </c>
      <c r="Y210" s="194">
        <f t="array" ref="Y210:Y210">IFERROR(AE210+(AL210-_DFactor)*AE210,"")</f>
        <v/>
      </c>
      <c r="Z210" s="157">
        <f>IFERROR(AF210+(AI210-_DFactor)*AF210,"")</f>
        <v/>
      </c>
      <c r="AC210" s="194">
        <f>VLOOKUP(M210&amp;N210,Schedule!A:F,6,0)</f>
        <v/>
      </c>
      <c r="AD210" s="194">
        <f>VLOOKUP(M210&amp;P210,Schedule!A:F,6,0)</f>
        <v/>
      </c>
      <c r="AE210" s="156">
        <f>VLOOKUP(N210,ProjPVT!B:I,8,0)*_Mag/VLOOKUP(P210,Standings!A:O,15,0)*H210*K210</f>
        <v/>
      </c>
      <c r="AF210" s="156">
        <f>VLOOKUP(P210,ProjPVT!B:I,8,0)*_Mag/VLOOKUP(N210,Standings!A:O,15,0)*J210*I210</f>
        <v/>
      </c>
      <c r="AG210" s="195">
        <f>VLOOKUP(N210,Matrix!AA:AC,3,0)</f>
        <v/>
      </c>
      <c r="AH210" s="195">
        <f>SUMIFS(Def!C:C,Def!F:F,AG210)</f>
        <v/>
      </c>
      <c r="AI210" s="156">
        <f>IFERROR(SUMIFS(Def!B:B,Def!F:F,AG210)/AH210,"")</f>
        <v/>
      </c>
      <c r="AJ210" s="195">
        <f>VLOOKUP(P210,Matrix!AA:AC,3,0)</f>
        <v/>
      </c>
      <c r="AK210" s="195">
        <f>SUMIFS(Def!C:C,Def!F:F,AJ210)</f>
        <v/>
      </c>
      <c r="AL210" s="156">
        <f>IFERROR(SUMIFS(Def!B:B,Def!F:F,AJ210)/AK210,"")</f>
        <v/>
      </c>
    </row>
    <row r="211" ht="14.4" customHeight="1" s="152">
      <c r="A211" s="157">
        <f>IF(F211="Yes",IFERROR(IF(AA211&gt;1,AA211/100,100/-AA211),""),-1)</f>
        <v/>
      </c>
      <c r="B211" s="157">
        <f>B210+1</f>
        <v/>
      </c>
      <c r="C211" s="157">
        <f>IF(Y211&gt;Z211,1,0)</f>
        <v/>
      </c>
      <c r="D211" s="157">
        <f>IF(AND(C211=1,F211="Yes"),"Yes",IF(AND(C211=0,F211="No"),"Yes","No"))</f>
        <v/>
      </c>
      <c r="E211" s="192">
        <f>IF((AC211+AB211)=AD211,"Push",IF((AC211+AB211)&gt;AD211,"Yes","No"))</f>
        <v/>
      </c>
      <c r="F211" s="192">
        <f>IF(AC211&gt;AD211,"Yes","No")</f>
        <v/>
      </c>
      <c r="G211" s="192">
        <f>IF((Y211+AB211)&gt;Z211,"Yes",IF((Y211+AB211)=Z211,"Push","No"))</f>
        <v/>
      </c>
      <c r="H211" s="157">
        <f>IF(O211="Home",VLOOKUP(N211,Matrix!A:S,19,0),1)</f>
        <v/>
      </c>
      <c r="I211" s="157">
        <f>IF(O211="Away",VLOOKUP(N211,Matrix!A:Z,20,0),1)</f>
        <v/>
      </c>
      <c r="J211" s="157">
        <f>IF(O211="Away",VLOOKUP(P211,Matrix!A:S,19,0),1)</f>
        <v/>
      </c>
      <c r="K211" s="157">
        <f>IF(O211="Home",VLOOKUP(P211,Matrix!A:Z,20,0),1)</f>
        <v/>
      </c>
      <c r="L211" s="156" t="n">
        <v>0.317238563793085</v>
      </c>
      <c r="M211" s="179">
        <f>Schedule!B211</f>
        <v/>
      </c>
      <c r="N211" s="156">
        <f>Schedule!E211</f>
        <v/>
      </c>
      <c r="O211" s="156" t="inlineStr">
        <is>
          <t>Home</t>
        </is>
      </c>
      <c r="P211" s="157">
        <f>Schedule!H211</f>
        <v/>
      </c>
      <c r="Q211" s="157">
        <f>Schedule!C211</f>
        <v/>
      </c>
      <c r="R211" s="180">
        <f>Schedule!D211</f>
        <v/>
      </c>
      <c r="S211" s="181">
        <f>Schedule!J211</f>
        <v/>
      </c>
      <c r="T211" s="193">
        <f>Y211-Z211</f>
        <v/>
      </c>
      <c r="U211" s="182">
        <f>T211/Picks!$K$2</f>
        <v/>
      </c>
      <c r="V211" s="193">
        <f>INDEX(Standings!$T$3:$T$34, MATCH(N211, Standings!$A$3:$A$34, 0)) - INDEX(Standings!$T$3:$T$34, MATCH(P211, Standings!$A$3:$A$34, 0))</f>
        <v/>
      </c>
      <c r="W211" s="157">
        <f>INDEX(Standings!$L$3:$L$34, MATCH(N211, Standings!$A$3:$A$34, 0)) - INDEX(Standings!$L$3:$L$34, MATCH(P211, Standings!$A$3:$A$34, 0))</f>
        <v/>
      </c>
      <c r="X211" s="157">
        <f>INDEX(Standings!$M$3:$M$34, MATCH(N211, Standings!$A$3:$A$34, 0)) - INDEX(Standings!$M$3:$M$34, MATCH(P211, Standings!$A$3:$A$34, 0))</f>
        <v/>
      </c>
      <c r="Y211" s="194">
        <f t="array" ref="Y211:Y211">IFERROR(AE211+(AL211-_DFactor)*AE211,"")</f>
        <v/>
      </c>
      <c r="Z211" s="157">
        <f>IFERROR(AF211+(AI211-_DFactor)*AF211,"")</f>
        <v/>
      </c>
      <c r="AC211" s="194">
        <f>VLOOKUP(M211&amp;N211,Schedule!A:F,6,0)</f>
        <v/>
      </c>
      <c r="AD211" s="194">
        <f>VLOOKUP(M211&amp;P211,Schedule!A:F,6,0)</f>
        <v/>
      </c>
      <c r="AE211" s="156">
        <f>VLOOKUP(N211,ProjPVT!B:I,8,0)*_Mag/VLOOKUP(P211,Standings!A:O,15,0)*H211*K211</f>
        <v/>
      </c>
      <c r="AF211" s="156">
        <f>VLOOKUP(P211,ProjPVT!B:I,8,0)*_Mag/VLOOKUP(N211,Standings!A:O,15,0)*J211*I211</f>
        <v/>
      </c>
      <c r="AG211" s="195">
        <f>VLOOKUP(N211,Matrix!AA:AC,3,0)</f>
        <v/>
      </c>
      <c r="AH211" s="195">
        <f>SUMIFS(Def!C:C,Def!F:F,AG211)</f>
        <v/>
      </c>
      <c r="AI211" s="156">
        <f>IFERROR(SUMIFS(Def!B:B,Def!F:F,AG211)/AH211,"")</f>
        <v/>
      </c>
      <c r="AJ211" s="195">
        <f>VLOOKUP(P211,Matrix!AA:AC,3,0)</f>
        <v/>
      </c>
      <c r="AK211" s="195">
        <f>SUMIFS(Def!C:C,Def!F:F,AJ211)</f>
        <v/>
      </c>
      <c r="AL211" s="156">
        <f>IFERROR(SUMIFS(Def!B:B,Def!F:F,AJ211)/AK211,"")</f>
        <v/>
      </c>
    </row>
    <row r="212" ht="14.4" customHeight="1" s="152">
      <c r="A212" s="157">
        <f>IF(F212="Yes",IFERROR(IF(AA212&gt;1,AA212/100,100/-AA212),""),-1)</f>
        <v/>
      </c>
      <c r="B212" s="157">
        <f>B211+1</f>
        <v/>
      </c>
      <c r="C212" s="157">
        <f>IF(Y212&gt;Z212,1,0)</f>
        <v/>
      </c>
      <c r="D212" s="157">
        <f>IF(AND(C212=1,F212="Yes"),"Yes",IF(AND(C212=0,F212="No"),"Yes","No"))</f>
        <v/>
      </c>
      <c r="E212" s="192">
        <f>IF((AC212+AB212)=AD212,"Push",IF((AC212+AB212)&gt;AD212,"Yes","No"))</f>
        <v/>
      </c>
      <c r="F212" s="192">
        <f>IF(AC212&gt;AD212,"Yes","No")</f>
        <v/>
      </c>
      <c r="G212" s="192">
        <f>IF((Y212+AB212)&gt;Z212,"Yes",IF((Y212+AB212)=Z212,"Push","No"))</f>
        <v/>
      </c>
      <c r="H212" s="157">
        <f>IF(O212="Home",VLOOKUP(N212,Matrix!A:S,19,0),1)</f>
        <v/>
      </c>
      <c r="I212" s="157">
        <f>IF(O212="Away",VLOOKUP(N212,Matrix!A:Z,20,0),1)</f>
        <v/>
      </c>
      <c r="J212" s="157">
        <f>IF(O212="Away",VLOOKUP(P212,Matrix!A:S,19,0),1)</f>
        <v/>
      </c>
      <c r="K212" s="157">
        <f>IF(O212="Home",VLOOKUP(P212,Matrix!A:Z,20,0),1)</f>
        <v/>
      </c>
      <c r="L212" s="156" t="n">
        <v>0.366568623431439</v>
      </c>
      <c r="M212" s="179">
        <f>Schedule!B212</f>
        <v/>
      </c>
      <c r="N212" s="156">
        <f>Schedule!E212</f>
        <v/>
      </c>
      <c r="O212" s="156" t="inlineStr">
        <is>
          <t>Away</t>
        </is>
      </c>
      <c r="P212" s="157">
        <f>Schedule!H212</f>
        <v/>
      </c>
      <c r="Q212" s="157">
        <f>Schedule!C212</f>
        <v/>
      </c>
      <c r="R212" s="180">
        <f>Schedule!D212</f>
        <v/>
      </c>
      <c r="S212" s="181">
        <f>Schedule!J212</f>
        <v/>
      </c>
      <c r="T212" s="193">
        <f>Y212-Z212</f>
        <v/>
      </c>
      <c r="U212" s="182">
        <f>T212/Picks!$K$2</f>
        <v/>
      </c>
      <c r="V212" s="193">
        <f>INDEX(Standings!$T$3:$T$34, MATCH(N212, Standings!$A$3:$A$34, 0)) - INDEX(Standings!$T$3:$T$34, MATCH(P212, Standings!$A$3:$A$34, 0))</f>
        <v/>
      </c>
      <c r="W212" s="157">
        <f>INDEX(Standings!$L$3:$L$34, MATCH(N212, Standings!$A$3:$A$34, 0)) - INDEX(Standings!$L$3:$L$34, MATCH(P212, Standings!$A$3:$A$34, 0))</f>
        <v/>
      </c>
      <c r="X212" s="157">
        <f>INDEX(Standings!$M$3:$M$34, MATCH(N212, Standings!$A$3:$A$34, 0)) - INDEX(Standings!$M$3:$M$34, MATCH(P212, Standings!$A$3:$A$34, 0))</f>
        <v/>
      </c>
      <c r="Y212" s="194">
        <f t="array" ref="Y212:Y212">IFERROR(AE212+(AL212-_DFactor)*AE212,"")</f>
        <v/>
      </c>
      <c r="Z212" s="157">
        <f>IFERROR(AF212+(AI212-_DFactor)*AF212,"")</f>
        <v/>
      </c>
      <c r="AC212" s="194">
        <f>VLOOKUP(M212&amp;N212,Schedule!A:F,6,0)</f>
        <v/>
      </c>
      <c r="AD212" s="194">
        <f>VLOOKUP(M212&amp;P212,Schedule!A:F,6,0)</f>
        <v/>
      </c>
      <c r="AE212" s="156">
        <f>VLOOKUP(N212,ProjPVT!B:I,8,0)*_Mag/VLOOKUP(P212,Standings!A:O,15,0)*H212*K212</f>
        <v/>
      </c>
      <c r="AF212" s="156">
        <f>VLOOKUP(P212,ProjPVT!B:I,8,0)*_Mag/VLOOKUP(N212,Standings!A:O,15,0)*J212*I212</f>
        <v/>
      </c>
      <c r="AG212" s="195">
        <f>VLOOKUP(N212,Matrix!AA:AC,3,0)</f>
        <v/>
      </c>
      <c r="AH212" s="195">
        <f>SUMIFS(Def!C:C,Def!F:F,AG212)</f>
        <v/>
      </c>
      <c r="AI212" s="156">
        <f>IFERROR(SUMIFS(Def!B:B,Def!F:F,AG212)/AH212,"")</f>
        <v/>
      </c>
      <c r="AJ212" s="195">
        <f>VLOOKUP(P212,Matrix!AA:AC,3,0)</f>
        <v/>
      </c>
      <c r="AK212" s="195">
        <f>SUMIFS(Def!C:C,Def!F:F,AJ212)</f>
        <v/>
      </c>
      <c r="AL212" s="156">
        <f>IFERROR(SUMIFS(Def!B:B,Def!F:F,AJ212)/AK212,"")</f>
        <v/>
      </c>
    </row>
    <row r="213" ht="14.4" customHeight="1" s="152">
      <c r="A213" s="157">
        <f>IF(F213="Yes",IFERROR(IF(AA213&gt;1,AA213/100,100/-AA213),""),-1)</f>
        <v/>
      </c>
      <c r="B213" s="157">
        <f>B212+1</f>
        <v/>
      </c>
      <c r="C213" s="157">
        <f>IF(Y213&gt;Z213,1,0)</f>
        <v/>
      </c>
      <c r="D213" s="157">
        <f>IF(AND(C213=1,F213="Yes"),"Yes",IF(AND(C213=0,F213="No"),"Yes","No"))</f>
        <v/>
      </c>
      <c r="E213" s="192">
        <f>IF((AC213+AB213)=AD213,"Push",IF((AC213+AB213)&gt;AD213,"Yes","No"))</f>
        <v/>
      </c>
      <c r="F213" s="192">
        <f>IF(AC213&gt;AD213,"Yes","No")</f>
        <v/>
      </c>
      <c r="G213" s="192">
        <f>IF((Y213+AB213)&gt;Z213,"Yes",IF((Y213+AB213)=Z213,"Push","No"))</f>
        <v/>
      </c>
      <c r="H213" s="157">
        <f>IF(O213="Home",VLOOKUP(N213,Matrix!A:S,19,0),1)</f>
        <v/>
      </c>
      <c r="I213" s="157">
        <f>IF(O213="Away",VLOOKUP(N213,Matrix!A:Z,20,0),1)</f>
        <v/>
      </c>
      <c r="J213" s="157">
        <f>IF(O213="Away",VLOOKUP(P213,Matrix!A:S,19,0),1)</f>
        <v/>
      </c>
      <c r="K213" s="157">
        <f>IF(O213="Home",VLOOKUP(P213,Matrix!A:Z,20,0),1)</f>
        <v/>
      </c>
      <c r="L213" s="156" t="n">
        <v>0.408216196588463</v>
      </c>
      <c r="M213" s="179">
        <f>Schedule!B213</f>
        <v/>
      </c>
      <c r="N213" s="156">
        <f>Schedule!E213</f>
        <v/>
      </c>
      <c r="O213" s="156" t="inlineStr">
        <is>
          <t>Home</t>
        </is>
      </c>
      <c r="P213" s="157">
        <f>Schedule!H213</f>
        <v/>
      </c>
      <c r="Q213" s="157">
        <f>Schedule!C213</f>
        <v/>
      </c>
      <c r="R213" s="180">
        <f>Schedule!D213</f>
        <v/>
      </c>
      <c r="S213" s="181">
        <f>Schedule!J213</f>
        <v/>
      </c>
      <c r="T213" s="193">
        <f>Y213-Z213</f>
        <v/>
      </c>
      <c r="U213" s="182">
        <f>T213/Picks!$K$2</f>
        <v/>
      </c>
      <c r="V213" s="193">
        <f>INDEX(Standings!$T$3:$T$34, MATCH(N213, Standings!$A$3:$A$34, 0)) - INDEX(Standings!$T$3:$T$34, MATCH(P213, Standings!$A$3:$A$34, 0))</f>
        <v/>
      </c>
      <c r="W213" s="157">
        <f>INDEX(Standings!$L$3:$L$34, MATCH(N213, Standings!$A$3:$A$34, 0)) - INDEX(Standings!$L$3:$L$34, MATCH(P213, Standings!$A$3:$A$34, 0))</f>
        <v/>
      </c>
      <c r="X213" s="157">
        <f>INDEX(Standings!$M$3:$M$34, MATCH(N213, Standings!$A$3:$A$34, 0)) - INDEX(Standings!$M$3:$M$34, MATCH(P213, Standings!$A$3:$A$34, 0))</f>
        <v/>
      </c>
      <c r="Y213" s="194">
        <f t="array" ref="Y213:Y213">IFERROR(AE213+(AL213-_DFactor)*AE213,"")</f>
        <v/>
      </c>
      <c r="Z213" s="157">
        <f>IFERROR(AF213+(AI213-_DFactor)*AF213,"")</f>
        <v/>
      </c>
      <c r="AC213" s="194">
        <f>VLOOKUP(M213&amp;N213,Schedule!A:F,6,0)</f>
        <v/>
      </c>
      <c r="AD213" s="194">
        <f>VLOOKUP(M213&amp;P213,Schedule!A:F,6,0)</f>
        <v/>
      </c>
      <c r="AE213" s="156">
        <f>VLOOKUP(N213,ProjPVT!B:I,8,0)*_Mag/VLOOKUP(P213,Standings!A:O,15,0)*H213*K213</f>
        <v/>
      </c>
      <c r="AF213" s="156">
        <f>VLOOKUP(P213,ProjPVT!B:I,8,0)*_Mag/VLOOKUP(N213,Standings!A:O,15,0)*J213*I213</f>
        <v/>
      </c>
      <c r="AG213" s="195">
        <f>VLOOKUP(N213,Matrix!AA:AC,3,0)</f>
        <v/>
      </c>
      <c r="AH213" s="195">
        <f>SUMIFS(Def!C:C,Def!F:F,AG213)</f>
        <v/>
      </c>
      <c r="AI213" s="156">
        <f>IFERROR(SUMIFS(Def!B:B,Def!F:F,AG213)/AH213,"")</f>
        <v/>
      </c>
      <c r="AJ213" s="195">
        <f>VLOOKUP(P213,Matrix!AA:AC,3,0)</f>
        <v/>
      </c>
      <c r="AK213" s="195">
        <f>SUMIFS(Def!C:C,Def!F:F,AJ213)</f>
        <v/>
      </c>
      <c r="AL213" s="156">
        <f>IFERROR(SUMIFS(Def!B:B,Def!F:F,AJ213)/AK213,"")</f>
        <v/>
      </c>
    </row>
    <row r="214" ht="14.4" customHeight="1" s="152">
      <c r="A214" s="157">
        <f>IF(F214="Yes",IFERROR(IF(AA214&gt;1,AA214/100,100/-AA214),""),-1)</f>
        <v/>
      </c>
      <c r="B214" s="157">
        <f>B213+1</f>
        <v/>
      </c>
      <c r="C214" s="157">
        <f>IF(Y214&gt;Z214,1,0)</f>
        <v/>
      </c>
      <c r="D214" s="157">
        <f>IF(AND(C214=1,F214="Yes"),"Yes",IF(AND(C214=0,F214="No"),"Yes","No"))</f>
        <v/>
      </c>
      <c r="E214" s="192">
        <f>IF((AC214+AB214)=AD214,"Push",IF((AC214+AB214)&gt;AD214,"Yes","No"))</f>
        <v/>
      </c>
      <c r="F214" s="192">
        <f>IF(AC214&gt;AD214,"Yes","No")</f>
        <v/>
      </c>
      <c r="G214" s="192">
        <f>IF((Y214+AB214)&gt;Z214,"Yes",IF((Y214+AB214)=Z214,"Push","No"))</f>
        <v/>
      </c>
      <c r="H214" s="157">
        <f>IF(O214="Home",VLOOKUP(N214,Matrix!A:S,19,0),1)</f>
        <v/>
      </c>
      <c r="I214" s="157">
        <f>IF(O214="Away",VLOOKUP(N214,Matrix!A:Z,20,0),1)</f>
        <v/>
      </c>
      <c r="J214" s="157">
        <f>IF(O214="Away",VLOOKUP(P214,Matrix!A:S,19,0),1)</f>
        <v/>
      </c>
      <c r="K214" s="157">
        <f>IF(O214="Home",VLOOKUP(P214,Matrix!A:Z,20,0),1)</f>
        <v/>
      </c>
      <c r="L214" s="156" t="n">
        <v>0.475300772433018</v>
      </c>
      <c r="M214" s="179">
        <f>Schedule!B214</f>
        <v/>
      </c>
      <c r="N214" s="156">
        <f>Schedule!E214</f>
        <v/>
      </c>
      <c r="O214" s="156" t="inlineStr">
        <is>
          <t>Away</t>
        </is>
      </c>
      <c r="P214" s="157">
        <f>Schedule!H214</f>
        <v/>
      </c>
      <c r="Q214" s="157">
        <f>Schedule!C214</f>
        <v/>
      </c>
      <c r="R214" s="180">
        <f>Schedule!D214</f>
        <v/>
      </c>
      <c r="S214" s="181">
        <f>Schedule!J214</f>
        <v/>
      </c>
      <c r="T214" s="193">
        <f>Y214-Z214</f>
        <v/>
      </c>
      <c r="U214" s="182">
        <f>T214/Picks!$K$2</f>
        <v/>
      </c>
      <c r="V214" s="193">
        <f>INDEX(Standings!$T$3:$T$34, MATCH(N214, Standings!$A$3:$A$34, 0)) - INDEX(Standings!$T$3:$T$34, MATCH(P214, Standings!$A$3:$A$34, 0))</f>
        <v/>
      </c>
      <c r="W214" s="157">
        <f>INDEX(Standings!$L$3:$L$34, MATCH(N214, Standings!$A$3:$A$34, 0)) - INDEX(Standings!$L$3:$L$34, MATCH(P214, Standings!$A$3:$A$34, 0))</f>
        <v/>
      </c>
      <c r="X214" s="157">
        <f>INDEX(Standings!$M$3:$M$34, MATCH(N214, Standings!$A$3:$A$34, 0)) - INDEX(Standings!$M$3:$M$34, MATCH(P214, Standings!$A$3:$A$34, 0))</f>
        <v/>
      </c>
      <c r="Y214" s="194">
        <f t="array" ref="Y214:Y214">IFERROR(AE214+(AL214-_DFactor)*AE214,"")</f>
        <v/>
      </c>
      <c r="Z214" s="157">
        <f>IFERROR(AF214+(AI214-_DFactor)*AF214,"")</f>
        <v/>
      </c>
      <c r="AC214" s="194">
        <f>VLOOKUP(M214&amp;N214,Schedule!A:F,6,0)</f>
        <v/>
      </c>
      <c r="AD214" s="194">
        <f>VLOOKUP(M214&amp;P214,Schedule!A:F,6,0)</f>
        <v/>
      </c>
      <c r="AE214" s="156">
        <f>VLOOKUP(N214,ProjPVT!B:I,8,0)*_Mag/VLOOKUP(P214,Standings!A:O,15,0)*H214*K214</f>
        <v/>
      </c>
      <c r="AF214" s="156">
        <f>VLOOKUP(P214,ProjPVT!B:I,8,0)*_Mag/VLOOKUP(N214,Standings!A:O,15,0)*J214*I214</f>
        <v/>
      </c>
      <c r="AG214" s="195">
        <f>VLOOKUP(N214,Matrix!AA:AC,3,0)</f>
        <v/>
      </c>
      <c r="AH214" s="195">
        <f>SUMIFS(Def!C:C,Def!F:F,AG214)</f>
        <v/>
      </c>
      <c r="AI214" s="156">
        <f>IFERROR(SUMIFS(Def!B:B,Def!F:F,AG214)/AH214,"")</f>
        <v/>
      </c>
      <c r="AJ214" s="195">
        <f>VLOOKUP(P214,Matrix!AA:AC,3,0)</f>
        <v/>
      </c>
      <c r="AK214" s="195">
        <f>SUMIFS(Def!C:C,Def!F:F,AJ214)</f>
        <v/>
      </c>
      <c r="AL214" s="156">
        <f>IFERROR(SUMIFS(Def!B:B,Def!F:F,AJ214)/AK214,"")</f>
        <v/>
      </c>
    </row>
    <row r="215" ht="14.4" customHeight="1" s="152">
      <c r="A215" s="157">
        <f>IF(F215="Yes",IFERROR(IF(AA215&gt;1,AA215/100,100/-AA215),""),-1)</f>
        <v/>
      </c>
      <c r="B215" s="157">
        <f>B214+1</f>
        <v/>
      </c>
      <c r="C215" s="157">
        <f>IF(Y215&gt;Z215,1,0)</f>
        <v/>
      </c>
      <c r="D215" s="157">
        <f>IF(AND(C215=1,F215="Yes"),"Yes",IF(AND(C215=0,F215="No"),"Yes","No"))</f>
        <v/>
      </c>
      <c r="E215" s="192">
        <f>IF((AC215+AB215)=AD215,"Push",IF((AC215+AB215)&gt;AD215,"Yes","No"))</f>
        <v/>
      </c>
      <c r="F215" s="192">
        <f>IF(AC215&gt;AD215,"Yes","No")</f>
        <v/>
      </c>
      <c r="G215" s="192">
        <f>IF((Y215+AB215)&gt;Z215,"Yes",IF((Y215+AB215)=Z215,"Push","No"))</f>
        <v/>
      </c>
      <c r="H215" s="157">
        <f>IF(O215="Home",VLOOKUP(N215,Matrix!A:S,19,0),1)</f>
        <v/>
      </c>
      <c r="I215" s="157">
        <f>IF(O215="Away",VLOOKUP(N215,Matrix!A:Z,20,0),1)</f>
        <v/>
      </c>
      <c r="J215" s="157">
        <f>IF(O215="Away",VLOOKUP(P215,Matrix!A:S,19,0),1)</f>
        <v/>
      </c>
      <c r="K215" s="157">
        <f>IF(O215="Home",VLOOKUP(P215,Matrix!A:Z,20,0),1)</f>
        <v/>
      </c>
      <c r="L215" s="156" t="n">
        <v>0.629381132010893</v>
      </c>
      <c r="M215" s="179">
        <f>Schedule!B215</f>
        <v/>
      </c>
      <c r="N215" s="156">
        <f>Schedule!E215</f>
        <v/>
      </c>
      <c r="O215" s="156" t="inlineStr">
        <is>
          <t>Home</t>
        </is>
      </c>
      <c r="P215" s="157">
        <f>Schedule!H215</f>
        <v/>
      </c>
      <c r="Q215" s="157">
        <f>Schedule!C215</f>
        <v/>
      </c>
      <c r="R215" s="180">
        <f>Schedule!D215</f>
        <v/>
      </c>
      <c r="S215" s="181">
        <f>Schedule!J215</f>
        <v/>
      </c>
      <c r="T215" s="193">
        <f>Y215-Z215</f>
        <v/>
      </c>
      <c r="U215" s="182">
        <f>T215/Picks!$K$2</f>
        <v/>
      </c>
      <c r="V215" s="193">
        <f>INDEX(Standings!$T$3:$T$34, MATCH(N215, Standings!$A$3:$A$34, 0)) - INDEX(Standings!$T$3:$T$34, MATCH(P215, Standings!$A$3:$A$34, 0))</f>
        <v/>
      </c>
      <c r="W215" s="157">
        <f>INDEX(Standings!$L$3:$L$34, MATCH(N215, Standings!$A$3:$A$34, 0)) - INDEX(Standings!$L$3:$L$34, MATCH(P215, Standings!$A$3:$A$34, 0))</f>
        <v/>
      </c>
      <c r="X215" s="157">
        <f>INDEX(Standings!$M$3:$M$34, MATCH(N215, Standings!$A$3:$A$34, 0)) - INDEX(Standings!$M$3:$M$34, MATCH(P215, Standings!$A$3:$A$34, 0))</f>
        <v/>
      </c>
      <c r="Y215" s="194">
        <f t="array" ref="Y215:Y215">IFERROR(AE215+(AL215-_DFactor)*AE215,"")</f>
        <v/>
      </c>
      <c r="Z215" s="157">
        <f>IFERROR(AF215+(AI215-_DFactor)*AF215,"")</f>
        <v/>
      </c>
      <c r="AC215" s="194">
        <f>VLOOKUP(M215&amp;N215,Schedule!A:F,6,0)</f>
        <v/>
      </c>
      <c r="AD215" s="194">
        <f>VLOOKUP(M215&amp;P215,Schedule!A:F,6,0)</f>
        <v/>
      </c>
      <c r="AE215" s="156">
        <f>VLOOKUP(N215,ProjPVT!B:I,8,0)*_Mag/VLOOKUP(P215,Standings!A:O,15,0)*H215*K215</f>
        <v/>
      </c>
      <c r="AF215" s="156">
        <f>VLOOKUP(P215,ProjPVT!B:I,8,0)*_Mag/VLOOKUP(N215,Standings!A:O,15,0)*J215*I215</f>
        <v/>
      </c>
      <c r="AG215" s="195">
        <f>VLOOKUP(N215,Matrix!AA:AC,3,0)</f>
        <v/>
      </c>
      <c r="AH215" s="195">
        <f>SUMIFS(Def!C:C,Def!F:F,AG215)</f>
        <v/>
      </c>
      <c r="AI215" s="156">
        <f>IFERROR(SUMIFS(Def!B:B,Def!F:F,AG215)/AH215,"")</f>
        <v/>
      </c>
      <c r="AJ215" s="195">
        <f>VLOOKUP(P215,Matrix!AA:AC,3,0)</f>
        <v/>
      </c>
      <c r="AK215" s="195">
        <f>SUMIFS(Def!C:C,Def!F:F,AJ215)</f>
        <v/>
      </c>
      <c r="AL215" s="156">
        <f>IFERROR(SUMIFS(Def!B:B,Def!F:F,AJ215)/AK215,"")</f>
        <v/>
      </c>
    </row>
    <row r="216" ht="14.4" customHeight="1" s="152">
      <c r="A216" s="157">
        <f>IF(F216="Yes",IFERROR(IF(AA216&gt;1,AA216/100,100/-AA216),""),-1)</f>
        <v/>
      </c>
      <c r="B216" s="157">
        <f>B215+1</f>
        <v/>
      </c>
      <c r="C216" s="157">
        <f>IF(Y216&gt;Z216,1,0)</f>
        <v/>
      </c>
      <c r="D216" s="157">
        <f>IF(AND(C216=1,F216="Yes"),"Yes",IF(AND(C216=0,F216="No"),"Yes","No"))</f>
        <v/>
      </c>
      <c r="E216" s="192">
        <f>IF((AC216+AB216)=AD216,"Push",IF((AC216+AB216)&gt;AD216,"Yes","No"))</f>
        <v/>
      </c>
      <c r="F216" s="192">
        <f>IF(AC216&gt;AD216,"Yes","No")</f>
        <v/>
      </c>
      <c r="G216" s="192">
        <f>IF((Y216+AB216)&gt;Z216,"Yes",IF((Y216+AB216)=Z216,"Push","No"))</f>
        <v/>
      </c>
      <c r="H216" s="157">
        <f>IF(O216="Home",VLOOKUP(N216,Matrix!A:S,19,0),1)</f>
        <v/>
      </c>
      <c r="I216" s="157">
        <f>IF(O216="Away",VLOOKUP(N216,Matrix!A:Z,20,0),1)</f>
        <v/>
      </c>
      <c r="J216" s="157">
        <f>IF(O216="Away",VLOOKUP(P216,Matrix!A:S,19,0),1)</f>
        <v/>
      </c>
      <c r="K216" s="157">
        <f>IF(O216="Home",VLOOKUP(P216,Matrix!A:Z,20,0),1)</f>
        <v/>
      </c>
      <c r="L216" s="156" t="n">
        <v>-0.571042968816849</v>
      </c>
      <c r="M216" s="179">
        <f>Schedule!B216</f>
        <v/>
      </c>
      <c r="N216" s="156">
        <f>Schedule!E216</f>
        <v/>
      </c>
      <c r="O216" s="156" t="inlineStr">
        <is>
          <t>Away</t>
        </is>
      </c>
      <c r="P216" s="157">
        <f>Schedule!H216</f>
        <v/>
      </c>
      <c r="Q216" s="157">
        <f>Schedule!C216</f>
        <v/>
      </c>
      <c r="R216" s="180">
        <f>Schedule!D216</f>
        <v/>
      </c>
      <c r="S216" s="181">
        <f>Schedule!J216</f>
        <v/>
      </c>
      <c r="T216" s="193">
        <f>Y216-Z216</f>
        <v/>
      </c>
      <c r="U216" s="182">
        <f>T216/Picks!$K$2</f>
        <v/>
      </c>
      <c r="V216" s="193">
        <f>INDEX(Standings!$T$3:$T$34, MATCH(N216, Standings!$A$3:$A$34, 0)) - INDEX(Standings!$T$3:$T$34, MATCH(P216, Standings!$A$3:$A$34, 0))</f>
        <v/>
      </c>
      <c r="W216" s="157">
        <f>INDEX(Standings!$L$3:$L$34, MATCH(N216, Standings!$A$3:$A$34, 0)) - INDEX(Standings!$L$3:$L$34, MATCH(P216, Standings!$A$3:$A$34, 0))</f>
        <v/>
      </c>
      <c r="X216" s="157">
        <f>INDEX(Standings!$M$3:$M$34, MATCH(N216, Standings!$A$3:$A$34, 0)) - INDEX(Standings!$M$3:$M$34, MATCH(P216, Standings!$A$3:$A$34, 0))</f>
        <v/>
      </c>
      <c r="Y216" s="194">
        <f t="array" ref="Y216:Y216">IFERROR(AE216+(AL216-_DFactor)*AE216,"")</f>
        <v/>
      </c>
      <c r="Z216" s="157">
        <f>IFERROR(AF216+(AI216-_DFactor)*AF216,"")</f>
        <v/>
      </c>
      <c r="AC216" s="194">
        <f>VLOOKUP(M216&amp;N216,Schedule!A:F,6,0)</f>
        <v/>
      </c>
      <c r="AD216" s="194">
        <f>VLOOKUP(M216&amp;P216,Schedule!A:F,6,0)</f>
        <v/>
      </c>
      <c r="AE216" s="156">
        <f>VLOOKUP(N216,ProjPVT!B:I,8,0)*_Mag/VLOOKUP(P216,Standings!A:O,15,0)*H216*K216</f>
        <v/>
      </c>
      <c r="AF216" s="156">
        <f>VLOOKUP(P216,ProjPVT!B:I,8,0)*_Mag/VLOOKUP(N216,Standings!A:O,15,0)*J216*I216</f>
        <v/>
      </c>
      <c r="AG216" s="195">
        <f>VLOOKUP(N216,Matrix!AA:AC,3,0)</f>
        <v/>
      </c>
      <c r="AH216" s="195">
        <f>SUMIFS(Def!C:C,Def!F:F,AG216)</f>
        <v/>
      </c>
      <c r="AI216" s="156">
        <f>IFERROR(SUMIFS(Def!B:B,Def!F:F,AG216)/AH216,"")</f>
        <v/>
      </c>
      <c r="AJ216" s="195">
        <f>VLOOKUP(P216,Matrix!AA:AC,3,0)</f>
        <v/>
      </c>
      <c r="AK216" s="195">
        <f>SUMIFS(Def!C:C,Def!F:F,AJ216)</f>
        <v/>
      </c>
      <c r="AL216" s="156">
        <f>IFERROR(SUMIFS(Def!B:B,Def!F:F,AJ216)/AK216,"")</f>
        <v/>
      </c>
    </row>
    <row r="217" ht="14.4" customHeight="1" s="152">
      <c r="A217" s="157">
        <f>IF(F217="Yes",IFERROR(IF(AA217&gt;1,AA217/100,100/-AA217),""),-1)</f>
        <v/>
      </c>
      <c r="B217" s="157">
        <f>B216+1</f>
        <v/>
      </c>
      <c r="C217" s="157">
        <f>IF(Y217&gt;Z217,1,0)</f>
        <v/>
      </c>
      <c r="D217" s="157">
        <f>IF(AND(C217=1,F217="Yes"),"Yes",IF(AND(C217=0,F217="No"),"Yes","No"))</f>
        <v/>
      </c>
      <c r="E217" s="192">
        <f>IF((AC217+AB217)=AD217,"Push",IF((AC217+AB217)&gt;AD217,"Yes","No"))</f>
        <v/>
      </c>
      <c r="F217" s="192">
        <f>IF(AC217&gt;AD217,"Yes","No")</f>
        <v/>
      </c>
      <c r="G217" s="192">
        <f>IF((Y217+AB217)&gt;Z217,"Yes",IF((Y217+AB217)=Z217,"Push","No"))</f>
        <v/>
      </c>
      <c r="H217" s="157">
        <f>IF(O217="Home",VLOOKUP(N217,Matrix!A:S,19,0),1)</f>
        <v/>
      </c>
      <c r="I217" s="157">
        <f>IF(O217="Away",VLOOKUP(N217,Matrix!A:Z,20,0),1)</f>
        <v/>
      </c>
      <c r="J217" s="157">
        <f>IF(O217="Away",VLOOKUP(P217,Matrix!A:S,19,0),1)</f>
        <v/>
      </c>
      <c r="K217" s="157">
        <f>IF(O217="Home",VLOOKUP(P217,Matrix!A:Z,20,0),1)</f>
        <v/>
      </c>
      <c r="L217" s="156" t="n">
        <v>-0.56841220374259</v>
      </c>
      <c r="M217" s="179">
        <f>Schedule!B217</f>
        <v/>
      </c>
      <c r="N217" s="156">
        <f>Schedule!E217</f>
        <v/>
      </c>
      <c r="O217" s="156" t="inlineStr">
        <is>
          <t>Away</t>
        </is>
      </c>
      <c r="P217" s="157">
        <f>Schedule!H217</f>
        <v/>
      </c>
      <c r="Q217" s="157">
        <f>Schedule!C217</f>
        <v/>
      </c>
      <c r="R217" s="180">
        <f>Schedule!D217</f>
        <v/>
      </c>
      <c r="S217" s="181">
        <f>Schedule!J217</f>
        <v/>
      </c>
      <c r="T217" s="193">
        <f>Y217-Z217</f>
        <v/>
      </c>
      <c r="U217" s="182">
        <f>T217/Picks!$K$2</f>
        <v/>
      </c>
      <c r="V217" s="193">
        <f>INDEX(Standings!$T$3:$T$34, MATCH(N217, Standings!$A$3:$A$34, 0)) - INDEX(Standings!$T$3:$T$34, MATCH(P217, Standings!$A$3:$A$34, 0))</f>
        <v/>
      </c>
      <c r="W217" s="157">
        <f>INDEX(Standings!$L$3:$L$34, MATCH(N217, Standings!$A$3:$A$34, 0)) - INDEX(Standings!$L$3:$L$34, MATCH(P217, Standings!$A$3:$A$34, 0))</f>
        <v/>
      </c>
      <c r="X217" s="157">
        <f>INDEX(Standings!$M$3:$M$34, MATCH(N217, Standings!$A$3:$A$34, 0)) - INDEX(Standings!$M$3:$M$34, MATCH(P217, Standings!$A$3:$A$34, 0))</f>
        <v/>
      </c>
      <c r="Y217" s="194">
        <f t="array" ref="Y217:Y217">IFERROR(AE217+(AL217-_DFactor)*AE217,"")</f>
        <v/>
      </c>
      <c r="Z217" s="157">
        <f>IFERROR(AF217+(AI217-_DFactor)*AF217,"")</f>
        <v/>
      </c>
      <c r="AC217" s="194">
        <f>VLOOKUP(M217&amp;N217,Schedule!A:F,6,0)</f>
        <v/>
      </c>
      <c r="AD217" s="194">
        <f>VLOOKUP(M217&amp;P217,Schedule!A:F,6,0)</f>
        <v/>
      </c>
      <c r="AE217" s="156">
        <f>VLOOKUP(N217,ProjPVT!B:I,8,0)*_Mag/VLOOKUP(P217,Standings!A:O,15,0)*H217*K217</f>
        <v/>
      </c>
      <c r="AF217" s="156">
        <f>VLOOKUP(P217,ProjPVT!B:I,8,0)*_Mag/VLOOKUP(N217,Standings!A:O,15,0)*J217*I217</f>
        <v/>
      </c>
      <c r="AG217" s="195">
        <f>VLOOKUP(N217,Matrix!AA:AC,3,0)</f>
        <v/>
      </c>
      <c r="AH217" s="195">
        <f>SUMIFS(Def!C:C,Def!F:F,AG217)</f>
        <v/>
      </c>
      <c r="AI217" s="156">
        <f>IFERROR(SUMIFS(Def!B:B,Def!F:F,AG217)/AH217,"")</f>
        <v/>
      </c>
      <c r="AJ217" s="195">
        <f>VLOOKUP(P217,Matrix!AA:AC,3,0)</f>
        <v/>
      </c>
      <c r="AK217" s="195">
        <f>SUMIFS(Def!C:C,Def!F:F,AJ217)</f>
        <v/>
      </c>
      <c r="AL217" s="156">
        <f>IFERROR(SUMIFS(Def!B:B,Def!F:F,AJ217)/AK217,"")</f>
        <v/>
      </c>
    </row>
    <row r="218" ht="14.4" customHeight="1" s="152">
      <c r="A218" s="157">
        <f>IF(F218="Yes",IFERROR(IF(AA218&gt;1,AA218/100,100/-AA218),""),-1)</f>
        <v/>
      </c>
      <c r="B218" s="157">
        <f>B217+1</f>
        <v/>
      </c>
      <c r="C218" s="157">
        <f>IF(Y218&gt;Z218,1,0)</f>
        <v/>
      </c>
      <c r="D218" s="157">
        <f>IF(AND(C218=1,F218="Yes"),"Yes",IF(AND(C218=0,F218="No"),"Yes","No"))</f>
        <v/>
      </c>
      <c r="E218" s="192">
        <f>IF((AC218+AB218)=AD218,"Push",IF((AC218+AB218)&gt;AD218,"Yes","No"))</f>
        <v/>
      </c>
      <c r="F218" s="192">
        <f>IF(AC218&gt;AD218,"Yes","No")</f>
        <v/>
      </c>
      <c r="G218" s="192">
        <f>IF((Y218+AB218)&gt;Z218,"Yes",IF((Y218+AB218)=Z218,"Push","No"))</f>
        <v/>
      </c>
      <c r="H218" s="157">
        <f>IF(O218="Home",VLOOKUP(N218,Matrix!A:S,19,0),1)</f>
        <v/>
      </c>
      <c r="I218" s="157">
        <f>IF(O218="Away",VLOOKUP(N218,Matrix!A:Z,20,0),1)</f>
        <v/>
      </c>
      <c r="J218" s="157">
        <f>IF(O218="Away",VLOOKUP(P218,Matrix!A:S,19,0),1)</f>
        <v/>
      </c>
      <c r="K218" s="157">
        <f>IF(O218="Home",VLOOKUP(P218,Matrix!A:Z,20,0),1)</f>
        <v/>
      </c>
      <c r="L218" s="156" t="n">
        <v>-0.497733753837314</v>
      </c>
      <c r="M218" s="179">
        <f>Schedule!B218</f>
        <v/>
      </c>
      <c r="N218" s="156">
        <f>Schedule!E218</f>
        <v/>
      </c>
      <c r="O218" s="156" t="inlineStr">
        <is>
          <t>Away</t>
        </is>
      </c>
      <c r="P218" s="157">
        <f>Schedule!H218</f>
        <v/>
      </c>
      <c r="Q218" s="157">
        <f>Schedule!C218</f>
        <v/>
      </c>
      <c r="R218" s="180">
        <f>Schedule!D218</f>
        <v/>
      </c>
      <c r="S218" s="181">
        <f>Schedule!J218</f>
        <v/>
      </c>
      <c r="T218" s="193">
        <f>Y218-Z218</f>
        <v/>
      </c>
      <c r="U218" s="182">
        <f>T218/Picks!$K$2</f>
        <v/>
      </c>
      <c r="V218" s="193">
        <f>INDEX(Standings!$T$3:$T$34, MATCH(N218, Standings!$A$3:$A$34, 0)) - INDEX(Standings!$T$3:$T$34, MATCH(P218, Standings!$A$3:$A$34, 0))</f>
        <v/>
      </c>
      <c r="W218" s="157">
        <f>INDEX(Standings!$L$3:$L$34, MATCH(N218, Standings!$A$3:$A$34, 0)) - INDEX(Standings!$L$3:$L$34, MATCH(P218, Standings!$A$3:$A$34, 0))</f>
        <v/>
      </c>
      <c r="X218" s="157">
        <f>INDEX(Standings!$M$3:$M$34, MATCH(N218, Standings!$A$3:$A$34, 0)) - INDEX(Standings!$M$3:$M$34, MATCH(P218, Standings!$A$3:$A$34, 0))</f>
        <v/>
      </c>
      <c r="Y218" s="194">
        <f t="array" ref="Y218:Y218">IFERROR(AE218+(AL218-_DFactor)*AE218,"")</f>
        <v/>
      </c>
      <c r="Z218" s="157">
        <f>IFERROR(AF218+(AI218-_DFactor)*AF218,"")</f>
        <v/>
      </c>
      <c r="AC218" s="194">
        <f>VLOOKUP(M218&amp;N218,Schedule!A:F,6,0)</f>
        <v/>
      </c>
      <c r="AD218" s="194">
        <f>VLOOKUP(M218&amp;P218,Schedule!A:F,6,0)</f>
        <v/>
      </c>
      <c r="AE218" s="156">
        <f>VLOOKUP(N218,ProjPVT!B:I,8,0)*_Mag/VLOOKUP(P218,Standings!A:O,15,0)*H218*K218</f>
        <v/>
      </c>
      <c r="AF218" s="156">
        <f>VLOOKUP(P218,ProjPVT!B:I,8,0)*_Mag/VLOOKUP(N218,Standings!A:O,15,0)*J218*I218</f>
        <v/>
      </c>
      <c r="AG218" s="195">
        <f>VLOOKUP(N218,Matrix!AA:AC,3,0)</f>
        <v/>
      </c>
      <c r="AH218" s="195">
        <f>SUMIFS(Def!C:C,Def!F:F,AG218)</f>
        <v/>
      </c>
      <c r="AI218" s="156">
        <f>IFERROR(SUMIFS(Def!B:B,Def!F:F,AG218)/AH218,"")</f>
        <v/>
      </c>
      <c r="AJ218" s="195">
        <f>VLOOKUP(P218,Matrix!AA:AC,3,0)</f>
        <v/>
      </c>
      <c r="AK218" s="195">
        <f>SUMIFS(Def!C:C,Def!F:F,AJ218)</f>
        <v/>
      </c>
      <c r="AL218" s="156">
        <f>IFERROR(SUMIFS(Def!B:B,Def!F:F,AJ218)/AK218,"")</f>
        <v/>
      </c>
    </row>
    <row r="219" ht="14.4" customHeight="1" s="152">
      <c r="A219" s="157">
        <f>IF(F219="Yes",IFERROR(IF(AA219&gt;1,AA219/100,100/-AA219),""),-1)</f>
        <v/>
      </c>
      <c r="B219" s="157">
        <f>B218+1</f>
        <v/>
      </c>
      <c r="C219" s="157">
        <f>IF(Y219&gt;Z219,1,0)</f>
        <v/>
      </c>
      <c r="D219" s="157">
        <f>IF(AND(C219=1,F219="Yes"),"Yes",IF(AND(C219=0,F219="No"),"Yes","No"))</f>
        <v/>
      </c>
      <c r="E219" s="192">
        <f>IF((AC219+AB219)=AD219,"Push",IF((AC219+AB219)&gt;AD219,"Yes","No"))</f>
        <v/>
      </c>
      <c r="F219" s="192">
        <f>IF(AC219&gt;AD219,"Yes","No")</f>
        <v/>
      </c>
      <c r="G219" s="192">
        <f>IF((Y219+AB219)&gt;Z219,"Yes",IF((Y219+AB219)=Z219,"Push","No"))</f>
        <v/>
      </c>
      <c r="H219" s="157">
        <f>IF(O219="Home",VLOOKUP(N219,Matrix!A:S,19,0),1)</f>
        <v/>
      </c>
      <c r="I219" s="157">
        <f>IF(O219="Away",VLOOKUP(N219,Matrix!A:Z,20,0),1)</f>
        <v/>
      </c>
      <c r="J219" s="157">
        <f>IF(O219="Away",VLOOKUP(P219,Matrix!A:S,19,0),1)</f>
        <v/>
      </c>
      <c r="K219" s="157">
        <f>IF(O219="Home",VLOOKUP(P219,Matrix!A:Z,20,0),1)</f>
        <v/>
      </c>
      <c r="L219" s="156" t="n">
        <v>-0.350086081823137</v>
      </c>
      <c r="M219" s="179">
        <f>Schedule!B219</f>
        <v/>
      </c>
      <c r="N219" s="156">
        <f>Schedule!E219</f>
        <v/>
      </c>
      <c r="O219" s="156" t="inlineStr">
        <is>
          <t>Away</t>
        </is>
      </c>
      <c r="P219" s="157">
        <f>Schedule!H219</f>
        <v/>
      </c>
      <c r="Q219" s="157">
        <f>Schedule!C219</f>
        <v/>
      </c>
      <c r="R219" s="180">
        <f>Schedule!D219</f>
        <v/>
      </c>
      <c r="S219" s="181">
        <f>Schedule!J219</f>
        <v/>
      </c>
      <c r="T219" s="193">
        <f>Y219-Z219</f>
        <v/>
      </c>
      <c r="U219" s="182">
        <f>T219/Picks!$K$2</f>
        <v/>
      </c>
      <c r="V219" s="193">
        <f>INDEX(Standings!$T$3:$T$34, MATCH(N219, Standings!$A$3:$A$34, 0)) - INDEX(Standings!$T$3:$T$34, MATCH(P219, Standings!$A$3:$A$34, 0))</f>
        <v/>
      </c>
      <c r="W219" s="157">
        <f>INDEX(Standings!$L$3:$L$34, MATCH(N219, Standings!$A$3:$A$34, 0)) - INDEX(Standings!$L$3:$L$34, MATCH(P219, Standings!$A$3:$A$34, 0))</f>
        <v/>
      </c>
      <c r="X219" s="157">
        <f>INDEX(Standings!$M$3:$M$34, MATCH(N219, Standings!$A$3:$A$34, 0)) - INDEX(Standings!$M$3:$M$34, MATCH(P219, Standings!$A$3:$A$34, 0))</f>
        <v/>
      </c>
      <c r="Y219" s="194">
        <f t="array" ref="Y219:Y219">IFERROR(AE219+(AL219-_DFactor)*AE219,"")</f>
        <v/>
      </c>
      <c r="Z219" s="157">
        <f>IFERROR(AF219+(AI219-_DFactor)*AF219,"")</f>
        <v/>
      </c>
      <c r="AC219" s="194">
        <f>VLOOKUP(M219&amp;N219,Schedule!A:F,6,0)</f>
        <v/>
      </c>
      <c r="AD219" s="194">
        <f>VLOOKUP(M219&amp;P219,Schedule!A:F,6,0)</f>
        <v/>
      </c>
      <c r="AE219" s="156">
        <f>VLOOKUP(N219,ProjPVT!B:I,8,0)*_Mag/VLOOKUP(P219,Standings!A:O,15,0)*H219*K219</f>
        <v/>
      </c>
      <c r="AF219" s="156">
        <f>VLOOKUP(P219,ProjPVT!B:I,8,0)*_Mag/VLOOKUP(N219,Standings!A:O,15,0)*J219*I219</f>
        <v/>
      </c>
      <c r="AG219" s="195">
        <f>VLOOKUP(N219,Matrix!AA:AC,3,0)</f>
        <v/>
      </c>
      <c r="AH219" s="195">
        <f>SUMIFS(Def!C:C,Def!F:F,AG219)</f>
        <v/>
      </c>
      <c r="AI219" s="156">
        <f>IFERROR(SUMIFS(Def!B:B,Def!F:F,AG219)/AH219,"")</f>
        <v/>
      </c>
      <c r="AJ219" s="195">
        <f>VLOOKUP(P219,Matrix!AA:AC,3,0)</f>
        <v/>
      </c>
      <c r="AK219" s="195">
        <f>SUMIFS(Def!C:C,Def!F:F,AJ219)</f>
        <v/>
      </c>
      <c r="AL219" s="156">
        <f>IFERROR(SUMIFS(Def!B:B,Def!F:F,AJ219)/AK219,"")</f>
        <v/>
      </c>
    </row>
    <row r="220" ht="14.4" customHeight="1" s="152">
      <c r="A220" s="157">
        <f>IF(F220="Yes",IFERROR(IF(AA220&gt;1,AA220/100,100/-AA220),""),-1)</f>
        <v/>
      </c>
      <c r="B220" s="157">
        <f>B219+1</f>
        <v/>
      </c>
      <c r="C220" s="157">
        <f>IF(Y220&gt;Z220,1,0)</f>
        <v/>
      </c>
      <c r="D220" s="157">
        <f>IF(AND(C220=1,F220="Yes"),"Yes",IF(AND(C220=0,F220="No"),"Yes","No"))</f>
        <v/>
      </c>
      <c r="E220" s="192">
        <f>IF((AC220+AB220)=AD220,"Push",IF((AC220+AB220)&gt;AD220,"Yes","No"))</f>
        <v/>
      </c>
      <c r="F220" s="192">
        <f>IF(AC220&gt;AD220,"Yes","No")</f>
        <v/>
      </c>
      <c r="G220" s="192">
        <f>IF((Y220+AB220)&gt;Z220,"Yes",IF((Y220+AB220)=Z220,"Push","No"))</f>
        <v/>
      </c>
      <c r="H220" s="157">
        <f>IF(O220="Home",VLOOKUP(N220,Matrix!A:S,19,0),1)</f>
        <v/>
      </c>
      <c r="I220" s="157">
        <f>IF(O220="Away",VLOOKUP(N220,Matrix!A:Z,20,0),1)</f>
        <v/>
      </c>
      <c r="J220" s="157">
        <f>IF(O220="Away",VLOOKUP(P220,Matrix!A:S,19,0),1)</f>
        <v/>
      </c>
      <c r="K220" s="157">
        <f>IF(O220="Home",VLOOKUP(P220,Matrix!A:Z,20,0),1)</f>
        <v/>
      </c>
      <c r="L220" s="156" t="n">
        <v>-0.246156929449491</v>
      </c>
      <c r="M220" s="179">
        <f>Schedule!B220</f>
        <v/>
      </c>
      <c r="N220" s="156">
        <f>Schedule!E220</f>
        <v/>
      </c>
      <c r="O220" s="156" t="inlineStr">
        <is>
          <t>Away</t>
        </is>
      </c>
      <c r="P220" s="157">
        <f>Schedule!H220</f>
        <v/>
      </c>
      <c r="Q220" s="157">
        <f>Schedule!C220</f>
        <v/>
      </c>
      <c r="R220" s="180">
        <f>Schedule!D220</f>
        <v/>
      </c>
      <c r="S220" s="181">
        <f>Schedule!J220</f>
        <v/>
      </c>
      <c r="T220" s="193">
        <f>Y220-Z220</f>
        <v/>
      </c>
      <c r="U220" s="182">
        <f>T220/Picks!$K$2</f>
        <v/>
      </c>
      <c r="V220" s="193">
        <f>INDEX(Standings!$T$3:$T$34, MATCH(N220, Standings!$A$3:$A$34, 0)) - INDEX(Standings!$T$3:$T$34, MATCH(P220, Standings!$A$3:$A$34, 0))</f>
        <v/>
      </c>
      <c r="W220" s="157">
        <f>INDEX(Standings!$L$3:$L$34, MATCH(N220, Standings!$A$3:$A$34, 0)) - INDEX(Standings!$L$3:$L$34, MATCH(P220, Standings!$A$3:$A$34, 0))</f>
        <v/>
      </c>
      <c r="X220" s="157">
        <f>INDEX(Standings!$M$3:$M$34, MATCH(N220, Standings!$A$3:$A$34, 0)) - INDEX(Standings!$M$3:$M$34, MATCH(P220, Standings!$A$3:$A$34, 0))</f>
        <v/>
      </c>
      <c r="Y220" s="194">
        <f t="array" ref="Y220:Y220">IFERROR(AE220+(AL220-_DFactor)*AE220,"")</f>
        <v/>
      </c>
      <c r="Z220" s="157">
        <f>IFERROR(AF220+(AI220-_DFactor)*AF220,"")</f>
        <v/>
      </c>
      <c r="AC220" s="194">
        <f>VLOOKUP(M220&amp;N220,Schedule!A:F,6,0)</f>
        <v/>
      </c>
      <c r="AD220" s="194">
        <f>VLOOKUP(M220&amp;P220,Schedule!A:F,6,0)</f>
        <v/>
      </c>
      <c r="AE220" s="156">
        <f>VLOOKUP(N220,ProjPVT!B:I,8,0)*_Mag/VLOOKUP(P220,Standings!A:O,15,0)*H220*K220</f>
        <v/>
      </c>
      <c r="AF220" s="156">
        <f>VLOOKUP(P220,ProjPVT!B:I,8,0)*_Mag/VLOOKUP(N220,Standings!A:O,15,0)*J220*I220</f>
        <v/>
      </c>
      <c r="AG220" s="195">
        <f>VLOOKUP(N220,Matrix!AA:AC,3,0)</f>
        <v/>
      </c>
      <c r="AH220" s="195">
        <f>SUMIFS(Def!C:C,Def!F:F,AG220)</f>
        <v/>
      </c>
      <c r="AI220" s="156">
        <f>IFERROR(SUMIFS(Def!B:B,Def!F:F,AG220)/AH220,"")</f>
        <v/>
      </c>
      <c r="AJ220" s="195">
        <f>VLOOKUP(P220,Matrix!AA:AC,3,0)</f>
        <v/>
      </c>
      <c r="AK220" s="195">
        <f>SUMIFS(Def!C:C,Def!F:F,AJ220)</f>
        <v/>
      </c>
      <c r="AL220" s="156">
        <f>IFERROR(SUMIFS(Def!B:B,Def!F:F,AJ220)/AK220,"")</f>
        <v/>
      </c>
    </row>
    <row r="221" ht="14.4" customHeight="1" s="152">
      <c r="A221" s="157">
        <f>IF(F221="Yes",IFERROR(IF(AA221&gt;1,AA221/100,100/-AA221),""),-1)</f>
        <v/>
      </c>
      <c r="B221" s="157">
        <f>B220+1</f>
        <v/>
      </c>
      <c r="C221" s="157">
        <f>IF(Y221&gt;Z221,1,0)</f>
        <v/>
      </c>
      <c r="D221" s="157">
        <f>IF(AND(C221=1,F221="Yes"),"Yes",IF(AND(C221=0,F221="No"),"Yes","No"))</f>
        <v/>
      </c>
      <c r="E221" s="192">
        <f>IF((AC221+AB221)=AD221,"Push",IF((AC221+AB221)&gt;AD221,"Yes","No"))</f>
        <v/>
      </c>
      <c r="F221" s="192">
        <f>IF(AC221&gt;AD221,"Yes","No")</f>
        <v/>
      </c>
      <c r="G221" s="192">
        <f>IF((Y221+AB221)&gt;Z221,"Yes",IF((Y221+AB221)=Z221,"Push","No"))</f>
        <v/>
      </c>
      <c r="H221" s="157">
        <f>IF(O221="Home",VLOOKUP(N221,Matrix!A:S,19,0),1)</f>
        <v/>
      </c>
      <c r="I221" s="157">
        <f>IF(O221="Away",VLOOKUP(N221,Matrix!A:Z,20,0),1)</f>
        <v/>
      </c>
      <c r="J221" s="157">
        <f>IF(O221="Away",VLOOKUP(P221,Matrix!A:S,19,0),1)</f>
        <v/>
      </c>
      <c r="K221" s="157">
        <f>IF(O221="Home",VLOOKUP(P221,Matrix!A:Z,20,0),1)</f>
        <v/>
      </c>
      <c r="L221" s="156" t="n">
        <v>-0.211221392323806</v>
      </c>
      <c r="M221" s="179">
        <f>Schedule!B221</f>
        <v/>
      </c>
      <c r="N221" s="156">
        <f>Schedule!E221</f>
        <v/>
      </c>
      <c r="O221" s="156" t="inlineStr">
        <is>
          <t>Home</t>
        </is>
      </c>
      <c r="P221" s="157">
        <f>Schedule!H221</f>
        <v/>
      </c>
      <c r="Q221" s="157">
        <f>Schedule!C221</f>
        <v/>
      </c>
      <c r="R221" s="180">
        <f>Schedule!D221</f>
        <v/>
      </c>
      <c r="S221" s="181">
        <f>Schedule!J221</f>
        <v/>
      </c>
      <c r="T221" s="193">
        <f>Y221-Z221</f>
        <v/>
      </c>
      <c r="U221" s="182">
        <f>T221/Picks!$K$2</f>
        <v/>
      </c>
      <c r="V221" s="193">
        <f>INDEX(Standings!$T$3:$T$34, MATCH(N221, Standings!$A$3:$A$34, 0)) - INDEX(Standings!$T$3:$T$34, MATCH(P221, Standings!$A$3:$A$34, 0))</f>
        <v/>
      </c>
      <c r="W221" s="157">
        <f>INDEX(Standings!$L$3:$L$34, MATCH(N221, Standings!$A$3:$A$34, 0)) - INDEX(Standings!$L$3:$L$34, MATCH(P221, Standings!$A$3:$A$34, 0))</f>
        <v/>
      </c>
      <c r="X221" s="157">
        <f>INDEX(Standings!$M$3:$M$34, MATCH(N221, Standings!$A$3:$A$34, 0)) - INDEX(Standings!$M$3:$M$34, MATCH(P221, Standings!$A$3:$A$34, 0))</f>
        <v/>
      </c>
      <c r="Y221" s="194">
        <f t="array" ref="Y221:Y221">IFERROR(AE221+(AL221-_DFactor)*AE221,"")</f>
        <v/>
      </c>
      <c r="Z221" s="157">
        <f>IFERROR(AF221+(AI221-_DFactor)*AF221,"")</f>
        <v/>
      </c>
      <c r="AC221" s="194">
        <f>VLOOKUP(M221&amp;N221,Schedule!A:F,6,0)</f>
        <v/>
      </c>
      <c r="AD221" s="194">
        <f>VLOOKUP(M221&amp;P221,Schedule!A:F,6,0)</f>
        <v/>
      </c>
      <c r="AE221" s="156">
        <f>VLOOKUP(N221,ProjPVT!B:I,8,0)*_Mag/VLOOKUP(P221,Standings!A:O,15,0)*H221*K221</f>
        <v/>
      </c>
      <c r="AF221" s="156">
        <f>VLOOKUP(P221,ProjPVT!B:I,8,0)*_Mag/VLOOKUP(N221,Standings!A:O,15,0)*J221*I221</f>
        <v/>
      </c>
      <c r="AG221" s="195">
        <f>VLOOKUP(N221,Matrix!AA:AC,3,0)</f>
        <v/>
      </c>
      <c r="AH221" s="195">
        <f>SUMIFS(Def!C:C,Def!F:F,AG221)</f>
        <v/>
      </c>
      <c r="AI221" s="156">
        <f>IFERROR(SUMIFS(Def!B:B,Def!F:F,AG221)/AH221,"")</f>
        <v/>
      </c>
      <c r="AJ221" s="195">
        <f>VLOOKUP(P221,Matrix!AA:AC,3,0)</f>
        <v/>
      </c>
      <c r="AK221" s="195">
        <f>SUMIFS(Def!C:C,Def!F:F,AJ221)</f>
        <v/>
      </c>
      <c r="AL221" s="156">
        <f>IFERROR(SUMIFS(Def!B:B,Def!F:F,AJ221)/AK221,"")</f>
        <v/>
      </c>
    </row>
    <row r="222" ht="14.4" customHeight="1" s="152">
      <c r="A222" s="157">
        <f>IF(F222="Yes",IFERROR(IF(AA222&gt;1,AA222/100,100/-AA222),""),-1)</f>
        <v/>
      </c>
      <c r="B222" s="157">
        <f>B221+1</f>
        <v/>
      </c>
      <c r="C222" s="157">
        <f>IF(Y222&gt;Z222,1,0)</f>
        <v/>
      </c>
      <c r="D222" s="157">
        <f>IF(AND(C222=1,F222="Yes"),"Yes",IF(AND(C222=0,F222="No"),"Yes","No"))</f>
        <v/>
      </c>
      <c r="E222" s="192">
        <f>IF((AC222+AB222)=AD222,"Push",IF((AC222+AB222)&gt;AD222,"Yes","No"))</f>
        <v/>
      </c>
      <c r="F222" s="192">
        <f>IF(AC222&gt;AD222,"Yes","No")</f>
        <v/>
      </c>
      <c r="G222" s="192">
        <f>IF((Y222+AB222)&gt;Z222,"Yes",IF((Y222+AB222)=Z222,"Push","No"))</f>
        <v/>
      </c>
      <c r="H222" s="157">
        <f>IF(O222="Home",VLOOKUP(N222,Matrix!A:S,19,0),1)</f>
        <v/>
      </c>
      <c r="I222" s="157">
        <f>IF(O222="Away",VLOOKUP(N222,Matrix!A:Z,20,0),1)</f>
        <v/>
      </c>
      <c r="J222" s="157">
        <f>IF(O222="Away",VLOOKUP(P222,Matrix!A:S,19,0),1)</f>
        <v/>
      </c>
      <c r="K222" s="157">
        <f>IF(O222="Home",VLOOKUP(P222,Matrix!A:Z,20,0),1)</f>
        <v/>
      </c>
      <c r="L222" s="156" t="n">
        <v>-0.201337294598321</v>
      </c>
      <c r="M222" s="179">
        <f>Schedule!B222</f>
        <v/>
      </c>
      <c r="N222" s="156">
        <f>Schedule!E222</f>
        <v/>
      </c>
      <c r="O222" s="156" t="inlineStr">
        <is>
          <t>Home</t>
        </is>
      </c>
      <c r="P222" s="157">
        <f>Schedule!H222</f>
        <v/>
      </c>
      <c r="Q222" s="157">
        <f>Schedule!C222</f>
        <v/>
      </c>
      <c r="R222" s="180">
        <f>Schedule!D222</f>
        <v/>
      </c>
      <c r="S222" s="181">
        <f>Schedule!J222</f>
        <v/>
      </c>
      <c r="T222" s="193">
        <f>Y222-Z222</f>
        <v/>
      </c>
      <c r="U222" s="182">
        <f>T222/Picks!$K$2</f>
        <v/>
      </c>
      <c r="V222" s="193">
        <f>INDEX(Standings!$T$3:$T$34, MATCH(N222, Standings!$A$3:$A$34, 0)) - INDEX(Standings!$T$3:$T$34, MATCH(P222, Standings!$A$3:$A$34, 0))</f>
        <v/>
      </c>
      <c r="W222" s="157">
        <f>INDEX(Standings!$L$3:$L$34, MATCH(N222, Standings!$A$3:$A$34, 0)) - INDEX(Standings!$L$3:$L$34, MATCH(P222, Standings!$A$3:$A$34, 0))</f>
        <v/>
      </c>
      <c r="X222" s="157">
        <f>INDEX(Standings!$M$3:$M$34, MATCH(N222, Standings!$A$3:$A$34, 0)) - INDEX(Standings!$M$3:$M$34, MATCH(P222, Standings!$A$3:$A$34, 0))</f>
        <v/>
      </c>
      <c r="Y222" s="194">
        <f t="array" ref="Y222:Y222">IFERROR(AE222+(AL222-_DFactor)*AE222,"")</f>
        <v/>
      </c>
      <c r="Z222" s="157">
        <f>IFERROR(AF222+(AI222-_DFactor)*AF222,"")</f>
        <v/>
      </c>
      <c r="AC222" s="194">
        <f>VLOOKUP(M222&amp;N222,Schedule!A:F,6,0)</f>
        <v/>
      </c>
      <c r="AD222" s="194">
        <f>VLOOKUP(M222&amp;P222,Schedule!A:F,6,0)</f>
        <v/>
      </c>
      <c r="AE222" s="156">
        <f>VLOOKUP(N222,ProjPVT!B:I,8,0)*_Mag/VLOOKUP(P222,Standings!A:O,15,0)*H222*K222</f>
        <v/>
      </c>
      <c r="AF222" s="156">
        <f>VLOOKUP(P222,ProjPVT!B:I,8,0)*_Mag/VLOOKUP(N222,Standings!A:O,15,0)*J222*I222</f>
        <v/>
      </c>
      <c r="AG222" s="195">
        <f>VLOOKUP(N222,Matrix!AA:AC,3,0)</f>
        <v/>
      </c>
      <c r="AH222" s="195">
        <f>SUMIFS(Def!C:C,Def!F:F,AG222)</f>
        <v/>
      </c>
      <c r="AI222" s="156">
        <f>IFERROR(SUMIFS(Def!B:B,Def!F:F,AG222)/AH222,"")</f>
        <v/>
      </c>
      <c r="AJ222" s="195">
        <f>VLOOKUP(P222,Matrix!AA:AC,3,0)</f>
        <v/>
      </c>
      <c r="AK222" s="195">
        <f>SUMIFS(Def!C:C,Def!F:F,AJ222)</f>
        <v/>
      </c>
      <c r="AL222" s="156">
        <f>IFERROR(SUMIFS(Def!B:B,Def!F:F,AJ222)/AK222,"")</f>
        <v/>
      </c>
    </row>
    <row r="223" ht="14.4" customHeight="1" s="152">
      <c r="A223" s="157">
        <f>IF(F223="Yes",IFERROR(IF(AA223&gt;1,AA223/100,100/-AA223),""),-1)</f>
        <v/>
      </c>
      <c r="B223" s="157">
        <f>B222+1</f>
        <v/>
      </c>
      <c r="C223" s="157">
        <f>IF(Y223&gt;Z223,1,0)</f>
        <v/>
      </c>
      <c r="D223" s="157">
        <f>IF(AND(C223=1,F223="Yes"),"Yes",IF(AND(C223=0,F223="No"),"Yes","No"))</f>
        <v/>
      </c>
      <c r="E223" s="192">
        <f>IF((AC223+AB223)=AD223,"Push",IF((AC223+AB223)&gt;AD223,"Yes","No"))</f>
        <v/>
      </c>
      <c r="F223" s="192">
        <f>IF(AC223&gt;AD223,"Yes","No")</f>
        <v/>
      </c>
      <c r="G223" s="192">
        <f>IF((Y223+AB223)&gt;Z223,"Yes",IF((Y223+AB223)=Z223,"Push","No"))</f>
        <v/>
      </c>
      <c r="H223" s="157">
        <f>IF(O223="Home",VLOOKUP(N223,Matrix!A:S,19,0),1)</f>
        <v/>
      </c>
      <c r="I223" s="157">
        <f>IF(O223="Away",VLOOKUP(N223,Matrix!A:Z,20,0),1)</f>
        <v/>
      </c>
      <c r="J223" s="157">
        <f>IF(O223="Away",VLOOKUP(P223,Matrix!A:S,19,0),1)</f>
        <v/>
      </c>
      <c r="K223" s="157">
        <f>IF(O223="Home",VLOOKUP(P223,Matrix!A:Z,20,0),1)</f>
        <v/>
      </c>
      <c r="L223" s="156" t="n">
        <v>-0.185931544789573</v>
      </c>
      <c r="M223" s="179">
        <f>Schedule!B223</f>
        <v/>
      </c>
      <c r="N223" s="156">
        <f>Schedule!E223</f>
        <v/>
      </c>
      <c r="O223" s="156" t="inlineStr">
        <is>
          <t>Home</t>
        </is>
      </c>
      <c r="P223" s="157">
        <f>Schedule!H223</f>
        <v/>
      </c>
      <c r="Q223" s="157">
        <f>Schedule!C223</f>
        <v/>
      </c>
      <c r="R223" s="180">
        <f>Schedule!D223</f>
        <v/>
      </c>
      <c r="S223" s="181">
        <f>Schedule!J223</f>
        <v/>
      </c>
      <c r="T223" s="193">
        <f>Y223-Z223</f>
        <v/>
      </c>
      <c r="U223" s="182">
        <f>T223/Picks!$K$2</f>
        <v/>
      </c>
      <c r="V223" s="193">
        <f>INDEX(Standings!$T$3:$T$34, MATCH(N223, Standings!$A$3:$A$34, 0)) - INDEX(Standings!$T$3:$T$34, MATCH(P223, Standings!$A$3:$A$34, 0))</f>
        <v/>
      </c>
      <c r="W223" s="157">
        <f>INDEX(Standings!$L$3:$L$34, MATCH(N223, Standings!$A$3:$A$34, 0)) - INDEX(Standings!$L$3:$L$34, MATCH(P223, Standings!$A$3:$A$34, 0))</f>
        <v/>
      </c>
      <c r="X223" s="157">
        <f>INDEX(Standings!$M$3:$M$34, MATCH(N223, Standings!$A$3:$A$34, 0)) - INDEX(Standings!$M$3:$M$34, MATCH(P223, Standings!$A$3:$A$34, 0))</f>
        <v/>
      </c>
      <c r="Y223" s="194">
        <f t="array" ref="Y223:Y223">IFERROR(AE223+(AL223-_DFactor)*AE223,"")</f>
        <v/>
      </c>
      <c r="Z223" s="157">
        <f>IFERROR(AF223+(AI223-_DFactor)*AF223,"")</f>
        <v/>
      </c>
      <c r="AC223" s="194">
        <f>VLOOKUP(M223&amp;N223,Schedule!A:F,6,0)</f>
        <v/>
      </c>
      <c r="AD223" s="194">
        <f>VLOOKUP(M223&amp;P223,Schedule!A:F,6,0)</f>
        <v/>
      </c>
      <c r="AE223" s="156">
        <f>VLOOKUP(N223,ProjPVT!B:I,8,0)*_Mag/VLOOKUP(P223,Standings!A:O,15,0)*H223*K223</f>
        <v/>
      </c>
      <c r="AF223" s="156">
        <f>VLOOKUP(P223,ProjPVT!B:I,8,0)*_Mag/VLOOKUP(N223,Standings!A:O,15,0)*J223*I223</f>
        <v/>
      </c>
      <c r="AG223" s="195">
        <f>VLOOKUP(N223,Matrix!AA:AC,3,0)</f>
        <v/>
      </c>
      <c r="AH223" s="195">
        <f>SUMIFS(Def!C:C,Def!F:F,AG223)</f>
        <v/>
      </c>
      <c r="AI223" s="156">
        <f>IFERROR(SUMIFS(Def!B:B,Def!F:F,AG223)/AH223,"")</f>
        <v/>
      </c>
      <c r="AJ223" s="195">
        <f>VLOOKUP(P223,Matrix!AA:AC,3,0)</f>
        <v/>
      </c>
      <c r="AK223" s="195">
        <f>SUMIFS(Def!C:C,Def!F:F,AJ223)</f>
        <v/>
      </c>
      <c r="AL223" s="156">
        <f>IFERROR(SUMIFS(Def!B:B,Def!F:F,AJ223)/AK223,"")</f>
        <v/>
      </c>
    </row>
    <row r="224" ht="14.4" customHeight="1" s="152">
      <c r="A224" s="157">
        <f>IF(F224="Yes",IFERROR(IF(AA224&gt;1,AA224/100,100/-AA224),""),-1)</f>
        <v/>
      </c>
      <c r="B224" s="157">
        <f>B223+1</f>
        <v/>
      </c>
      <c r="C224" s="157">
        <f>IF(Y224&gt;Z224,1,0)</f>
        <v/>
      </c>
      <c r="D224" s="157">
        <f>IF(AND(C224=1,F224="Yes"),"Yes",IF(AND(C224=0,F224="No"),"Yes","No"))</f>
        <v/>
      </c>
      <c r="E224" s="192">
        <f>IF((AC224+AB224)=AD224,"Push",IF((AC224+AB224)&gt;AD224,"Yes","No"))</f>
        <v/>
      </c>
      <c r="F224" s="192">
        <f>IF(AC224&gt;AD224,"Yes","No")</f>
        <v/>
      </c>
      <c r="G224" s="192">
        <f>IF((Y224+AB224)&gt;Z224,"Yes",IF((Y224+AB224)=Z224,"Push","No"))</f>
        <v/>
      </c>
      <c r="H224" s="157">
        <f>IF(O224="Home",VLOOKUP(N224,Matrix!A:S,19,0),1)</f>
        <v/>
      </c>
      <c r="I224" s="157">
        <f>IF(O224="Away",VLOOKUP(N224,Matrix!A:Z,20,0),1)</f>
        <v/>
      </c>
      <c r="J224" s="157">
        <f>IF(O224="Away",VLOOKUP(P224,Matrix!A:S,19,0),1)</f>
        <v/>
      </c>
      <c r="K224" s="157">
        <f>IF(O224="Home",VLOOKUP(P224,Matrix!A:Z,20,0),1)</f>
        <v/>
      </c>
      <c r="L224" s="156" t="n">
        <v>-0.173010972233702</v>
      </c>
      <c r="M224" s="179">
        <f>Schedule!B224</f>
        <v/>
      </c>
      <c r="N224" s="156">
        <f>Schedule!E224</f>
        <v/>
      </c>
      <c r="O224" s="156" t="inlineStr">
        <is>
          <t>Home</t>
        </is>
      </c>
      <c r="P224" s="157">
        <f>Schedule!H224</f>
        <v/>
      </c>
      <c r="Q224" s="157">
        <f>Schedule!C224</f>
        <v/>
      </c>
      <c r="R224" s="180">
        <f>Schedule!D224</f>
        <v/>
      </c>
      <c r="S224" s="181">
        <f>Schedule!J224</f>
        <v/>
      </c>
      <c r="T224" s="193">
        <f>Y224-Z224</f>
        <v/>
      </c>
      <c r="U224" s="182">
        <f>T224/Picks!$K$2</f>
        <v/>
      </c>
      <c r="V224" s="193">
        <f>INDEX(Standings!$T$3:$T$34, MATCH(N224, Standings!$A$3:$A$34, 0)) - INDEX(Standings!$T$3:$T$34, MATCH(P224, Standings!$A$3:$A$34, 0))</f>
        <v/>
      </c>
      <c r="W224" s="157">
        <f>INDEX(Standings!$L$3:$L$34, MATCH(N224, Standings!$A$3:$A$34, 0)) - INDEX(Standings!$L$3:$L$34, MATCH(P224, Standings!$A$3:$A$34, 0))</f>
        <v/>
      </c>
      <c r="X224" s="157">
        <f>INDEX(Standings!$M$3:$M$34, MATCH(N224, Standings!$A$3:$A$34, 0)) - INDEX(Standings!$M$3:$M$34, MATCH(P224, Standings!$A$3:$A$34, 0))</f>
        <v/>
      </c>
      <c r="Y224" s="194">
        <f t="array" ref="Y224:Y224">IFERROR(AE224+(AL224-_DFactor)*AE224,"")</f>
        <v/>
      </c>
      <c r="Z224" s="157">
        <f>IFERROR(AF224+(AI224-_DFactor)*AF224,"")</f>
        <v/>
      </c>
      <c r="AC224" s="194">
        <f>VLOOKUP(M224&amp;N224,Schedule!A:F,6,0)</f>
        <v/>
      </c>
      <c r="AD224" s="194">
        <f>VLOOKUP(M224&amp;P224,Schedule!A:F,6,0)</f>
        <v/>
      </c>
      <c r="AE224" s="156">
        <f>VLOOKUP(N224,ProjPVT!B:I,8,0)*_Mag/VLOOKUP(P224,Standings!A:O,15,0)*H224*K224</f>
        <v/>
      </c>
      <c r="AF224" s="156">
        <f>VLOOKUP(P224,ProjPVT!B:I,8,0)*_Mag/VLOOKUP(N224,Standings!A:O,15,0)*J224*I224</f>
        <v/>
      </c>
      <c r="AG224" s="195">
        <f>VLOOKUP(N224,Matrix!AA:AC,3,0)</f>
        <v/>
      </c>
      <c r="AH224" s="195">
        <f>SUMIFS(Def!C:C,Def!F:F,AG224)</f>
        <v/>
      </c>
      <c r="AI224" s="156">
        <f>IFERROR(SUMIFS(Def!B:B,Def!F:F,AG224)/AH224,"")</f>
        <v/>
      </c>
      <c r="AJ224" s="195">
        <f>VLOOKUP(P224,Matrix!AA:AC,3,0)</f>
        <v/>
      </c>
      <c r="AK224" s="195">
        <f>SUMIFS(Def!C:C,Def!F:F,AJ224)</f>
        <v/>
      </c>
      <c r="AL224" s="156">
        <f>IFERROR(SUMIFS(Def!B:B,Def!F:F,AJ224)/AK224,"")</f>
        <v/>
      </c>
    </row>
    <row r="225" ht="14.4" customHeight="1" s="152">
      <c r="A225" s="157">
        <f>IF(F225="Yes",IFERROR(IF(AA225&gt;1,AA225/100,100/-AA225),""),-1)</f>
        <v/>
      </c>
      <c r="B225" s="157">
        <f>B224+1</f>
        <v/>
      </c>
      <c r="C225" s="157">
        <f>IF(Y225&gt;Z225,1,0)</f>
        <v/>
      </c>
      <c r="D225" s="157">
        <f>IF(AND(C225=1,F225="Yes"),"Yes",IF(AND(C225=0,F225="No"),"Yes","No"))</f>
        <v/>
      </c>
      <c r="E225" s="192">
        <f>IF((AC225+AB225)=AD225,"Push",IF((AC225+AB225)&gt;AD225,"Yes","No"))</f>
        <v/>
      </c>
      <c r="F225" s="192">
        <f>IF(AC225&gt;AD225,"Yes","No")</f>
        <v/>
      </c>
      <c r="G225" s="192">
        <f>IF((Y225+AB225)&gt;Z225,"Yes",IF((Y225+AB225)=Z225,"Push","No"))</f>
        <v/>
      </c>
      <c r="H225" s="157">
        <f>IF(O225="Home",VLOOKUP(N225,Matrix!A:S,19,0),1)</f>
        <v/>
      </c>
      <c r="I225" s="157">
        <f>IF(O225="Away",VLOOKUP(N225,Matrix!A:Z,20,0),1)</f>
        <v/>
      </c>
      <c r="J225" s="157">
        <f>IF(O225="Away",VLOOKUP(P225,Matrix!A:S,19,0),1)</f>
        <v/>
      </c>
      <c r="K225" s="157">
        <f>IF(O225="Home",VLOOKUP(P225,Matrix!A:Z,20,0),1)</f>
        <v/>
      </c>
      <c r="L225" s="156" t="n">
        <v>-0.15798797183354</v>
      </c>
      <c r="M225" s="179">
        <f>Schedule!B225</f>
        <v/>
      </c>
      <c r="N225" s="156">
        <f>Schedule!E225</f>
        <v/>
      </c>
      <c r="O225" s="156" t="inlineStr">
        <is>
          <t>Away</t>
        </is>
      </c>
      <c r="P225" s="157">
        <f>Schedule!H225</f>
        <v/>
      </c>
      <c r="Q225" s="157">
        <f>Schedule!C225</f>
        <v/>
      </c>
      <c r="R225" s="180">
        <f>Schedule!D225</f>
        <v/>
      </c>
      <c r="S225" s="181">
        <f>Schedule!J225</f>
        <v/>
      </c>
      <c r="T225" s="193">
        <f>Y225-Z225</f>
        <v/>
      </c>
      <c r="U225" s="182">
        <f>T225/Picks!$K$2</f>
        <v/>
      </c>
      <c r="V225" s="193">
        <f>INDEX(Standings!$T$3:$T$34, MATCH(N225, Standings!$A$3:$A$34, 0)) - INDEX(Standings!$T$3:$T$34, MATCH(P225, Standings!$A$3:$A$34, 0))</f>
        <v/>
      </c>
      <c r="W225" s="157">
        <f>INDEX(Standings!$L$3:$L$34, MATCH(N225, Standings!$A$3:$A$34, 0)) - INDEX(Standings!$L$3:$L$34, MATCH(P225, Standings!$A$3:$A$34, 0))</f>
        <v/>
      </c>
      <c r="X225" s="157">
        <f>INDEX(Standings!$M$3:$M$34, MATCH(N225, Standings!$A$3:$A$34, 0)) - INDEX(Standings!$M$3:$M$34, MATCH(P225, Standings!$A$3:$A$34, 0))</f>
        <v/>
      </c>
      <c r="Y225" s="194">
        <f t="array" ref="Y225:Y225">IFERROR(AE225+(AL225-_DFactor)*AE225,"")</f>
        <v/>
      </c>
      <c r="Z225" s="157">
        <f>IFERROR(AF225+(AI225-_DFactor)*AF225,"")</f>
        <v/>
      </c>
      <c r="AC225" s="194">
        <f>VLOOKUP(M225&amp;N225,Schedule!A:F,6,0)</f>
        <v/>
      </c>
      <c r="AD225" s="194">
        <f>VLOOKUP(M225&amp;P225,Schedule!A:F,6,0)</f>
        <v/>
      </c>
      <c r="AE225" s="156">
        <f>VLOOKUP(N225,ProjPVT!B:I,8,0)*_Mag/VLOOKUP(P225,Standings!A:O,15,0)*H225*K225</f>
        <v/>
      </c>
      <c r="AF225" s="156">
        <f>VLOOKUP(P225,ProjPVT!B:I,8,0)*_Mag/VLOOKUP(N225,Standings!A:O,15,0)*J225*I225</f>
        <v/>
      </c>
      <c r="AG225" s="195">
        <f>VLOOKUP(N225,Matrix!AA:AC,3,0)</f>
        <v/>
      </c>
      <c r="AH225" s="195">
        <f>SUMIFS(Def!C:C,Def!F:F,AG225)</f>
        <v/>
      </c>
      <c r="AI225" s="156">
        <f>IFERROR(SUMIFS(Def!B:B,Def!F:F,AG225)/AH225,"")</f>
        <v/>
      </c>
      <c r="AJ225" s="195">
        <f>VLOOKUP(P225,Matrix!AA:AC,3,0)</f>
        <v/>
      </c>
      <c r="AK225" s="195">
        <f>SUMIFS(Def!C:C,Def!F:F,AJ225)</f>
        <v/>
      </c>
      <c r="AL225" s="156">
        <f>IFERROR(SUMIFS(Def!B:B,Def!F:F,AJ225)/AK225,"")</f>
        <v/>
      </c>
    </row>
    <row r="226" ht="14.4" customHeight="1" s="152">
      <c r="A226" s="157">
        <f>IF(F226="Yes",IFERROR(IF(AA226&gt;1,AA226/100,100/-AA226),""),-1)</f>
        <v/>
      </c>
      <c r="B226" s="157">
        <f>B225+1</f>
        <v/>
      </c>
      <c r="C226" s="157">
        <f>IF(Y226&gt;Z226,1,0)</f>
        <v/>
      </c>
      <c r="D226" s="157">
        <f>IF(AND(C226=1,F226="Yes"),"Yes",IF(AND(C226=0,F226="No"),"Yes","No"))</f>
        <v/>
      </c>
      <c r="E226" s="192">
        <f>IF((AC226+AB226)=AD226,"Push",IF((AC226+AB226)&gt;AD226,"Yes","No"))</f>
        <v/>
      </c>
      <c r="F226" s="192">
        <f>IF(AC226&gt;AD226,"Yes","No")</f>
        <v/>
      </c>
      <c r="G226" s="192">
        <f>IF((Y226+AB226)&gt;Z226,"Yes",IF((Y226+AB226)=Z226,"Push","No"))</f>
        <v/>
      </c>
      <c r="H226" s="157">
        <f>IF(O226="Home",VLOOKUP(N226,Matrix!A:S,19,0),1)</f>
        <v/>
      </c>
      <c r="I226" s="157">
        <f>IF(O226="Away",VLOOKUP(N226,Matrix!A:Z,20,0),1)</f>
        <v/>
      </c>
      <c r="J226" s="157">
        <f>IF(O226="Away",VLOOKUP(P226,Matrix!A:S,19,0),1)</f>
        <v/>
      </c>
      <c r="K226" s="157">
        <f>IF(O226="Home",VLOOKUP(P226,Matrix!A:Z,20,0),1)</f>
        <v/>
      </c>
      <c r="L226" s="156" t="n">
        <v>-0.15342848149223</v>
      </c>
      <c r="M226" s="179">
        <f>Schedule!B226</f>
        <v/>
      </c>
      <c r="N226" s="156">
        <f>Schedule!E226</f>
        <v/>
      </c>
      <c r="O226" s="156" t="inlineStr">
        <is>
          <t>Home</t>
        </is>
      </c>
      <c r="P226" s="157">
        <f>Schedule!H226</f>
        <v/>
      </c>
      <c r="Q226" s="157">
        <f>Schedule!C226</f>
        <v/>
      </c>
      <c r="R226" s="180">
        <f>Schedule!D226</f>
        <v/>
      </c>
      <c r="S226" s="181">
        <f>Schedule!J226</f>
        <v/>
      </c>
      <c r="T226" s="193">
        <f>Y226-Z226</f>
        <v/>
      </c>
      <c r="U226" s="182">
        <f>T226/Picks!$K$2</f>
        <v/>
      </c>
      <c r="V226" s="193">
        <f>INDEX(Standings!$T$3:$T$34, MATCH(N226, Standings!$A$3:$A$34, 0)) - INDEX(Standings!$T$3:$T$34, MATCH(P226, Standings!$A$3:$A$34, 0))</f>
        <v/>
      </c>
      <c r="W226" s="157">
        <f>INDEX(Standings!$L$3:$L$34, MATCH(N226, Standings!$A$3:$A$34, 0)) - INDEX(Standings!$L$3:$L$34, MATCH(P226, Standings!$A$3:$A$34, 0))</f>
        <v/>
      </c>
      <c r="X226" s="157">
        <f>INDEX(Standings!$M$3:$M$34, MATCH(N226, Standings!$A$3:$A$34, 0)) - INDEX(Standings!$M$3:$M$34, MATCH(P226, Standings!$A$3:$A$34, 0))</f>
        <v/>
      </c>
      <c r="Y226" s="194">
        <f t="array" ref="Y226:Y226">IFERROR(AE226+(AL226-_DFactor)*AE226,"")</f>
        <v/>
      </c>
      <c r="Z226" s="157">
        <f>IFERROR(AF226+(AI226-_DFactor)*AF226,"")</f>
        <v/>
      </c>
      <c r="AC226" s="194">
        <f>VLOOKUP(M226&amp;N226,Schedule!A:F,6,0)</f>
        <v/>
      </c>
      <c r="AD226" s="194">
        <f>VLOOKUP(M226&amp;P226,Schedule!A:F,6,0)</f>
        <v/>
      </c>
      <c r="AE226" s="156">
        <f>VLOOKUP(N226,ProjPVT!B:I,8,0)*_Mag/VLOOKUP(P226,Standings!A:O,15,0)*H226*K226</f>
        <v/>
      </c>
      <c r="AF226" s="156">
        <f>VLOOKUP(P226,ProjPVT!B:I,8,0)*_Mag/VLOOKUP(N226,Standings!A:O,15,0)*J226*I226</f>
        <v/>
      </c>
      <c r="AG226" s="195">
        <f>VLOOKUP(N226,Matrix!AA:AC,3,0)</f>
        <v/>
      </c>
      <c r="AH226" s="195">
        <f>SUMIFS(Def!C:C,Def!F:F,AG226)</f>
        <v/>
      </c>
      <c r="AI226" s="156">
        <f>IFERROR(SUMIFS(Def!B:B,Def!F:F,AG226)/AH226,"")</f>
        <v/>
      </c>
      <c r="AJ226" s="195">
        <f>VLOOKUP(P226,Matrix!AA:AC,3,0)</f>
        <v/>
      </c>
      <c r="AK226" s="195">
        <f>SUMIFS(Def!C:C,Def!F:F,AJ226)</f>
        <v/>
      </c>
      <c r="AL226" s="156">
        <f>IFERROR(SUMIFS(Def!B:B,Def!F:F,AJ226)/AK226,"")</f>
        <v/>
      </c>
    </row>
    <row r="227" ht="14.4" customHeight="1" s="152">
      <c r="A227" s="157">
        <f>IF(F227="Yes",IFERROR(IF(AA227&gt;1,AA227/100,100/-AA227),""),-1)</f>
        <v/>
      </c>
      <c r="B227" s="157">
        <f>B226+1</f>
        <v/>
      </c>
      <c r="C227" s="157">
        <f>IF(Y227&gt;Z227,1,0)</f>
        <v/>
      </c>
      <c r="D227" s="157">
        <f>IF(AND(C227=1,F227="Yes"),"Yes",IF(AND(C227=0,F227="No"),"Yes","No"))</f>
        <v/>
      </c>
      <c r="E227" s="192">
        <f>IF((AC227+AB227)=AD227,"Push",IF((AC227+AB227)&gt;AD227,"Yes","No"))</f>
        <v/>
      </c>
      <c r="F227" s="192">
        <f>IF(AC227&gt;AD227,"Yes","No")</f>
        <v/>
      </c>
      <c r="G227" s="192">
        <f>IF((Y227+AB227)&gt;Z227,"Yes",IF((Y227+AB227)=Z227,"Push","No"))</f>
        <v/>
      </c>
      <c r="H227" s="157">
        <f>IF(O227="Home",VLOOKUP(N227,Matrix!A:S,19,0),1)</f>
        <v/>
      </c>
      <c r="I227" s="157">
        <f>IF(O227="Away",VLOOKUP(N227,Matrix!A:Z,20,0),1)</f>
        <v/>
      </c>
      <c r="J227" s="157">
        <f>IF(O227="Away",VLOOKUP(P227,Matrix!A:S,19,0),1)</f>
        <v/>
      </c>
      <c r="K227" s="157">
        <f>IF(O227="Home",VLOOKUP(P227,Matrix!A:Z,20,0),1)</f>
        <v/>
      </c>
      <c r="L227" s="156" t="n">
        <v>-0.102095645661008</v>
      </c>
      <c r="M227" s="179">
        <f>Schedule!B227</f>
        <v/>
      </c>
      <c r="N227" s="156">
        <f>Schedule!E227</f>
        <v/>
      </c>
      <c r="O227" s="156" t="inlineStr">
        <is>
          <t>Away</t>
        </is>
      </c>
      <c r="P227" s="157">
        <f>Schedule!H227</f>
        <v/>
      </c>
      <c r="Q227" s="157">
        <f>Schedule!C227</f>
        <v/>
      </c>
      <c r="R227" s="180">
        <f>Schedule!D227</f>
        <v/>
      </c>
      <c r="S227" s="181">
        <f>Schedule!J227</f>
        <v/>
      </c>
      <c r="T227" s="193">
        <f>Y227-Z227</f>
        <v/>
      </c>
      <c r="U227" s="182">
        <f>T227/Picks!$K$2</f>
        <v/>
      </c>
      <c r="V227" s="193">
        <f>INDEX(Standings!$T$3:$T$34, MATCH(N227, Standings!$A$3:$A$34, 0)) - INDEX(Standings!$T$3:$T$34, MATCH(P227, Standings!$A$3:$A$34, 0))</f>
        <v/>
      </c>
      <c r="W227" s="157">
        <f>INDEX(Standings!$L$3:$L$34, MATCH(N227, Standings!$A$3:$A$34, 0)) - INDEX(Standings!$L$3:$L$34, MATCH(P227, Standings!$A$3:$A$34, 0))</f>
        <v/>
      </c>
      <c r="X227" s="157">
        <f>INDEX(Standings!$M$3:$M$34, MATCH(N227, Standings!$A$3:$A$34, 0)) - INDEX(Standings!$M$3:$M$34, MATCH(P227, Standings!$A$3:$A$34, 0))</f>
        <v/>
      </c>
      <c r="Y227" s="194">
        <f t="array" ref="Y227:Y227">IFERROR(AE227+(AL227-_DFactor)*AE227,"")</f>
        <v/>
      </c>
      <c r="Z227" s="157">
        <f>IFERROR(AF227+(AI227-_DFactor)*AF227,"")</f>
        <v/>
      </c>
      <c r="AC227" s="194">
        <f>VLOOKUP(M227&amp;N227,Schedule!A:F,6,0)</f>
        <v/>
      </c>
      <c r="AD227" s="194">
        <f>VLOOKUP(M227&amp;P227,Schedule!A:F,6,0)</f>
        <v/>
      </c>
      <c r="AE227" s="156">
        <f>VLOOKUP(N227,ProjPVT!B:I,8,0)*_Mag/VLOOKUP(P227,Standings!A:O,15,0)*H227*K227</f>
        <v/>
      </c>
      <c r="AF227" s="156">
        <f>VLOOKUP(P227,ProjPVT!B:I,8,0)*_Mag/VLOOKUP(N227,Standings!A:O,15,0)*J227*I227</f>
        <v/>
      </c>
      <c r="AG227" s="195">
        <f>VLOOKUP(N227,Matrix!AA:AC,3,0)</f>
        <v/>
      </c>
      <c r="AH227" s="195">
        <f>SUMIFS(Def!C:C,Def!F:F,AG227)</f>
        <v/>
      </c>
      <c r="AI227" s="156">
        <f>IFERROR(SUMIFS(Def!B:B,Def!F:F,AG227)/AH227,"")</f>
        <v/>
      </c>
      <c r="AJ227" s="195">
        <f>VLOOKUP(P227,Matrix!AA:AC,3,0)</f>
        <v/>
      </c>
      <c r="AK227" s="195">
        <f>SUMIFS(Def!C:C,Def!F:F,AJ227)</f>
        <v/>
      </c>
      <c r="AL227" s="156">
        <f>IFERROR(SUMIFS(Def!B:B,Def!F:F,AJ227)/AK227,"")</f>
        <v/>
      </c>
    </row>
    <row r="228" ht="14.4" customHeight="1" s="152">
      <c r="A228" s="157">
        <f>IF(F228="Yes",IFERROR(IF(AA228&gt;1,AA228/100,100/-AA228),""),-1)</f>
        <v/>
      </c>
      <c r="B228" s="157">
        <f>B227+1</f>
        <v/>
      </c>
      <c r="C228" s="157">
        <f>IF(Y228&gt;Z228,1,0)</f>
        <v/>
      </c>
      <c r="D228" s="157">
        <f>IF(AND(C228=1,F228="Yes"),"Yes",IF(AND(C228=0,F228="No"),"Yes","No"))</f>
        <v/>
      </c>
      <c r="E228" s="192">
        <f>IF((AC228+AB228)=AD228,"Push",IF((AC228+AB228)&gt;AD228,"Yes","No"))</f>
        <v/>
      </c>
      <c r="F228" s="192">
        <f>IF(AC228&gt;AD228,"Yes","No")</f>
        <v/>
      </c>
      <c r="G228" s="192">
        <f>IF((Y228+AB228)&gt;Z228,"Yes",IF((Y228+AB228)=Z228,"Push","No"))</f>
        <v/>
      </c>
      <c r="H228" s="157">
        <f>IF(O228="Home",VLOOKUP(N228,Matrix!A:S,19,0),1)</f>
        <v/>
      </c>
      <c r="I228" s="157">
        <f>IF(O228="Away",VLOOKUP(N228,Matrix!A:Z,20,0),1)</f>
        <v/>
      </c>
      <c r="J228" s="157">
        <f>IF(O228="Away",VLOOKUP(P228,Matrix!A:S,19,0),1)</f>
        <v/>
      </c>
      <c r="K228" s="157">
        <f>IF(O228="Home",VLOOKUP(P228,Matrix!A:Z,20,0),1)</f>
        <v/>
      </c>
      <c r="L228" s="156" t="n">
        <v>-0.070394044247952</v>
      </c>
      <c r="M228" s="179">
        <f>Schedule!B228</f>
        <v/>
      </c>
      <c r="N228" s="156">
        <f>Schedule!E228</f>
        <v/>
      </c>
      <c r="O228" s="156" t="inlineStr">
        <is>
          <t>Home</t>
        </is>
      </c>
      <c r="P228" s="157">
        <f>Schedule!H228</f>
        <v/>
      </c>
      <c r="Q228" s="157">
        <f>Schedule!C228</f>
        <v/>
      </c>
      <c r="R228" s="180">
        <f>Schedule!D228</f>
        <v/>
      </c>
      <c r="S228" s="181">
        <f>Schedule!J228</f>
        <v/>
      </c>
      <c r="T228" s="193">
        <f>Y228-Z228</f>
        <v/>
      </c>
      <c r="U228" s="182">
        <f>T228/Picks!$K$2</f>
        <v/>
      </c>
      <c r="V228" s="193">
        <f>INDEX(Standings!$T$3:$T$34, MATCH(N228, Standings!$A$3:$A$34, 0)) - INDEX(Standings!$T$3:$T$34, MATCH(P228, Standings!$A$3:$A$34, 0))</f>
        <v/>
      </c>
      <c r="W228" s="157">
        <f>INDEX(Standings!$L$3:$L$34, MATCH(N228, Standings!$A$3:$A$34, 0)) - INDEX(Standings!$L$3:$L$34, MATCH(P228, Standings!$A$3:$A$34, 0))</f>
        <v/>
      </c>
      <c r="X228" s="157">
        <f>INDEX(Standings!$M$3:$M$34, MATCH(N228, Standings!$A$3:$A$34, 0)) - INDEX(Standings!$M$3:$M$34, MATCH(P228, Standings!$A$3:$A$34, 0))</f>
        <v/>
      </c>
      <c r="Y228" s="194">
        <f t="array" ref="Y228:Y228">IFERROR(AE228+(AL228-_DFactor)*AE228,"")</f>
        <v/>
      </c>
      <c r="Z228" s="157">
        <f>IFERROR(AF228+(AI228-_DFactor)*AF228,"")</f>
        <v/>
      </c>
      <c r="AC228" s="194">
        <f>VLOOKUP(M228&amp;N228,Schedule!A:F,6,0)</f>
        <v/>
      </c>
      <c r="AD228" s="194">
        <f>VLOOKUP(M228&amp;P228,Schedule!A:F,6,0)</f>
        <v/>
      </c>
      <c r="AE228" s="156">
        <f>VLOOKUP(N228,ProjPVT!B:I,8,0)*_Mag/VLOOKUP(P228,Standings!A:O,15,0)*H228*K228</f>
        <v/>
      </c>
      <c r="AF228" s="156">
        <f>VLOOKUP(P228,ProjPVT!B:I,8,0)*_Mag/VLOOKUP(N228,Standings!A:O,15,0)*J228*I228</f>
        <v/>
      </c>
      <c r="AG228" s="195">
        <f>VLOOKUP(N228,Matrix!AA:AC,3,0)</f>
        <v/>
      </c>
      <c r="AH228" s="195">
        <f>SUMIFS(Def!C:C,Def!F:F,AG228)</f>
        <v/>
      </c>
      <c r="AI228" s="156">
        <f>IFERROR(SUMIFS(Def!B:B,Def!F:F,AG228)/AH228,"")</f>
        <v/>
      </c>
      <c r="AJ228" s="195">
        <f>VLOOKUP(P228,Matrix!AA:AC,3,0)</f>
        <v/>
      </c>
      <c r="AK228" s="195">
        <f>SUMIFS(Def!C:C,Def!F:F,AJ228)</f>
        <v/>
      </c>
      <c r="AL228" s="156">
        <f>IFERROR(SUMIFS(Def!B:B,Def!F:F,AJ228)/AK228,"")</f>
        <v/>
      </c>
    </row>
    <row r="229" ht="14.4" customHeight="1" s="152">
      <c r="A229" s="157">
        <f>IF(F229="Yes",IFERROR(IF(AA229&gt;1,AA229/100,100/-AA229),""),-1)</f>
        <v/>
      </c>
      <c r="B229" s="157">
        <f>B228+1</f>
        <v/>
      </c>
      <c r="C229" s="157">
        <f>IF(Y229&gt;Z229,1,0)</f>
        <v/>
      </c>
      <c r="D229" s="157">
        <f>IF(AND(C229=1,F229="Yes"),"Yes",IF(AND(C229=0,F229="No"),"Yes","No"))</f>
        <v/>
      </c>
      <c r="E229" s="192">
        <f>IF((AC229+AB229)=AD229,"Push",IF((AC229+AB229)&gt;AD229,"Yes","No"))</f>
        <v/>
      </c>
      <c r="F229" s="192">
        <f>IF(AC229&gt;AD229,"Yes","No")</f>
        <v/>
      </c>
      <c r="G229" s="192">
        <f>IF((Y229+AB229)&gt;Z229,"Yes",IF((Y229+AB229)=Z229,"Push","No"))</f>
        <v/>
      </c>
      <c r="H229" s="157">
        <f>IF(O229="Home",VLOOKUP(N229,Matrix!A:S,19,0),1)</f>
        <v/>
      </c>
      <c r="I229" s="157">
        <f>IF(O229="Away",VLOOKUP(N229,Matrix!A:Z,20,0),1)</f>
        <v/>
      </c>
      <c r="J229" s="157">
        <f>IF(O229="Away",VLOOKUP(P229,Matrix!A:S,19,0),1)</f>
        <v/>
      </c>
      <c r="K229" s="157">
        <f>IF(O229="Home",VLOOKUP(P229,Matrix!A:Z,20,0),1)</f>
        <v/>
      </c>
      <c r="L229" s="156" t="n">
        <v>-0.0436891248392888</v>
      </c>
      <c r="M229" s="179">
        <f>Schedule!B229</f>
        <v/>
      </c>
      <c r="N229" s="156">
        <f>Schedule!E229</f>
        <v/>
      </c>
      <c r="O229" s="156" t="inlineStr">
        <is>
          <t>Away</t>
        </is>
      </c>
      <c r="P229" s="157">
        <f>Schedule!H229</f>
        <v/>
      </c>
      <c r="Q229" s="157">
        <f>Schedule!C229</f>
        <v/>
      </c>
      <c r="R229" s="180">
        <f>Schedule!D229</f>
        <v/>
      </c>
      <c r="S229" s="181">
        <f>Schedule!J229</f>
        <v/>
      </c>
      <c r="T229" s="193">
        <f>Y229-Z229</f>
        <v/>
      </c>
      <c r="U229" s="182">
        <f>T229/Picks!$K$2</f>
        <v/>
      </c>
      <c r="V229" s="193">
        <f>INDEX(Standings!$T$3:$T$34, MATCH(N229, Standings!$A$3:$A$34, 0)) - INDEX(Standings!$T$3:$T$34, MATCH(P229, Standings!$A$3:$A$34, 0))</f>
        <v/>
      </c>
      <c r="W229" s="157">
        <f>INDEX(Standings!$L$3:$L$34, MATCH(N229, Standings!$A$3:$A$34, 0)) - INDEX(Standings!$L$3:$L$34, MATCH(P229, Standings!$A$3:$A$34, 0))</f>
        <v/>
      </c>
      <c r="X229" s="157">
        <f>INDEX(Standings!$M$3:$M$34, MATCH(N229, Standings!$A$3:$A$34, 0)) - INDEX(Standings!$M$3:$M$34, MATCH(P229, Standings!$A$3:$A$34, 0))</f>
        <v/>
      </c>
      <c r="Y229" s="194">
        <f t="array" ref="Y229:Y229">IFERROR(AE229+(AL229-_DFactor)*AE229,"")</f>
        <v/>
      </c>
      <c r="Z229" s="157">
        <f>IFERROR(AF229+(AI229-_DFactor)*AF229,"")</f>
        <v/>
      </c>
      <c r="AC229" s="194">
        <f>VLOOKUP(M229&amp;N229,Schedule!A:F,6,0)</f>
        <v/>
      </c>
      <c r="AD229" s="194">
        <f>VLOOKUP(M229&amp;P229,Schedule!A:F,6,0)</f>
        <v/>
      </c>
      <c r="AE229" s="156">
        <f>VLOOKUP(N229,ProjPVT!B:I,8,0)*_Mag/VLOOKUP(P229,Standings!A:O,15,0)*H229*K229</f>
        <v/>
      </c>
      <c r="AF229" s="156">
        <f>VLOOKUP(P229,ProjPVT!B:I,8,0)*_Mag/VLOOKUP(N229,Standings!A:O,15,0)*J229*I229</f>
        <v/>
      </c>
      <c r="AG229" s="195">
        <f>VLOOKUP(N229,Matrix!AA:AC,3,0)</f>
        <v/>
      </c>
      <c r="AH229" s="195">
        <f>SUMIFS(Def!C:C,Def!F:F,AG229)</f>
        <v/>
      </c>
      <c r="AI229" s="156">
        <f>IFERROR(SUMIFS(Def!B:B,Def!F:F,AG229)/AH229,"")</f>
        <v/>
      </c>
      <c r="AJ229" s="195">
        <f>VLOOKUP(P229,Matrix!AA:AC,3,0)</f>
        <v/>
      </c>
      <c r="AK229" s="195">
        <f>SUMIFS(Def!C:C,Def!F:F,AJ229)</f>
        <v/>
      </c>
      <c r="AL229" s="156">
        <f>IFERROR(SUMIFS(Def!B:B,Def!F:F,AJ229)/AK229,"")</f>
        <v/>
      </c>
    </row>
    <row r="230" ht="14.4" customHeight="1" s="152">
      <c r="A230" s="157">
        <f>IF(F230="Yes",IFERROR(IF(AA230&gt;1,AA230/100,100/-AA230),""),-1)</f>
        <v/>
      </c>
      <c r="B230" s="157">
        <f>B229+1</f>
        <v/>
      </c>
      <c r="C230" s="157">
        <f>IF(Y230&gt;Z230,1,0)</f>
        <v/>
      </c>
      <c r="D230" s="157">
        <f>IF(AND(C230=1,F230="Yes"),"Yes",IF(AND(C230=0,F230="No"),"Yes","No"))</f>
        <v/>
      </c>
      <c r="E230" s="192">
        <f>IF((AC230+AB230)=AD230,"Push",IF((AC230+AB230)&gt;AD230,"Yes","No"))</f>
        <v/>
      </c>
      <c r="F230" s="192">
        <f>IF(AC230&gt;AD230,"Yes","No")</f>
        <v/>
      </c>
      <c r="G230" s="192">
        <f>IF((Y230+AB230)&gt;Z230,"Yes",IF((Y230+AB230)=Z230,"Push","No"))</f>
        <v/>
      </c>
      <c r="H230" s="157">
        <f>IF(O230="Home",VLOOKUP(N230,Matrix!A:S,19,0),1)</f>
        <v/>
      </c>
      <c r="I230" s="157">
        <f>IF(O230="Away",VLOOKUP(N230,Matrix!A:Z,20,0),1)</f>
        <v/>
      </c>
      <c r="J230" s="157">
        <f>IF(O230="Away",VLOOKUP(P230,Matrix!A:S,19,0),1)</f>
        <v/>
      </c>
      <c r="K230" s="157">
        <f>IF(O230="Home",VLOOKUP(P230,Matrix!A:Z,20,0),1)</f>
        <v/>
      </c>
      <c r="L230" s="156" t="n">
        <v>-0.0124268892184531</v>
      </c>
      <c r="M230" s="179">
        <f>Schedule!B230</f>
        <v/>
      </c>
      <c r="N230" s="156">
        <f>Schedule!E230</f>
        <v/>
      </c>
      <c r="O230" s="156" t="inlineStr">
        <is>
          <t>Away</t>
        </is>
      </c>
      <c r="P230" s="157">
        <f>Schedule!H230</f>
        <v/>
      </c>
      <c r="Q230" s="157">
        <f>Schedule!C230</f>
        <v/>
      </c>
      <c r="R230" s="180">
        <f>Schedule!D230</f>
        <v/>
      </c>
      <c r="S230" s="181">
        <f>Schedule!J230</f>
        <v/>
      </c>
      <c r="T230" s="193">
        <f>Y230-Z230</f>
        <v/>
      </c>
      <c r="U230" s="182">
        <f>T230/Picks!$K$2</f>
        <v/>
      </c>
      <c r="V230" s="193">
        <f>INDEX(Standings!$T$3:$T$34, MATCH(N230, Standings!$A$3:$A$34, 0)) - INDEX(Standings!$T$3:$T$34, MATCH(P230, Standings!$A$3:$A$34, 0))</f>
        <v/>
      </c>
      <c r="W230" s="157">
        <f>INDEX(Standings!$L$3:$L$34, MATCH(N230, Standings!$A$3:$A$34, 0)) - INDEX(Standings!$L$3:$L$34, MATCH(P230, Standings!$A$3:$A$34, 0))</f>
        <v/>
      </c>
      <c r="X230" s="157">
        <f>INDEX(Standings!$M$3:$M$34, MATCH(N230, Standings!$A$3:$A$34, 0)) - INDEX(Standings!$M$3:$M$34, MATCH(P230, Standings!$A$3:$A$34, 0))</f>
        <v/>
      </c>
      <c r="Y230" s="194">
        <f t="array" ref="Y230:Y230">IFERROR(AE230+(AL230-_DFactor)*AE230,"")</f>
        <v/>
      </c>
      <c r="Z230" s="157">
        <f>IFERROR(AF230+(AI230-_DFactor)*AF230,"")</f>
        <v/>
      </c>
      <c r="AC230" s="194">
        <f>VLOOKUP(M230&amp;N230,Schedule!A:F,6,0)</f>
        <v/>
      </c>
      <c r="AD230" s="194">
        <f>VLOOKUP(M230&amp;P230,Schedule!A:F,6,0)</f>
        <v/>
      </c>
      <c r="AE230" s="156">
        <f>VLOOKUP(N230,ProjPVT!B:I,8,0)*_Mag/VLOOKUP(P230,Standings!A:O,15,0)*H230*K230</f>
        <v/>
      </c>
      <c r="AF230" s="156">
        <f>VLOOKUP(P230,ProjPVT!B:I,8,0)*_Mag/VLOOKUP(N230,Standings!A:O,15,0)*J230*I230</f>
        <v/>
      </c>
      <c r="AG230" s="195">
        <f>VLOOKUP(N230,Matrix!AA:AC,3,0)</f>
        <v/>
      </c>
      <c r="AH230" s="195">
        <f>SUMIFS(Def!C:C,Def!F:F,AG230)</f>
        <v/>
      </c>
      <c r="AI230" s="156">
        <f>IFERROR(SUMIFS(Def!B:B,Def!F:F,AG230)/AH230,"")</f>
        <v/>
      </c>
      <c r="AJ230" s="195">
        <f>VLOOKUP(P230,Matrix!AA:AC,3,0)</f>
        <v/>
      </c>
      <c r="AK230" s="195">
        <f>SUMIFS(Def!C:C,Def!F:F,AJ230)</f>
        <v/>
      </c>
      <c r="AL230" s="156">
        <f>IFERROR(SUMIFS(Def!B:B,Def!F:F,AJ230)/AK230,"")</f>
        <v/>
      </c>
    </row>
    <row r="231" ht="14.4" customHeight="1" s="152">
      <c r="A231" s="157">
        <f>IF(F231="Yes",IFERROR(IF(AA231&gt;1,AA231/100,100/-AA231),""),-1)</f>
        <v/>
      </c>
      <c r="B231" s="157">
        <f>B230+1</f>
        <v/>
      </c>
      <c r="C231" s="157">
        <f>IF(Y231&gt;Z231,1,0)</f>
        <v/>
      </c>
      <c r="D231" s="157">
        <f>IF(AND(C231=1,F231="Yes"),"Yes",IF(AND(C231=0,F231="No"),"Yes","No"))</f>
        <v/>
      </c>
      <c r="E231" s="192">
        <f>IF((AC231+AB231)=AD231,"Push",IF((AC231+AB231)&gt;AD231,"Yes","No"))</f>
        <v/>
      </c>
      <c r="F231" s="192">
        <f>IF(AC231&gt;AD231,"Yes","No")</f>
        <v/>
      </c>
      <c r="G231" s="192">
        <f>IF((Y231+AB231)&gt;Z231,"Yes",IF((Y231+AB231)=Z231,"Push","No"))</f>
        <v/>
      </c>
      <c r="H231" s="157">
        <f>IF(O231="Home",VLOOKUP(N231,Matrix!A:S,19,0),1)</f>
        <v/>
      </c>
      <c r="I231" s="157">
        <f>IF(O231="Away",VLOOKUP(N231,Matrix!A:Z,20,0),1)</f>
        <v/>
      </c>
      <c r="J231" s="157">
        <f>IF(O231="Away",VLOOKUP(P231,Matrix!A:S,19,0),1)</f>
        <v/>
      </c>
      <c r="K231" s="157">
        <f>IF(O231="Home",VLOOKUP(P231,Matrix!A:Z,20,0),1)</f>
        <v/>
      </c>
      <c r="L231" s="156" t="n">
        <v>-0.00294757494118632</v>
      </c>
      <c r="M231" s="179">
        <f>Schedule!B231</f>
        <v/>
      </c>
      <c r="N231" s="156">
        <f>Schedule!E231</f>
        <v/>
      </c>
      <c r="O231" s="156" t="inlineStr">
        <is>
          <t>Away</t>
        </is>
      </c>
      <c r="P231" s="157">
        <f>Schedule!H231</f>
        <v/>
      </c>
      <c r="Q231" s="157">
        <f>Schedule!C231</f>
        <v/>
      </c>
      <c r="R231" s="180">
        <f>Schedule!D231</f>
        <v/>
      </c>
      <c r="S231" s="181">
        <f>Schedule!J231</f>
        <v/>
      </c>
      <c r="T231" s="193">
        <f>Y231-Z231</f>
        <v/>
      </c>
      <c r="U231" s="182">
        <f>T231/Picks!$K$2</f>
        <v/>
      </c>
      <c r="V231" s="193">
        <f>INDEX(Standings!$T$3:$T$34, MATCH(N231, Standings!$A$3:$A$34, 0)) - INDEX(Standings!$T$3:$T$34, MATCH(P231, Standings!$A$3:$A$34, 0))</f>
        <v/>
      </c>
      <c r="W231" s="157">
        <f>INDEX(Standings!$L$3:$L$34, MATCH(N231, Standings!$A$3:$A$34, 0)) - INDEX(Standings!$L$3:$L$34, MATCH(P231, Standings!$A$3:$A$34, 0))</f>
        <v/>
      </c>
      <c r="X231" s="157">
        <f>INDEX(Standings!$M$3:$M$34, MATCH(N231, Standings!$A$3:$A$34, 0)) - INDEX(Standings!$M$3:$M$34, MATCH(P231, Standings!$A$3:$A$34, 0))</f>
        <v/>
      </c>
      <c r="Y231" s="194">
        <f t="array" ref="Y231:Y231">IFERROR(AE231+(AL231-_DFactor)*AE231,"")</f>
        <v/>
      </c>
      <c r="Z231" s="157">
        <f>IFERROR(AF231+(AI231-_DFactor)*AF231,"")</f>
        <v/>
      </c>
      <c r="AC231" s="194">
        <f>VLOOKUP(M231&amp;N231,Schedule!A:F,6,0)</f>
        <v/>
      </c>
      <c r="AD231" s="194">
        <f>VLOOKUP(M231&amp;P231,Schedule!A:F,6,0)</f>
        <v/>
      </c>
      <c r="AE231" s="156">
        <f>VLOOKUP(N231,ProjPVT!B:I,8,0)*_Mag/VLOOKUP(P231,Standings!A:O,15,0)*H231*K231</f>
        <v/>
      </c>
      <c r="AF231" s="156">
        <f>VLOOKUP(P231,ProjPVT!B:I,8,0)*_Mag/VLOOKUP(N231,Standings!A:O,15,0)*J231*I231</f>
        <v/>
      </c>
      <c r="AG231" s="195">
        <f>VLOOKUP(N231,Matrix!AA:AC,3,0)</f>
        <v/>
      </c>
      <c r="AH231" s="195">
        <f>SUMIFS(Def!C:C,Def!F:F,AG231)</f>
        <v/>
      </c>
      <c r="AI231" s="156">
        <f>IFERROR(SUMIFS(Def!B:B,Def!F:F,AG231)/AH231,"")</f>
        <v/>
      </c>
      <c r="AJ231" s="195">
        <f>VLOOKUP(P231,Matrix!AA:AC,3,0)</f>
        <v/>
      </c>
      <c r="AK231" s="195">
        <f>SUMIFS(Def!C:C,Def!F:F,AJ231)</f>
        <v/>
      </c>
      <c r="AL231" s="156">
        <f>IFERROR(SUMIFS(Def!B:B,Def!F:F,AJ231)/AK231,"")</f>
        <v/>
      </c>
    </row>
    <row r="232" ht="14.4" customHeight="1" s="152">
      <c r="A232" s="157">
        <f>IF(F232="Yes",IFERROR(IF(AA232&gt;1,AA232/100,100/-AA232),""),-1)</f>
        <v/>
      </c>
      <c r="B232" s="157">
        <f>B231+1</f>
        <v/>
      </c>
      <c r="C232" s="157">
        <f>IF(Y232&gt;Z232,1,0)</f>
        <v/>
      </c>
      <c r="D232" s="157">
        <f>IF(AND(C232=1,F232="Yes"),"Yes",IF(AND(C232=0,F232="No"),"Yes","No"))</f>
        <v/>
      </c>
      <c r="E232" s="192">
        <f>IF((AC232+AB232)=AD232,"Push",IF((AC232+AB232)&gt;AD232,"Yes","No"))</f>
        <v/>
      </c>
      <c r="F232" s="192">
        <f>IF(AC232&gt;AD232,"Yes","No")</f>
        <v/>
      </c>
      <c r="G232" s="192">
        <f>IF((Y232+AB232)&gt;Z232,"Yes",IF((Y232+AB232)=Z232,"Push","No"))</f>
        <v/>
      </c>
      <c r="H232" s="157">
        <f>IF(O232="Home",VLOOKUP(N232,Matrix!A:S,19,0),1)</f>
        <v/>
      </c>
      <c r="I232" s="157">
        <f>IF(O232="Away",VLOOKUP(N232,Matrix!A:Z,20,0),1)</f>
        <v/>
      </c>
      <c r="J232" s="157">
        <f>IF(O232="Away",VLOOKUP(P232,Matrix!A:S,19,0),1)</f>
        <v/>
      </c>
      <c r="K232" s="157">
        <f>IF(O232="Home",VLOOKUP(P232,Matrix!A:Z,20,0),1)</f>
        <v/>
      </c>
      <c r="L232" s="156" t="n">
        <v>0.00294757494118632</v>
      </c>
      <c r="M232" s="179">
        <f>Schedule!B232</f>
        <v/>
      </c>
      <c r="N232" s="156">
        <f>Schedule!E232</f>
        <v/>
      </c>
      <c r="O232" s="156" t="inlineStr">
        <is>
          <t>Home</t>
        </is>
      </c>
      <c r="P232" s="157">
        <f>Schedule!H232</f>
        <v/>
      </c>
      <c r="Q232" s="157">
        <f>Schedule!C232</f>
        <v/>
      </c>
      <c r="R232" s="180">
        <f>Schedule!D232</f>
        <v/>
      </c>
      <c r="S232" s="181">
        <f>Schedule!J232</f>
        <v/>
      </c>
      <c r="T232" s="193">
        <f>Y232-Z232</f>
        <v/>
      </c>
      <c r="U232" s="182">
        <f>T232/Picks!$K$2</f>
        <v/>
      </c>
      <c r="V232" s="193">
        <f>INDEX(Standings!$T$3:$T$34, MATCH(N232, Standings!$A$3:$A$34, 0)) - INDEX(Standings!$T$3:$T$34, MATCH(P232, Standings!$A$3:$A$34, 0))</f>
        <v/>
      </c>
      <c r="W232" s="157">
        <f>INDEX(Standings!$L$3:$L$34, MATCH(N232, Standings!$A$3:$A$34, 0)) - INDEX(Standings!$L$3:$L$34, MATCH(P232, Standings!$A$3:$A$34, 0))</f>
        <v/>
      </c>
      <c r="X232" s="157">
        <f>INDEX(Standings!$M$3:$M$34, MATCH(N232, Standings!$A$3:$A$34, 0)) - INDEX(Standings!$M$3:$M$34, MATCH(P232, Standings!$A$3:$A$34, 0))</f>
        <v/>
      </c>
      <c r="Y232" s="194">
        <f t="array" ref="Y232:Y232">IFERROR(AE232+(AL232-_DFactor)*AE232,"")</f>
        <v/>
      </c>
      <c r="Z232" s="157">
        <f>IFERROR(AF232+(AI232-_DFactor)*AF232,"")</f>
        <v/>
      </c>
      <c r="AC232" s="194">
        <f>VLOOKUP(M232&amp;N232,Schedule!A:F,6,0)</f>
        <v/>
      </c>
      <c r="AD232" s="194">
        <f>VLOOKUP(M232&amp;P232,Schedule!A:F,6,0)</f>
        <v/>
      </c>
      <c r="AE232" s="156">
        <f>VLOOKUP(N232,ProjPVT!B:I,8,0)*_Mag/VLOOKUP(P232,Standings!A:O,15,0)*H232*K232</f>
        <v/>
      </c>
      <c r="AF232" s="156">
        <f>VLOOKUP(P232,ProjPVT!B:I,8,0)*_Mag/VLOOKUP(N232,Standings!A:O,15,0)*J232*I232</f>
        <v/>
      </c>
      <c r="AG232" s="195">
        <f>VLOOKUP(N232,Matrix!AA:AC,3,0)</f>
        <v/>
      </c>
      <c r="AH232" s="195">
        <f>SUMIFS(Def!C:C,Def!F:F,AG232)</f>
        <v/>
      </c>
      <c r="AI232" s="156">
        <f>IFERROR(SUMIFS(Def!B:B,Def!F:F,AG232)/AH232,"")</f>
        <v/>
      </c>
      <c r="AJ232" s="195">
        <f>VLOOKUP(P232,Matrix!AA:AC,3,0)</f>
        <v/>
      </c>
      <c r="AK232" s="195">
        <f>SUMIFS(Def!C:C,Def!F:F,AJ232)</f>
        <v/>
      </c>
      <c r="AL232" s="156">
        <f>IFERROR(SUMIFS(Def!B:B,Def!F:F,AJ232)/AK232,"")</f>
        <v/>
      </c>
    </row>
    <row r="233" ht="14.4" customHeight="1" s="152">
      <c r="A233" s="157">
        <f>IF(F233="Yes",IFERROR(IF(AA233&gt;1,AA233/100,100/-AA233),""),-1)</f>
        <v/>
      </c>
      <c r="B233" s="157">
        <f>B232+1</f>
        <v/>
      </c>
      <c r="C233" s="157">
        <f>IF(Y233&gt;Z233,1,0)</f>
        <v/>
      </c>
      <c r="D233" s="157">
        <f>IF(AND(C233=1,F233="Yes"),"Yes",IF(AND(C233=0,F233="No"),"Yes","No"))</f>
        <v/>
      </c>
      <c r="E233" s="192">
        <f>IF((AC233+AB233)=AD233,"Push",IF((AC233+AB233)&gt;AD233,"Yes","No"))</f>
        <v/>
      </c>
      <c r="F233" s="192">
        <f>IF(AC233&gt;AD233,"Yes","No")</f>
        <v/>
      </c>
      <c r="G233" s="192">
        <f>IF((Y233+AB233)&gt;Z233,"Yes",IF((Y233+AB233)=Z233,"Push","No"))</f>
        <v/>
      </c>
      <c r="H233" s="157">
        <f>IF(O233="Home",VLOOKUP(N233,Matrix!A:S,19,0),1)</f>
        <v/>
      </c>
      <c r="I233" s="157">
        <f>IF(O233="Away",VLOOKUP(N233,Matrix!A:Z,20,0),1)</f>
        <v/>
      </c>
      <c r="J233" s="157">
        <f>IF(O233="Away",VLOOKUP(P233,Matrix!A:S,19,0),1)</f>
        <v/>
      </c>
      <c r="K233" s="157">
        <f>IF(O233="Home",VLOOKUP(P233,Matrix!A:Z,20,0),1)</f>
        <v/>
      </c>
      <c r="L233" s="156" t="n">
        <v>0.0124268892184531</v>
      </c>
      <c r="M233" s="179">
        <f>Schedule!B233</f>
        <v/>
      </c>
      <c r="N233" s="156">
        <f>Schedule!E233</f>
        <v/>
      </c>
      <c r="O233" s="156" t="inlineStr">
        <is>
          <t>Home</t>
        </is>
      </c>
      <c r="P233" s="157">
        <f>Schedule!H233</f>
        <v/>
      </c>
      <c r="Q233" s="157">
        <f>Schedule!C233</f>
        <v/>
      </c>
      <c r="R233" s="180">
        <f>Schedule!D233</f>
        <v/>
      </c>
      <c r="S233" s="181">
        <f>Schedule!J233</f>
        <v/>
      </c>
      <c r="T233" s="193">
        <f>Y233-Z233</f>
        <v/>
      </c>
      <c r="U233" s="182">
        <f>T233/Picks!$K$2</f>
        <v/>
      </c>
      <c r="V233" s="193">
        <f>INDEX(Standings!$T$3:$T$34, MATCH(N233, Standings!$A$3:$A$34, 0)) - INDEX(Standings!$T$3:$T$34, MATCH(P233, Standings!$A$3:$A$34, 0))</f>
        <v/>
      </c>
      <c r="W233" s="157">
        <f>INDEX(Standings!$L$3:$L$34, MATCH(N233, Standings!$A$3:$A$34, 0)) - INDEX(Standings!$L$3:$L$34, MATCH(P233, Standings!$A$3:$A$34, 0))</f>
        <v/>
      </c>
      <c r="X233" s="157">
        <f>INDEX(Standings!$M$3:$M$34, MATCH(N233, Standings!$A$3:$A$34, 0)) - INDEX(Standings!$M$3:$M$34, MATCH(P233, Standings!$A$3:$A$34, 0))</f>
        <v/>
      </c>
      <c r="Y233" s="194">
        <f t="array" ref="Y233:Y233">IFERROR(AE233+(AL233-_DFactor)*AE233,"")</f>
        <v/>
      </c>
      <c r="Z233" s="157">
        <f>IFERROR(AF233+(AI233-_DFactor)*AF233,"")</f>
        <v/>
      </c>
      <c r="AC233" s="194">
        <f>VLOOKUP(M233&amp;N233,Schedule!A:F,6,0)</f>
        <v/>
      </c>
      <c r="AD233" s="194">
        <f>VLOOKUP(M233&amp;P233,Schedule!A:F,6,0)</f>
        <v/>
      </c>
      <c r="AE233" s="156">
        <f>VLOOKUP(N233,ProjPVT!B:I,8,0)*_Mag/VLOOKUP(P233,Standings!A:O,15,0)*H233*K233</f>
        <v/>
      </c>
      <c r="AF233" s="156">
        <f>VLOOKUP(P233,ProjPVT!B:I,8,0)*_Mag/VLOOKUP(N233,Standings!A:O,15,0)*J233*I233</f>
        <v/>
      </c>
      <c r="AG233" s="195">
        <f>VLOOKUP(N233,Matrix!AA:AC,3,0)</f>
        <v/>
      </c>
      <c r="AH233" s="195">
        <f>SUMIFS(Def!C:C,Def!F:F,AG233)</f>
        <v/>
      </c>
      <c r="AI233" s="156">
        <f>IFERROR(SUMIFS(Def!B:B,Def!F:F,AG233)/AH233,"")</f>
        <v/>
      </c>
      <c r="AJ233" s="195">
        <f>VLOOKUP(P233,Matrix!AA:AC,3,0)</f>
        <v/>
      </c>
      <c r="AK233" s="195">
        <f>SUMIFS(Def!C:C,Def!F:F,AJ233)</f>
        <v/>
      </c>
      <c r="AL233" s="156">
        <f>IFERROR(SUMIFS(Def!B:B,Def!F:F,AJ233)/AK233,"")</f>
        <v/>
      </c>
    </row>
    <row r="234" ht="14.4" customHeight="1" s="152">
      <c r="A234" s="157">
        <f>IF(F234="Yes",IFERROR(IF(AA234&gt;1,AA234/100,100/-AA234),""),-1)</f>
        <v/>
      </c>
      <c r="B234" s="157">
        <f>B233+1</f>
        <v/>
      </c>
      <c r="C234" s="157">
        <f>IF(Y234&gt;Z234,1,0)</f>
        <v/>
      </c>
      <c r="D234" s="157">
        <f>IF(AND(C234=1,F234="Yes"),"Yes",IF(AND(C234=0,F234="No"),"Yes","No"))</f>
        <v/>
      </c>
      <c r="E234" s="192">
        <f>IF((AC234+AB234)=AD234,"Push",IF((AC234+AB234)&gt;AD234,"Yes","No"))</f>
        <v/>
      </c>
      <c r="F234" s="192">
        <f>IF(AC234&gt;AD234,"Yes","No")</f>
        <v/>
      </c>
      <c r="G234" s="192">
        <f>IF((Y234+AB234)&gt;Z234,"Yes",IF((Y234+AB234)=Z234,"Push","No"))</f>
        <v/>
      </c>
      <c r="H234" s="157">
        <f>IF(O234="Home",VLOOKUP(N234,Matrix!A:S,19,0),1)</f>
        <v/>
      </c>
      <c r="I234" s="157">
        <f>IF(O234="Away",VLOOKUP(N234,Matrix!A:Z,20,0),1)</f>
        <v/>
      </c>
      <c r="J234" s="157">
        <f>IF(O234="Away",VLOOKUP(P234,Matrix!A:S,19,0),1)</f>
        <v/>
      </c>
      <c r="K234" s="157">
        <f>IF(O234="Home",VLOOKUP(P234,Matrix!A:Z,20,0),1)</f>
        <v/>
      </c>
      <c r="L234" s="156" t="n">
        <v>0.0436891248392888</v>
      </c>
      <c r="M234" s="179">
        <f>Schedule!B234</f>
        <v/>
      </c>
      <c r="N234" s="156">
        <f>Schedule!E234</f>
        <v/>
      </c>
      <c r="O234" s="156" t="inlineStr">
        <is>
          <t>Home</t>
        </is>
      </c>
      <c r="P234" s="157">
        <f>Schedule!H234</f>
        <v/>
      </c>
      <c r="Q234" s="157">
        <f>Schedule!C234</f>
        <v/>
      </c>
      <c r="R234" s="180">
        <f>Schedule!D234</f>
        <v/>
      </c>
      <c r="S234" s="181">
        <f>Schedule!J234</f>
        <v/>
      </c>
      <c r="T234" s="193">
        <f>Y234-Z234</f>
        <v/>
      </c>
      <c r="U234" s="182">
        <f>T234/Picks!$K$2</f>
        <v/>
      </c>
      <c r="V234" s="193">
        <f>INDEX(Standings!$T$3:$T$34, MATCH(N234, Standings!$A$3:$A$34, 0)) - INDEX(Standings!$T$3:$T$34, MATCH(P234, Standings!$A$3:$A$34, 0))</f>
        <v/>
      </c>
      <c r="W234" s="157">
        <f>INDEX(Standings!$L$3:$L$34, MATCH(N234, Standings!$A$3:$A$34, 0)) - INDEX(Standings!$L$3:$L$34, MATCH(P234, Standings!$A$3:$A$34, 0))</f>
        <v/>
      </c>
      <c r="X234" s="157">
        <f>INDEX(Standings!$M$3:$M$34, MATCH(N234, Standings!$A$3:$A$34, 0)) - INDEX(Standings!$M$3:$M$34, MATCH(P234, Standings!$A$3:$A$34, 0))</f>
        <v/>
      </c>
      <c r="Y234" s="194">
        <f t="array" ref="Y234:Y234">IFERROR(AE234+(AL234-_DFactor)*AE234,"")</f>
        <v/>
      </c>
      <c r="Z234" s="157">
        <f>IFERROR(AF234+(AI234-_DFactor)*AF234,"")</f>
        <v/>
      </c>
      <c r="AC234" s="194">
        <f>VLOOKUP(M234&amp;N234,Schedule!A:F,6,0)</f>
        <v/>
      </c>
      <c r="AD234" s="194">
        <f>VLOOKUP(M234&amp;P234,Schedule!A:F,6,0)</f>
        <v/>
      </c>
      <c r="AE234" s="156">
        <f>VLOOKUP(N234,ProjPVT!B:I,8,0)*_Mag/VLOOKUP(P234,Standings!A:O,15,0)*H234*K234</f>
        <v/>
      </c>
      <c r="AF234" s="156">
        <f>VLOOKUP(P234,ProjPVT!B:I,8,0)*_Mag/VLOOKUP(N234,Standings!A:O,15,0)*J234*I234</f>
        <v/>
      </c>
      <c r="AG234" s="195">
        <f>VLOOKUP(N234,Matrix!AA:AC,3,0)</f>
        <v/>
      </c>
      <c r="AH234" s="195">
        <f>SUMIFS(Def!C:C,Def!F:F,AG234)</f>
        <v/>
      </c>
      <c r="AI234" s="156">
        <f>IFERROR(SUMIFS(Def!B:B,Def!F:F,AG234)/AH234,"")</f>
        <v/>
      </c>
      <c r="AJ234" s="195">
        <f>VLOOKUP(P234,Matrix!AA:AC,3,0)</f>
        <v/>
      </c>
      <c r="AK234" s="195">
        <f>SUMIFS(Def!C:C,Def!F:F,AJ234)</f>
        <v/>
      </c>
      <c r="AL234" s="156">
        <f>IFERROR(SUMIFS(Def!B:B,Def!F:F,AJ234)/AK234,"")</f>
        <v/>
      </c>
    </row>
    <row r="235" ht="14.4" customHeight="1" s="152">
      <c r="A235" s="157">
        <f>IF(F235="Yes",IFERROR(IF(AA235&gt;1,AA235/100,100/-AA235),""),-1)</f>
        <v/>
      </c>
      <c r="B235" s="157">
        <f>B234+1</f>
        <v/>
      </c>
      <c r="C235" s="157">
        <f>IF(Y235&gt;Z235,1,0)</f>
        <v/>
      </c>
      <c r="D235" s="157">
        <f>IF(AND(C235=1,F235="Yes"),"Yes",IF(AND(C235=0,F235="No"),"Yes","No"))</f>
        <v/>
      </c>
      <c r="E235" s="192">
        <f>IF((AC235+AB235)=AD235,"Push",IF((AC235+AB235)&gt;AD235,"Yes","No"))</f>
        <v/>
      </c>
      <c r="F235" s="192">
        <f>IF(AC235&gt;AD235,"Yes","No")</f>
        <v/>
      </c>
      <c r="G235" s="192">
        <f>IF((Y235+AB235)&gt;Z235,"Yes",IF((Y235+AB235)=Z235,"Push","No"))</f>
        <v/>
      </c>
      <c r="H235" s="157">
        <f>IF(O235="Home",VLOOKUP(N235,Matrix!A:S,19,0),1)</f>
        <v/>
      </c>
      <c r="I235" s="157">
        <f>IF(O235="Away",VLOOKUP(N235,Matrix!A:Z,20,0),1)</f>
        <v/>
      </c>
      <c r="J235" s="157">
        <f>IF(O235="Away",VLOOKUP(P235,Matrix!A:S,19,0),1)</f>
        <v/>
      </c>
      <c r="K235" s="157">
        <f>IF(O235="Home",VLOOKUP(P235,Matrix!A:Z,20,0),1)</f>
        <v/>
      </c>
      <c r="L235" s="156" t="n">
        <v>0.070394044247952</v>
      </c>
      <c r="M235" s="179">
        <f>Schedule!B235</f>
        <v/>
      </c>
      <c r="N235" s="156">
        <f>Schedule!E235</f>
        <v/>
      </c>
      <c r="O235" s="156" t="inlineStr">
        <is>
          <t>Away</t>
        </is>
      </c>
      <c r="P235" s="157">
        <f>Schedule!H235</f>
        <v/>
      </c>
      <c r="Q235" s="157">
        <f>Schedule!C235</f>
        <v/>
      </c>
      <c r="R235" s="180">
        <f>Schedule!D235</f>
        <v/>
      </c>
      <c r="S235" s="181">
        <f>Schedule!J235</f>
        <v/>
      </c>
      <c r="T235" s="193">
        <f>Y235-Z235</f>
        <v/>
      </c>
      <c r="U235" s="182">
        <f>T235/Picks!$K$2</f>
        <v/>
      </c>
      <c r="V235" s="193">
        <f>INDEX(Standings!$T$3:$T$34, MATCH(N235, Standings!$A$3:$A$34, 0)) - INDEX(Standings!$T$3:$T$34, MATCH(P235, Standings!$A$3:$A$34, 0))</f>
        <v/>
      </c>
      <c r="W235" s="157">
        <f>INDEX(Standings!$L$3:$L$34, MATCH(N235, Standings!$A$3:$A$34, 0)) - INDEX(Standings!$L$3:$L$34, MATCH(P235, Standings!$A$3:$A$34, 0))</f>
        <v/>
      </c>
      <c r="X235" s="157">
        <f>INDEX(Standings!$M$3:$M$34, MATCH(N235, Standings!$A$3:$A$34, 0)) - INDEX(Standings!$M$3:$M$34, MATCH(P235, Standings!$A$3:$A$34, 0))</f>
        <v/>
      </c>
      <c r="Y235" s="194">
        <f t="array" ref="Y235:Y235">IFERROR(AE235+(AL235-_DFactor)*AE235,"")</f>
        <v/>
      </c>
      <c r="Z235" s="157">
        <f>IFERROR(AF235+(AI235-_DFactor)*AF235,"")</f>
        <v/>
      </c>
      <c r="AC235" s="194">
        <f>VLOOKUP(M235&amp;N235,Schedule!A:F,6,0)</f>
        <v/>
      </c>
      <c r="AD235" s="194">
        <f>VLOOKUP(M235&amp;P235,Schedule!A:F,6,0)</f>
        <v/>
      </c>
      <c r="AE235" s="156">
        <f>VLOOKUP(N235,ProjPVT!B:I,8,0)*_Mag/VLOOKUP(P235,Standings!A:O,15,0)*H235*K235</f>
        <v/>
      </c>
      <c r="AF235" s="156">
        <f>VLOOKUP(P235,ProjPVT!B:I,8,0)*_Mag/VLOOKUP(N235,Standings!A:O,15,0)*J235*I235</f>
        <v/>
      </c>
      <c r="AG235" s="195">
        <f>VLOOKUP(N235,Matrix!AA:AC,3,0)</f>
        <v/>
      </c>
      <c r="AH235" s="195">
        <f>SUMIFS(Def!C:C,Def!F:F,AG235)</f>
        <v/>
      </c>
      <c r="AI235" s="156">
        <f>IFERROR(SUMIFS(Def!B:B,Def!F:F,AG235)/AH235,"")</f>
        <v/>
      </c>
      <c r="AJ235" s="195">
        <f>VLOOKUP(P235,Matrix!AA:AC,3,0)</f>
        <v/>
      </c>
      <c r="AK235" s="195">
        <f>SUMIFS(Def!C:C,Def!F:F,AJ235)</f>
        <v/>
      </c>
      <c r="AL235" s="156">
        <f>IFERROR(SUMIFS(Def!B:B,Def!F:F,AJ235)/AK235,"")</f>
        <v/>
      </c>
    </row>
    <row r="236" ht="14.4" customHeight="1" s="152">
      <c r="A236" s="157">
        <f>IF(F236="Yes",IFERROR(IF(AA236&gt;1,AA236/100,100/-AA236),""),-1)</f>
        <v/>
      </c>
      <c r="B236" s="157">
        <f>B235+1</f>
        <v/>
      </c>
      <c r="C236" s="157">
        <f>IF(Y236&gt;Z236,1,0)</f>
        <v/>
      </c>
      <c r="D236" s="157">
        <f>IF(AND(C236=1,F236="Yes"),"Yes",IF(AND(C236=0,F236="No"),"Yes","No"))</f>
        <v/>
      </c>
      <c r="E236" s="192">
        <f>IF((AC236+AB236)=AD236,"Push",IF((AC236+AB236)&gt;AD236,"Yes","No"))</f>
        <v/>
      </c>
      <c r="F236" s="192">
        <f>IF(AC236&gt;AD236,"Yes","No")</f>
        <v/>
      </c>
      <c r="G236" s="192">
        <f>IF((Y236+AB236)&gt;Z236,"Yes",IF((Y236+AB236)=Z236,"Push","No"))</f>
        <v/>
      </c>
      <c r="H236" s="157">
        <f>IF(O236="Home",VLOOKUP(N236,Matrix!A:S,19,0),1)</f>
        <v/>
      </c>
      <c r="I236" s="157">
        <f>IF(O236="Away",VLOOKUP(N236,Matrix!A:Z,20,0),1)</f>
        <v/>
      </c>
      <c r="J236" s="157">
        <f>IF(O236="Away",VLOOKUP(P236,Matrix!A:S,19,0),1)</f>
        <v/>
      </c>
      <c r="K236" s="157">
        <f>IF(O236="Home",VLOOKUP(P236,Matrix!A:Z,20,0),1)</f>
        <v/>
      </c>
      <c r="L236" s="156" t="n">
        <v>0.102095645661008</v>
      </c>
      <c r="M236" s="179">
        <f>Schedule!B236</f>
        <v/>
      </c>
      <c r="N236" s="156">
        <f>Schedule!E236</f>
        <v/>
      </c>
      <c r="O236" s="156" t="inlineStr">
        <is>
          <t>Home</t>
        </is>
      </c>
      <c r="P236" s="157">
        <f>Schedule!H236</f>
        <v/>
      </c>
      <c r="Q236" s="157">
        <f>Schedule!C236</f>
        <v/>
      </c>
      <c r="R236" s="180">
        <f>Schedule!D236</f>
        <v/>
      </c>
      <c r="S236" s="181">
        <f>Schedule!J236</f>
        <v/>
      </c>
      <c r="T236" s="193">
        <f>Y236-Z236</f>
        <v/>
      </c>
      <c r="U236" s="182">
        <f>T236/Picks!$K$2</f>
        <v/>
      </c>
      <c r="V236" s="193">
        <f>INDEX(Standings!$T$3:$T$34, MATCH(N236, Standings!$A$3:$A$34, 0)) - INDEX(Standings!$T$3:$T$34, MATCH(P236, Standings!$A$3:$A$34, 0))</f>
        <v/>
      </c>
      <c r="W236" s="157">
        <f>INDEX(Standings!$L$3:$L$34, MATCH(N236, Standings!$A$3:$A$34, 0)) - INDEX(Standings!$L$3:$L$34, MATCH(P236, Standings!$A$3:$A$34, 0))</f>
        <v/>
      </c>
      <c r="X236" s="157">
        <f>INDEX(Standings!$M$3:$M$34, MATCH(N236, Standings!$A$3:$A$34, 0)) - INDEX(Standings!$M$3:$M$34, MATCH(P236, Standings!$A$3:$A$34, 0))</f>
        <v/>
      </c>
      <c r="Y236" s="194">
        <f t="array" ref="Y236:Y236">IFERROR(AE236+(AL236-_DFactor)*AE236,"")</f>
        <v/>
      </c>
      <c r="Z236" s="157">
        <f>IFERROR(AF236+(AI236-_DFactor)*AF236,"")</f>
        <v/>
      </c>
      <c r="AC236" s="194">
        <f>VLOOKUP(M236&amp;N236,Schedule!A:F,6,0)</f>
        <v/>
      </c>
      <c r="AD236" s="194">
        <f>VLOOKUP(M236&amp;P236,Schedule!A:F,6,0)</f>
        <v/>
      </c>
      <c r="AE236" s="156">
        <f>VLOOKUP(N236,ProjPVT!B:I,8,0)*_Mag/VLOOKUP(P236,Standings!A:O,15,0)*H236*K236</f>
        <v/>
      </c>
      <c r="AF236" s="156">
        <f>VLOOKUP(P236,ProjPVT!B:I,8,0)*_Mag/VLOOKUP(N236,Standings!A:O,15,0)*J236*I236</f>
        <v/>
      </c>
      <c r="AG236" s="195">
        <f>VLOOKUP(N236,Matrix!AA:AC,3,0)</f>
        <v/>
      </c>
      <c r="AH236" s="195">
        <f>SUMIFS(Def!C:C,Def!F:F,AG236)</f>
        <v/>
      </c>
      <c r="AI236" s="156">
        <f>IFERROR(SUMIFS(Def!B:B,Def!F:F,AG236)/AH236,"")</f>
        <v/>
      </c>
      <c r="AJ236" s="195">
        <f>VLOOKUP(P236,Matrix!AA:AC,3,0)</f>
        <v/>
      </c>
      <c r="AK236" s="195">
        <f>SUMIFS(Def!C:C,Def!F:F,AJ236)</f>
        <v/>
      </c>
      <c r="AL236" s="156">
        <f>IFERROR(SUMIFS(Def!B:B,Def!F:F,AJ236)/AK236,"")</f>
        <v/>
      </c>
    </row>
    <row r="237" ht="14.4" customHeight="1" s="152">
      <c r="A237" s="157">
        <f>IF(F237="Yes",IFERROR(IF(AA237&gt;1,AA237/100,100/-AA237),""),-1)</f>
        <v/>
      </c>
      <c r="B237" s="157">
        <f>B236+1</f>
        <v/>
      </c>
      <c r="C237" s="157">
        <f>IF(Y237&gt;Z237,1,0)</f>
        <v/>
      </c>
      <c r="D237" s="157">
        <f>IF(AND(C237=1,F237="Yes"),"Yes",IF(AND(C237=0,F237="No"),"Yes","No"))</f>
        <v/>
      </c>
      <c r="E237" s="192">
        <f>IF((AC237+AB237)=AD237,"Push",IF((AC237+AB237)&gt;AD237,"Yes","No"))</f>
        <v/>
      </c>
      <c r="F237" s="192">
        <f>IF(AC237&gt;AD237,"Yes","No")</f>
        <v/>
      </c>
      <c r="G237" s="192">
        <f>IF((Y237+AB237)&gt;Z237,"Yes",IF((Y237+AB237)=Z237,"Push","No"))</f>
        <v/>
      </c>
      <c r="H237" s="157">
        <f>IF(O237="Home",VLOOKUP(N237,Matrix!A:S,19,0),1)</f>
        <v/>
      </c>
      <c r="I237" s="157">
        <f>IF(O237="Away",VLOOKUP(N237,Matrix!A:Z,20,0),1)</f>
        <v/>
      </c>
      <c r="J237" s="157">
        <f>IF(O237="Away",VLOOKUP(P237,Matrix!A:S,19,0),1)</f>
        <v/>
      </c>
      <c r="K237" s="157">
        <f>IF(O237="Home",VLOOKUP(P237,Matrix!A:Z,20,0),1)</f>
        <v/>
      </c>
      <c r="L237" s="156" t="n">
        <v>0.15342848149223</v>
      </c>
      <c r="M237" s="179">
        <f>Schedule!B237</f>
        <v/>
      </c>
      <c r="N237" s="156">
        <f>Schedule!E237</f>
        <v/>
      </c>
      <c r="O237" s="156" t="inlineStr">
        <is>
          <t>Away</t>
        </is>
      </c>
      <c r="P237" s="157">
        <f>Schedule!H237</f>
        <v/>
      </c>
      <c r="Q237" s="157">
        <f>Schedule!C237</f>
        <v/>
      </c>
      <c r="R237" s="180">
        <f>Schedule!D237</f>
        <v/>
      </c>
      <c r="S237" s="181">
        <f>Schedule!J237</f>
        <v/>
      </c>
      <c r="T237" s="193">
        <f>Y237-Z237</f>
        <v/>
      </c>
      <c r="U237" s="182">
        <f>T237/Picks!$K$2</f>
        <v/>
      </c>
      <c r="V237" s="193">
        <f>INDEX(Standings!$T$3:$T$34, MATCH(N237, Standings!$A$3:$A$34, 0)) - INDEX(Standings!$T$3:$T$34, MATCH(P237, Standings!$A$3:$A$34, 0))</f>
        <v/>
      </c>
      <c r="W237" s="157">
        <f>INDEX(Standings!$L$3:$L$34, MATCH(N237, Standings!$A$3:$A$34, 0)) - INDEX(Standings!$L$3:$L$34, MATCH(P237, Standings!$A$3:$A$34, 0))</f>
        <v/>
      </c>
      <c r="X237" s="157">
        <f>INDEX(Standings!$M$3:$M$34, MATCH(N237, Standings!$A$3:$A$34, 0)) - INDEX(Standings!$M$3:$M$34, MATCH(P237, Standings!$A$3:$A$34, 0))</f>
        <v/>
      </c>
      <c r="Y237" s="194">
        <f t="array" ref="Y237:Y237">IFERROR(AE237+(AL237-_DFactor)*AE237,"")</f>
        <v/>
      </c>
      <c r="Z237" s="157">
        <f>IFERROR(AF237+(AI237-_DFactor)*AF237,"")</f>
        <v/>
      </c>
      <c r="AC237" s="194">
        <f>VLOOKUP(M237&amp;N237,Schedule!A:F,6,0)</f>
        <v/>
      </c>
      <c r="AD237" s="194">
        <f>VLOOKUP(M237&amp;P237,Schedule!A:F,6,0)</f>
        <v/>
      </c>
      <c r="AE237" s="156">
        <f>VLOOKUP(N237,ProjPVT!B:I,8,0)*_Mag/VLOOKUP(P237,Standings!A:O,15,0)*H237*K237</f>
        <v/>
      </c>
      <c r="AF237" s="156">
        <f>VLOOKUP(P237,ProjPVT!B:I,8,0)*_Mag/VLOOKUP(N237,Standings!A:O,15,0)*J237*I237</f>
        <v/>
      </c>
      <c r="AG237" s="195">
        <f>VLOOKUP(N237,Matrix!AA:AC,3,0)</f>
        <v/>
      </c>
      <c r="AH237" s="195">
        <f>SUMIFS(Def!C:C,Def!F:F,AG237)</f>
        <v/>
      </c>
      <c r="AI237" s="156">
        <f>IFERROR(SUMIFS(Def!B:B,Def!F:F,AG237)/AH237,"")</f>
        <v/>
      </c>
      <c r="AJ237" s="195">
        <f>VLOOKUP(P237,Matrix!AA:AC,3,0)</f>
        <v/>
      </c>
      <c r="AK237" s="195">
        <f>SUMIFS(Def!C:C,Def!F:F,AJ237)</f>
        <v/>
      </c>
      <c r="AL237" s="156">
        <f>IFERROR(SUMIFS(Def!B:B,Def!F:F,AJ237)/AK237,"")</f>
        <v/>
      </c>
    </row>
    <row r="238" ht="14.4" customHeight="1" s="152">
      <c r="A238" s="157">
        <f>IF(F238="Yes",IFERROR(IF(AA238&gt;1,AA238/100,100/-AA238),""),-1)</f>
        <v/>
      </c>
      <c r="B238" s="157">
        <f>B237+1</f>
        <v/>
      </c>
      <c r="C238" s="157">
        <f>IF(Y238&gt;Z238,1,0)</f>
        <v/>
      </c>
      <c r="D238" s="157">
        <f>IF(AND(C238=1,F238="Yes"),"Yes",IF(AND(C238=0,F238="No"),"Yes","No"))</f>
        <v/>
      </c>
      <c r="E238" s="192">
        <f>IF((AC238+AB238)=AD238,"Push",IF((AC238+AB238)&gt;AD238,"Yes","No"))</f>
        <v/>
      </c>
      <c r="F238" s="192">
        <f>IF(AC238&gt;AD238,"Yes","No")</f>
        <v/>
      </c>
      <c r="G238" s="192">
        <f>IF((Y238+AB238)&gt;Z238,"Yes",IF((Y238+AB238)=Z238,"Push","No"))</f>
        <v/>
      </c>
      <c r="H238" s="157">
        <f>IF(O238="Home",VLOOKUP(N238,Matrix!A:S,19,0),1)</f>
        <v/>
      </c>
      <c r="I238" s="157">
        <f>IF(O238="Away",VLOOKUP(N238,Matrix!A:Z,20,0),1)</f>
        <v/>
      </c>
      <c r="J238" s="157">
        <f>IF(O238="Away",VLOOKUP(P238,Matrix!A:S,19,0),1)</f>
        <v/>
      </c>
      <c r="K238" s="157">
        <f>IF(O238="Home",VLOOKUP(P238,Matrix!A:Z,20,0),1)</f>
        <v/>
      </c>
      <c r="L238" s="156" t="n">
        <v>0.15798797183354</v>
      </c>
      <c r="M238" s="179">
        <f>Schedule!B238</f>
        <v/>
      </c>
      <c r="N238" s="156">
        <f>Schedule!E238</f>
        <v/>
      </c>
      <c r="O238" s="156" t="inlineStr">
        <is>
          <t>Home</t>
        </is>
      </c>
      <c r="P238" s="157">
        <f>Schedule!H238</f>
        <v/>
      </c>
      <c r="Q238" s="157">
        <f>Schedule!C238</f>
        <v/>
      </c>
      <c r="R238" s="180">
        <f>Schedule!D238</f>
        <v/>
      </c>
      <c r="S238" s="181">
        <f>Schedule!J238</f>
        <v/>
      </c>
      <c r="T238" s="193">
        <f>Y238-Z238</f>
        <v/>
      </c>
      <c r="U238" s="182">
        <f>T238/Picks!$K$2</f>
        <v/>
      </c>
      <c r="V238" s="193">
        <f>INDEX(Standings!$T$3:$T$34, MATCH(N238, Standings!$A$3:$A$34, 0)) - INDEX(Standings!$T$3:$T$34, MATCH(P238, Standings!$A$3:$A$34, 0))</f>
        <v/>
      </c>
      <c r="W238" s="157">
        <f>INDEX(Standings!$L$3:$L$34, MATCH(N238, Standings!$A$3:$A$34, 0)) - INDEX(Standings!$L$3:$L$34, MATCH(P238, Standings!$A$3:$A$34, 0))</f>
        <v/>
      </c>
      <c r="X238" s="157">
        <f>INDEX(Standings!$M$3:$M$34, MATCH(N238, Standings!$A$3:$A$34, 0)) - INDEX(Standings!$M$3:$M$34, MATCH(P238, Standings!$A$3:$A$34, 0))</f>
        <v/>
      </c>
      <c r="Y238" s="194">
        <f t="array" ref="Y238:Y238">IFERROR(AE238+(AL238-_DFactor)*AE238,"")</f>
        <v/>
      </c>
      <c r="Z238" s="157">
        <f>IFERROR(AF238+(AI238-_DFactor)*AF238,"")</f>
        <v/>
      </c>
      <c r="AC238" s="194">
        <f>VLOOKUP(M238&amp;N238,Schedule!A:F,6,0)</f>
        <v/>
      </c>
      <c r="AD238" s="194">
        <f>VLOOKUP(M238&amp;P238,Schedule!A:F,6,0)</f>
        <v/>
      </c>
      <c r="AE238" s="156">
        <f>VLOOKUP(N238,ProjPVT!B:I,8,0)*_Mag/VLOOKUP(P238,Standings!A:O,15,0)*H238*K238</f>
        <v/>
      </c>
      <c r="AF238" s="156">
        <f>VLOOKUP(P238,ProjPVT!B:I,8,0)*_Mag/VLOOKUP(N238,Standings!A:O,15,0)*J238*I238</f>
        <v/>
      </c>
      <c r="AG238" s="195">
        <f>VLOOKUP(N238,Matrix!AA:AC,3,0)</f>
        <v/>
      </c>
      <c r="AH238" s="195">
        <f>SUMIFS(Def!C:C,Def!F:F,AG238)</f>
        <v/>
      </c>
      <c r="AI238" s="156">
        <f>IFERROR(SUMIFS(Def!B:B,Def!F:F,AG238)/AH238,"")</f>
        <v/>
      </c>
      <c r="AJ238" s="195">
        <f>VLOOKUP(P238,Matrix!AA:AC,3,0)</f>
        <v/>
      </c>
      <c r="AK238" s="195">
        <f>SUMIFS(Def!C:C,Def!F:F,AJ238)</f>
        <v/>
      </c>
      <c r="AL238" s="156">
        <f>IFERROR(SUMIFS(Def!B:B,Def!F:F,AJ238)/AK238,"")</f>
        <v/>
      </c>
    </row>
    <row r="239" ht="14.4" customHeight="1" s="152">
      <c r="A239" s="157">
        <f>IF(F239="Yes",IFERROR(IF(AA239&gt;1,AA239/100,100/-AA239),""),-1)</f>
        <v/>
      </c>
      <c r="B239" s="157">
        <f>B238+1</f>
        <v/>
      </c>
      <c r="C239" s="157">
        <f>IF(Y239&gt;Z239,1,0)</f>
        <v/>
      </c>
      <c r="D239" s="157">
        <f>IF(AND(C239=1,F239="Yes"),"Yes",IF(AND(C239=0,F239="No"),"Yes","No"))</f>
        <v/>
      </c>
      <c r="E239" s="192">
        <f>IF((AC239+AB239)=AD239,"Push",IF((AC239+AB239)&gt;AD239,"Yes","No"))</f>
        <v/>
      </c>
      <c r="F239" s="192">
        <f>IF(AC239&gt;AD239,"Yes","No")</f>
        <v/>
      </c>
      <c r="G239" s="192">
        <f>IF((Y239+AB239)&gt;Z239,"Yes",IF((Y239+AB239)=Z239,"Push","No"))</f>
        <v/>
      </c>
      <c r="H239" s="157">
        <f>IF(O239="Home",VLOOKUP(N239,Matrix!A:S,19,0),1)</f>
        <v/>
      </c>
      <c r="I239" s="157">
        <f>IF(O239="Away",VLOOKUP(N239,Matrix!A:Z,20,0),1)</f>
        <v/>
      </c>
      <c r="J239" s="157">
        <f>IF(O239="Away",VLOOKUP(P239,Matrix!A:S,19,0),1)</f>
        <v/>
      </c>
      <c r="K239" s="157">
        <f>IF(O239="Home",VLOOKUP(P239,Matrix!A:Z,20,0),1)</f>
        <v/>
      </c>
      <c r="L239" s="156" t="n">
        <v>0.173010972233702</v>
      </c>
      <c r="M239" s="179">
        <f>Schedule!B239</f>
        <v/>
      </c>
      <c r="N239" s="156">
        <f>Schedule!E239</f>
        <v/>
      </c>
      <c r="O239" s="156" t="inlineStr">
        <is>
          <t>Away</t>
        </is>
      </c>
      <c r="P239" s="157">
        <f>Schedule!H239</f>
        <v/>
      </c>
      <c r="Q239" s="157">
        <f>Schedule!C239</f>
        <v/>
      </c>
      <c r="R239" s="180">
        <f>Schedule!D239</f>
        <v/>
      </c>
      <c r="S239" s="181">
        <f>Schedule!J239</f>
        <v/>
      </c>
      <c r="T239" s="193">
        <f>Y239-Z239</f>
        <v/>
      </c>
      <c r="U239" s="182">
        <f>T239/Picks!$K$2</f>
        <v/>
      </c>
      <c r="V239" s="193">
        <f>INDEX(Standings!$T$3:$T$34, MATCH(N239, Standings!$A$3:$A$34, 0)) - INDEX(Standings!$T$3:$T$34, MATCH(P239, Standings!$A$3:$A$34, 0))</f>
        <v/>
      </c>
      <c r="W239" s="157">
        <f>INDEX(Standings!$L$3:$L$34, MATCH(N239, Standings!$A$3:$A$34, 0)) - INDEX(Standings!$L$3:$L$34, MATCH(P239, Standings!$A$3:$A$34, 0))</f>
        <v/>
      </c>
      <c r="X239" s="157">
        <f>INDEX(Standings!$M$3:$M$34, MATCH(N239, Standings!$A$3:$A$34, 0)) - INDEX(Standings!$M$3:$M$34, MATCH(P239, Standings!$A$3:$A$34, 0))</f>
        <v/>
      </c>
      <c r="Y239" s="194">
        <f t="array" ref="Y239:Y239">IFERROR(AE239+(AL239-_DFactor)*AE239,"")</f>
        <v/>
      </c>
      <c r="Z239" s="157">
        <f>IFERROR(AF239+(AI239-_DFactor)*AF239,"")</f>
        <v/>
      </c>
      <c r="AC239" s="194">
        <f>VLOOKUP(M239&amp;N239,Schedule!A:F,6,0)</f>
        <v/>
      </c>
      <c r="AD239" s="194">
        <f>VLOOKUP(M239&amp;P239,Schedule!A:F,6,0)</f>
        <v/>
      </c>
      <c r="AE239" s="156">
        <f>VLOOKUP(N239,ProjPVT!B:I,8,0)*_Mag/VLOOKUP(P239,Standings!A:O,15,0)*H239*K239</f>
        <v/>
      </c>
      <c r="AF239" s="156">
        <f>VLOOKUP(P239,ProjPVT!B:I,8,0)*_Mag/VLOOKUP(N239,Standings!A:O,15,0)*J239*I239</f>
        <v/>
      </c>
      <c r="AG239" s="195">
        <f>VLOOKUP(N239,Matrix!AA:AC,3,0)</f>
        <v/>
      </c>
      <c r="AH239" s="195">
        <f>SUMIFS(Def!C:C,Def!F:F,AG239)</f>
        <v/>
      </c>
      <c r="AI239" s="156">
        <f>IFERROR(SUMIFS(Def!B:B,Def!F:F,AG239)/AH239,"")</f>
        <v/>
      </c>
      <c r="AJ239" s="195">
        <f>VLOOKUP(P239,Matrix!AA:AC,3,0)</f>
        <v/>
      </c>
      <c r="AK239" s="195">
        <f>SUMIFS(Def!C:C,Def!F:F,AJ239)</f>
        <v/>
      </c>
      <c r="AL239" s="156">
        <f>IFERROR(SUMIFS(Def!B:B,Def!F:F,AJ239)/AK239,"")</f>
        <v/>
      </c>
    </row>
    <row r="240" ht="14.4" customHeight="1" s="152">
      <c r="A240" s="157">
        <f>IF(F240="Yes",IFERROR(IF(AA240&gt;1,AA240/100,100/-AA240),""),-1)</f>
        <v/>
      </c>
      <c r="B240" s="157">
        <f>B239+1</f>
        <v/>
      </c>
      <c r="C240" s="157">
        <f>IF(Y240&gt;Z240,1,0)</f>
        <v/>
      </c>
      <c r="D240" s="157">
        <f>IF(AND(C240=1,F240="Yes"),"Yes",IF(AND(C240=0,F240="No"),"Yes","No"))</f>
        <v/>
      </c>
      <c r="E240" s="192">
        <f>IF((AC240+AB240)=AD240,"Push",IF((AC240+AB240)&gt;AD240,"Yes","No"))</f>
        <v/>
      </c>
      <c r="F240" s="192">
        <f>IF(AC240&gt;AD240,"Yes","No")</f>
        <v/>
      </c>
      <c r="G240" s="192">
        <f>IF((Y240+AB240)&gt;Z240,"Yes",IF((Y240+AB240)=Z240,"Push","No"))</f>
        <v/>
      </c>
      <c r="H240" s="157">
        <f>IF(O240="Home",VLOOKUP(N240,Matrix!A:S,19,0),1)</f>
        <v/>
      </c>
      <c r="I240" s="157">
        <f>IF(O240="Away",VLOOKUP(N240,Matrix!A:Z,20,0),1)</f>
        <v/>
      </c>
      <c r="J240" s="157">
        <f>IF(O240="Away",VLOOKUP(P240,Matrix!A:S,19,0),1)</f>
        <v/>
      </c>
      <c r="K240" s="157">
        <f>IF(O240="Home",VLOOKUP(P240,Matrix!A:Z,20,0),1)</f>
        <v/>
      </c>
      <c r="L240" s="156" t="n">
        <v>0.185931544789573</v>
      </c>
      <c r="M240" s="179">
        <f>Schedule!B240</f>
        <v/>
      </c>
      <c r="N240" s="156">
        <f>Schedule!E240</f>
        <v/>
      </c>
      <c r="O240" s="156" t="inlineStr">
        <is>
          <t>Away</t>
        </is>
      </c>
      <c r="P240" s="157">
        <f>Schedule!H240</f>
        <v/>
      </c>
      <c r="Q240" s="157">
        <f>Schedule!C240</f>
        <v/>
      </c>
      <c r="R240" s="180">
        <f>Schedule!D240</f>
        <v/>
      </c>
      <c r="S240" s="181">
        <f>Schedule!J240</f>
        <v/>
      </c>
      <c r="T240" s="193">
        <f>Y240-Z240</f>
        <v/>
      </c>
      <c r="U240" s="182">
        <f>T240/Picks!$K$2</f>
        <v/>
      </c>
      <c r="V240" s="193">
        <f>INDEX(Standings!$T$3:$T$34, MATCH(N240, Standings!$A$3:$A$34, 0)) - INDEX(Standings!$T$3:$T$34, MATCH(P240, Standings!$A$3:$A$34, 0))</f>
        <v/>
      </c>
      <c r="W240" s="157">
        <f>INDEX(Standings!$L$3:$L$34, MATCH(N240, Standings!$A$3:$A$34, 0)) - INDEX(Standings!$L$3:$L$34, MATCH(P240, Standings!$A$3:$A$34, 0))</f>
        <v/>
      </c>
      <c r="X240" s="157">
        <f>INDEX(Standings!$M$3:$M$34, MATCH(N240, Standings!$A$3:$A$34, 0)) - INDEX(Standings!$M$3:$M$34, MATCH(P240, Standings!$A$3:$A$34, 0))</f>
        <v/>
      </c>
      <c r="Y240" s="194">
        <f t="array" ref="Y240:Y240">IFERROR(AE240+(AL240-_DFactor)*AE240,"")</f>
        <v/>
      </c>
      <c r="Z240" s="157">
        <f>IFERROR(AF240+(AI240-_DFactor)*AF240,"")</f>
        <v/>
      </c>
      <c r="AC240" s="194">
        <f>VLOOKUP(M240&amp;N240,Schedule!A:F,6,0)</f>
        <v/>
      </c>
      <c r="AD240" s="194">
        <f>VLOOKUP(M240&amp;P240,Schedule!A:F,6,0)</f>
        <v/>
      </c>
      <c r="AE240" s="156">
        <f>VLOOKUP(N240,ProjPVT!B:I,8,0)*_Mag/VLOOKUP(P240,Standings!A:O,15,0)*H240*K240</f>
        <v/>
      </c>
      <c r="AF240" s="156">
        <f>VLOOKUP(P240,ProjPVT!B:I,8,0)*_Mag/VLOOKUP(N240,Standings!A:O,15,0)*J240*I240</f>
        <v/>
      </c>
      <c r="AG240" s="195">
        <f>VLOOKUP(N240,Matrix!AA:AC,3,0)</f>
        <v/>
      </c>
      <c r="AH240" s="195">
        <f>SUMIFS(Def!C:C,Def!F:F,AG240)</f>
        <v/>
      </c>
      <c r="AI240" s="156">
        <f>IFERROR(SUMIFS(Def!B:B,Def!F:F,AG240)/AH240,"")</f>
        <v/>
      </c>
      <c r="AJ240" s="195">
        <f>VLOOKUP(P240,Matrix!AA:AC,3,0)</f>
        <v/>
      </c>
      <c r="AK240" s="195">
        <f>SUMIFS(Def!C:C,Def!F:F,AJ240)</f>
        <v/>
      </c>
      <c r="AL240" s="156">
        <f>IFERROR(SUMIFS(Def!B:B,Def!F:F,AJ240)/AK240,"")</f>
        <v/>
      </c>
    </row>
    <row r="241" ht="14.4" customHeight="1" s="152">
      <c r="A241" s="157">
        <f>IF(F241="Yes",IFERROR(IF(AA241&gt;1,AA241/100,100/-AA241),""),-1)</f>
        <v/>
      </c>
      <c r="B241" s="157">
        <f>B240+1</f>
        <v/>
      </c>
      <c r="C241" s="157">
        <f>IF(Y241&gt;Z241,1,0)</f>
        <v/>
      </c>
      <c r="D241" s="157">
        <f>IF(AND(C241=1,F241="Yes"),"Yes",IF(AND(C241=0,F241="No"),"Yes","No"))</f>
        <v/>
      </c>
      <c r="E241" s="192">
        <f>IF((AC241+AB241)=AD241,"Push",IF((AC241+AB241)&gt;AD241,"Yes","No"))</f>
        <v/>
      </c>
      <c r="F241" s="192">
        <f>IF(AC241&gt;AD241,"Yes","No")</f>
        <v/>
      </c>
      <c r="G241" s="192">
        <f>IF((Y241+AB241)&gt;Z241,"Yes",IF((Y241+AB241)=Z241,"Push","No"))</f>
        <v/>
      </c>
      <c r="H241" s="157">
        <f>IF(O241="Home",VLOOKUP(N241,Matrix!A:S,19,0),1)</f>
        <v/>
      </c>
      <c r="I241" s="157">
        <f>IF(O241="Away",VLOOKUP(N241,Matrix!A:Z,20,0),1)</f>
        <v/>
      </c>
      <c r="J241" s="157">
        <f>IF(O241="Away",VLOOKUP(P241,Matrix!A:S,19,0),1)</f>
        <v/>
      </c>
      <c r="K241" s="157">
        <f>IF(O241="Home",VLOOKUP(P241,Matrix!A:Z,20,0),1)</f>
        <v/>
      </c>
      <c r="L241" s="156" t="n">
        <v>0.201337294598321</v>
      </c>
      <c r="M241" s="179">
        <f>Schedule!B241</f>
        <v/>
      </c>
      <c r="N241" s="156">
        <f>Schedule!E241</f>
        <v/>
      </c>
      <c r="O241" s="156" t="inlineStr">
        <is>
          <t>Away</t>
        </is>
      </c>
      <c r="P241" s="157">
        <f>Schedule!H241</f>
        <v/>
      </c>
      <c r="Q241" s="157">
        <f>Schedule!C241</f>
        <v/>
      </c>
      <c r="R241" s="180">
        <f>Schedule!D241</f>
        <v/>
      </c>
      <c r="S241" s="181">
        <f>Schedule!J241</f>
        <v/>
      </c>
      <c r="T241" s="193">
        <f>Y241-Z241</f>
        <v/>
      </c>
      <c r="U241" s="182">
        <f>T241/Picks!$K$2</f>
        <v/>
      </c>
      <c r="V241" s="193">
        <f>INDEX(Standings!$T$3:$T$34, MATCH(N241, Standings!$A$3:$A$34, 0)) - INDEX(Standings!$T$3:$T$34, MATCH(P241, Standings!$A$3:$A$34, 0))</f>
        <v/>
      </c>
      <c r="W241" s="157">
        <f>INDEX(Standings!$L$3:$L$34, MATCH(N241, Standings!$A$3:$A$34, 0)) - INDEX(Standings!$L$3:$L$34, MATCH(P241, Standings!$A$3:$A$34, 0))</f>
        <v/>
      </c>
      <c r="X241" s="157">
        <f>INDEX(Standings!$M$3:$M$34, MATCH(N241, Standings!$A$3:$A$34, 0)) - INDEX(Standings!$M$3:$M$34, MATCH(P241, Standings!$A$3:$A$34, 0))</f>
        <v/>
      </c>
      <c r="Y241" s="194">
        <f t="array" ref="Y241:Y241">IFERROR(AE241+(AL241-_DFactor)*AE241,"")</f>
        <v/>
      </c>
      <c r="Z241" s="157">
        <f>IFERROR(AF241+(AI241-_DFactor)*AF241,"")</f>
        <v/>
      </c>
      <c r="AC241" s="194">
        <f>VLOOKUP(M241&amp;N241,Schedule!A:F,6,0)</f>
        <v/>
      </c>
      <c r="AD241" s="194">
        <f>VLOOKUP(M241&amp;P241,Schedule!A:F,6,0)</f>
        <v/>
      </c>
      <c r="AE241" s="156">
        <f>VLOOKUP(N241,ProjPVT!B:I,8,0)*_Mag/VLOOKUP(P241,Standings!A:O,15,0)*H241*K241</f>
        <v/>
      </c>
      <c r="AF241" s="156">
        <f>VLOOKUP(P241,ProjPVT!B:I,8,0)*_Mag/VLOOKUP(N241,Standings!A:O,15,0)*J241*I241</f>
        <v/>
      </c>
      <c r="AG241" s="195">
        <f>VLOOKUP(N241,Matrix!AA:AC,3,0)</f>
        <v/>
      </c>
      <c r="AH241" s="195">
        <f>SUMIFS(Def!C:C,Def!F:F,AG241)</f>
        <v/>
      </c>
      <c r="AI241" s="156">
        <f>IFERROR(SUMIFS(Def!B:B,Def!F:F,AG241)/AH241,"")</f>
        <v/>
      </c>
      <c r="AJ241" s="195">
        <f>VLOOKUP(P241,Matrix!AA:AC,3,0)</f>
        <v/>
      </c>
      <c r="AK241" s="195">
        <f>SUMIFS(Def!C:C,Def!F:F,AJ241)</f>
        <v/>
      </c>
      <c r="AL241" s="156">
        <f>IFERROR(SUMIFS(Def!B:B,Def!F:F,AJ241)/AK241,"")</f>
        <v/>
      </c>
    </row>
    <row r="242" ht="14.4" customHeight="1" s="152">
      <c r="A242" s="157">
        <f>IF(F242="Yes",IFERROR(IF(AA242&gt;1,AA242/100,100/-AA242),""),-1)</f>
        <v/>
      </c>
      <c r="B242" s="157">
        <f>B241+1</f>
        <v/>
      </c>
      <c r="C242" s="157">
        <f>IF(Y242&gt;Z242,1,0)</f>
        <v/>
      </c>
      <c r="D242" s="157">
        <f>IF(AND(C242=1,F242="Yes"),"Yes",IF(AND(C242=0,F242="No"),"Yes","No"))</f>
        <v/>
      </c>
      <c r="E242" s="192">
        <f>IF((AC242+AB242)=AD242,"Push",IF((AC242+AB242)&gt;AD242,"Yes","No"))</f>
        <v/>
      </c>
      <c r="F242" s="192">
        <f>IF(AC242&gt;AD242,"Yes","No")</f>
        <v/>
      </c>
      <c r="G242" s="192">
        <f>IF((Y242+AB242)&gt;Z242,"Yes",IF((Y242+AB242)=Z242,"Push","No"))</f>
        <v/>
      </c>
      <c r="H242" s="157">
        <f>IF(O242="Home",VLOOKUP(N242,Matrix!A:S,19,0),1)</f>
        <v/>
      </c>
      <c r="I242" s="157">
        <f>IF(O242="Away",VLOOKUP(N242,Matrix!A:Z,20,0),1)</f>
        <v/>
      </c>
      <c r="J242" s="157">
        <f>IF(O242="Away",VLOOKUP(P242,Matrix!A:S,19,0),1)</f>
        <v/>
      </c>
      <c r="K242" s="157">
        <f>IF(O242="Home",VLOOKUP(P242,Matrix!A:Z,20,0),1)</f>
        <v/>
      </c>
      <c r="L242" s="156" t="n">
        <v>0.211221392323806</v>
      </c>
      <c r="M242" s="179">
        <f>Schedule!B242</f>
        <v/>
      </c>
      <c r="N242" s="156">
        <f>Schedule!E242</f>
        <v/>
      </c>
      <c r="O242" s="156" t="inlineStr">
        <is>
          <t>Away</t>
        </is>
      </c>
      <c r="P242" s="157">
        <f>Schedule!H242</f>
        <v/>
      </c>
      <c r="Q242" s="157">
        <f>Schedule!C242</f>
        <v/>
      </c>
      <c r="R242" s="180">
        <f>Schedule!D242</f>
        <v/>
      </c>
      <c r="S242" s="181">
        <f>Schedule!J242</f>
        <v/>
      </c>
      <c r="T242" s="193">
        <f>Y242-Z242</f>
        <v/>
      </c>
      <c r="U242" s="182">
        <f>T242/Picks!$K$2</f>
        <v/>
      </c>
      <c r="V242" s="193">
        <f>INDEX(Standings!$T$3:$T$34, MATCH(N242, Standings!$A$3:$A$34, 0)) - INDEX(Standings!$T$3:$T$34, MATCH(P242, Standings!$A$3:$A$34, 0))</f>
        <v/>
      </c>
      <c r="W242" s="157">
        <f>INDEX(Standings!$L$3:$L$34, MATCH(N242, Standings!$A$3:$A$34, 0)) - INDEX(Standings!$L$3:$L$34, MATCH(P242, Standings!$A$3:$A$34, 0))</f>
        <v/>
      </c>
      <c r="X242" s="157">
        <f>INDEX(Standings!$M$3:$M$34, MATCH(N242, Standings!$A$3:$A$34, 0)) - INDEX(Standings!$M$3:$M$34, MATCH(P242, Standings!$A$3:$A$34, 0))</f>
        <v/>
      </c>
      <c r="Y242" s="194">
        <f t="array" ref="Y242:Y242">IFERROR(AE242+(AL242-_DFactor)*AE242,"")</f>
        <v/>
      </c>
      <c r="Z242" s="157">
        <f>IFERROR(AF242+(AI242-_DFactor)*AF242,"")</f>
        <v/>
      </c>
      <c r="AC242" s="194">
        <f>VLOOKUP(M242&amp;N242,Schedule!A:F,6,0)</f>
        <v/>
      </c>
      <c r="AD242" s="194">
        <f>VLOOKUP(M242&amp;P242,Schedule!A:F,6,0)</f>
        <v/>
      </c>
      <c r="AE242" s="156">
        <f>VLOOKUP(N242,ProjPVT!B:I,8,0)*_Mag/VLOOKUP(P242,Standings!A:O,15,0)*H242*K242</f>
        <v/>
      </c>
      <c r="AF242" s="156">
        <f>VLOOKUP(P242,ProjPVT!B:I,8,0)*_Mag/VLOOKUP(N242,Standings!A:O,15,0)*J242*I242</f>
        <v/>
      </c>
      <c r="AG242" s="195">
        <f>VLOOKUP(N242,Matrix!AA:AC,3,0)</f>
        <v/>
      </c>
      <c r="AH242" s="195">
        <f>SUMIFS(Def!C:C,Def!F:F,AG242)</f>
        <v/>
      </c>
      <c r="AI242" s="156">
        <f>IFERROR(SUMIFS(Def!B:B,Def!F:F,AG242)/AH242,"")</f>
        <v/>
      </c>
      <c r="AJ242" s="195">
        <f>VLOOKUP(P242,Matrix!AA:AC,3,0)</f>
        <v/>
      </c>
      <c r="AK242" s="195">
        <f>SUMIFS(Def!C:C,Def!F:F,AJ242)</f>
        <v/>
      </c>
      <c r="AL242" s="156">
        <f>IFERROR(SUMIFS(Def!B:B,Def!F:F,AJ242)/AK242,"")</f>
        <v/>
      </c>
    </row>
    <row r="243" ht="14.4" customHeight="1" s="152">
      <c r="A243" s="157">
        <f>IF(F243="Yes",IFERROR(IF(AA243&gt;1,AA243/100,100/-AA243),""),-1)</f>
        <v/>
      </c>
      <c r="B243" s="157">
        <f>B242+1</f>
        <v/>
      </c>
      <c r="C243" s="157">
        <f>IF(Y243&gt;Z243,1,0)</f>
        <v/>
      </c>
      <c r="D243" s="157">
        <f>IF(AND(C243=1,F243="Yes"),"Yes",IF(AND(C243=0,F243="No"),"Yes","No"))</f>
        <v/>
      </c>
      <c r="E243" s="192">
        <f>IF((AC243+AB243)=AD243,"Push",IF((AC243+AB243)&gt;AD243,"Yes","No"))</f>
        <v/>
      </c>
      <c r="F243" s="192">
        <f>IF(AC243&gt;AD243,"Yes","No")</f>
        <v/>
      </c>
      <c r="G243" s="192">
        <f>IF((Y243+AB243)&gt;Z243,"Yes",IF((Y243+AB243)=Z243,"Push","No"))</f>
        <v/>
      </c>
      <c r="H243" s="157">
        <f>IF(O243="Home",VLOOKUP(N243,Matrix!A:S,19,0),1)</f>
        <v/>
      </c>
      <c r="I243" s="157">
        <f>IF(O243="Away",VLOOKUP(N243,Matrix!A:Z,20,0),1)</f>
        <v/>
      </c>
      <c r="J243" s="157">
        <f>IF(O243="Away",VLOOKUP(P243,Matrix!A:S,19,0),1)</f>
        <v/>
      </c>
      <c r="K243" s="157">
        <f>IF(O243="Home",VLOOKUP(P243,Matrix!A:Z,20,0),1)</f>
        <v/>
      </c>
      <c r="L243" s="156" t="n">
        <v>0.246156929449491</v>
      </c>
      <c r="M243" s="179">
        <f>Schedule!B243</f>
        <v/>
      </c>
      <c r="N243" s="156">
        <f>Schedule!E243</f>
        <v/>
      </c>
      <c r="O243" s="156" t="inlineStr">
        <is>
          <t>Home</t>
        </is>
      </c>
      <c r="P243" s="157">
        <f>Schedule!H243</f>
        <v/>
      </c>
      <c r="Q243" s="157">
        <f>Schedule!C243</f>
        <v/>
      </c>
      <c r="R243" s="180">
        <f>Schedule!D243</f>
        <v/>
      </c>
      <c r="S243" s="181">
        <f>Schedule!J243</f>
        <v/>
      </c>
      <c r="T243" s="193">
        <f>Y243-Z243</f>
        <v/>
      </c>
      <c r="U243" s="182">
        <f>T243/Picks!$K$2</f>
        <v/>
      </c>
      <c r="V243" s="193">
        <f>INDEX(Standings!$T$3:$T$34, MATCH(N243, Standings!$A$3:$A$34, 0)) - INDEX(Standings!$T$3:$T$34, MATCH(P243, Standings!$A$3:$A$34, 0))</f>
        <v/>
      </c>
      <c r="W243" s="157">
        <f>INDEX(Standings!$L$3:$L$34, MATCH(N243, Standings!$A$3:$A$34, 0)) - INDEX(Standings!$L$3:$L$34, MATCH(P243, Standings!$A$3:$A$34, 0))</f>
        <v/>
      </c>
      <c r="X243" s="157">
        <f>INDEX(Standings!$M$3:$M$34, MATCH(N243, Standings!$A$3:$A$34, 0)) - INDEX(Standings!$M$3:$M$34, MATCH(P243, Standings!$A$3:$A$34, 0))</f>
        <v/>
      </c>
      <c r="Y243" s="194">
        <f t="array" ref="Y243:Y243">IFERROR(AE243+(AL243-_DFactor)*AE243,"")</f>
        <v/>
      </c>
      <c r="Z243" s="157">
        <f>IFERROR(AF243+(AI243-_DFactor)*AF243,"")</f>
        <v/>
      </c>
      <c r="AC243" s="194">
        <f>VLOOKUP(M243&amp;N243,Schedule!A:F,6,0)</f>
        <v/>
      </c>
      <c r="AD243" s="194">
        <f>VLOOKUP(M243&amp;P243,Schedule!A:F,6,0)</f>
        <v/>
      </c>
      <c r="AE243" s="156">
        <f>VLOOKUP(N243,ProjPVT!B:I,8,0)*_Mag/VLOOKUP(P243,Standings!A:O,15,0)*H243*K243</f>
        <v/>
      </c>
      <c r="AF243" s="156">
        <f>VLOOKUP(P243,ProjPVT!B:I,8,0)*_Mag/VLOOKUP(N243,Standings!A:O,15,0)*J243*I243</f>
        <v/>
      </c>
      <c r="AG243" s="195">
        <f>VLOOKUP(N243,Matrix!AA:AC,3,0)</f>
        <v/>
      </c>
      <c r="AH243" s="195">
        <f>SUMIFS(Def!C:C,Def!F:F,AG243)</f>
        <v/>
      </c>
      <c r="AI243" s="156">
        <f>IFERROR(SUMIFS(Def!B:B,Def!F:F,AG243)/AH243,"")</f>
        <v/>
      </c>
      <c r="AJ243" s="195">
        <f>VLOOKUP(P243,Matrix!AA:AC,3,0)</f>
        <v/>
      </c>
      <c r="AK243" s="195">
        <f>SUMIFS(Def!C:C,Def!F:F,AJ243)</f>
        <v/>
      </c>
      <c r="AL243" s="156">
        <f>IFERROR(SUMIFS(Def!B:B,Def!F:F,AJ243)/AK243,"")</f>
        <v/>
      </c>
    </row>
    <row r="244" ht="14.4" customHeight="1" s="152">
      <c r="A244" s="157">
        <f>IF(F244="Yes",IFERROR(IF(AA244&gt;1,AA244/100,100/-AA244),""),-1)</f>
        <v/>
      </c>
      <c r="B244" s="157">
        <f>B243+1</f>
        <v/>
      </c>
      <c r="C244" s="157">
        <f>IF(Y244&gt;Z244,1,0)</f>
        <v/>
      </c>
      <c r="D244" s="157">
        <f>IF(AND(C244=1,F244="Yes"),"Yes",IF(AND(C244=0,F244="No"),"Yes","No"))</f>
        <v/>
      </c>
      <c r="E244" s="192">
        <f>IF((AC244+AB244)=AD244,"Push",IF((AC244+AB244)&gt;AD244,"Yes","No"))</f>
        <v/>
      </c>
      <c r="F244" s="192">
        <f>IF(AC244&gt;AD244,"Yes","No")</f>
        <v/>
      </c>
      <c r="G244" s="192">
        <f>IF((Y244+AB244)&gt;Z244,"Yes",IF((Y244+AB244)=Z244,"Push","No"))</f>
        <v/>
      </c>
      <c r="H244" s="157">
        <f>IF(O244="Home",VLOOKUP(N244,Matrix!A:S,19,0),1)</f>
        <v/>
      </c>
      <c r="I244" s="157">
        <f>IF(O244="Away",VLOOKUP(N244,Matrix!A:Z,20,0),1)</f>
        <v/>
      </c>
      <c r="J244" s="157">
        <f>IF(O244="Away",VLOOKUP(P244,Matrix!A:S,19,0),1)</f>
        <v/>
      </c>
      <c r="K244" s="157">
        <f>IF(O244="Home",VLOOKUP(P244,Matrix!A:Z,20,0),1)</f>
        <v/>
      </c>
      <c r="L244" s="156" t="n">
        <v>0.350086081823137</v>
      </c>
      <c r="M244" s="179">
        <f>Schedule!B244</f>
        <v/>
      </c>
      <c r="N244" s="156">
        <f>Schedule!E244</f>
        <v/>
      </c>
      <c r="O244" s="156" t="inlineStr">
        <is>
          <t>Home</t>
        </is>
      </c>
      <c r="P244" s="157">
        <f>Schedule!H244</f>
        <v/>
      </c>
      <c r="Q244" s="157">
        <f>Schedule!C244</f>
        <v/>
      </c>
      <c r="R244" s="180">
        <f>Schedule!D244</f>
        <v/>
      </c>
      <c r="S244" s="181">
        <f>Schedule!J244</f>
        <v/>
      </c>
      <c r="T244" s="193">
        <f>Y244-Z244</f>
        <v/>
      </c>
      <c r="U244" s="182">
        <f>T244/Picks!$K$2</f>
        <v/>
      </c>
      <c r="V244" s="193">
        <f>INDEX(Standings!$T$3:$T$34, MATCH(N244, Standings!$A$3:$A$34, 0)) - INDEX(Standings!$T$3:$T$34, MATCH(P244, Standings!$A$3:$A$34, 0))</f>
        <v/>
      </c>
      <c r="W244" s="157">
        <f>INDEX(Standings!$L$3:$L$34, MATCH(N244, Standings!$A$3:$A$34, 0)) - INDEX(Standings!$L$3:$L$34, MATCH(P244, Standings!$A$3:$A$34, 0))</f>
        <v/>
      </c>
      <c r="X244" s="157">
        <f>INDEX(Standings!$M$3:$M$34, MATCH(N244, Standings!$A$3:$A$34, 0)) - INDEX(Standings!$M$3:$M$34, MATCH(P244, Standings!$A$3:$A$34, 0))</f>
        <v/>
      </c>
      <c r="Y244" s="194">
        <f t="array" ref="Y244:Y244">IFERROR(AE244+(AL244-_DFactor)*AE244,"")</f>
        <v/>
      </c>
      <c r="Z244" s="157">
        <f>IFERROR(AF244+(AI244-_DFactor)*AF244,"")</f>
        <v/>
      </c>
      <c r="AC244" s="194">
        <f>VLOOKUP(M244&amp;N244,Schedule!A:F,6,0)</f>
        <v/>
      </c>
      <c r="AD244" s="194">
        <f>VLOOKUP(M244&amp;P244,Schedule!A:F,6,0)</f>
        <v/>
      </c>
      <c r="AE244" s="156">
        <f>VLOOKUP(N244,ProjPVT!B:I,8,0)*_Mag/VLOOKUP(P244,Standings!A:O,15,0)*H244*K244</f>
        <v/>
      </c>
      <c r="AF244" s="156">
        <f>VLOOKUP(P244,ProjPVT!B:I,8,0)*_Mag/VLOOKUP(N244,Standings!A:O,15,0)*J244*I244</f>
        <v/>
      </c>
      <c r="AG244" s="195">
        <f>VLOOKUP(N244,Matrix!AA:AC,3,0)</f>
        <v/>
      </c>
      <c r="AH244" s="195">
        <f>SUMIFS(Def!C:C,Def!F:F,AG244)</f>
        <v/>
      </c>
      <c r="AI244" s="156">
        <f>IFERROR(SUMIFS(Def!B:B,Def!F:F,AG244)/AH244,"")</f>
        <v/>
      </c>
      <c r="AJ244" s="195">
        <f>VLOOKUP(P244,Matrix!AA:AC,3,0)</f>
        <v/>
      </c>
      <c r="AK244" s="195">
        <f>SUMIFS(Def!C:C,Def!F:F,AJ244)</f>
        <v/>
      </c>
      <c r="AL244" s="156">
        <f>IFERROR(SUMIFS(Def!B:B,Def!F:F,AJ244)/AK244,"")</f>
        <v/>
      </c>
    </row>
    <row r="245" ht="14.4" customHeight="1" s="152">
      <c r="A245" s="157">
        <f>IF(F245="Yes",IFERROR(IF(AA245&gt;1,AA245/100,100/-AA245),""),-1)</f>
        <v/>
      </c>
      <c r="B245" s="157">
        <f>B244+1</f>
        <v/>
      </c>
      <c r="C245" s="157">
        <f>IF(Y245&gt;Z245,1,0)</f>
        <v/>
      </c>
      <c r="D245" s="157">
        <f>IF(AND(C245=1,F245="Yes"),"Yes",IF(AND(C245=0,F245="No"),"Yes","No"))</f>
        <v/>
      </c>
      <c r="E245" s="192">
        <f>IF((AC245+AB245)=AD245,"Push",IF((AC245+AB245)&gt;AD245,"Yes","No"))</f>
        <v/>
      </c>
      <c r="F245" s="192">
        <f>IF(AC245&gt;AD245,"Yes","No")</f>
        <v/>
      </c>
      <c r="G245" s="192">
        <f>IF((Y245+AB245)&gt;Z245,"Yes",IF((Y245+AB245)=Z245,"Push","No"))</f>
        <v/>
      </c>
      <c r="H245" s="157">
        <f>IF(O245="Home",VLOOKUP(N245,Matrix!A:S,19,0),1)</f>
        <v/>
      </c>
      <c r="I245" s="157">
        <f>IF(O245="Away",VLOOKUP(N245,Matrix!A:Z,20,0),1)</f>
        <v/>
      </c>
      <c r="J245" s="157">
        <f>IF(O245="Away",VLOOKUP(P245,Matrix!A:S,19,0),1)</f>
        <v/>
      </c>
      <c r="K245" s="157">
        <f>IF(O245="Home",VLOOKUP(P245,Matrix!A:Z,20,0),1)</f>
        <v/>
      </c>
      <c r="L245" s="156" t="n">
        <v>0.497733753837314</v>
      </c>
      <c r="M245" s="179">
        <f>Schedule!B245</f>
        <v/>
      </c>
      <c r="N245" s="156">
        <f>Schedule!E245</f>
        <v/>
      </c>
      <c r="O245" s="156" t="inlineStr">
        <is>
          <t>Home</t>
        </is>
      </c>
      <c r="P245" s="157">
        <f>Schedule!H245</f>
        <v/>
      </c>
      <c r="Q245" s="157">
        <f>Schedule!C245</f>
        <v/>
      </c>
      <c r="R245" s="180">
        <f>Schedule!D245</f>
        <v/>
      </c>
      <c r="S245" s="181">
        <f>Schedule!J245</f>
        <v/>
      </c>
      <c r="T245" s="193">
        <f>Y245-Z245</f>
        <v/>
      </c>
      <c r="U245" s="182">
        <f>T245/Picks!$K$2</f>
        <v/>
      </c>
      <c r="V245" s="193">
        <f>INDEX(Standings!$T$3:$T$34, MATCH(N245, Standings!$A$3:$A$34, 0)) - INDEX(Standings!$T$3:$T$34, MATCH(P245, Standings!$A$3:$A$34, 0))</f>
        <v/>
      </c>
      <c r="W245" s="157">
        <f>INDEX(Standings!$L$3:$L$34, MATCH(N245, Standings!$A$3:$A$34, 0)) - INDEX(Standings!$L$3:$L$34, MATCH(P245, Standings!$A$3:$A$34, 0))</f>
        <v/>
      </c>
      <c r="X245" s="157">
        <f>INDEX(Standings!$M$3:$M$34, MATCH(N245, Standings!$A$3:$A$34, 0)) - INDEX(Standings!$M$3:$M$34, MATCH(P245, Standings!$A$3:$A$34, 0))</f>
        <v/>
      </c>
      <c r="Y245" s="194">
        <f t="array" ref="Y245:Y245">IFERROR(AE245+(AL245-_DFactor)*AE245,"")</f>
        <v/>
      </c>
      <c r="Z245" s="157">
        <f>IFERROR(AF245+(AI245-_DFactor)*AF245,"")</f>
        <v/>
      </c>
      <c r="AC245" s="194">
        <f>VLOOKUP(M245&amp;N245,Schedule!A:F,6,0)</f>
        <v/>
      </c>
      <c r="AD245" s="194">
        <f>VLOOKUP(M245&amp;P245,Schedule!A:F,6,0)</f>
        <v/>
      </c>
      <c r="AE245" s="156">
        <f>VLOOKUP(N245,ProjPVT!B:I,8,0)*_Mag/VLOOKUP(P245,Standings!A:O,15,0)*H245*K245</f>
        <v/>
      </c>
      <c r="AF245" s="156">
        <f>VLOOKUP(P245,ProjPVT!B:I,8,0)*_Mag/VLOOKUP(N245,Standings!A:O,15,0)*J245*I245</f>
        <v/>
      </c>
      <c r="AG245" s="195">
        <f>VLOOKUP(N245,Matrix!AA:AC,3,0)</f>
        <v/>
      </c>
      <c r="AH245" s="195">
        <f>SUMIFS(Def!C:C,Def!F:F,AG245)</f>
        <v/>
      </c>
      <c r="AI245" s="156">
        <f>IFERROR(SUMIFS(Def!B:B,Def!F:F,AG245)/AH245,"")</f>
        <v/>
      </c>
      <c r="AJ245" s="195">
        <f>VLOOKUP(P245,Matrix!AA:AC,3,0)</f>
        <v/>
      </c>
      <c r="AK245" s="195">
        <f>SUMIFS(Def!C:C,Def!F:F,AJ245)</f>
        <v/>
      </c>
      <c r="AL245" s="156">
        <f>IFERROR(SUMIFS(Def!B:B,Def!F:F,AJ245)/AK245,"")</f>
        <v/>
      </c>
    </row>
    <row r="246" ht="14.4" customHeight="1" s="152">
      <c r="A246" s="157">
        <f>IF(F246="Yes",IFERROR(IF(AA246&gt;1,AA246/100,100/-AA246),""),-1)</f>
        <v/>
      </c>
      <c r="B246" s="157">
        <f>B245+1</f>
        <v/>
      </c>
      <c r="C246" s="157">
        <f>IF(Y246&gt;Z246,1,0)</f>
        <v/>
      </c>
      <c r="D246" s="157">
        <f>IF(AND(C246=1,F246="Yes"),"Yes",IF(AND(C246=0,F246="No"),"Yes","No"))</f>
        <v/>
      </c>
      <c r="E246" s="192">
        <f>IF((AC246+AB246)=AD246,"Push",IF((AC246+AB246)&gt;AD246,"Yes","No"))</f>
        <v/>
      </c>
      <c r="F246" s="192">
        <f>IF(AC246&gt;AD246,"Yes","No")</f>
        <v/>
      </c>
      <c r="G246" s="192">
        <f>IF((Y246+AB246)&gt;Z246,"Yes",IF((Y246+AB246)=Z246,"Push","No"))</f>
        <v/>
      </c>
      <c r="H246" s="157">
        <f>IF(O246="Home",VLOOKUP(N246,Matrix!A:S,19,0),1)</f>
        <v/>
      </c>
      <c r="I246" s="157">
        <f>IF(O246="Away",VLOOKUP(N246,Matrix!A:Z,20,0),1)</f>
        <v/>
      </c>
      <c r="J246" s="157">
        <f>IF(O246="Away",VLOOKUP(P246,Matrix!A:S,19,0),1)</f>
        <v/>
      </c>
      <c r="K246" s="157">
        <f>IF(O246="Home",VLOOKUP(P246,Matrix!A:Z,20,0),1)</f>
        <v/>
      </c>
      <c r="L246" s="156" t="n">
        <v>0.56841220374259</v>
      </c>
      <c r="M246" s="179">
        <f>Schedule!B246</f>
        <v/>
      </c>
      <c r="N246" s="156">
        <f>Schedule!E246</f>
        <v/>
      </c>
      <c r="O246" s="156" t="inlineStr">
        <is>
          <t>Home</t>
        </is>
      </c>
      <c r="P246" s="157">
        <f>Schedule!H246</f>
        <v/>
      </c>
      <c r="Q246" s="157">
        <f>Schedule!C246</f>
        <v/>
      </c>
      <c r="R246" s="180">
        <f>Schedule!D246</f>
        <v/>
      </c>
      <c r="S246" s="181">
        <f>Schedule!J246</f>
        <v/>
      </c>
      <c r="T246" s="193">
        <f>Y246-Z246</f>
        <v/>
      </c>
      <c r="U246" s="182">
        <f>T246/Picks!$K$2</f>
        <v/>
      </c>
      <c r="V246" s="193">
        <f>INDEX(Standings!$T$3:$T$34, MATCH(N246, Standings!$A$3:$A$34, 0)) - INDEX(Standings!$T$3:$T$34, MATCH(P246, Standings!$A$3:$A$34, 0))</f>
        <v/>
      </c>
      <c r="W246" s="157">
        <f>INDEX(Standings!$L$3:$L$34, MATCH(N246, Standings!$A$3:$A$34, 0)) - INDEX(Standings!$L$3:$L$34, MATCH(P246, Standings!$A$3:$A$34, 0))</f>
        <v/>
      </c>
      <c r="X246" s="157">
        <f>INDEX(Standings!$M$3:$M$34, MATCH(N246, Standings!$A$3:$A$34, 0)) - INDEX(Standings!$M$3:$M$34, MATCH(P246, Standings!$A$3:$A$34, 0))</f>
        <v/>
      </c>
      <c r="Y246" s="194">
        <f t="array" ref="Y246:Y246">IFERROR(AE246+(AL246-_DFactor)*AE246,"")</f>
        <v/>
      </c>
      <c r="Z246" s="157">
        <f>IFERROR(AF246+(AI246-_DFactor)*AF246,"")</f>
        <v/>
      </c>
      <c r="AC246" s="194">
        <f>VLOOKUP(M246&amp;N246,Schedule!A:F,6,0)</f>
        <v/>
      </c>
      <c r="AD246" s="194">
        <f>VLOOKUP(M246&amp;P246,Schedule!A:F,6,0)</f>
        <v/>
      </c>
      <c r="AE246" s="156">
        <f>VLOOKUP(N246,ProjPVT!B:I,8,0)*_Mag/VLOOKUP(P246,Standings!A:O,15,0)*H246*K246</f>
        <v/>
      </c>
      <c r="AF246" s="156">
        <f>VLOOKUP(P246,ProjPVT!B:I,8,0)*_Mag/VLOOKUP(N246,Standings!A:O,15,0)*J246*I246</f>
        <v/>
      </c>
      <c r="AG246" s="195">
        <f>VLOOKUP(N246,Matrix!AA:AC,3,0)</f>
        <v/>
      </c>
      <c r="AH246" s="195">
        <f>SUMIFS(Def!C:C,Def!F:F,AG246)</f>
        <v/>
      </c>
      <c r="AI246" s="156">
        <f>IFERROR(SUMIFS(Def!B:B,Def!F:F,AG246)/AH246,"")</f>
        <v/>
      </c>
      <c r="AJ246" s="195">
        <f>VLOOKUP(P246,Matrix!AA:AC,3,0)</f>
        <v/>
      </c>
      <c r="AK246" s="195">
        <f>SUMIFS(Def!C:C,Def!F:F,AJ246)</f>
        <v/>
      </c>
      <c r="AL246" s="156">
        <f>IFERROR(SUMIFS(Def!B:B,Def!F:F,AJ246)/AK246,"")</f>
        <v/>
      </c>
    </row>
    <row r="247" ht="14.4" customHeight="1" s="152">
      <c r="A247" s="157">
        <f>IF(F247="Yes",IFERROR(IF(AA247&gt;1,AA247/100,100/-AA247),""),-1)</f>
        <v/>
      </c>
      <c r="B247" s="157">
        <f>B246+1</f>
        <v/>
      </c>
      <c r="C247" s="157">
        <f>IF(Y247&gt;Z247,1,0)</f>
        <v/>
      </c>
      <c r="D247" s="157">
        <f>IF(AND(C247=1,F247="Yes"),"Yes",IF(AND(C247=0,F247="No"),"Yes","No"))</f>
        <v/>
      </c>
      <c r="E247" s="192">
        <f>IF((AC247+AB247)=AD247,"Push",IF((AC247+AB247)&gt;AD247,"Yes","No"))</f>
        <v/>
      </c>
      <c r="F247" s="192">
        <f>IF(AC247&gt;AD247,"Yes","No")</f>
        <v/>
      </c>
      <c r="G247" s="192">
        <f>IF((Y247+AB247)&gt;Z247,"Yes",IF((Y247+AB247)=Z247,"Push","No"))</f>
        <v/>
      </c>
      <c r="H247" s="157">
        <f>IF(O247="Home",VLOOKUP(N247,Matrix!A:S,19,0),1)</f>
        <v/>
      </c>
      <c r="I247" s="157">
        <f>IF(O247="Away",VLOOKUP(N247,Matrix!A:Z,20,0),1)</f>
        <v/>
      </c>
      <c r="J247" s="157">
        <f>IF(O247="Away",VLOOKUP(P247,Matrix!A:S,19,0),1)</f>
        <v/>
      </c>
      <c r="K247" s="157">
        <f>IF(O247="Home",VLOOKUP(P247,Matrix!A:Z,20,0),1)</f>
        <v/>
      </c>
      <c r="L247" s="156" t="n">
        <v>0.571042968816849</v>
      </c>
      <c r="M247" s="179">
        <f>Schedule!B247</f>
        <v/>
      </c>
      <c r="N247" s="156">
        <f>Schedule!E247</f>
        <v/>
      </c>
      <c r="O247" s="156" t="inlineStr">
        <is>
          <t>Home</t>
        </is>
      </c>
      <c r="P247" s="157">
        <f>Schedule!H247</f>
        <v/>
      </c>
      <c r="Q247" s="157">
        <f>Schedule!C247</f>
        <v/>
      </c>
      <c r="R247" s="180">
        <f>Schedule!D247</f>
        <v/>
      </c>
      <c r="S247" s="181">
        <f>Schedule!J247</f>
        <v/>
      </c>
      <c r="T247" s="193">
        <f>Y247-Z247</f>
        <v/>
      </c>
      <c r="U247" s="182">
        <f>T247/Picks!$K$2</f>
        <v/>
      </c>
      <c r="V247" s="193">
        <f>INDEX(Standings!$T$3:$T$34, MATCH(N247, Standings!$A$3:$A$34, 0)) - INDEX(Standings!$T$3:$T$34, MATCH(P247, Standings!$A$3:$A$34, 0))</f>
        <v/>
      </c>
      <c r="W247" s="157">
        <f>INDEX(Standings!$L$3:$L$34, MATCH(N247, Standings!$A$3:$A$34, 0)) - INDEX(Standings!$L$3:$L$34, MATCH(P247, Standings!$A$3:$A$34, 0))</f>
        <v/>
      </c>
      <c r="X247" s="157">
        <f>INDEX(Standings!$M$3:$M$34, MATCH(N247, Standings!$A$3:$A$34, 0)) - INDEX(Standings!$M$3:$M$34, MATCH(P247, Standings!$A$3:$A$34, 0))</f>
        <v/>
      </c>
      <c r="Y247" s="194">
        <f t="array" ref="Y247:Y247">IFERROR(AE247+(AL247-_DFactor)*AE247,"")</f>
        <v/>
      </c>
      <c r="Z247" s="157">
        <f>IFERROR(AF247+(AI247-_DFactor)*AF247,"")</f>
        <v/>
      </c>
      <c r="AC247" s="194">
        <f>VLOOKUP(M247&amp;N247,Schedule!A:F,6,0)</f>
        <v/>
      </c>
      <c r="AD247" s="194">
        <f>VLOOKUP(M247&amp;P247,Schedule!A:F,6,0)</f>
        <v/>
      </c>
      <c r="AE247" s="156">
        <f>VLOOKUP(N247,ProjPVT!B:I,8,0)*_Mag/VLOOKUP(P247,Standings!A:O,15,0)*H247*K247</f>
        <v/>
      </c>
      <c r="AF247" s="156">
        <f>VLOOKUP(P247,ProjPVT!B:I,8,0)*_Mag/VLOOKUP(N247,Standings!A:O,15,0)*J247*I247</f>
        <v/>
      </c>
      <c r="AG247" s="195">
        <f>VLOOKUP(N247,Matrix!AA:AC,3,0)</f>
        <v/>
      </c>
      <c r="AH247" s="195">
        <f>SUMIFS(Def!C:C,Def!F:F,AG247)</f>
        <v/>
      </c>
      <c r="AI247" s="156">
        <f>IFERROR(SUMIFS(Def!B:B,Def!F:F,AG247)/AH247,"")</f>
        <v/>
      </c>
      <c r="AJ247" s="195">
        <f>VLOOKUP(P247,Matrix!AA:AC,3,0)</f>
        <v/>
      </c>
      <c r="AK247" s="195">
        <f>SUMIFS(Def!C:C,Def!F:F,AJ247)</f>
        <v/>
      </c>
      <c r="AL247" s="156">
        <f>IFERROR(SUMIFS(Def!B:B,Def!F:F,AJ247)/AK247,"")</f>
        <v/>
      </c>
    </row>
    <row r="248" ht="14.4" customHeight="1" s="152">
      <c r="A248" s="157">
        <f>IF(F248="Yes",IFERROR(IF(AA248&gt;1,AA248/100,100/-AA248),""),-1)</f>
        <v/>
      </c>
      <c r="B248" s="157">
        <f>B247+1</f>
        <v/>
      </c>
      <c r="C248" s="157">
        <f>IF(Y248&gt;Z248,1,0)</f>
        <v/>
      </c>
      <c r="D248" s="157">
        <f>IF(AND(C248=1,F248="Yes"),"Yes",IF(AND(C248=0,F248="No"),"Yes","No"))</f>
        <v/>
      </c>
      <c r="E248" s="192">
        <f>IF((AC248+AB248)=AD248,"Push",IF((AC248+AB248)&gt;AD248,"Yes","No"))</f>
        <v/>
      </c>
      <c r="F248" s="192">
        <f>IF(AC248&gt;AD248,"Yes","No")</f>
        <v/>
      </c>
      <c r="G248" s="192">
        <f>IF((Y248+AB248)&gt;Z248,"Yes",IF((Y248+AB248)=Z248,"Push","No"))</f>
        <v/>
      </c>
      <c r="H248" s="157">
        <f>IF(O248="Home",VLOOKUP(N248,Matrix!A:S,19,0),1)</f>
        <v/>
      </c>
      <c r="I248" s="157">
        <f>IF(O248="Away",VLOOKUP(N248,Matrix!A:Z,20,0),1)</f>
        <v/>
      </c>
      <c r="J248" s="157">
        <f>IF(O248="Away",VLOOKUP(P248,Matrix!A:S,19,0),1)</f>
        <v/>
      </c>
      <c r="K248" s="157">
        <f>IF(O248="Home",VLOOKUP(P248,Matrix!A:Z,20,0),1)</f>
        <v/>
      </c>
      <c r="L248" s="156" t="n">
        <v>-0.478836946686683</v>
      </c>
      <c r="M248" s="179">
        <f>Schedule!B248</f>
        <v/>
      </c>
      <c r="N248" s="156">
        <f>Schedule!E248</f>
        <v/>
      </c>
      <c r="O248" s="156" t="inlineStr">
        <is>
          <t>Away</t>
        </is>
      </c>
      <c r="P248" s="157">
        <f>Schedule!H248</f>
        <v/>
      </c>
      <c r="Q248" s="157">
        <f>Schedule!C248</f>
        <v/>
      </c>
      <c r="R248" s="180">
        <f>Schedule!D248</f>
        <v/>
      </c>
      <c r="S248" s="181">
        <f>Schedule!J248</f>
        <v/>
      </c>
      <c r="T248" s="193">
        <f>Y248-Z248</f>
        <v/>
      </c>
      <c r="U248" s="182">
        <f>T248/Picks!$K$2</f>
        <v/>
      </c>
      <c r="V248" s="193">
        <f>INDEX(Standings!$T$3:$T$34, MATCH(N248, Standings!$A$3:$A$34, 0)) - INDEX(Standings!$T$3:$T$34, MATCH(P248, Standings!$A$3:$A$34, 0))</f>
        <v/>
      </c>
      <c r="W248" s="157">
        <f>INDEX(Standings!$L$3:$L$34, MATCH(N248, Standings!$A$3:$A$34, 0)) - INDEX(Standings!$L$3:$L$34, MATCH(P248, Standings!$A$3:$A$34, 0))</f>
        <v/>
      </c>
      <c r="X248" s="157">
        <f>INDEX(Standings!$M$3:$M$34, MATCH(N248, Standings!$A$3:$A$34, 0)) - INDEX(Standings!$M$3:$M$34, MATCH(P248, Standings!$A$3:$A$34, 0))</f>
        <v/>
      </c>
      <c r="Y248" s="194">
        <f t="array" ref="Y248:Y248">IFERROR(AE248+(AL248-_DFactor)*AE248,"")</f>
        <v/>
      </c>
      <c r="Z248" s="157">
        <f>IFERROR(AF248+(AI248-_DFactor)*AF248,"")</f>
        <v/>
      </c>
      <c r="AC248" s="194">
        <f>VLOOKUP(M248&amp;N248,Schedule!A:F,6,0)</f>
        <v/>
      </c>
      <c r="AD248" s="194">
        <f>VLOOKUP(M248&amp;P248,Schedule!A:F,6,0)</f>
        <v/>
      </c>
      <c r="AE248" s="156">
        <f>VLOOKUP(N248,ProjPVT!B:I,8,0)*_Mag/VLOOKUP(P248,Standings!A:O,15,0)*H248*K248</f>
        <v/>
      </c>
      <c r="AF248" s="156">
        <f>VLOOKUP(P248,ProjPVT!B:I,8,0)*_Mag/VLOOKUP(N248,Standings!A:O,15,0)*J248*I248</f>
        <v/>
      </c>
      <c r="AG248" s="195">
        <f>VLOOKUP(N248,Matrix!AA:AC,3,0)</f>
        <v/>
      </c>
      <c r="AH248" s="195">
        <f>SUMIFS(Def!C:C,Def!F:F,AG248)</f>
        <v/>
      </c>
      <c r="AI248" s="156">
        <f>IFERROR(SUMIFS(Def!B:B,Def!F:F,AG248)/AH248,"")</f>
        <v/>
      </c>
      <c r="AJ248" s="195">
        <f>VLOOKUP(P248,Matrix!AA:AC,3,0)</f>
        <v/>
      </c>
      <c r="AK248" s="195">
        <f>SUMIFS(Def!C:C,Def!F:F,AJ248)</f>
        <v/>
      </c>
      <c r="AL248" s="156">
        <f>IFERROR(SUMIFS(Def!B:B,Def!F:F,AJ248)/AK248,"")</f>
        <v/>
      </c>
    </row>
    <row r="249" ht="14.4" customHeight="1" s="152">
      <c r="A249" s="157">
        <f>IF(F249="Yes",IFERROR(IF(AA249&gt;1,AA249/100,100/-AA249),""),-1)</f>
        <v/>
      </c>
      <c r="B249" s="157">
        <f>B248+1</f>
        <v/>
      </c>
      <c r="C249" s="157">
        <f>IF(Y249&gt;Z249,1,0)</f>
        <v/>
      </c>
      <c r="D249" s="157">
        <f>IF(AND(C249=1,F249="Yes"),"Yes",IF(AND(C249=0,F249="No"),"Yes","No"))</f>
        <v/>
      </c>
      <c r="E249" s="192">
        <f>IF((AC249+AB249)=AD249,"Push",IF((AC249+AB249)&gt;AD249,"Yes","No"))</f>
        <v/>
      </c>
      <c r="F249" s="192">
        <f>IF(AC249&gt;AD249,"Yes","No")</f>
        <v/>
      </c>
      <c r="G249" s="192">
        <f>IF((Y249+AB249)&gt;Z249,"Yes",IF((Y249+AB249)=Z249,"Push","No"))</f>
        <v/>
      </c>
      <c r="H249" s="157">
        <f>IF(O249="Home",VLOOKUP(N249,Matrix!A:S,19,0),1)</f>
        <v/>
      </c>
      <c r="I249" s="157">
        <f>IF(O249="Away",VLOOKUP(N249,Matrix!A:Z,20,0),1)</f>
        <v/>
      </c>
      <c r="J249" s="157">
        <f>IF(O249="Away",VLOOKUP(P249,Matrix!A:S,19,0),1)</f>
        <v/>
      </c>
      <c r="K249" s="157">
        <f>IF(O249="Home",VLOOKUP(P249,Matrix!A:Z,20,0),1)</f>
        <v/>
      </c>
      <c r="L249" s="156" t="n">
        <v>-0.439877417312272</v>
      </c>
      <c r="M249" s="179">
        <f>Schedule!B249</f>
        <v/>
      </c>
      <c r="N249" s="156">
        <f>Schedule!E249</f>
        <v/>
      </c>
      <c r="O249" s="156" t="inlineStr">
        <is>
          <t>Away</t>
        </is>
      </c>
      <c r="P249" s="157">
        <f>Schedule!H249</f>
        <v/>
      </c>
      <c r="Q249" s="157">
        <f>Schedule!C249</f>
        <v/>
      </c>
      <c r="R249" s="180">
        <f>Schedule!D249</f>
        <v/>
      </c>
      <c r="S249" s="181">
        <f>Schedule!J249</f>
        <v/>
      </c>
      <c r="T249" s="193">
        <f>Y249-Z249</f>
        <v/>
      </c>
      <c r="U249" s="182">
        <f>T249/Picks!$K$2</f>
        <v/>
      </c>
      <c r="V249" s="193">
        <f>INDEX(Standings!$T$3:$T$34, MATCH(N249, Standings!$A$3:$A$34, 0)) - INDEX(Standings!$T$3:$T$34, MATCH(P249, Standings!$A$3:$A$34, 0))</f>
        <v/>
      </c>
      <c r="W249" s="157">
        <f>INDEX(Standings!$L$3:$L$34, MATCH(N249, Standings!$A$3:$A$34, 0)) - INDEX(Standings!$L$3:$L$34, MATCH(P249, Standings!$A$3:$A$34, 0))</f>
        <v/>
      </c>
      <c r="X249" s="157">
        <f>INDEX(Standings!$M$3:$M$34, MATCH(N249, Standings!$A$3:$A$34, 0)) - INDEX(Standings!$M$3:$M$34, MATCH(P249, Standings!$A$3:$A$34, 0))</f>
        <v/>
      </c>
      <c r="Y249" s="194">
        <f t="array" ref="Y249:Y249">IFERROR(AE249+(AL249-_DFactor)*AE249,"")</f>
        <v/>
      </c>
      <c r="Z249" s="157">
        <f>IFERROR(AF249+(AI249-_DFactor)*AF249,"")</f>
        <v/>
      </c>
      <c r="AC249" s="194">
        <f>VLOOKUP(M249&amp;N249,Schedule!A:F,6,0)</f>
        <v/>
      </c>
      <c r="AD249" s="194">
        <f>VLOOKUP(M249&amp;P249,Schedule!A:F,6,0)</f>
        <v/>
      </c>
      <c r="AE249" s="156">
        <f>VLOOKUP(N249,ProjPVT!B:I,8,0)*_Mag/VLOOKUP(P249,Standings!A:O,15,0)*H249*K249</f>
        <v/>
      </c>
      <c r="AF249" s="156">
        <f>VLOOKUP(P249,ProjPVT!B:I,8,0)*_Mag/VLOOKUP(N249,Standings!A:O,15,0)*J249*I249</f>
        <v/>
      </c>
      <c r="AG249" s="195">
        <f>VLOOKUP(N249,Matrix!AA:AC,3,0)</f>
        <v/>
      </c>
      <c r="AH249" s="195">
        <f>SUMIFS(Def!C:C,Def!F:F,AG249)</f>
        <v/>
      </c>
      <c r="AI249" s="156">
        <f>IFERROR(SUMIFS(Def!B:B,Def!F:F,AG249)/AH249,"")</f>
        <v/>
      </c>
      <c r="AJ249" s="195">
        <f>VLOOKUP(P249,Matrix!AA:AC,3,0)</f>
        <v/>
      </c>
      <c r="AK249" s="195">
        <f>SUMIFS(Def!C:C,Def!F:F,AJ249)</f>
        <v/>
      </c>
      <c r="AL249" s="156">
        <f>IFERROR(SUMIFS(Def!B:B,Def!F:F,AJ249)/AK249,"")</f>
        <v/>
      </c>
    </row>
    <row r="250" ht="14.4" customHeight="1" s="152">
      <c r="A250" s="157">
        <f>IF(F250="Yes",IFERROR(IF(AA250&gt;1,AA250/100,100/-AA250),""),-1)</f>
        <v/>
      </c>
      <c r="B250" s="157">
        <f>B249+1</f>
        <v/>
      </c>
      <c r="C250" s="157">
        <f>IF(Y250&gt;Z250,1,0)</f>
        <v/>
      </c>
      <c r="D250" s="157">
        <f>IF(AND(C250=1,F250="Yes"),"Yes",IF(AND(C250=0,F250="No"),"Yes","No"))</f>
        <v/>
      </c>
      <c r="E250" s="192">
        <f>IF((AC250+AB250)=AD250,"Push",IF((AC250+AB250)&gt;AD250,"Yes","No"))</f>
        <v/>
      </c>
      <c r="F250" s="192">
        <f>IF(AC250&gt;AD250,"Yes","No")</f>
        <v/>
      </c>
      <c r="G250" s="192">
        <f>IF((Y250+AB250)&gt;Z250,"Yes",IF((Y250+AB250)=Z250,"Push","No"))</f>
        <v/>
      </c>
      <c r="H250" s="157">
        <f>IF(O250="Home",VLOOKUP(N250,Matrix!A:S,19,0),1)</f>
        <v/>
      </c>
      <c r="I250" s="157">
        <f>IF(O250="Away",VLOOKUP(N250,Matrix!A:Z,20,0),1)</f>
        <v/>
      </c>
      <c r="J250" s="157">
        <f>IF(O250="Away",VLOOKUP(P250,Matrix!A:S,19,0),1)</f>
        <v/>
      </c>
      <c r="K250" s="157">
        <f>IF(O250="Home",VLOOKUP(P250,Matrix!A:Z,20,0),1)</f>
        <v/>
      </c>
      <c r="L250" s="156" t="n">
        <v>-0.3338322747304</v>
      </c>
      <c r="M250" s="179">
        <f>Schedule!B250</f>
        <v/>
      </c>
      <c r="N250" s="156">
        <f>Schedule!E250</f>
        <v/>
      </c>
      <c r="O250" s="156" t="inlineStr">
        <is>
          <t>Home</t>
        </is>
      </c>
      <c r="P250" s="157">
        <f>Schedule!H250</f>
        <v/>
      </c>
      <c r="Q250" s="157">
        <f>Schedule!C250</f>
        <v/>
      </c>
      <c r="R250" s="180">
        <f>Schedule!D250</f>
        <v/>
      </c>
      <c r="S250" s="181">
        <f>Schedule!J250</f>
        <v/>
      </c>
      <c r="T250" s="193">
        <f>Y250-Z250</f>
        <v/>
      </c>
      <c r="U250" s="182">
        <f>T250/Picks!$K$2</f>
        <v/>
      </c>
      <c r="V250" s="193">
        <f>INDEX(Standings!$T$3:$T$34, MATCH(N250, Standings!$A$3:$A$34, 0)) - INDEX(Standings!$T$3:$T$34, MATCH(P250, Standings!$A$3:$A$34, 0))</f>
        <v/>
      </c>
      <c r="W250" s="157">
        <f>INDEX(Standings!$L$3:$L$34, MATCH(N250, Standings!$A$3:$A$34, 0)) - INDEX(Standings!$L$3:$L$34, MATCH(P250, Standings!$A$3:$A$34, 0))</f>
        <v/>
      </c>
      <c r="X250" s="157">
        <f>INDEX(Standings!$M$3:$M$34, MATCH(N250, Standings!$A$3:$A$34, 0)) - INDEX(Standings!$M$3:$M$34, MATCH(P250, Standings!$A$3:$A$34, 0))</f>
        <v/>
      </c>
      <c r="Y250" s="194">
        <f t="array" ref="Y250:Y250">IFERROR(AE250+(AL250-_DFactor)*AE250,"")</f>
        <v/>
      </c>
      <c r="Z250" s="157">
        <f>IFERROR(AF250+(AI250-_DFactor)*AF250,"")</f>
        <v/>
      </c>
      <c r="AC250" s="194">
        <f>VLOOKUP(M250&amp;N250,Schedule!A:F,6,0)</f>
        <v/>
      </c>
      <c r="AD250" s="194">
        <f>VLOOKUP(M250&amp;P250,Schedule!A:F,6,0)</f>
        <v/>
      </c>
      <c r="AE250" s="156">
        <f>VLOOKUP(N250,ProjPVT!B:I,8,0)*_Mag/VLOOKUP(P250,Standings!A:O,15,0)*H250*K250</f>
        <v/>
      </c>
      <c r="AF250" s="156">
        <f>VLOOKUP(P250,ProjPVT!B:I,8,0)*_Mag/VLOOKUP(N250,Standings!A:O,15,0)*J250*I250</f>
        <v/>
      </c>
      <c r="AG250" s="195">
        <f>VLOOKUP(N250,Matrix!AA:AC,3,0)</f>
        <v/>
      </c>
      <c r="AH250" s="195">
        <f>SUMIFS(Def!C:C,Def!F:F,AG250)</f>
        <v/>
      </c>
      <c r="AI250" s="156">
        <f>IFERROR(SUMIFS(Def!B:B,Def!F:F,AG250)/AH250,"")</f>
        <v/>
      </c>
      <c r="AJ250" s="195">
        <f>VLOOKUP(P250,Matrix!AA:AC,3,0)</f>
        <v/>
      </c>
      <c r="AK250" s="195">
        <f>SUMIFS(Def!C:C,Def!F:F,AJ250)</f>
        <v/>
      </c>
      <c r="AL250" s="156">
        <f>IFERROR(SUMIFS(Def!B:B,Def!F:F,AJ250)/AK250,"")</f>
        <v/>
      </c>
    </row>
    <row r="251" ht="14.4" customHeight="1" s="152">
      <c r="A251" s="157">
        <f>IF(F251="Yes",IFERROR(IF(AA251&gt;1,AA251/100,100/-AA251),""),-1)</f>
        <v/>
      </c>
      <c r="B251" s="157">
        <f>B250+1</f>
        <v/>
      </c>
      <c r="C251" s="157">
        <f>IF(Y251&gt;Z251,1,0)</f>
        <v/>
      </c>
      <c r="D251" s="157">
        <f>IF(AND(C251=1,F251="Yes"),"Yes",IF(AND(C251=0,F251="No"),"Yes","No"))</f>
        <v/>
      </c>
      <c r="E251" s="192">
        <f>IF((AC251+AB251)=AD251,"Push",IF((AC251+AB251)&gt;AD251,"Yes","No"))</f>
        <v/>
      </c>
      <c r="F251" s="192">
        <f>IF(AC251&gt;AD251,"Yes","No")</f>
        <v/>
      </c>
      <c r="G251" s="192">
        <f>IF((Y251+AB251)&gt;Z251,"Yes",IF((Y251+AB251)=Z251,"Push","No"))</f>
        <v/>
      </c>
      <c r="H251" s="157">
        <f>IF(O251="Home",VLOOKUP(N251,Matrix!A:S,19,0),1)</f>
        <v/>
      </c>
      <c r="I251" s="157">
        <f>IF(O251="Away",VLOOKUP(N251,Matrix!A:Z,20,0),1)</f>
        <v/>
      </c>
      <c r="J251" s="157">
        <f>IF(O251="Away",VLOOKUP(P251,Matrix!A:S,19,0),1)</f>
        <v/>
      </c>
      <c r="K251" s="157">
        <f>IF(O251="Home",VLOOKUP(P251,Matrix!A:Z,20,0),1)</f>
        <v/>
      </c>
      <c r="L251" s="156" t="n">
        <v>-0.288207832690731</v>
      </c>
      <c r="M251" s="179">
        <f>Schedule!B251</f>
        <v/>
      </c>
      <c r="N251" s="156">
        <f>Schedule!E251</f>
        <v/>
      </c>
      <c r="O251" s="156" t="inlineStr">
        <is>
          <t>Away</t>
        </is>
      </c>
      <c r="P251" s="157">
        <f>Schedule!H251</f>
        <v/>
      </c>
      <c r="Q251" s="157">
        <f>Schedule!C251</f>
        <v/>
      </c>
      <c r="R251" s="180">
        <f>Schedule!D251</f>
        <v/>
      </c>
      <c r="S251" s="181">
        <f>Schedule!J251</f>
        <v/>
      </c>
      <c r="T251" s="193">
        <f>Y251-Z251</f>
        <v/>
      </c>
      <c r="U251" s="182">
        <f>T251/Picks!$K$2</f>
        <v/>
      </c>
      <c r="V251" s="193">
        <f>INDEX(Standings!$T$3:$T$34, MATCH(N251, Standings!$A$3:$A$34, 0)) - INDEX(Standings!$T$3:$T$34, MATCH(P251, Standings!$A$3:$A$34, 0))</f>
        <v/>
      </c>
      <c r="W251" s="157">
        <f>INDEX(Standings!$L$3:$L$34, MATCH(N251, Standings!$A$3:$A$34, 0)) - INDEX(Standings!$L$3:$L$34, MATCH(P251, Standings!$A$3:$A$34, 0))</f>
        <v/>
      </c>
      <c r="X251" s="157">
        <f>INDEX(Standings!$M$3:$M$34, MATCH(N251, Standings!$A$3:$A$34, 0)) - INDEX(Standings!$M$3:$M$34, MATCH(P251, Standings!$A$3:$A$34, 0))</f>
        <v/>
      </c>
      <c r="Y251" s="194">
        <f t="array" ref="Y251:Y251">IFERROR(AE251+(AL251-_DFactor)*AE251,"")</f>
        <v/>
      </c>
      <c r="Z251" s="157">
        <f>IFERROR(AF251+(AI251-_DFactor)*AF251,"")</f>
        <v/>
      </c>
      <c r="AC251" s="194">
        <f>VLOOKUP(M251&amp;N251,Schedule!A:F,6,0)</f>
        <v/>
      </c>
      <c r="AD251" s="194">
        <f>VLOOKUP(M251&amp;P251,Schedule!A:F,6,0)</f>
        <v/>
      </c>
      <c r="AE251" s="156">
        <f>VLOOKUP(N251,ProjPVT!B:I,8,0)*_Mag/VLOOKUP(P251,Standings!A:O,15,0)*H251*K251</f>
        <v/>
      </c>
      <c r="AF251" s="156">
        <f>VLOOKUP(P251,ProjPVT!B:I,8,0)*_Mag/VLOOKUP(N251,Standings!A:O,15,0)*J251*I251</f>
        <v/>
      </c>
      <c r="AG251" s="195">
        <f>VLOOKUP(N251,Matrix!AA:AC,3,0)</f>
        <v/>
      </c>
      <c r="AH251" s="195">
        <f>SUMIFS(Def!C:C,Def!F:F,AG251)</f>
        <v/>
      </c>
      <c r="AI251" s="156">
        <f>IFERROR(SUMIFS(Def!B:B,Def!F:F,AG251)/AH251,"")</f>
        <v/>
      </c>
      <c r="AJ251" s="195">
        <f>VLOOKUP(P251,Matrix!AA:AC,3,0)</f>
        <v/>
      </c>
      <c r="AK251" s="195">
        <f>SUMIFS(Def!C:C,Def!F:F,AJ251)</f>
        <v/>
      </c>
      <c r="AL251" s="156">
        <f>IFERROR(SUMIFS(Def!B:B,Def!F:F,AJ251)/AK251,"")</f>
        <v/>
      </c>
    </row>
    <row r="252" ht="14.4" customHeight="1" s="152">
      <c r="A252" s="157">
        <f>IF(F252="Yes",IFERROR(IF(AA252&gt;1,AA252/100,100/-AA252),""),-1)</f>
        <v/>
      </c>
      <c r="B252" s="157">
        <f>B251+1</f>
        <v/>
      </c>
      <c r="C252" s="157">
        <f>IF(Y252&gt;Z252,1,0)</f>
        <v/>
      </c>
      <c r="D252" s="157">
        <f>IF(AND(C252=1,F252="Yes"),"Yes",IF(AND(C252=0,F252="No"),"Yes","No"))</f>
        <v/>
      </c>
      <c r="E252" s="192">
        <f>IF((AC252+AB252)=AD252,"Push",IF((AC252+AB252)&gt;AD252,"Yes","No"))</f>
        <v/>
      </c>
      <c r="F252" s="192">
        <f>IF(AC252&gt;AD252,"Yes","No")</f>
        <v/>
      </c>
      <c r="G252" s="192">
        <f>IF((Y252+AB252)&gt;Z252,"Yes",IF((Y252+AB252)=Z252,"Push","No"))</f>
        <v/>
      </c>
      <c r="H252" s="157">
        <f>IF(O252="Home",VLOOKUP(N252,Matrix!A:S,19,0),1)</f>
        <v/>
      </c>
      <c r="I252" s="157">
        <f>IF(O252="Away",VLOOKUP(N252,Matrix!A:Z,20,0),1)</f>
        <v/>
      </c>
      <c r="J252" s="157">
        <f>IF(O252="Away",VLOOKUP(P252,Matrix!A:S,19,0),1)</f>
        <v/>
      </c>
      <c r="K252" s="157">
        <f>IF(O252="Home",VLOOKUP(P252,Matrix!A:Z,20,0),1)</f>
        <v/>
      </c>
      <c r="L252" s="156" t="n">
        <v>-0.247495860379473</v>
      </c>
      <c r="M252" s="179">
        <f>Schedule!B252</f>
        <v/>
      </c>
      <c r="N252" s="156">
        <f>Schedule!E252</f>
        <v/>
      </c>
      <c r="O252" s="156" t="inlineStr">
        <is>
          <t>Home</t>
        </is>
      </c>
      <c r="P252" s="157">
        <f>Schedule!H252</f>
        <v/>
      </c>
      <c r="Q252" s="157">
        <f>Schedule!C252</f>
        <v/>
      </c>
      <c r="R252" s="180">
        <f>Schedule!D252</f>
        <v/>
      </c>
      <c r="S252" s="181">
        <f>Schedule!J252</f>
        <v/>
      </c>
      <c r="T252" s="193">
        <f>Y252-Z252</f>
        <v/>
      </c>
      <c r="U252" s="182">
        <f>T252/Picks!$K$2</f>
        <v/>
      </c>
      <c r="V252" s="193">
        <f>INDEX(Standings!$T$3:$T$34, MATCH(N252, Standings!$A$3:$A$34, 0)) - INDEX(Standings!$T$3:$T$34, MATCH(P252, Standings!$A$3:$A$34, 0))</f>
        <v/>
      </c>
      <c r="W252" s="157">
        <f>INDEX(Standings!$L$3:$L$34, MATCH(N252, Standings!$A$3:$A$34, 0)) - INDEX(Standings!$L$3:$L$34, MATCH(P252, Standings!$A$3:$A$34, 0))</f>
        <v/>
      </c>
      <c r="X252" s="157">
        <f>INDEX(Standings!$M$3:$M$34, MATCH(N252, Standings!$A$3:$A$34, 0)) - INDEX(Standings!$M$3:$M$34, MATCH(P252, Standings!$A$3:$A$34, 0))</f>
        <v/>
      </c>
      <c r="Y252" s="194">
        <f t="array" ref="Y252:Y252">IFERROR(AE252+(AL252-_DFactor)*AE252,"")</f>
        <v/>
      </c>
      <c r="Z252" s="157">
        <f>IFERROR(AF252+(AI252-_DFactor)*AF252,"")</f>
        <v/>
      </c>
      <c r="AC252" s="194">
        <f>VLOOKUP(M252&amp;N252,Schedule!A:F,6,0)</f>
        <v/>
      </c>
      <c r="AD252" s="194">
        <f>VLOOKUP(M252&amp;P252,Schedule!A:F,6,0)</f>
        <v/>
      </c>
      <c r="AE252" s="156">
        <f>VLOOKUP(N252,ProjPVT!B:I,8,0)*_Mag/VLOOKUP(P252,Standings!A:O,15,0)*H252*K252</f>
        <v/>
      </c>
      <c r="AF252" s="156">
        <f>VLOOKUP(P252,ProjPVT!B:I,8,0)*_Mag/VLOOKUP(N252,Standings!A:O,15,0)*J252*I252</f>
        <v/>
      </c>
      <c r="AG252" s="195">
        <f>VLOOKUP(N252,Matrix!AA:AC,3,0)</f>
        <v/>
      </c>
      <c r="AH252" s="195">
        <f>SUMIFS(Def!C:C,Def!F:F,AG252)</f>
        <v/>
      </c>
      <c r="AI252" s="156">
        <f>IFERROR(SUMIFS(Def!B:B,Def!F:F,AG252)/AH252,"")</f>
        <v/>
      </c>
      <c r="AJ252" s="195">
        <f>VLOOKUP(P252,Matrix!AA:AC,3,0)</f>
        <v/>
      </c>
      <c r="AK252" s="195">
        <f>SUMIFS(Def!C:C,Def!F:F,AJ252)</f>
        <v/>
      </c>
      <c r="AL252" s="156">
        <f>IFERROR(SUMIFS(Def!B:B,Def!F:F,AJ252)/AK252,"")</f>
        <v/>
      </c>
    </row>
    <row r="253" ht="14.4" customHeight="1" s="152">
      <c r="A253" s="157">
        <f>IF(F253="Yes",IFERROR(IF(AA253&gt;1,AA253/100,100/-AA253),""),-1)</f>
        <v/>
      </c>
      <c r="B253" s="157">
        <f>B252+1</f>
        <v/>
      </c>
      <c r="C253" s="157">
        <f>IF(Y253&gt;Z253,1,0)</f>
        <v/>
      </c>
      <c r="D253" s="157">
        <f>IF(AND(C253=1,F253="Yes"),"Yes",IF(AND(C253=0,F253="No"),"Yes","No"))</f>
        <v/>
      </c>
      <c r="E253" s="192">
        <f>IF((AC253+AB253)=AD253,"Push",IF((AC253+AB253)&gt;AD253,"Yes","No"))</f>
        <v/>
      </c>
      <c r="F253" s="192">
        <f>IF(AC253&gt;AD253,"Yes","No")</f>
        <v/>
      </c>
      <c r="G253" s="192">
        <f>IF((Y253+AB253)&gt;Z253,"Yes",IF((Y253+AB253)=Z253,"Push","No"))</f>
        <v/>
      </c>
      <c r="H253" s="157">
        <f>IF(O253="Home",VLOOKUP(N253,Matrix!A:S,19,0),1)</f>
        <v/>
      </c>
      <c r="I253" s="157">
        <f>IF(O253="Away",VLOOKUP(N253,Matrix!A:Z,20,0),1)</f>
        <v/>
      </c>
      <c r="J253" s="157">
        <f>IF(O253="Away",VLOOKUP(P253,Matrix!A:S,19,0),1)</f>
        <v/>
      </c>
      <c r="K253" s="157">
        <f>IF(O253="Home",VLOOKUP(P253,Matrix!A:Z,20,0),1)</f>
        <v/>
      </c>
      <c r="L253" s="156" t="n">
        <v>-0.178536692206889</v>
      </c>
      <c r="M253" s="179">
        <f>Schedule!B253</f>
        <v/>
      </c>
      <c r="N253" s="156">
        <f>Schedule!E253</f>
        <v/>
      </c>
      <c r="O253" s="156" t="inlineStr">
        <is>
          <t>Away</t>
        </is>
      </c>
      <c r="P253" s="157">
        <f>Schedule!H253</f>
        <v/>
      </c>
      <c r="Q253" s="157">
        <f>Schedule!C253</f>
        <v/>
      </c>
      <c r="R253" s="180">
        <f>Schedule!D253</f>
        <v/>
      </c>
      <c r="S253" s="181">
        <f>Schedule!J253</f>
        <v/>
      </c>
      <c r="T253" s="193">
        <f>Y253-Z253</f>
        <v/>
      </c>
      <c r="U253" s="182">
        <f>T253/Picks!$K$2</f>
        <v/>
      </c>
      <c r="V253" s="193">
        <f>INDEX(Standings!$T$3:$T$34, MATCH(N253, Standings!$A$3:$A$34, 0)) - INDEX(Standings!$T$3:$T$34, MATCH(P253, Standings!$A$3:$A$34, 0))</f>
        <v/>
      </c>
      <c r="W253" s="157">
        <f>INDEX(Standings!$L$3:$L$34, MATCH(N253, Standings!$A$3:$A$34, 0)) - INDEX(Standings!$L$3:$L$34, MATCH(P253, Standings!$A$3:$A$34, 0))</f>
        <v/>
      </c>
      <c r="X253" s="157">
        <f>INDEX(Standings!$M$3:$M$34, MATCH(N253, Standings!$A$3:$A$34, 0)) - INDEX(Standings!$M$3:$M$34, MATCH(P253, Standings!$A$3:$A$34, 0))</f>
        <v/>
      </c>
      <c r="Y253" s="194">
        <f t="array" ref="Y253:Y253">IFERROR(AE253+(AL253-_DFactor)*AE253,"")</f>
        <v/>
      </c>
      <c r="Z253" s="157">
        <f>IFERROR(AF253+(AI253-_DFactor)*AF253,"")</f>
        <v/>
      </c>
      <c r="AC253" s="194">
        <f>VLOOKUP(M253&amp;N253,Schedule!A:F,6,0)</f>
        <v/>
      </c>
      <c r="AD253" s="194">
        <f>VLOOKUP(M253&amp;P253,Schedule!A:F,6,0)</f>
        <v/>
      </c>
      <c r="AE253" s="156">
        <f>VLOOKUP(N253,ProjPVT!B:I,8,0)*_Mag/VLOOKUP(P253,Standings!A:O,15,0)*H253*K253</f>
        <v/>
      </c>
      <c r="AF253" s="156">
        <f>VLOOKUP(P253,ProjPVT!B:I,8,0)*_Mag/VLOOKUP(N253,Standings!A:O,15,0)*J253*I253</f>
        <v/>
      </c>
      <c r="AG253" s="195">
        <f>VLOOKUP(N253,Matrix!AA:AC,3,0)</f>
        <v/>
      </c>
      <c r="AH253" s="195">
        <f>SUMIFS(Def!C:C,Def!F:F,AG253)</f>
        <v/>
      </c>
      <c r="AI253" s="156">
        <f>IFERROR(SUMIFS(Def!B:B,Def!F:F,AG253)/AH253,"")</f>
        <v/>
      </c>
      <c r="AJ253" s="195">
        <f>VLOOKUP(P253,Matrix!AA:AC,3,0)</f>
        <v/>
      </c>
      <c r="AK253" s="195">
        <f>SUMIFS(Def!C:C,Def!F:F,AJ253)</f>
        <v/>
      </c>
      <c r="AL253" s="156">
        <f>IFERROR(SUMIFS(Def!B:B,Def!F:F,AJ253)/AK253,"")</f>
        <v/>
      </c>
    </row>
    <row r="254" ht="14.4" customHeight="1" s="152">
      <c r="A254" s="157">
        <f>IF(F254="Yes",IFERROR(IF(AA254&gt;1,AA254/100,100/-AA254),""),-1)</f>
        <v/>
      </c>
      <c r="B254" s="157">
        <f>B253+1</f>
        <v/>
      </c>
      <c r="C254" s="157">
        <f>IF(Y254&gt;Z254,1,0)</f>
        <v/>
      </c>
      <c r="D254" s="157">
        <f>IF(AND(C254=1,F254="Yes"),"Yes",IF(AND(C254=0,F254="No"),"Yes","No"))</f>
        <v/>
      </c>
      <c r="E254" s="192">
        <f>IF((AC254+AB254)=AD254,"Push",IF((AC254+AB254)&gt;AD254,"Yes","No"))</f>
        <v/>
      </c>
      <c r="F254" s="192">
        <f>IF(AC254&gt;AD254,"Yes","No")</f>
        <v/>
      </c>
      <c r="G254" s="192">
        <f>IF((Y254+AB254)&gt;Z254,"Yes",IF((Y254+AB254)=Z254,"Push","No"))</f>
        <v/>
      </c>
      <c r="H254" s="157">
        <f>IF(O254="Home",VLOOKUP(N254,Matrix!A:S,19,0),1)</f>
        <v/>
      </c>
      <c r="I254" s="157">
        <f>IF(O254="Away",VLOOKUP(N254,Matrix!A:Z,20,0),1)</f>
        <v/>
      </c>
      <c r="J254" s="157">
        <f>IF(O254="Away",VLOOKUP(P254,Matrix!A:S,19,0),1)</f>
        <v/>
      </c>
      <c r="K254" s="157">
        <f>IF(O254="Home",VLOOKUP(P254,Matrix!A:Z,20,0),1)</f>
        <v/>
      </c>
      <c r="L254" s="156" t="n">
        <v>-0.174936348373336</v>
      </c>
      <c r="M254" s="179">
        <f>Schedule!B254</f>
        <v/>
      </c>
      <c r="N254" s="156">
        <f>Schedule!E254</f>
        <v/>
      </c>
      <c r="O254" s="156" t="inlineStr">
        <is>
          <t>Away</t>
        </is>
      </c>
      <c r="P254" s="157">
        <f>Schedule!H254</f>
        <v/>
      </c>
      <c r="Q254" s="157">
        <f>Schedule!C254</f>
        <v/>
      </c>
      <c r="R254" s="180">
        <f>Schedule!D254</f>
        <v/>
      </c>
      <c r="S254" s="181">
        <f>Schedule!J254</f>
        <v/>
      </c>
      <c r="T254" s="193">
        <f>Y254-Z254</f>
        <v/>
      </c>
      <c r="U254" s="182">
        <f>T254/Picks!$K$2</f>
        <v/>
      </c>
      <c r="V254" s="193">
        <f>INDEX(Standings!$T$3:$T$34, MATCH(N254, Standings!$A$3:$A$34, 0)) - INDEX(Standings!$T$3:$T$34, MATCH(P254, Standings!$A$3:$A$34, 0))</f>
        <v/>
      </c>
      <c r="W254" s="157">
        <f>INDEX(Standings!$L$3:$L$34, MATCH(N254, Standings!$A$3:$A$34, 0)) - INDEX(Standings!$L$3:$L$34, MATCH(P254, Standings!$A$3:$A$34, 0))</f>
        <v/>
      </c>
      <c r="X254" s="157">
        <f>INDEX(Standings!$M$3:$M$34, MATCH(N254, Standings!$A$3:$A$34, 0)) - INDEX(Standings!$M$3:$M$34, MATCH(P254, Standings!$A$3:$A$34, 0))</f>
        <v/>
      </c>
      <c r="Y254" s="194">
        <f t="array" ref="Y254:Y254">IFERROR(AE254+(AL254-_DFactor)*AE254,"")</f>
        <v/>
      </c>
      <c r="Z254" s="157">
        <f>IFERROR(AF254+(AI254-_DFactor)*AF254,"")</f>
        <v/>
      </c>
      <c r="AC254" s="194">
        <f>VLOOKUP(M254&amp;N254,Schedule!A:F,6,0)</f>
        <v/>
      </c>
      <c r="AD254" s="194">
        <f>VLOOKUP(M254&amp;P254,Schedule!A:F,6,0)</f>
        <v/>
      </c>
      <c r="AE254" s="156">
        <f>VLOOKUP(N254,ProjPVT!B:I,8,0)*_Mag/VLOOKUP(P254,Standings!A:O,15,0)*H254*K254</f>
        <v/>
      </c>
      <c r="AF254" s="156">
        <f>VLOOKUP(P254,ProjPVT!B:I,8,0)*_Mag/VLOOKUP(N254,Standings!A:O,15,0)*J254*I254</f>
        <v/>
      </c>
      <c r="AG254" s="195">
        <f>VLOOKUP(N254,Matrix!AA:AC,3,0)</f>
        <v/>
      </c>
      <c r="AH254" s="195">
        <f>SUMIFS(Def!C:C,Def!F:F,AG254)</f>
        <v/>
      </c>
      <c r="AI254" s="156">
        <f>IFERROR(SUMIFS(Def!B:B,Def!F:F,AG254)/AH254,"")</f>
        <v/>
      </c>
      <c r="AJ254" s="195">
        <f>VLOOKUP(P254,Matrix!AA:AC,3,0)</f>
        <v/>
      </c>
      <c r="AK254" s="195">
        <f>SUMIFS(Def!C:C,Def!F:F,AJ254)</f>
        <v/>
      </c>
      <c r="AL254" s="156">
        <f>IFERROR(SUMIFS(Def!B:B,Def!F:F,AJ254)/AK254,"")</f>
        <v/>
      </c>
    </row>
    <row r="255" ht="14.4" customHeight="1" s="152">
      <c r="A255" s="157">
        <f>IF(F255="Yes",IFERROR(IF(AA255&gt;1,AA255/100,100/-AA255),""),-1)</f>
        <v/>
      </c>
      <c r="B255" s="157">
        <f>B254+1</f>
        <v/>
      </c>
      <c r="C255" s="157">
        <f>IF(Y255&gt;Z255,1,0)</f>
        <v/>
      </c>
      <c r="D255" s="157">
        <f>IF(AND(C255=1,F255="Yes"),"Yes",IF(AND(C255=0,F255="No"),"Yes","No"))</f>
        <v/>
      </c>
      <c r="E255" s="192">
        <f>IF((AC255+AB255)=AD255,"Push",IF((AC255+AB255)&gt;AD255,"Yes","No"))</f>
        <v/>
      </c>
      <c r="F255" s="192">
        <f>IF(AC255&gt;AD255,"Yes","No")</f>
        <v/>
      </c>
      <c r="G255" s="192">
        <f>IF((Y255+AB255)&gt;Z255,"Yes",IF((Y255+AB255)=Z255,"Push","No"))</f>
        <v/>
      </c>
      <c r="H255" s="157">
        <f>IF(O255="Home",VLOOKUP(N255,Matrix!A:S,19,0),1)</f>
        <v/>
      </c>
      <c r="I255" s="157">
        <f>IF(O255="Away",VLOOKUP(N255,Matrix!A:Z,20,0),1)</f>
        <v/>
      </c>
      <c r="J255" s="157">
        <f>IF(O255="Away",VLOOKUP(P255,Matrix!A:S,19,0),1)</f>
        <v/>
      </c>
      <c r="K255" s="157">
        <f>IF(O255="Home",VLOOKUP(P255,Matrix!A:Z,20,0),1)</f>
        <v/>
      </c>
      <c r="L255" s="156" t="n">
        <v>-0.169533369113676</v>
      </c>
      <c r="M255" s="179">
        <f>Schedule!B255</f>
        <v/>
      </c>
      <c r="N255" s="156">
        <f>Schedule!E255</f>
        <v/>
      </c>
      <c r="O255" s="156" t="inlineStr">
        <is>
          <t>Home</t>
        </is>
      </c>
      <c r="P255" s="157">
        <f>Schedule!H255</f>
        <v/>
      </c>
      <c r="Q255" s="157">
        <f>Schedule!C255</f>
        <v/>
      </c>
      <c r="R255" s="180">
        <f>Schedule!D255</f>
        <v/>
      </c>
      <c r="S255" s="181">
        <f>Schedule!J255</f>
        <v/>
      </c>
      <c r="T255" s="193">
        <f>Y255-Z255</f>
        <v/>
      </c>
      <c r="U255" s="182">
        <f>T255/Picks!$K$2</f>
        <v/>
      </c>
      <c r="V255" s="193">
        <f>INDEX(Standings!$T$3:$T$34, MATCH(N255, Standings!$A$3:$A$34, 0)) - INDEX(Standings!$T$3:$T$34, MATCH(P255, Standings!$A$3:$A$34, 0))</f>
        <v/>
      </c>
      <c r="W255" s="157">
        <f>INDEX(Standings!$L$3:$L$34, MATCH(N255, Standings!$A$3:$A$34, 0)) - INDEX(Standings!$L$3:$L$34, MATCH(P255, Standings!$A$3:$A$34, 0))</f>
        <v/>
      </c>
      <c r="X255" s="157">
        <f>INDEX(Standings!$M$3:$M$34, MATCH(N255, Standings!$A$3:$A$34, 0)) - INDEX(Standings!$M$3:$M$34, MATCH(P255, Standings!$A$3:$A$34, 0))</f>
        <v/>
      </c>
      <c r="Y255" s="194">
        <f t="array" ref="Y255:Y255">IFERROR(AE255+(AL255-_DFactor)*AE255,"")</f>
        <v/>
      </c>
      <c r="Z255" s="157">
        <f>IFERROR(AF255+(AI255-_DFactor)*AF255,"")</f>
        <v/>
      </c>
      <c r="AC255" s="194">
        <f>VLOOKUP(M255&amp;N255,Schedule!A:F,6,0)</f>
        <v/>
      </c>
      <c r="AD255" s="194">
        <f>VLOOKUP(M255&amp;P255,Schedule!A:F,6,0)</f>
        <v/>
      </c>
      <c r="AE255" s="156">
        <f>VLOOKUP(N255,ProjPVT!B:I,8,0)*_Mag/VLOOKUP(P255,Standings!A:O,15,0)*H255*K255</f>
        <v/>
      </c>
      <c r="AF255" s="156">
        <f>VLOOKUP(P255,ProjPVT!B:I,8,0)*_Mag/VLOOKUP(N255,Standings!A:O,15,0)*J255*I255</f>
        <v/>
      </c>
      <c r="AG255" s="195">
        <f>VLOOKUP(N255,Matrix!AA:AC,3,0)</f>
        <v/>
      </c>
      <c r="AH255" s="195">
        <f>SUMIFS(Def!C:C,Def!F:F,AG255)</f>
        <v/>
      </c>
      <c r="AI255" s="156">
        <f>IFERROR(SUMIFS(Def!B:B,Def!F:F,AG255)/AH255,"")</f>
        <v/>
      </c>
      <c r="AJ255" s="195">
        <f>VLOOKUP(P255,Matrix!AA:AC,3,0)</f>
        <v/>
      </c>
      <c r="AK255" s="195">
        <f>SUMIFS(Def!C:C,Def!F:F,AJ255)</f>
        <v/>
      </c>
      <c r="AL255" s="156">
        <f>IFERROR(SUMIFS(Def!B:B,Def!F:F,AJ255)/AK255,"")</f>
        <v/>
      </c>
    </row>
    <row r="256" ht="14.4" customHeight="1" s="152">
      <c r="A256" s="157">
        <f>IF(F256="Yes",IFERROR(IF(AA256&gt;1,AA256/100,100/-AA256),""),-1)</f>
        <v/>
      </c>
      <c r="B256" s="157">
        <f>B255+1</f>
        <v/>
      </c>
      <c r="C256" s="157">
        <f>IF(Y256&gt;Z256,1,0)</f>
        <v/>
      </c>
      <c r="D256" s="157">
        <f>IF(AND(C256=1,F256="Yes"),"Yes",IF(AND(C256=0,F256="No"),"Yes","No"))</f>
        <v/>
      </c>
      <c r="E256" s="192">
        <f>IF((AC256+AB256)=AD256,"Push",IF((AC256+AB256)&gt;AD256,"Yes","No"))</f>
        <v/>
      </c>
      <c r="F256" s="192">
        <f>IF(AC256&gt;AD256,"Yes","No")</f>
        <v/>
      </c>
      <c r="G256" s="192">
        <f>IF((Y256+AB256)&gt;Z256,"Yes",IF((Y256+AB256)=Z256,"Push","No"))</f>
        <v/>
      </c>
      <c r="H256" s="157">
        <f>IF(O256="Home",VLOOKUP(N256,Matrix!A:S,19,0),1)</f>
        <v/>
      </c>
      <c r="I256" s="157">
        <f>IF(O256="Away",VLOOKUP(N256,Matrix!A:Z,20,0),1)</f>
        <v/>
      </c>
      <c r="J256" s="157">
        <f>IF(O256="Away",VLOOKUP(P256,Matrix!A:S,19,0),1)</f>
        <v/>
      </c>
      <c r="K256" s="157">
        <f>IF(O256="Home",VLOOKUP(P256,Matrix!A:Z,20,0),1)</f>
        <v/>
      </c>
      <c r="L256" s="156" t="n">
        <v>-0.119311708801418</v>
      </c>
      <c r="M256" s="179">
        <f>Schedule!B256</f>
        <v/>
      </c>
      <c r="N256" s="156">
        <f>Schedule!E256</f>
        <v/>
      </c>
      <c r="O256" s="156" t="inlineStr">
        <is>
          <t>Home</t>
        </is>
      </c>
      <c r="P256" s="157">
        <f>Schedule!H256</f>
        <v/>
      </c>
      <c r="Q256" s="157">
        <f>Schedule!C256</f>
        <v/>
      </c>
      <c r="R256" s="180">
        <f>Schedule!D256</f>
        <v/>
      </c>
      <c r="S256" s="181">
        <f>Schedule!J256</f>
        <v/>
      </c>
      <c r="T256" s="193">
        <f>Y256-Z256</f>
        <v/>
      </c>
      <c r="U256" s="182">
        <f>T256/Picks!$K$2</f>
        <v/>
      </c>
      <c r="V256" s="193">
        <f>INDEX(Standings!$T$3:$T$34, MATCH(N256, Standings!$A$3:$A$34, 0)) - INDEX(Standings!$T$3:$T$34, MATCH(P256, Standings!$A$3:$A$34, 0))</f>
        <v/>
      </c>
      <c r="W256" s="157">
        <f>INDEX(Standings!$L$3:$L$34, MATCH(N256, Standings!$A$3:$A$34, 0)) - INDEX(Standings!$L$3:$L$34, MATCH(P256, Standings!$A$3:$A$34, 0))</f>
        <v/>
      </c>
      <c r="X256" s="157">
        <f>INDEX(Standings!$M$3:$M$34, MATCH(N256, Standings!$A$3:$A$34, 0)) - INDEX(Standings!$M$3:$M$34, MATCH(P256, Standings!$A$3:$A$34, 0))</f>
        <v/>
      </c>
      <c r="Y256" s="194">
        <f t="array" ref="Y256:Y256">IFERROR(AE256+(AL256-_DFactor)*AE256,"")</f>
        <v/>
      </c>
      <c r="Z256" s="157">
        <f>IFERROR(AF256+(AI256-_DFactor)*AF256,"")</f>
        <v/>
      </c>
      <c r="AC256" s="194">
        <f>VLOOKUP(M256&amp;N256,Schedule!A:F,6,0)</f>
        <v/>
      </c>
      <c r="AD256" s="194">
        <f>VLOOKUP(M256&amp;P256,Schedule!A:F,6,0)</f>
        <v/>
      </c>
      <c r="AE256" s="156">
        <f>VLOOKUP(N256,ProjPVT!B:I,8,0)*_Mag/VLOOKUP(P256,Standings!A:O,15,0)*H256*K256</f>
        <v/>
      </c>
      <c r="AF256" s="156">
        <f>VLOOKUP(P256,ProjPVT!B:I,8,0)*_Mag/VLOOKUP(N256,Standings!A:O,15,0)*J256*I256</f>
        <v/>
      </c>
      <c r="AG256" s="195">
        <f>VLOOKUP(N256,Matrix!AA:AC,3,0)</f>
        <v/>
      </c>
      <c r="AH256" s="195">
        <f>SUMIFS(Def!C:C,Def!F:F,AG256)</f>
        <v/>
      </c>
      <c r="AI256" s="156">
        <f>IFERROR(SUMIFS(Def!B:B,Def!F:F,AG256)/AH256,"")</f>
        <v/>
      </c>
      <c r="AJ256" s="195">
        <f>VLOOKUP(P256,Matrix!AA:AC,3,0)</f>
        <v/>
      </c>
      <c r="AK256" s="195">
        <f>SUMIFS(Def!C:C,Def!F:F,AJ256)</f>
        <v/>
      </c>
      <c r="AL256" s="156">
        <f>IFERROR(SUMIFS(Def!B:B,Def!F:F,AJ256)/AK256,"")</f>
        <v/>
      </c>
    </row>
    <row r="257" ht="14.4" customHeight="1" s="152">
      <c r="A257" s="157">
        <f>IF(F257="Yes",IFERROR(IF(AA257&gt;1,AA257/100,100/-AA257),""),-1)</f>
        <v/>
      </c>
      <c r="B257" s="157">
        <f>B256+1</f>
        <v/>
      </c>
      <c r="C257" s="157">
        <f>IF(Y257&gt;Z257,1,0)</f>
        <v/>
      </c>
      <c r="D257" s="157">
        <f>IF(AND(C257=1,F257="Yes"),"Yes",IF(AND(C257=0,F257="No"),"Yes","No"))</f>
        <v/>
      </c>
      <c r="E257" s="192">
        <f>IF((AC257+AB257)=AD257,"Push",IF((AC257+AB257)&gt;AD257,"Yes","No"))</f>
        <v/>
      </c>
      <c r="F257" s="192">
        <f>IF(AC257&gt;AD257,"Yes","No")</f>
        <v/>
      </c>
      <c r="G257" s="192">
        <f>IF((Y257+AB257)&gt;Z257,"Yes",IF((Y257+AB257)=Z257,"Push","No"))</f>
        <v/>
      </c>
      <c r="H257" s="157">
        <f>IF(O257="Home",VLOOKUP(N257,Matrix!A:S,19,0),1)</f>
        <v/>
      </c>
      <c r="I257" s="157">
        <f>IF(O257="Away",VLOOKUP(N257,Matrix!A:Z,20,0),1)</f>
        <v/>
      </c>
      <c r="J257" s="157">
        <f>IF(O257="Away",VLOOKUP(P257,Matrix!A:S,19,0),1)</f>
        <v/>
      </c>
      <c r="K257" s="157">
        <f>IF(O257="Home",VLOOKUP(P257,Matrix!A:Z,20,0),1)</f>
        <v/>
      </c>
      <c r="L257" s="156" t="n">
        <v>-0.10228975632349</v>
      </c>
      <c r="M257" s="179">
        <f>Schedule!B257</f>
        <v/>
      </c>
      <c r="N257" s="156">
        <f>Schedule!E257</f>
        <v/>
      </c>
      <c r="O257" s="156" t="inlineStr">
        <is>
          <t>Away</t>
        </is>
      </c>
      <c r="P257" s="157">
        <f>Schedule!H257</f>
        <v/>
      </c>
      <c r="Q257" s="157">
        <f>Schedule!C257</f>
        <v/>
      </c>
      <c r="R257" s="180">
        <f>Schedule!D257</f>
        <v/>
      </c>
      <c r="S257" s="181">
        <f>Schedule!J257</f>
        <v/>
      </c>
      <c r="T257" s="193">
        <f>Y257-Z257</f>
        <v/>
      </c>
      <c r="U257" s="182">
        <f>T257/Picks!$K$2</f>
        <v/>
      </c>
      <c r="V257" s="193">
        <f>INDEX(Standings!$T$3:$T$34, MATCH(N257, Standings!$A$3:$A$34, 0)) - INDEX(Standings!$T$3:$T$34, MATCH(P257, Standings!$A$3:$A$34, 0))</f>
        <v/>
      </c>
      <c r="W257" s="157">
        <f>INDEX(Standings!$L$3:$L$34, MATCH(N257, Standings!$A$3:$A$34, 0)) - INDEX(Standings!$L$3:$L$34, MATCH(P257, Standings!$A$3:$A$34, 0))</f>
        <v/>
      </c>
      <c r="X257" s="157">
        <f>INDEX(Standings!$M$3:$M$34, MATCH(N257, Standings!$A$3:$A$34, 0)) - INDEX(Standings!$M$3:$M$34, MATCH(P257, Standings!$A$3:$A$34, 0))</f>
        <v/>
      </c>
      <c r="Y257" s="194">
        <f t="array" ref="Y257:Y257">IFERROR(AE257+(AL257-_DFactor)*AE257,"")</f>
        <v/>
      </c>
      <c r="Z257" s="157">
        <f>IFERROR(AF257+(AI257-_DFactor)*AF257,"")</f>
        <v/>
      </c>
      <c r="AC257" s="194">
        <f>VLOOKUP(M257&amp;N257,Schedule!A:F,6,0)</f>
        <v/>
      </c>
      <c r="AD257" s="194">
        <f>VLOOKUP(M257&amp;P257,Schedule!A:F,6,0)</f>
        <v/>
      </c>
      <c r="AE257" s="156">
        <f>VLOOKUP(N257,ProjPVT!B:I,8,0)*_Mag/VLOOKUP(P257,Standings!A:O,15,0)*H257*K257</f>
        <v/>
      </c>
      <c r="AF257" s="156">
        <f>VLOOKUP(P257,ProjPVT!B:I,8,0)*_Mag/VLOOKUP(N257,Standings!A:O,15,0)*J257*I257</f>
        <v/>
      </c>
      <c r="AG257" s="195">
        <f>VLOOKUP(N257,Matrix!AA:AC,3,0)</f>
        <v/>
      </c>
      <c r="AH257" s="195">
        <f>SUMIFS(Def!C:C,Def!F:F,AG257)</f>
        <v/>
      </c>
      <c r="AI257" s="156">
        <f>IFERROR(SUMIFS(Def!B:B,Def!F:F,AG257)/AH257,"")</f>
        <v/>
      </c>
      <c r="AJ257" s="195">
        <f>VLOOKUP(P257,Matrix!AA:AC,3,0)</f>
        <v/>
      </c>
      <c r="AK257" s="195">
        <f>SUMIFS(Def!C:C,Def!F:F,AJ257)</f>
        <v/>
      </c>
      <c r="AL257" s="156">
        <f>IFERROR(SUMIFS(Def!B:B,Def!F:F,AJ257)/AK257,"")</f>
        <v/>
      </c>
    </row>
    <row r="258" ht="14.4" customHeight="1" s="152">
      <c r="A258" s="157">
        <f>IF(F258="Yes",IFERROR(IF(AA258&gt;1,AA258/100,100/-AA258),""),-1)</f>
        <v/>
      </c>
      <c r="B258" s="157">
        <f>B257+1</f>
        <v/>
      </c>
      <c r="C258" s="157">
        <f>IF(Y258&gt;Z258,1,0)</f>
        <v/>
      </c>
      <c r="D258" s="157">
        <f>IF(AND(C258=1,F258="Yes"),"Yes",IF(AND(C258=0,F258="No"),"Yes","No"))</f>
        <v/>
      </c>
      <c r="E258" s="192">
        <f>IF((AC258+AB258)=AD258,"Push",IF((AC258+AB258)&gt;AD258,"Yes","No"))</f>
        <v/>
      </c>
      <c r="F258" s="192">
        <f>IF(AC258&gt;AD258,"Yes","No")</f>
        <v/>
      </c>
      <c r="G258" s="192">
        <f>IF((Y258+AB258)&gt;Z258,"Yes",IF((Y258+AB258)=Z258,"Push","No"))</f>
        <v/>
      </c>
      <c r="H258" s="157">
        <f>IF(O258="Home",VLOOKUP(N258,Matrix!A:S,19,0),1)</f>
        <v/>
      </c>
      <c r="I258" s="157">
        <f>IF(O258="Away",VLOOKUP(N258,Matrix!A:Z,20,0),1)</f>
        <v/>
      </c>
      <c r="J258" s="157">
        <f>IF(O258="Away",VLOOKUP(P258,Matrix!A:S,19,0),1)</f>
        <v/>
      </c>
      <c r="K258" s="157">
        <f>IF(O258="Home",VLOOKUP(P258,Matrix!A:Z,20,0),1)</f>
        <v/>
      </c>
      <c r="L258" s="156" t="n">
        <v>-0.0905238114657549</v>
      </c>
      <c r="M258" s="179">
        <f>Schedule!B258</f>
        <v/>
      </c>
      <c r="N258" s="156">
        <f>Schedule!E258</f>
        <v/>
      </c>
      <c r="O258" s="156" t="inlineStr">
        <is>
          <t>Away</t>
        </is>
      </c>
      <c r="P258" s="157">
        <f>Schedule!H258</f>
        <v/>
      </c>
      <c r="Q258" s="157">
        <f>Schedule!C258</f>
        <v/>
      </c>
      <c r="R258" s="180">
        <f>Schedule!D258</f>
        <v/>
      </c>
      <c r="S258" s="181">
        <f>Schedule!J258</f>
        <v/>
      </c>
      <c r="T258" s="193">
        <f>Y258-Z258</f>
        <v/>
      </c>
      <c r="U258" s="182">
        <f>T258/Picks!$K$2</f>
        <v/>
      </c>
      <c r="V258" s="193">
        <f>INDEX(Standings!$T$3:$T$34, MATCH(N258, Standings!$A$3:$A$34, 0)) - INDEX(Standings!$T$3:$T$34, MATCH(P258, Standings!$A$3:$A$34, 0))</f>
        <v/>
      </c>
      <c r="W258" s="157">
        <f>INDEX(Standings!$L$3:$L$34, MATCH(N258, Standings!$A$3:$A$34, 0)) - INDEX(Standings!$L$3:$L$34, MATCH(P258, Standings!$A$3:$A$34, 0))</f>
        <v/>
      </c>
      <c r="X258" s="157">
        <f>INDEX(Standings!$M$3:$M$34, MATCH(N258, Standings!$A$3:$A$34, 0)) - INDEX(Standings!$M$3:$M$34, MATCH(P258, Standings!$A$3:$A$34, 0))</f>
        <v/>
      </c>
      <c r="Y258" s="194">
        <f t="array" ref="Y258:Y258">IFERROR(AE258+(AL258-_DFactor)*AE258,"")</f>
        <v/>
      </c>
      <c r="Z258" s="157">
        <f>IFERROR(AF258+(AI258-_DFactor)*AF258,"")</f>
        <v/>
      </c>
      <c r="AC258" s="194">
        <f>VLOOKUP(M258&amp;N258,Schedule!A:F,6,0)</f>
        <v/>
      </c>
      <c r="AD258" s="194">
        <f>VLOOKUP(M258&amp;P258,Schedule!A:F,6,0)</f>
        <v/>
      </c>
      <c r="AE258" s="156">
        <f>VLOOKUP(N258,ProjPVT!B:I,8,0)*_Mag/VLOOKUP(P258,Standings!A:O,15,0)*H258*K258</f>
        <v/>
      </c>
      <c r="AF258" s="156">
        <f>VLOOKUP(P258,ProjPVT!B:I,8,0)*_Mag/VLOOKUP(N258,Standings!A:O,15,0)*J258*I258</f>
        <v/>
      </c>
      <c r="AG258" s="195">
        <f>VLOOKUP(N258,Matrix!AA:AC,3,0)</f>
        <v/>
      </c>
      <c r="AH258" s="195">
        <f>SUMIFS(Def!C:C,Def!F:F,AG258)</f>
        <v/>
      </c>
      <c r="AI258" s="156">
        <f>IFERROR(SUMIFS(Def!B:B,Def!F:F,AG258)/AH258,"")</f>
        <v/>
      </c>
      <c r="AJ258" s="195">
        <f>VLOOKUP(P258,Matrix!AA:AC,3,0)</f>
        <v/>
      </c>
      <c r="AK258" s="195">
        <f>SUMIFS(Def!C:C,Def!F:F,AJ258)</f>
        <v/>
      </c>
      <c r="AL258" s="156">
        <f>IFERROR(SUMIFS(Def!B:B,Def!F:F,AJ258)/AK258,"")</f>
        <v/>
      </c>
    </row>
    <row r="259" ht="14.4" customHeight="1" s="152">
      <c r="A259" s="157">
        <f>IF(F259="Yes",IFERROR(IF(AA259&gt;1,AA259/100,100/-AA259),""),-1)</f>
        <v/>
      </c>
      <c r="B259" s="157">
        <f>B258+1</f>
        <v/>
      </c>
      <c r="C259" s="157">
        <f>IF(Y259&gt;Z259,1,0)</f>
        <v/>
      </c>
      <c r="D259" s="157">
        <f>IF(AND(C259=1,F259="Yes"),"Yes",IF(AND(C259=0,F259="No"),"Yes","No"))</f>
        <v/>
      </c>
      <c r="E259" s="192">
        <f>IF((AC259+AB259)=AD259,"Push",IF((AC259+AB259)&gt;AD259,"Yes","No"))</f>
        <v/>
      </c>
      <c r="F259" s="192">
        <f>IF(AC259&gt;AD259,"Yes","No")</f>
        <v/>
      </c>
      <c r="G259" s="192">
        <f>IF((Y259+AB259)&gt;Z259,"Yes",IF((Y259+AB259)=Z259,"Push","No"))</f>
        <v/>
      </c>
      <c r="H259" s="157">
        <f>IF(O259="Home",VLOOKUP(N259,Matrix!A:S,19,0),1)</f>
        <v/>
      </c>
      <c r="I259" s="157">
        <f>IF(O259="Away",VLOOKUP(N259,Matrix!A:Z,20,0),1)</f>
        <v/>
      </c>
      <c r="J259" s="157">
        <f>IF(O259="Away",VLOOKUP(P259,Matrix!A:S,19,0),1)</f>
        <v/>
      </c>
      <c r="K259" s="157">
        <f>IF(O259="Home",VLOOKUP(P259,Matrix!A:Z,20,0),1)</f>
        <v/>
      </c>
      <c r="L259" s="156" t="n">
        <v>-0.08973935792734231</v>
      </c>
      <c r="M259" s="179">
        <f>Schedule!B259</f>
        <v/>
      </c>
      <c r="N259" s="156">
        <f>Schedule!E259</f>
        <v/>
      </c>
      <c r="O259" s="156" t="inlineStr">
        <is>
          <t>Home</t>
        </is>
      </c>
      <c r="P259" s="157">
        <f>Schedule!H259</f>
        <v/>
      </c>
      <c r="Q259" s="157">
        <f>Schedule!C259</f>
        <v/>
      </c>
      <c r="R259" s="180">
        <f>Schedule!D259</f>
        <v/>
      </c>
      <c r="S259" s="181">
        <f>Schedule!J259</f>
        <v/>
      </c>
      <c r="T259" s="193">
        <f>Y259-Z259</f>
        <v/>
      </c>
      <c r="U259" s="182">
        <f>T259/Picks!$K$2</f>
        <v/>
      </c>
      <c r="V259" s="193">
        <f>INDEX(Standings!$T$3:$T$34, MATCH(N259, Standings!$A$3:$A$34, 0)) - INDEX(Standings!$T$3:$T$34, MATCH(P259, Standings!$A$3:$A$34, 0))</f>
        <v/>
      </c>
      <c r="W259" s="157">
        <f>INDEX(Standings!$L$3:$L$34, MATCH(N259, Standings!$A$3:$A$34, 0)) - INDEX(Standings!$L$3:$L$34, MATCH(P259, Standings!$A$3:$A$34, 0))</f>
        <v/>
      </c>
      <c r="X259" s="157">
        <f>INDEX(Standings!$M$3:$M$34, MATCH(N259, Standings!$A$3:$A$34, 0)) - INDEX(Standings!$M$3:$M$34, MATCH(P259, Standings!$A$3:$A$34, 0))</f>
        <v/>
      </c>
      <c r="Y259" s="194">
        <f t="array" ref="Y259:Y259">IFERROR(AE259+(AL259-_DFactor)*AE259,"")</f>
        <v/>
      </c>
      <c r="Z259" s="157">
        <f>IFERROR(AF259+(AI259-_DFactor)*AF259,"")</f>
        <v/>
      </c>
      <c r="AC259" s="194">
        <f>VLOOKUP(M259&amp;N259,Schedule!A:F,6,0)</f>
        <v/>
      </c>
      <c r="AD259" s="194">
        <f>VLOOKUP(M259&amp;P259,Schedule!A:F,6,0)</f>
        <v/>
      </c>
      <c r="AE259" s="156">
        <f>VLOOKUP(N259,ProjPVT!B:I,8,0)*_Mag/VLOOKUP(P259,Standings!A:O,15,0)*H259*K259</f>
        <v/>
      </c>
      <c r="AF259" s="156">
        <f>VLOOKUP(P259,ProjPVT!B:I,8,0)*_Mag/VLOOKUP(N259,Standings!A:O,15,0)*J259*I259</f>
        <v/>
      </c>
      <c r="AG259" s="195">
        <f>VLOOKUP(N259,Matrix!AA:AC,3,0)</f>
        <v/>
      </c>
      <c r="AH259" s="195">
        <f>SUMIFS(Def!C:C,Def!F:F,AG259)</f>
        <v/>
      </c>
      <c r="AI259" s="156">
        <f>IFERROR(SUMIFS(Def!B:B,Def!F:F,AG259)/AH259,"")</f>
        <v/>
      </c>
      <c r="AJ259" s="195">
        <f>VLOOKUP(P259,Matrix!AA:AC,3,0)</f>
        <v/>
      </c>
      <c r="AK259" s="195">
        <f>SUMIFS(Def!C:C,Def!F:F,AJ259)</f>
        <v/>
      </c>
      <c r="AL259" s="156">
        <f>IFERROR(SUMIFS(Def!B:B,Def!F:F,AJ259)/AK259,"")</f>
        <v/>
      </c>
    </row>
    <row r="260" ht="14.4" customHeight="1" s="152">
      <c r="A260" s="157">
        <f>IF(F260="Yes",IFERROR(IF(AA260&gt;1,AA260/100,100/-AA260),""),-1)</f>
        <v/>
      </c>
      <c r="B260" s="157">
        <f>B259+1</f>
        <v/>
      </c>
      <c r="C260" s="157">
        <f>IF(Y260&gt;Z260,1,0)</f>
        <v/>
      </c>
      <c r="D260" s="157">
        <f>IF(AND(C260=1,F260="Yes"),"Yes",IF(AND(C260=0,F260="No"),"Yes","No"))</f>
        <v/>
      </c>
      <c r="E260" s="192">
        <f>IF((AC260+AB260)=AD260,"Push",IF((AC260+AB260)&gt;AD260,"Yes","No"))</f>
        <v/>
      </c>
      <c r="F260" s="192">
        <f>IF(AC260&gt;AD260,"Yes","No")</f>
        <v/>
      </c>
      <c r="G260" s="192">
        <f>IF((Y260+AB260)&gt;Z260,"Yes",IF((Y260+AB260)=Z260,"Push","No"))</f>
        <v/>
      </c>
      <c r="H260" s="157">
        <f>IF(O260="Home",VLOOKUP(N260,Matrix!A:S,19,0),1)</f>
        <v/>
      </c>
      <c r="I260" s="157">
        <f>IF(O260="Away",VLOOKUP(N260,Matrix!A:Z,20,0),1)</f>
        <v/>
      </c>
      <c r="J260" s="157">
        <f>IF(O260="Away",VLOOKUP(P260,Matrix!A:S,19,0),1)</f>
        <v/>
      </c>
      <c r="K260" s="157">
        <f>IF(O260="Home",VLOOKUP(P260,Matrix!A:Z,20,0),1)</f>
        <v/>
      </c>
      <c r="L260" s="156" t="n">
        <v>-0.0688070637896261</v>
      </c>
      <c r="M260" s="179">
        <f>Schedule!B260</f>
        <v/>
      </c>
      <c r="N260" s="156">
        <f>Schedule!E260</f>
        <v/>
      </c>
      <c r="O260" s="156" t="inlineStr">
        <is>
          <t>Home</t>
        </is>
      </c>
      <c r="P260" s="157">
        <f>Schedule!H260</f>
        <v/>
      </c>
      <c r="Q260" s="157">
        <f>Schedule!C260</f>
        <v/>
      </c>
      <c r="R260" s="180">
        <f>Schedule!D260</f>
        <v/>
      </c>
      <c r="S260" s="181">
        <f>Schedule!J260</f>
        <v/>
      </c>
      <c r="T260" s="193">
        <f>Y260-Z260</f>
        <v/>
      </c>
      <c r="U260" s="182">
        <f>T260/Picks!$K$2</f>
        <v/>
      </c>
      <c r="V260" s="193">
        <f>INDEX(Standings!$T$3:$T$34, MATCH(N260, Standings!$A$3:$A$34, 0)) - INDEX(Standings!$T$3:$T$34, MATCH(P260, Standings!$A$3:$A$34, 0))</f>
        <v/>
      </c>
      <c r="W260" s="157">
        <f>INDEX(Standings!$L$3:$L$34, MATCH(N260, Standings!$A$3:$A$34, 0)) - INDEX(Standings!$L$3:$L$34, MATCH(P260, Standings!$A$3:$A$34, 0))</f>
        <v/>
      </c>
      <c r="X260" s="157">
        <f>INDEX(Standings!$M$3:$M$34, MATCH(N260, Standings!$A$3:$A$34, 0)) - INDEX(Standings!$M$3:$M$34, MATCH(P260, Standings!$A$3:$A$34, 0))</f>
        <v/>
      </c>
      <c r="Y260" s="194">
        <f t="array" ref="Y260:Y260">IFERROR(AE260+(AL260-_DFactor)*AE260,"")</f>
        <v/>
      </c>
      <c r="Z260" s="157">
        <f>IFERROR(AF260+(AI260-_DFactor)*AF260,"")</f>
        <v/>
      </c>
      <c r="AC260" s="194">
        <f>VLOOKUP(M260&amp;N260,Schedule!A:F,6,0)</f>
        <v/>
      </c>
      <c r="AD260" s="194">
        <f>VLOOKUP(M260&amp;P260,Schedule!A:F,6,0)</f>
        <v/>
      </c>
      <c r="AE260" s="156">
        <f>VLOOKUP(N260,ProjPVT!B:I,8,0)*_Mag/VLOOKUP(P260,Standings!A:O,15,0)*H260*K260</f>
        <v/>
      </c>
      <c r="AF260" s="156">
        <f>VLOOKUP(P260,ProjPVT!B:I,8,0)*_Mag/VLOOKUP(N260,Standings!A:O,15,0)*J260*I260</f>
        <v/>
      </c>
      <c r="AG260" s="195">
        <f>VLOOKUP(N260,Matrix!AA:AC,3,0)</f>
        <v/>
      </c>
      <c r="AH260" s="195">
        <f>SUMIFS(Def!C:C,Def!F:F,AG260)</f>
        <v/>
      </c>
      <c r="AI260" s="156">
        <f>IFERROR(SUMIFS(Def!B:B,Def!F:F,AG260)/AH260,"")</f>
        <v/>
      </c>
      <c r="AJ260" s="195">
        <f>VLOOKUP(P260,Matrix!AA:AC,3,0)</f>
        <v/>
      </c>
      <c r="AK260" s="195">
        <f>SUMIFS(Def!C:C,Def!F:F,AJ260)</f>
        <v/>
      </c>
      <c r="AL260" s="156">
        <f>IFERROR(SUMIFS(Def!B:B,Def!F:F,AJ260)/AK260,"")</f>
        <v/>
      </c>
    </row>
    <row r="261" ht="14.4" customHeight="1" s="152">
      <c r="A261" s="157">
        <f>IF(F261="Yes",IFERROR(IF(AA261&gt;1,AA261/100,100/-AA261),""),-1)</f>
        <v/>
      </c>
      <c r="B261" s="157">
        <f>B260+1</f>
        <v/>
      </c>
      <c r="C261" s="157">
        <f>IF(Y261&gt;Z261,1,0)</f>
        <v/>
      </c>
      <c r="D261" s="157">
        <f>IF(AND(C261=1,F261="Yes"),"Yes",IF(AND(C261=0,F261="No"),"Yes","No"))</f>
        <v/>
      </c>
      <c r="E261" s="192">
        <f>IF((AC261+AB261)=AD261,"Push",IF((AC261+AB261)&gt;AD261,"Yes","No"))</f>
        <v/>
      </c>
      <c r="F261" s="192">
        <f>IF(AC261&gt;AD261,"Yes","No")</f>
        <v/>
      </c>
      <c r="G261" s="192">
        <f>IF((Y261+AB261)&gt;Z261,"Yes",IF((Y261+AB261)=Z261,"Push","No"))</f>
        <v/>
      </c>
      <c r="H261" s="157">
        <f>IF(O261="Home",VLOOKUP(N261,Matrix!A:S,19,0),1)</f>
        <v/>
      </c>
      <c r="I261" s="157">
        <f>IF(O261="Away",VLOOKUP(N261,Matrix!A:Z,20,0),1)</f>
        <v/>
      </c>
      <c r="J261" s="157">
        <f>IF(O261="Away",VLOOKUP(P261,Matrix!A:S,19,0),1)</f>
        <v/>
      </c>
      <c r="K261" s="157">
        <f>IF(O261="Home",VLOOKUP(P261,Matrix!A:Z,20,0),1)</f>
        <v/>
      </c>
      <c r="L261" s="156" t="n">
        <v>-0.0539371095552084</v>
      </c>
      <c r="M261" s="179">
        <f>Schedule!B261</f>
        <v/>
      </c>
      <c r="N261" s="156">
        <f>Schedule!E261</f>
        <v/>
      </c>
      <c r="O261" s="156" t="inlineStr">
        <is>
          <t>Away</t>
        </is>
      </c>
      <c r="P261" s="157">
        <f>Schedule!H261</f>
        <v/>
      </c>
      <c r="Q261" s="157">
        <f>Schedule!C261</f>
        <v/>
      </c>
      <c r="R261" s="180">
        <f>Schedule!D261</f>
        <v/>
      </c>
      <c r="S261" s="181">
        <f>Schedule!J261</f>
        <v/>
      </c>
      <c r="T261" s="193">
        <f>Y261-Z261</f>
        <v/>
      </c>
      <c r="U261" s="182">
        <f>T261/Picks!$K$2</f>
        <v/>
      </c>
      <c r="V261" s="193">
        <f>INDEX(Standings!$T$3:$T$34, MATCH(N261, Standings!$A$3:$A$34, 0)) - INDEX(Standings!$T$3:$T$34, MATCH(P261, Standings!$A$3:$A$34, 0))</f>
        <v/>
      </c>
      <c r="W261" s="157">
        <f>INDEX(Standings!$L$3:$L$34, MATCH(N261, Standings!$A$3:$A$34, 0)) - INDEX(Standings!$L$3:$L$34, MATCH(P261, Standings!$A$3:$A$34, 0))</f>
        <v/>
      </c>
      <c r="X261" s="157">
        <f>INDEX(Standings!$M$3:$M$34, MATCH(N261, Standings!$A$3:$A$34, 0)) - INDEX(Standings!$M$3:$M$34, MATCH(P261, Standings!$A$3:$A$34, 0))</f>
        <v/>
      </c>
      <c r="Y261" s="194">
        <f t="array" ref="Y261:Y261">IFERROR(AE261+(AL261-_DFactor)*AE261,"")</f>
        <v/>
      </c>
      <c r="Z261" s="157">
        <f>IFERROR(AF261+(AI261-_DFactor)*AF261,"")</f>
        <v/>
      </c>
      <c r="AC261" s="194">
        <f>VLOOKUP(M261&amp;N261,Schedule!A:F,6,0)</f>
        <v/>
      </c>
      <c r="AD261" s="194">
        <f>VLOOKUP(M261&amp;P261,Schedule!A:F,6,0)</f>
        <v/>
      </c>
      <c r="AE261" s="156">
        <f>VLOOKUP(N261,ProjPVT!B:I,8,0)*_Mag/VLOOKUP(P261,Standings!A:O,15,0)*H261*K261</f>
        <v/>
      </c>
      <c r="AF261" s="156">
        <f>VLOOKUP(P261,ProjPVT!B:I,8,0)*_Mag/VLOOKUP(N261,Standings!A:O,15,0)*J261*I261</f>
        <v/>
      </c>
      <c r="AG261" s="195">
        <f>VLOOKUP(N261,Matrix!AA:AC,3,0)</f>
        <v/>
      </c>
      <c r="AH261" s="195">
        <f>SUMIFS(Def!C:C,Def!F:F,AG261)</f>
        <v/>
      </c>
      <c r="AI261" s="156">
        <f>IFERROR(SUMIFS(Def!B:B,Def!F:F,AG261)/AH261,"")</f>
        <v/>
      </c>
      <c r="AJ261" s="195">
        <f>VLOOKUP(P261,Matrix!AA:AC,3,0)</f>
        <v/>
      </c>
      <c r="AK261" s="195">
        <f>SUMIFS(Def!C:C,Def!F:F,AJ261)</f>
        <v/>
      </c>
      <c r="AL261" s="156">
        <f>IFERROR(SUMIFS(Def!B:B,Def!F:F,AJ261)/AK261,"")</f>
        <v/>
      </c>
    </row>
    <row r="262" ht="14.4" customHeight="1" s="152">
      <c r="A262" s="157">
        <f>IF(F262="Yes",IFERROR(IF(AA262&gt;1,AA262/100,100/-AA262),""),-1)</f>
        <v/>
      </c>
      <c r="B262" s="157">
        <f>B261+1</f>
        <v/>
      </c>
      <c r="C262" s="157">
        <f>IF(Y262&gt;Z262,1,0)</f>
        <v/>
      </c>
      <c r="D262" s="157">
        <f>IF(AND(C262=1,F262="Yes"),"Yes",IF(AND(C262=0,F262="No"),"Yes","No"))</f>
        <v/>
      </c>
      <c r="E262" s="192">
        <f>IF((AC262+AB262)=AD262,"Push",IF((AC262+AB262)&gt;AD262,"Yes","No"))</f>
        <v/>
      </c>
      <c r="F262" s="192">
        <f>IF(AC262&gt;AD262,"Yes","No")</f>
        <v/>
      </c>
      <c r="G262" s="192">
        <f>IF((Y262+AB262)&gt;Z262,"Yes",IF((Y262+AB262)=Z262,"Push","No"))</f>
        <v/>
      </c>
      <c r="H262" s="157">
        <f>IF(O262="Home",VLOOKUP(N262,Matrix!A:S,19,0),1)</f>
        <v/>
      </c>
      <c r="I262" s="157">
        <f>IF(O262="Away",VLOOKUP(N262,Matrix!A:Z,20,0),1)</f>
        <v/>
      </c>
      <c r="J262" s="157">
        <f>IF(O262="Away",VLOOKUP(P262,Matrix!A:S,19,0),1)</f>
        <v/>
      </c>
      <c r="K262" s="157">
        <f>IF(O262="Home",VLOOKUP(P262,Matrix!A:Z,20,0),1)</f>
        <v/>
      </c>
      <c r="L262" s="156" t="n">
        <v>-0.0217378524949324</v>
      </c>
      <c r="M262" s="179">
        <f>Schedule!B262</f>
        <v/>
      </c>
      <c r="N262" s="156">
        <f>Schedule!E262</f>
        <v/>
      </c>
      <c r="O262" s="156" t="inlineStr">
        <is>
          <t>Home</t>
        </is>
      </c>
      <c r="P262" s="157">
        <f>Schedule!H262</f>
        <v/>
      </c>
      <c r="Q262" s="157">
        <f>Schedule!C262</f>
        <v/>
      </c>
      <c r="R262" s="180">
        <f>Schedule!D262</f>
        <v/>
      </c>
      <c r="S262" s="181">
        <f>Schedule!J262</f>
        <v/>
      </c>
      <c r="T262" s="193">
        <f>Y262-Z262</f>
        <v/>
      </c>
      <c r="U262" s="182">
        <f>T262/Picks!$K$2</f>
        <v/>
      </c>
      <c r="V262" s="193">
        <f>INDEX(Standings!$T$3:$T$34, MATCH(N262, Standings!$A$3:$A$34, 0)) - INDEX(Standings!$T$3:$T$34, MATCH(P262, Standings!$A$3:$A$34, 0))</f>
        <v/>
      </c>
      <c r="W262" s="157">
        <f>INDEX(Standings!$L$3:$L$34, MATCH(N262, Standings!$A$3:$A$34, 0)) - INDEX(Standings!$L$3:$L$34, MATCH(P262, Standings!$A$3:$A$34, 0))</f>
        <v/>
      </c>
      <c r="X262" s="157">
        <f>INDEX(Standings!$M$3:$M$34, MATCH(N262, Standings!$A$3:$A$34, 0)) - INDEX(Standings!$M$3:$M$34, MATCH(P262, Standings!$A$3:$A$34, 0))</f>
        <v/>
      </c>
      <c r="Y262" s="194">
        <f t="array" ref="Y262:Y262">IFERROR(AE262+(AL262-_DFactor)*AE262,"")</f>
        <v/>
      </c>
      <c r="Z262" s="157">
        <f>IFERROR(AF262+(AI262-_DFactor)*AF262,"")</f>
        <v/>
      </c>
      <c r="AC262" s="194">
        <f>VLOOKUP(M262&amp;N262,Schedule!A:F,6,0)</f>
        <v/>
      </c>
      <c r="AD262" s="194">
        <f>VLOOKUP(M262&amp;P262,Schedule!A:F,6,0)</f>
        <v/>
      </c>
      <c r="AE262" s="156">
        <f>VLOOKUP(N262,ProjPVT!B:I,8,0)*_Mag/VLOOKUP(P262,Standings!A:O,15,0)*H262*K262</f>
        <v/>
      </c>
      <c r="AF262" s="156">
        <f>VLOOKUP(P262,ProjPVT!B:I,8,0)*_Mag/VLOOKUP(N262,Standings!A:O,15,0)*J262*I262</f>
        <v/>
      </c>
      <c r="AG262" s="195">
        <f>VLOOKUP(N262,Matrix!AA:AC,3,0)</f>
        <v/>
      </c>
      <c r="AH262" s="195">
        <f>SUMIFS(Def!C:C,Def!F:F,AG262)</f>
        <v/>
      </c>
      <c r="AI262" s="156">
        <f>IFERROR(SUMIFS(Def!B:B,Def!F:F,AG262)/AH262,"")</f>
        <v/>
      </c>
      <c r="AJ262" s="195">
        <f>VLOOKUP(P262,Matrix!AA:AC,3,0)</f>
        <v/>
      </c>
      <c r="AK262" s="195">
        <f>SUMIFS(Def!C:C,Def!F:F,AJ262)</f>
        <v/>
      </c>
      <c r="AL262" s="156">
        <f>IFERROR(SUMIFS(Def!B:B,Def!F:F,AJ262)/AK262,"")</f>
        <v/>
      </c>
    </row>
    <row r="263" ht="14.4" customHeight="1" s="152">
      <c r="A263" s="157">
        <f>IF(F263="Yes",IFERROR(IF(AA263&gt;1,AA263/100,100/-AA263),""),-1)</f>
        <v/>
      </c>
      <c r="B263" s="157">
        <f>B262+1</f>
        <v/>
      </c>
      <c r="C263" s="157">
        <f>IF(Y263&gt;Z263,1,0)</f>
        <v/>
      </c>
      <c r="D263" s="157">
        <f>IF(AND(C263=1,F263="Yes"),"Yes",IF(AND(C263=0,F263="No"),"Yes","No"))</f>
        <v/>
      </c>
      <c r="E263" s="192">
        <f>IF((AC263+AB263)=AD263,"Push",IF((AC263+AB263)&gt;AD263,"Yes","No"))</f>
        <v/>
      </c>
      <c r="F263" s="192">
        <f>IF(AC263&gt;AD263,"Yes","No")</f>
        <v/>
      </c>
      <c r="G263" s="192">
        <f>IF((Y263+AB263)&gt;Z263,"Yes",IF((Y263+AB263)=Z263,"Push","No"))</f>
        <v/>
      </c>
      <c r="H263" s="157">
        <f>IF(O263="Home",VLOOKUP(N263,Matrix!A:S,19,0),1)</f>
        <v/>
      </c>
      <c r="I263" s="157">
        <f>IF(O263="Away",VLOOKUP(N263,Matrix!A:Z,20,0),1)</f>
        <v/>
      </c>
      <c r="J263" s="157">
        <f>IF(O263="Away",VLOOKUP(P263,Matrix!A:S,19,0),1)</f>
        <v/>
      </c>
      <c r="K263" s="157">
        <f>IF(O263="Home",VLOOKUP(P263,Matrix!A:Z,20,0),1)</f>
        <v/>
      </c>
      <c r="L263" s="156" t="n">
        <v>0.0217378524949324</v>
      </c>
      <c r="M263" s="179">
        <f>Schedule!B263</f>
        <v/>
      </c>
      <c r="N263" s="156">
        <f>Schedule!E263</f>
        <v/>
      </c>
      <c r="O263" s="156" t="inlineStr">
        <is>
          <t>Away</t>
        </is>
      </c>
      <c r="P263" s="157">
        <f>Schedule!H263</f>
        <v/>
      </c>
      <c r="Q263" s="157">
        <f>Schedule!C263</f>
        <v/>
      </c>
      <c r="R263" s="180">
        <f>Schedule!D263</f>
        <v/>
      </c>
      <c r="S263" s="181">
        <f>Schedule!J263</f>
        <v/>
      </c>
      <c r="T263" s="193">
        <f>Y263-Z263</f>
        <v/>
      </c>
      <c r="U263" s="182">
        <f>T263/Picks!$K$2</f>
        <v/>
      </c>
      <c r="V263" s="193">
        <f>INDEX(Standings!$T$3:$T$34, MATCH(N263, Standings!$A$3:$A$34, 0)) - INDEX(Standings!$T$3:$T$34, MATCH(P263, Standings!$A$3:$A$34, 0))</f>
        <v/>
      </c>
      <c r="W263" s="157">
        <f>INDEX(Standings!$L$3:$L$34, MATCH(N263, Standings!$A$3:$A$34, 0)) - INDEX(Standings!$L$3:$L$34, MATCH(P263, Standings!$A$3:$A$34, 0))</f>
        <v/>
      </c>
      <c r="X263" s="157">
        <f>INDEX(Standings!$M$3:$M$34, MATCH(N263, Standings!$A$3:$A$34, 0)) - INDEX(Standings!$M$3:$M$34, MATCH(P263, Standings!$A$3:$A$34, 0))</f>
        <v/>
      </c>
      <c r="Y263" s="194">
        <f t="array" ref="Y263:Y263">IFERROR(AE263+(AL263-_DFactor)*AE263,"")</f>
        <v/>
      </c>
      <c r="Z263" s="157">
        <f>IFERROR(AF263+(AI263-_DFactor)*AF263,"")</f>
        <v/>
      </c>
      <c r="AC263" s="194">
        <f>VLOOKUP(M263&amp;N263,Schedule!A:F,6,0)</f>
        <v/>
      </c>
      <c r="AD263" s="194">
        <f>VLOOKUP(M263&amp;P263,Schedule!A:F,6,0)</f>
        <v/>
      </c>
      <c r="AE263" s="156">
        <f>VLOOKUP(N263,ProjPVT!B:I,8,0)*_Mag/VLOOKUP(P263,Standings!A:O,15,0)*H263*K263</f>
        <v/>
      </c>
      <c r="AF263" s="156">
        <f>VLOOKUP(P263,ProjPVT!B:I,8,0)*_Mag/VLOOKUP(N263,Standings!A:O,15,0)*J263*I263</f>
        <v/>
      </c>
      <c r="AG263" s="195">
        <f>VLOOKUP(N263,Matrix!AA:AC,3,0)</f>
        <v/>
      </c>
      <c r="AH263" s="195">
        <f>SUMIFS(Def!C:C,Def!F:F,AG263)</f>
        <v/>
      </c>
      <c r="AI263" s="156">
        <f>IFERROR(SUMIFS(Def!B:B,Def!F:F,AG263)/AH263,"")</f>
        <v/>
      </c>
      <c r="AJ263" s="195">
        <f>VLOOKUP(P263,Matrix!AA:AC,3,0)</f>
        <v/>
      </c>
      <c r="AK263" s="195">
        <f>SUMIFS(Def!C:C,Def!F:F,AJ263)</f>
        <v/>
      </c>
      <c r="AL263" s="156">
        <f>IFERROR(SUMIFS(Def!B:B,Def!F:F,AJ263)/AK263,"")</f>
        <v/>
      </c>
    </row>
    <row r="264" ht="14.4" customHeight="1" s="152">
      <c r="A264" s="157">
        <f>IF(F264="Yes",IFERROR(IF(AA264&gt;1,AA264/100,100/-AA264),""),-1)</f>
        <v/>
      </c>
      <c r="B264" s="157">
        <f>B263+1</f>
        <v/>
      </c>
      <c r="C264" s="157">
        <f>IF(Y264&gt;Z264,1,0)</f>
        <v/>
      </c>
      <c r="D264" s="157">
        <f>IF(AND(C264=1,F264="Yes"),"Yes",IF(AND(C264=0,F264="No"),"Yes","No"))</f>
        <v/>
      </c>
      <c r="E264" s="192">
        <f>IF((AC264+AB264)=AD264,"Push",IF((AC264+AB264)&gt;AD264,"Yes","No"))</f>
        <v/>
      </c>
      <c r="F264" s="192">
        <f>IF(AC264&gt;AD264,"Yes","No")</f>
        <v/>
      </c>
      <c r="G264" s="192">
        <f>IF((Y264+AB264)&gt;Z264,"Yes",IF((Y264+AB264)=Z264,"Push","No"))</f>
        <v/>
      </c>
      <c r="H264" s="157">
        <f>IF(O264="Home",VLOOKUP(N264,Matrix!A:S,19,0),1)</f>
        <v/>
      </c>
      <c r="I264" s="157">
        <f>IF(O264="Away",VLOOKUP(N264,Matrix!A:Z,20,0),1)</f>
        <v/>
      </c>
      <c r="J264" s="157">
        <f>IF(O264="Away",VLOOKUP(P264,Matrix!A:S,19,0),1)</f>
        <v/>
      </c>
      <c r="K264" s="157">
        <f>IF(O264="Home",VLOOKUP(P264,Matrix!A:Z,20,0),1)</f>
        <v/>
      </c>
      <c r="L264" s="156" t="n">
        <v>0.0539371095552084</v>
      </c>
      <c r="M264" s="179">
        <f>Schedule!B264</f>
        <v/>
      </c>
      <c r="N264" s="156">
        <f>Schedule!E264</f>
        <v/>
      </c>
      <c r="O264" s="156" t="inlineStr">
        <is>
          <t>Home</t>
        </is>
      </c>
      <c r="P264" s="157">
        <f>Schedule!H264</f>
        <v/>
      </c>
      <c r="Q264" s="157">
        <f>Schedule!C264</f>
        <v/>
      </c>
      <c r="R264" s="180">
        <f>Schedule!D264</f>
        <v/>
      </c>
      <c r="S264" s="181">
        <f>Schedule!J264</f>
        <v/>
      </c>
      <c r="T264" s="193">
        <f>Y264-Z264</f>
        <v/>
      </c>
      <c r="U264" s="182">
        <f>T264/Picks!$K$2</f>
        <v/>
      </c>
      <c r="V264" s="193">
        <f>INDEX(Standings!$T$3:$T$34, MATCH(N264, Standings!$A$3:$A$34, 0)) - INDEX(Standings!$T$3:$T$34, MATCH(P264, Standings!$A$3:$A$34, 0))</f>
        <v/>
      </c>
      <c r="W264" s="157">
        <f>INDEX(Standings!$L$3:$L$34, MATCH(N264, Standings!$A$3:$A$34, 0)) - INDEX(Standings!$L$3:$L$34, MATCH(P264, Standings!$A$3:$A$34, 0))</f>
        <v/>
      </c>
      <c r="X264" s="157">
        <f>INDEX(Standings!$M$3:$M$34, MATCH(N264, Standings!$A$3:$A$34, 0)) - INDEX(Standings!$M$3:$M$34, MATCH(P264, Standings!$A$3:$A$34, 0))</f>
        <v/>
      </c>
      <c r="Y264" s="194">
        <f t="array" ref="Y264:Y264">IFERROR(AE264+(AL264-_DFactor)*AE264,"")</f>
        <v/>
      </c>
      <c r="Z264" s="157">
        <f>IFERROR(AF264+(AI264-_DFactor)*AF264,"")</f>
        <v/>
      </c>
      <c r="AC264" s="194">
        <f>VLOOKUP(M264&amp;N264,Schedule!A:F,6,0)</f>
        <v/>
      </c>
      <c r="AD264" s="194">
        <f>VLOOKUP(M264&amp;P264,Schedule!A:F,6,0)</f>
        <v/>
      </c>
      <c r="AE264" s="156">
        <f>VLOOKUP(N264,ProjPVT!B:I,8,0)*_Mag/VLOOKUP(P264,Standings!A:O,15,0)*H264*K264</f>
        <v/>
      </c>
      <c r="AF264" s="156">
        <f>VLOOKUP(P264,ProjPVT!B:I,8,0)*_Mag/VLOOKUP(N264,Standings!A:O,15,0)*J264*I264</f>
        <v/>
      </c>
      <c r="AG264" s="195">
        <f>VLOOKUP(N264,Matrix!AA:AC,3,0)</f>
        <v/>
      </c>
      <c r="AH264" s="195">
        <f>SUMIFS(Def!C:C,Def!F:F,AG264)</f>
        <v/>
      </c>
      <c r="AI264" s="156">
        <f>IFERROR(SUMIFS(Def!B:B,Def!F:F,AG264)/AH264,"")</f>
        <v/>
      </c>
      <c r="AJ264" s="195">
        <f>VLOOKUP(P264,Matrix!AA:AC,3,0)</f>
        <v/>
      </c>
      <c r="AK264" s="195">
        <f>SUMIFS(Def!C:C,Def!F:F,AJ264)</f>
        <v/>
      </c>
      <c r="AL264" s="156">
        <f>IFERROR(SUMIFS(Def!B:B,Def!F:F,AJ264)/AK264,"")</f>
        <v/>
      </c>
    </row>
    <row r="265" ht="14.4" customHeight="1" s="152">
      <c r="A265" s="157">
        <f>IF(F265="Yes",IFERROR(IF(AA265&gt;1,AA265/100,100/-AA265),""),-1)</f>
        <v/>
      </c>
      <c r="B265" s="157">
        <f>B264+1</f>
        <v/>
      </c>
      <c r="C265" s="157">
        <f>IF(Y265&gt;Z265,1,0)</f>
        <v/>
      </c>
      <c r="D265" s="157">
        <f>IF(AND(C265=1,F265="Yes"),"Yes",IF(AND(C265=0,F265="No"),"Yes","No"))</f>
        <v/>
      </c>
      <c r="E265" s="192">
        <f>IF((AC265+AB265)=AD265,"Push",IF((AC265+AB265)&gt;AD265,"Yes","No"))</f>
        <v/>
      </c>
      <c r="F265" s="192">
        <f>IF(AC265&gt;AD265,"Yes","No")</f>
        <v/>
      </c>
      <c r="G265" s="192">
        <f>IF((Y265+AB265)&gt;Z265,"Yes",IF((Y265+AB265)=Z265,"Push","No"))</f>
        <v/>
      </c>
      <c r="H265" s="157">
        <f>IF(O265="Home",VLOOKUP(N265,Matrix!A:S,19,0),1)</f>
        <v/>
      </c>
      <c r="I265" s="157">
        <f>IF(O265="Away",VLOOKUP(N265,Matrix!A:Z,20,0),1)</f>
        <v/>
      </c>
      <c r="J265" s="157">
        <f>IF(O265="Away",VLOOKUP(P265,Matrix!A:S,19,0),1)</f>
        <v/>
      </c>
      <c r="K265" s="157">
        <f>IF(O265="Home",VLOOKUP(P265,Matrix!A:Z,20,0),1)</f>
        <v/>
      </c>
      <c r="L265" s="156" t="n">
        <v>0.0688070637896261</v>
      </c>
      <c r="M265" s="179">
        <f>Schedule!B265</f>
        <v/>
      </c>
      <c r="N265" s="156">
        <f>Schedule!E265</f>
        <v/>
      </c>
      <c r="O265" s="156" t="inlineStr">
        <is>
          <t>Away</t>
        </is>
      </c>
      <c r="P265" s="157">
        <f>Schedule!H265</f>
        <v/>
      </c>
      <c r="Q265" s="157">
        <f>Schedule!C265</f>
        <v/>
      </c>
      <c r="R265" s="180">
        <f>Schedule!D265</f>
        <v/>
      </c>
      <c r="S265" s="181">
        <f>Schedule!J265</f>
        <v/>
      </c>
      <c r="T265" s="193">
        <f>Y265-Z265</f>
        <v/>
      </c>
      <c r="U265" s="182">
        <f>T265/Picks!$K$2</f>
        <v/>
      </c>
      <c r="V265" s="193">
        <f>INDEX(Standings!$T$3:$T$34, MATCH(N265, Standings!$A$3:$A$34, 0)) - INDEX(Standings!$T$3:$T$34, MATCH(P265, Standings!$A$3:$A$34, 0))</f>
        <v/>
      </c>
      <c r="W265" s="157">
        <f>INDEX(Standings!$L$3:$L$34, MATCH(N265, Standings!$A$3:$A$34, 0)) - INDEX(Standings!$L$3:$L$34, MATCH(P265, Standings!$A$3:$A$34, 0))</f>
        <v/>
      </c>
      <c r="X265" s="157">
        <f>INDEX(Standings!$M$3:$M$34, MATCH(N265, Standings!$A$3:$A$34, 0)) - INDEX(Standings!$M$3:$M$34, MATCH(P265, Standings!$A$3:$A$34, 0))</f>
        <v/>
      </c>
      <c r="Y265" s="194">
        <f t="array" ref="Y265:Y265">IFERROR(AE265+(AL265-_DFactor)*AE265,"")</f>
        <v/>
      </c>
      <c r="Z265" s="157">
        <f>IFERROR(AF265+(AI265-_DFactor)*AF265,"")</f>
        <v/>
      </c>
      <c r="AC265" s="194">
        <f>VLOOKUP(M265&amp;N265,Schedule!A:F,6,0)</f>
        <v/>
      </c>
      <c r="AD265" s="194">
        <f>VLOOKUP(M265&amp;P265,Schedule!A:F,6,0)</f>
        <v/>
      </c>
      <c r="AE265" s="156">
        <f>VLOOKUP(N265,ProjPVT!B:I,8,0)*_Mag/VLOOKUP(P265,Standings!A:O,15,0)*H265*K265</f>
        <v/>
      </c>
      <c r="AF265" s="156">
        <f>VLOOKUP(P265,ProjPVT!B:I,8,0)*_Mag/VLOOKUP(N265,Standings!A:O,15,0)*J265*I265</f>
        <v/>
      </c>
      <c r="AG265" s="195">
        <f>VLOOKUP(N265,Matrix!AA:AC,3,0)</f>
        <v/>
      </c>
      <c r="AH265" s="195">
        <f>SUMIFS(Def!C:C,Def!F:F,AG265)</f>
        <v/>
      </c>
      <c r="AI265" s="156">
        <f>IFERROR(SUMIFS(Def!B:B,Def!F:F,AG265)/AH265,"")</f>
        <v/>
      </c>
      <c r="AJ265" s="195">
        <f>VLOOKUP(P265,Matrix!AA:AC,3,0)</f>
        <v/>
      </c>
      <c r="AK265" s="195">
        <f>SUMIFS(Def!C:C,Def!F:F,AJ265)</f>
        <v/>
      </c>
      <c r="AL265" s="156">
        <f>IFERROR(SUMIFS(Def!B:B,Def!F:F,AJ265)/AK265,"")</f>
        <v/>
      </c>
    </row>
    <row r="266" ht="14.4" customHeight="1" s="152">
      <c r="A266" s="157">
        <f>IF(F266="Yes",IFERROR(IF(AA266&gt;1,AA266/100,100/-AA266),""),-1)</f>
        <v/>
      </c>
      <c r="B266" s="157">
        <f>B265+1</f>
        <v/>
      </c>
      <c r="C266" s="157">
        <f>IF(Y266&gt;Z266,1,0)</f>
        <v/>
      </c>
      <c r="D266" s="157">
        <f>IF(AND(C266=1,F266="Yes"),"Yes",IF(AND(C266=0,F266="No"),"Yes","No"))</f>
        <v/>
      </c>
      <c r="E266" s="192">
        <f>IF((AC266+AB266)=AD266,"Push",IF((AC266+AB266)&gt;AD266,"Yes","No"))</f>
        <v/>
      </c>
      <c r="F266" s="192">
        <f>IF(AC266&gt;AD266,"Yes","No")</f>
        <v/>
      </c>
      <c r="G266" s="192">
        <f>IF((Y266+AB266)&gt;Z266,"Yes",IF((Y266+AB266)=Z266,"Push","No"))</f>
        <v/>
      </c>
      <c r="H266" s="157">
        <f>IF(O266="Home",VLOOKUP(N266,Matrix!A:S,19,0),1)</f>
        <v/>
      </c>
      <c r="I266" s="157">
        <f>IF(O266="Away",VLOOKUP(N266,Matrix!A:Z,20,0),1)</f>
        <v/>
      </c>
      <c r="J266" s="157">
        <f>IF(O266="Away",VLOOKUP(P266,Matrix!A:S,19,0),1)</f>
        <v/>
      </c>
      <c r="K266" s="157">
        <f>IF(O266="Home",VLOOKUP(P266,Matrix!A:Z,20,0),1)</f>
        <v/>
      </c>
      <c r="L266" s="156" t="n">
        <v>0.08973935792734231</v>
      </c>
      <c r="M266" s="179">
        <f>Schedule!B266</f>
        <v/>
      </c>
      <c r="N266" s="156">
        <f>Schedule!E266</f>
        <v/>
      </c>
      <c r="O266" s="156" t="inlineStr">
        <is>
          <t>Away</t>
        </is>
      </c>
      <c r="P266" s="157">
        <f>Schedule!H266</f>
        <v/>
      </c>
      <c r="Q266" s="157">
        <f>Schedule!C266</f>
        <v/>
      </c>
      <c r="R266" s="180">
        <f>Schedule!D266</f>
        <v/>
      </c>
      <c r="S266" s="181">
        <f>Schedule!J266</f>
        <v/>
      </c>
      <c r="T266" s="193">
        <f>Y266-Z266</f>
        <v/>
      </c>
      <c r="U266" s="182">
        <f>T266/Picks!$K$2</f>
        <v/>
      </c>
      <c r="V266" s="193">
        <f>INDEX(Standings!$T$3:$T$34, MATCH(N266, Standings!$A$3:$A$34, 0)) - INDEX(Standings!$T$3:$T$34, MATCH(P266, Standings!$A$3:$A$34, 0))</f>
        <v/>
      </c>
      <c r="W266" s="157">
        <f>INDEX(Standings!$L$3:$L$34, MATCH(N266, Standings!$A$3:$A$34, 0)) - INDEX(Standings!$L$3:$L$34, MATCH(P266, Standings!$A$3:$A$34, 0))</f>
        <v/>
      </c>
      <c r="X266" s="157">
        <f>INDEX(Standings!$M$3:$M$34, MATCH(N266, Standings!$A$3:$A$34, 0)) - INDEX(Standings!$M$3:$M$34, MATCH(P266, Standings!$A$3:$A$34, 0))</f>
        <v/>
      </c>
      <c r="Y266" s="194">
        <f t="array" ref="Y266:Y266">IFERROR(AE266+(AL266-_DFactor)*AE266,"")</f>
        <v/>
      </c>
      <c r="Z266" s="157">
        <f>IFERROR(AF266+(AI266-_DFactor)*AF266,"")</f>
        <v/>
      </c>
      <c r="AC266" s="194">
        <f>VLOOKUP(M266&amp;N266,Schedule!A:F,6,0)</f>
        <v/>
      </c>
      <c r="AD266" s="194">
        <f>VLOOKUP(M266&amp;P266,Schedule!A:F,6,0)</f>
        <v/>
      </c>
      <c r="AE266" s="156">
        <f>VLOOKUP(N266,ProjPVT!B:I,8,0)*_Mag/VLOOKUP(P266,Standings!A:O,15,0)*H266*K266</f>
        <v/>
      </c>
      <c r="AF266" s="156">
        <f>VLOOKUP(P266,ProjPVT!B:I,8,0)*_Mag/VLOOKUP(N266,Standings!A:O,15,0)*J266*I266</f>
        <v/>
      </c>
      <c r="AG266" s="195">
        <f>VLOOKUP(N266,Matrix!AA:AC,3,0)</f>
        <v/>
      </c>
      <c r="AH266" s="195">
        <f>SUMIFS(Def!C:C,Def!F:F,AG266)</f>
        <v/>
      </c>
      <c r="AI266" s="156">
        <f>IFERROR(SUMIFS(Def!B:B,Def!F:F,AG266)/AH266,"")</f>
        <v/>
      </c>
      <c r="AJ266" s="195">
        <f>VLOOKUP(P266,Matrix!AA:AC,3,0)</f>
        <v/>
      </c>
      <c r="AK266" s="195">
        <f>SUMIFS(Def!C:C,Def!F:F,AJ266)</f>
        <v/>
      </c>
      <c r="AL266" s="156">
        <f>IFERROR(SUMIFS(Def!B:B,Def!F:F,AJ266)/AK266,"")</f>
        <v/>
      </c>
    </row>
    <row r="267" ht="14.4" customHeight="1" s="152">
      <c r="A267" s="157">
        <f>IF(F267="Yes",IFERROR(IF(AA267&gt;1,AA267/100,100/-AA267),""),-1)</f>
        <v/>
      </c>
      <c r="B267" s="157">
        <f>B266+1</f>
        <v/>
      </c>
      <c r="C267" s="157">
        <f>IF(Y267&gt;Z267,1,0)</f>
        <v/>
      </c>
      <c r="D267" s="157">
        <f>IF(AND(C267=1,F267="Yes"),"Yes",IF(AND(C267=0,F267="No"),"Yes","No"))</f>
        <v/>
      </c>
      <c r="E267" s="192">
        <f>IF((AC267+AB267)=AD267,"Push",IF((AC267+AB267)&gt;AD267,"Yes","No"))</f>
        <v/>
      </c>
      <c r="F267" s="192">
        <f>IF(AC267&gt;AD267,"Yes","No")</f>
        <v/>
      </c>
      <c r="G267" s="192">
        <f>IF((Y267+AB267)&gt;Z267,"Yes",IF((Y267+AB267)=Z267,"Push","No"))</f>
        <v/>
      </c>
      <c r="H267" s="157">
        <f>IF(O267="Home",VLOOKUP(N267,Matrix!A:S,19,0),1)</f>
        <v/>
      </c>
      <c r="I267" s="157">
        <f>IF(O267="Away",VLOOKUP(N267,Matrix!A:Z,20,0),1)</f>
        <v/>
      </c>
      <c r="J267" s="157">
        <f>IF(O267="Away",VLOOKUP(P267,Matrix!A:S,19,0),1)</f>
        <v/>
      </c>
      <c r="K267" s="157">
        <f>IF(O267="Home",VLOOKUP(P267,Matrix!A:Z,20,0),1)</f>
        <v/>
      </c>
      <c r="L267" s="156" t="n">
        <v>0.0905238114657549</v>
      </c>
      <c r="M267" s="179">
        <f>Schedule!B267</f>
        <v/>
      </c>
      <c r="N267" s="156">
        <f>Schedule!E267</f>
        <v/>
      </c>
      <c r="O267" s="156" t="inlineStr">
        <is>
          <t>Home</t>
        </is>
      </c>
      <c r="P267" s="157">
        <f>Schedule!H267</f>
        <v/>
      </c>
      <c r="Q267" s="157">
        <f>Schedule!C267</f>
        <v/>
      </c>
      <c r="R267" s="180">
        <f>Schedule!D267</f>
        <v/>
      </c>
      <c r="S267" s="181">
        <f>Schedule!J267</f>
        <v/>
      </c>
      <c r="T267" s="193">
        <f>Y267-Z267</f>
        <v/>
      </c>
      <c r="U267" s="182">
        <f>T267/Picks!$K$2</f>
        <v/>
      </c>
      <c r="V267" s="193">
        <f>INDEX(Standings!$T$3:$T$34, MATCH(N267, Standings!$A$3:$A$34, 0)) - INDEX(Standings!$T$3:$T$34, MATCH(P267, Standings!$A$3:$A$34, 0))</f>
        <v/>
      </c>
      <c r="W267" s="157">
        <f>INDEX(Standings!$L$3:$L$34, MATCH(N267, Standings!$A$3:$A$34, 0)) - INDEX(Standings!$L$3:$L$34, MATCH(P267, Standings!$A$3:$A$34, 0))</f>
        <v/>
      </c>
      <c r="X267" s="157">
        <f>INDEX(Standings!$M$3:$M$34, MATCH(N267, Standings!$A$3:$A$34, 0)) - INDEX(Standings!$M$3:$M$34, MATCH(P267, Standings!$A$3:$A$34, 0))</f>
        <v/>
      </c>
      <c r="Y267" s="194">
        <f t="array" ref="Y267:Y267">IFERROR(AE267+(AL267-_DFactor)*AE267,"")</f>
        <v/>
      </c>
      <c r="Z267" s="157">
        <f>IFERROR(AF267+(AI267-_DFactor)*AF267,"")</f>
        <v/>
      </c>
      <c r="AC267" s="194">
        <f>VLOOKUP(M267&amp;N267,Schedule!A:F,6,0)</f>
        <v/>
      </c>
      <c r="AD267" s="194">
        <f>VLOOKUP(M267&amp;P267,Schedule!A:F,6,0)</f>
        <v/>
      </c>
      <c r="AE267" s="156">
        <f>VLOOKUP(N267,ProjPVT!B:I,8,0)*_Mag/VLOOKUP(P267,Standings!A:O,15,0)*H267*K267</f>
        <v/>
      </c>
      <c r="AF267" s="156">
        <f>VLOOKUP(P267,ProjPVT!B:I,8,0)*_Mag/VLOOKUP(N267,Standings!A:O,15,0)*J267*I267</f>
        <v/>
      </c>
      <c r="AG267" s="195">
        <f>VLOOKUP(N267,Matrix!AA:AC,3,0)</f>
        <v/>
      </c>
      <c r="AH267" s="195">
        <f>SUMIFS(Def!C:C,Def!F:F,AG267)</f>
        <v/>
      </c>
      <c r="AI267" s="156">
        <f>IFERROR(SUMIFS(Def!B:B,Def!F:F,AG267)/AH267,"")</f>
        <v/>
      </c>
      <c r="AJ267" s="195">
        <f>VLOOKUP(P267,Matrix!AA:AC,3,0)</f>
        <v/>
      </c>
      <c r="AK267" s="195">
        <f>SUMIFS(Def!C:C,Def!F:F,AJ267)</f>
        <v/>
      </c>
      <c r="AL267" s="156">
        <f>IFERROR(SUMIFS(Def!B:B,Def!F:F,AJ267)/AK267,"")</f>
        <v/>
      </c>
    </row>
    <row r="268" ht="14.4" customHeight="1" s="152">
      <c r="A268" s="157">
        <f>IF(F268="Yes",IFERROR(IF(AA268&gt;1,AA268/100,100/-AA268),""),-1)</f>
        <v/>
      </c>
      <c r="B268" s="157">
        <f>B267+1</f>
        <v/>
      </c>
      <c r="C268" s="157">
        <f>IF(Y268&gt;Z268,1,0)</f>
        <v/>
      </c>
      <c r="D268" s="157">
        <f>IF(AND(C268=1,F268="Yes"),"Yes",IF(AND(C268=0,F268="No"),"Yes","No"))</f>
        <v/>
      </c>
      <c r="E268" s="192">
        <f>IF((AC268+AB268)=AD268,"Push",IF((AC268+AB268)&gt;AD268,"Yes","No"))</f>
        <v/>
      </c>
      <c r="F268" s="192">
        <f>IF(AC268&gt;AD268,"Yes","No")</f>
        <v/>
      </c>
      <c r="G268" s="192">
        <f>IF((Y268+AB268)&gt;Z268,"Yes",IF((Y268+AB268)=Z268,"Push","No"))</f>
        <v/>
      </c>
      <c r="H268" s="157">
        <f>IF(O268="Home",VLOOKUP(N268,Matrix!A:S,19,0),1)</f>
        <v/>
      </c>
      <c r="I268" s="157">
        <f>IF(O268="Away",VLOOKUP(N268,Matrix!A:Z,20,0),1)</f>
        <v/>
      </c>
      <c r="J268" s="157">
        <f>IF(O268="Away",VLOOKUP(P268,Matrix!A:S,19,0),1)</f>
        <v/>
      </c>
      <c r="K268" s="157">
        <f>IF(O268="Home",VLOOKUP(P268,Matrix!A:Z,20,0),1)</f>
        <v/>
      </c>
      <c r="L268" s="156" t="n">
        <v>0.10228975632349</v>
      </c>
      <c r="M268" s="179">
        <f>Schedule!B268</f>
        <v/>
      </c>
      <c r="N268" s="156">
        <f>Schedule!E268</f>
        <v/>
      </c>
      <c r="O268" s="156" t="inlineStr">
        <is>
          <t>Home</t>
        </is>
      </c>
      <c r="P268" s="157">
        <f>Schedule!H268</f>
        <v/>
      </c>
      <c r="Q268" s="157">
        <f>Schedule!C268</f>
        <v/>
      </c>
      <c r="R268" s="180">
        <f>Schedule!D268</f>
        <v/>
      </c>
      <c r="S268" s="181">
        <f>Schedule!J268</f>
        <v/>
      </c>
      <c r="T268" s="193">
        <f>Y268-Z268</f>
        <v/>
      </c>
      <c r="U268" s="182">
        <f>T268/Picks!$K$2</f>
        <v/>
      </c>
      <c r="V268" s="193">
        <f>INDEX(Standings!$T$3:$T$34, MATCH(N268, Standings!$A$3:$A$34, 0)) - INDEX(Standings!$T$3:$T$34, MATCH(P268, Standings!$A$3:$A$34, 0))</f>
        <v/>
      </c>
      <c r="W268" s="157">
        <f>INDEX(Standings!$L$3:$L$34, MATCH(N268, Standings!$A$3:$A$34, 0)) - INDEX(Standings!$L$3:$L$34, MATCH(P268, Standings!$A$3:$A$34, 0))</f>
        <v/>
      </c>
      <c r="X268" s="157">
        <f>INDEX(Standings!$M$3:$M$34, MATCH(N268, Standings!$A$3:$A$34, 0)) - INDEX(Standings!$M$3:$M$34, MATCH(P268, Standings!$A$3:$A$34, 0))</f>
        <v/>
      </c>
      <c r="Y268" s="194">
        <f t="array" ref="Y268:Y268">IFERROR(AE268+(AL268-_DFactor)*AE268,"")</f>
        <v/>
      </c>
      <c r="Z268" s="157">
        <f>IFERROR(AF268+(AI268-_DFactor)*AF268,"")</f>
        <v/>
      </c>
      <c r="AC268" s="194">
        <f>VLOOKUP(M268&amp;N268,Schedule!A:F,6,0)</f>
        <v/>
      </c>
      <c r="AD268" s="194">
        <f>VLOOKUP(M268&amp;P268,Schedule!A:F,6,0)</f>
        <v/>
      </c>
      <c r="AE268" s="156">
        <f>VLOOKUP(N268,ProjPVT!B:I,8,0)*_Mag/VLOOKUP(P268,Standings!A:O,15,0)*H268*K268</f>
        <v/>
      </c>
      <c r="AF268" s="156">
        <f>VLOOKUP(P268,ProjPVT!B:I,8,0)*_Mag/VLOOKUP(N268,Standings!A:O,15,0)*J268*I268</f>
        <v/>
      </c>
      <c r="AG268" s="195">
        <f>VLOOKUP(N268,Matrix!AA:AC,3,0)</f>
        <v/>
      </c>
      <c r="AH268" s="195">
        <f>SUMIFS(Def!C:C,Def!F:F,AG268)</f>
        <v/>
      </c>
      <c r="AI268" s="156">
        <f>IFERROR(SUMIFS(Def!B:B,Def!F:F,AG268)/AH268,"")</f>
        <v/>
      </c>
      <c r="AJ268" s="195">
        <f>VLOOKUP(P268,Matrix!AA:AC,3,0)</f>
        <v/>
      </c>
      <c r="AK268" s="195">
        <f>SUMIFS(Def!C:C,Def!F:F,AJ268)</f>
        <v/>
      </c>
      <c r="AL268" s="156">
        <f>IFERROR(SUMIFS(Def!B:B,Def!F:F,AJ268)/AK268,"")</f>
        <v/>
      </c>
    </row>
    <row r="269" ht="14.4" customHeight="1" s="152">
      <c r="A269" s="157">
        <f>IF(F269="Yes",IFERROR(IF(AA269&gt;1,AA269/100,100/-AA269),""),-1)</f>
        <v/>
      </c>
      <c r="B269" s="157">
        <f>B268+1</f>
        <v/>
      </c>
      <c r="C269" s="157">
        <f>IF(Y269&gt;Z269,1,0)</f>
        <v/>
      </c>
      <c r="D269" s="157">
        <f>IF(AND(C269=1,F269="Yes"),"Yes",IF(AND(C269=0,F269="No"),"Yes","No"))</f>
        <v/>
      </c>
      <c r="E269" s="192">
        <f>IF((AC269+AB269)=AD269,"Push",IF((AC269+AB269)&gt;AD269,"Yes","No"))</f>
        <v/>
      </c>
      <c r="F269" s="192">
        <f>IF(AC269&gt;AD269,"Yes","No")</f>
        <v/>
      </c>
      <c r="G269" s="192">
        <f>IF((Y269+AB269)&gt;Z269,"Yes",IF((Y269+AB269)=Z269,"Push","No"))</f>
        <v/>
      </c>
      <c r="H269" s="157">
        <f>IF(O269="Home",VLOOKUP(N269,Matrix!A:S,19,0),1)</f>
        <v/>
      </c>
      <c r="I269" s="157">
        <f>IF(O269="Away",VLOOKUP(N269,Matrix!A:Z,20,0),1)</f>
        <v/>
      </c>
      <c r="J269" s="157">
        <f>IF(O269="Away",VLOOKUP(P269,Matrix!A:S,19,0),1)</f>
        <v/>
      </c>
      <c r="K269" s="157">
        <f>IF(O269="Home",VLOOKUP(P269,Matrix!A:Z,20,0),1)</f>
        <v/>
      </c>
      <c r="L269" s="156" t="n">
        <v>0.119311708801418</v>
      </c>
      <c r="M269" s="179">
        <f>Schedule!B269</f>
        <v/>
      </c>
      <c r="N269" s="156">
        <f>Schedule!E269</f>
        <v/>
      </c>
      <c r="O269" s="156" t="inlineStr">
        <is>
          <t>Away</t>
        </is>
      </c>
      <c r="P269" s="157">
        <f>Schedule!H269</f>
        <v/>
      </c>
      <c r="Q269" s="157">
        <f>Schedule!C269</f>
        <v/>
      </c>
      <c r="R269" s="180">
        <f>Schedule!D269</f>
        <v/>
      </c>
      <c r="S269" s="181">
        <f>Schedule!J269</f>
        <v/>
      </c>
      <c r="T269" s="193">
        <f>Y269-Z269</f>
        <v/>
      </c>
      <c r="U269" s="182">
        <f>T269/Picks!$K$2</f>
        <v/>
      </c>
      <c r="V269" s="193">
        <f>INDEX(Standings!$T$3:$T$34, MATCH(N269, Standings!$A$3:$A$34, 0)) - INDEX(Standings!$T$3:$T$34, MATCH(P269, Standings!$A$3:$A$34, 0))</f>
        <v/>
      </c>
      <c r="W269" s="157">
        <f>INDEX(Standings!$L$3:$L$34, MATCH(N269, Standings!$A$3:$A$34, 0)) - INDEX(Standings!$L$3:$L$34, MATCH(P269, Standings!$A$3:$A$34, 0))</f>
        <v/>
      </c>
      <c r="X269" s="157">
        <f>INDEX(Standings!$M$3:$M$34, MATCH(N269, Standings!$A$3:$A$34, 0)) - INDEX(Standings!$M$3:$M$34, MATCH(P269, Standings!$A$3:$A$34, 0))</f>
        <v/>
      </c>
      <c r="Y269" s="194">
        <f t="array" ref="Y269:Y269">IFERROR(AE269+(AL269-_DFactor)*AE269,"")</f>
        <v/>
      </c>
      <c r="Z269" s="157">
        <f>IFERROR(AF269+(AI269-_DFactor)*AF269,"")</f>
        <v/>
      </c>
      <c r="AC269" s="194">
        <f>VLOOKUP(M269&amp;N269,Schedule!A:F,6,0)</f>
        <v/>
      </c>
      <c r="AD269" s="194">
        <f>VLOOKUP(M269&amp;P269,Schedule!A:F,6,0)</f>
        <v/>
      </c>
      <c r="AE269" s="156">
        <f>VLOOKUP(N269,ProjPVT!B:I,8,0)*_Mag/VLOOKUP(P269,Standings!A:O,15,0)*H269*K269</f>
        <v/>
      </c>
      <c r="AF269" s="156">
        <f>VLOOKUP(P269,ProjPVT!B:I,8,0)*_Mag/VLOOKUP(N269,Standings!A:O,15,0)*J269*I269</f>
        <v/>
      </c>
      <c r="AG269" s="195">
        <f>VLOOKUP(N269,Matrix!AA:AC,3,0)</f>
        <v/>
      </c>
      <c r="AH269" s="195">
        <f>SUMIFS(Def!C:C,Def!F:F,AG269)</f>
        <v/>
      </c>
      <c r="AI269" s="156">
        <f>IFERROR(SUMIFS(Def!B:B,Def!F:F,AG269)/AH269,"")</f>
        <v/>
      </c>
      <c r="AJ269" s="195">
        <f>VLOOKUP(P269,Matrix!AA:AC,3,0)</f>
        <v/>
      </c>
      <c r="AK269" s="195">
        <f>SUMIFS(Def!C:C,Def!F:F,AJ269)</f>
        <v/>
      </c>
      <c r="AL269" s="156">
        <f>IFERROR(SUMIFS(Def!B:B,Def!F:F,AJ269)/AK269,"")</f>
        <v/>
      </c>
    </row>
    <row r="270" ht="14.4" customHeight="1" s="152">
      <c r="A270" s="157">
        <f>IF(F270="Yes",IFERROR(IF(AA270&gt;1,AA270/100,100/-AA270),""),-1)</f>
        <v/>
      </c>
      <c r="B270" s="157">
        <f>B269+1</f>
        <v/>
      </c>
      <c r="C270" s="157">
        <f>IF(Y270&gt;Z270,1,0)</f>
        <v/>
      </c>
      <c r="D270" s="157">
        <f>IF(AND(C270=1,F270="Yes"),"Yes",IF(AND(C270=0,F270="No"),"Yes","No"))</f>
        <v/>
      </c>
      <c r="E270" s="192">
        <f>IF((AC270+AB270)=AD270,"Push",IF((AC270+AB270)&gt;AD270,"Yes","No"))</f>
        <v/>
      </c>
      <c r="F270" s="192">
        <f>IF(AC270&gt;AD270,"Yes","No")</f>
        <v/>
      </c>
      <c r="G270" s="192">
        <f>IF((Y270+AB270)&gt;Z270,"Yes",IF((Y270+AB270)=Z270,"Push","No"))</f>
        <v/>
      </c>
      <c r="H270" s="157">
        <f>IF(O270="Home",VLOOKUP(N270,Matrix!A:S,19,0),1)</f>
        <v/>
      </c>
      <c r="I270" s="157">
        <f>IF(O270="Away",VLOOKUP(N270,Matrix!A:Z,20,0),1)</f>
        <v/>
      </c>
      <c r="J270" s="157">
        <f>IF(O270="Away",VLOOKUP(P270,Matrix!A:S,19,0),1)</f>
        <v/>
      </c>
      <c r="K270" s="157">
        <f>IF(O270="Home",VLOOKUP(P270,Matrix!A:Z,20,0),1)</f>
        <v/>
      </c>
      <c r="L270" s="156" t="n">
        <v>0.169533369113676</v>
      </c>
      <c r="M270" s="179">
        <f>Schedule!B270</f>
        <v/>
      </c>
      <c r="N270" s="156">
        <f>Schedule!E270</f>
        <v/>
      </c>
      <c r="O270" s="156" t="inlineStr">
        <is>
          <t>Away</t>
        </is>
      </c>
      <c r="P270" s="157">
        <f>Schedule!H270</f>
        <v/>
      </c>
      <c r="Q270" s="157">
        <f>Schedule!C270</f>
        <v/>
      </c>
      <c r="R270" s="180">
        <f>Schedule!D270</f>
        <v/>
      </c>
      <c r="S270" s="181">
        <f>Schedule!J270</f>
        <v/>
      </c>
      <c r="T270" s="193">
        <f>Y270-Z270</f>
        <v/>
      </c>
      <c r="U270" s="182">
        <f>T270/Picks!$K$2</f>
        <v/>
      </c>
      <c r="V270" s="193">
        <f>INDEX(Standings!$T$3:$T$34, MATCH(N270, Standings!$A$3:$A$34, 0)) - INDEX(Standings!$T$3:$T$34, MATCH(P270, Standings!$A$3:$A$34, 0))</f>
        <v/>
      </c>
      <c r="W270" s="157">
        <f>INDEX(Standings!$L$3:$L$34, MATCH(N270, Standings!$A$3:$A$34, 0)) - INDEX(Standings!$L$3:$L$34, MATCH(P270, Standings!$A$3:$A$34, 0))</f>
        <v/>
      </c>
      <c r="X270" s="157">
        <f>INDEX(Standings!$M$3:$M$34, MATCH(N270, Standings!$A$3:$A$34, 0)) - INDEX(Standings!$M$3:$M$34, MATCH(P270, Standings!$A$3:$A$34, 0))</f>
        <v/>
      </c>
      <c r="Y270" s="194">
        <f t="array" ref="Y270:Y270">IFERROR(AE270+(AL270-_DFactor)*AE270,"")</f>
        <v/>
      </c>
      <c r="Z270" s="157">
        <f>IFERROR(AF270+(AI270-_DFactor)*AF270,"")</f>
        <v/>
      </c>
      <c r="AC270" s="194">
        <f>VLOOKUP(M270&amp;N270,Schedule!A:F,6,0)</f>
        <v/>
      </c>
      <c r="AD270" s="194">
        <f>VLOOKUP(M270&amp;P270,Schedule!A:F,6,0)</f>
        <v/>
      </c>
      <c r="AE270" s="156">
        <f>VLOOKUP(N270,ProjPVT!B:I,8,0)*_Mag/VLOOKUP(P270,Standings!A:O,15,0)*H270*K270</f>
        <v/>
      </c>
      <c r="AF270" s="156">
        <f>VLOOKUP(P270,ProjPVT!B:I,8,0)*_Mag/VLOOKUP(N270,Standings!A:O,15,0)*J270*I270</f>
        <v/>
      </c>
      <c r="AG270" s="195">
        <f>VLOOKUP(N270,Matrix!AA:AC,3,0)</f>
        <v/>
      </c>
      <c r="AH270" s="195">
        <f>SUMIFS(Def!C:C,Def!F:F,AG270)</f>
        <v/>
      </c>
      <c r="AI270" s="156">
        <f>IFERROR(SUMIFS(Def!B:B,Def!F:F,AG270)/AH270,"")</f>
        <v/>
      </c>
      <c r="AJ270" s="195">
        <f>VLOOKUP(P270,Matrix!AA:AC,3,0)</f>
        <v/>
      </c>
      <c r="AK270" s="195">
        <f>SUMIFS(Def!C:C,Def!F:F,AJ270)</f>
        <v/>
      </c>
      <c r="AL270" s="156">
        <f>IFERROR(SUMIFS(Def!B:B,Def!F:F,AJ270)/AK270,"")</f>
        <v/>
      </c>
    </row>
    <row r="271" ht="14.4" customHeight="1" s="152">
      <c r="A271" s="157">
        <f>IF(F271="Yes",IFERROR(IF(AA271&gt;1,AA271/100,100/-AA271),""),-1)</f>
        <v/>
      </c>
      <c r="B271" s="157">
        <f>B270+1</f>
        <v/>
      </c>
      <c r="C271" s="157">
        <f>IF(Y271&gt;Z271,1,0)</f>
        <v/>
      </c>
      <c r="D271" s="157">
        <f>IF(AND(C271=1,F271="Yes"),"Yes",IF(AND(C271=0,F271="No"),"Yes","No"))</f>
        <v/>
      </c>
      <c r="E271" s="192">
        <f>IF((AC271+AB271)=AD271,"Push",IF((AC271+AB271)&gt;AD271,"Yes","No"))</f>
        <v/>
      </c>
      <c r="F271" s="192">
        <f>IF(AC271&gt;AD271,"Yes","No")</f>
        <v/>
      </c>
      <c r="G271" s="192">
        <f>IF((Y271+AB271)&gt;Z271,"Yes",IF((Y271+AB271)=Z271,"Push","No"))</f>
        <v/>
      </c>
      <c r="H271" s="157">
        <f>IF(O271="Home",VLOOKUP(N271,Matrix!A:S,19,0),1)</f>
        <v/>
      </c>
      <c r="I271" s="157">
        <f>IF(O271="Away",VLOOKUP(N271,Matrix!A:Z,20,0),1)</f>
        <v/>
      </c>
      <c r="J271" s="157">
        <f>IF(O271="Away",VLOOKUP(P271,Matrix!A:S,19,0),1)</f>
        <v/>
      </c>
      <c r="K271" s="157">
        <f>IF(O271="Home",VLOOKUP(P271,Matrix!A:Z,20,0),1)</f>
        <v/>
      </c>
      <c r="L271" s="156" t="n">
        <v>0.174936348373336</v>
      </c>
      <c r="M271" s="179">
        <f>Schedule!B271</f>
        <v/>
      </c>
      <c r="N271" s="156">
        <f>Schedule!E271</f>
        <v/>
      </c>
      <c r="O271" s="156" t="inlineStr">
        <is>
          <t>Home</t>
        </is>
      </c>
      <c r="P271" s="157">
        <f>Schedule!H271</f>
        <v/>
      </c>
      <c r="Q271" s="157">
        <f>Schedule!C271</f>
        <v/>
      </c>
      <c r="R271" s="180">
        <f>Schedule!D271</f>
        <v/>
      </c>
      <c r="S271" s="181">
        <f>Schedule!J271</f>
        <v/>
      </c>
      <c r="T271" s="193">
        <f>Y271-Z271</f>
        <v/>
      </c>
      <c r="U271" s="182">
        <f>T271/Picks!$K$2</f>
        <v/>
      </c>
      <c r="V271" s="193">
        <f>INDEX(Standings!$T$3:$T$34, MATCH(N271, Standings!$A$3:$A$34, 0)) - INDEX(Standings!$T$3:$T$34, MATCH(P271, Standings!$A$3:$A$34, 0))</f>
        <v/>
      </c>
      <c r="W271" s="157">
        <f>INDEX(Standings!$L$3:$L$34, MATCH(N271, Standings!$A$3:$A$34, 0)) - INDEX(Standings!$L$3:$L$34, MATCH(P271, Standings!$A$3:$A$34, 0))</f>
        <v/>
      </c>
      <c r="X271" s="157">
        <f>INDEX(Standings!$M$3:$M$34, MATCH(N271, Standings!$A$3:$A$34, 0)) - INDEX(Standings!$M$3:$M$34, MATCH(P271, Standings!$A$3:$A$34, 0))</f>
        <v/>
      </c>
      <c r="Y271" s="194">
        <f t="array" ref="Y271:Y271">IFERROR(AE271+(AL271-_DFactor)*AE271,"")</f>
        <v/>
      </c>
      <c r="Z271" s="157">
        <f>IFERROR(AF271+(AI271-_DFactor)*AF271,"")</f>
        <v/>
      </c>
      <c r="AC271" s="194">
        <f>VLOOKUP(M271&amp;N271,Schedule!A:F,6,0)</f>
        <v/>
      </c>
      <c r="AD271" s="194">
        <f>VLOOKUP(M271&amp;P271,Schedule!A:F,6,0)</f>
        <v/>
      </c>
      <c r="AE271" s="156">
        <f>VLOOKUP(N271,ProjPVT!B:I,8,0)*_Mag/VLOOKUP(P271,Standings!A:O,15,0)*H271*K271</f>
        <v/>
      </c>
      <c r="AF271" s="156">
        <f>VLOOKUP(P271,ProjPVT!B:I,8,0)*_Mag/VLOOKUP(N271,Standings!A:O,15,0)*J271*I271</f>
        <v/>
      </c>
      <c r="AG271" s="195">
        <f>VLOOKUP(N271,Matrix!AA:AC,3,0)</f>
        <v/>
      </c>
      <c r="AH271" s="195">
        <f>SUMIFS(Def!C:C,Def!F:F,AG271)</f>
        <v/>
      </c>
      <c r="AI271" s="156">
        <f>IFERROR(SUMIFS(Def!B:B,Def!F:F,AG271)/AH271,"")</f>
        <v/>
      </c>
      <c r="AJ271" s="195">
        <f>VLOOKUP(P271,Matrix!AA:AC,3,0)</f>
        <v/>
      </c>
      <c r="AK271" s="195">
        <f>SUMIFS(Def!C:C,Def!F:F,AJ271)</f>
        <v/>
      </c>
      <c r="AL271" s="156">
        <f>IFERROR(SUMIFS(Def!B:B,Def!F:F,AJ271)/AK271,"")</f>
        <v/>
      </c>
    </row>
    <row r="272" ht="14.4" customHeight="1" s="152">
      <c r="A272" s="157">
        <f>IF(F272="Yes",IFERROR(IF(AA272&gt;1,AA272/100,100/-AA272),""),-1)</f>
        <v/>
      </c>
      <c r="B272" s="157">
        <f>B271+1</f>
        <v/>
      </c>
      <c r="C272" s="157">
        <f>IF(Y272&gt;Z272,1,0)</f>
        <v/>
      </c>
      <c r="D272" s="157">
        <f>IF(AND(C272=1,F272="Yes"),"Yes",IF(AND(C272=0,F272="No"),"Yes","No"))</f>
        <v/>
      </c>
      <c r="E272" s="192">
        <f>IF((AC272+AB272)=AD272,"Push",IF((AC272+AB272)&gt;AD272,"Yes","No"))</f>
        <v/>
      </c>
      <c r="F272" s="192">
        <f>IF(AC272&gt;AD272,"Yes","No")</f>
        <v/>
      </c>
      <c r="G272" s="192">
        <f>IF((Y272+AB272)&gt;Z272,"Yes",IF((Y272+AB272)=Z272,"Push","No"))</f>
        <v/>
      </c>
      <c r="H272" s="157">
        <f>IF(O272="Home",VLOOKUP(N272,Matrix!A:S,19,0),1)</f>
        <v/>
      </c>
      <c r="I272" s="157">
        <f>IF(O272="Away",VLOOKUP(N272,Matrix!A:Z,20,0),1)</f>
        <v/>
      </c>
      <c r="J272" s="157">
        <f>IF(O272="Away",VLOOKUP(P272,Matrix!A:S,19,0),1)</f>
        <v/>
      </c>
      <c r="K272" s="157">
        <f>IF(O272="Home",VLOOKUP(P272,Matrix!A:Z,20,0),1)</f>
        <v/>
      </c>
      <c r="L272" s="156" t="n">
        <v>0.178536692206889</v>
      </c>
      <c r="M272" s="179">
        <f>Schedule!B272</f>
        <v/>
      </c>
      <c r="N272" s="156">
        <f>Schedule!E272</f>
        <v/>
      </c>
      <c r="O272" s="156" t="inlineStr">
        <is>
          <t>Home</t>
        </is>
      </c>
      <c r="P272" s="157">
        <f>Schedule!H272</f>
        <v/>
      </c>
      <c r="Q272" s="157">
        <f>Schedule!C272</f>
        <v/>
      </c>
      <c r="R272" s="180">
        <f>Schedule!D272</f>
        <v/>
      </c>
      <c r="S272" s="181">
        <f>Schedule!J272</f>
        <v/>
      </c>
      <c r="T272" s="193">
        <f>Y272-Z272</f>
        <v/>
      </c>
      <c r="U272" s="182">
        <f>T272/Picks!$K$2</f>
        <v/>
      </c>
      <c r="V272" s="193">
        <f>INDEX(Standings!$T$3:$T$34, MATCH(N272, Standings!$A$3:$A$34, 0)) - INDEX(Standings!$T$3:$T$34, MATCH(P272, Standings!$A$3:$A$34, 0))</f>
        <v/>
      </c>
      <c r="W272" s="157">
        <f>INDEX(Standings!$L$3:$L$34, MATCH(N272, Standings!$A$3:$A$34, 0)) - INDEX(Standings!$L$3:$L$34, MATCH(P272, Standings!$A$3:$A$34, 0))</f>
        <v/>
      </c>
      <c r="X272" s="157">
        <f>INDEX(Standings!$M$3:$M$34, MATCH(N272, Standings!$A$3:$A$34, 0)) - INDEX(Standings!$M$3:$M$34, MATCH(P272, Standings!$A$3:$A$34, 0))</f>
        <v/>
      </c>
      <c r="Y272" s="194">
        <f t="array" ref="Y272:Y272">IFERROR(AE272+(AL272-_DFactor)*AE272,"")</f>
        <v/>
      </c>
      <c r="Z272" s="157">
        <f>IFERROR(AF272+(AI272-_DFactor)*AF272,"")</f>
        <v/>
      </c>
      <c r="AC272" s="194">
        <f>VLOOKUP(M272&amp;N272,Schedule!A:F,6,0)</f>
        <v/>
      </c>
      <c r="AD272" s="194">
        <f>VLOOKUP(M272&amp;P272,Schedule!A:F,6,0)</f>
        <v/>
      </c>
      <c r="AE272" s="156">
        <f>VLOOKUP(N272,ProjPVT!B:I,8,0)*_Mag/VLOOKUP(P272,Standings!A:O,15,0)*H272*K272</f>
        <v/>
      </c>
      <c r="AF272" s="156">
        <f>VLOOKUP(P272,ProjPVT!B:I,8,0)*_Mag/VLOOKUP(N272,Standings!A:O,15,0)*J272*I272</f>
        <v/>
      </c>
      <c r="AG272" s="195">
        <f>VLOOKUP(N272,Matrix!AA:AC,3,0)</f>
        <v/>
      </c>
      <c r="AH272" s="195">
        <f>SUMIFS(Def!C:C,Def!F:F,AG272)</f>
        <v/>
      </c>
      <c r="AI272" s="156">
        <f>IFERROR(SUMIFS(Def!B:B,Def!F:F,AG272)/AH272,"")</f>
        <v/>
      </c>
      <c r="AJ272" s="195">
        <f>VLOOKUP(P272,Matrix!AA:AC,3,0)</f>
        <v/>
      </c>
      <c r="AK272" s="195">
        <f>SUMIFS(Def!C:C,Def!F:F,AJ272)</f>
        <v/>
      </c>
      <c r="AL272" s="156">
        <f>IFERROR(SUMIFS(Def!B:B,Def!F:F,AJ272)/AK272,"")</f>
        <v/>
      </c>
    </row>
    <row r="273" ht="14.4" customHeight="1" s="152">
      <c r="A273" s="157">
        <f>IF(F273="Yes",IFERROR(IF(AA273&gt;1,AA273/100,100/-AA273),""),-1)</f>
        <v/>
      </c>
      <c r="B273" s="157">
        <f>B272+1</f>
        <v/>
      </c>
      <c r="C273" s="157">
        <f>IF(Y273&gt;Z273,1,0)</f>
        <v/>
      </c>
      <c r="D273" s="157">
        <f>IF(AND(C273=1,F273="Yes"),"Yes",IF(AND(C273=0,F273="No"),"Yes","No"))</f>
        <v/>
      </c>
      <c r="E273" s="192">
        <f>IF((AC273+AB273)=AD273,"Push",IF((AC273+AB273)&gt;AD273,"Yes","No"))</f>
        <v/>
      </c>
      <c r="F273" s="192">
        <f>IF(AC273&gt;AD273,"Yes","No")</f>
        <v/>
      </c>
      <c r="G273" s="192">
        <f>IF((Y273+AB273)&gt;Z273,"Yes",IF((Y273+AB273)=Z273,"Push","No"))</f>
        <v/>
      </c>
      <c r="H273" s="157">
        <f>IF(O273="Home",VLOOKUP(N273,Matrix!A:S,19,0),1)</f>
        <v/>
      </c>
      <c r="I273" s="157">
        <f>IF(O273="Away",VLOOKUP(N273,Matrix!A:Z,20,0),1)</f>
        <v/>
      </c>
      <c r="J273" s="157">
        <f>IF(O273="Away",VLOOKUP(P273,Matrix!A:S,19,0),1)</f>
        <v/>
      </c>
      <c r="K273" s="157">
        <f>IF(O273="Home",VLOOKUP(P273,Matrix!A:Z,20,0),1)</f>
        <v/>
      </c>
      <c r="L273" s="156" t="n">
        <v>0.247495860379473</v>
      </c>
      <c r="M273" s="179">
        <f>Schedule!B273</f>
        <v/>
      </c>
      <c r="N273" s="156">
        <f>Schedule!E273</f>
        <v/>
      </c>
      <c r="O273" s="156" t="inlineStr">
        <is>
          <t>Away</t>
        </is>
      </c>
      <c r="P273" s="157">
        <f>Schedule!H273</f>
        <v/>
      </c>
      <c r="Q273" s="157">
        <f>Schedule!C273</f>
        <v/>
      </c>
      <c r="R273" s="180">
        <f>Schedule!D273</f>
        <v/>
      </c>
      <c r="S273" s="181">
        <f>Schedule!J273</f>
        <v/>
      </c>
      <c r="T273" s="193">
        <f>Y273-Z273</f>
        <v/>
      </c>
      <c r="U273" s="182">
        <f>T273/Picks!$K$2</f>
        <v/>
      </c>
      <c r="V273" s="193">
        <f>INDEX(Standings!$T$3:$T$34, MATCH(N273, Standings!$A$3:$A$34, 0)) - INDEX(Standings!$T$3:$T$34, MATCH(P273, Standings!$A$3:$A$34, 0))</f>
        <v/>
      </c>
      <c r="W273" s="157">
        <f>INDEX(Standings!$L$3:$L$34, MATCH(N273, Standings!$A$3:$A$34, 0)) - INDEX(Standings!$L$3:$L$34, MATCH(P273, Standings!$A$3:$A$34, 0))</f>
        <v/>
      </c>
      <c r="X273" s="157">
        <f>INDEX(Standings!$M$3:$M$34, MATCH(N273, Standings!$A$3:$A$34, 0)) - INDEX(Standings!$M$3:$M$34, MATCH(P273, Standings!$A$3:$A$34, 0))</f>
        <v/>
      </c>
      <c r="Y273" s="194">
        <f t="array" ref="Y273:Y273">IFERROR(AE273+(AL273-_DFactor)*AE273,"")</f>
        <v/>
      </c>
      <c r="Z273" s="157">
        <f>IFERROR(AF273+(AI273-_DFactor)*AF273,"")</f>
        <v/>
      </c>
      <c r="AC273" s="194">
        <f>VLOOKUP(M273&amp;N273,Schedule!A:F,6,0)</f>
        <v/>
      </c>
      <c r="AD273" s="194">
        <f>VLOOKUP(M273&amp;P273,Schedule!A:F,6,0)</f>
        <v/>
      </c>
      <c r="AE273" s="156">
        <f>VLOOKUP(N273,ProjPVT!B:I,8,0)*_Mag/VLOOKUP(P273,Standings!A:O,15,0)*H273*K273</f>
        <v/>
      </c>
      <c r="AF273" s="156">
        <f>VLOOKUP(P273,ProjPVT!B:I,8,0)*_Mag/VLOOKUP(N273,Standings!A:O,15,0)*J273*I273</f>
        <v/>
      </c>
      <c r="AG273" s="195">
        <f>VLOOKUP(N273,Matrix!AA:AC,3,0)</f>
        <v/>
      </c>
      <c r="AH273" s="195">
        <f>SUMIFS(Def!C:C,Def!F:F,AG273)</f>
        <v/>
      </c>
      <c r="AI273" s="156">
        <f>IFERROR(SUMIFS(Def!B:B,Def!F:F,AG273)/AH273,"")</f>
        <v/>
      </c>
      <c r="AJ273" s="195">
        <f>VLOOKUP(P273,Matrix!AA:AC,3,0)</f>
        <v/>
      </c>
      <c r="AK273" s="195">
        <f>SUMIFS(Def!C:C,Def!F:F,AJ273)</f>
        <v/>
      </c>
      <c r="AL273" s="156">
        <f>IFERROR(SUMIFS(Def!B:B,Def!F:F,AJ273)/AK273,"")</f>
        <v/>
      </c>
    </row>
    <row r="274" ht="14.4" customHeight="1" s="152">
      <c r="A274" s="157">
        <f>IF(F274="Yes",IFERROR(IF(AA274&gt;1,AA274/100,100/-AA274),""),-1)</f>
        <v/>
      </c>
      <c r="B274" s="157">
        <f>B273+1</f>
        <v/>
      </c>
      <c r="C274" s="157">
        <f>IF(Y274&gt;Z274,1,0)</f>
        <v/>
      </c>
      <c r="D274" s="157">
        <f>IF(AND(C274=1,F274="Yes"),"Yes",IF(AND(C274=0,F274="No"),"Yes","No"))</f>
        <v/>
      </c>
      <c r="E274" s="192">
        <f>IF((AC274+AB274)=AD274,"Push",IF((AC274+AB274)&gt;AD274,"Yes","No"))</f>
        <v/>
      </c>
      <c r="F274" s="192">
        <f>IF(AC274&gt;AD274,"Yes","No")</f>
        <v/>
      </c>
      <c r="G274" s="192">
        <f>IF((Y274+AB274)&gt;Z274,"Yes",IF((Y274+AB274)=Z274,"Push","No"))</f>
        <v/>
      </c>
      <c r="H274" s="157">
        <f>IF(O274="Home",VLOOKUP(N274,Matrix!A:S,19,0),1)</f>
        <v/>
      </c>
      <c r="I274" s="157">
        <f>IF(O274="Away",VLOOKUP(N274,Matrix!A:Z,20,0),1)</f>
        <v/>
      </c>
      <c r="J274" s="157">
        <f>IF(O274="Away",VLOOKUP(P274,Matrix!A:S,19,0),1)</f>
        <v/>
      </c>
      <c r="K274" s="157">
        <f>IF(O274="Home",VLOOKUP(P274,Matrix!A:Z,20,0),1)</f>
        <v/>
      </c>
      <c r="L274" s="156" t="n">
        <v>0.288207832690731</v>
      </c>
      <c r="M274" s="179">
        <f>Schedule!B274</f>
        <v/>
      </c>
      <c r="N274" s="156">
        <f>Schedule!E274</f>
        <v/>
      </c>
      <c r="O274" s="156" t="inlineStr">
        <is>
          <t>Home</t>
        </is>
      </c>
      <c r="P274" s="157">
        <f>Schedule!H274</f>
        <v/>
      </c>
      <c r="Q274" s="157">
        <f>Schedule!C274</f>
        <v/>
      </c>
      <c r="R274" s="180">
        <f>Schedule!D274</f>
        <v/>
      </c>
      <c r="S274" s="181">
        <f>Schedule!J274</f>
        <v/>
      </c>
      <c r="T274" s="193">
        <f>Y274-Z274</f>
        <v/>
      </c>
      <c r="U274" s="182">
        <f>T274/Picks!$K$2</f>
        <v/>
      </c>
      <c r="V274" s="193">
        <f>INDEX(Standings!$T$3:$T$34, MATCH(N274, Standings!$A$3:$A$34, 0)) - INDEX(Standings!$T$3:$T$34, MATCH(P274, Standings!$A$3:$A$34, 0))</f>
        <v/>
      </c>
      <c r="W274" s="157">
        <f>INDEX(Standings!$L$3:$L$34, MATCH(N274, Standings!$A$3:$A$34, 0)) - INDEX(Standings!$L$3:$L$34, MATCH(P274, Standings!$A$3:$A$34, 0))</f>
        <v/>
      </c>
      <c r="X274" s="157">
        <f>INDEX(Standings!$M$3:$M$34, MATCH(N274, Standings!$A$3:$A$34, 0)) - INDEX(Standings!$M$3:$M$34, MATCH(P274, Standings!$A$3:$A$34, 0))</f>
        <v/>
      </c>
      <c r="Y274" s="194">
        <f t="array" ref="Y274:Y274">IFERROR(AE274+(AL274-_DFactor)*AE274,"")</f>
        <v/>
      </c>
      <c r="Z274" s="157">
        <f>IFERROR(AF274+(AI274-_DFactor)*AF274,"")</f>
        <v/>
      </c>
      <c r="AC274" s="194">
        <f>VLOOKUP(M274&amp;N274,Schedule!A:F,6,0)</f>
        <v/>
      </c>
      <c r="AD274" s="194">
        <f>VLOOKUP(M274&amp;P274,Schedule!A:F,6,0)</f>
        <v/>
      </c>
      <c r="AE274" s="156">
        <f>VLOOKUP(N274,ProjPVT!B:I,8,0)*_Mag/VLOOKUP(P274,Standings!A:O,15,0)*H274*K274</f>
        <v/>
      </c>
      <c r="AF274" s="156">
        <f>VLOOKUP(P274,ProjPVT!B:I,8,0)*_Mag/VLOOKUP(N274,Standings!A:O,15,0)*J274*I274</f>
        <v/>
      </c>
      <c r="AG274" s="195">
        <f>VLOOKUP(N274,Matrix!AA:AC,3,0)</f>
        <v/>
      </c>
      <c r="AH274" s="195">
        <f>SUMIFS(Def!C:C,Def!F:F,AG274)</f>
        <v/>
      </c>
      <c r="AI274" s="156">
        <f>IFERROR(SUMIFS(Def!B:B,Def!F:F,AG274)/AH274,"")</f>
        <v/>
      </c>
      <c r="AJ274" s="195">
        <f>VLOOKUP(P274,Matrix!AA:AC,3,0)</f>
        <v/>
      </c>
      <c r="AK274" s="195">
        <f>SUMIFS(Def!C:C,Def!F:F,AJ274)</f>
        <v/>
      </c>
      <c r="AL274" s="156">
        <f>IFERROR(SUMIFS(Def!B:B,Def!F:F,AJ274)/AK274,"")</f>
        <v/>
      </c>
    </row>
    <row r="275" ht="14.4" customHeight="1" s="152">
      <c r="A275" s="157">
        <f>IF(F275="Yes",IFERROR(IF(AA275&gt;1,AA275/100,100/-AA275),""),-1)</f>
        <v/>
      </c>
      <c r="B275" s="157">
        <f>B274+1</f>
        <v/>
      </c>
      <c r="C275" s="157">
        <f>IF(Y275&gt;Z275,1,0)</f>
        <v/>
      </c>
      <c r="D275" s="157">
        <f>IF(AND(C275=1,F275="Yes"),"Yes",IF(AND(C275=0,F275="No"),"Yes","No"))</f>
        <v/>
      </c>
      <c r="E275" s="192">
        <f>IF((AC275+AB275)=AD275,"Push",IF((AC275+AB275)&gt;AD275,"Yes","No"))</f>
        <v/>
      </c>
      <c r="F275" s="192">
        <f>IF(AC275&gt;AD275,"Yes","No")</f>
        <v/>
      </c>
      <c r="G275" s="192">
        <f>IF((Y275+AB275)&gt;Z275,"Yes",IF((Y275+AB275)=Z275,"Push","No"))</f>
        <v/>
      </c>
      <c r="H275" s="157">
        <f>IF(O275="Home",VLOOKUP(N275,Matrix!A:S,19,0),1)</f>
        <v/>
      </c>
      <c r="I275" s="157">
        <f>IF(O275="Away",VLOOKUP(N275,Matrix!A:Z,20,0),1)</f>
        <v/>
      </c>
      <c r="J275" s="157">
        <f>IF(O275="Away",VLOOKUP(P275,Matrix!A:S,19,0),1)</f>
        <v/>
      </c>
      <c r="K275" s="157">
        <f>IF(O275="Home",VLOOKUP(P275,Matrix!A:Z,20,0),1)</f>
        <v/>
      </c>
      <c r="L275" s="156" t="n">
        <v>0.3338322747304</v>
      </c>
      <c r="M275" s="179">
        <f>Schedule!B275</f>
        <v/>
      </c>
      <c r="N275" s="156">
        <f>Schedule!E275</f>
        <v/>
      </c>
      <c r="O275" s="156" t="inlineStr">
        <is>
          <t>Away</t>
        </is>
      </c>
      <c r="P275" s="157">
        <f>Schedule!H275</f>
        <v/>
      </c>
      <c r="Q275" s="157">
        <f>Schedule!C275</f>
        <v/>
      </c>
      <c r="R275" s="180">
        <f>Schedule!D275</f>
        <v/>
      </c>
      <c r="S275" s="181">
        <f>Schedule!J275</f>
        <v/>
      </c>
      <c r="T275" s="193">
        <f>Y275-Z275</f>
        <v/>
      </c>
      <c r="U275" s="182">
        <f>T275/Picks!$K$2</f>
        <v/>
      </c>
      <c r="V275" s="193">
        <f>INDEX(Standings!$T$3:$T$34, MATCH(N275, Standings!$A$3:$A$34, 0)) - INDEX(Standings!$T$3:$T$34, MATCH(P275, Standings!$A$3:$A$34, 0))</f>
        <v/>
      </c>
      <c r="W275" s="157">
        <f>INDEX(Standings!$L$3:$L$34, MATCH(N275, Standings!$A$3:$A$34, 0)) - INDEX(Standings!$L$3:$L$34, MATCH(P275, Standings!$A$3:$A$34, 0))</f>
        <v/>
      </c>
      <c r="X275" s="157">
        <f>INDEX(Standings!$M$3:$M$34, MATCH(N275, Standings!$A$3:$A$34, 0)) - INDEX(Standings!$M$3:$M$34, MATCH(P275, Standings!$A$3:$A$34, 0))</f>
        <v/>
      </c>
      <c r="Y275" s="194">
        <f t="array" ref="Y275:Y275">IFERROR(AE275+(AL275-_DFactor)*AE275,"")</f>
        <v/>
      </c>
      <c r="Z275" s="157">
        <f>IFERROR(AF275+(AI275-_DFactor)*AF275,"")</f>
        <v/>
      </c>
      <c r="AC275" s="194">
        <f>VLOOKUP(M275&amp;N275,Schedule!A:F,6,0)</f>
        <v/>
      </c>
      <c r="AD275" s="194">
        <f>VLOOKUP(M275&amp;P275,Schedule!A:F,6,0)</f>
        <v/>
      </c>
      <c r="AE275" s="156">
        <f>VLOOKUP(N275,ProjPVT!B:I,8,0)*_Mag/VLOOKUP(P275,Standings!A:O,15,0)*H275*K275</f>
        <v/>
      </c>
      <c r="AF275" s="156">
        <f>VLOOKUP(P275,ProjPVT!B:I,8,0)*_Mag/VLOOKUP(N275,Standings!A:O,15,0)*J275*I275</f>
        <v/>
      </c>
      <c r="AG275" s="195">
        <f>VLOOKUP(N275,Matrix!AA:AC,3,0)</f>
        <v/>
      </c>
      <c r="AH275" s="195">
        <f>SUMIFS(Def!C:C,Def!F:F,AG275)</f>
        <v/>
      </c>
      <c r="AI275" s="156">
        <f>IFERROR(SUMIFS(Def!B:B,Def!F:F,AG275)/AH275,"")</f>
        <v/>
      </c>
      <c r="AJ275" s="195">
        <f>VLOOKUP(P275,Matrix!AA:AC,3,0)</f>
        <v/>
      </c>
      <c r="AK275" s="195">
        <f>SUMIFS(Def!C:C,Def!F:F,AJ275)</f>
        <v/>
      </c>
      <c r="AL275" s="156">
        <f>IFERROR(SUMIFS(Def!B:B,Def!F:F,AJ275)/AK275,"")</f>
        <v/>
      </c>
    </row>
    <row r="276" ht="14.4" customHeight="1" s="152">
      <c r="A276" s="157">
        <f>IF(F276="Yes",IFERROR(IF(AA276&gt;1,AA276/100,100/-AA276),""),-1)</f>
        <v/>
      </c>
      <c r="B276" s="157">
        <f>B275+1</f>
        <v/>
      </c>
      <c r="C276" s="157">
        <f>IF(Y276&gt;Z276,1,0)</f>
        <v/>
      </c>
      <c r="D276" s="157">
        <f>IF(AND(C276=1,F276="Yes"),"Yes",IF(AND(C276=0,F276="No"),"Yes","No"))</f>
        <v/>
      </c>
      <c r="E276" s="192">
        <f>IF((AC276+AB276)=AD276,"Push",IF((AC276+AB276)&gt;AD276,"Yes","No"))</f>
        <v/>
      </c>
      <c r="F276" s="192">
        <f>IF(AC276&gt;AD276,"Yes","No")</f>
        <v/>
      </c>
      <c r="G276" s="192">
        <f>IF((Y276+AB276)&gt;Z276,"Yes",IF((Y276+AB276)=Z276,"Push","No"))</f>
        <v/>
      </c>
      <c r="H276" s="157">
        <f>IF(O276="Home",VLOOKUP(N276,Matrix!A:S,19,0),1)</f>
        <v/>
      </c>
      <c r="I276" s="157">
        <f>IF(O276="Away",VLOOKUP(N276,Matrix!A:Z,20,0),1)</f>
        <v/>
      </c>
      <c r="J276" s="157">
        <f>IF(O276="Away",VLOOKUP(P276,Matrix!A:S,19,0),1)</f>
        <v/>
      </c>
      <c r="K276" s="157">
        <f>IF(O276="Home",VLOOKUP(P276,Matrix!A:Z,20,0),1)</f>
        <v/>
      </c>
      <c r="L276" s="156" t="n">
        <v>0.439877417312272</v>
      </c>
      <c r="M276" s="179">
        <f>Schedule!B276</f>
        <v/>
      </c>
      <c r="N276" s="156">
        <f>Schedule!E276</f>
        <v/>
      </c>
      <c r="O276" s="156" t="inlineStr">
        <is>
          <t>Home</t>
        </is>
      </c>
      <c r="P276" s="157">
        <f>Schedule!H276</f>
        <v/>
      </c>
      <c r="Q276" s="157">
        <f>Schedule!C276</f>
        <v/>
      </c>
      <c r="R276" s="180">
        <f>Schedule!D276</f>
        <v/>
      </c>
      <c r="S276" s="181">
        <f>Schedule!J276</f>
        <v/>
      </c>
      <c r="T276" s="193">
        <f>Y276-Z276</f>
        <v/>
      </c>
      <c r="U276" s="182">
        <f>T276/Picks!$K$2</f>
        <v/>
      </c>
      <c r="V276" s="193">
        <f>INDEX(Standings!$T$3:$T$34, MATCH(N276, Standings!$A$3:$A$34, 0)) - INDEX(Standings!$T$3:$T$34, MATCH(P276, Standings!$A$3:$A$34, 0))</f>
        <v/>
      </c>
      <c r="W276" s="157">
        <f>INDEX(Standings!$L$3:$L$34, MATCH(N276, Standings!$A$3:$A$34, 0)) - INDEX(Standings!$L$3:$L$34, MATCH(P276, Standings!$A$3:$A$34, 0))</f>
        <v/>
      </c>
      <c r="X276" s="157">
        <f>INDEX(Standings!$M$3:$M$34, MATCH(N276, Standings!$A$3:$A$34, 0)) - INDEX(Standings!$M$3:$M$34, MATCH(P276, Standings!$A$3:$A$34, 0))</f>
        <v/>
      </c>
      <c r="Y276" s="194">
        <f t="array" ref="Y276:Y276">IFERROR(AE276+(AL276-_DFactor)*AE276,"")</f>
        <v/>
      </c>
      <c r="Z276" s="157">
        <f>IFERROR(AF276+(AI276-_DFactor)*AF276,"")</f>
        <v/>
      </c>
      <c r="AC276" s="194">
        <f>VLOOKUP(M276&amp;N276,Schedule!A:F,6,0)</f>
        <v/>
      </c>
      <c r="AD276" s="194">
        <f>VLOOKUP(M276&amp;P276,Schedule!A:F,6,0)</f>
        <v/>
      </c>
      <c r="AE276" s="156">
        <f>VLOOKUP(N276,ProjPVT!B:I,8,0)*_Mag/VLOOKUP(P276,Standings!A:O,15,0)*H276*K276</f>
        <v/>
      </c>
      <c r="AF276" s="156">
        <f>VLOOKUP(P276,ProjPVT!B:I,8,0)*_Mag/VLOOKUP(N276,Standings!A:O,15,0)*J276*I276</f>
        <v/>
      </c>
      <c r="AG276" s="195">
        <f>VLOOKUP(N276,Matrix!AA:AC,3,0)</f>
        <v/>
      </c>
      <c r="AH276" s="195">
        <f>SUMIFS(Def!C:C,Def!F:F,AG276)</f>
        <v/>
      </c>
      <c r="AI276" s="156">
        <f>IFERROR(SUMIFS(Def!B:B,Def!F:F,AG276)/AH276,"")</f>
        <v/>
      </c>
      <c r="AJ276" s="195">
        <f>VLOOKUP(P276,Matrix!AA:AC,3,0)</f>
        <v/>
      </c>
      <c r="AK276" s="195">
        <f>SUMIFS(Def!C:C,Def!F:F,AJ276)</f>
        <v/>
      </c>
      <c r="AL276" s="156">
        <f>IFERROR(SUMIFS(Def!B:B,Def!F:F,AJ276)/AK276,"")</f>
        <v/>
      </c>
    </row>
    <row r="277" ht="14.4" customHeight="1" s="152">
      <c r="A277" s="157">
        <f>IF(F277="Yes",IFERROR(IF(AA277&gt;1,AA277/100,100/-AA277),""),-1)</f>
        <v/>
      </c>
      <c r="B277" s="157">
        <f>B276+1</f>
        <v/>
      </c>
      <c r="C277" s="157">
        <f>IF(Y277&gt;Z277,1,0)</f>
        <v/>
      </c>
      <c r="D277" s="157">
        <f>IF(AND(C277=1,F277="Yes"),"Yes",IF(AND(C277=0,F277="No"),"Yes","No"))</f>
        <v/>
      </c>
      <c r="E277" s="192">
        <f>IF((AC277+AB277)=AD277,"Push",IF((AC277+AB277)&gt;AD277,"Yes","No"))</f>
        <v/>
      </c>
      <c r="F277" s="192">
        <f>IF(AC277&gt;AD277,"Yes","No")</f>
        <v/>
      </c>
      <c r="G277" s="192">
        <f>IF((Y277+AB277)&gt;Z277,"Yes",IF((Y277+AB277)=Z277,"Push","No"))</f>
        <v/>
      </c>
      <c r="H277" s="157">
        <f>IF(O277="Home",VLOOKUP(N277,Matrix!A:S,19,0),1)</f>
        <v/>
      </c>
      <c r="I277" s="157">
        <f>IF(O277="Away",VLOOKUP(N277,Matrix!A:Z,20,0),1)</f>
        <v/>
      </c>
      <c r="J277" s="157">
        <f>IF(O277="Away",VLOOKUP(P277,Matrix!A:S,19,0),1)</f>
        <v/>
      </c>
      <c r="K277" s="157">
        <f>IF(O277="Home",VLOOKUP(P277,Matrix!A:Z,20,0),1)</f>
        <v/>
      </c>
      <c r="L277" s="156" t="n">
        <v>0.478836946686683</v>
      </c>
      <c r="M277" s="179">
        <f>Schedule!B277</f>
        <v/>
      </c>
      <c r="N277" s="156">
        <f>Schedule!E277</f>
        <v/>
      </c>
      <c r="O277" s="156" t="inlineStr">
        <is>
          <t>Home</t>
        </is>
      </c>
      <c r="P277" s="157">
        <f>Schedule!H277</f>
        <v/>
      </c>
      <c r="Q277" s="157">
        <f>Schedule!C277</f>
        <v/>
      </c>
      <c r="R277" s="180">
        <f>Schedule!D277</f>
        <v/>
      </c>
      <c r="S277" s="181">
        <f>Schedule!J277</f>
        <v/>
      </c>
      <c r="T277" s="193">
        <f>Y277-Z277</f>
        <v/>
      </c>
      <c r="U277" s="182">
        <f>T277/Picks!$K$2</f>
        <v/>
      </c>
      <c r="V277" s="193">
        <f>INDEX(Standings!$T$3:$T$34, MATCH(N277, Standings!$A$3:$A$34, 0)) - INDEX(Standings!$T$3:$T$34, MATCH(P277, Standings!$A$3:$A$34, 0))</f>
        <v/>
      </c>
      <c r="W277" s="157">
        <f>INDEX(Standings!$L$3:$L$34, MATCH(N277, Standings!$A$3:$A$34, 0)) - INDEX(Standings!$L$3:$L$34, MATCH(P277, Standings!$A$3:$A$34, 0))</f>
        <v/>
      </c>
      <c r="X277" s="157">
        <f>INDEX(Standings!$M$3:$M$34, MATCH(N277, Standings!$A$3:$A$34, 0)) - INDEX(Standings!$M$3:$M$34, MATCH(P277, Standings!$A$3:$A$34, 0))</f>
        <v/>
      </c>
      <c r="Y277" s="194">
        <f t="array" ref="Y277:Y277">IFERROR(AE277+(AL277-_DFactor)*AE277,"")</f>
        <v/>
      </c>
      <c r="Z277" s="157">
        <f>IFERROR(AF277+(AI277-_DFactor)*AF277,"")</f>
        <v/>
      </c>
      <c r="AC277" s="194">
        <f>VLOOKUP(M277&amp;N277,Schedule!A:F,6,0)</f>
        <v/>
      </c>
      <c r="AD277" s="194">
        <f>VLOOKUP(M277&amp;P277,Schedule!A:F,6,0)</f>
        <v/>
      </c>
      <c r="AE277" s="156">
        <f>VLOOKUP(N277,ProjPVT!B:I,8,0)*_Mag/VLOOKUP(P277,Standings!A:O,15,0)*H277*K277</f>
        <v/>
      </c>
      <c r="AF277" s="156">
        <f>VLOOKUP(P277,ProjPVT!B:I,8,0)*_Mag/VLOOKUP(N277,Standings!A:O,15,0)*J277*I277</f>
        <v/>
      </c>
      <c r="AG277" s="195">
        <f>VLOOKUP(N277,Matrix!AA:AC,3,0)</f>
        <v/>
      </c>
      <c r="AH277" s="195">
        <f>SUMIFS(Def!C:C,Def!F:F,AG277)</f>
        <v/>
      </c>
      <c r="AI277" s="156">
        <f>IFERROR(SUMIFS(Def!B:B,Def!F:F,AG277)/AH277,"")</f>
        <v/>
      </c>
      <c r="AJ277" s="195">
        <f>VLOOKUP(P277,Matrix!AA:AC,3,0)</f>
        <v/>
      </c>
      <c r="AK277" s="195">
        <f>SUMIFS(Def!C:C,Def!F:F,AJ277)</f>
        <v/>
      </c>
      <c r="AL277" s="156">
        <f>IFERROR(SUMIFS(Def!B:B,Def!F:F,AJ277)/AK277,"")</f>
        <v/>
      </c>
    </row>
    <row r="278" ht="14.4" customHeight="1" s="152">
      <c r="A278" s="157">
        <f>IF(F278="Yes",IFERROR(IF(AA278&gt;1,AA278/100,100/-AA278),""),-1)</f>
        <v/>
      </c>
      <c r="B278" s="157">
        <f>B277+1</f>
        <v/>
      </c>
      <c r="C278" s="157">
        <f>IF(Y278&gt;Z278,1,0)</f>
        <v/>
      </c>
      <c r="D278" s="157">
        <f>IF(AND(C278=1,F278="Yes"),"Yes",IF(AND(C278=0,F278="No"),"Yes","No"))</f>
        <v/>
      </c>
      <c r="E278" s="192">
        <f>IF((AC278+AB278)=AD278,"Push",IF((AC278+AB278)&gt;AD278,"Yes","No"))</f>
        <v/>
      </c>
      <c r="F278" s="192">
        <f>IF(AC278&gt;AD278,"Yes","No")</f>
        <v/>
      </c>
      <c r="G278" s="192">
        <f>IF((Y278+AB278)&gt;Z278,"Yes",IF((Y278+AB278)=Z278,"Push","No"))</f>
        <v/>
      </c>
      <c r="H278" s="157">
        <f>IF(O278="Home",VLOOKUP(N278,Matrix!A:S,19,0),1)</f>
        <v/>
      </c>
      <c r="I278" s="157">
        <f>IF(O278="Away",VLOOKUP(N278,Matrix!A:Z,20,0),1)</f>
        <v/>
      </c>
      <c r="J278" s="157">
        <f>IF(O278="Away",VLOOKUP(P278,Matrix!A:S,19,0),1)</f>
        <v/>
      </c>
      <c r="K278" s="157">
        <f>IF(O278="Home",VLOOKUP(P278,Matrix!A:Z,20,0),1)</f>
        <v/>
      </c>
      <c r="L278" s="156" t="n">
        <v>-0.447298597393594</v>
      </c>
      <c r="M278" s="179">
        <f>Schedule!B278</f>
        <v/>
      </c>
      <c r="N278" s="156">
        <f>Schedule!E278</f>
        <v/>
      </c>
      <c r="O278" s="156" t="inlineStr">
        <is>
          <t>Away</t>
        </is>
      </c>
      <c r="P278" s="157">
        <f>Schedule!H278</f>
        <v/>
      </c>
      <c r="Q278" s="157">
        <f>Schedule!C278</f>
        <v/>
      </c>
      <c r="R278" s="180">
        <f>Schedule!D278</f>
        <v/>
      </c>
      <c r="S278" s="181">
        <f>Schedule!J278</f>
        <v/>
      </c>
      <c r="T278" s="193">
        <f>Y278-Z278</f>
        <v/>
      </c>
      <c r="U278" s="182">
        <f>T278/Picks!$K$2</f>
        <v/>
      </c>
      <c r="V278" s="193">
        <f>INDEX(Standings!$T$3:$T$34, MATCH(N278, Standings!$A$3:$A$34, 0)) - INDEX(Standings!$T$3:$T$34, MATCH(P278, Standings!$A$3:$A$34, 0))</f>
        <v/>
      </c>
      <c r="W278" s="157">
        <f>INDEX(Standings!$L$3:$L$34, MATCH(N278, Standings!$A$3:$A$34, 0)) - INDEX(Standings!$L$3:$L$34, MATCH(P278, Standings!$A$3:$A$34, 0))</f>
        <v/>
      </c>
      <c r="X278" s="157">
        <f>INDEX(Standings!$M$3:$M$34, MATCH(N278, Standings!$A$3:$A$34, 0)) - INDEX(Standings!$M$3:$M$34, MATCH(P278, Standings!$A$3:$A$34, 0))</f>
        <v/>
      </c>
      <c r="Y278" s="194">
        <f t="array" ref="Y278:Y278">IFERROR(AE278+(AL278-_DFactor)*AE278,"")</f>
        <v/>
      </c>
      <c r="Z278" s="157">
        <f>IFERROR(AF278+(AI278-_DFactor)*AF278,"")</f>
        <v/>
      </c>
      <c r="AC278" s="194">
        <f>VLOOKUP(M278&amp;N278,Schedule!A:F,6,0)</f>
        <v/>
      </c>
      <c r="AD278" s="194">
        <f>VLOOKUP(M278&amp;P278,Schedule!A:F,6,0)</f>
        <v/>
      </c>
      <c r="AE278" s="156">
        <f>VLOOKUP(N278,ProjPVT!B:I,8,0)*_Mag/VLOOKUP(P278,Standings!A:O,15,0)*H278*K278</f>
        <v/>
      </c>
      <c r="AF278" s="156">
        <f>VLOOKUP(P278,ProjPVT!B:I,8,0)*_Mag/VLOOKUP(N278,Standings!A:O,15,0)*J278*I278</f>
        <v/>
      </c>
      <c r="AG278" s="195">
        <f>VLOOKUP(N278,Matrix!AA:AC,3,0)</f>
        <v/>
      </c>
      <c r="AH278" s="195">
        <f>SUMIFS(Def!C:C,Def!F:F,AG278)</f>
        <v/>
      </c>
      <c r="AI278" s="156">
        <f>IFERROR(SUMIFS(Def!B:B,Def!F:F,AG278)/AH278,"")</f>
        <v/>
      </c>
      <c r="AJ278" s="195">
        <f>VLOOKUP(P278,Matrix!AA:AC,3,0)</f>
        <v/>
      </c>
      <c r="AK278" s="195">
        <f>SUMIFS(Def!C:C,Def!F:F,AJ278)</f>
        <v/>
      </c>
      <c r="AL278" s="156">
        <f>IFERROR(SUMIFS(Def!B:B,Def!F:F,AJ278)/AK278,"")</f>
        <v/>
      </c>
    </row>
    <row r="279" ht="14.4" customHeight="1" s="152">
      <c r="A279" s="157">
        <f>IF(F279="Yes",IFERROR(IF(AA279&gt;1,AA279/100,100/-AA279),""),-1)</f>
        <v/>
      </c>
      <c r="B279" s="157">
        <f>B278+1</f>
        <v/>
      </c>
      <c r="C279" s="157">
        <f>IF(Y279&gt;Z279,1,0)</f>
        <v/>
      </c>
      <c r="D279" s="157">
        <f>IF(AND(C279=1,F279="Yes"),"Yes",IF(AND(C279=0,F279="No"),"Yes","No"))</f>
        <v/>
      </c>
      <c r="E279" s="192">
        <f>IF((AC279+AB279)=AD279,"Push",IF((AC279+AB279)&gt;AD279,"Yes","No"))</f>
        <v/>
      </c>
      <c r="F279" s="192">
        <f>IF(AC279&gt;AD279,"Yes","No")</f>
        <v/>
      </c>
      <c r="G279" s="192">
        <f>IF((Y279+AB279)&gt;Z279,"Yes",IF((Y279+AB279)=Z279,"Push","No"))</f>
        <v/>
      </c>
      <c r="H279" s="157">
        <f>IF(O279="Home",VLOOKUP(N279,Matrix!A:S,19,0),1)</f>
        <v/>
      </c>
      <c r="I279" s="157">
        <f>IF(O279="Away",VLOOKUP(N279,Matrix!A:Z,20,0),1)</f>
        <v/>
      </c>
      <c r="J279" s="157">
        <f>IF(O279="Away",VLOOKUP(P279,Matrix!A:S,19,0),1)</f>
        <v/>
      </c>
      <c r="K279" s="157">
        <f>IF(O279="Home",VLOOKUP(P279,Matrix!A:Z,20,0),1)</f>
        <v/>
      </c>
      <c r="L279" s="156" t="n">
        <v>-0.440609893288892</v>
      </c>
      <c r="M279" s="179">
        <f>Schedule!B279</f>
        <v/>
      </c>
      <c r="N279" s="156">
        <f>Schedule!E279</f>
        <v/>
      </c>
      <c r="O279" s="156" t="inlineStr">
        <is>
          <t>Home</t>
        </is>
      </c>
      <c r="P279" s="157">
        <f>Schedule!H279</f>
        <v/>
      </c>
      <c r="Q279" s="157">
        <f>Schedule!C279</f>
        <v/>
      </c>
      <c r="R279" s="180">
        <f>Schedule!D279</f>
        <v/>
      </c>
      <c r="S279" s="181">
        <f>Schedule!J279</f>
        <v/>
      </c>
      <c r="T279" s="193">
        <f>Y279-Z279</f>
        <v/>
      </c>
      <c r="U279" s="182">
        <f>T279/Picks!$K$2</f>
        <v/>
      </c>
      <c r="V279" s="193">
        <f>INDEX(Standings!$T$3:$T$34, MATCH(N279, Standings!$A$3:$A$34, 0)) - INDEX(Standings!$T$3:$T$34, MATCH(P279, Standings!$A$3:$A$34, 0))</f>
        <v/>
      </c>
      <c r="W279" s="157">
        <f>INDEX(Standings!$L$3:$L$34, MATCH(N279, Standings!$A$3:$A$34, 0)) - INDEX(Standings!$L$3:$L$34, MATCH(P279, Standings!$A$3:$A$34, 0))</f>
        <v/>
      </c>
      <c r="X279" s="157">
        <f>INDEX(Standings!$M$3:$M$34, MATCH(N279, Standings!$A$3:$A$34, 0)) - INDEX(Standings!$M$3:$M$34, MATCH(P279, Standings!$A$3:$A$34, 0))</f>
        <v/>
      </c>
      <c r="Y279" s="194">
        <f t="array" ref="Y279:Y279">IFERROR(AE279+(AL279-_DFactor)*AE279,"")</f>
        <v/>
      </c>
      <c r="Z279" s="157">
        <f>IFERROR(AF279+(AI279-_DFactor)*AF279,"")</f>
        <v/>
      </c>
      <c r="AC279" s="194">
        <f>VLOOKUP(M279&amp;N279,Schedule!A:F,6,0)</f>
        <v/>
      </c>
      <c r="AD279" s="194">
        <f>VLOOKUP(M279&amp;P279,Schedule!A:F,6,0)</f>
        <v/>
      </c>
      <c r="AE279" s="156">
        <f>VLOOKUP(N279,ProjPVT!B:I,8,0)*_Mag/VLOOKUP(P279,Standings!A:O,15,0)*H279*K279</f>
        <v/>
      </c>
      <c r="AF279" s="156">
        <f>VLOOKUP(P279,ProjPVT!B:I,8,0)*_Mag/VLOOKUP(N279,Standings!A:O,15,0)*J279*I279</f>
        <v/>
      </c>
      <c r="AG279" s="195">
        <f>VLOOKUP(N279,Matrix!AA:AC,3,0)</f>
        <v/>
      </c>
      <c r="AH279" s="195">
        <f>SUMIFS(Def!C:C,Def!F:F,AG279)</f>
        <v/>
      </c>
      <c r="AI279" s="156">
        <f>IFERROR(SUMIFS(Def!B:B,Def!F:F,AG279)/AH279,"")</f>
        <v/>
      </c>
      <c r="AJ279" s="195">
        <f>VLOOKUP(P279,Matrix!AA:AC,3,0)</f>
        <v/>
      </c>
      <c r="AK279" s="195">
        <f>SUMIFS(Def!C:C,Def!F:F,AJ279)</f>
        <v/>
      </c>
      <c r="AL279" s="156">
        <f>IFERROR(SUMIFS(Def!B:B,Def!F:F,AJ279)/AK279,"")</f>
        <v/>
      </c>
    </row>
    <row r="280" ht="14.4" customHeight="1" s="152">
      <c r="A280" s="157">
        <f>IF(F280="Yes",IFERROR(IF(AA280&gt;1,AA280/100,100/-AA280),""),-1)</f>
        <v/>
      </c>
      <c r="B280" s="157">
        <f>B279+1</f>
        <v/>
      </c>
      <c r="C280" s="157">
        <f>IF(Y280&gt;Z280,1,0)</f>
        <v/>
      </c>
      <c r="D280" s="157">
        <f>IF(AND(C280=1,F280="Yes"),"Yes",IF(AND(C280=0,F280="No"),"Yes","No"))</f>
        <v/>
      </c>
      <c r="E280" s="192">
        <f>IF((AC280+AB280)=AD280,"Push",IF((AC280+AB280)&gt;AD280,"Yes","No"))</f>
        <v/>
      </c>
      <c r="F280" s="192">
        <f>IF(AC280&gt;AD280,"Yes","No")</f>
        <v/>
      </c>
      <c r="G280" s="192">
        <f>IF((Y280+AB280)&gt;Z280,"Yes",IF((Y280+AB280)=Z280,"Push","No"))</f>
        <v/>
      </c>
      <c r="H280" s="157">
        <f>IF(O280="Home",VLOOKUP(N280,Matrix!A:S,19,0),1)</f>
        <v/>
      </c>
      <c r="I280" s="157">
        <f>IF(O280="Away",VLOOKUP(N280,Matrix!A:Z,20,0),1)</f>
        <v/>
      </c>
      <c r="J280" s="157">
        <f>IF(O280="Away",VLOOKUP(P280,Matrix!A:S,19,0),1)</f>
        <v/>
      </c>
      <c r="K280" s="157">
        <f>IF(O280="Home",VLOOKUP(P280,Matrix!A:Z,20,0),1)</f>
        <v/>
      </c>
      <c r="L280" s="156" t="n">
        <v>-0.420079493530955</v>
      </c>
      <c r="M280" s="179">
        <f>Schedule!B280</f>
        <v/>
      </c>
      <c r="N280" s="156">
        <f>Schedule!E280</f>
        <v/>
      </c>
      <c r="O280" s="156" t="inlineStr">
        <is>
          <t>Away</t>
        </is>
      </c>
      <c r="P280" s="157">
        <f>Schedule!H280</f>
        <v/>
      </c>
      <c r="Q280" s="157">
        <f>Schedule!C280</f>
        <v/>
      </c>
      <c r="R280" s="180">
        <f>Schedule!D280</f>
        <v/>
      </c>
      <c r="S280" s="181">
        <f>Schedule!J280</f>
        <v/>
      </c>
      <c r="T280" s="193">
        <f>Y280-Z280</f>
        <v/>
      </c>
      <c r="U280" s="182">
        <f>T280/Picks!$K$2</f>
        <v/>
      </c>
      <c r="V280" s="193">
        <f>INDEX(Standings!$T$3:$T$34, MATCH(N280, Standings!$A$3:$A$34, 0)) - INDEX(Standings!$T$3:$T$34, MATCH(P280, Standings!$A$3:$A$34, 0))</f>
        <v/>
      </c>
      <c r="W280" s="157">
        <f>INDEX(Standings!$L$3:$L$34, MATCH(N280, Standings!$A$3:$A$34, 0)) - INDEX(Standings!$L$3:$L$34, MATCH(P280, Standings!$A$3:$A$34, 0))</f>
        <v/>
      </c>
      <c r="X280" s="157">
        <f>INDEX(Standings!$M$3:$M$34, MATCH(N280, Standings!$A$3:$A$34, 0)) - INDEX(Standings!$M$3:$M$34, MATCH(P280, Standings!$A$3:$A$34, 0))</f>
        <v/>
      </c>
      <c r="Y280" s="194">
        <f t="array" ref="Y280:Y280">IFERROR(AE280+(AL280-_DFactor)*AE280,"")</f>
        <v/>
      </c>
      <c r="Z280" s="157">
        <f>IFERROR(AF280+(AI280-_DFactor)*AF280,"")</f>
        <v/>
      </c>
      <c r="AC280" s="194">
        <f>VLOOKUP(M280&amp;N280,Schedule!A:F,6,0)</f>
        <v/>
      </c>
      <c r="AD280" s="194">
        <f>VLOOKUP(M280&amp;P280,Schedule!A:F,6,0)</f>
        <v/>
      </c>
      <c r="AE280" s="156">
        <f>VLOOKUP(N280,ProjPVT!B:I,8,0)*_Mag/VLOOKUP(P280,Standings!A:O,15,0)*H280*K280</f>
        <v/>
      </c>
      <c r="AF280" s="156">
        <f>VLOOKUP(P280,ProjPVT!B:I,8,0)*_Mag/VLOOKUP(N280,Standings!A:O,15,0)*J280*I280</f>
        <v/>
      </c>
      <c r="AG280" s="195">
        <f>VLOOKUP(N280,Matrix!AA:AC,3,0)</f>
        <v/>
      </c>
      <c r="AH280" s="195">
        <f>SUMIFS(Def!C:C,Def!F:F,AG280)</f>
        <v/>
      </c>
      <c r="AI280" s="156">
        <f>IFERROR(SUMIFS(Def!B:B,Def!F:F,AG280)/AH280,"")</f>
        <v/>
      </c>
      <c r="AJ280" s="195">
        <f>VLOOKUP(P280,Matrix!AA:AC,3,0)</f>
        <v/>
      </c>
      <c r="AK280" s="195">
        <f>SUMIFS(Def!C:C,Def!F:F,AJ280)</f>
        <v/>
      </c>
      <c r="AL280" s="156">
        <f>IFERROR(SUMIFS(Def!B:B,Def!F:F,AJ280)/AK280,"")</f>
        <v/>
      </c>
    </row>
    <row r="281" ht="14.4" customHeight="1" s="152">
      <c r="A281" s="157">
        <f>IF(F281="Yes",IFERROR(IF(AA281&gt;1,AA281/100,100/-AA281),""),-1)</f>
        <v/>
      </c>
      <c r="B281" s="157">
        <f>B280+1</f>
        <v/>
      </c>
      <c r="C281" s="157">
        <f>IF(Y281&gt;Z281,1,0)</f>
        <v/>
      </c>
      <c r="D281" s="157">
        <f>IF(AND(C281=1,F281="Yes"),"Yes",IF(AND(C281=0,F281="No"),"Yes","No"))</f>
        <v/>
      </c>
      <c r="E281" s="192">
        <f>IF((AC281+AB281)=AD281,"Push",IF((AC281+AB281)&gt;AD281,"Yes","No"))</f>
        <v/>
      </c>
      <c r="F281" s="192">
        <f>IF(AC281&gt;AD281,"Yes","No")</f>
        <v/>
      </c>
      <c r="G281" s="192">
        <f>IF((Y281+AB281)&gt;Z281,"Yes",IF((Y281+AB281)=Z281,"Push","No"))</f>
        <v/>
      </c>
      <c r="H281" s="157">
        <f>IF(O281="Home",VLOOKUP(N281,Matrix!A:S,19,0),1)</f>
        <v/>
      </c>
      <c r="I281" s="157">
        <f>IF(O281="Away",VLOOKUP(N281,Matrix!A:Z,20,0),1)</f>
        <v/>
      </c>
      <c r="J281" s="157">
        <f>IF(O281="Away",VLOOKUP(P281,Matrix!A:S,19,0),1)</f>
        <v/>
      </c>
      <c r="K281" s="157">
        <f>IF(O281="Home",VLOOKUP(P281,Matrix!A:Z,20,0),1)</f>
        <v/>
      </c>
      <c r="L281" s="156" t="n">
        <v>-0.388285608328324</v>
      </c>
      <c r="M281" s="179">
        <f>Schedule!B281</f>
        <v/>
      </c>
      <c r="N281" s="156">
        <f>Schedule!E281</f>
        <v/>
      </c>
      <c r="O281" s="156" t="inlineStr">
        <is>
          <t>Home</t>
        </is>
      </c>
      <c r="P281" s="157">
        <f>Schedule!H281</f>
        <v/>
      </c>
      <c r="Q281" s="157">
        <f>Schedule!C281</f>
        <v/>
      </c>
      <c r="R281" s="180">
        <f>Schedule!D281</f>
        <v/>
      </c>
      <c r="S281" s="181">
        <f>Schedule!J281</f>
        <v/>
      </c>
      <c r="T281" s="193">
        <f>Y281-Z281</f>
        <v/>
      </c>
      <c r="U281" s="182">
        <f>T281/Picks!$K$2</f>
        <v/>
      </c>
      <c r="V281" s="193">
        <f>INDEX(Standings!$T$3:$T$34, MATCH(N281, Standings!$A$3:$A$34, 0)) - INDEX(Standings!$T$3:$T$34, MATCH(P281, Standings!$A$3:$A$34, 0))</f>
        <v/>
      </c>
      <c r="W281" s="157">
        <f>INDEX(Standings!$L$3:$L$34, MATCH(N281, Standings!$A$3:$A$34, 0)) - INDEX(Standings!$L$3:$L$34, MATCH(P281, Standings!$A$3:$A$34, 0))</f>
        <v/>
      </c>
      <c r="X281" s="157">
        <f>INDEX(Standings!$M$3:$M$34, MATCH(N281, Standings!$A$3:$A$34, 0)) - INDEX(Standings!$M$3:$M$34, MATCH(P281, Standings!$A$3:$A$34, 0))</f>
        <v/>
      </c>
      <c r="Y281" s="194">
        <f t="array" ref="Y281:Y281">IFERROR(AE281+(AL281-_DFactor)*AE281,"")</f>
        <v/>
      </c>
      <c r="Z281" s="157">
        <f>IFERROR(AF281+(AI281-_DFactor)*AF281,"")</f>
        <v/>
      </c>
      <c r="AC281" s="194">
        <f>VLOOKUP(M281&amp;N281,Schedule!A:F,6,0)</f>
        <v/>
      </c>
      <c r="AD281" s="194">
        <f>VLOOKUP(M281&amp;P281,Schedule!A:F,6,0)</f>
        <v/>
      </c>
      <c r="AE281" s="156">
        <f>VLOOKUP(N281,ProjPVT!B:I,8,0)*_Mag/VLOOKUP(P281,Standings!A:O,15,0)*H281*K281</f>
        <v/>
      </c>
      <c r="AF281" s="156">
        <f>VLOOKUP(P281,ProjPVT!B:I,8,0)*_Mag/VLOOKUP(N281,Standings!A:O,15,0)*J281*I281</f>
        <v/>
      </c>
      <c r="AG281" s="195">
        <f>VLOOKUP(N281,Matrix!AA:AC,3,0)</f>
        <v/>
      </c>
      <c r="AH281" s="195">
        <f>SUMIFS(Def!C:C,Def!F:F,AG281)</f>
        <v/>
      </c>
      <c r="AI281" s="156">
        <f>IFERROR(SUMIFS(Def!B:B,Def!F:F,AG281)/AH281,"")</f>
        <v/>
      </c>
      <c r="AJ281" s="195">
        <f>VLOOKUP(P281,Matrix!AA:AC,3,0)</f>
        <v/>
      </c>
      <c r="AK281" s="195">
        <f>SUMIFS(Def!C:C,Def!F:F,AJ281)</f>
        <v/>
      </c>
      <c r="AL281" s="156">
        <f>IFERROR(SUMIFS(Def!B:B,Def!F:F,AJ281)/AK281,"")</f>
        <v/>
      </c>
    </row>
    <row r="282" ht="14.4" customHeight="1" s="152">
      <c r="A282" s="157">
        <f>IF(F282="Yes",IFERROR(IF(AA282&gt;1,AA282/100,100/-AA282),""),-1)</f>
        <v/>
      </c>
      <c r="B282" s="157">
        <f>B281+1</f>
        <v/>
      </c>
      <c r="C282" s="157">
        <f>IF(Y282&gt;Z282,1,0)</f>
        <v/>
      </c>
      <c r="D282" s="157">
        <f>IF(AND(C282=1,F282="Yes"),"Yes",IF(AND(C282=0,F282="No"),"Yes","No"))</f>
        <v/>
      </c>
      <c r="E282" s="192">
        <f>IF((AC282+AB282)=AD282,"Push",IF((AC282+AB282)&gt;AD282,"Yes","No"))</f>
        <v/>
      </c>
      <c r="F282" s="192">
        <f>IF(AC282&gt;AD282,"Yes","No")</f>
        <v/>
      </c>
      <c r="G282" s="192">
        <f>IF((Y282+AB282)&gt;Z282,"Yes",IF((Y282+AB282)=Z282,"Push","No"))</f>
        <v/>
      </c>
      <c r="H282" s="157">
        <f>IF(O282="Home",VLOOKUP(N282,Matrix!A:S,19,0),1)</f>
        <v/>
      </c>
      <c r="I282" s="157">
        <f>IF(O282="Away",VLOOKUP(N282,Matrix!A:Z,20,0),1)</f>
        <v/>
      </c>
      <c r="J282" s="157">
        <f>IF(O282="Away",VLOOKUP(P282,Matrix!A:S,19,0),1)</f>
        <v/>
      </c>
      <c r="K282" s="157">
        <f>IF(O282="Home",VLOOKUP(P282,Matrix!A:Z,20,0),1)</f>
        <v/>
      </c>
      <c r="L282" s="156" t="n">
        <v>-0.337647847517484</v>
      </c>
      <c r="M282" s="179">
        <f>Schedule!B282</f>
        <v/>
      </c>
      <c r="N282" s="156">
        <f>Schedule!E282</f>
        <v/>
      </c>
      <c r="O282" s="156" t="inlineStr">
        <is>
          <t>Away</t>
        </is>
      </c>
      <c r="P282" s="157">
        <f>Schedule!H282</f>
        <v/>
      </c>
      <c r="Q282" s="157">
        <f>Schedule!C282</f>
        <v/>
      </c>
      <c r="R282" s="180">
        <f>Schedule!D282</f>
        <v/>
      </c>
      <c r="S282" s="181">
        <f>Schedule!J282</f>
        <v/>
      </c>
      <c r="T282" s="193">
        <f>Y282-Z282</f>
        <v/>
      </c>
      <c r="U282" s="182">
        <f>T282/Picks!$K$2</f>
        <v/>
      </c>
      <c r="V282" s="193">
        <f>INDEX(Standings!$T$3:$T$34, MATCH(N282, Standings!$A$3:$A$34, 0)) - INDEX(Standings!$T$3:$T$34, MATCH(P282, Standings!$A$3:$A$34, 0))</f>
        <v/>
      </c>
      <c r="W282" s="157">
        <f>INDEX(Standings!$L$3:$L$34, MATCH(N282, Standings!$A$3:$A$34, 0)) - INDEX(Standings!$L$3:$L$34, MATCH(P282, Standings!$A$3:$A$34, 0))</f>
        <v/>
      </c>
      <c r="X282" s="157">
        <f>INDEX(Standings!$M$3:$M$34, MATCH(N282, Standings!$A$3:$A$34, 0)) - INDEX(Standings!$M$3:$M$34, MATCH(P282, Standings!$A$3:$A$34, 0))</f>
        <v/>
      </c>
      <c r="Y282" s="194">
        <f t="array" ref="Y282:Y282">IFERROR(AE282+(AL282-_DFactor)*AE282,"")</f>
        <v/>
      </c>
      <c r="Z282" s="157">
        <f>IFERROR(AF282+(AI282-_DFactor)*AF282,"")</f>
        <v/>
      </c>
      <c r="AC282" s="194">
        <f>VLOOKUP(M282&amp;N282,Schedule!A:F,6,0)</f>
        <v/>
      </c>
      <c r="AD282" s="194">
        <f>VLOOKUP(M282&amp;P282,Schedule!A:F,6,0)</f>
        <v/>
      </c>
      <c r="AE282" s="156">
        <f>VLOOKUP(N282,ProjPVT!B:I,8,0)*_Mag/VLOOKUP(P282,Standings!A:O,15,0)*H282*K282</f>
        <v/>
      </c>
      <c r="AF282" s="156">
        <f>VLOOKUP(P282,ProjPVT!B:I,8,0)*_Mag/VLOOKUP(N282,Standings!A:O,15,0)*J282*I282</f>
        <v/>
      </c>
      <c r="AG282" s="195">
        <f>VLOOKUP(N282,Matrix!AA:AC,3,0)</f>
        <v/>
      </c>
      <c r="AH282" s="195">
        <f>SUMIFS(Def!C:C,Def!F:F,AG282)</f>
        <v/>
      </c>
      <c r="AI282" s="156">
        <f>IFERROR(SUMIFS(Def!B:B,Def!F:F,AG282)/AH282,"")</f>
        <v/>
      </c>
      <c r="AJ282" s="195">
        <f>VLOOKUP(P282,Matrix!AA:AC,3,0)</f>
        <v/>
      </c>
      <c r="AK282" s="195">
        <f>SUMIFS(Def!C:C,Def!F:F,AJ282)</f>
        <v/>
      </c>
      <c r="AL282" s="156">
        <f>IFERROR(SUMIFS(Def!B:B,Def!F:F,AJ282)/AK282,"")</f>
        <v/>
      </c>
    </row>
    <row r="283" ht="14.4" customHeight="1" s="152">
      <c r="A283" s="157">
        <f>IF(F283="Yes",IFERROR(IF(AA283&gt;1,AA283/100,100/-AA283),""),-1)</f>
        <v/>
      </c>
      <c r="B283" s="157">
        <f>B282+1</f>
        <v/>
      </c>
      <c r="C283" s="157">
        <f>IF(Y283&gt;Z283,1,0)</f>
        <v/>
      </c>
      <c r="D283" s="157">
        <f>IF(AND(C283=1,F283="Yes"),"Yes",IF(AND(C283=0,F283="No"),"Yes","No"))</f>
        <v/>
      </c>
      <c r="E283" s="192">
        <f>IF((AC283+AB283)=AD283,"Push",IF((AC283+AB283)&gt;AD283,"Yes","No"))</f>
        <v/>
      </c>
      <c r="F283" s="192">
        <f>IF(AC283&gt;AD283,"Yes","No")</f>
        <v/>
      </c>
      <c r="G283" s="192">
        <f>IF((Y283+AB283)&gt;Z283,"Yes",IF((Y283+AB283)=Z283,"Push","No"))</f>
        <v/>
      </c>
      <c r="H283" s="157">
        <f>IF(O283="Home",VLOOKUP(N283,Matrix!A:S,19,0),1)</f>
        <v/>
      </c>
      <c r="I283" s="157">
        <f>IF(O283="Away",VLOOKUP(N283,Matrix!A:Z,20,0),1)</f>
        <v/>
      </c>
      <c r="J283" s="157">
        <f>IF(O283="Away",VLOOKUP(P283,Matrix!A:S,19,0),1)</f>
        <v/>
      </c>
      <c r="K283" s="157">
        <f>IF(O283="Home",VLOOKUP(P283,Matrix!A:Z,20,0),1)</f>
        <v/>
      </c>
      <c r="L283" s="156" t="n">
        <v>-0.284259168864403</v>
      </c>
      <c r="M283" s="179">
        <f>Schedule!B283</f>
        <v/>
      </c>
      <c r="N283" s="156">
        <f>Schedule!E283</f>
        <v/>
      </c>
      <c r="O283" s="156" t="inlineStr">
        <is>
          <t>Away</t>
        </is>
      </c>
      <c r="P283" s="157">
        <f>Schedule!H283</f>
        <v/>
      </c>
      <c r="Q283" s="157">
        <f>Schedule!C283</f>
        <v/>
      </c>
      <c r="R283" s="180">
        <f>Schedule!D283</f>
        <v/>
      </c>
      <c r="S283" s="181">
        <f>Schedule!J283</f>
        <v/>
      </c>
      <c r="T283" s="193">
        <f>Y283-Z283</f>
        <v/>
      </c>
      <c r="U283" s="182">
        <f>T283/Picks!$K$2</f>
        <v/>
      </c>
      <c r="V283" s="193">
        <f>INDEX(Standings!$T$3:$T$34, MATCH(N283, Standings!$A$3:$A$34, 0)) - INDEX(Standings!$T$3:$T$34, MATCH(P283, Standings!$A$3:$A$34, 0))</f>
        <v/>
      </c>
      <c r="W283" s="157">
        <f>INDEX(Standings!$L$3:$L$34, MATCH(N283, Standings!$A$3:$A$34, 0)) - INDEX(Standings!$L$3:$L$34, MATCH(P283, Standings!$A$3:$A$34, 0))</f>
        <v/>
      </c>
      <c r="X283" s="157">
        <f>INDEX(Standings!$M$3:$M$34, MATCH(N283, Standings!$A$3:$A$34, 0)) - INDEX(Standings!$M$3:$M$34, MATCH(P283, Standings!$A$3:$A$34, 0))</f>
        <v/>
      </c>
      <c r="Y283" s="194">
        <f t="array" ref="Y283:Y283">IFERROR(AE283+(AL283-_DFactor)*AE283,"")</f>
        <v/>
      </c>
      <c r="Z283" s="157">
        <f>IFERROR(AF283+(AI283-_DFactor)*AF283,"")</f>
        <v/>
      </c>
      <c r="AC283" s="194">
        <f>VLOOKUP(M283&amp;N283,Schedule!A:F,6,0)</f>
        <v/>
      </c>
      <c r="AD283" s="194">
        <f>VLOOKUP(M283&amp;P283,Schedule!A:F,6,0)</f>
        <v/>
      </c>
      <c r="AE283" s="156">
        <f>VLOOKUP(N283,ProjPVT!B:I,8,0)*_Mag/VLOOKUP(P283,Standings!A:O,15,0)*H283*K283</f>
        <v/>
      </c>
      <c r="AF283" s="156">
        <f>VLOOKUP(P283,ProjPVT!B:I,8,0)*_Mag/VLOOKUP(N283,Standings!A:O,15,0)*J283*I283</f>
        <v/>
      </c>
      <c r="AG283" s="195">
        <f>VLOOKUP(N283,Matrix!AA:AC,3,0)</f>
        <v/>
      </c>
      <c r="AH283" s="195">
        <f>SUMIFS(Def!C:C,Def!F:F,AG283)</f>
        <v/>
      </c>
      <c r="AI283" s="156">
        <f>IFERROR(SUMIFS(Def!B:B,Def!F:F,AG283)/AH283,"")</f>
        <v/>
      </c>
      <c r="AJ283" s="195">
        <f>VLOOKUP(P283,Matrix!AA:AC,3,0)</f>
        <v/>
      </c>
      <c r="AK283" s="195">
        <f>SUMIFS(Def!C:C,Def!F:F,AJ283)</f>
        <v/>
      </c>
      <c r="AL283" s="156">
        <f>IFERROR(SUMIFS(Def!B:B,Def!F:F,AJ283)/AK283,"")</f>
        <v/>
      </c>
    </row>
    <row r="284" ht="14.4" customHeight="1" s="152">
      <c r="A284" s="157">
        <f>IF(F284="Yes",IFERROR(IF(AA284&gt;1,AA284/100,100/-AA284),""),-1)</f>
        <v/>
      </c>
      <c r="B284" s="157">
        <f>B283+1</f>
        <v/>
      </c>
      <c r="C284" s="157">
        <f>IF(Y284&gt;Z284,1,0)</f>
        <v/>
      </c>
      <c r="D284" s="157">
        <f>IF(AND(C284=1,F284="Yes"),"Yes",IF(AND(C284=0,F284="No"),"Yes","No"))</f>
        <v/>
      </c>
      <c r="E284" s="192">
        <f>IF((AC284+AB284)=AD284,"Push",IF((AC284+AB284)&gt;AD284,"Yes","No"))</f>
        <v/>
      </c>
      <c r="F284" s="192">
        <f>IF(AC284&gt;AD284,"Yes","No")</f>
        <v/>
      </c>
      <c r="G284" s="192">
        <f>IF((Y284+AB284)&gt;Z284,"Yes",IF((Y284+AB284)=Z284,"Push","No"))</f>
        <v/>
      </c>
      <c r="H284" s="157">
        <f>IF(O284="Home",VLOOKUP(N284,Matrix!A:S,19,0),1)</f>
        <v/>
      </c>
      <c r="I284" s="157">
        <f>IF(O284="Away",VLOOKUP(N284,Matrix!A:Z,20,0),1)</f>
        <v/>
      </c>
      <c r="J284" s="157">
        <f>IF(O284="Away",VLOOKUP(P284,Matrix!A:S,19,0),1)</f>
        <v/>
      </c>
      <c r="K284" s="157">
        <f>IF(O284="Home",VLOOKUP(P284,Matrix!A:Z,20,0),1)</f>
        <v/>
      </c>
      <c r="L284" s="156" t="n">
        <v>-0.22711614095173</v>
      </c>
      <c r="M284" s="179">
        <f>Schedule!B284</f>
        <v/>
      </c>
      <c r="N284" s="156">
        <f>Schedule!E284</f>
        <v/>
      </c>
      <c r="O284" s="156" t="inlineStr">
        <is>
          <t>Away</t>
        </is>
      </c>
      <c r="P284" s="157">
        <f>Schedule!H284</f>
        <v/>
      </c>
      <c r="Q284" s="157">
        <f>Schedule!C284</f>
        <v/>
      </c>
      <c r="R284" s="180">
        <f>Schedule!D284</f>
        <v/>
      </c>
      <c r="S284" s="181">
        <f>Schedule!J284</f>
        <v/>
      </c>
      <c r="T284" s="193">
        <f>Y284-Z284</f>
        <v/>
      </c>
      <c r="U284" s="182">
        <f>T284/Picks!$K$2</f>
        <v/>
      </c>
      <c r="V284" s="193">
        <f>INDEX(Standings!$T$3:$T$34, MATCH(N284, Standings!$A$3:$A$34, 0)) - INDEX(Standings!$T$3:$T$34, MATCH(P284, Standings!$A$3:$A$34, 0))</f>
        <v/>
      </c>
      <c r="W284" s="157">
        <f>INDEX(Standings!$L$3:$L$34, MATCH(N284, Standings!$A$3:$A$34, 0)) - INDEX(Standings!$L$3:$L$34, MATCH(P284, Standings!$A$3:$A$34, 0))</f>
        <v/>
      </c>
      <c r="X284" s="157">
        <f>INDEX(Standings!$M$3:$M$34, MATCH(N284, Standings!$A$3:$A$34, 0)) - INDEX(Standings!$M$3:$M$34, MATCH(P284, Standings!$A$3:$A$34, 0))</f>
        <v/>
      </c>
      <c r="Y284" s="194">
        <f t="array" ref="Y284:Y284">IFERROR(AE284+(AL284-_DFactor)*AE284,"")</f>
        <v/>
      </c>
      <c r="Z284" s="157">
        <f>IFERROR(AF284+(AI284-_DFactor)*AF284,"")</f>
        <v/>
      </c>
      <c r="AC284" s="194">
        <f>VLOOKUP(M284&amp;N284,Schedule!A:F,6,0)</f>
        <v/>
      </c>
      <c r="AD284" s="194">
        <f>VLOOKUP(M284&amp;P284,Schedule!A:F,6,0)</f>
        <v/>
      </c>
      <c r="AE284" s="156">
        <f>VLOOKUP(N284,ProjPVT!B:I,8,0)*_Mag/VLOOKUP(P284,Standings!A:O,15,0)*H284*K284</f>
        <v/>
      </c>
      <c r="AF284" s="156">
        <f>VLOOKUP(P284,ProjPVT!B:I,8,0)*_Mag/VLOOKUP(N284,Standings!A:O,15,0)*J284*I284</f>
        <v/>
      </c>
      <c r="AG284" s="195">
        <f>VLOOKUP(N284,Matrix!AA:AC,3,0)</f>
        <v/>
      </c>
      <c r="AH284" s="195">
        <f>SUMIFS(Def!C:C,Def!F:F,AG284)</f>
        <v/>
      </c>
      <c r="AI284" s="156">
        <f>IFERROR(SUMIFS(Def!B:B,Def!F:F,AG284)/AH284,"")</f>
        <v/>
      </c>
      <c r="AJ284" s="195">
        <f>VLOOKUP(P284,Matrix!AA:AC,3,0)</f>
        <v/>
      </c>
      <c r="AK284" s="195">
        <f>SUMIFS(Def!C:C,Def!F:F,AJ284)</f>
        <v/>
      </c>
      <c r="AL284" s="156">
        <f>IFERROR(SUMIFS(Def!B:B,Def!F:F,AJ284)/AK284,"")</f>
        <v/>
      </c>
    </row>
    <row r="285" ht="14.4" customHeight="1" s="152">
      <c r="A285" s="157">
        <f>IF(F285="Yes",IFERROR(IF(AA285&gt;1,AA285/100,100/-AA285),""),-1)</f>
        <v/>
      </c>
      <c r="B285" s="157">
        <f>B284+1</f>
        <v/>
      </c>
      <c r="C285" s="157">
        <f>IF(Y285&gt;Z285,1,0)</f>
        <v/>
      </c>
      <c r="D285" s="157">
        <f>IF(AND(C285=1,F285="Yes"),"Yes",IF(AND(C285=0,F285="No"),"Yes","No"))</f>
        <v/>
      </c>
      <c r="E285" s="192">
        <f>IF((AC285+AB285)=AD285,"Push",IF((AC285+AB285)&gt;AD285,"Yes","No"))</f>
        <v/>
      </c>
      <c r="F285" s="192">
        <f>IF(AC285&gt;AD285,"Yes","No")</f>
        <v/>
      </c>
      <c r="G285" s="192">
        <f>IF((Y285+AB285)&gt;Z285,"Yes",IF((Y285+AB285)=Z285,"Push","No"))</f>
        <v/>
      </c>
      <c r="H285" s="157">
        <f>IF(O285="Home",VLOOKUP(N285,Matrix!A:S,19,0),1)</f>
        <v/>
      </c>
      <c r="I285" s="157">
        <f>IF(O285="Away",VLOOKUP(N285,Matrix!A:Z,20,0),1)</f>
        <v/>
      </c>
      <c r="J285" s="157">
        <f>IF(O285="Away",VLOOKUP(P285,Matrix!A:S,19,0),1)</f>
        <v/>
      </c>
      <c r="K285" s="157">
        <f>IF(O285="Home",VLOOKUP(P285,Matrix!A:Z,20,0),1)</f>
        <v/>
      </c>
      <c r="L285" s="156" t="n">
        <v>-0.171113119891698</v>
      </c>
      <c r="M285" s="179">
        <f>Schedule!B285</f>
        <v/>
      </c>
      <c r="N285" s="156">
        <f>Schedule!E285</f>
        <v/>
      </c>
      <c r="O285" s="156" t="inlineStr">
        <is>
          <t>Home</t>
        </is>
      </c>
      <c r="P285" s="157">
        <f>Schedule!H285</f>
        <v/>
      </c>
      <c r="Q285" s="157">
        <f>Schedule!C285</f>
        <v/>
      </c>
      <c r="R285" s="180">
        <f>Schedule!D285</f>
        <v/>
      </c>
      <c r="S285" s="181">
        <f>Schedule!J285</f>
        <v/>
      </c>
      <c r="T285" s="193">
        <f>Y285-Z285</f>
        <v/>
      </c>
      <c r="U285" s="182">
        <f>T285/Picks!$K$2</f>
        <v/>
      </c>
      <c r="V285" s="193">
        <f>INDEX(Standings!$T$3:$T$34, MATCH(N285, Standings!$A$3:$A$34, 0)) - INDEX(Standings!$T$3:$T$34, MATCH(P285, Standings!$A$3:$A$34, 0))</f>
        <v/>
      </c>
      <c r="W285" s="157">
        <f>INDEX(Standings!$L$3:$L$34, MATCH(N285, Standings!$A$3:$A$34, 0)) - INDEX(Standings!$L$3:$L$34, MATCH(P285, Standings!$A$3:$A$34, 0))</f>
        <v/>
      </c>
      <c r="X285" s="157">
        <f>INDEX(Standings!$M$3:$M$34, MATCH(N285, Standings!$A$3:$A$34, 0)) - INDEX(Standings!$M$3:$M$34, MATCH(P285, Standings!$A$3:$A$34, 0))</f>
        <v/>
      </c>
      <c r="Y285" s="194">
        <f t="array" ref="Y285:Y285">IFERROR(AE285+(AL285-_DFactor)*AE285,"")</f>
        <v/>
      </c>
      <c r="Z285" s="157">
        <f>IFERROR(AF285+(AI285-_DFactor)*AF285,"")</f>
        <v/>
      </c>
      <c r="AC285" s="194">
        <f>VLOOKUP(M285&amp;N285,Schedule!A:F,6,0)</f>
        <v/>
      </c>
      <c r="AD285" s="194">
        <f>VLOOKUP(M285&amp;P285,Schedule!A:F,6,0)</f>
        <v/>
      </c>
      <c r="AE285" s="156">
        <f>VLOOKUP(N285,ProjPVT!B:I,8,0)*_Mag/VLOOKUP(P285,Standings!A:O,15,0)*H285*K285</f>
        <v/>
      </c>
      <c r="AF285" s="156">
        <f>VLOOKUP(P285,ProjPVT!B:I,8,0)*_Mag/VLOOKUP(N285,Standings!A:O,15,0)*J285*I285</f>
        <v/>
      </c>
      <c r="AG285" s="195">
        <f>VLOOKUP(N285,Matrix!AA:AC,3,0)</f>
        <v/>
      </c>
      <c r="AH285" s="195">
        <f>SUMIFS(Def!C:C,Def!F:F,AG285)</f>
        <v/>
      </c>
      <c r="AI285" s="156">
        <f>IFERROR(SUMIFS(Def!B:B,Def!F:F,AG285)/AH285,"")</f>
        <v/>
      </c>
      <c r="AJ285" s="195">
        <f>VLOOKUP(P285,Matrix!AA:AC,3,0)</f>
        <v/>
      </c>
      <c r="AK285" s="195">
        <f>SUMIFS(Def!C:C,Def!F:F,AJ285)</f>
        <v/>
      </c>
      <c r="AL285" s="156">
        <f>IFERROR(SUMIFS(Def!B:B,Def!F:F,AJ285)/AK285,"")</f>
        <v/>
      </c>
    </row>
    <row r="286" ht="14.4" customHeight="1" s="152">
      <c r="A286" s="157">
        <f>IF(F286="Yes",IFERROR(IF(AA286&gt;1,AA286/100,100/-AA286),""),-1)</f>
        <v/>
      </c>
      <c r="B286" s="157">
        <f>B285+1</f>
        <v/>
      </c>
      <c r="C286" s="157">
        <f>IF(Y286&gt;Z286,1,0)</f>
        <v/>
      </c>
      <c r="D286" s="157">
        <f>IF(AND(C286=1,F286="Yes"),"Yes",IF(AND(C286=0,F286="No"),"Yes","No"))</f>
        <v/>
      </c>
      <c r="E286" s="192">
        <f>IF((AC286+AB286)=AD286,"Push",IF((AC286+AB286)&gt;AD286,"Yes","No"))</f>
        <v/>
      </c>
      <c r="F286" s="192">
        <f>IF(AC286&gt;AD286,"Yes","No")</f>
        <v/>
      </c>
      <c r="G286" s="192">
        <f>IF((Y286+AB286)&gt;Z286,"Yes",IF((Y286+AB286)=Z286,"Push","No"))</f>
        <v/>
      </c>
      <c r="H286" s="157">
        <f>IF(O286="Home",VLOOKUP(N286,Matrix!A:S,19,0),1)</f>
        <v/>
      </c>
      <c r="I286" s="157">
        <f>IF(O286="Away",VLOOKUP(N286,Matrix!A:Z,20,0),1)</f>
        <v/>
      </c>
      <c r="J286" s="157">
        <f>IF(O286="Away",VLOOKUP(P286,Matrix!A:S,19,0),1)</f>
        <v/>
      </c>
      <c r="K286" s="157">
        <f>IF(O286="Home",VLOOKUP(P286,Matrix!A:Z,20,0),1)</f>
        <v/>
      </c>
      <c r="L286" s="156" t="n">
        <v>-0.100390131288853</v>
      </c>
      <c r="M286" s="179">
        <f>Schedule!B286</f>
        <v/>
      </c>
      <c r="N286" s="156">
        <f>Schedule!E286</f>
        <v/>
      </c>
      <c r="O286" s="156" t="inlineStr">
        <is>
          <t>Away</t>
        </is>
      </c>
      <c r="P286" s="157">
        <f>Schedule!H286</f>
        <v/>
      </c>
      <c r="Q286" s="157">
        <f>Schedule!C286</f>
        <v/>
      </c>
      <c r="R286" s="180">
        <f>Schedule!D286</f>
        <v/>
      </c>
      <c r="S286" s="181">
        <f>Schedule!J286</f>
        <v/>
      </c>
      <c r="T286" s="193">
        <f>Y286-Z286</f>
        <v/>
      </c>
      <c r="U286" s="182">
        <f>T286/Picks!$K$2</f>
        <v/>
      </c>
      <c r="V286" s="193">
        <f>INDEX(Standings!$T$3:$T$34, MATCH(N286, Standings!$A$3:$A$34, 0)) - INDEX(Standings!$T$3:$T$34, MATCH(P286, Standings!$A$3:$A$34, 0))</f>
        <v/>
      </c>
      <c r="W286" s="157">
        <f>INDEX(Standings!$L$3:$L$34, MATCH(N286, Standings!$A$3:$A$34, 0)) - INDEX(Standings!$L$3:$L$34, MATCH(P286, Standings!$A$3:$A$34, 0))</f>
        <v/>
      </c>
      <c r="X286" s="157">
        <f>INDEX(Standings!$M$3:$M$34, MATCH(N286, Standings!$A$3:$A$34, 0)) - INDEX(Standings!$M$3:$M$34, MATCH(P286, Standings!$A$3:$A$34, 0))</f>
        <v/>
      </c>
      <c r="Y286" s="194">
        <f t="array" ref="Y286:Y286">IFERROR(AE286+(AL286-_DFactor)*AE286,"")</f>
        <v/>
      </c>
      <c r="Z286" s="157">
        <f>IFERROR(AF286+(AI286-_DFactor)*AF286,"")</f>
        <v/>
      </c>
      <c r="AC286" s="194">
        <f>VLOOKUP(M286&amp;N286,Schedule!A:F,6,0)</f>
        <v/>
      </c>
      <c r="AD286" s="194">
        <f>VLOOKUP(M286&amp;P286,Schedule!A:F,6,0)</f>
        <v/>
      </c>
      <c r="AE286" s="156">
        <f>VLOOKUP(N286,ProjPVT!B:I,8,0)*_Mag/VLOOKUP(P286,Standings!A:O,15,0)*H286*K286</f>
        <v/>
      </c>
      <c r="AF286" s="156">
        <f>VLOOKUP(P286,ProjPVT!B:I,8,0)*_Mag/VLOOKUP(N286,Standings!A:O,15,0)*J286*I286</f>
        <v/>
      </c>
      <c r="AG286" s="195">
        <f>VLOOKUP(N286,Matrix!AA:AC,3,0)</f>
        <v/>
      </c>
      <c r="AH286" s="195">
        <f>SUMIFS(Def!C:C,Def!F:F,AG286)</f>
        <v/>
      </c>
      <c r="AI286" s="156">
        <f>IFERROR(SUMIFS(Def!B:B,Def!F:F,AG286)/AH286,"")</f>
        <v/>
      </c>
      <c r="AJ286" s="195">
        <f>VLOOKUP(P286,Matrix!AA:AC,3,0)</f>
        <v/>
      </c>
      <c r="AK286" s="195">
        <f>SUMIFS(Def!C:C,Def!F:F,AJ286)</f>
        <v/>
      </c>
      <c r="AL286" s="156">
        <f>IFERROR(SUMIFS(Def!B:B,Def!F:F,AJ286)/AK286,"")</f>
        <v/>
      </c>
    </row>
    <row r="287" ht="14.4" customHeight="1" s="152">
      <c r="A287" s="157">
        <f>IF(F287="Yes",IFERROR(IF(AA287&gt;1,AA287/100,100/-AA287),""),-1)</f>
        <v/>
      </c>
      <c r="B287" s="157">
        <f>B286+1</f>
        <v/>
      </c>
      <c r="C287" s="157">
        <f>IF(Y287&gt;Z287,1,0)</f>
        <v/>
      </c>
      <c r="D287" s="157">
        <f>IF(AND(C287=1,F287="Yes"),"Yes",IF(AND(C287=0,F287="No"),"Yes","No"))</f>
        <v/>
      </c>
      <c r="E287" s="192">
        <f>IF((AC287+AB287)=AD287,"Push",IF((AC287+AB287)&gt;AD287,"Yes","No"))</f>
        <v/>
      </c>
      <c r="F287" s="192">
        <f>IF(AC287&gt;AD287,"Yes","No")</f>
        <v/>
      </c>
      <c r="G287" s="192">
        <f>IF((Y287+AB287)&gt;Z287,"Yes",IF((Y287+AB287)=Z287,"Push","No"))</f>
        <v/>
      </c>
      <c r="H287" s="157">
        <f>IF(O287="Home",VLOOKUP(N287,Matrix!A:S,19,0),1)</f>
        <v/>
      </c>
      <c r="I287" s="157">
        <f>IF(O287="Away",VLOOKUP(N287,Matrix!A:Z,20,0),1)</f>
        <v/>
      </c>
      <c r="J287" s="157">
        <f>IF(O287="Away",VLOOKUP(P287,Matrix!A:S,19,0),1)</f>
        <v/>
      </c>
      <c r="K287" s="157">
        <f>IF(O287="Home",VLOOKUP(P287,Matrix!A:Z,20,0),1)</f>
        <v/>
      </c>
      <c r="L287" s="156" t="n">
        <v>-0.0753836382126773</v>
      </c>
      <c r="M287" s="179">
        <f>Schedule!B287</f>
        <v/>
      </c>
      <c r="N287" s="156">
        <f>Schedule!E287</f>
        <v/>
      </c>
      <c r="O287" s="156" t="inlineStr">
        <is>
          <t>Home</t>
        </is>
      </c>
      <c r="P287" s="157">
        <f>Schedule!H287</f>
        <v/>
      </c>
      <c r="Q287" s="157">
        <f>Schedule!C287</f>
        <v/>
      </c>
      <c r="R287" s="180">
        <f>Schedule!D287</f>
        <v/>
      </c>
      <c r="S287" s="181">
        <f>Schedule!J287</f>
        <v/>
      </c>
      <c r="T287" s="193">
        <f>Y287-Z287</f>
        <v/>
      </c>
      <c r="U287" s="182">
        <f>T287/Picks!$K$2</f>
        <v/>
      </c>
      <c r="V287" s="193">
        <f>INDEX(Standings!$T$3:$T$34, MATCH(N287, Standings!$A$3:$A$34, 0)) - INDEX(Standings!$T$3:$T$34, MATCH(P287, Standings!$A$3:$A$34, 0))</f>
        <v/>
      </c>
      <c r="W287" s="157">
        <f>INDEX(Standings!$L$3:$L$34, MATCH(N287, Standings!$A$3:$A$34, 0)) - INDEX(Standings!$L$3:$L$34, MATCH(P287, Standings!$A$3:$A$34, 0))</f>
        <v/>
      </c>
      <c r="X287" s="157">
        <f>INDEX(Standings!$M$3:$M$34, MATCH(N287, Standings!$A$3:$A$34, 0)) - INDEX(Standings!$M$3:$M$34, MATCH(P287, Standings!$A$3:$A$34, 0))</f>
        <v/>
      </c>
      <c r="Y287" s="194">
        <f t="array" ref="Y287:Y287">IFERROR(AE287+(AL287-_DFactor)*AE287,"")</f>
        <v/>
      </c>
      <c r="Z287" s="157">
        <f>IFERROR(AF287+(AI287-_DFactor)*AF287,"")</f>
        <v/>
      </c>
      <c r="AC287" s="194">
        <f>VLOOKUP(M287&amp;N287,Schedule!A:F,6,0)</f>
        <v/>
      </c>
      <c r="AD287" s="194">
        <f>VLOOKUP(M287&amp;P287,Schedule!A:F,6,0)</f>
        <v/>
      </c>
      <c r="AE287" s="156">
        <f>VLOOKUP(N287,ProjPVT!B:I,8,0)*_Mag/VLOOKUP(P287,Standings!A:O,15,0)*H287*K287</f>
        <v/>
      </c>
      <c r="AF287" s="156">
        <f>VLOOKUP(P287,ProjPVT!B:I,8,0)*_Mag/VLOOKUP(N287,Standings!A:O,15,0)*J287*I287</f>
        <v/>
      </c>
      <c r="AG287" s="195">
        <f>VLOOKUP(N287,Matrix!AA:AC,3,0)</f>
        <v/>
      </c>
      <c r="AH287" s="195">
        <f>SUMIFS(Def!C:C,Def!F:F,AG287)</f>
        <v/>
      </c>
      <c r="AI287" s="156">
        <f>IFERROR(SUMIFS(Def!B:B,Def!F:F,AG287)/AH287,"")</f>
        <v/>
      </c>
      <c r="AJ287" s="195">
        <f>VLOOKUP(P287,Matrix!AA:AC,3,0)</f>
        <v/>
      </c>
      <c r="AK287" s="195">
        <f>SUMIFS(Def!C:C,Def!F:F,AJ287)</f>
        <v/>
      </c>
      <c r="AL287" s="156">
        <f>IFERROR(SUMIFS(Def!B:B,Def!F:F,AJ287)/AK287,"")</f>
        <v/>
      </c>
    </row>
    <row r="288" ht="14.4" customHeight="1" s="152">
      <c r="A288" s="157">
        <f>IF(F288="Yes",IFERROR(IF(AA288&gt;1,AA288/100,100/-AA288),""),-1)</f>
        <v/>
      </c>
      <c r="B288" s="157">
        <f>B287+1</f>
        <v/>
      </c>
      <c r="C288" s="157">
        <f>IF(Y288&gt;Z288,1,0)</f>
        <v/>
      </c>
      <c r="D288" s="157">
        <f>IF(AND(C288=1,F288="Yes"),"Yes",IF(AND(C288=0,F288="No"),"Yes","No"))</f>
        <v/>
      </c>
      <c r="E288" s="192">
        <f>IF((AC288+AB288)=AD288,"Push",IF((AC288+AB288)&gt;AD288,"Yes","No"))</f>
        <v/>
      </c>
      <c r="F288" s="192">
        <f>IF(AC288&gt;AD288,"Yes","No")</f>
        <v/>
      </c>
      <c r="G288" s="192">
        <f>IF((Y288+AB288)&gt;Z288,"Yes",IF((Y288+AB288)=Z288,"Push","No"))</f>
        <v/>
      </c>
      <c r="H288" s="157">
        <f>IF(O288="Home",VLOOKUP(N288,Matrix!A:S,19,0),1)</f>
        <v/>
      </c>
      <c r="I288" s="157">
        <f>IF(O288="Away",VLOOKUP(N288,Matrix!A:Z,20,0),1)</f>
        <v/>
      </c>
      <c r="J288" s="157">
        <f>IF(O288="Away",VLOOKUP(P288,Matrix!A:S,19,0),1)</f>
        <v/>
      </c>
      <c r="K288" s="157">
        <f>IF(O288="Home",VLOOKUP(P288,Matrix!A:Z,20,0),1)</f>
        <v/>
      </c>
      <c r="L288" s="156" t="n">
        <v>-0.0597651540005105</v>
      </c>
      <c r="M288" s="179">
        <f>Schedule!B288</f>
        <v/>
      </c>
      <c r="N288" s="156">
        <f>Schedule!E288</f>
        <v/>
      </c>
      <c r="O288" s="156" t="inlineStr">
        <is>
          <t>Home</t>
        </is>
      </c>
      <c r="P288" s="157">
        <f>Schedule!H288</f>
        <v/>
      </c>
      <c r="Q288" s="157">
        <f>Schedule!C288</f>
        <v/>
      </c>
      <c r="R288" s="180">
        <f>Schedule!D288</f>
        <v/>
      </c>
      <c r="S288" s="181">
        <f>Schedule!J288</f>
        <v/>
      </c>
      <c r="T288" s="193">
        <f>Y288-Z288</f>
        <v/>
      </c>
      <c r="U288" s="182">
        <f>T288/Picks!$K$2</f>
        <v/>
      </c>
      <c r="V288" s="193">
        <f>INDEX(Standings!$T$3:$T$34, MATCH(N288, Standings!$A$3:$A$34, 0)) - INDEX(Standings!$T$3:$T$34, MATCH(P288, Standings!$A$3:$A$34, 0))</f>
        <v/>
      </c>
      <c r="W288" s="157">
        <f>INDEX(Standings!$L$3:$L$34, MATCH(N288, Standings!$A$3:$A$34, 0)) - INDEX(Standings!$L$3:$L$34, MATCH(P288, Standings!$A$3:$A$34, 0))</f>
        <v/>
      </c>
      <c r="X288" s="157">
        <f>INDEX(Standings!$M$3:$M$34, MATCH(N288, Standings!$A$3:$A$34, 0)) - INDEX(Standings!$M$3:$M$34, MATCH(P288, Standings!$A$3:$A$34, 0))</f>
        <v/>
      </c>
      <c r="Y288" s="194">
        <f t="array" ref="Y288:Y288">IFERROR(AE288+(AL288-_DFactor)*AE288,"")</f>
        <v/>
      </c>
      <c r="Z288" s="157">
        <f>IFERROR(AF288+(AI288-_DFactor)*AF288,"")</f>
        <v/>
      </c>
      <c r="AC288" s="194">
        <f>VLOOKUP(M288&amp;N288,Schedule!A:F,6,0)</f>
        <v/>
      </c>
      <c r="AD288" s="194">
        <f>VLOOKUP(M288&amp;P288,Schedule!A:F,6,0)</f>
        <v/>
      </c>
      <c r="AE288" s="156">
        <f>VLOOKUP(N288,ProjPVT!B:I,8,0)*_Mag/VLOOKUP(P288,Standings!A:O,15,0)*H288*K288</f>
        <v/>
      </c>
      <c r="AF288" s="156">
        <f>VLOOKUP(P288,ProjPVT!B:I,8,0)*_Mag/VLOOKUP(N288,Standings!A:O,15,0)*J288*I288</f>
        <v/>
      </c>
      <c r="AG288" s="195">
        <f>VLOOKUP(N288,Matrix!AA:AC,3,0)</f>
        <v/>
      </c>
      <c r="AH288" s="195">
        <f>SUMIFS(Def!C:C,Def!F:F,AG288)</f>
        <v/>
      </c>
      <c r="AI288" s="156">
        <f>IFERROR(SUMIFS(Def!B:B,Def!F:F,AG288)/AH288,"")</f>
        <v/>
      </c>
      <c r="AJ288" s="195">
        <f>VLOOKUP(P288,Matrix!AA:AC,3,0)</f>
        <v/>
      </c>
      <c r="AK288" s="195">
        <f>SUMIFS(Def!C:C,Def!F:F,AJ288)</f>
        <v/>
      </c>
      <c r="AL288" s="156">
        <f>IFERROR(SUMIFS(Def!B:B,Def!F:F,AJ288)/AK288,"")</f>
        <v/>
      </c>
    </row>
    <row r="289" ht="14.4" customHeight="1" s="152">
      <c r="A289" s="157">
        <f>IF(F289="Yes",IFERROR(IF(AA289&gt;1,AA289/100,100/-AA289),""),-1)</f>
        <v/>
      </c>
      <c r="B289" s="157">
        <f>B288+1</f>
        <v/>
      </c>
      <c r="C289" s="157">
        <f>IF(Y289&gt;Z289,1,0)</f>
        <v/>
      </c>
      <c r="D289" s="157">
        <f>IF(AND(C289=1,F289="Yes"),"Yes",IF(AND(C289=0,F289="No"),"Yes","No"))</f>
        <v/>
      </c>
      <c r="E289" s="192">
        <f>IF((AC289+AB289)=AD289,"Push",IF((AC289+AB289)&gt;AD289,"Yes","No"))</f>
        <v/>
      </c>
      <c r="F289" s="192">
        <f>IF(AC289&gt;AD289,"Yes","No")</f>
        <v/>
      </c>
      <c r="G289" s="192">
        <f>IF((Y289+AB289)&gt;Z289,"Yes",IF((Y289+AB289)=Z289,"Push","No"))</f>
        <v/>
      </c>
      <c r="H289" s="157">
        <f>IF(O289="Home",VLOOKUP(N289,Matrix!A:S,19,0),1)</f>
        <v/>
      </c>
      <c r="I289" s="157">
        <f>IF(O289="Away",VLOOKUP(N289,Matrix!A:Z,20,0),1)</f>
        <v/>
      </c>
      <c r="J289" s="157">
        <f>IF(O289="Away",VLOOKUP(P289,Matrix!A:S,19,0),1)</f>
        <v/>
      </c>
      <c r="K289" s="157">
        <f>IF(O289="Home",VLOOKUP(P289,Matrix!A:Z,20,0),1)</f>
        <v/>
      </c>
      <c r="L289" s="156" t="n">
        <v>-0.0327231595547168</v>
      </c>
      <c r="M289" s="179">
        <f>Schedule!B289</f>
        <v/>
      </c>
      <c r="N289" s="156">
        <f>Schedule!E289</f>
        <v/>
      </c>
      <c r="O289" s="156" t="inlineStr">
        <is>
          <t>Home</t>
        </is>
      </c>
      <c r="P289" s="157">
        <f>Schedule!H289</f>
        <v/>
      </c>
      <c r="Q289" s="157">
        <f>Schedule!C289</f>
        <v/>
      </c>
      <c r="R289" s="180">
        <f>Schedule!D289</f>
        <v/>
      </c>
      <c r="S289" s="181">
        <f>Schedule!J289</f>
        <v/>
      </c>
      <c r="T289" s="193">
        <f>Y289-Z289</f>
        <v/>
      </c>
      <c r="U289" s="182">
        <f>T289/Picks!$K$2</f>
        <v/>
      </c>
      <c r="V289" s="193">
        <f>INDEX(Standings!$T$3:$T$34, MATCH(N289, Standings!$A$3:$A$34, 0)) - INDEX(Standings!$T$3:$T$34, MATCH(P289, Standings!$A$3:$A$34, 0))</f>
        <v/>
      </c>
      <c r="W289" s="157">
        <f>INDEX(Standings!$L$3:$L$34, MATCH(N289, Standings!$A$3:$A$34, 0)) - INDEX(Standings!$L$3:$L$34, MATCH(P289, Standings!$A$3:$A$34, 0))</f>
        <v/>
      </c>
      <c r="X289" s="157">
        <f>INDEX(Standings!$M$3:$M$34, MATCH(N289, Standings!$A$3:$A$34, 0)) - INDEX(Standings!$M$3:$M$34, MATCH(P289, Standings!$A$3:$A$34, 0))</f>
        <v/>
      </c>
      <c r="Y289" s="194">
        <f t="array" ref="Y289:Y289">IFERROR(AE289+(AL289-_DFactor)*AE289,"")</f>
        <v/>
      </c>
      <c r="Z289" s="157">
        <f>IFERROR(AF289+(AI289-_DFactor)*AF289,"")</f>
        <v/>
      </c>
      <c r="AC289" s="194">
        <f>VLOOKUP(M289&amp;N289,Schedule!A:F,6,0)</f>
        <v/>
      </c>
      <c r="AD289" s="194">
        <f>VLOOKUP(M289&amp;P289,Schedule!A:F,6,0)</f>
        <v/>
      </c>
      <c r="AE289" s="156">
        <f>VLOOKUP(N289,ProjPVT!B:I,8,0)*_Mag/VLOOKUP(P289,Standings!A:O,15,0)*H289*K289</f>
        <v/>
      </c>
      <c r="AF289" s="156">
        <f>VLOOKUP(P289,ProjPVT!B:I,8,0)*_Mag/VLOOKUP(N289,Standings!A:O,15,0)*J289*I289</f>
        <v/>
      </c>
      <c r="AG289" s="195">
        <f>VLOOKUP(N289,Matrix!AA:AC,3,0)</f>
        <v/>
      </c>
      <c r="AH289" s="195">
        <f>SUMIFS(Def!C:C,Def!F:F,AG289)</f>
        <v/>
      </c>
      <c r="AI289" s="156">
        <f>IFERROR(SUMIFS(Def!B:B,Def!F:F,AG289)/AH289,"")</f>
        <v/>
      </c>
      <c r="AJ289" s="195">
        <f>VLOOKUP(P289,Matrix!AA:AC,3,0)</f>
        <v/>
      </c>
      <c r="AK289" s="195">
        <f>SUMIFS(Def!C:C,Def!F:F,AJ289)</f>
        <v/>
      </c>
      <c r="AL289" s="156">
        <f>IFERROR(SUMIFS(Def!B:B,Def!F:F,AJ289)/AK289,"")</f>
        <v/>
      </c>
    </row>
    <row r="290" ht="14.4" customHeight="1" s="152">
      <c r="A290" s="157">
        <f>IF(F290="Yes",IFERROR(IF(AA290&gt;1,AA290/100,100/-AA290),""),-1)</f>
        <v/>
      </c>
      <c r="B290" s="157">
        <f>B289+1</f>
        <v/>
      </c>
      <c r="C290" s="157">
        <f>IF(Y290&gt;Z290,1,0)</f>
        <v/>
      </c>
      <c r="D290" s="157">
        <f>IF(AND(C290=1,F290="Yes"),"Yes",IF(AND(C290=0,F290="No"),"Yes","No"))</f>
        <v/>
      </c>
      <c r="E290" s="192">
        <f>IF((AC290+AB290)=AD290,"Push",IF((AC290+AB290)&gt;AD290,"Yes","No"))</f>
        <v/>
      </c>
      <c r="F290" s="192">
        <f>IF(AC290&gt;AD290,"Yes","No")</f>
        <v/>
      </c>
      <c r="G290" s="192">
        <f>IF((Y290+AB290)&gt;Z290,"Yes",IF((Y290+AB290)=Z290,"Push","No"))</f>
        <v/>
      </c>
      <c r="H290" s="157">
        <f>IF(O290="Home",VLOOKUP(N290,Matrix!A:S,19,0),1)</f>
        <v/>
      </c>
      <c r="I290" s="157">
        <f>IF(O290="Away",VLOOKUP(N290,Matrix!A:Z,20,0),1)</f>
        <v/>
      </c>
      <c r="J290" s="157">
        <f>IF(O290="Away",VLOOKUP(P290,Matrix!A:S,19,0),1)</f>
        <v/>
      </c>
      <c r="K290" s="157">
        <f>IF(O290="Home",VLOOKUP(P290,Matrix!A:Z,20,0),1)</f>
        <v/>
      </c>
      <c r="L290" s="156" t="n">
        <v>-0.00605562580947255</v>
      </c>
      <c r="M290" s="179">
        <f>Schedule!B290</f>
        <v/>
      </c>
      <c r="N290" s="156">
        <f>Schedule!E290</f>
        <v/>
      </c>
      <c r="O290" s="156" t="inlineStr">
        <is>
          <t>Away</t>
        </is>
      </c>
      <c r="P290" s="157">
        <f>Schedule!H290</f>
        <v/>
      </c>
      <c r="Q290" s="157">
        <f>Schedule!C290</f>
        <v/>
      </c>
      <c r="R290" s="180">
        <f>Schedule!D290</f>
        <v/>
      </c>
      <c r="S290" s="181">
        <f>Schedule!J290</f>
        <v/>
      </c>
      <c r="T290" s="193">
        <f>Y290-Z290</f>
        <v/>
      </c>
      <c r="U290" s="182">
        <f>T290/Picks!$K$2</f>
        <v/>
      </c>
      <c r="V290" s="193">
        <f>INDEX(Standings!$T$3:$T$34, MATCH(N290, Standings!$A$3:$A$34, 0)) - INDEX(Standings!$T$3:$T$34, MATCH(P290, Standings!$A$3:$A$34, 0))</f>
        <v/>
      </c>
      <c r="W290" s="157">
        <f>INDEX(Standings!$L$3:$L$34, MATCH(N290, Standings!$A$3:$A$34, 0)) - INDEX(Standings!$L$3:$L$34, MATCH(P290, Standings!$A$3:$A$34, 0))</f>
        <v/>
      </c>
      <c r="X290" s="157">
        <f>INDEX(Standings!$M$3:$M$34, MATCH(N290, Standings!$A$3:$A$34, 0)) - INDEX(Standings!$M$3:$M$34, MATCH(P290, Standings!$A$3:$A$34, 0))</f>
        <v/>
      </c>
      <c r="Y290" s="194">
        <f t="array" ref="Y290:Y290">IFERROR(AE290+(AL290-_DFactor)*AE290,"")</f>
        <v/>
      </c>
      <c r="Z290" s="157">
        <f>IFERROR(AF290+(AI290-_DFactor)*AF290,"")</f>
        <v/>
      </c>
      <c r="AC290" s="194">
        <f>VLOOKUP(M290&amp;N290,Schedule!A:F,6,0)</f>
        <v/>
      </c>
      <c r="AD290" s="194">
        <f>VLOOKUP(M290&amp;P290,Schedule!A:F,6,0)</f>
        <v/>
      </c>
      <c r="AE290" s="156">
        <f>VLOOKUP(N290,ProjPVT!B:I,8,0)*_Mag/VLOOKUP(P290,Standings!A:O,15,0)*H290*K290</f>
        <v/>
      </c>
      <c r="AF290" s="156">
        <f>VLOOKUP(P290,ProjPVT!B:I,8,0)*_Mag/VLOOKUP(N290,Standings!A:O,15,0)*J290*I290</f>
        <v/>
      </c>
      <c r="AG290" s="195">
        <f>VLOOKUP(N290,Matrix!AA:AC,3,0)</f>
        <v/>
      </c>
      <c r="AH290" s="195">
        <f>SUMIFS(Def!C:C,Def!F:F,AG290)</f>
        <v/>
      </c>
      <c r="AI290" s="156">
        <f>IFERROR(SUMIFS(Def!B:B,Def!F:F,AG290)/AH290,"")</f>
        <v/>
      </c>
      <c r="AJ290" s="195">
        <f>VLOOKUP(P290,Matrix!AA:AC,3,0)</f>
        <v/>
      </c>
      <c r="AK290" s="195">
        <f>SUMIFS(Def!C:C,Def!F:F,AJ290)</f>
        <v/>
      </c>
      <c r="AL290" s="156">
        <f>IFERROR(SUMIFS(Def!B:B,Def!F:F,AJ290)/AK290,"")</f>
        <v/>
      </c>
    </row>
    <row r="291" ht="14.4" customHeight="1" s="152">
      <c r="A291" s="157">
        <f>IF(F291="Yes",IFERROR(IF(AA291&gt;1,AA291/100,100/-AA291),""),-1)</f>
        <v/>
      </c>
      <c r="B291" s="157">
        <f>B290+1</f>
        <v/>
      </c>
      <c r="C291" s="157">
        <f>IF(Y291&gt;Z291,1,0)</f>
        <v/>
      </c>
      <c r="D291" s="157">
        <f>IF(AND(C291=1,F291="Yes"),"Yes",IF(AND(C291=0,F291="No"),"Yes","No"))</f>
        <v/>
      </c>
      <c r="E291" s="192">
        <f>IF((AC291+AB291)=AD291,"Push",IF((AC291+AB291)&gt;AD291,"Yes","No"))</f>
        <v/>
      </c>
      <c r="F291" s="192">
        <f>IF(AC291&gt;AD291,"Yes","No")</f>
        <v/>
      </c>
      <c r="G291" s="192">
        <f>IF((Y291+AB291)&gt;Z291,"Yes",IF((Y291+AB291)=Z291,"Push","No"))</f>
        <v/>
      </c>
      <c r="H291" s="157">
        <f>IF(O291="Home",VLOOKUP(N291,Matrix!A:S,19,0),1)</f>
        <v/>
      </c>
      <c r="I291" s="157">
        <f>IF(O291="Away",VLOOKUP(N291,Matrix!A:Z,20,0),1)</f>
        <v/>
      </c>
      <c r="J291" s="157">
        <f>IF(O291="Away",VLOOKUP(P291,Matrix!A:S,19,0),1)</f>
        <v/>
      </c>
      <c r="K291" s="157">
        <f>IF(O291="Home",VLOOKUP(P291,Matrix!A:Z,20,0),1)</f>
        <v/>
      </c>
      <c r="L291" s="156" t="n">
        <v>-0.0040480709747024</v>
      </c>
      <c r="M291" s="179">
        <f>Schedule!B291</f>
        <v/>
      </c>
      <c r="N291" s="156">
        <f>Schedule!E291</f>
        <v/>
      </c>
      <c r="O291" s="156" t="inlineStr">
        <is>
          <t>Home</t>
        </is>
      </c>
      <c r="P291" s="157">
        <f>Schedule!H291</f>
        <v/>
      </c>
      <c r="Q291" s="157">
        <f>Schedule!C291</f>
        <v/>
      </c>
      <c r="R291" s="180">
        <f>Schedule!D291</f>
        <v/>
      </c>
      <c r="S291" s="181">
        <f>Schedule!J291</f>
        <v/>
      </c>
      <c r="T291" s="193">
        <f>Y291-Z291</f>
        <v/>
      </c>
      <c r="U291" s="182">
        <f>T291/Picks!$K$2</f>
        <v/>
      </c>
      <c r="V291" s="193">
        <f>INDEX(Standings!$T$3:$T$34, MATCH(N291, Standings!$A$3:$A$34, 0)) - INDEX(Standings!$T$3:$T$34, MATCH(P291, Standings!$A$3:$A$34, 0))</f>
        <v/>
      </c>
      <c r="W291" s="157">
        <f>INDEX(Standings!$L$3:$L$34, MATCH(N291, Standings!$A$3:$A$34, 0)) - INDEX(Standings!$L$3:$L$34, MATCH(P291, Standings!$A$3:$A$34, 0))</f>
        <v/>
      </c>
      <c r="X291" s="157">
        <f>INDEX(Standings!$M$3:$M$34, MATCH(N291, Standings!$A$3:$A$34, 0)) - INDEX(Standings!$M$3:$M$34, MATCH(P291, Standings!$A$3:$A$34, 0))</f>
        <v/>
      </c>
      <c r="Y291" s="194">
        <f t="array" ref="Y291:Y291">IFERROR(AE291+(AL291-_DFactor)*AE291,"")</f>
        <v/>
      </c>
      <c r="Z291" s="157">
        <f>IFERROR(AF291+(AI291-_DFactor)*AF291,"")</f>
        <v/>
      </c>
      <c r="AC291" s="194">
        <f>VLOOKUP(M291&amp;N291,Schedule!A:F,6,0)</f>
        <v/>
      </c>
      <c r="AD291" s="194">
        <f>VLOOKUP(M291&amp;P291,Schedule!A:F,6,0)</f>
        <v/>
      </c>
      <c r="AE291" s="156">
        <f>VLOOKUP(N291,ProjPVT!B:I,8,0)*_Mag/VLOOKUP(P291,Standings!A:O,15,0)*H291*K291</f>
        <v/>
      </c>
      <c r="AF291" s="156">
        <f>VLOOKUP(P291,ProjPVT!B:I,8,0)*_Mag/VLOOKUP(N291,Standings!A:O,15,0)*J291*I291</f>
        <v/>
      </c>
      <c r="AG291" s="195">
        <f>VLOOKUP(N291,Matrix!AA:AC,3,0)</f>
        <v/>
      </c>
      <c r="AH291" s="195">
        <f>SUMIFS(Def!C:C,Def!F:F,AG291)</f>
        <v/>
      </c>
      <c r="AI291" s="156">
        <f>IFERROR(SUMIFS(Def!B:B,Def!F:F,AG291)/AH291,"")</f>
        <v/>
      </c>
      <c r="AJ291" s="195">
        <f>VLOOKUP(P291,Matrix!AA:AC,3,0)</f>
        <v/>
      </c>
      <c r="AK291" s="195">
        <f>SUMIFS(Def!C:C,Def!F:F,AJ291)</f>
        <v/>
      </c>
      <c r="AL291" s="156">
        <f>IFERROR(SUMIFS(Def!B:B,Def!F:F,AJ291)/AK291,"")</f>
        <v/>
      </c>
    </row>
    <row r="292" ht="14.4" customHeight="1" s="152">
      <c r="A292" s="157">
        <f>IF(F292="Yes",IFERROR(IF(AA292&gt;1,AA292/100,100/-AA292),""),-1)</f>
        <v/>
      </c>
      <c r="B292" s="157">
        <f>B291+1</f>
        <v/>
      </c>
      <c r="C292" s="157">
        <f>IF(Y292&gt;Z292,1,0)</f>
        <v/>
      </c>
      <c r="D292" s="157">
        <f>IF(AND(C292=1,F292="Yes"),"Yes",IF(AND(C292=0,F292="No"),"Yes","No"))</f>
        <v/>
      </c>
      <c r="E292" s="192">
        <f>IF((AC292+AB292)=AD292,"Push",IF((AC292+AB292)&gt;AD292,"Yes","No"))</f>
        <v/>
      </c>
      <c r="F292" s="192">
        <f>IF(AC292&gt;AD292,"Yes","No")</f>
        <v/>
      </c>
      <c r="G292" s="192">
        <f>IF((Y292+AB292)&gt;Z292,"Yes",IF((Y292+AB292)=Z292,"Push","No"))</f>
        <v/>
      </c>
      <c r="H292" s="157">
        <f>IF(O292="Home",VLOOKUP(N292,Matrix!A:S,19,0),1)</f>
        <v/>
      </c>
      <c r="I292" s="157">
        <f>IF(O292="Away",VLOOKUP(N292,Matrix!A:Z,20,0),1)</f>
        <v/>
      </c>
      <c r="J292" s="157">
        <f>IF(O292="Away",VLOOKUP(P292,Matrix!A:S,19,0),1)</f>
        <v/>
      </c>
      <c r="K292" s="157">
        <f>IF(O292="Home",VLOOKUP(P292,Matrix!A:Z,20,0),1)</f>
        <v/>
      </c>
      <c r="L292" s="156" t="n">
        <v>0.0040480709747024</v>
      </c>
      <c r="M292" s="179">
        <f>Schedule!B292</f>
        <v/>
      </c>
      <c r="N292" s="156">
        <f>Schedule!E292</f>
        <v/>
      </c>
      <c r="O292" s="156" t="inlineStr">
        <is>
          <t>Away</t>
        </is>
      </c>
      <c r="P292" s="157">
        <f>Schedule!H292</f>
        <v/>
      </c>
      <c r="Q292" s="157">
        <f>Schedule!C292</f>
        <v/>
      </c>
      <c r="R292" s="180">
        <f>Schedule!D292</f>
        <v/>
      </c>
      <c r="S292" s="181">
        <f>Schedule!J292</f>
        <v/>
      </c>
      <c r="T292" s="193">
        <f>Y292-Z292</f>
        <v/>
      </c>
      <c r="U292" s="182">
        <f>T292/Picks!$K$2</f>
        <v/>
      </c>
      <c r="V292" s="193">
        <f>INDEX(Standings!$T$3:$T$34, MATCH(N292, Standings!$A$3:$A$34, 0)) - INDEX(Standings!$T$3:$T$34, MATCH(P292, Standings!$A$3:$A$34, 0))</f>
        <v/>
      </c>
      <c r="W292" s="157">
        <f>INDEX(Standings!$L$3:$L$34, MATCH(N292, Standings!$A$3:$A$34, 0)) - INDEX(Standings!$L$3:$L$34, MATCH(P292, Standings!$A$3:$A$34, 0))</f>
        <v/>
      </c>
      <c r="X292" s="157">
        <f>INDEX(Standings!$M$3:$M$34, MATCH(N292, Standings!$A$3:$A$34, 0)) - INDEX(Standings!$M$3:$M$34, MATCH(P292, Standings!$A$3:$A$34, 0))</f>
        <v/>
      </c>
      <c r="Y292" s="194">
        <f t="array" ref="Y292:Y292">IFERROR(AE292+(AL292-_DFactor)*AE292,"")</f>
        <v/>
      </c>
      <c r="Z292" s="157">
        <f>IFERROR(AF292+(AI292-_DFactor)*AF292,"")</f>
        <v/>
      </c>
      <c r="AC292" s="194">
        <f>VLOOKUP(M292&amp;N292,Schedule!A:F,6,0)</f>
        <v/>
      </c>
      <c r="AD292" s="194">
        <f>VLOOKUP(M292&amp;P292,Schedule!A:F,6,0)</f>
        <v/>
      </c>
      <c r="AE292" s="156">
        <f>VLOOKUP(N292,ProjPVT!B:I,8,0)*_Mag/VLOOKUP(P292,Standings!A:O,15,0)*H292*K292</f>
        <v/>
      </c>
      <c r="AF292" s="156">
        <f>VLOOKUP(P292,ProjPVT!B:I,8,0)*_Mag/VLOOKUP(N292,Standings!A:O,15,0)*J292*I292</f>
        <v/>
      </c>
      <c r="AG292" s="195">
        <f>VLOOKUP(N292,Matrix!AA:AC,3,0)</f>
        <v/>
      </c>
      <c r="AH292" s="195">
        <f>SUMIFS(Def!C:C,Def!F:F,AG292)</f>
        <v/>
      </c>
      <c r="AI292" s="156">
        <f>IFERROR(SUMIFS(Def!B:B,Def!F:F,AG292)/AH292,"")</f>
        <v/>
      </c>
      <c r="AJ292" s="195">
        <f>VLOOKUP(P292,Matrix!AA:AC,3,0)</f>
        <v/>
      </c>
      <c r="AK292" s="195">
        <f>SUMIFS(Def!C:C,Def!F:F,AJ292)</f>
        <v/>
      </c>
      <c r="AL292" s="156">
        <f>IFERROR(SUMIFS(Def!B:B,Def!F:F,AJ292)/AK292,"")</f>
        <v/>
      </c>
    </row>
    <row r="293" ht="14.4" customHeight="1" s="152">
      <c r="A293" s="157">
        <f>IF(F293="Yes",IFERROR(IF(AA293&gt;1,AA293/100,100/-AA293),""),-1)</f>
        <v/>
      </c>
      <c r="B293" s="157">
        <f>B292+1</f>
        <v/>
      </c>
      <c r="C293" s="157">
        <f>IF(Y293&gt;Z293,1,0)</f>
        <v/>
      </c>
      <c r="D293" s="157">
        <f>IF(AND(C293=1,F293="Yes"),"Yes",IF(AND(C293=0,F293="No"),"Yes","No"))</f>
        <v/>
      </c>
      <c r="E293" s="192">
        <f>IF((AC293+AB293)=AD293,"Push",IF((AC293+AB293)&gt;AD293,"Yes","No"))</f>
        <v/>
      </c>
      <c r="F293" s="192">
        <f>IF(AC293&gt;AD293,"Yes","No")</f>
        <v/>
      </c>
      <c r="G293" s="192">
        <f>IF((Y293+AB293)&gt;Z293,"Yes",IF((Y293+AB293)=Z293,"Push","No"))</f>
        <v/>
      </c>
      <c r="H293" s="157">
        <f>IF(O293="Home",VLOOKUP(N293,Matrix!A:S,19,0),1)</f>
        <v/>
      </c>
      <c r="I293" s="157">
        <f>IF(O293="Away",VLOOKUP(N293,Matrix!A:Z,20,0),1)</f>
        <v/>
      </c>
      <c r="J293" s="157">
        <f>IF(O293="Away",VLOOKUP(P293,Matrix!A:S,19,0),1)</f>
        <v/>
      </c>
      <c r="K293" s="157">
        <f>IF(O293="Home",VLOOKUP(P293,Matrix!A:Z,20,0),1)</f>
        <v/>
      </c>
      <c r="L293" s="156" t="n">
        <v>0.00605562580947255</v>
      </c>
      <c r="M293" s="179">
        <f>Schedule!B293</f>
        <v/>
      </c>
      <c r="N293" s="156">
        <f>Schedule!E293</f>
        <v/>
      </c>
      <c r="O293" s="156" t="inlineStr">
        <is>
          <t>Home</t>
        </is>
      </c>
      <c r="P293" s="157">
        <f>Schedule!H293</f>
        <v/>
      </c>
      <c r="Q293" s="157">
        <f>Schedule!C293</f>
        <v/>
      </c>
      <c r="R293" s="180">
        <f>Schedule!D293</f>
        <v/>
      </c>
      <c r="S293" s="181">
        <f>Schedule!J293</f>
        <v/>
      </c>
      <c r="T293" s="193">
        <f>Y293-Z293</f>
        <v/>
      </c>
      <c r="U293" s="182">
        <f>T293/Picks!$K$2</f>
        <v/>
      </c>
      <c r="V293" s="193">
        <f>INDEX(Standings!$T$3:$T$34, MATCH(N293, Standings!$A$3:$A$34, 0)) - INDEX(Standings!$T$3:$T$34, MATCH(P293, Standings!$A$3:$A$34, 0))</f>
        <v/>
      </c>
      <c r="W293" s="157">
        <f>INDEX(Standings!$L$3:$L$34, MATCH(N293, Standings!$A$3:$A$34, 0)) - INDEX(Standings!$L$3:$L$34, MATCH(P293, Standings!$A$3:$A$34, 0))</f>
        <v/>
      </c>
      <c r="X293" s="157">
        <f>INDEX(Standings!$M$3:$M$34, MATCH(N293, Standings!$A$3:$A$34, 0)) - INDEX(Standings!$M$3:$M$34, MATCH(P293, Standings!$A$3:$A$34, 0))</f>
        <v/>
      </c>
      <c r="Y293" s="194">
        <f t="array" ref="Y293:Y293">IFERROR(AE293+(AL293-_DFactor)*AE293,"")</f>
        <v/>
      </c>
      <c r="Z293" s="157">
        <f>IFERROR(AF293+(AI293-_DFactor)*AF293,"")</f>
        <v/>
      </c>
      <c r="AC293" s="194">
        <f>VLOOKUP(M293&amp;N293,Schedule!A:F,6,0)</f>
        <v/>
      </c>
      <c r="AD293" s="194">
        <f>VLOOKUP(M293&amp;P293,Schedule!A:F,6,0)</f>
        <v/>
      </c>
      <c r="AE293" s="156">
        <f>VLOOKUP(N293,ProjPVT!B:I,8,0)*_Mag/VLOOKUP(P293,Standings!A:O,15,0)*H293*K293</f>
        <v/>
      </c>
      <c r="AF293" s="156">
        <f>VLOOKUP(P293,ProjPVT!B:I,8,0)*_Mag/VLOOKUP(N293,Standings!A:O,15,0)*J293*I293</f>
        <v/>
      </c>
      <c r="AG293" s="195">
        <f>VLOOKUP(N293,Matrix!AA:AC,3,0)</f>
        <v/>
      </c>
      <c r="AH293" s="195">
        <f>SUMIFS(Def!C:C,Def!F:F,AG293)</f>
        <v/>
      </c>
      <c r="AI293" s="156">
        <f>IFERROR(SUMIFS(Def!B:B,Def!F:F,AG293)/AH293,"")</f>
        <v/>
      </c>
      <c r="AJ293" s="195">
        <f>VLOOKUP(P293,Matrix!AA:AC,3,0)</f>
        <v/>
      </c>
      <c r="AK293" s="195">
        <f>SUMIFS(Def!C:C,Def!F:F,AJ293)</f>
        <v/>
      </c>
      <c r="AL293" s="156">
        <f>IFERROR(SUMIFS(Def!B:B,Def!F:F,AJ293)/AK293,"")</f>
        <v/>
      </c>
    </row>
    <row r="294" ht="14.4" customHeight="1" s="152">
      <c r="A294" s="157">
        <f>IF(F294="Yes",IFERROR(IF(AA294&gt;1,AA294/100,100/-AA294),""),-1)</f>
        <v/>
      </c>
      <c r="B294" s="157">
        <f>B293+1</f>
        <v/>
      </c>
      <c r="C294" s="157">
        <f>IF(Y294&gt;Z294,1,0)</f>
        <v/>
      </c>
      <c r="D294" s="157">
        <f>IF(AND(C294=1,F294="Yes"),"Yes",IF(AND(C294=0,F294="No"),"Yes","No"))</f>
        <v/>
      </c>
      <c r="E294" s="192">
        <f>IF((AC294+AB294)=AD294,"Push",IF((AC294+AB294)&gt;AD294,"Yes","No"))</f>
        <v/>
      </c>
      <c r="F294" s="192">
        <f>IF(AC294&gt;AD294,"Yes","No")</f>
        <v/>
      </c>
      <c r="G294" s="192">
        <f>IF((Y294+AB294)&gt;Z294,"Yes",IF((Y294+AB294)=Z294,"Push","No"))</f>
        <v/>
      </c>
      <c r="H294" s="157">
        <f>IF(O294="Home",VLOOKUP(N294,Matrix!A:S,19,0),1)</f>
        <v/>
      </c>
      <c r="I294" s="157">
        <f>IF(O294="Away",VLOOKUP(N294,Matrix!A:Z,20,0),1)</f>
        <v/>
      </c>
      <c r="J294" s="157">
        <f>IF(O294="Away",VLOOKUP(P294,Matrix!A:S,19,0),1)</f>
        <v/>
      </c>
      <c r="K294" s="157">
        <f>IF(O294="Home",VLOOKUP(P294,Matrix!A:Z,20,0),1)</f>
        <v/>
      </c>
      <c r="L294" s="156" t="n">
        <v>0.0327231595547168</v>
      </c>
      <c r="M294" s="179">
        <f>Schedule!B294</f>
        <v/>
      </c>
      <c r="N294" s="156">
        <f>Schedule!E294</f>
        <v/>
      </c>
      <c r="O294" s="156" t="inlineStr">
        <is>
          <t>Away</t>
        </is>
      </c>
      <c r="P294" s="157">
        <f>Schedule!H294</f>
        <v/>
      </c>
      <c r="Q294" s="157">
        <f>Schedule!C294</f>
        <v/>
      </c>
      <c r="R294" s="180">
        <f>Schedule!D294</f>
        <v/>
      </c>
      <c r="S294" s="181">
        <f>Schedule!J294</f>
        <v/>
      </c>
      <c r="T294" s="193">
        <f>Y294-Z294</f>
        <v/>
      </c>
      <c r="U294" s="182">
        <f>T294/Picks!$K$2</f>
        <v/>
      </c>
      <c r="V294" s="193">
        <f>INDEX(Standings!$T$3:$T$34, MATCH(N294, Standings!$A$3:$A$34, 0)) - INDEX(Standings!$T$3:$T$34, MATCH(P294, Standings!$A$3:$A$34, 0))</f>
        <v/>
      </c>
      <c r="W294" s="157">
        <f>INDEX(Standings!$L$3:$L$34, MATCH(N294, Standings!$A$3:$A$34, 0)) - INDEX(Standings!$L$3:$L$34, MATCH(P294, Standings!$A$3:$A$34, 0))</f>
        <v/>
      </c>
      <c r="X294" s="157">
        <f>INDEX(Standings!$M$3:$M$34, MATCH(N294, Standings!$A$3:$A$34, 0)) - INDEX(Standings!$M$3:$M$34, MATCH(P294, Standings!$A$3:$A$34, 0))</f>
        <v/>
      </c>
      <c r="Y294" s="194">
        <f t="array" ref="Y294:Y294">IFERROR(AE294+(AL294-_DFactor)*AE294,"")</f>
        <v/>
      </c>
      <c r="Z294" s="157">
        <f>IFERROR(AF294+(AI294-_DFactor)*AF294,"")</f>
        <v/>
      </c>
      <c r="AC294" s="194">
        <f>VLOOKUP(M294&amp;N294,Schedule!A:F,6,0)</f>
        <v/>
      </c>
      <c r="AD294" s="194">
        <f>VLOOKUP(M294&amp;P294,Schedule!A:F,6,0)</f>
        <v/>
      </c>
      <c r="AE294" s="156">
        <f>VLOOKUP(N294,ProjPVT!B:I,8,0)*_Mag/VLOOKUP(P294,Standings!A:O,15,0)*H294*K294</f>
        <v/>
      </c>
      <c r="AF294" s="156">
        <f>VLOOKUP(P294,ProjPVT!B:I,8,0)*_Mag/VLOOKUP(N294,Standings!A:O,15,0)*J294*I294</f>
        <v/>
      </c>
      <c r="AG294" s="195">
        <f>VLOOKUP(N294,Matrix!AA:AC,3,0)</f>
        <v/>
      </c>
      <c r="AH294" s="195">
        <f>SUMIFS(Def!C:C,Def!F:F,AG294)</f>
        <v/>
      </c>
      <c r="AI294" s="156">
        <f>IFERROR(SUMIFS(Def!B:B,Def!F:F,AG294)/AH294,"")</f>
        <v/>
      </c>
      <c r="AJ294" s="195">
        <f>VLOOKUP(P294,Matrix!AA:AC,3,0)</f>
        <v/>
      </c>
      <c r="AK294" s="195">
        <f>SUMIFS(Def!C:C,Def!F:F,AJ294)</f>
        <v/>
      </c>
      <c r="AL294" s="156">
        <f>IFERROR(SUMIFS(Def!B:B,Def!F:F,AJ294)/AK294,"")</f>
        <v/>
      </c>
    </row>
    <row r="295" ht="14.4" customHeight="1" s="152">
      <c r="A295" s="157">
        <f>IF(F295="Yes",IFERROR(IF(AA295&gt;1,AA295/100,100/-AA295),""),-1)</f>
        <v/>
      </c>
      <c r="B295" s="157">
        <f>B294+1</f>
        <v/>
      </c>
      <c r="C295" s="157">
        <f>IF(Y295&gt;Z295,1,0)</f>
        <v/>
      </c>
      <c r="D295" s="157">
        <f>IF(AND(C295=1,F295="Yes"),"Yes",IF(AND(C295=0,F295="No"),"Yes","No"))</f>
        <v/>
      </c>
      <c r="E295" s="192">
        <f>IF((AC295+AB295)=AD295,"Push",IF((AC295+AB295)&gt;AD295,"Yes","No"))</f>
        <v/>
      </c>
      <c r="F295" s="192">
        <f>IF(AC295&gt;AD295,"Yes","No")</f>
        <v/>
      </c>
      <c r="G295" s="192">
        <f>IF((Y295+AB295)&gt;Z295,"Yes",IF((Y295+AB295)=Z295,"Push","No"))</f>
        <v/>
      </c>
      <c r="H295" s="157">
        <f>IF(O295="Home",VLOOKUP(N295,Matrix!A:S,19,0),1)</f>
        <v/>
      </c>
      <c r="I295" s="157">
        <f>IF(O295="Away",VLOOKUP(N295,Matrix!A:Z,20,0),1)</f>
        <v/>
      </c>
      <c r="J295" s="157">
        <f>IF(O295="Away",VLOOKUP(P295,Matrix!A:S,19,0),1)</f>
        <v/>
      </c>
      <c r="K295" s="157">
        <f>IF(O295="Home",VLOOKUP(P295,Matrix!A:Z,20,0),1)</f>
        <v/>
      </c>
      <c r="L295" s="156" t="n">
        <v>0.0597651540005105</v>
      </c>
      <c r="M295" s="179">
        <f>Schedule!B295</f>
        <v/>
      </c>
      <c r="N295" s="156">
        <f>Schedule!E295</f>
        <v/>
      </c>
      <c r="O295" s="156" t="inlineStr">
        <is>
          <t>Away</t>
        </is>
      </c>
      <c r="P295" s="157">
        <f>Schedule!H295</f>
        <v/>
      </c>
      <c r="Q295" s="157">
        <f>Schedule!C295</f>
        <v/>
      </c>
      <c r="R295" s="180">
        <f>Schedule!D295</f>
        <v/>
      </c>
      <c r="S295" s="181">
        <f>Schedule!J295</f>
        <v/>
      </c>
      <c r="T295" s="193">
        <f>Y295-Z295</f>
        <v/>
      </c>
      <c r="U295" s="182">
        <f>T295/Picks!$K$2</f>
        <v/>
      </c>
      <c r="V295" s="193">
        <f>INDEX(Standings!$T$3:$T$34, MATCH(N295, Standings!$A$3:$A$34, 0)) - INDEX(Standings!$T$3:$T$34, MATCH(P295, Standings!$A$3:$A$34, 0))</f>
        <v/>
      </c>
      <c r="W295" s="157">
        <f>INDEX(Standings!$L$3:$L$34, MATCH(N295, Standings!$A$3:$A$34, 0)) - INDEX(Standings!$L$3:$L$34, MATCH(P295, Standings!$A$3:$A$34, 0))</f>
        <v/>
      </c>
      <c r="X295" s="157">
        <f>INDEX(Standings!$M$3:$M$34, MATCH(N295, Standings!$A$3:$A$34, 0)) - INDEX(Standings!$M$3:$M$34, MATCH(P295, Standings!$A$3:$A$34, 0))</f>
        <v/>
      </c>
      <c r="Y295" s="194">
        <f t="array" ref="Y295:Y295">IFERROR(AE295+(AL295-_DFactor)*AE295,"")</f>
        <v/>
      </c>
      <c r="Z295" s="157">
        <f>IFERROR(AF295+(AI295-_DFactor)*AF295,"")</f>
        <v/>
      </c>
      <c r="AC295" s="194">
        <f>VLOOKUP(M295&amp;N295,Schedule!A:F,6,0)</f>
        <v/>
      </c>
      <c r="AD295" s="194">
        <f>VLOOKUP(M295&amp;P295,Schedule!A:F,6,0)</f>
        <v/>
      </c>
      <c r="AE295" s="156">
        <f>VLOOKUP(N295,ProjPVT!B:I,8,0)*_Mag/VLOOKUP(P295,Standings!A:O,15,0)*H295*K295</f>
        <v/>
      </c>
      <c r="AF295" s="156">
        <f>VLOOKUP(P295,ProjPVT!B:I,8,0)*_Mag/VLOOKUP(N295,Standings!A:O,15,0)*J295*I295</f>
        <v/>
      </c>
      <c r="AG295" s="195">
        <f>VLOOKUP(N295,Matrix!AA:AC,3,0)</f>
        <v/>
      </c>
      <c r="AH295" s="195">
        <f>SUMIFS(Def!C:C,Def!F:F,AG295)</f>
        <v/>
      </c>
      <c r="AI295" s="156">
        <f>IFERROR(SUMIFS(Def!B:B,Def!F:F,AG295)/AH295,"")</f>
        <v/>
      </c>
      <c r="AJ295" s="195">
        <f>VLOOKUP(P295,Matrix!AA:AC,3,0)</f>
        <v/>
      </c>
      <c r="AK295" s="195">
        <f>SUMIFS(Def!C:C,Def!F:F,AJ295)</f>
        <v/>
      </c>
      <c r="AL295" s="156">
        <f>IFERROR(SUMIFS(Def!B:B,Def!F:F,AJ295)/AK295,"")</f>
        <v/>
      </c>
    </row>
    <row r="296" ht="14.4" customHeight="1" s="152">
      <c r="A296" s="157">
        <f>IF(F296="Yes",IFERROR(IF(AA296&gt;1,AA296/100,100/-AA296),""),-1)</f>
        <v/>
      </c>
      <c r="B296" s="157">
        <f>B295+1</f>
        <v/>
      </c>
      <c r="C296" s="157">
        <f>IF(Y296&gt;Z296,1,0)</f>
        <v/>
      </c>
      <c r="D296" s="157">
        <f>IF(AND(C296=1,F296="Yes"),"Yes",IF(AND(C296=0,F296="No"),"Yes","No"))</f>
        <v/>
      </c>
      <c r="E296" s="192">
        <f>IF((AC296+AB296)=AD296,"Push",IF((AC296+AB296)&gt;AD296,"Yes","No"))</f>
        <v/>
      </c>
      <c r="F296" s="192">
        <f>IF(AC296&gt;AD296,"Yes","No")</f>
        <v/>
      </c>
      <c r="G296" s="192">
        <f>IF((Y296+AB296)&gt;Z296,"Yes",IF((Y296+AB296)=Z296,"Push","No"))</f>
        <v/>
      </c>
      <c r="H296" s="157">
        <f>IF(O296="Home",VLOOKUP(N296,Matrix!A:S,19,0),1)</f>
        <v/>
      </c>
      <c r="I296" s="157">
        <f>IF(O296="Away",VLOOKUP(N296,Matrix!A:Z,20,0),1)</f>
        <v/>
      </c>
      <c r="J296" s="157">
        <f>IF(O296="Away",VLOOKUP(P296,Matrix!A:S,19,0),1)</f>
        <v/>
      </c>
      <c r="K296" s="157">
        <f>IF(O296="Home",VLOOKUP(P296,Matrix!A:Z,20,0),1)</f>
        <v/>
      </c>
      <c r="L296" s="156" t="n">
        <v>0.0753836382126773</v>
      </c>
      <c r="M296" s="179">
        <f>Schedule!B296</f>
        <v/>
      </c>
      <c r="N296" s="156">
        <f>Schedule!E296</f>
        <v/>
      </c>
      <c r="O296" s="156" t="inlineStr">
        <is>
          <t>Away</t>
        </is>
      </c>
      <c r="P296" s="157">
        <f>Schedule!H296</f>
        <v/>
      </c>
      <c r="Q296" s="157">
        <f>Schedule!C296</f>
        <v/>
      </c>
      <c r="R296" s="180">
        <f>Schedule!D296</f>
        <v/>
      </c>
      <c r="S296" s="181">
        <f>Schedule!J296</f>
        <v/>
      </c>
      <c r="T296" s="193">
        <f>Y296-Z296</f>
        <v/>
      </c>
      <c r="U296" s="182">
        <f>T296/Picks!$K$2</f>
        <v/>
      </c>
      <c r="V296" s="193">
        <f>INDEX(Standings!$T$3:$T$34, MATCH(N296, Standings!$A$3:$A$34, 0)) - INDEX(Standings!$T$3:$T$34, MATCH(P296, Standings!$A$3:$A$34, 0))</f>
        <v/>
      </c>
      <c r="W296" s="157">
        <f>INDEX(Standings!$L$3:$L$34, MATCH(N296, Standings!$A$3:$A$34, 0)) - INDEX(Standings!$L$3:$L$34, MATCH(P296, Standings!$A$3:$A$34, 0))</f>
        <v/>
      </c>
      <c r="X296" s="157">
        <f>INDEX(Standings!$M$3:$M$34, MATCH(N296, Standings!$A$3:$A$34, 0)) - INDEX(Standings!$M$3:$M$34, MATCH(P296, Standings!$A$3:$A$34, 0))</f>
        <v/>
      </c>
      <c r="Y296" s="194">
        <f t="array" ref="Y296:Y296">IFERROR(AE296+(AL296-_DFactor)*AE296,"")</f>
        <v/>
      </c>
      <c r="Z296" s="157">
        <f>IFERROR(AF296+(AI296-_DFactor)*AF296,"")</f>
        <v/>
      </c>
      <c r="AC296" s="194">
        <f>VLOOKUP(M296&amp;N296,Schedule!A:F,6,0)</f>
        <v/>
      </c>
      <c r="AD296" s="194">
        <f>VLOOKUP(M296&amp;P296,Schedule!A:F,6,0)</f>
        <v/>
      </c>
      <c r="AE296" s="156">
        <f>VLOOKUP(N296,ProjPVT!B:I,8,0)*_Mag/VLOOKUP(P296,Standings!A:O,15,0)*H296*K296</f>
        <v/>
      </c>
      <c r="AF296" s="156">
        <f>VLOOKUP(P296,ProjPVT!B:I,8,0)*_Mag/VLOOKUP(N296,Standings!A:O,15,0)*J296*I296</f>
        <v/>
      </c>
      <c r="AG296" s="195">
        <f>VLOOKUP(N296,Matrix!AA:AC,3,0)</f>
        <v/>
      </c>
      <c r="AH296" s="195">
        <f>SUMIFS(Def!C:C,Def!F:F,AG296)</f>
        <v/>
      </c>
      <c r="AI296" s="156">
        <f>IFERROR(SUMIFS(Def!B:B,Def!F:F,AG296)/AH296,"")</f>
        <v/>
      </c>
      <c r="AJ296" s="195">
        <f>VLOOKUP(P296,Matrix!AA:AC,3,0)</f>
        <v/>
      </c>
      <c r="AK296" s="195">
        <f>SUMIFS(Def!C:C,Def!F:F,AJ296)</f>
        <v/>
      </c>
      <c r="AL296" s="156">
        <f>IFERROR(SUMIFS(Def!B:B,Def!F:F,AJ296)/AK296,"")</f>
        <v/>
      </c>
    </row>
    <row r="297" ht="14.4" customHeight="1" s="152">
      <c r="A297" s="157">
        <f>IF(F297="Yes",IFERROR(IF(AA297&gt;1,AA297/100,100/-AA297),""),-1)</f>
        <v/>
      </c>
      <c r="B297" s="157">
        <f>B296+1</f>
        <v/>
      </c>
      <c r="C297" s="157">
        <f>IF(Y297&gt;Z297,1,0)</f>
        <v/>
      </c>
      <c r="D297" s="157">
        <f>IF(AND(C297=1,F297="Yes"),"Yes",IF(AND(C297=0,F297="No"),"Yes","No"))</f>
        <v/>
      </c>
      <c r="E297" s="192">
        <f>IF((AC297+AB297)=AD297,"Push",IF((AC297+AB297)&gt;AD297,"Yes","No"))</f>
        <v/>
      </c>
      <c r="F297" s="192">
        <f>IF(AC297&gt;AD297,"Yes","No")</f>
        <v/>
      </c>
      <c r="G297" s="192">
        <f>IF((Y297+AB297)&gt;Z297,"Yes",IF((Y297+AB297)=Z297,"Push","No"))</f>
        <v/>
      </c>
      <c r="H297" s="157">
        <f>IF(O297="Home",VLOOKUP(N297,Matrix!A:S,19,0),1)</f>
        <v/>
      </c>
      <c r="I297" s="157">
        <f>IF(O297="Away",VLOOKUP(N297,Matrix!A:Z,20,0),1)</f>
        <v/>
      </c>
      <c r="J297" s="157">
        <f>IF(O297="Away",VLOOKUP(P297,Matrix!A:S,19,0),1)</f>
        <v/>
      </c>
      <c r="K297" s="157">
        <f>IF(O297="Home",VLOOKUP(P297,Matrix!A:Z,20,0),1)</f>
        <v/>
      </c>
      <c r="L297" s="156" t="n">
        <v>0.100390131288853</v>
      </c>
      <c r="M297" s="179">
        <f>Schedule!B297</f>
        <v/>
      </c>
      <c r="N297" s="156">
        <f>Schedule!E297</f>
        <v/>
      </c>
      <c r="O297" s="156" t="inlineStr">
        <is>
          <t>Home</t>
        </is>
      </c>
      <c r="P297" s="157">
        <f>Schedule!H297</f>
        <v/>
      </c>
      <c r="Q297" s="157">
        <f>Schedule!C297</f>
        <v/>
      </c>
      <c r="R297" s="180">
        <f>Schedule!D297</f>
        <v/>
      </c>
      <c r="S297" s="181">
        <f>Schedule!J297</f>
        <v/>
      </c>
      <c r="T297" s="193">
        <f>Y297-Z297</f>
        <v/>
      </c>
      <c r="U297" s="182">
        <f>T297/Picks!$K$2</f>
        <v/>
      </c>
      <c r="V297" s="193">
        <f>INDEX(Standings!$T$3:$T$34, MATCH(N297, Standings!$A$3:$A$34, 0)) - INDEX(Standings!$T$3:$T$34, MATCH(P297, Standings!$A$3:$A$34, 0))</f>
        <v/>
      </c>
      <c r="W297" s="157">
        <f>INDEX(Standings!$L$3:$L$34, MATCH(N297, Standings!$A$3:$A$34, 0)) - INDEX(Standings!$L$3:$L$34, MATCH(P297, Standings!$A$3:$A$34, 0))</f>
        <v/>
      </c>
      <c r="X297" s="157">
        <f>INDEX(Standings!$M$3:$M$34, MATCH(N297, Standings!$A$3:$A$34, 0)) - INDEX(Standings!$M$3:$M$34, MATCH(P297, Standings!$A$3:$A$34, 0))</f>
        <v/>
      </c>
      <c r="Y297" s="194">
        <f t="array" ref="Y297:Y297">IFERROR(AE297+(AL297-_DFactor)*AE297,"")</f>
        <v/>
      </c>
      <c r="Z297" s="157">
        <f>IFERROR(AF297+(AI297-_DFactor)*AF297,"")</f>
        <v/>
      </c>
      <c r="AC297" s="194">
        <f>VLOOKUP(M297&amp;N297,Schedule!A:F,6,0)</f>
        <v/>
      </c>
      <c r="AD297" s="194">
        <f>VLOOKUP(M297&amp;P297,Schedule!A:F,6,0)</f>
        <v/>
      </c>
      <c r="AE297" s="156">
        <f>VLOOKUP(N297,ProjPVT!B:I,8,0)*_Mag/VLOOKUP(P297,Standings!A:O,15,0)*H297*K297</f>
        <v/>
      </c>
      <c r="AF297" s="156">
        <f>VLOOKUP(P297,ProjPVT!B:I,8,0)*_Mag/VLOOKUP(N297,Standings!A:O,15,0)*J297*I297</f>
        <v/>
      </c>
      <c r="AG297" s="195">
        <f>VLOOKUP(N297,Matrix!AA:AC,3,0)</f>
        <v/>
      </c>
      <c r="AH297" s="195">
        <f>SUMIFS(Def!C:C,Def!F:F,AG297)</f>
        <v/>
      </c>
      <c r="AI297" s="156">
        <f>IFERROR(SUMIFS(Def!B:B,Def!F:F,AG297)/AH297,"")</f>
        <v/>
      </c>
      <c r="AJ297" s="195">
        <f>VLOOKUP(P297,Matrix!AA:AC,3,0)</f>
        <v/>
      </c>
      <c r="AK297" s="195">
        <f>SUMIFS(Def!C:C,Def!F:F,AJ297)</f>
        <v/>
      </c>
      <c r="AL297" s="156">
        <f>IFERROR(SUMIFS(Def!B:B,Def!F:F,AJ297)/AK297,"")</f>
        <v/>
      </c>
    </row>
    <row r="298" ht="14.4" customHeight="1" s="152">
      <c r="A298" s="157">
        <f>IF(F298="Yes",IFERROR(IF(AA298&gt;1,AA298/100,100/-AA298),""),-1)</f>
        <v/>
      </c>
      <c r="B298" s="157">
        <f>B297+1</f>
        <v/>
      </c>
      <c r="C298" s="157">
        <f>IF(Y298&gt;Z298,1,0)</f>
        <v/>
      </c>
      <c r="D298" s="157">
        <f>IF(AND(C298=1,F298="Yes"),"Yes",IF(AND(C298=0,F298="No"),"Yes","No"))</f>
        <v/>
      </c>
      <c r="E298" s="192">
        <f>IF((AC298+AB298)=AD298,"Push",IF((AC298+AB298)&gt;AD298,"Yes","No"))</f>
        <v/>
      </c>
      <c r="F298" s="192">
        <f>IF(AC298&gt;AD298,"Yes","No")</f>
        <v/>
      </c>
      <c r="G298" s="192">
        <f>IF((Y298+AB298)&gt;Z298,"Yes",IF((Y298+AB298)=Z298,"Push","No"))</f>
        <v/>
      </c>
      <c r="H298" s="157">
        <f>IF(O298="Home",VLOOKUP(N298,Matrix!A:S,19,0),1)</f>
        <v/>
      </c>
      <c r="I298" s="157">
        <f>IF(O298="Away",VLOOKUP(N298,Matrix!A:Z,20,0),1)</f>
        <v/>
      </c>
      <c r="J298" s="157">
        <f>IF(O298="Away",VLOOKUP(P298,Matrix!A:S,19,0),1)</f>
        <v/>
      </c>
      <c r="K298" s="157">
        <f>IF(O298="Home",VLOOKUP(P298,Matrix!A:Z,20,0),1)</f>
        <v/>
      </c>
      <c r="L298" s="156" t="n">
        <v>0.171113119891698</v>
      </c>
      <c r="M298" s="179">
        <f>Schedule!B298</f>
        <v/>
      </c>
      <c r="N298" s="156">
        <f>Schedule!E298</f>
        <v/>
      </c>
      <c r="O298" s="156" t="inlineStr">
        <is>
          <t>Away</t>
        </is>
      </c>
      <c r="P298" s="157">
        <f>Schedule!H298</f>
        <v/>
      </c>
      <c r="Q298" s="157">
        <f>Schedule!C298</f>
        <v/>
      </c>
      <c r="R298" s="180">
        <f>Schedule!D298</f>
        <v/>
      </c>
      <c r="S298" s="181">
        <f>Schedule!J298</f>
        <v/>
      </c>
      <c r="T298" s="193">
        <f>Y298-Z298</f>
        <v/>
      </c>
      <c r="U298" s="182">
        <f>T298/Picks!$K$2</f>
        <v/>
      </c>
      <c r="V298" s="193">
        <f>INDEX(Standings!$T$3:$T$34, MATCH(N298, Standings!$A$3:$A$34, 0)) - INDEX(Standings!$T$3:$T$34, MATCH(P298, Standings!$A$3:$A$34, 0))</f>
        <v/>
      </c>
      <c r="W298" s="157">
        <f>INDEX(Standings!$L$3:$L$34, MATCH(N298, Standings!$A$3:$A$34, 0)) - INDEX(Standings!$L$3:$L$34, MATCH(P298, Standings!$A$3:$A$34, 0))</f>
        <v/>
      </c>
      <c r="X298" s="157">
        <f>INDEX(Standings!$M$3:$M$34, MATCH(N298, Standings!$A$3:$A$34, 0)) - INDEX(Standings!$M$3:$M$34, MATCH(P298, Standings!$A$3:$A$34, 0))</f>
        <v/>
      </c>
      <c r="Y298" s="194">
        <f t="array" ref="Y298:Y298">IFERROR(AE298+(AL298-_DFactor)*AE298,"")</f>
        <v/>
      </c>
      <c r="Z298" s="157">
        <f>IFERROR(AF298+(AI298-_DFactor)*AF298,"")</f>
        <v/>
      </c>
      <c r="AC298" s="194">
        <f>VLOOKUP(M298&amp;N298,Schedule!A:F,6,0)</f>
        <v/>
      </c>
      <c r="AD298" s="194">
        <f>VLOOKUP(M298&amp;P298,Schedule!A:F,6,0)</f>
        <v/>
      </c>
      <c r="AE298" s="156">
        <f>VLOOKUP(N298,ProjPVT!B:I,8,0)*_Mag/VLOOKUP(P298,Standings!A:O,15,0)*H298*K298</f>
        <v/>
      </c>
      <c r="AF298" s="156">
        <f>VLOOKUP(P298,ProjPVT!B:I,8,0)*_Mag/VLOOKUP(N298,Standings!A:O,15,0)*J298*I298</f>
        <v/>
      </c>
      <c r="AG298" s="195">
        <f>VLOOKUP(N298,Matrix!AA:AC,3,0)</f>
        <v/>
      </c>
      <c r="AH298" s="195">
        <f>SUMIFS(Def!C:C,Def!F:F,AG298)</f>
        <v/>
      </c>
      <c r="AI298" s="156">
        <f>IFERROR(SUMIFS(Def!B:B,Def!F:F,AG298)/AH298,"")</f>
        <v/>
      </c>
      <c r="AJ298" s="195">
        <f>VLOOKUP(P298,Matrix!AA:AC,3,0)</f>
        <v/>
      </c>
      <c r="AK298" s="195">
        <f>SUMIFS(Def!C:C,Def!F:F,AJ298)</f>
        <v/>
      </c>
      <c r="AL298" s="156">
        <f>IFERROR(SUMIFS(Def!B:B,Def!F:F,AJ298)/AK298,"")</f>
        <v/>
      </c>
    </row>
    <row r="299" ht="14.4" customHeight="1" s="152">
      <c r="A299" s="157">
        <f>IF(F299="Yes",IFERROR(IF(AA299&gt;1,AA299/100,100/-AA299),""),-1)</f>
        <v/>
      </c>
      <c r="B299" s="157">
        <f>B298+1</f>
        <v/>
      </c>
      <c r="C299" s="157">
        <f>IF(Y299&gt;Z299,1,0)</f>
        <v/>
      </c>
      <c r="D299" s="157">
        <f>IF(AND(C299=1,F299="Yes"),"Yes",IF(AND(C299=0,F299="No"),"Yes","No"))</f>
        <v/>
      </c>
      <c r="E299" s="192">
        <f>IF((AC299+AB299)=AD299,"Push",IF((AC299+AB299)&gt;AD299,"Yes","No"))</f>
        <v/>
      </c>
      <c r="F299" s="192">
        <f>IF(AC299&gt;AD299,"Yes","No")</f>
        <v/>
      </c>
      <c r="G299" s="192">
        <f>IF((Y299+AB299)&gt;Z299,"Yes",IF((Y299+AB299)=Z299,"Push","No"))</f>
        <v/>
      </c>
      <c r="H299" s="157">
        <f>IF(O299="Home",VLOOKUP(N299,Matrix!A:S,19,0),1)</f>
        <v/>
      </c>
      <c r="I299" s="157">
        <f>IF(O299="Away",VLOOKUP(N299,Matrix!A:Z,20,0),1)</f>
        <v/>
      </c>
      <c r="J299" s="157">
        <f>IF(O299="Away",VLOOKUP(P299,Matrix!A:S,19,0),1)</f>
        <v/>
      </c>
      <c r="K299" s="157">
        <f>IF(O299="Home",VLOOKUP(P299,Matrix!A:Z,20,0),1)</f>
        <v/>
      </c>
      <c r="L299" s="156" t="n">
        <v>0.22711614095173</v>
      </c>
      <c r="M299" s="179">
        <f>Schedule!B299</f>
        <v/>
      </c>
      <c r="N299" s="156">
        <f>Schedule!E299</f>
        <v/>
      </c>
      <c r="O299" s="156" t="inlineStr">
        <is>
          <t>Home</t>
        </is>
      </c>
      <c r="P299" s="157">
        <f>Schedule!H299</f>
        <v/>
      </c>
      <c r="Q299" s="157">
        <f>Schedule!C299</f>
        <v/>
      </c>
      <c r="R299" s="180">
        <f>Schedule!D299</f>
        <v/>
      </c>
      <c r="S299" s="181">
        <f>Schedule!J299</f>
        <v/>
      </c>
      <c r="T299" s="193">
        <f>Y299-Z299</f>
        <v/>
      </c>
      <c r="U299" s="182">
        <f>T299/Picks!$K$2</f>
        <v/>
      </c>
      <c r="V299" s="193">
        <f>INDEX(Standings!$T$3:$T$34, MATCH(N299, Standings!$A$3:$A$34, 0)) - INDEX(Standings!$T$3:$T$34, MATCH(P299, Standings!$A$3:$A$34, 0))</f>
        <v/>
      </c>
      <c r="W299" s="157">
        <f>INDEX(Standings!$L$3:$L$34, MATCH(N299, Standings!$A$3:$A$34, 0)) - INDEX(Standings!$L$3:$L$34, MATCH(P299, Standings!$A$3:$A$34, 0))</f>
        <v/>
      </c>
      <c r="X299" s="157">
        <f>INDEX(Standings!$M$3:$M$34, MATCH(N299, Standings!$A$3:$A$34, 0)) - INDEX(Standings!$M$3:$M$34, MATCH(P299, Standings!$A$3:$A$34, 0))</f>
        <v/>
      </c>
      <c r="Y299" s="194">
        <f t="array" ref="Y299:Y299">IFERROR(AE299+(AL299-_DFactor)*AE299,"")</f>
        <v/>
      </c>
      <c r="Z299" s="157">
        <f>IFERROR(AF299+(AI299-_DFactor)*AF299,"")</f>
        <v/>
      </c>
      <c r="AC299" s="194">
        <f>VLOOKUP(M299&amp;N299,Schedule!A:F,6,0)</f>
        <v/>
      </c>
      <c r="AD299" s="194">
        <f>VLOOKUP(M299&amp;P299,Schedule!A:F,6,0)</f>
        <v/>
      </c>
      <c r="AE299" s="156">
        <f>VLOOKUP(N299,ProjPVT!B:I,8,0)*_Mag/VLOOKUP(P299,Standings!A:O,15,0)*H299*K299</f>
        <v/>
      </c>
      <c r="AF299" s="156">
        <f>VLOOKUP(P299,ProjPVT!B:I,8,0)*_Mag/VLOOKUP(N299,Standings!A:O,15,0)*J299*I299</f>
        <v/>
      </c>
      <c r="AG299" s="195">
        <f>VLOOKUP(N299,Matrix!AA:AC,3,0)</f>
        <v/>
      </c>
      <c r="AH299" s="195">
        <f>SUMIFS(Def!C:C,Def!F:F,AG299)</f>
        <v/>
      </c>
      <c r="AI299" s="156">
        <f>IFERROR(SUMIFS(Def!B:B,Def!F:F,AG299)/AH299,"")</f>
        <v/>
      </c>
      <c r="AJ299" s="195">
        <f>VLOOKUP(P299,Matrix!AA:AC,3,0)</f>
        <v/>
      </c>
      <c r="AK299" s="195">
        <f>SUMIFS(Def!C:C,Def!F:F,AJ299)</f>
        <v/>
      </c>
      <c r="AL299" s="156">
        <f>IFERROR(SUMIFS(Def!B:B,Def!F:F,AJ299)/AK299,"")</f>
        <v/>
      </c>
    </row>
    <row r="300" ht="14.4" customHeight="1" s="152">
      <c r="A300" s="157">
        <f>IF(F300="Yes",IFERROR(IF(AA300&gt;1,AA300/100,100/-AA300),""),-1)</f>
        <v/>
      </c>
      <c r="B300" s="157">
        <f>B299+1</f>
        <v/>
      </c>
      <c r="C300" s="157">
        <f>IF(Y300&gt;Z300,1,0)</f>
        <v/>
      </c>
      <c r="D300" s="157">
        <f>IF(AND(C300=1,F300="Yes"),"Yes",IF(AND(C300=0,F300="No"),"Yes","No"))</f>
        <v/>
      </c>
      <c r="E300" s="192">
        <f>IF((AC300+AB300)=AD300,"Push",IF((AC300+AB300)&gt;AD300,"Yes","No"))</f>
        <v/>
      </c>
      <c r="F300" s="192">
        <f>IF(AC300&gt;AD300,"Yes","No")</f>
        <v/>
      </c>
      <c r="G300" s="192">
        <f>IF((Y300+AB300)&gt;Z300,"Yes",IF((Y300+AB300)=Z300,"Push","No"))</f>
        <v/>
      </c>
      <c r="H300" s="157">
        <f>IF(O300="Home",VLOOKUP(N300,Matrix!A:S,19,0),1)</f>
        <v/>
      </c>
      <c r="I300" s="157">
        <f>IF(O300="Away",VLOOKUP(N300,Matrix!A:Z,20,0),1)</f>
        <v/>
      </c>
      <c r="J300" s="157">
        <f>IF(O300="Away",VLOOKUP(P300,Matrix!A:S,19,0),1)</f>
        <v/>
      </c>
      <c r="K300" s="157">
        <f>IF(O300="Home",VLOOKUP(P300,Matrix!A:Z,20,0),1)</f>
        <v/>
      </c>
      <c r="L300" s="156" t="n">
        <v>0.284259168864403</v>
      </c>
      <c r="M300" s="179">
        <f>Schedule!B300</f>
        <v/>
      </c>
      <c r="N300" s="156">
        <f>Schedule!E300</f>
        <v/>
      </c>
      <c r="O300" s="156" t="inlineStr">
        <is>
          <t>Home</t>
        </is>
      </c>
      <c r="P300" s="157">
        <f>Schedule!H300</f>
        <v/>
      </c>
      <c r="Q300" s="157">
        <f>Schedule!C300</f>
        <v/>
      </c>
      <c r="R300" s="180">
        <f>Schedule!D300</f>
        <v/>
      </c>
      <c r="S300" s="181">
        <f>Schedule!J300</f>
        <v/>
      </c>
      <c r="T300" s="193">
        <f>Y300-Z300</f>
        <v/>
      </c>
      <c r="U300" s="182">
        <f>T300/Picks!$K$2</f>
        <v/>
      </c>
      <c r="V300" s="193">
        <f>INDEX(Standings!$T$3:$T$34, MATCH(N300, Standings!$A$3:$A$34, 0)) - INDEX(Standings!$T$3:$T$34, MATCH(P300, Standings!$A$3:$A$34, 0))</f>
        <v/>
      </c>
      <c r="W300" s="157">
        <f>INDEX(Standings!$L$3:$L$34, MATCH(N300, Standings!$A$3:$A$34, 0)) - INDEX(Standings!$L$3:$L$34, MATCH(P300, Standings!$A$3:$A$34, 0))</f>
        <v/>
      </c>
      <c r="X300" s="157">
        <f>INDEX(Standings!$M$3:$M$34, MATCH(N300, Standings!$A$3:$A$34, 0)) - INDEX(Standings!$M$3:$M$34, MATCH(P300, Standings!$A$3:$A$34, 0))</f>
        <v/>
      </c>
      <c r="Y300" s="194">
        <f t="array" ref="Y300:Y300">IFERROR(AE300+(AL300-_DFactor)*AE300,"")</f>
        <v/>
      </c>
      <c r="Z300" s="157">
        <f>IFERROR(AF300+(AI300-_DFactor)*AF300,"")</f>
        <v/>
      </c>
      <c r="AC300" s="194">
        <f>VLOOKUP(M300&amp;N300,Schedule!A:F,6,0)</f>
        <v/>
      </c>
      <c r="AD300" s="194">
        <f>VLOOKUP(M300&amp;P300,Schedule!A:F,6,0)</f>
        <v/>
      </c>
      <c r="AE300" s="156">
        <f>VLOOKUP(N300,ProjPVT!B:I,8,0)*_Mag/VLOOKUP(P300,Standings!A:O,15,0)*H300*K300</f>
        <v/>
      </c>
      <c r="AF300" s="156">
        <f>VLOOKUP(P300,ProjPVT!B:I,8,0)*_Mag/VLOOKUP(N300,Standings!A:O,15,0)*J300*I300</f>
        <v/>
      </c>
      <c r="AG300" s="195">
        <f>VLOOKUP(N300,Matrix!AA:AC,3,0)</f>
        <v/>
      </c>
      <c r="AH300" s="195">
        <f>SUMIFS(Def!C:C,Def!F:F,AG300)</f>
        <v/>
      </c>
      <c r="AI300" s="156">
        <f>IFERROR(SUMIFS(Def!B:B,Def!F:F,AG300)/AH300,"")</f>
        <v/>
      </c>
      <c r="AJ300" s="195">
        <f>VLOOKUP(P300,Matrix!AA:AC,3,0)</f>
        <v/>
      </c>
      <c r="AK300" s="195">
        <f>SUMIFS(Def!C:C,Def!F:F,AJ300)</f>
        <v/>
      </c>
      <c r="AL300" s="156">
        <f>IFERROR(SUMIFS(Def!B:B,Def!F:F,AJ300)/AK300,"")</f>
        <v/>
      </c>
    </row>
    <row r="301" ht="14.4" customHeight="1" s="152">
      <c r="A301" s="157">
        <f>IF(F301="Yes",IFERROR(IF(AA301&gt;1,AA301/100,100/-AA301),""),-1)</f>
        <v/>
      </c>
      <c r="B301" s="157">
        <f>B300+1</f>
        <v/>
      </c>
      <c r="C301" s="157">
        <f>IF(Y301&gt;Z301,1,0)</f>
        <v/>
      </c>
      <c r="D301" s="157">
        <f>IF(AND(C301=1,F301="Yes"),"Yes",IF(AND(C301=0,F301="No"),"Yes","No"))</f>
        <v/>
      </c>
      <c r="E301" s="192">
        <f>IF((AC301+AB301)=AD301,"Push",IF((AC301+AB301)&gt;AD301,"Yes","No"))</f>
        <v/>
      </c>
      <c r="F301" s="192">
        <f>IF(AC301&gt;AD301,"Yes","No")</f>
        <v/>
      </c>
      <c r="G301" s="192">
        <f>IF((Y301+AB301)&gt;Z301,"Yes",IF((Y301+AB301)=Z301,"Push","No"))</f>
        <v/>
      </c>
      <c r="H301" s="157">
        <f>IF(O301="Home",VLOOKUP(N301,Matrix!A:S,19,0),1)</f>
        <v/>
      </c>
      <c r="I301" s="157">
        <f>IF(O301="Away",VLOOKUP(N301,Matrix!A:Z,20,0),1)</f>
        <v/>
      </c>
      <c r="J301" s="157">
        <f>IF(O301="Away",VLOOKUP(P301,Matrix!A:S,19,0),1)</f>
        <v/>
      </c>
      <c r="K301" s="157">
        <f>IF(O301="Home",VLOOKUP(P301,Matrix!A:Z,20,0),1)</f>
        <v/>
      </c>
      <c r="L301" s="156" t="n">
        <v>0.337647847517484</v>
      </c>
      <c r="M301" s="179">
        <f>Schedule!B301</f>
        <v/>
      </c>
      <c r="N301" s="156">
        <f>Schedule!E301</f>
        <v/>
      </c>
      <c r="O301" s="156" t="inlineStr">
        <is>
          <t>Home</t>
        </is>
      </c>
      <c r="P301" s="157">
        <f>Schedule!H301</f>
        <v/>
      </c>
      <c r="Q301" s="157">
        <f>Schedule!C301</f>
        <v/>
      </c>
      <c r="R301" s="180">
        <f>Schedule!D301</f>
        <v/>
      </c>
      <c r="S301" s="181">
        <f>Schedule!J301</f>
        <v/>
      </c>
      <c r="T301" s="193">
        <f>Y301-Z301</f>
        <v/>
      </c>
      <c r="U301" s="182">
        <f>T301/Picks!$K$2</f>
        <v/>
      </c>
      <c r="V301" s="193">
        <f>INDEX(Standings!$T$3:$T$34, MATCH(N301, Standings!$A$3:$A$34, 0)) - INDEX(Standings!$T$3:$T$34, MATCH(P301, Standings!$A$3:$A$34, 0))</f>
        <v/>
      </c>
      <c r="W301" s="157">
        <f>INDEX(Standings!$L$3:$L$34, MATCH(N301, Standings!$A$3:$A$34, 0)) - INDEX(Standings!$L$3:$L$34, MATCH(P301, Standings!$A$3:$A$34, 0))</f>
        <v/>
      </c>
      <c r="X301" s="157">
        <f>INDEX(Standings!$M$3:$M$34, MATCH(N301, Standings!$A$3:$A$34, 0)) - INDEX(Standings!$M$3:$M$34, MATCH(P301, Standings!$A$3:$A$34, 0))</f>
        <v/>
      </c>
      <c r="Y301" s="194">
        <f t="array" ref="Y301:Y301">IFERROR(AE301+(AL301-_DFactor)*AE301,"")</f>
        <v/>
      </c>
      <c r="Z301" s="157">
        <f>IFERROR(AF301+(AI301-_DFactor)*AF301,"")</f>
        <v/>
      </c>
      <c r="AC301" s="194">
        <f>VLOOKUP(M301&amp;N301,Schedule!A:F,6,0)</f>
        <v/>
      </c>
      <c r="AD301" s="194">
        <f>VLOOKUP(M301&amp;P301,Schedule!A:F,6,0)</f>
        <v/>
      </c>
      <c r="AE301" s="156">
        <f>VLOOKUP(N301,ProjPVT!B:I,8,0)*_Mag/VLOOKUP(P301,Standings!A:O,15,0)*H301*K301</f>
        <v/>
      </c>
      <c r="AF301" s="156">
        <f>VLOOKUP(P301,ProjPVT!B:I,8,0)*_Mag/VLOOKUP(N301,Standings!A:O,15,0)*J301*I301</f>
        <v/>
      </c>
      <c r="AG301" s="195">
        <f>VLOOKUP(N301,Matrix!AA:AC,3,0)</f>
        <v/>
      </c>
      <c r="AH301" s="195">
        <f>SUMIFS(Def!C:C,Def!F:F,AG301)</f>
        <v/>
      </c>
      <c r="AI301" s="156">
        <f>IFERROR(SUMIFS(Def!B:B,Def!F:F,AG301)/AH301,"")</f>
        <v/>
      </c>
      <c r="AJ301" s="195">
        <f>VLOOKUP(P301,Matrix!AA:AC,3,0)</f>
        <v/>
      </c>
      <c r="AK301" s="195">
        <f>SUMIFS(Def!C:C,Def!F:F,AJ301)</f>
        <v/>
      </c>
      <c r="AL301" s="156">
        <f>IFERROR(SUMIFS(Def!B:B,Def!F:F,AJ301)/AK301,"")</f>
        <v/>
      </c>
    </row>
    <row r="302" ht="14.4" customHeight="1" s="152">
      <c r="A302" s="157">
        <f>IF(F302="Yes",IFERROR(IF(AA302&gt;1,AA302/100,100/-AA302),""),-1)</f>
        <v/>
      </c>
      <c r="B302" s="157">
        <f>B301+1</f>
        <v/>
      </c>
      <c r="C302" s="157">
        <f>IF(Y302&gt;Z302,1,0)</f>
        <v/>
      </c>
      <c r="D302" s="157">
        <f>IF(AND(C302=1,F302="Yes"),"Yes",IF(AND(C302=0,F302="No"),"Yes","No"))</f>
        <v/>
      </c>
      <c r="E302" s="192">
        <f>IF((AC302+AB302)=AD302,"Push",IF((AC302+AB302)&gt;AD302,"Yes","No"))</f>
        <v/>
      </c>
      <c r="F302" s="192">
        <f>IF(AC302&gt;AD302,"Yes","No")</f>
        <v/>
      </c>
      <c r="G302" s="192">
        <f>IF((Y302+AB302)&gt;Z302,"Yes",IF((Y302+AB302)=Z302,"Push","No"))</f>
        <v/>
      </c>
      <c r="H302" s="157">
        <f>IF(O302="Home",VLOOKUP(N302,Matrix!A:S,19,0),1)</f>
        <v/>
      </c>
      <c r="I302" s="157">
        <f>IF(O302="Away",VLOOKUP(N302,Matrix!A:Z,20,0),1)</f>
        <v/>
      </c>
      <c r="J302" s="157">
        <f>IF(O302="Away",VLOOKUP(P302,Matrix!A:S,19,0),1)</f>
        <v/>
      </c>
      <c r="K302" s="157">
        <f>IF(O302="Home",VLOOKUP(P302,Matrix!A:Z,20,0),1)</f>
        <v/>
      </c>
      <c r="L302" s="156" t="n">
        <v>0.388285608328324</v>
      </c>
      <c r="M302" s="179">
        <f>Schedule!B302</f>
        <v/>
      </c>
      <c r="N302" s="156">
        <f>Schedule!E302</f>
        <v/>
      </c>
      <c r="O302" s="156" t="inlineStr">
        <is>
          <t>Away</t>
        </is>
      </c>
      <c r="P302" s="157">
        <f>Schedule!H302</f>
        <v/>
      </c>
      <c r="Q302" s="157">
        <f>Schedule!C302</f>
        <v/>
      </c>
      <c r="R302" s="180">
        <f>Schedule!D302</f>
        <v/>
      </c>
      <c r="S302" s="181">
        <f>Schedule!J302</f>
        <v/>
      </c>
      <c r="T302" s="193">
        <f>Y302-Z302</f>
        <v/>
      </c>
      <c r="U302" s="182">
        <f>T302/Picks!$K$2</f>
        <v/>
      </c>
      <c r="V302" s="193">
        <f>INDEX(Standings!$T$3:$T$34, MATCH(N302, Standings!$A$3:$A$34, 0)) - INDEX(Standings!$T$3:$T$34, MATCH(P302, Standings!$A$3:$A$34, 0))</f>
        <v/>
      </c>
      <c r="W302" s="157">
        <f>INDEX(Standings!$L$3:$L$34, MATCH(N302, Standings!$A$3:$A$34, 0)) - INDEX(Standings!$L$3:$L$34, MATCH(P302, Standings!$A$3:$A$34, 0))</f>
        <v/>
      </c>
      <c r="X302" s="157">
        <f>INDEX(Standings!$M$3:$M$34, MATCH(N302, Standings!$A$3:$A$34, 0)) - INDEX(Standings!$M$3:$M$34, MATCH(P302, Standings!$A$3:$A$34, 0))</f>
        <v/>
      </c>
      <c r="Y302" s="194">
        <f t="array" ref="Y302:Y302">IFERROR(AE302+(AL302-_DFactor)*AE302,"")</f>
        <v/>
      </c>
      <c r="Z302" s="157">
        <f>IFERROR(AF302+(AI302-_DFactor)*AF302,"")</f>
        <v/>
      </c>
      <c r="AC302" s="194">
        <f>VLOOKUP(M302&amp;N302,Schedule!A:F,6,0)</f>
        <v/>
      </c>
      <c r="AD302" s="194">
        <f>VLOOKUP(M302&amp;P302,Schedule!A:F,6,0)</f>
        <v/>
      </c>
      <c r="AE302" s="156">
        <f>VLOOKUP(N302,ProjPVT!B:I,8,0)*_Mag/VLOOKUP(P302,Standings!A:O,15,0)*H302*K302</f>
        <v/>
      </c>
      <c r="AF302" s="156">
        <f>VLOOKUP(P302,ProjPVT!B:I,8,0)*_Mag/VLOOKUP(N302,Standings!A:O,15,0)*J302*I302</f>
        <v/>
      </c>
      <c r="AG302" s="195">
        <f>VLOOKUP(N302,Matrix!AA:AC,3,0)</f>
        <v/>
      </c>
      <c r="AH302" s="195">
        <f>SUMIFS(Def!C:C,Def!F:F,AG302)</f>
        <v/>
      </c>
      <c r="AI302" s="156">
        <f>IFERROR(SUMIFS(Def!B:B,Def!F:F,AG302)/AH302,"")</f>
        <v/>
      </c>
      <c r="AJ302" s="195">
        <f>VLOOKUP(P302,Matrix!AA:AC,3,0)</f>
        <v/>
      </c>
      <c r="AK302" s="195">
        <f>SUMIFS(Def!C:C,Def!F:F,AJ302)</f>
        <v/>
      </c>
      <c r="AL302" s="156">
        <f>IFERROR(SUMIFS(Def!B:B,Def!F:F,AJ302)/AK302,"")</f>
        <v/>
      </c>
    </row>
    <row r="303" ht="14.4" customHeight="1" s="152">
      <c r="A303" s="157">
        <f>IF(F303="Yes",IFERROR(IF(AA303&gt;1,AA303/100,100/-AA303),""),-1)</f>
        <v/>
      </c>
      <c r="B303" s="157">
        <f>B302+1</f>
        <v/>
      </c>
      <c r="C303" s="157">
        <f>IF(Y303&gt;Z303,1,0)</f>
        <v/>
      </c>
      <c r="D303" s="157">
        <f>IF(AND(C303=1,F303="Yes"),"Yes",IF(AND(C303=0,F303="No"),"Yes","No"))</f>
        <v/>
      </c>
      <c r="E303" s="192">
        <f>IF((AC303+AB303)=AD303,"Push",IF((AC303+AB303)&gt;AD303,"Yes","No"))</f>
        <v/>
      </c>
      <c r="F303" s="192">
        <f>IF(AC303&gt;AD303,"Yes","No")</f>
        <v/>
      </c>
      <c r="G303" s="192">
        <f>IF((Y303+AB303)&gt;Z303,"Yes",IF((Y303+AB303)=Z303,"Push","No"))</f>
        <v/>
      </c>
      <c r="H303" s="157">
        <f>IF(O303="Home",VLOOKUP(N303,Matrix!A:S,19,0),1)</f>
        <v/>
      </c>
      <c r="I303" s="157">
        <f>IF(O303="Away",VLOOKUP(N303,Matrix!A:Z,20,0),1)</f>
        <v/>
      </c>
      <c r="J303" s="157">
        <f>IF(O303="Away",VLOOKUP(P303,Matrix!A:S,19,0),1)</f>
        <v/>
      </c>
      <c r="K303" s="157">
        <f>IF(O303="Home",VLOOKUP(P303,Matrix!A:Z,20,0),1)</f>
        <v/>
      </c>
      <c r="L303" s="156" t="n">
        <v>0.420079493530955</v>
      </c>
      <c r="M303" s="179">
        <f>Schedule!B303</f>
        <v/>
      </c>
      <c r="N303" s="156">
        <f>Schedule!E303</f>
        <v/>
      </c>
      <c r="O303" s="156" t="inlineStr">
        <is>
          <t>Home</t>
        </is>
      </c>
      <c r="P303" s="157">
        <f>Schedule!H303</f>
        <v/>
      </c>
      <c r="Q303" s="157">
        <f>Schedule!C303</f>
        <v/>
      </c>
      <c r="R303" s="180">
        <f>Schedule!D303</f>
        <v/>
      </c>
      <c r="S303" s="181">
        <f>Schedule!J303</f>
        <v/>
      </c>
      <c r="T303" s="193">
        <f>Y303-Z303</f>
        <v/>
      </c>
      <c r="U303" s="182">
        <f>T303/Picks!$K$2</f>
        <v/>
      </c>
      <c r="V303" s="193">
        <f>INDEX(Standings!$T$3:$T$34, MATCH(N303, Standings!$A$3:$A$34, 0)) - INDEX(Standings!$T$3:$T$34, MATCH(P303, Standings!$A$3:$A$34, 0))</f>
        <v/>
      </c>
      <c r="W303" s="157">
        <f>INDEX(Standings!$L$3:$L$34, MATCH(N303, Standings!$A$3:$A$34, 0)) - INDEX(Standings!$L$3:$L$34, MATCH(P303, Standings!$A$3:$A$34, 0))</f>
        <v/>
      </c>
      <c r="X303" s="157">
        <f>INDEX(Standings!$M$3:$M$34, MATCH(N303, Standings!$A$3:$A$34, 0)) - INDEX(Standings!$M$3:$M$34, MATCH(P303, Standings!$A$3:$A$34, 0))</f>
        <v/>
      </c>
      <c r="Y303" s="194">
        <f t="array" ref="Y303:Y303">IFERROR(AE303+(AL303-_DFactor)*AE303,"")</f>
        <v/>
      </c>
      <c r="Z303" s="157">
        <f>IFERROR(AF303+(AI303-_DFactor)*AF303,"")</f>
        <v/>
      </c>
      <c r="AC303" s="194">
        <f>VLOOKUP(M303&amp;N303,Schedule!A:F,6,0)</f>
        <v/>
      </c>
      <c r="AD303" s="194">
        <f>VLOOKUP(M303&amp;P303,Schedule!A:F,6,0)</f>
        <v/>
      </c>
      <c r="AE303" s="156">
        <f>VLOOKUP(N303,ProjPVT!B:I,8,0)*_Mag/VLOOKUP(P303,Standings!A:O,15,0)*H303*K303</f>
        <v/>
      </c>
      <c r="AF303" s="156">
        <f>VLOOKUP(P303,ProjPVT!B:I,8,0)*_Mag/VLOOKUP(N303,Standings!A:O,15,0)*J303*I303</f>
        <v/>
      </c>
      <c r="AG303" s="195">
        <f>VLOOKUP(N303,Matrix!AA:AC,3,0)</f>
        <v/>
      </c>
      <c r="AH303" s="195">
        <f>SUMIFS(Def!C:C,Def!F:F,AG303)</f>
        <v/>
      </c>
      <c r="AI303" s="156">
        <f>IFERROR(SUMIFS(Def!B:B,Def!F:F,AG303)/AH303,"")</f>
        <v/>
      </c>
      <c r="AJ303" s="195">
        <f>VLOOKUP(P303,Matrix!AA:AC,3,0)</f>
        <v/>
      </c>
      <c r="AK303" s="195">
        <f>SUMIFS(Def!C:C,Def!F:F,AJ303)</f>
        <v/>
      </c>
      <c r="AL303" s="156">
        <f>IFERROR(SUMIFS(Def!B:B,Def!F:F,AJ303)/AK303,"")</f>
        <v/>
      </c>
    </row>
    <row r="304" ht="14.4" customHeight="1" s="152">
      <c r="A304" s="157">
        <f>IF(F304="Yes",IFERROR(IF(AA304&gt;1,AA304/100,100/-AA304),""),-1)</f>
        <v/>
      </c>
      <c r="B304" s="157">
        <f>B303+1</f>
        <v/>
      </c>
      <c r="C304" s="157">
        <f>IF(Y304&gt;Z304,1,0)</f>
        <v/>
      </c>
      <c r="D304" s="157">
        <f>IF(AND(C304=1,F304="Yes"),"Yes",IF(AND(C304=0,F304="No"),"Yes","No"))</f>
        <v/>
      </c>
      <c r="E304" s="192">
        <f>IF((AC304+AB304)=AD304,"Push",IF((AC304+AB304)&gt;AD304,"Yes","No"))</f>
        <v/>
      </c>
      <c r="F304" s="192">
        <f>IF(AC304&gt;AD304,"Yes","No")</f>
        <v/>
      </c>
      <c r="G304" s="192">
        <f>IF((Y304+AB304)&gt;Z304,"Yes",IF((Y304+AB304)=Z304,"Push","No"))</f>
        <v/>
      </c>
      <c r="H304" s="157">
        <f>IF(O304="Home",VLOOKUP(N304,Matrix!A:S,19,0),1)</f>
        <v/>
      </c>
      <c r="I304" s="157">
        <f>IF(O304="Away",VLOOKUP(N304,Matrix!A:Z,20,0),1)</f>
        <v/>
      </c>
      <c r="J304" s="157">
        <f>IF(O304="Away",VLOOKUP(P304,Matrix!A:S,19,0),1)</f>
        <v/>
      </c>
      <c r="K304" s="157">
        <f>IF(O304="Home",VLOOKUP(P304,Matrix!A:Z,20,0),1)</f>
        <v/>
      </c>
      <c r="L304" s="156" t="n">
        <v>0.440609893288892</v>
      </c>
      <c r="M304" s="179">
        <f>Schedule!B304</f>
        <v/>
      </c>
      <c r="N304" s="156">
        <f>Schedule!E304</f>
        <v/>
      </c>
      <c r="O304" s="156" t="inlineStr">
        <is>
          <t>Away</t>
        </is>
      </c>
      <c r="P304" s="157">
        <f>Schedule!H304</f>
        <v/>
      </c>
      <c r="Q304" s="157">
        <f>Schedule!C304</f>
        <v/>
      </c>
      <c r="R304" s="180">
        <f>Schedule!D304</f>
        <v/>
      </c>
      <c r="S304" s="181">
        <f>Schedule!J304</f>
        <v/>
      </c>
      <c r="T304" s="193">
        <f>Y304-Z304</f>
        <v/>
      </c>
      <c r="U304" s="182">
        <f>T304/Picks!$K$2</f>
        <v/>
      </c>
      <c r="V304" s="193">
        <f>INDEX(Standings!$T$3:$T$34, MATCH(N304, Standings!$A$3:$A$34, 0)) - INDEX(Standings!$T$3:$T$34, MATCH(P304, Standings!$A$3:$A$34, 0))</f>
        <v/>
      </c>
      <c r="W304" s="157">
        <f>INDEX(Standings!$L$3:$L$34, MATCH(N304, Standings!$A$3:$A$34, 0)) - INDEX(Standings!$L$3:$L$34, MATCH(P304, Standings!$A$3:$A$34, 0))</f>
        <v/>
      </c>
      <c r="X304" s="157">
        <f>INDEX(Standings!$M$3:$M$34, MATCH(N304, Standings!$A$3:$A$34, 0)) - INDEX(Standings!$M$3:$M$34, MATCH(P304, Standings!$A$3:$A$34, 0))</f>
        <v/>
      </c>
      <c r="Y304" s="194">
        <f t="array" ref="Y304:Y304">IFERROR(AE304+(AL304-_DFactor)*AE304,"")</f>
        <v/>
      </c>
      <c r="Z304" s="157">
        <f>IFERROR(AF304+(AI304-_DFactor)*AF304,"")</f>
        <v/>
      </c>
      <c r="AC304" s="194">
        <f>VLOOKUP(M304&amp;N304,Schedule!A:F,6,0)</f>
        <v/>
      </c>
      <c r="AD304" s="194">
        <f>VLOOKUP(M304&amp;P304,Schedule!A:F,6,0)</f>
        <v/>
      </c>
      <c r="AE304" s="156">
        <f>VLOOKUP(N304,ProjPVT!B:I,8,0)*_Mag/VLOOKUP(P304,Standings!A:O,15,0)*H304*K304</f>
        <v/>
      </c>
      <c r="AF304" s="156">
        <f>VLOOKUP(P304,ProjPVT!B:I,8,0)*_Mag/VLOOKUP(N304,Standings!A:O,15,0)*J304*I304</f>
        <v/>
      </c>
      <c r="AG304" s="195">
        <f>VLOOKUP(N304,Matrix!AA:AC,3,0)</f>
        <v/>
      </c>
      <c r="AH304" s="195">
        <f>SUMIFS(Def!C:C,Def!F:F,AG304)</f>
        <v/>
      </c>
      <c r="AI304" s="156">
        <f>IFERROR(SUMIFS(Def!B:B,Def!F:F,AG304)/AH304,"")</f>
        <v/>
      </c>
      <c r="AJ304" s="195">
        <f>VLOOKUP(P304,Matrix!AA:AC,3,0)</f>
        <v/>
      </c>
      <c r="AK304" s="195">
        <f>SUMIFS(Def!C:C,Def!F:F,AJ304)</f>
        <v/>
      </c>
      <c r="AL304" s="156">
        <f>IFERROR(SUMIFS(Def!B:B,Def!F:F,AJ304)/AK304,"")</f>
        <v/>
      </c>
    </row>
    <row r="305" ht="14.4" customHeight="1" s="152">
      <c r="A305" s="157">
        <f>IF(F305="Yes",IFERROR(IF(AA305&gt;1,AA305/100,100/-AA305),""),-1)</f>
        <v/>
      </c>
      <c r="B305" s="157">
        <f>B304+1</f>
        <v/>
      </c>
      <c r="C305" s="157">
        <f>IF(Y305&gt;Z305,1,0)</f>
        <v/>
      </c>
      <c r="D305" s="157">
        <f>IF(AND(C305=1,F305="Yes"),"Yes",IF(AND(C305=0,F305="No"),"Yes","No"))</f>
        <v/>
      </c>
      <c r="E305" s="192">
        <f>IF((AC305+AB305)=AD305,"Push",IF((AC305+AB305)&gt;AD305,"Yes","No"))</f>
        <v/>
      </c>
      <c r="F305" s="192">
        <f>IF(AC305&gt;AD305,"Yes","No")</f>
        <v/>
      </c>
      <c r="G305" s="192">
        <f>IF((Y305+AB305)&gt;Z305,"Yes",IF((Y305+AB305)=Z305,"Push","No"))</f>
        <v/>
      </c>
      <c r="H305" s="157">
        <f>IF(O305="Home",VLOOKUP(N305,Matrix!A:S,19,0),1)</f>
        <v/>
      </c>
      <c r="I305" s="157">
        <f>IF(O305="Away",VLOOKUP(N305,Matrix!A:Z,20,0),1)</f>
        <v/>
      </c>
      <c r="J305" s="157">
        <f>IF(O305="Away",VLOOKUP(P305,Matrix!A:S,19,0),1)</f>
        <v/>
      </c>
      <c r="K305" s="157">
        <f>IF(O305="Home",VLOOKUP(P305,Matrix!A:Z,20,0),1)</f>
        <v/>
      </c>
      <c r="L305" s="156" t="n">
        <v>0.447298597393594</v>
      </c>
      <c r="M305" s="179">
        <f>Schedule!B305</f>
        <v/>
      </c>
      <c r="N305" s="156">
        <f>Schedule!E305</f>
        <v/>
      </c>
      <c r="O305" s="156" t="inlineStr">
        <is>
          <t>Home</t>
        </is>
      </c>
      <c r="P305" s="157">
        <f>Schedule!H305</f>
        <v/>
      </c>
      <c r="Q305" s="157">
        <f>Schedule!C305</f>
        <v/>
      </c>
      <c r="R305" s="180">
        <f>Schedule!D305</f>
        <v/>
      </c>
      <c r="S305" s="181">
        <f>Schedule!J305</f>
        <v/>
      </c>
      <c r="T305" s="193">
        <f>Y305-Z305</f>
        <v/>
      </c>
      <c r="U305" s="182">
        <f>T305/Picks!$K$2</f>
        <v/>
      </c>
      <c r="V305" s="193">
        <f>INDEX(Standings!$T$3:$T$34, MATCH(N305, Standings!$A$3:$A$34, 0)) - INDEX(Standings!$T$3:$T$34, MATCH(P305, Standings!$A$3:$A$34, 0))</f>
        <v/>
      </c>
      <c r="W305" s="157">
        <f>INDEX(Standings!$L$3:$L$34, MATCH(N305, Standings!$A$3:$A$34, 0)) - INDEX(Standings!$L$3:$L$34, MATCH(P305, Standings!$A$3:$A$34, 0))</f>
        <v/>
      </c>
      <c r="X305" s="157">
        <f>INDEX(Standings!$M$3:$M$34, MATCH(N305, Standings!$A$3:$A$34, 0)) - INDEX(Standings!$M$3:$M$34, MATCH(P305, Standings!$A$3:$A$34, 0))</f>
        <v/>
      </c>
      <c r="Y305" s="194">
        <f t="array" ref="Y305:Y305">IFERROR(AE305+(AL305-_DFactor)*AE305,"")</f>
        <v/>
      </c>
      <c r="Z305" s="157">
        <f>IFERROR(AF305+(AI305-_DFactor)*AF305,"")</f>
        <v/>
      </c>
      <c r="AC305" s="194">
        <f>VLOOKUP(M305&amp;N305,Schedule!A:F,6,0)</f>
        <v/>
      </c>
      <c r="AD305" s="194">
        <f>VLOOKUP(M305&amp;P305,Schedule!A:F,6,0)</f>
        <v/>
      </c>
      <c r="AE305" s="156">
        <f>VLOOKUP(N305,ProjPVT!B:I,8,0)*_Mag/VLOOKUP(P305,Standings!A:O,15,0)*H305*K305</f>
        <v/>
      </c>
      <c r="AF305" s="156">
        <f>VLOOKUP(P305,ProjPVT!B:I,8,0)*_Mag/VLOOKUP(N305,Standings!A:O,15,0)*J305*I305</f>
        <v/>
      </c>
      <c r="AG305" s="195">
        <f>VLOOKUP(N305,Matrix!AA:AC,3,0)</f>
        <v/>
      </c>
      <c r="AH305" s="195">
        <f>SUMIFS(Def!C:C,Def!F:F,AG305)</f>
        <v/>
      </c>
      <c r="AI305" s="156">
        <f>IFERROR(SUMIFS(Def!B:B,Def!F:F,AG305)/AH305,"")</f>
        <v/>
      </c>
      <c r="AJ305" s="195">
        <f>VLOOKUP(P305,Matrix!AA:AC,3,0)</f>
        <v/>
      </c>
      <c r="AK305" s="195">
        <f>SUMIFS(Def!C:C,Def!F:F,AJ305)</f>
        <v/>
      </c>
      <c r="AL305" s="156">
        <f>IFERROR(SUMIFS(Def!B:B,Def!F:F,AJ305)/AK305,"")</f>
        <v/>
      </c>
    </row>
    <row r="306" ht="14.4" customHeight="1" s="152">
      <c r="A306" s="157">
        <f>IF(F306="Yes",IFERROR(IF(AA306&gt;1,AA306/100,100/-AA306),""),-1)</f>
        <v/>
      </c>
      <c r="B306" s="157">
        <f>B305+1</f>
        <v/>
      </c>
      <c r="C306" s="157">
        <f>IF(Y306&gt;Z306,1,0)</f>
        <v/>
      </c>
      <c r="D306" s="157">
        <f>IF(AND(C306=1,F306="Yes"),"Yes",IF(AND(C306=0,F306="No"),"Yes","No"))</f>
        <v/>
      </c>
      <c r="E306" s="192">
        <f>IF((AC306+AB306)=AD306,"Push",IF((AC306+AB306)&gt;AD306,"Yes","No"))</f>
        <v/>
      </c>
      <c r="F306" s="192">
        <f>IF(AC306&gt;AD306,"Yes","No")</f>
        <v/>
      </c>
      <c r="G306" s="192">
        <f>IF((Y306+AB306)&gt;Z306,"Yes",IF((Y306+AB306)=Z306,"Push","No"))</f>
        <v/>
      </c>
      <c r="H306" s="157">
        <f>IF(O306="Home",VLOOKUP(N306,Matrix!A:S,19,0),1)</f>
        <v/>
      </c>
      <c r="I306" s="157">
        <f>IF(O306="Away",VLOOKUP(N306,Matrix!A:Z,20,0),1)</f>
        <v/>
      </c>
      <c r="J306" s="157">
        <f>IF(O306="Away",VLOOKUP(P306,Matrix!A:S,19,0),1)</f>
        <v/>
      </c>
      <c r="K306" s="157">
        <f>IF(O306="Home",VLOOKUP(P306,Matrix!A:Z,20,0),1)</f>
        <v/>
      </c>
      <c r="L306" s="156" t="n">
        <v>-0.499858063339216</v>
      </c>
      <c r="M306" s="179">
        <f>Schedule!B306</f>
        <v/>
      </c>
      <c r="N306" s="156">
        <f>Schedule!E306</f>
        <v/>
      </c>
      <c r="O306" s="156" t="inlineStr">
        <is>
          <t>Away</t>
        </is>
      </c>
      <c r="P306" s="157">
        <f>Schedule!H306</f>
        <v/>
      </c>
      <c r="Q306" s="157">
        <f>Schedule!C306</f>
        <v/>
      </c>
      <c r="R306" s="180">
        <f>Schedule!D306</f>
        <v/>
      </c>
      <c r="S306" s="181">
        <f>Schedule!J306</f>
        <v/>
      </c>
      <c r="T306" s="193">
        <f>Y306-Z306</f>
        <v/>
      </c>
      <c r="U306" s="182">
        <f>T306/Picks!$K$2</f>
        <v/>
      </c>
      <c r="V306" s="193">
        <f>INDEX(Standings!$T$3:$T$34, MATCH(N306, Standings!$A$3:$A$34, 0)) - INDEX(Standings!$T$3:$T$34, MATCH(P306, Standings!$A$3:$A$34, 0))</f>
        <v/>
      </c>
      <c r="W306" s="157">
        <f>INDEX(Standings!$L$3:$L$34, MATCH(N306, Standings!$A$3:$A$34, 0)) - INDEX(Standings!$L$3:$L$34, MATCH(P306, Standings!$A$3:$A$34, 0))</f>
        <v/>
      </c>
      <c r="X306" s="157">
        <f>INDEX(Standings!$M$3:$M$34, MATCH(N306, Standings!$A$3:$A$34, 0)) - INDEX(Standings!$M$3:$M$34, MATCH(P306, Standings!$A$3:$A$34, 0))</f>
        <v/>
      </c>
      <c r="Y306" s="194">
        <f t="array" ref="Y306:Y306">IFERROR(AE306+(AL306-_DFactor)*AE306,"")</f>
        <v/>
      </c>
      <c r="Z306" s="157">
        <f>IFERROR(AF306+(AI306-_DFactor)*AF306,"")</f>
        <v/>
      </c>
      <c r="AC306" s="194">
        <f>VLOOKUP(M306&amp;N306,Schedule!A:F,6,0)</f>
        <v/>
      </c>
      <c r="AD306" s="194">
        <f>VLOOKUP(M306&amp;P306,Schedule!A:F,6,0)</f>
        <v/>
      </c>
      <c r="AE306" s="156">
        <f>VLOOKUP(N306,ProjPVT!B:I,8,0)*_Mag/VLOOKUP(P306,Standings!A:O,15,0)*H306*K306</f>
        <v/>
      </c>
      <c r="AF306" s="156">
        <f>VLOOKUP(P306,ProjPVT!B:I,8,0)*_Mag/VLOOKUP(N306,Standings!A:O,15,0)*J306*I306</f>
        <v/>
      </c>
      <c r="AG306" s="195">
        <f>VLOOKUP(N306,Matrix!AA:AC,3,0)</f>
        <v/>
      </c>
      <c r="AH306" s="195">
        <f>SUMIFS(Def!C:C,Def!F:F,AG306)</f>
        <v/>
      </c>
      <c r="AI306" s="156">
        <f>IFERROR(SUMIFS(Def!B:B,Def!F:F,AG306)/AH306,"")</f>
        <v/>
      </c>
      <c r="AJ306" s="195">
        <f>VLOOKUP(P306,Matrix!AA:AC,3,0)</f>
        <v/>
      </c>
      <c r="AK306" s="195">
        <f>SUMIFS(Def!C:C,Def!F:F,AJ306)</f>
        <v/>
      </c>
      <c r="AL306" s="156">
        <f>IFERROR(SUMIFS(Def!B:B,Def!F:F,AJ306)/AK306,"")</f>
        <v/>
      </c>
    </row>
    <row r="307" ht="14.4" customHeight="1" s="152">
      <c r="A307" s="157">
        <f>IF(F307="Yes",IFERROR(IF(AA307&gt;1,AA307/100,100/-AA307),""),-1)</f>
        <v/>
      </c>
      <c r="B307" s="157">
        <f>B306+1</f>
        <v/>
      </c>
      <c r="C307" s="157">
        <f>IF(Y307&gt;Z307,1,0)</f>
        <v/>
      </c>
      <c r="D307" s="157">
        <f>IF(AND(C307=1,F307="Yes"),"Yes",IF(AND(C307=0,F307="No"),"Yes","No"))</f>
        <v/>
      </c>
      <c r="E307" s="192">
        <f>IF((AC307+AB307)=AD307,"Push",IF((AC307+AB307)&gt;AD307,"Yes","No"))</f>
        <v/>
      </c>
      <c r="F307" s="192">
        <f>IF(AC307&gt;AD307,"Yes","No")</f>
        <v/>
      </c>
      <c r="G307" s="192">
        <f>IF((Y307+AB307)&gt;Z307,"Yes",IF((Y307+AB307)=Z307,"Push","No"))</f>
        <v/>
      </c>
      <c r="H307" s="157">
        <f>IF(O307="Home",VLOOKUP(N307,Matrix!A:S,19,0),1)</f>
        <v/>
      </c>
      <c r="I307" s="157">
        <f>IF(O307="Away",VLOOKUP(N307,Matrix!A:Z,20,0),1)</f>
        <v/>
      </c>
      <c r="J307" s="157">
        <f>IF(O307="Away",VLOOKUP(P307,Matrix!A:S,19,0),1)</f>
        <v/>
      </c>
      <c r="K307" s="157">
        <f>IF(O307="Home",VLOOKUP(P307,Matrix!A:Z,20,0),1)</f>
        <v/>
      </c>
      <c r="L307" s="156" t="n">
        <v>-0.493103962223824</v>
      </c>
      <c r="M307" s="179">
        <f>Schedule!B307</f>
        <v/>
      </c>
      <c r="N307" s="156">
        <f>Schedule!E307</f>
        <v/>
      </c>
      <c r="O307" s="156" t="inlineStr">
        <is>
          <t>Away</t>
        </is>
      </c>
      <c r="P307" s="157">
        <f>Schedule!H307</f>
        <v/>
      </c>
      <c r="Q307" s="157">
        <f>Schedule!C307</f>
        <v/>
      </c>
      <c r="R307" s="180">
        <f>Schedule!D307</f>
        <v/>
      </c>
      <c r="S307" s="181">
        <f>Schedule!J307</f>
        <v/>
      </c>
      <c r="T307" s="193">
        <f>Y307-Z307</f>
        <v/>
      </c>
      <c r="U307" s="182">
        <f>T307/Picks!$K$2</f>
        <v/>
      </c>
      <c r="V307" s="193">
        <f>INDEX(Standings!$T$3:$T$34, MATCH(N307, Standings!$A$3:$A$34, 0)) - INDEX(Standings!$T$3:$T$34, MATCH(P307, Standings!$A$3:$A$34, 0))</f>
        <v/>
      </c>
      <c r="W307" s="157">
        <f>INDEX(Standings!$L$3:$L$34, MATCH(N307, Standings!$A$3:$A$34, 0)) - INDEX(Standings!$L$3:$L$34, MATCH(P307, Standings!$A$3:$A$34, 0))</f>
        <v/>
      </c>
      <c r="X307" s="157">
        <f>INDEX(Standings!$M$3:$M$34, MATCH(N307, Standings!$A$3:$A$34, 0)) - INDEX(Standings!$M$3:$M$34, MATCH(P307, Standings!$A$3:$A$34, 0))</f>
        <v/>
      </c>
      <c r="Y307" s="194">
        <f t="array" ref="Y307:Y307">IFERROR(AE307+(AL307-_DFactor)*AE307,"")</f>
        <v/>
      </c>
      <c r="Z307" s="157">
        <f>IFERROR(AF307+(AI307-_DFactor)*AF307,"")</f>
        <v/>
      </c>
      <c r="AC307" s="194">
        <f>VLOOKUP(M307&amp;N307,Schedule!A:F,6,0)</f>
        <v/>
      </c>
      <c r="AD307" s="194">
        <f>VLOOKUP(M307&amp;P307,Schedule!A:F,6,0)</f>
        <v/>
      </c>
      <c r="AE307" s="156">
        <f>VLOOKUP(N307,ProjPVT!B:I,8,0)*_Mag/VLOOKUP(P307,Standings!A:O,15,0)*H307*K307</f>
        <v/>
      </c>
      <c r="AF307" s="156">
        <f>VLOOKUP(P307,ProjPVT!B:I,8,0)*_Mag/VLOOKUP(N307,Standings!A:O,15,0)*J307*I307</f>
        <v/>
      </c>
      <c r="AG307" s="195">
        <f>VLOOKUP(N307,Matrix!AA:AC,3,0)</f>
        <v/>
      </c>
      <c r="AH307" s="195">
        <f>SUMIFS(Def!C:C,Def!F:F,AG307)</f>
        <v/>
      </c>
      <c r="AI307" s="156">
        <f>IFERROR(SUMIFS(Def!B:B,Def!F:F,AG307)/AH307,"")</f>
        <v/>
      </c>
      <c r="AJ307" s="195">
        <f>VLOOKUP(P307,Matrix!AA:AC,3,0)</f>
        <v/>
      </c>
      <c r="AK307" s="195">
        <f>SUMIFS(Def!C:C,Def!F:F,AJ307)</f>
        <v/>
      </c>
      <c r="AL307" s="156">
        <f>IFERROR(SUMIFS(Def!B:B,Def!F:F,AJ307)/AK307,"")</f>
        <v/>
      </c>
    </row>
    <row r="308" ht="14.4" customHeight="1" s="152">
      <c r="A308" s="157">
        <f>IF(F308="Yes",IFERROR(IF(AA308&gt;1,AA308/100,100/-AA308),""),-1)</f>
        <v/>
      </c>
      <c r="B308" s="157">
        <f>B307+1</f>
        <v/>
      </c>
      <c r="C308" s="157">
        <f>IF(Y308&gt;Z308,1,0)</f>
        <v/>
      </c>
      <c r="D308" s="157">
        <f>IF(AND(C308=1,F308="Yes"),"Yes",IF(AND(C308=0,F308="No"),"Yes","No"))</f>
        <v/>
      </c>
      <c r="E308" s="192">
        <f>IF((AC308+AB308)=AD308,"Push",IF((AC308+AB308)&gt;AD308,"Yes","No"))</f>
        <v/>
      </c>
      <c r="F308" s="192">
        <f>IF(AC308&gt;AD308,"Yes","No")</f>
        <v/>
      </c>
      <c r="G308" s="192">
        <f>IF((Y308+AB308)&gt;Z308,"Yes",IF((Y308+AB308)=Z308,"Push","No"))</f>
        <v/>
      </c>
      <c r="H308" s="157">
        <f>IF(O308="Home",VLOOKUP(N308,Matrix!A:S,19,0),1)</f>
        <v/>
      </c>
      <c r="I308" s="157">
        <f>IF(O308="Away",VLOOKUP(N308,Matrix!A:Z,20,0),1)</f>
        <v/>
      </c>
      <c r="J308" s="157">
        <f>IF(O308="Away",VLOOKUP(P308,Matrix!A:S,19,0),1)</f>
        <v/>
      </c>
      <c r="K308" s="157">
        <f>IF(O308="Home",VLOOKUP(P308,Matrix!A:Z,20,0),1)</f>
        <v/>
      </c>
      <c r="L308" s="156" t="n">
        <v>-0.48968310165319</v>
      </c>
      <c r="M308" s="179">
        <f>Schedule!B308</f>
        <v/>
      </c>
      <c r="N308" s="156">
        <f>Schedule!E308</f>
        <v/>
      </c>
      <c r="O308" s="156" t="inlineStr">
        <is>
          <t>Home</t>
        </is>
      </c>
      <c r="P308" s="157">
        <f>Schedule!H308</f>
        <v/>
      </c>
      <c r="Q308" s="157">
        <f>Schedule!C308</f>
        <v/>
      </c>
      <c r="R308" s="180">
        <f>Schedule!D308</f>
        <v/>
      </c>
      <c r="S308" s="181">
        <f>Schedule!J308</f>
        <v/>
      </c>
      <c r="T308" s="193">
        <f>Y308-Z308</f>
        <v/>
      </c>
      <c r="U308" s="182">
        <f>T308/Picks!$K$2</f>
        <v/>
      </c>
      <c r="V308" s="193">
        <f>INDEX(Standings!$T$3:$T$34, MATCH(N308, Standings!$A$3:$A$34, 0)) - INDEX(Standings!$T$3:$T$34, MATCH(P308, Standings!$A$3:$A$34, 0))</f>
        <v/>
      </c>
      <c r="W308" s="157">
        <f>INDEX(Standings!$L$3:$L$34, MATCH(N308, Standings!$A$3:$A$34, 0)) - INDEX(Standings!$L$3:$L$34, MATCH(P308, Standings!$A$3:$A$34, 0))</f>
        <v/>
      </c>
      <c r="X308" s="157">
        <f>INDEX(Standings!$M$3:$M$34, MATCH(N308, Standings!$A$3:$A$34, 0)) - INDEX(Standings!$M$3:$M$34, MATCH(P308, Standings!$A$3:$A$34, 0))</f>
        <v/>
      </c>
      <c r="Y308" s="194">
        <f t="array" ref="Y308:Y308">IFERROR(AE308+(AL308-_DFactor)*AE308,"")</f>
        <v/>
      </c>
      <c r="Z308" s="157">
        <f>IFERROR(AF308+(AI308-_DFactor)*AF308,"")</f>
        <v/>
      </c>
      <c r="AC308" s="194">
        <f>VLOOKUP(M308&amp;N308,Schedule!A:F,6,0)</f>
        <v/>
      </c>
      <c r="AD308" s="194">
        <f>VLOOKUP(M308&amp;P308,Schedule!A:F,6,0)</f>
        <v/>
      </c>
      <c r="AE308" s="156">
        <f>VLOOKUP(N308,ProjPVT!B:I,8,0)*_Mag/VLOOKUP(P308,Standings!A:O,15,0)*H308*K308</f>
        <v/>
      </c>
      <c r="AF308" s="156">
        <f>VLOOKUP(P308,ProjPVT!B:I,8,0)*_Mag/VLOOKUP(N308,Standings!A:O,15,0)*J308*I308</f>
        <v/>
      </c>
      <c r="AG308" s="195">
        <f>VLOOKUP(N308,Matrix!AA:AC,3,0)</f>
        <v/>
      </c>
      <c r="AH308" s="195">
        <f>SUMIFS(Def!C:C,Def!F:F,AG308)</f>
        <v/>
      </c>
      <c r="AI308" s="156">
        <f>IFERROR(SUMIFS(Def!B:B,Def!F:F,AG308)/AH308,"")</f>
        <v/>
      </c>
      <c r="AJ308" s="195">
        <f>VLOOKUP(P308,Matrix!AA:AC,3,0)</f>
        <v/>
      </c>
      <c r="AK308" s="195">
        <f>SUMIFS(Def!C:C,Def!F:F,AJ308)</f>
        <v/>
      </c>
      <c r="AL308" s="156">
        <f>IFERROR(SUMIFS(Def!B:B,Def!F:F,AJ308)/AK308,"")</f>
        <v/>
      </c>
    </row>
    <row r="309" ht="14.4" customHeight="1" s="152">
      <c r="A309" s="157">
        <f>IF(F309="Yes",IFERROR(IF(AA309&gt;1,AA309/100,100/-AA309),""),-1)</f>
        <v/>
      </c>
      <c r="B309" s="157">
        <f>B308+1</f>
        <v/>
      </c>
      <c r="C309" s="157">
        <f>IF(Y309&gt;Z309,1,0)</f>
        <v/>
      </c>
      <c r="D309" s="157">
        <f>IF(AND(C309=1,F309="Yes"),"Yes",IF(AND(C309=0,F309="No"),"Yes","No"))</f>
        <v/>
      </c>
      <c r="E309" s="192">
        <f>IF((AC309+AB309)=AD309,"Push",IF((AC309+AB309)&gt;AD309,"Yes","No"))</f>
        <v/>
      </c>
      <c r="F309" s="192">
        <f>IF(AC309&gt;AD309,"Yes","No")</f>
        <v/>
      </c>
      <c r="G309" s="192">
        <f>IF((Y309+AB309)&gt;Z309,"Yes",IF((Y309+AB309)=Z309,"Push","No"))</f>
        <v/>
      </c>
      <c r="H309" s="157">
        <f>IF(O309="Home",VLOOKUP(N309,Matrix!A:S,19,0),1)</f>
        <v/>
      </c>
      <c r="I309" s="157">
        <f>IF(O309="Away",VLOOKUP(N309,Matrix!A:Z,20,0),1)</f>
        <v/>
      </c>
      <c r="J309" s="157">
        <f>IF(O309="Away",VLOOKUP(P309,Matrix!A:S,19,0),1)</f>
        <v/>
      </c>
      <c r="K309" s="157">
        <f>IF(O309="Home",VLOOKUP(P309,Matrix!A:Z,20,0),1)</f>
        <v/>
      </c>
      <c r="L309" s="156" t="n">
        <v>-0.470567508330035</v>
      </c>
      <c r="M309" s="179">
        <f>Schedule!B309</f>
        <v/>
      </c>
      <c r="N309" s="156">
        <f>Schedule!E309</f>
        <v/>
      </c>
      <c r="O309" s="156" t="inlineStr">
        <is>
          <t>Away</t>
        </is>
      </c>
      <c r="P309" s="157">
        <f>Schedule!H309</f>
        <v/>
      </c>
      <c r="Q309" s="157">
        <f>Schedule!C309</f>
        <v/>
      </c>
      <c r="R309" s="180">
        <f>Schedule!D309</f>
        <v/>
      </c>
      <c r="S309" s="181">
        <f>Schedule!J309</f>
        <v/>
      </c>
      <c r="T309" s="193">
        <f>Y309-Z309</f>
        <v/>
      </c>
      <c r="U309" s="182">
        <f>T309/Picks!$K$2</f>
        <v/>
      </c>
      <c r="V309" s="193">
        <f>INDEX(Standings!$T$3:$T$34, MATCH(N309, Standings!$A$3:$A$34, 0)) - INDEX(Standings!$T$3:$T$34, MATCH(P309, Standings!$A$3:$A$34, 0))</f>
        <v/>
      </c>
      <c r="W309" s="157">
        <f>INDEX(Standings!$L$3:$L$34, MATCH(N309, Standings!$A$3:$A$34, 0)) - INDEX(Standings!$L$3:$L$34, MATCH(P309, Standings!$A$3:$A$34, 0))</f>
        <v/>
      </c>
      <c r="X309" s="157">
        <f>INDEX(Standings!$M$3:$M$34, MATCH(N309, Standings!$A$3:$A$34, 0)) - INDEX(Standings!$M$3:$M$34, MATCH(P309, Standings!$A$3:$A$34, 0))</f>
        <v/>
      </c>
      <c r="Y309" s="194">
        <f t="array" ref="Y309:Y309">IFERROR(AE309+(AL309-_DFactor)*AE309,"")</f>
        <v/>
      </c>
      <c r="Z309" s="157">
        <f>IFERROR(AF309+(AI309-_DFactor)*AF309,"")</f>
        <v/>
      </c>
      <c r="AC309" s="194">
        <f>VLOOKUP(M309&amp;N309,Schedule!A:F,6,0)</f>
        <v/>
      </c>
      <c r="AD309" s="194">
        <f>VLOOKUP(M309&amp;P309,Schedule!A:F,6,0)</f>
        <v/>
      </c>
      <c r="AE309" s="156">
        <f>VLOOKUP(N309,ProjPVT!B:I,8,0)*_Mag/VLOOKUP(P309,Standings!A:O,15,0)*H309*K309</f>
        <v/>
      </c>
      <c r="AF309" s="156">
        <f>VLOOKUP(P309,ProjPVT!B:I,8,0)*_Mag/VLOOKUP(N309,Standings!A:O,15,0)*J309*I309</f>
        <v/>
      </c>
      <c r="AG309" s="195">
        <f>VLOOKUP(N309,Matrix!AA:AC,3,0)</f>
        <v/>
      </c>
      <c r="AH309" s="195">
        <f>SUMIFS(Def!C:C,Def!F:F,AG309)</f>
        <v/>
      </c>
      <c r="AI309" s="156">
        <f>IFERROR(SUMIFS(Def!B:B,Def!F:F,AG309)/AH309,"")</f>
        <v/>
      </c>
      <c r="AJ309" s="195">
        <f>VLOOKUP(P309,Matrix!AA:AC,3,0)</f>
        <v/>
      </c>
      <c r="AK309" s="195">
        <f>SUMIFS(Def!C:C,Def!F:F,AJ309)</f>
        <v/>
      </c>
      <c r="AL309" s="156">
        <f>IFERROR(SUMIFS(Def!B:B,Def!F:F,AJ309)/AK309,"")</f>
        <v/>
      </c>
    </row>
    <row r="310" ht="14.4" customHeight="1" s="152">
      <c r="A310" s="157">
        <f>IF(F310="Yes",IFERROR(IF(AA310&gt;1,AA310/100,100/-AA310),""),-1)</f>
        <v/>
      </c>
      <c r="B310" s="157">
        <f>B309+1</f>
        <v/>
      </c>
      <c r="C310" s="157">
        <f>IF(Y310&gt;Z310,1,0)</f>
        <v/>
      </c>
      <c r="D310" s="157">
        <f>IF(AND(C310=1,F310="Yes"),"Yes",IF(AND(C310=0,F310="No"),"Yes","No"))</f>
        <v/>
      </c>
      <c r="E310" s="192">
        <f>IF((AC310+AB310)=AD310,"Push",IF((AC310+AB310)&gt;AD310,"Yes","No"))</f>
        <v/>
      </c>
      <c r="F310" s="192">
        <f>IF(AC310&gt;AD310,"Yes","No")</f>
        <v/>
      </c>
      <c r="G310" s="192">
        <f>IF((Y310+AB310)&gt;Z310,"Yes",IF((Y310+AB310)=Z310,"Push","No"))</f>
        <v/>
      </c>
      <c r="H310" s="157">
        <f>IF(O310="Home",VLOOKUP(N310,Matrix!A:S,19,0),1)</f>
        <v/>
      </c>
      <c r="I310" s="157">
        <f>IF(O310="Away",VLOOKUP(N310,Matrix!A:Z,20,0),1)</f>
        <v/>
      </c>
      <c r="J310" s="157">
        <f>IF(O310="Away",VLOOKUP(P310,Matrix!A:S,19,0),1)</f>
        <v/>
      </c>
      <c r="K310" s="157">
        <f>IF(O310="Home",VLOOKUP(P310,Matrix!A:Z,20,0),1)</f>
        <v/>
      </c>
      <c r="L310" s="156" t="n">
        <v>-0.469947002916923</v>
      </c>
      <c r="M310" s="179">
        <f>Schedule!B310</f>
        <v/>
      </c>
      <c r="N310" s="156">
        <f>Schedule!E310</f>
        <v/>
      </c>
      <c r="O310" s="156" t="inlineStr">
        <is>
          <t>Home</t>
        </is>
      </c>
      <c r="P310" s="157">
        <f>Schedule!H310</f>
        <v/>
      </c>
      <c r="Q310" s="157">
        <f>Schedule!C310</f>
        <v/>
      </c>
      <c r="R310" s="180">
        <f>Schedule!D310</f>
        <v/>
      </c>
      <c r="S310" s="181">
        <f>Schedule!J310</f>
        <v/>
      </c>
      <c r="T310" s="193">
        <f>Y310-Z310</f>
        <v/>
      </c>
      <c r="U310" s="182">
        <f>T310/Picks!$K$2</f>
        <v/>
      </c>
      <c r="V310" s="193">
        <f>INDEX(Standings!$T$3:$T$34, MATCH(N310, Standings!$A$3:$A$34, 0)) - INDEX(Standings!$T$3:$T$34, MATCH(P310, Standings!$A$3:$A$34, 0))</f>
        <v/>
      </c>
      <c r="W310" s="157">
        <f>INDEX(Standings!$L$3:$L$34, MATCH(N310, Standings!$A$3:$A$34, 0)) - INDEX(Standings!$L$3:$L$34, MATCH(P310, Standings!$A$3:$A$34, 0))</f>
        <v/>
      </c>
      <c r="X310" s="157">
        <f>INDEX(Standings!$M$3:$M$34, MATCH(N310, Standings!$A$3:$A$34, 0)) - INDEX(Standings!$M$3:$M$34, MATCH(P310, Standings!$A$3:$A$34, 0))</f>
        <v/>
      </c>
      <c r="Y310" s="194">
        <f t="array" ref="Y310:Y310">IFERROR(AE310+(AL310-_DFactor)*AE310,"")</f>
        <v/>
      </c>
      <c r="Z310" s="157">
        <f>IFERROR(AF310+(AI310-_DFactor)*AF310,"")</f>
        <v/>
      </c>
      <c r="AC310" s="194">
        <f>VLOOKUP(M310&amp;N310,Schedule!A:F,6,0)</f>
        <v/>
      </c>
      <c r="AD310" s="194">
        <f>VLOOKUP(M310&amp;P310,Schedule!A:F,6,0)</f>
        <v/>
      </c>
      <c r="AE310" s="156">
        <f>VLOOKUP(N310,ProjPVT!B:I,8,0)*_Mag/VLOOKUP(P310,Standings!A:O,15,0)*H310*K310</f>
        <v/>
      </c>
      <c r="AF310" s="156">
        <f>VLOOKUP(P310,ProjPVT!B:I,8,0)*_Mag/VLOOKUP(N310,Standings!A:O,15,0)*J310*I310</f>
        <v/>
      </c>
      <c r="AG310" s="195">
        <f>VLOOKUP(N310,Matrix!AA:AC,3,0)</f>
        <v/>
      </c>
      <c r="AH310" s="195">
        <f>SUMIFS(Def!C:C,Def!F:F,AG310)</f>
        <v/>
      </c>
      <c r="AI310" s="156">
        <f>IFERROR(SUMIFS(Def!B:B,Def!F:F,AG310)/AH310,"")</f>
        <v/>
      </c>
      <c r="AJ310" s="195">
        <f>VLOOKUP(P310,Matrix!AA:AC,3,0)</f>
        <v/>
      </c>
      <c r="AK310" s="195">
        <f>SUMIFS(Def!C:C,Def!F:F,AJ310)</f>
        <v/>
      </c>
      <c r="AL310" s="156">
        <f>IFERROR(SUMIFS(Def!B:B,Def!F:F,AJ310)/AK310,"")</f>
        <v/>
      </c>
    </row>
    <row r="311" ht="14.4" customHeight="1" s="152">
      <c r="A311" s="157">
        <f>IF(F311="Yes",IFERROR(IF(AA311&gt;1,AA311/100,100/-AA311),""),-1)</f>
        <v/>
      </c>
      <c r="B311" s="157">
        <f>B310+1</f>
        <v/>
      </c>
      <c r="C311" s="157">
        <f>IF(Y311&gt;Z311,1,0)</f>
        <v/>
      </c>
      <c r="D311" s="157">
        <f>IF(AND(C311=1,F311="Yes"),"Yes",IF(AND(C311=0,F311="No"),"Yes","No"))</f>
        <v/>
      </c>
      <c r="E311" s="192">
        <f>IF((AC311+AB311)=AD311,"Push",IF((AC311+AB311)&gt;AD311,"Yes","No"))</f>
        <v/>
      </c>
      <c r="F311" s="192">
        <f>IF(AC311&gt;AD311,"Yes","No")</f>
        <v/>
      </c>
      <c r="G311" s="192">
        <f>IF((Y311+AB311)&gt;Z311,"Yes",IF((Y311+AB311)=Z311,"Push","No"))</f>
        <v/>
      </c>
      <c r="H311" s="157">
        <f>IF(O311="Home",VLOOKUP(N311,Matrix!A:S,19,0),1)</f>
        <v/>
      </c>
      <c r="I311" s="157">
        <f>IF(O311="Away",VLOOKUP(N311,Matrix!A:Z,20,0),1)</f>
        <v/>
      </c>
      <c r="J311" s="157">
        <f>IF(O311="Away",VLOOKUP(P311,Matrix!A:S,19,0),1)</f>
        <v/>
      </c>
      <c r="K311" s="157">
        <f>IF(O311="Home",VLOOKUP(P311,Matrix!A:Z,20,0),1)</f>
        <v/>
      </c>
      <c r="L311" s="156" t="n">
        <v>-0.361919126110049</v>
      </c>
      <c r="M311" s="179">
        <f>Schedule!B311</f>
        <v/>
      </c>
      <c r="N311" s="156">
        <f>Schedule!E311</f>
        <v/>
      </c>
      <c r="O311" s="156" t="inlineStr">
        <is>
          <t>Away</t>
        </is>
      </c>
      <c r="P311" s="157">
        <f>Schedule!H311</f>
        <v/>
      </c>
      <c r="Q311" s="157">
        <f>Schedule!C311</f>
        <v/>
      </c>
      <c r="R311" s="180">
        <f>Schedule!D311</f>
        <v/>
      </c>
      <c r="S311" s="181">
        <f>Schedule!J311</f>
        <v/>
      </c>
      <c r="T311" s="193">
        <f>Y311-Z311</f>
        <v/>
      </c>
      <c r="U311" s="182">
        <f>T311/Picks!$K$2</f>
        <v/>
      </c>
      <c r="V311" s="193">
        <f>INDEX(Standings!$T$3:$T$34, MATCH(N311, Standings!$A$3:$A$34, 0)) - INDEX(Standings!$T$3:$T$34, MATCH(P311, Standings!$A$3:$A$34, 0))</f>
        <v/>
      </c>
      <c r="W311" s="157">
        <f>INDEX(Standings!$L$3:$L$34, MATCH(N311, Standings!$A$3:$A$34, 0)) - INDEX(Standings!$L$3:$L$34, MATCH(P311, Standings!$A$3:$A$34, 0))</f>
        <v/>
      </c>
      <c r="X311" s="157">
        <f>INDEX(Standings!$M$3:$M$34, MATCH(N311, Standings!$A$3:$A$34, 0)) - INDEX(Standings!$M$3:$M$34, MATCH(P311, Standings!$A$3:$A$34, 0))</f>
        <v/>
      </c>
      <c r="Y311" s="194">
        <f t="array" ref="Y311:Y311">IFERROR(AE311+(AL311-_DFactor)*AE311,"")</f>
        <v/>
      </c>
      <c r="Z311" s="157">
        <f>IFERROR(AF311+(AI311-_DFactor)*AF311,"")</f>
        <v/>
      </c>
      <c r="AC311" s="194">
        <f>VLOOKUP(M311&amp;N311,Schedule!A:F,6,0)</f>
        <v/>
      </c>
      <c r="AD311" s="194">
        <f>VLOOKUP(M311&amp;P311,Schedule!A:F,6,0)</f>
        <v/>
      </c>
      <c r="AE311" s="156">
        <f>VLOOKUP(N311,ProjPVT!B:I,8,0)*_Mag/VLOOKUP(P311,Standings!A:O,15,0)*H311*K311</f>
        <v/>
      </c>
      <c r="AF311" s="156">
        <f>VLOOKUP(P311,ProjPVT!B:I,8,0)*_Mag/VLOOKUP(N311,Standings!A:O,15,0)*J311*I311</f>
        <v/>
      </c>
      <c r="AG311" s="195">
        <f>VLOOKUP(N311,Matrix!AA:AC,3,0)</f>
        <v/>
      </c>
      <c r="AH311" s="195">
        <f>SUMIFS(Def!C:C,Def!F:F,AG311)</f>
        <v/>
      </c>
      <c r="AI311" s="156">
        <f>IFERROR(SUMIFS(Def!B:B,Def!F:F,AG311)/AH311,"")</f>
        <v/>
      </c>
      <c r="AJ311" s="195">
        <f>VLOOKUP(P311,Matrix!AA:AC,3,0)</f>
        <v/>
      </c>
      <c r="AK311" s="195">
        <f>SUMIFS(Def!C:C,Def!F:F,AJ311)</f>
        <v/>
      </c>
      <c r="AL311" s="156">
        <f>IFERROR(SUMIFS(Def!B:B,Def!F:F,AJ311)/AK311,"")</f>
        <v/>
      </c>
    </row>
    <row r="312" ht="14.4" customHeight="1" s="152">
      <c r="A312" s="157">
        <f>IF(F312="Yes",IFERROR(IF(AA312&gt;1,AA312/100,100/-AA312),""),-1)</f>
        <v/>
      </c>
      <c r="B312" s="157">
        <f>B311+1</f>
        <v/>
      </c>
      <c r="C312" s="157">
        <f>IF(Y312&gt;Z312,1,0)</f>
        <v/>
      </c>
      <c r="D312" s="157">
        <f>IF(AND(C312=1,F312="Yes"),"Yes",IF(AND(C312=0,F312="No"),"Yes","No"))</f>
        <v/>
      </c>
      <c r="E312" s="192">
        <f>IF((AC312+AB312)=AD312,"Push",IF((AC312+AB312)&gt;AD312,"Yes","No"))</f>
        <v/>
      </c>
      <c r="F312" s="192">
        <f>IF(AC312&gt;AD312,"Yes","No")</f>
        <v/>
      </c>
      <c r="G312" s="192">
        <f>IF((Y312+AB312)&gt;Z312,"Yes",IF((Y312+AB312)=Z312,"Push","No"))</f>
        <v/>
      </c>
      <c r="H312" s="157">
        <f>IF(O312="Home",VLOOKUP(N312,Matrix!A:S,19,0),1)</f>
        <v/>
      </c>
      <c r="I312" s="157">
        <f>IF(O312="Away",VLOOKUP(N312,Matrix!A:Z,20,0),1)</f>
        <v/>
      </c>
      <c r="J312" s="157">
        <f>IF(O312="Away",VLOOKUP(P312,Matrix!A:S,19,0),1)</f>
        <v/>
      </c>
      <c r="K312" s="157">
        <f>IF(O312="Home",VLOOKUP(P312,Matrix!A:Z,20,0),1)</f>
        <v/>
      </c>
      <c r="L312" s="156" t="n">
        <v>-0.232987101417244</v>
      </c>
      <c r="M312" s="179">
        <f>Schedule!B312</f>
        <v/>
      </c>
      <c r="N312" s="156">
        <f>Schedule!E312</f>
        <v/>
      </c>
      <c r="O312" s="156" t="inlineStr">
        <is>
          <t>Home</t>
        </is>
      </c>
      <c r="P312" s="157">
        <f>Schedule!H312</f>
        <v/>
      </c>
      <c r="Q312" s="157">
        <f>Schedule!C312</f>
        <v/>
      </c>
      <c r="R312" s="180">
        <f>Schedule!D312</f>
        <v/>
      </c>
      <c r="S312" s="181">
        <f>Schedule!J312</f>
        <v/>
      </c>
      <c r="T312" s="193">
        <f>Y312-Z312</f>
        <v/>
      </c>
      <c r="U312" s="182">
        <f>T312/Picks!$K$2</f>
        <v/>
      </c>
      <c r="V312" s="193">
        <f>INDEX(Standings!$T$3:$T$34, MATCH(N312, Standings!$A$3:$A$34, 0)) - INDEX(Standings!$T$3:$T$34, MATCH(P312, Standings!$A$3:$A$34, 0))</f>
        <v/>
      </c>
      <c r="W312" s="157">
        <f>INDEX(Standings!$L$3:$L$34, MATCH(N312, Standings!$A$3:$A$34, 0)) - INDEX(Standings!$L$3:$L$34, MATCH(P312, Standings!$A$3:$A$34, 0))</f>
        <v/>
      </c>
      <c r="X312" s="157">
        <f>INDEX(Standings!$M$3:$M$34, MATCH(N312, Standings!$A$3:$A$34, 0)) - INDEX(Standings!$M$3:$M$34, MATCH(P312, Standings!$A$3:$A$34, 0))</f>
        <v/>
      </c>
      <c r="Y312" s="194">
        <f t="array" ref="Y312:Y312">IFERROR(AE312+(AL312-_DFactor)*AE312,"")</f>
        <v/>
      </c>
      <c r="Z312" s="157">
        <f>IFERROR(AF312+(AI312-_DFactor)*AF312,"")</f>
        <v/>
      </c>
      <c r="AC312" s="194">
        <f>VLOOKUP(M312&amp;N312,Schedule!A:F,6,0)</f>
        <v/>
      </c>
      <c r="AD312" s="194">
        <f>VLOOKUP(M312&amp;P312,Schedule!A:F,6,0)</f>
        <v/>
      </c>
      <c r="AE312" s="156">
        <f>VLOOKUP(N312,ProjPVT!B:I,8,0)*_Mag/VLOOKUP(P312,Standings!A:O,15,0)*H312*K312</f>
        <v/>
      </c>
      <c r="AF312" s="156">
        <f>VLOOKUP(P312,ProjPVT!B:I,8,0)*_Mag/VLOOKUP(N312,Standings!A:O,15,0)*J312*I312</f>
        <v/>
      </c>
      <c r="AG312" s="195">
        <f>VLOOKUP(N312,Matrix!AA:AC,3,0)</f>
        <v/>
      </c>
      <c r="AH312" s="195">
        <f>SUMIFS(Def!C:C,Def!F:F,AG312)</f>
        <v/>
      </c>
      <c r="AI312" s="156">
        <f>IFERROR(SUMIFS(Def!B:B,Def!F:F,AG312)/AH312,"")</f>
        <v/>
      </c>
      <c r="AJ312" s="195">
        <f>VLOOKUP(P312,Matrix!AA:AC,3,0)</f>
        <v/>
      </c>
      <c r="AK312" s="195">
        <f>SUMIFS(Def!C:C,Def!F:F,AJ312)</f>
        <v/>
      </c>
      <c r="AL312" s="156">
        <f>IFERROR(SUMIFS(Def!B:B,Def!F:F,AJ312)/AK312,"")</f>
        <v/>
      </c>
    </row>
    <row r="313" ht="14.4" customHeight="1" s="152">
      <c r="A313" s="157">
        <f>IF(F313="Yes",IFERROR(IF(AA313&gt;1,AA313/100,100/-AA313),""),-1)</f>
        <v/>
      </c>
      <c r="B313" s="157">
        <f>B312+1</f>
        <v/>
      </c>
      <c r="C313" s="157">
        <f>IF(Y313&gt;Z313,1,0)</f>
        <v/>
      </c>
      <c r="D313" s="157">
        <f>IF(AND(C313=1,F313="Yes"),"Yes",IF(AND(C313=0,F313="No"),"Yes","No"))</f>
        <v/>
      </c>
      <c r="E313" s="192">
        <f>IF((AC313+AB313)=AD313,"Push",IF((AC313+AB313)&gt;AD313,"Yes","No"))</f>
        <v/>
      </c>
      <c r="F313" s="192">
        <f>IF(AC313&gt;AD313,"Yes","No")</f>
        <v/>
      </c>
      <c r="G313" s="192">
        <f>IF((Y313+AB313)&gt;Z313,"Yes",IF((Y313+AB313)=Z313,"Push","No"))</f>
        <v/>
      </c>
      <c r="H313" s="157">
        <f>IF(O313="Home",VLOOKUP(N313,Matrix!A:S,19,0),1)</f>
        <v/>
      </c>
      <c r="I313" s="157">
        <f>IF(O313="Away",VLOOKUP(N313,Matrix!A:Z,20,0),1)</f>
        <v/>
      </c>
      <c r="J313" s="157">
        <f>IF(O313="Away",VLOOKUP(P313,Matrix!A:S,19,0),1)</f>
        <v/>
      </c>
      <c r="K313" s="157">
        <f>IF(O313="Home",VLOOKUP(P313,Matrix!A:Z,20,0),1)</f>
        <v/>
      </c>
      <c r="L313" s="156" t="n">
        <v>-0.224763612338683</v>
      </c>
      <c r="M313" s="179">
        <f>Schedule!B313</f>
        <v/>
      </c>
      <c r="N313" s="156">
        <f>Schedule!E313</f>
        <v/>
      </c>
      <c r="O313" s="156" t="inlineStr">
        <is>
          <t>Away</t>
        </is>
      </c>
      <c r="P313" s="157">
        <f>Schedule!H313</f>
        <v/>
      </c>
      <c r="Q313" s="157">
        <f>Schedule!C313</f>
        <v/>
      </c>
      <c r="R313" s="180">
        <f>Schedule!D313</f>
        <v/>
      </c>
      <c r="S313" s="181">
        <f>Schedule!J313</f>
        <v/>
      </c>
      <c r="T313" s="193">
        <f>Y313-Z313</f>
        <v/>
      </c>
      <c r="U313" s="182">
        <f>T313/Picks!$K$2</f>
        <v/>
      </c>
      <c r="V313" s="193">
        <f>INDEX(Standings!$T$3:$T$34, MATCH(N313, Standings!$A$3:$A$34, 0)) - INDEX(Standings!$T$3:$T$34, MATCH(P313, Standings!$A$3:$A$34, 0))</f>
        <v/>
      </c>
      <c r="W313" s="157">
        <f>INDEX(Standings!$L$3:$L$34, MATCH(N313, Standings!$A$3:$A$34, 0)) - INDEX(Standings!$L$3:$L$34, MATCH(P313, Standings!$A$3:$A$34, 0))</f>
        <v/>
      </c>
      <c r="X313" s="157">
        <f>INDEX(Standings!$M$3:$M$34, MATCH(N313, Standings!$A$3:$A$34, 0)) - INDEX(Standings!$M$3:$M$34, MATCH(P313, Standings!$A$3:$A$34, 0))</f>
        <v/>
      </c>
      <c r="Y313" s="194">
        <f t="array" ref="Y313:Y313">IFERROR(AE313+(AL313-_DFactor)*AE313,"")</f>
        <v/>
      </c>
      <c r="Z313" s="157">
        <f>IFERROR(AF313+(AI313-_DFactor)*AF313,"")</f>
        <v/>
      </c>
      <c r="AC313" s="194">
        <f>VLOOKUP(M313&amp;N313,Schedule!A:F,6,0)</f>
        <v/>
      </c>
      <c r="AD313" s="194">
        <f>VLOOKUP(M313&amp;P313,Schedule!A:F,6,0)</f>
        <v/>
      </c>
      <c r="AE313" s="156">
        <f>VLOOKUP(N313,ProjPVT!B:I,8,0)*_Mag/VLOOKUP(P313,Standings!A:O,15,0)*H313*K313</f>
        <v/>
      </c>
      <c r="AF313" s="156">
        <f>VLOOKUP(P313,ProjPVT!B:I,8,0)*_Mag/VLOOKUP(N313,Standings!A:O,15,0)*J313*I313</f>
        <v/>
      </c>
      <c r="AG313" s="195">
        <f>VLOOKUP(N313,Matrix!AA:AC,3,0)</f>
        <v/>
      </c>
      <c r="AH313" s="195">
        <f>SUMIFS(Def!C:C,Def!F:F,AG313)</f>
        <v/>
      </c>
      <c r="AI313" s="156">
        <f>IFERROR(SUMIFS(Def!B:B,Def!F:F,AG313)/AH313,"")</f>
        <v/>
      </c>
      <c r="AJ313" s="195">
        <f>VLOOKUP(P313,Matrix!AA:AC,3,0)</f>
        <v/>
      </c>
      <c r="AK313" s="195">
        <f>SUMIFS(Def!C:C,Def!F:F,AJ313)</f>
        <v/>
      </c>
      <c r="AL313" s="156">
        <f>IFERROR(SUMIFS(Def!B:B,Def!F:F,AJ313)/AK313,"")</f>
        <v/>
      </c>
    </row>
    <row r="314" ht="14.4" customHeight="1" s="152">
      <c r="A314" s="157">
        <f>IF(F314="Yes",IFERROR(IF(AA314&gt;1,AA314/100,100/-AA314),""),-1)</f>
        <v/>
      </c>
      <c r="B314" s="157">
        <f>B313+1</f>
        <v/>
      </c>
      <c r="C314" s="157">
        <f>IF(Y314&gt;Z314,1,0)</f>
        <v/>
      </c>
      <c r="D314" s="157">
        <f>IF(AND(C314=1,F314="Yes"),"Yes",IF(AND(C314=0,F314="No"),"Yes","No"))</f>
        <v/>
      </c>
      <c r="E314" s="192">
        <f>IF((AC314+AB314)=AD314,"Push",IF((AC314+AB314)&gt;AD314,"Yes","No"))</f>
        <v/>
      </c>
      <c r="F314" s="192">
        <f>IF(AC314&gt;AD314,"Yes","No")</f>
        <v/>
      </c>
      <c r="G314" s="192">
        <f>IF((Y314+AB314)&gt;Z314,"Yes",IF((Y314+AB314)=Z314,"Push","No"))</f>
        <v/>
      </c>
      <c r="H314" s="157">
        <f>IF(O314="Home",VLOOKUP(N314,Matrix!A:S,19,0),1)</f>
        <v/>
      </c>
      <c r="I314" s="157">
        <f>IF(O314="Away",VLOOKUP(N314,Matrix!A:Z,20,0),1)</f>
        <v/>
      </c>
      <c r="J314" s="157">
        <f>IF(O314="Away",VLOOKUP(P314,Matrix!A:S,19,0),1)</f>
        <v/>
      </c>
      <c r="K314" s="157">
        <f>IF(O314="Home",VLOOKUP(P314,Matrix!A:Z,20,0),1)</f>
        <v/>
      </c>
      <c r="L314" s="156" t="n">
        <v>-0.140363211557585</v>
      </c>
      <c r="M314" s="179">
        <f>Schedule!B314</f>
        <v/>
      </c>
      <c r="N314" s="156">
        <f>Schedule!E314</f>
        <v/>
      </c>
      <c r="O314" s="156" t="inlineStr">
        <is>
          <t>Away</t>
        </is>
      </c>
      <c r="P314" s="157">
        <f>Schedule!H314</f>
        <v/>
      </c>
      <c r="Q314" s="157">
        <f>Schedule!C314</f>
        <v/>
      </c>
      <c r="R314" s="180">
        <f>Schedule!D314</f>
        <v/>
      </c>
      <c r="S314" s="181">
        <f>Schedule!J314</f>
        <v/>
      </c>
      <c r="T314" s="193">
        <f>Y314-Z314</f>
        <v/>
      </c>
      <c r="U314" s="182">
        <f>T314/Picks!$K$2</f>
        <v/>
      </c>
      <c r="V314" s="193">
        <f>INDEX(Standings!$T$3:$T$34, MATCH(N314, Standings!$A$3:$A$34, 0)) - INDEX(Standings!$T$3:$T$34, MATCH(P314, Standings!$A$3:$A$34, 0))</f>
        <v/>
      </c>
      <c r="W314" s="157">
        <f>INDEX(Standings!$L$3:$L$34, MATCH(N314, Standings!$A$3:$A$34, 0)) - INDEX(Standings!$L$3:$L$34, MATCH(P314, Standings!$A$3:$A$34, 0))</f>
        <v/>
      </c>
      <c r="X314" s="157">
        <f>INDEX(Standings!$M$3:$M$34, MATCH(N314, Standings!$A$3:$A$34, 0)) - INDEX(Standings!$M$3:$M$34, MATCH(P314, Standings!$A$3:$A$34, 0))</f>
        <v/>
      </c>
      <c r="Y314" s="194">
        <f t="array" ref="Y314:Y314">IFERROR(AE314+(AL314-_DFactor)*AE314,"")</f>
        <v/>
      </c>
      <c r="Z314" s="157">
        <f>IFERROR(AF314+(AI314-_DFactor)*AF314,"")</f>
        <v/>
      </c>
      <c r="AC314" s="194">
        <f>VLOOKUP(M314&amp;N314,Schedule!A:F,6,0)</f>
        <v/>
      </c>
      <c r="AD314" s="194">
        <f>VLOOKUP(M314&amp;P314,Schedule!A:F,6,0)</f>
        <v/>
      </c>
      <c r="AE314" s="156">
        <f>VLOOKUP(N314,ProjPVT!B:I,8,0)*_Mag/VLOOKUP(P314,Standings!A:O,15,0)*H314*K314</f>
        <v/>
      </c>
      <c r="AF314" s="156">
        <f>VLOOKUP(P314,ProjPVT!B:I,8,0)*_Mag/VLOOKUP(N314,Standings!A:O,15,0)*J314*I314</f>
        <v/>
      </c>
      <c r="AG314" s="195">
        <f>VLOOKUP(N314,Matrix!AA:AC,3,0)</f>
        <v/>
      </c>
      <c r="AH314" s="195">
        <f>SUMIFS(Def!C:C,Def!F:F,AG314)</f>
        <v/>
      </c>
      <c r="AI314" s="156">
        <f>IFERROR(SUMIFS(Def!B:B,Def!F:F,AG314)/AH314,"")</f>
        <v/>
      </c>
      <c r="AJ314" s="195">
        <f>VLOOKUP(P314,Matrix!AA:AC,3,0)</f>
        <v/>
      </c>
      <c r="AK314" s="195">
        <f>SUMIFS(Def!C:C,Def!F:F,AJ314)</f>
        <v/>
      </c>
      <c r="AL314" s="156">
        <f>IFERROR(SUMIFS(Def!B:B,Def!F:F,AJ314)/AK314,"")</f>
        <v/>
      </c>
    </row>
    <row r="315" ht="14.4" customHeight="1" s="152">
      <c r="A315" s="157">
        <f>IF(F315="Yes",IFERROR(IF(AA315&gt;1,AA315/100,100/-AA315),""),-1)</f>
        <v/>
      </c>
      <c r="B315" s="157">
        <f>B314+1</f>
        <v/>
      </c>
      <c r="C315" s="157">
        <f>IF(Y315&gt;Z315,1,0)</f>
        <v/>
      </c>
      <c r="D315" s="157">
        <f>IF(AND(C315=1,F315="Yes"),"Yes",IF(AND(C315=0,F315="No"),"Yes","No"))</f>
        <v/>
      </c>
      <c r="E315" s="192">
        <f>IF((AC315+AB315)=AD315,"Push",IF((AC315+AB315)&gt;AD315,"Yes","No"))</f>
        <v/>
      </c>
      <c r="F315" s="192">
        <f>IF(AC315&gt;AD315,"Yes","No")</f>
        <v/>
      </c>
      <c r="G315" s="192">
        <f>IF((Y315+AB315)&gt;Z315,"Yes",IF((Y315+AB315)=Z315,"Push","No"))</f>
        <v/>
      </c>
      <c r="H315" s="157">
        <f>IF(O315="Home",VLOOKUP(N315,Matrix!A:S,19,0),1)</f>
        <v/>
      </c>
      <c r="I315" s="157">
        <f>IF(O315="Away",VLOOKUP(N315,Matrix!A:Z,20,0),1)</f>
        <v/>
      </c>
      <c r="J315" s="157">
        <f>IF(O315="Away",VLOOKUP(P315,Matrix!A:S,19,0),1)</f>
        <v/>
      </c>
      <c r="K315" s="157">
        <f>IF(O315="Home",VLOOKUP(P315,Matrix!A:Z,20,0),1)</f>
        <v/>
      </c>
      <c r="L315" s="156" t="n">
        <v>-0.129875506438095</v>
      </c>
      <c r="M315" s="179">
        <f>Schedule!B315</f>
        <v/>
      </c>
      <c r="N315" s="156">
        <f>Schedule!E315</f>
        <v/>
      </c>
      <c r="O315" s="156" t="inlineStr">
        <is>
          <t>Home</t>
        </is>
      </c>
      <c r="P315" s="157">
        <f>Schedule!H315</f>
        <v/>
      </c>
      <c r="Q315" s="157">
        <f>Schedule!C315</f>
        <v/>
      </c>
      <c r="R315" s="180">
        <f>Schedule!D315</f>
        <v/>
      </c>
      <c r="S315" s="181">
        <f>Schedule!J315</f>
        <v/>
      </c>
      <c r="T315" s="193">
        <f>Y315-Z315</f>
        <v/>
      </c>
      <c r="U315" s="182">
        <f>T315/Picks!$K$2</f>
        <v/>
      </c>
      <c r="V315" s="193">
        <f>INDEX(Standings!$T$3:$T$34, MATCH(N315, Standings!$A$3:$A$34, 0)) - INDEX(Standings!$T$3:$T$34, MATCH(P315, Standings!$A$3:$A$34, 0))</f>
        <v/>
      </c>
      <c r="W315" s="157">
        <f>INDEX(Standings!$L$3:$L$34, MATCH(N315, Standings!$A$3:$A$34, 0)) - INDEX(Standings!$L$3:$L$34, MATCH(P315, Standings!$A$3:$A$34, 0))</f>
        <v/>
      </c>
      <c r="X315" s="157">
        <f>INDEX(Standings!$M$3:$M$34, MATCH(N315, Standings!$A$3:$A$34, 0)) - INDEX(Standings!$M$3:$M$34, MATCH(P315, Standings!$A$3:$A$34, 0))</f>
        <v/>
      </c>
      <c r="Y315" s="194">
        <f t="array" ref="Y315:Y315">IFERROR(AE315+(AL315-_DFactor)*AE315,"")</f>
        <v/>
      </c>
      <c r="Z315" s="157">
        <f>IFERROR(AF315+(AI315-_DFactor)*AF315,"")</f>
        <v/>
      </c>
      <c r="AC315" s="194">
        <f>VLOOKUP(M315&amp;N315,Schedule!A:F,6,0)</f>
        <v/>
      </c>
      <c r="AD315" s="194">
        <f>VLOOKUP(M315&amp;P315,Schedule!A:F,6,0)</f>
        <v/>
      </c>
      <c r="AE315" s="156">
        <f>VLOOKUP(N315,ProjPVT!B:I,8,0)*_Mag/VLOOKUP(P315,Standings!A:O,15,0)*H315*K315</f>
        <v/>
      </c>
      <c r="AF315" s="156">
        <f>VLOOKUP(P315,ProjPVT!B:I,8,0)*_Mag/VLOOKUP(N315,Standings!A:O,15,0)*J315*I315</f>
        <v/>
      </c>
      <c r="AG315" s="195">
        <f>VLOOKUP(N315,Matrix!AA:AC,3,0)</f>
        <v/>
      </c>
      <c r="AH315" s="195">
        <f>SUMIFS(Def!C:C,Def!F:F,AG315)</f>
        <v/>
      </c>
      <c r="AI315" s="156">
        <f>IFERROR(SUMIFS(Def!B:B,Def!F:F,AG315)/AH315,"")</f>
        <v/>
      </c>
      <c r="AJ315" s="195">
        <f>VLOOKUP(P315,Matrix!AA:AC,3,0)</f>
        <v/>
      </c>
      <c r="AK315" s="195">
        <f>SUMIFS(Def!C:C,Def!F:F,AJ315)</f>
        <v/>
      </c>
      <c r="AL315" s="156">
        <f>IFERROR(SUMIFS(Def!B:B,Def!F:F,AJ315)/AK315,"")</f>
        <v/>
      </c>
    </row>
    <row r="316" ht="14.4" customHeight="1" s="152">
      <c r="A316" s="157">
        <f>IF(F316="Yes",IFERROR(IF(AA316&gt;1,AA316/100,100/-AA316),""),-1)</f>
        <v/>
      </c>
      <c r="B316" s="157">
        <f>B315+1</f>
        <v/>
      </c>
      <c r="C316" s="157">
        <f>IF(Y316&gt;Z316,1,0)</f>
        <v/>
      </c>
      <c r="D316" s="157">
        <f>IF(AND(C316=1,F316="Yes"),"Yes",IF(AND(C316=0,F316="No"),"Yes","No"))</f>
        <v/>
      </c>
      <c r="E316" s="192">
        <f>IF((AC316+AB316)=AD316,"Push",IF((AC316+AB316)&gt;AD316,"Yes","No"))</f>
        <v/>
      </c>
      <c r="F316" s="192">
        <f>IF(AC316&gt;AD316,"Yes","No")</f>
        <v/>
      </c>
      <c r="G316" s="192">
        <f>IF((Y316+AB316)&gt;Z316,"Yes",IF((Y316+AB316)=Z316,"Push","No"))</f>
        <v/>
      </c>
      <c r="H316" s="157">
        <f>IF(O316="Home",VLOOKUP(N316,Matrix!A:S,19,0),1)</f>
        <v/>
      </c>
      <c r="I316" s="157">
        <f>IF(O316="Away",VLOOKUP(N316,Matrix!A:Z,20,0),1)</f>
        <v/>
      </c>
      <c r="J316" s="157">
        <f>IF(O316="Away",VLOOKUP(P316,Matrix!A:S,19,0),1)</f>
        <v/>
      </c>
      <c r="K316" s="157">
        <f>IF(O316="Home",VLOOKUP(P316,Matrix!A:Z,20,0),1)</f>
        <v/>
      </c>
      <c r="L316" s="156" t="n">
        <v>-0.119558260725819</v>
      </c>
      <c r="M316" s="179">
        <f>Schedule!B316</f>
        <v/>
      </c>
      <c r="N316" s="156">
        <f>Schedule!E316</f>
        <v/>
      </c>
      <c r="O316" s="156" t="inlineStr">
        <is>
          <t>Away</t>
        </is>
      </c>
      <c r="P316" s="157">
        <f>Schedule!H316</f>
        <v/>
      </c>
      <c r="Q316" s="157">
        <f>Schedule!C316</f>
        <v/>
      </c>
      <c r="R316" s="180">
        <f>Schedule!D316</f>
        <v/>
      </c>
      <c r="S316" s="181">
        <f>Schedule!J316</f>
        <v/>
      </c>
      <c r="T316" s="193">
        <f>Y316-Z316</f>
        <v/>
      </c>
      <c r="U316" s="182">
        <f>T316/Picks!$K$2</f>
        <v/>
      </c>
      <c r="V316" s="193">
        <f>INDEX(Standings!$T$3:$T$34, MATCH(N316, Standings!$A$3:$A$34, 0)) - INDEX(Standings!$T$3:$T$34, MATCH(P316, Standings!$A$3:$A$34, 0))</f>
        <v/>
      </c>
      <c r="W316" s="157">
        <f>INDEX(Standings!$L$3:$L$34, MATCH(N316, Standings!$A$3:$A$34, 0)) - INDEX(Standings!$L$3:$L$34, MATCH(P316, Standings!$A$3:$A$34, 0))</f>
        <v/>
      </c>
      <c r="X316" s="157">
        <f>INDEX(Standings!$M$3:$M$34, MATCH(N316, Standings!$A$3:$A$34, 0)) - INDEX(Standings!$M$3:$M$34, MATCH(P316, Standings!$A$3:$A$34, 0))</f>
        <v/>
      </c>
      <c r="Y316" s="194">
        <f t="array" ref="Y316:Y316">IFERROR(AE316+(AL316-_DFactor)*AE316,"")</f>
        <v/>
      </c>
      <c r="Z316" s="157">
        <f>IFERROR(AF316+(AI316-_DFactor)*AF316,"")</f>
        <v/>
      </c>
      <c r="AC316" s="194">
        <f>VLOOKUP(M316&amp;N316,Schedule!A:F,6,0)</f>
        <v/>
      </c>
      <c r="AD316" s="194">
        <f>VLOOKUP(M316&amp;P316,Schedule!A:F,6,0)</f>
        <v/>
      </c>
      <c r="AE316" s="156">
        <f>VLOOKUP(N316,ProjPVT!B:I,8,0)*_Mag/VLOOKUP(P316,Standings!A:O,15,0)*H316*K316</f>
        <v/>
      </c>
      <c r="AF316" s="156">
        <f>VLOOKUP(P316,ProjPVT!B:I,8,0)*_Mag/VLOOKUP(N316,Standings!A:O,15,0)*J316*I316</f>
        <v/>
      </c>
      <c r="AG316" s="195">
        <f>VLOOKUP(N316,Matrix!AA:AC,3,0)</f>
        <v/>
      </c>
      <c r="AH316" s="195">
        <f>SUMIFS(Def!C:C,Def!F:F,AG316)</f>
        <v/>
      </c>
      <c r="AI316" s="156">
        <f>IFERROR(SUMIFS(Def!B:B,Def!F:F,AG316)/AH316,"")</f>
        <v/>
      </c>
      <c r="AJ316" s="195">
        <f>VLOOKUP(P316,Matrix!AA:AC,3,0)</f>
        <v/>
      </c>
      <c r="AK316" s="195">
        <f>SUMIFS(Def!C:C,Def!F:F,AJ316)</f>
        <v/>
      </c>
      <c r="AL316" s="156">
        <f>IFERROR(SUMIFS(Def!B:B,Def!F:F,AJ316)/AK316,"")</f>
        <v/>
      </c>
    </row>
    <row r="317" ht="14.4" customHeight="1" s="152">
      <c r="A317" s="157">
        <f>IF(F317="Yes",IFERROR(IF(AA317&gt;1,AA317/100,100/-AA317),""),-1)</f>
        <v/>
      </c>
      <c r="B317" s="157">
        <f>B316+1</f>
        <v/>
      </c>
      <c r="C317" s="157">
        <f>IF(Y317&gt;Z317,1,0)</f>
        <v/>
      </c>
      <c r="D317" s="157">
        <f>IF(AND(C317=1,F317="Yes"),"Yes",IF(AND(C317=0,F317="No"),"Yes","No"))</f>
        <v/>
      </c>
      <c r="E317" s="192">
        <f>IF((AC317+AB317)=AD317,"Push",IF((AC317+AB317)&gt;AD317,"Yes","No"))</f>
        <v/>
      </c>
      <c r="F317" s="192">
        <f>IF(AC317&gt;AD317,"Yes","No")</f>
        <v/>
      </c>
      <c r="G317" s="192">
        <f>IF((Y317+AB317)&gt;Z317,"Yes",IF((Y317+AB317)=Z317,"Push","No"))</f>
        <v/>
      </c>
      <c r="H317" s="157">
        <f>IF(O317="Home",VLOOKUP(N317,Matrix!A:S,19,0),1)</f>
        <v/>
      </c>
      <c r="I317" s="157">
        <f>IF(O317="Away",VLOOKUP(N317,Matrix!A:Z,20,0),1)</f>
        <v/>
      </c>
      <c r="J317" s="157">
        <f>IF(O317="Away",VLOOKUP(P317,Matrix!A:S,19,0),1)</f>
        <v/>
      </c>
      <c r="K317" s="157">
        <f>IF(O317="Home",VLOOKUP(P317,Matrix!A:Z,20,0),1)</f>
        <v/>
      </c>
      <c r="L317" s="156" t="n">
        <v>-0.0785377026253037</v>
      </c>
      <c r="M317" s="179">
        <f>Schedule!B317</f>
        <v/>
      </c>
      <c r="N317" s="156">
        <f>Schedule!E317</f>
        <v/>
      </c>
      <c r="O317" s="156" t="inlineStr">
        <is>
          <t>Away</t>
        </is>
      </c>
      <c r="P317" s="157">
        <f>Schedule!H317</f>
        <v/>
      </c>
      <c r="Q317" s="157">
        <f>Schedule!C317</f>
        <v/>
      </c>
      <c r="R317" s="180">
        <f>Schedule!D317</f>
        <v/>
      </c>
      <c r="S317" s="181">
        <f>Schedule!J317</f>
        <v/>
      </c>
      <c r="T317" s="193">
        <f>Y317-Z317</f>
        <v/>
      </c>
      <c r="U317" s="182">
        <f>T317/Picks!$K$2</f>
        <v/>
      </c>
      <c r="V317" s="193">
        <f>INDEX(Standings!$T$3:$T$34, MATCH(N317, Standings!$A$3:$A$34, 0)) - INDEX(Standings!$T$3:$T$34, MATCH(P317, Standings!$A$3:$A$34, 0))</f>
        <v/>
      </c>
      <c r="W317" s="157">
        <f>INDEX(Standings!$L$3:$L$34, MATCH(N317, Standings!$A$3:$A$34, 0)) - INDEX(Standings!$L$3:$L$34, MATCH(P317, Standings!$A$3:$A$34, 0))</f>
        <v/>
      </c>
      <c r="X317" s="157">
        <f>INDEX(Standings!$M$3:$M$34, MATCH(N317, Standings!$A$3:$A$34, 0)) - INDEX(Standings!$M$3:$M$34, MATCH(P317, Standings!$A$3:$A$34, 0))</f>
        <v/>
      </c>
      <c r="Y317" s="194">
        <f t="array" ref="Y317:Y317">IFERROR(AE317+(AL317-_DFactor)*AE317,"")</f>
        <v/>
      </c>
      <c r="Z317" s="157">
        <f>IFERROR(AF317+(AI317-_DFactor)*AF317,"")</f>
        <v/>
      </c>
      <c r="AC317" s="194">
        <f>VLOOKUP(M317&amp;N317,Schedule!A:F,6,0)</f>
        <v/>
      </c>
      <c r="AD317" s="194">
        <f>VLOOKUP(M317&amp;P317,Schedule!A:F,6,0)</f>
        <v/>
      </c>
      <c r="AE317" s="156">
        <f>VLOOKUP(N317,ProjPVT!B:I,8,0)*_Mag/VLOOKUP(P317,Standings!A:O,15,0)*H317*K317</f>
        <v/>
      </c>
      <c r="AF317" s="156">
        <f>VLOOKUP(P317,ProjPVT!B:I,8,0)*_Mag/VLOOKUP(N317,Standings!A:O,15,0)*J317*I317</f>
        <v/>
      </c>
      <c r="AG317" s="195">
        <f>VLOOKUP(N317,Matrix!AA:AC,3,0)</f>
        <v/>
      </c>
      <c r="AH317" s="195">
        <f>SUMIFS(Def!C:C,Def!F:F,AG317)</f>
        <v/>
      </c>
      <c r="AI317" s="156">
        <f>IFERROR(SUMIFS(Def!B:B,Def!F:F,AG317)/AH317,"")</f>
        <v/>
      </c>
      <c r="AJ317" s="195">
        <f>VLOOKUP(P317,Matrix!AA:AC,3,0)</f>
        <v/>
      </c>
      <c r="AK317" s="195">
        <f>SUMIFS(Def!C:C,Def!F:F,AJ317)</f>
        <v/>
      </c>
      <c r="AL317" s="156">
        <f>IFERROR(SUMIFS(Def!B:B,Def!F:F,AJ317)/AK317,"")</f>
        <v/>
      </c>
    </row>
    <row r="318" ht="14.4" customHeight="1" s="152">
      <c r="A318" s="157">
        <f>IF(F318="Yes",IFERROR(IF(AA318&gt;1,AA318/100,100/-AA318),""),-1)</f>
        <v/>
      </c>
      <c r="B318" s="157">
        <f>B317+1</f>
        <v/>
      </c>
      <c r="C318" s="157">
        <f>IF(Y318&gt;Z318,1,0)</f>
        <v/>
      </c>
      <c r="D318" s="157">
        <f>IF(AND(C318=1,F318="Yes"),"Yes",IF(AND(C318=0,F318="No"),"Yes","No"))</f>
        <v/>
      </c>
      <c r="E318" s="192">
        <f>IF((AC318+AB318)=AD318,"Push",IF((AC318+AB318)&gt;AD318,"Yes","No"))</f>
        <v/>
      </c>
      <c r="F318" s="192">
        <f>IF(AC318&gt;AD318,"Yes","No")</f>
        <v/>
      </c>
      <c r="G318" s="192">
        <f>IF((Y318+AB318)&gt;Z318,"Yes",IF((Y318+AB318)=Z318,"Push","No"))</f>
        <v/>
      </c>
      <c r="H318" s="157">
        <f>IF(O318="Home",VLOOKUP(N318,Matrix!A:S,19,0),1)</f>
        <v/>
      </c>
      <c r="I318" s="157">
        <f>IF(O318="Away",VLOOKUP(N318,Matrix!A:Z,20,0),1)</f>
        <v/>
      </c>
      <c r="J318" s="157">
        <f>IF(O318="Away",VLOOKUP(P318,Matrix!A:S,19,0),1)</f>
        <v/>
      </c>
      <c r="K318" s="157">
        <f>IF(O318="Home",VLOOKUP(P318,Matrix!A:Z,20,0),1)</f>
        <v/>
      </c>
      <c r="L318" s="156" t="n">
        <v>-0.0770785461043909</v>
      </c>
      <c r="M318" s="179">
        <f>Schedule!B318</f>
        <v/>
      </c>
      <c r="N318" s="156">
        <f>Schedule!E318</f>
        <v/>
      </c>
      <c r="O318" s="156" t="inlineStr">
        <is>
          <t>Away</t>
        </is>
      </c>
      <c r="P318" s="157">
        <f>Schedule!H318</f>
        <v/>
      </c>
      <c r="Q318" s="157">
        <f>Schedule!C318</f>
        <v/>
      </c>
      <c r="R318" s="180">
        <f>Schedule!D318</f>
        <v/>
      </c>
      <c r="S318" s="181">
        <f>Schedule!J318</f>
        <v/>
      </c>
      <c r="T318" s="193">
        <f>Y318-Z318</f>
        <v/>
      </c>
      <c r="U318" s="182">
        <f>T318/Picks!$K$2</f>
        <v/>
      </c>
      <c r="V318" s="193">
        <f>INDEX(Standings!$T$3:$T$34, MATCH(N318, Standings!$A$3:$A$34, 0)) - INDEX(Standings!$T$3:$T$34, MATCH(P318, Standings!$A$3:$A$34, 0))</f>
        <v/>
      </c>
      <c r="W318" s="157">
        <f>INDEX(Standings!$L$3:$L$34, MATCH(N318, Standings!$A$3:$A$34, 0)) - INDEX(Standings!$L$3:$L$34, MATCH(P318, Standings!$A$3:$A$34, 0))</f>
        <v/>
      </c>
      <c r="X318" s="157">
        <f>INDEX(Standings!$M$3:$M$34, MATCH(N318, Standings!$A$3:$A$34, 0)) - INDEX(Standings!$M$3:$M$34, MATCH(P318, Standings!$A$3:$A$34, 0))</f>
        <v/>
      </c>
      <c r="Y318" s="194">
        <f t="array" ref="Y318:Y318">IFERROR(AE318+(AL318-_DFactor)*AE318,"")</f>
        <v/>
      </c>
      <c r="Z318" s="157">
        <f>IFERROR(AF318+(AI318-_DFactor)*AF318,"")</f>
        <v/>
      </c>
      <c r="AC318" s="194">
        <f>VLOOKUP(M318&amp;N318,Schedule!A:F,6,0)</f>
        <v/>
      </c>
      <c r="AD318" s="194">
        <f>VLOOKUP(M318&amp;P318,Schedule!A:F,6,0)</f>
        <v/>
      </c>
      <c r="AE318" s="156">
        <f>VLOOKUP(N318,ProjPVT!B:I,8,0)*_Mag/VLOOKUP(P318,Standings!A:O,15,0)*H318*K318</f>
        <v/>
      </c>
      <c r="AF318" s="156">
        <f>VLOOKUP(P318,ProjPVT!B:I,8,0)*_Mag/VLOOKUP(N318,Standings!A:O,15,0)*J318*I318</f>
        <v/>
      </c>
      <c r="AG318" s="195">
        <f>VLOOKUP(N318,Matrix!AA:AC,3,0)</f>
        <v/>
      </c>
      <c r="AH318" s="195">
        <f>SUMIFS(Def!C:C,Def!F:F,AG318)</f>
        <v/>
      </c>
      <c r="AI318" s="156">
        <f>IFERROR(SUMIFS(Def!B:B,Def!F:F,AG318)/AH318,"")</f>
        <v/>
      </c>
      <c r="AJ318" s="195">
        <f>VLOOKUP(P318,Matrix!AA:AC,3,0)</f>
        <v/>
      </c>
      <c r="AK318" s="195">
        <f>SUMIFS(Def!C:C,Def!F:F,AJ318)</f>
        <v/>
      </c>
      <c r="AL318" s="156">
        <f>IFERROR(SUMIFS(Def!B:B,Def!F:F,AJ318)/AK318,"")</f>
        <v/>
      </c>
    </row>
    <row r="319" ht="14.4" customHeight="1" s="152">
      <c r="A319" s="157">
        <f>IF(F319="Yes",IFERROR(IF(AA319&gt;1,AA319/100,100/-AA319),""),-1)</f>
        <v/>
      </c>
      <c r="B319" s="157">
        <f>B318+1</f>
        <v/>
      </c>
      <c r="C319" s="157">
        <f>IF(Y319&gt;Z319,1,0)</f>
        <v/>
      </c>
      <c r="D319" s="157">
        <f>IF(AND(C319=1,F319="Yes"),"Yes",IF(AND(C319=0,F319="No"),"Yes","No"))</f>
        <v/>
      </c>
      <c r="E319" s="192">
        <f>IF((AC319+AB319)=AD319,"Push",IF((AC319+AB319)&gt;AD319,"Yes","No"))</f>
        <v/>
      </c>
      <c r="F319" s="192">
        <f>IF(AC319&gt;AD319,"Yes","No")</f>
        <v/>
      </c>
      <c r="G319" s="192">
        <f>IF((Y319+AB319)&gt;Z319,"Yes",IF((Y319+AB319)=Z319,"Push","No"))</f>
        <v/>
      </c>
      <c r="H319" s="157">
        <f>IF(O319="Home",VLOOKUP(N319,Matrix!A:S,19,0),1)</f>
        <v/>
      </c>
      <c r="I319" s="157">
        <f>IF(O319="Away",VLOOKUP(N319,Matrix!A:Z,20,0),1)</f>
        <v/>
      </c>
      <c r="J319" s="157">
        <f>IF(O319="Away",VLOOKUP(P319,Matrix!A:S,19,0),1)</f>
        <v/>
      </c>
      <c r="K319" s="157">
        <f>IF(O319="Home",VLOOKUP(P319,Matrix!A:Z,20,0),1)</f>
        <v/>
      </c>
      <c r="L319" s="156" t="n">
        <v>-0.0679150088825792</v>
      </c>
      <c r="M319" s="179">
        <f>Schedule!B319</f>
        <v/>
      </c>
      <c r="N319" s="156">
        <f>Schedule!E319</f>
        <v/>
      </c>
      <c r="O319" s="156" t="inlineStr">
        <is>
          <t>Home</t>
        </is>
      </c>
      <c r="P319" s="157">
        <f>Schedule!H319</f>
        <v/>
      </c>
      <c r="Q319" s="157">
        <f>Schedule!C319</f>
        <v/>
      </c>
      <c r="R319" s="180">
        <f>Schedule!D319</f>
        <v/>
      </c>
      <c r="S319" s="181">
        <f>Schedule!J319</f>
        <v/>
      </c>
      <c r="T319" s="193">
        <f>Y319-Z319</f>
        <v/>
      </c>
      <c r="U319" s="182">
        <f>T319/Picks!$K$2</f>
        <v/>
      </c>
      <c r="V319" s="193">
        <f>INDEX(Standings!$T$3:$T$34, MATCH(N319, Standings!$A$3:$A$34, 0)) - INDEX(Standings!$T$3:$T$34, MATCH(P319, Standings!$A$3:$A$34, 0))</f>
        <v/>
      </c>
      <c r="W319" s="157">
        <f>INDEX(Standings!$L$3:$L$34, MATCH(N319, Standings!$A$3:$A$34, 0)) - INDEX(Standings!$L$3:$L$34, MATCH(P319, Standings!$A$3:$A$34, 0))</f>
        <v/>
      </c>
      <c r="X319" s="157">
        <f>INDEX(Standings!$M$3:$M$34, MATCH(N319, Standings!$A$3:$A$34, 0)) - INDEX(Standings!$M$3:$M$34, MATCH(P319, Standings!$A$3:$A$34, 0))</f>
        <v/>
      </c>
      <c r="Y319" s="194">
        <f t="array" ref="Y319:Y319">IFERROR(AE319+(AL319-_DFactor)*AE319,"")</f>
        <v/>
      </c>
      <c r="Z319" s="157">
        <f>IFERROR(AF319+(AI319-_DFactor)*AF319,"")</f>
        <v/>
      </c>
      <c r="AC319" s="194">
        <f>VLOOKUP(M319&amp;N319,Schedule!A:F,6,0)</f>
        <v/>
      </c>
      <c r="AD319" s="194">
        <f>VLOOKUP(M319&amp;P319,Schedule!A:F,6,0)</f>
        <v/>
      </c>
      <c r="AE319" s="156">
        <f>VLOOKUP(N319,ProjPVT!B:I,8,0)*_Mag/VLOOKUP(P319,Standings!A:O,15,0)*H319*K319</f>
        <v/>
      </c>
      <c r="AF319" s="156">
        <f>VLOOKUP(P319,ProjPVT!B:I,8,0)*_Mag/VLOOKUP(N319,Standings!A:O,15,0)*J319*I319</f>
        <v/>
      </c>
      <c r="AG319" s="195">
        <f>VLOOKUP(N319,Matrix!AA:AC,3,0)</f>
        <v/>
      </c>
      <c r="AH319" s="195">
        <f>SUMIFS(Def!C:C,Def!F:F,AG319)</f>
        <v/>
      </c>
      <c r="AI319" s="156">
        <f>IFERROR(SUMIFS(Def!B:B,Def!F:F,AG319)/AH319,"")</f>
        <v/>
      </c>
      <c r="AJ319" s="195">
        <f>VLOOKUP(P319,Matrix!AA:AC,3,0)</f>
        <v/>
      </c>
      <c r="AK319" s="195">
        <f>SUMIFS(Def!C:C,Def!F:F,AJ319)</f>
        <v/>
      </c>
      <c r="AL319" s="156">
        <f>IFERROR(SUMIFS(Def!B:B,Def!F:F,AJ319)/AK319,"")</f>
        <v/>
      </c>
    </row>
    <row r="320" ht="14.4" customHeight="1" s="152">
      <c r="A320" s="157">
        <f>IF(F320="Yes",IFERROR(IF(AA320&gt;1,AA320/100,100/-AA320),""),-1)</f>
        <v/>
      </c>
      <c r="B320" s="157">
        <f>B319+1</f>
        <v/>
      </c>
      <c r="C320" s="157">
        <f>IF(Y320&gt;Z320,1,0)</f>
        <v/>
      </c>
      <c r="D320" s="157">
        <f>IF(AND(C320=1,F320="Yes"),"Yes",IF(AND(C320=0,F320="No"),"Yes","No"))</f>
        <v/>
      </c>
      <c r="E320" s="192">
        <f>IF((AC320+AB320)=AD320,"Push",IF((AC320+AB320)&gt;AD320,"Yes","No"))</f>
        <v/>
      </c>
      <c r="F320" s="192">
        <f>IF(AC320&gt;AD320,"Yes","No")</f>
        <v/>
      </c>
      <c r="G320" s="192">
        <f>IF((Y320+AB320)&gt;Z320,"Yes",IF((Y320+AB320)=Z320,"Push","No"))</f>
        <v/>
      </c>
      <c r="H320" s="157">
        <f>IF(O320="Home",VLOOKUP(N320,Matrix!A:S,19,0),1)</f>
        <v/>
      </c>
      <c r="I320" s="157">
        <f>IF(O320="Away",VLOOKUP(N320,Matrix!A:Z,20,0),1)</f>
        <v/>
      </c>
      <c r="J320" s="157">
        <f>IF(O320="Away",VLOOKUP(P320,Matrix!A:S,19,0),1)</f>
        <v/>
      </c>
      <c r="K320" s="157">
        <f>IF(O320="Home",VLOOKUP(P320,Matrix!A:Z,20,0),1)</f>
        <v/>
      </c>
      <c r="L320" s="156" t="n">
        <v>0.0679150088825792</v>
      </c>
      <c r="M320" s="179">
        <f>Schedule!B320</f>
        <v/>
      </c>
      <c r="N320" s="156">
        <f>Schedule!E320</f>
        <v/>
      </c>
      <c r="O320" s="156" t="inlineStr">
        <is>
          <t>Away</t>
        </is>
      </c>
      <c r="P320" s="157">
        <f>Schedule!H320</f>
        <v/>
      </c>
      <c r="Q320" s="157">
        <f>Schedule!C320</f>
        <v/>
      </c>
      <c r="R320" s="180">
        <f>Schedule!D320</f>
        <v/>
      </c>
      <c r="S320" s="181">
        <f>Schedule!J320</f>
        <v/>
      </c>
      <c r="T320" s="193">
        <f>Y320-Z320</f>
        <v/>
      </c>
      <c r="U320" s="182">
        <f>T320/Picks!$K$2</f>
        <v/>
      </c>
      <c r="V320" s="193">
        <f>INDEX(Standings!$T$3:$T$34, MATCH(N320, Standings!$A$3:$A$34, 0)) - INDEX(Standings!$T$3:$T$34, MATCH(P320, Standings!$A$3:$A$34, 0))</f>
        <v/>
      </c>
      <c r="W320" s="157">
        <f>INDEX(Standings!$L$3:$L$34, MATCH(N320, Standings!$A$3:$A$34, 0)) - INDEX(Standings!$L$3:$L$34, MATCH(P320, Standings!$A$3:$A$34, 0))</f>
        <v/>
      </c>
      <c r="X320" s="157">
        <f>INDEX(Standings!$M$3:$M$34, MATCH(N320, Standings!$A$3:$A$34, 0)) - INDEX(Standings!$M$3:$M$34, MATCH(P320, Standings!$A$3:$A$34, 0))</f>
        <v/>
      </c>
      <c r="Y320" s="194">
        <f t="array" ref="Y320:Y320">IFERROR(AE320+(AL320-_DFactor)*AE320,"")</f>
        <v/>
      </c>
      <c r="Z320" s="157">
        <f>IFERROR(AF320+(AI320-_DFactor)*AF320,"")</f>
        <v/>
      </c>
      <c r="AC320" s="194">
        <f>VLOOKUP(M320&amp;N320,Schedule!A:F,6,0)</f>
        <v/>
      </c>
      <c r="AD320" s="194">
        <f>VLOOKUP(M320&amp;P320,Schedule!A:F,6,0)</f>
        <v/>
      </c>
      <c r="AE320" s="156">
        <f>VLOOKUP(N320,ProjPVT!B:I,8,0)*_Mag/VLOOKUP(P320,Standings!A:O,15,0)*H320*K320</f>
        <v/>
      </c>
      <c r="AF320" s="156">
        <f>VLOOKUP(P320,ProjPVT!B:I,8,0)*_Mag/VLOOKUP(N320,Standings!A:O,15,0)*J320*I320</f>
        <v/>
      </c>
      <c r="AG320" s="195">
        <f>VLOOKUP(N320,Matrix!AA:AC,3,0)</f>
        <v/>
      </c>
      <c r="AH320" s="195">
        <f>SUMIFS(Def!C:C,Def!F:F,AG320)</f>
        <v/>
      </c>
      <c r="AI320" s="156">
        <f>IFERROR(SUMIFS(Def!B:B,Def!F:F,AG320)/AH320,"")</f>
        <v/>
      </c>
      <c r="AJ320" s="195">
        <f>VLOOKUP(P320,Matrix!AA:AC,3,0)</f>
        <v/>
      </c>
      <c r="AK320" s="195">
        <f>SUMIFS(Def!C:C,Def!F:F,AJ320)</f>
        <v/>
      </c>
      <c r="AL320" s="156">
        <f>IFERROR(SUMIFS(Def!B:B,Def!F:F,AJ320)/AK320,"")</f>
        <v/>
      </c>
    </row>
    <row r="321" ht="14.4" customHeight="1" s="152">
      <c r="A321" s="157">
        <f>IF(F321="Yes",IFERROR(IF(AA321&gt;1,AA321/100,100/-AA321),""),-1)</f>
        <v/>
      </c>
      <c r="B321" s="157">
        <f>B320+1</f>
        <v/>
      </c>
      <c r="C321" s="157">
        <f>IF(Y321&gt;Z321,1,0)</f>
        <v/>
      </c>
      <c r="D321" s="157">
        <f>IF(AND(C321=1,F321="Yes"),"Yes",IF(AND(C321=0,F321="No"),"Yes","No"))</f>
        <v/>
      </c>
      <c r="E321" s="192">
        <f>IF((AC321+AB321)=AD321,"Push",IF((AC321+AB321)&gt;AD321,"Yes","No"))</f>
        <v/>
      </c>
      <c r="F321" s="192">
        <f>IF(AC321&gt;AD321,"Yes","No")</f>
        <v/>
      </c>
      <c r="G321" s="192">
        <f>IF((Y321+AB321)&gt;Z321,"Yes",IF((Y321+AB321)=Z321,"Push","No"))</f>
        <v/>
      </c>
      <c r="H321" s="157">
        <f>IF(O321="Home",VLOOKUP(N321,Matrix!A:S,19,0),1)</f>
        <v/>
      </c>
      <c r="I321" s="157">
        <f>IF(O321="Away",VLOOKUP(N321,Matrix!A:Z,20,0),1)</f>
        <v/>
      </c>
      <c r="J321" s="157">
        <f>IF(O321="Away",VLOOKUP(P321,Matrix!A:S,19,0),1)</f>
        <v/>
      </c>
      <c r="K321" s="157">
        <f>IF(O321="Home",VLOOKUP(P321,Matrix!A:Z,20,0),1)</f>
        <v/>
      </c>
      <c r="L321" s="156" t="n">
        <v>0.0770785461043909</v>
      </c>
      <c r="M321" s="179">
        <f>Schedule!B321</f>
        <v/>
      </c>
      <c r="N321" s="156">
        <f>Schedule!E321</f>
        <v/>
      </c>
      <c r="O321" s="156" t="inlineStr">
        <is>
          <t>Home</t>
        </is>
      </c>
      <c r="P321" s="157">
        <f>Schedule!H321</f>
        <v/>
      </c>
      <c r="Q321" s="157">
        <f>Schedule!C321</f>
        <v/>
      </c>
      <c r="R321" s="180">
        <f>Schedule!D321</f>
        <v/>
      </c>
      <c r="S321" s="181">
        <f>Schedule!J321</f>
        <v/>
      </c>
      <c r="T321" s="193">
        <f>Y321-Z321</f>
        <v/>
      </c>
      <c r="U321" s="182">
        <f>T321/Picks!$K$2</f>
        <v/>
      </c>
      <c r="V321" s="193">
        <f>INDEX(Standings!$T$3:$T$34, MATCH(N321, Standings!$A$3:$A$34, 0)) - INDEX(Standings!$T$3:$T$34, MATCH(P321, Standings!$A$3:$A$34, 0))</f>
        <v/>
      </c>
      <c r="W321" s="157">
        <f>INDEX(Standings!$L$3:$L$34, MATCH(N321, Standings!$A$3:$A$34, 0)) - INDEX(Standings!$L$3:$L$34, MATCH(P321, Standings!$A$3:$A$34, 0))</f>
        <v/>
      </c>
      <c r="X321" s="157">
        <f>INDEX(Standings!$M$3:$M$34, MATCH(N321, Standings!$A$3:$A$34, 0)) - INDEX(Standings!$M$3:$M$34, MATCH(P321, Standings!$A$3:$A$34, 0))</f>
        <v/>
      </c>
      <c r="Y321" s="194">
        <f t="array" ref="Y321:Y321">IFERROR(AE321+(AL321-_DFactor)*AE321,"")</f>
        <v/>
      </c>
      <c r="Z321" s="157">
        <f>IFERROR(AF321+(AI321-_DFactor)*AF321,"")</f>
        <v/>
      </c>
      <c r="AC321" s="194">
        <f>VLOOKUP(M321&amp;N321,Schedule!A:F,6,0)</f>
        <v/>
      </c>
      <c r="AD321" s="194">
        <f>VLOOKUP(M321&amp;P321,Schedule!A:F,6,0)</f>
        <v/>
      </c>
      <c r="AE321" s="156">
        <f>VLOOKUP(N321,ProjPVT!B:I,8,0)*_Mag/VLOOKUP(P321,Standings!A:O,15,0)*H321*K321</f>
        <v/>
      </c>
      <c r="AF321" s="156">
        <f>VLOOKUP(P321,ProjPVT!B:I,8,0)*_Mag/VLOOKUP(N321,Standings!A:O,15,0)*J321*I321</f>
        <v/>
      </c>
      <c r="AG321" s="195">
        <f>VLOOKUP(N321,Matrix!AA:AC,3,0)</f>
        <v/>
      </c>
      <c r="AH321" s="195">
        <f>SUMIFS(Def!C:C,Def!F:F,AG321)</f>
        <v/>
      </c>
      <c r="AI321" s="156">
        <f>IFERROR(SUMIFS(Def!B:B,Def!F:F,AG321)/AH321,"")</f>
        <v/>
      </c>
      <c r="AJ321" s="195">
        <f>VLOOKUP(P321,Matrix!AA:AC,3,0)</f>
        <v/>
      </c>
      <c r="AK321" s="195">
        <f>SUMIFS(Def!C:C,Def!F:F,AJ321)</f>
        <v/>
      </c>
      <c r="AL321" s="156">
        <f>IFERROR(SUMIFS(Def!B:B,Def!F:F,AJ321)/AK321,"")</f>
        <v/>
      </c>
    </row>
    <row r="322" ht="14.4" customHeight="1" s="152">
      <c r="A322" s="157">
        <f>IF(F322="Yes",IFERROR(IF(AA322&gt;1,AA322/100,100/-AA322),""),-1)</f>
        <v/>
      </c>
      <c r="B322" s="157">
        <f>B321+1</f>
        <v/>
      </c>
      <c r="C322" s="157">
        <f>IF(Y322&gt;Z322,1,0)</f>
        <v/>
      </c>
      <c r="D322" s="157">
        <f>IF(AND(C322=1,F322="Yes"),"Yes",IF(AND(C322=0,F322="No"),"Yes","No"))</f>
        <v/>
      </c>
      <c r="E322" s="192">
        <f>IF((AC322+AB322)=AD322,"Push",IF((AC322+AB322)&gt;AD322,"Yes","No"))</f>
        <v/>
      </c>
      <c r="F322" s="192">
        <f>IF(AC322&gt;AD322,"Yes","No")</f>
        <v/>
      </c>
      <c r="G322" s="192">
        <f>IF((Y322+AB322)&gt;Z322,"Yes",IF((Y322+AB322)=Z322,"Push","No"))</f>
        <v/>
      </c>
      <c r="H322" s="157">
        <f>IF(O322="Home",VLOOKUP(N322,Matrix!A:S,19,0),1)</f>
        <v/>
      </c>
      <c r="I322" s="157">
        <f>IF(O322="Away",VLOOKUP(N322,Matrix!A:Z,20,0),1)</f>
        <v/>
      </c>
      <c r="J322" s="157">
        <f>IF(O322="Away",VLOOKUP(P322,Matrix!A:S,19,0),1)</f>
        <v/>
      </c>
      <c r="K322" s="157">
        <f>IF(O322="Home",VLOOKUP(P322,Matrix!A:Z,20,0),1)</f>
        <v/>
      </c>
      <c r="L322" s="156" t="n">
        <v>0.0785377026253037</v>
      </c>
      <c r="M322" s="179">
        <f>Schedule!B322</f>
        <v/>
      </c>
      <c r="N322" s="156">
        <f>Schedule!E322</f>
        <v/>
      </c>
      <c r="O322" s="156" t="inlineStr">
        <is>
          <t>Home</t>
        </is>
      </c>
      <c r="P322" s="157">
        <f>Schedule!H322</f>
        <v/>
      </c>
      <c r="Q322" s="157">
        <f>Schedule!C322</f>
        <v/>
      </c>
      <c r="R322" s="180">
        <f>Schedule!D322</f>
        <v/>
      </c>
      <c r="S322" s="181">
        <f>Schedule!J322</f>
        <v/>
      </c>
      <c r="T322" s="193">
        <f>Y322-Z322</f>
        <v/>
      </c>
      <c r="U322" s="182">
        <f>T322/Picks!$K$2</f>
        <v/>
      </c>
      <c r="V322" s="193">
        <f>INDEX(Standings!$T$3:$T$34, MATCH(N322, Standings!$A$3:$A$34, 0)) - INDEX(Standings!$T$3:$T$34, MATCH(P322, Standings!$A$3:$A$34, 0))</f>
        <v/>
      </c>
      <c r="W322" s="157">
        <f>INDEX(Standings!$L$3:$L$34, MATCH(N322, Standings!$A$3:$A$34, 0)) - INDEX(Standings!$L$3:$L$34, MATCH(P322, Standings!$A$3:$A$34, 0))</f>
        <v/>
      </c>
      <c r="X322" s="157">
        <f>INDEX(Standings!$M$3:$M$34, MATCH(N322, Standings!$A$3:$A$34, 0)) - INDEX(Standings!$M$3:$M$34, MATCH(P322, Standings!$A$3:$A$34, 0))</f>
        <v/>
      </c>
      <c r="Y322" s="194">
        <f t="array" ref="Y322:Y322">IFERROR(AE322+(AL322-_DFactor)*AE322,"")</f>
        <v/>
      </c>
      <c r="Z322" s="157">
        <f>IFERROR(AF322+(AI322-_DFactor)*AF322,"")</f>
        <v/>
      </c>
      <c r="AC322" s="194">
        <f>VLOOKUP(M322&amp;N322,Schedule!A:F,6,0)</f>
        <v/>
      </c>
      <c r="AD322" s="194">
        <f>VLOOKUP(M322&amp;P322,Schedule!A:F,6,0)</f>
        <v/>
      </c>
      <c r="AE322" s="156">
        <f>VLOOKUP(N322,ProjPVT!B:I,8,0)*_Mag/VLOOKUP(P322,Standings!A:O,15,0)*H322*K322</f>
        <v/>
      </c>
      <c r="AF322" s="156">
        <f>VLOOKUP(P322,ProjPVT!B:I,8,0)*_Mag/VLOOKUP(N322,Standings!A:O,15,0)*J322*I322</f>
        <v/>
      </c>
      <c r="AG322" s="195">
        <f>VLOOKUP(N322,Matrix!AA:AC,3,0)</f>
        <v/>
      </c>
      <c r="AH322" s="195">
        <f>SUMIFS(Def!C:C,Def!F:F,AG322)</f>
        <v/>
      </c>
      <c r="AI322" s="156">
        <f>IFERROR(SUMIFS(Def!B:B,Def!F:F,AG322)/AH322,"")</f>
        <v/>
      </c>
      <c r="AJ322" s="195">
        <f>VLOOKUP(P322,Matrix!AA:AC,3,0)</f>
        <v/>
      </c>
      <c r="AK322" s="195">
        <f>SUMIFS(Def!C:C,Def!F:F,AJ322)</f>
        <v/>
      </c>
      <c r="AL322" s="156">
        <f>IFERROR(SUMIFS(Def!B:B,Def!F:F,AJ322)/AK322,"")</f>
        <v/>
      </c>
    </row>
    <row r="323" ht="14.4" customHeight="1" s="152">
      <c r="A323" s="157">
        <f>IF(F323="Yes",IFERROR(IF(AA323&gt;1,AA323/100,100/-AA323),""),-1)</f>
        <v/>
      </c>
      <c r="B323" s="157">
        <f>B322+1</f>
        <v/>
      </c>
      <c r="C323" s="157">
        <f>IF(Y323&gt;Z323,1,0)</f>
        <v/>
      </c>
      <c r="D323" s="157">
        <f>IF(AND(C323=1,F323="Yes"),"Yes",IF(AND(C323=0,F323="No"),"Yes","No"))</f>
        <v/>
      </c>
      <c r="E323" s="192">
        <f>IF((AC323+AB323)=AD323,"Push",IF((AC323+AB323)&gt;AD323,"Yes","No"))</f>
        <v/>
      </c>
      <c r="F323" s="192">
        <f>IF(AC323&gt;AD323,"Yes","No")</f>
        <v/>
      </c>
      <c r="G323" s="192">
        <f>IF((Y323+AB323)&gt;Z323,"Yes",IF((Y323+AB323)=Z323,"Push","No"))</f>
        <v/>
      </c>
      <c r="H323" s="157">
        <f>IF(O323="Home",VLOOKUP(N323,Matrix!A:S,19,0),1)</f>
        <v/>
      </c>
      <c r="I323" s="157">
        <f>IF(O323="Away",VLOOKUP(N323,Matrix!A:Z,20,0),1)</f>
        <v/>
      </c>
      <c r="J323" s="157">
        <f>IF(O323="Away",VLOOKUP(P323,Matrix!A:S,19,0),1)</f>
        <v/>
      </c>
      <c r="K323" s="157">
        <f>IF(O323="Home",VLOOKUP(P323,Matrix!A:Z,20,0),1)</f>
        <v/>
      </c>
      <c r="L323" s="156" t="n">
        <v>0.119558260725819</v>
      </c>
      <c r="M323" s="179">
        <f>Schedule!B323</f>
        <v/>
      </c>
      <c r="N323" s="156">
        <f>Schedule!E323</f>
        <v/>
      </c>
      <c r="O323" s="156" t="inlineStr">
        <is>
          <t>Home</t>
        </is>
      </c>
      <c r="P323" s="157">
        <f>Schedule!H323</f>
        <v/>
      </c>
      <c r="Q323" s="157">
        <f>Schedule!C323</f>
        <v/>
      </c>
      <c r="R323" s="180">
        <f>Schedule!D323</f>
        <v/>
      </c>
      <c r="S323" s="181">
        <f>Schedule!J323</f>
        <v/>
      </c>
      <c r="T323" s="193">
        <f>Y323-Z323</f>
        <v/>
      </c>
      <c r="U323" s="182">
        <f>T323/Picks!$K$2</f>
        <v/>
      </c>
      <c r="V323" s="193">
        <f>INDEX(Standings!$T$3:$T$34, MATCH(N323, Standings!$A$3:$A$34, 0)) - INDEX(Standings!$T$3:$T$34, MATCH(P323, Standings!$A$3:$A$34, 0))</f>
        <v/>
      </c>
      <c r="W323" s="157">
        <f>INDEX(Standings!$L$3:$L$34, MATCH(N323, Standings!$A$3:$A$34, 0)) - INDEX(Standings!$L$3:$L$34, MATCH(P323, Standings!$A$3:$A$34, 0))</f>
        <v/>
      </c>
      <c r="X323" s="157">
        <f>INDEX(Standings!$M$3:$M$34, MATCH(N323, Standings!$A$3:$A$34, 0)) - INDEX(Standings!$M$3:$M$34, MATCH(P323, Standings!$A$3:$A$34, 0))</f>
        <v/>
      </c>
      <c r="Y323" s="194">
        <f t="array" ref="Y323:Y323">IFERROR(AE323+(AL323-_DFactor)*AE323,"")</f>
        <v/>
      </c>
      <c r="Z323" s="157">
        <f>IFERROR(AF323+(AI323-_DFactor)*AF323,"")</f>
        <v/>
      </c>
      <c r="AC323" s="194">
        <f>VLOOKUP(M323&amp;N323,Schedule!A:F,6,0)</f>
        <v/>
      </c>
      <c r="AD323" s="194">
        <f>VLOOKUP(M323&amp;P323,Schedule!A:F,6,0)</f>
        <v/>
      </c>
      <c r="AE323" s="156">
        <f>VLOOKUP(N323,ProjPVT!B:I,8,0)*_Mag/VLOOKUP(P323,Standings!A:O,15,0)*H323*K323</f>
        <v/>
      </c>
      <c r="AF323" s="156">
        <f>VLOOKUP(P323,ProjPVT!B:I,8,0)*_Mag/VLOOKUP(N323,Standings!A:O,15,0)*J323*I323</f>
        <v/>
      </c>
      <c r="AG323" s="195">
        <f>VLOOKUP(N323,Matrix!AA:AC,3,0)</f>
        <v/>
      </c>
      <c r="AH323" s="195">
        <f>SUMIFS(Def!C:C,Def!F:F,AG323)</f>
        <v/>
      </c>
      <c r="AI323" s="156">
        <f>IFERROR(SUMIFS(Def!B:B,Def!F:F,AG323)/AH323,"")</f>
        <v/>
      </c>
      <c r="AJ323" s="195">
        <f>VLOOKUP(P323,Matrix!AA:AC,3,0)</f>
        <v/>
      </c>
      <c r="AK323" s="195">
        <f>SUMIFS(Def!C:C,Def!F:F,AJ323)</f>
        <v/>
      </c>
      <c r="AL323" s="156">
        <f>IFERROR(SUMIFS(Def!B:B,Def!F:F,AJ323)/AK323,"")</f>
        <v/>
      </c>
    </row>
    <row r="324" ht="14.4" customHeight="1" s="152">
      <c r="A324" s="157">
        <f>IF(F324="Yes",IFERROR(IF(AA324&gt;1,AA324/100,100/-AA324),""),-1)</f>
        <v/>
      </c>
      <c r="B324" s="157">
        <f>B323+1</f>
        <v/>
      </c>
      <c r="C324" s="157">
        <f>IF(Y324&gt;Z324,1,0)</f>
        <v/>
      </c>
      <c r="D324" s="157">
        <f>IF(AND(C324=1,F324="Yes"),"Yes",IF(AND(C324=0,F324="No"),"Yes","No"))</f>
        <v/>
      </c>
      <c r="E324" s="192">
        <f>IF((AC324+AB324)=AD324,"Push",IF((AC324+AB324)&gt;AD324,"Yes","No"))</f>
        <v/>
      </c>
      <c r="F324" s="192">
        <f>IF(AC324&gt;AD324,"Yes","No")</f>
        <v/>
      </c>
      <c r="G324" s="192">
        <f>IF((Y324+AB324)&gt;Z324,"Yes",IF((Y324+AB324)=Z324,"Push","No"))</f>
        <v/>
      </c>
      <c r="H324" s="157">
        <f>IF(O324="Home",VLOOKUP(N324,Matrix!A:S,19,0),1)</f>
        <v/>
      </c>
      <c r="I324" s="157">
        <f>IF(O324="Away",VLOOKUP(N324,Matrix!A:Z,20,0),1)</f>
        <v/>
      </c>
      <c r="J324" s="157">
        <f>IF(O324="Away",VLOOKUP(P324,Matrix!A:S,19,0),1)</f>
        <v/>
      </c>
      <c r="K324" s="157">
        <f>IF(O324="Home",VLOOKUP(P324,Matrix!A:Z,20,0),1)</f>
        <v/>
      </c>
      <c r="L324" s="156" t="n">
        <v>0.129875506438095</v>
      </c>
      <c r="M324" s="179">
        <f>Schedule!B324</f>
        <v/>
      </c>
      <c r="N324" s="156">
        <f>Schedule!E324</f>
        <v/>
      </c>
      <c r="O324" s="156" t="inlineStr">
        <is>
          <t>Away</t>
        </is>
      </c>
      <c r="P324" s="157">
        <f>Schedule!H324</f>
        <v/>
      </c>
      <c r="Q324" s="157">
        <f>Schedule!C324</f>
        <v/>
      </c>
      <c r="R324" s="180">
        <f>Schedule!D324</f>
        <v/>
      </c>
      <c r="S324" s="181">
        <f>Schedule!J324</f>
        <v/>
      </c>
      <c r="T324" s="193">
        <f>Y324-Z324</f>
        <v/>
      </c>
      <c r="U324" s="182">
        <f>T324/Picks!$K$2</f>
        <v/>
      </c>
      <c r="V324" s="193">
        <f>INDEX(Standings!$T$3:$T$34, MATCH(N324, Standings!$A$3:$A$34, 0)) - INDEX(Standings!$T$3:$T$34, MATCH(P324, Standings!$A$3:$A$34, 0))</f>
        <v/>
      </c>
      <c r="W324" s="157">
        <f>INDEX(Standings!$L$3:$L$34, MATCH(N324, Standings!$A$3:$A$34, 0)) - INDEX(Standings!$L$3:$L$34, MATCH(P324, Standings!$A$3:$A$34, 0))</f>
        <v/>
      </c>
      <c r="X324" s="157">
        <f>INDEX(Standings!$M$3:$M$34, MATCH(N324, Standings!$A$3:$A$34, 0)) - INDEX(Standings!$M$3:$M$34, MATCH(P324, Standings!$A$3:$A$34, 0))</f>
        <v/>
      </c>
      <c r="Y324" s="194">
        <f t="array" ref="Y324:Y324">IFERROR(AE324+(AL324-_DFactor)*AE324,"")</f>
        <v/>
      </c>
      <c r="Z324" s="157">
        <f>IFERROR(AF324+(AI324-_DFactor)*AF324,"")</f>
        <v/>
      </c>
      <c r="AC324" s="194">
        <f>VLOOKUP(M324&amp;N324,Schedule!A:F,6,0)</f>
        <v/>
      </c>
      <c r="AD324" s="194">
        <f>VLOOKUP(M324&amp;P324,Schedule!A:F,6,0)</f>
        <v/>
      </c>
      <c r="AE324" s="156">
        <f>VLOOKUP(N324,ProjPVT!B:I,8,0)*_Mag/VLOOKUP(P324,Standings!A:O,15,0)*H324*K324</f>
        <v/>
      </c>
      <c r="AF324" s="156">
        <f>VLOOKUP(P324,ProjPVT!B:I,8,0)*_Mag/VLOOKUP(N324,Standings!A:O,15,0)*J324*I324</f>
        <v/>
      </c>
      <c r="AG324" s="195">
        <f>VLOOKUP(N324,Matrix!AA:AC,3,0)</f>
        <v/>
      </c>
      <c r="AH324" s="195">
        <f>SUMIFS(Def!C:C,Def!F:F,AG324)</f>
        <v/>
      </c>
      <c r="AI324" s="156">
        <f>IFERROR(SUMIFS(Def!B:B,Def!F:F,AG324)/AH324,"")</f>
        <v/>
      </c>
      <c r="AJ324" s="195">
        <f>VLOOKUP(P324,Matrix!AA:AC,3,0)</f>
        <v/>
      </c>
      <c r="AK324" s="195">
        <f>SUMIFS(Def!C:C,Def!F:F,AJ324)</f>
        <v/>
      </c>
      <c r="AL324" s="156">
        <f>IFERROR(SUMIFS(Def!B:B,Def!F:F,AJ324)/AK324,"")</f>
        <v/>
      </c>
    </row>
    <row r="325" ht="14.4" customHeight="1" s="152">
      <c r="A325" s="157">
        <f>IF(F325="Yes",IFERROR(IF(AA325&gt;1,AA325/100,100/-AA325),""),-1)</f>
        <v/>
      </c>
      <c r="B325" s="157">
        <f>B324+1</f>
        <v/>
      </c>
      <c r="C325" s="157">
        <f>IF(Y325&gt;Z325,1,0)</f>
        <v/>
      </c>
      <c r="D325" s="157">
        <f>IF(AND(C325=1,F325="Yes"),"Yes",IF(AND(C325=0,F325="No"),"Yes","No"))</f>
        <v/>
      </c>
      <c r="E325" s="192">
        <f>IF((AC325+AB325)=AD325,"Push",IF((AC325+AB325)&gt;AD325,"Yes","No"))</f>
        <v/>
      </c>
      <c r="F325" s="192">
        <f>IF(AC325&gt;AD325,"Yes","No")</f>
        <v/>
      </c>
      <c r="G325" s="192">
        <f>IF((Y325+AB325)&gt;Z325,"Yes",IF((Y325+AB325)=Z325,"Push","No"))</f>
        <v/>
      </c>
      <c r="H325" s="157">
        <f>IF(O325="Home",VLOOKUP(N325,Matrix!A:S,19,0),1)</f>
        <v/>
      </c>
      <c r="I325" s="157">
        <f>IF(O325="Away",VLOOKUP(N325,Matrix!A:Z,20,0),1)</f>
        <v/>
      </c>
      <c r="J325" s="157">
        <f>IF(O325="Away",VLOOKUP(P325,Matrix!A:S,19,0),1)</f>
        <v/>
      </c>
      <c r="K325" s="157">
        <f>IF(O325="Home",VLOOKUP(P325,Matrix!A:Z,20,0),1)</f>
        <v/>
      </c>
      <c r="L325" s="156" t="n">
        <v>0.140363211557585</v>
      </c>
      <c r="M325" s="179">
        <f>Schedule!B325</f>
        <v/>
      </c>
      <c r="N325" s="156">
        <f>Schedule!E325</f>
        <v/>
      </c>
      <c r="O325" s="156" t="inlineStr">
        <is>
          <t>Home</t>
        </is>
      </c>
      <c r="P325" s="157">
        <f>Schedule!H325</f>
        <v/>
      </c>
      <c r="Q325" s="157">
        <f>Schedule!C325</f>
        <v/>
      </c>
      <c r="R325" s="180">
        <f>Schedule!D325</f>
        <v/>
      </c>
      <c r="S325" s="181">
        <f>Schedule!J325</f>
        <v/>
      </c>
      <c r="T325" s="193">
        <f>Y325-Z325</f>
        <v/>
      </c>
      <c r="U325" s="182">
        <f>T325/Picks!$K$2</f>
        <v/>
      </c>
      <c r="V325" s="193">
        <f>INDEX(Standings!$T$3:$T$34, MATCH(N325, Standings!$A$3:$A$34, 0)) - INDEX(Standings!$T$3:$T$34, MATCH(P325, Standings!$A$3:$A$34, 0))</f>
        <v/>
      </c>
      <c r="W325" s="157">
        <f>INDEX(Standings!$L$3:$L$34, MATCH(N325, Standings!$A$3:$A$34, 0)) - INDEX(Standings!$L$3:$L$34, MATCH(P325, Standings!$A$3:$A$34, 0))</f>
        <v/>
      </c>
      <c r="X325" s="157">
        <f>INDEX(Standings!$M$3:$M$34, MATCH(N325, Standings!$A$3:$A$34, 0)) - INDEX(Standings!$M$3:$M$34, MATCH(P325, Standings!$A$3:$A$34, 0))</f>
        <v/>
      </c>
      <c r="Y325" s="194">
        <f t="array" ref="Y325:Y325">IFERROR(AE325+(AL325-_DFactor)*AE325,"")</f>
        <v/>
      </c>
      <c r="Z325" s="157">
        <f>IFERROR(AF325+(AI325-_DFactor)*AF325,"")</f>
        <v/>
      </c>
      <c r="AC325" s="194">
        <f>VLOOKUP(M325&amp;N325,Schedule!A:F,6,0)</f>
        <v/>
      </c>
      <c r="AD325" s="194">
        <f>VLOOKUP(M325&amp;P325,Schedule!A:F,6,0)</f>
        <v/>
      </c>
      <c r="AE325" s="156">
        <f>VLOOKUP(N325,ProjPVT!B:I,8,0)*_Mag/VLOOKUP(P325,Standings!A:O,15,0)*H325*K325</f>
        <v/>
      </c>
      <c r="AF325" s="156">
        <f>VLOOKUP(P325,ProjPVT!B:I,8,0)*_Mag/VLOOKUP(N325,Standings!A:O,15,0)*J325*I325</f>
        <v/>
      </c>
      <c r="AG325" s="195">
        <f>VLOOKUP(N325,Matrix!AA:AC,3,0)</f>
        <v/>
      </c>
      <c r="AH325" s="195">
        <f>SUMIFS(Def!C:C,Def!F:F,AG325)</f>
        <v/>
      </c>
      <c r="AI325" s="156">
        <f>IFERROR(SUMIFS(Def!B:B,Def!F:F,AG325)/AH325,"")</f>
        <v/>
      </c>
      <c r="AJ325" s="195">
        <f>VLOOKUP(P325,Matrix!AA:AC,3,0)</f>
        <v/>
      </c>
      <c r="AK325" s="195">
        <f>SUMIFS(Def!C:C,Def!F:F,AJ325)</f>
        <v/>
      </c>
      <c r="AL325" s="156">
        <f>IFERROR(SUMIFS(Def!B:B,Def!F:F,AJ325)/AK325,"")</f>
        <v/>
      </c>
    </row>
    <row r="326" ht="14.4" customHeight="1" s="152">
      <c r="A326" s="157">
        <f>IF(F326="Yes",IFERROR(IF(AA326&gt;1,AA326/100,100/-AA326),""),-1)</f>
        <v/>
      </c>
      <c r="B326" s="157">
        <f>B325+1</f>
        <v/>
      </c>
      <c r="C326" s="157">
        <f>IF(Y326&gt;Z326,1,0)</f>
        <v/>
      </c>
      <c r="D326" s="157">
        <f>IF(AND(C326=1,F326="Yes"),"Yes",IF(AND(C326=0,F326="No"),"Yes","No"))</f>
        <v/>
      </c>
      <c r="E326" s="192">
        <f>IF((AC326+AB326)=AD326,"Push",IF((AC326+AB326)&gt;AD326,"Yes","No"))</f>
        <v/>
      </c>
      <c r="F326" s="192">
        <f>IF(AC326&gt;AD326,"Yes","No")</f>
        <v/>
      </c>
      <c r="G326" s="192">
        <f>IF((Y326+AB326)&gt;Z326,"Yes",IF((Y326+AB326)=Z326,"Push","No"))</f>
        <v/>
      </c>
      <c r="H326" s="157">
        <f>IF(O326="Home",VLOOKUP(N326,Matrix!A:S,19,0),1)</f>
        <v/>
      </c>
      <c r="I326" s="157">
        <f>IF(O326="Away",VLOOKUP(N326,Matrix!A:Z,20,0),1)</f>
        <v/>
      </c>
      <c r="J326" s="157">
        <f>IF(O326="Away",VLOOKUP(P326,Matrix!A:S,19,0),1)</f>
        <v/>
      </c>
      <c r="K326" s="157">
        <f>IF(O326="Home",VLOOKUP(P326,Matrix!A:Z,20,0),1)</f>
        <v/>
      </c>
      <c r="L326" s="156" t="n">
        <v>0.224763612338683</v>
      </c>
      <c r="M326" s="179">
        <f>Schedule!B326</f>
        <v/>
      </c>
      <c r="N326" s="156">
        <f>Schedule!E326</f>
        <v/>
      </c>
      <c r="O326" s="156" t="inlineStr">
        <is>
          <t>Home</t>
        </is>
      </c>
      <c r="P326" s="157">
        <f>Schedule!H326</f>
        <v/>
      </c>
      <c r="Q326" s="157">
        <f>Schedule!C326</f>
        <v/>
      </c>
      <c r="R326" s="180">
        <f>Schedule!D326</f>
        <v/>
      </c>
      <c r="S326" s="181">
        <f>Schedule!J326</f>
        <v/>
      </c>
      <c r="T326" s="193">
        <f>Y326-Z326</f>
        <v/>
      </c>
      <c r="U326" s="182">
        <f>T326/Picks!$K$2</f>
        <v/>
      </c>
      <c r="V326" s="193">
        <f>INDEX(Standings!$T$3:$T$34, MATCH(N326, Standings!$A$3:$A$34, 0)) - INDEX(Standings!$T$3:$T$34, MATCH(P326, Standings!$A$3:$A$34, 0))</f>
        <v/>
      </c>
      <c r="W326" s="157">
        <f>INDEX(Standings!$L$3:$L$34, MATCH(N326, Standings!$A$3:$A$34, 0)) - INDEX(Standings!$L$3:$L$34, MATCH(P326, Standings!$A$3:$A$34, 0))</f>
        <v/>
      </c>
      <c r="X326" s="157">
        <f>INDEX(Standings!$M$3:$M$34, MATCH(N326, Standings!$A$3:$A$34, 0)) - INDEX(Standings!$M$3:$M$34, MATCH(P326, Standings!$A$3:$A$34, 0))</f>
        <v/>
      </c>
      <c r="Y326" s="194">
        <f t="array" ref="Y326:Y326">IFERROR(AE326+(AL326-_DFactor)*AE326,"")</f>
        <v/>
      </c>
      <c r="Z326" s="157">
        <f>IFERROR(AF326+(AI326-_DFactor)*AF326,"")</f>
        <v/>
      </c>
      <c r="AC326" s="194">
        <f>VLOOKUP(M326&amp;N326,Schedule!A:F,6,0)</f>
        <v/>
      </c>
      <c r="AD326" s="194">
        <f>VLOOKUP(M326&amp;P326,Schedule!A:F,6,0)</f>
        <v/>
      </c>
      <c r="AE326" s="156">
        <f>VLOOKUP(N326,ProjPVT!B:I,8,0)*_Mag/VLOOKUP(P326,Standings!A:O,15,0)*H326*K326</f>
        <v/>
      </c>
      <c r="AF326" s="156">
        <f>VLOOKUP(P326,ProjPVT!B:I,8,0)*_Mag/VLOOKUP(N326,Standings!A:O,15,0)*J326*I326</f>
        <v/>
      </c>
      <c r="AG326" s="195">
        <f>VLOOKUP(N326,Matrix!AA:AC,3,0)</f>
        <v/>
      </c>
      <c r="AH326" s="195">
        <f>SUMIFS(Def!C:C,Def!F:F,AG326)</f>
        <v/>
      </c>
      <c r="AI326" s="156">
        <f>IFERROR(SUMIFS(Def!B:B,Def!F:F,AG326)/AH326,"")</f>
        <v/>
      </c>
      <c r="AJ326" s="195">
        <f>VLOOKUP(P326,Matrix!AA:AC,3,0)</f>
        <v/>
      </c>
      <c r="AK326" s="195">
        <f>SUMIFS(Def!C:C,Def!F:F,AJ326)</f>
        <v/>
      </c>
      <c r="AL326" s="156">
        <f>IFERROR(SUMIFS(Def!B:B,Def!F:F,AJ326)/AK326,"")</f>
        <v/>
      </c>
    </row>
    <row r="327" ht="14.4" customHeight="1" s="152">
      <c r="A327" s="157">
        <f>IF(F327="Yes",IFERROR(IF(AA327&gt;1,AA327/100,100/-AA327),""),-1)</f>
        <v/>
      </c>
      <c r="B327" s="157">
        <f>B326+1</f>
        <v/>
      </c>
      <c r="C327" s="157">
        <f>IF(Y327&gt;Z327,1,0)</f>
        <v/>
      </c>
      <c r="D327" s="157">
        <f>IF(AND(C327=1,F327="Yes"),"Yes",IF(AND(C327=0,F327="No"),"Yes","No"))</f>
        <v/>
      </c>
      <c r="E327" s="192">
        <f>IF((AC327+AB327)=AD327,"Push",IF((AC327+AB327)&gt;AD327,"Yes","No"))</f>
        <v/>
      </c>
      <c r="F327" s="192">
        <f>IF(AC327&gt;AD327,"Yes","No")</f>
        <v/>
      </c>
      <c r="G327" s="192">
        <f>IF((Y327+AB327)&gt;Z327,"Yes",IF((Y327+AB327)=Z327,"Push","No"))</f>
        <v/>
      </c>
      <c r="H327" s="157">
        <f>IF(O327="Home",VLOOKUP(N327,Matrix!A:S,19,0),1)</f>
        <v/>
      </c>
      <c r="I327" s="157">
        <f>IF(O327="Away",VLOOKUP(N327,Matrix!A:Z,20,0),1)</f>
        <v/>
      </c>
      <c r="J327" s="157">
        <f>IF(O327="Away",VLOOKUP(P327,Matrix!A:S,19,0),1)</f>
        <v/>
      </c>
      <c r="K327" s="157">
        <f>IF(O327="Home",VLOOKUP(P327,Matrix!A:Z,20,0),1)</f>
        <v/>
      </c>
      <c r="L327" s="156" t="n">
        <v>0.232987101417244</v>
      </c>
      <c r="M327" s="179">
        <f>Schedule!B327</f>
        <v/>
      </c>
      <c r="N327" s="156">
        <f>Schedule!E327</f>
        <v/>
      </c>
      <c r="O327" s="156" t="inlineStr">
        <is>
          <t>Away</t>
        </is>
      </c>
      <c r="P327" s="157">
        <f>Schedule!H327</f>
        <v/>
      </c>
      <c r="Q327" s="157">
        <f>Schedule!C327</f>
        <v/>
      </c>
      <c r="R327" s="180">
        <f>Schedule!D327</f>
        <v/>
      </c>
      <c r="S327" s="181">
        <f>Schedule!J327</f>
        <v/>
      </c>
      <c r="T327" s="193">
        <f>Y327-Z327</f>
        <v/>
      </c>
      <c r="U327" s="182">
        <f>T327/Picks!$K$2</f>
        <v/>
      </c>
      <c r="V327" s="193">
        <f>INDEX(Standings!$T$3:$T$34, MATCH(N327, Standings!$A$3:$A$34, 0)) - INDEX(Standings!$T$3:$T$34, MATCH(P327, Standings!$A$3:$A$34, 0))</f>
        <v/>
      </c>
      <c r="W327" s="157">
        <f>INDEX(Standings!$L$3:$L$34, MATCH(N327, Standings!$A$3:$A$34, 0)) - INDEX(Standings!$L$3:$L$34, MATCH(P327, Standings!$A$3:$A$34, 0))</f>
        <v/>
      </c>
      <c r="X327" s="157">
        <f>INDEX(Standings!$M$3:$M$34, MATCH(N327, Standings!$A$3:$A$34, 0)) - INDEX(Standings!$M$3:$M$34, MATCH(P327, Standings!$A$3:$A$34, 0))</f>
        <v/>
      </c>
      <c r="Y327" s="194">
        <f t="array" ref="Y327:Y327">IFERROR(AE327+(AL327-_DFactor)*AE327,"")</f>
        <v/>
      </c>
      <c r="Z327" s="157">
        <f>IFERROR(AF327+(AI327-_DFactor)*AF327,"")</f>
        <v/>
      </c>
      <c r="AC327" s="194">
        <f>VLOOKUP(M327&amp;N327,Schedule!A:F,6,0)</f>
        <v/>
      </c>
      <c r="AD327" s="194">
        <f>VLOOKUP(M327&amp;P327,Schedule!A:F,6,0)</f>
        <v/>
      </c>
      <c r="AE327" s="156">
        <f>VLOOKUP(N327,ProjPVT!B:I,8,0)*_Mag/VLOOKUP(P327,Standings!A:O,15,0)*H327*K327</f>
        <v/>
      </c>
      <c r="AF327" s="156">
        <f>VLOOKUP(P327,ProjPVT!B:I,8,0)*_Mag/VLOOKUP(N327,Standings!A:O,15,0)*J327*I327</f>
        <v/>
      </c>
      <c r="AG327" s="195">
        <f>VLOOKUP(N327,Matrix!AA:AC,3,0)</f>
        <v/>
      </c>
      <c r="AH327" s="195">
        <f>SUMIFS(Def!C:C,Def!F:F,AG327)</f>
        <v/>
      </c>
      <c r="AI327" s="156">
        <f>IFERROR(SUMIFS(Def!B:B,Def!F:F,AG327)/AH327,"")</f>
        <v/>
      </c>
      <c r="AJ327" s="195">
        <f>VLOOKUP(P327,Matrix!AA:AC,3,0)</f>
        <v/>
      </c>
      <c r="AK327" s="195">
        <f>SUMIFS(Def!C:C,Def!F:F,AJ327)</f>
        <v/>
      </c>
      <c r="AL327" s="156">
        <f>IFERROR(SUMIFS(Def!B:B,Def!F:F,AJ327)/AK327,"")</f>
        <v/>
      </c>
    </row>
    <row r="328" ht="14.4" customHeight="1" s="152">
      <c r="A328" s="157">
        <f>IF(F328="Yes",IFERROR(IF(AA328&gt;1,AA328/100,100/-AA328),""),-1)</f>
        <v/>
      </c>
      <c r="B328" s="157">
        <f>B327+1</f>
        <v/>
      </c>
      <c r="C328" s="157">
        <f>IF(Y328&gt;Z328,1,0)</f>
        <v/>
      </c>
      <c r="D328" s="157">
        <f>IF(AND(C328=1,F328="Yes"),"Yes",IF(AND(C328=0,F328="No"),"Yes","No"))</f>
        <v/>
      </c>
      <c r="E328" s="192">
        <f>IF((AC328+AB328)=AD328,"Push",IF((AC328+AB328)&gt;AD328,"Yes","No"))</f>
        <v/>
      </c>
      <c r="F328" s="192">
        <f>IF(AC328&gt;AD328,"Yes","No")</f>
        <v/>
      </c>
      <c r="G328" s="192">
        <f>IF((Y328+AB328)&gt;Z328,"Yes",IF((Y328+AB328)=Z328,"Push","No"))</f>
        <v/>
      </c>
      <c r="H328" s="157">
        <f>IF(O328="Home",VLOOKUP(N328,Matrix!A:S,19,0),1)</f>
        <v/>
      </c>
      <c r="I328" s="157">
        <f>IF(O328="Away",VLOOKUP(N328,Matrix!A:Z,20,0),1)</f>
        <v/>
      </c>
      <c r="J328" s="157">
        <f>IF(O328="Away",VLOOKUP(P328,Matrix!A:S,19,0),1)</f>
        <v/>
      </c>
      <c r="K328" s="157">
        <f>IF(O328="Home",VLOOKUP(P328,Matrix!A:Z,20,0),1)</f>
        <v/>
      </c>
      <c r="L328" s="156" t="n">
        <v>0.361919126110049</v>
      </c>
      <c r="M328" s="179">
        <f>Schedule!B328</f>
        <v/>
      </c>
      <c r="N328" s="156">
        <f>Schedule!E328</f>
        <v/>
      </c>
      <c r="O328" s="156" t="inlineStr">
        <is>
          <t>Home</t>
        </is>
      </c>
      <c r="P328" s="157">
        <f>Schedule!H328</f>
        <v/>
      </c>
      <c r="Q328" s="157">
        <f>Schedule!C328</f>
        <v/>
      </c>
      <c r="R328" s="180">
        <f>Schedule!D328</f>
        <v/>
      </c>
      <c r="S328" s="181">
        <f>Schedule!J328</f>
        <v/>
      </c>
      <c r="T328" s="193">
        <f>Y328-Z328</f>
        <v/>
      </c>
      <c r="U328" s="182">
        <f>T328/Picks!$K$2</f>
        <v/>
      </c>
      <c r="V328" s="193">
        <f>INDEX(Standings!$T$3:$T$34, MATCH(N328, Standings!$A$3:$A$34, 0)) - INDEX(Standings!$T$3:$T$34, MATCH(P328, Standings!$A$3:$A$34, 0))</f>
        <v/>
      </c>
      <c r="W328" s="157">
        <f>INDEX(Standings!$L$3:$L$34, MATCH(N328, Standings!$A$3:$A$34, 0)) - INDEX(Standings!$L$3:$L$34, MATCH(P328, Standings!$A$3:$A$34, 0))</f>
        <v/>
      </c>
      <c r="X328" s="157">
        <f>INDEX(Standings!$M$3:$M$34, MATCH(N328, Standings!$A$3:$A$34, 0)) - INDEX(Standings!$M$3:$M$34, MATCH(P328, Standings!$A$3:$A$34, 0))</f>
        <v/>
      </c>
      <c r="Y328" s="194">
        <f t="array" ref="Y328:Y328">IFERROR(AE328+(AL328-_DFactor)*AE328,"")</f>
        <v/>
      </c>
      <c r="Z328" s="157">
        <f>IFERROR(AF328+(AI328-_DFactor)*AF328,"")</f>
        <v/>
      </c>
      <c r="AC328" s="194">
        <f>VLOOKUP(M328&amp;N328,Schedule!A:F,6,0)</f>
        <v/>
      </c>
      <c r="AD328" s="194">
        <f>VLOOKUP(M328&amp;P328,Schedule!A:F,6,0)</f>
        <v/>
      </c>
      <c r="AE328" s="156">
        <f>VLOOKUP(N328,ProjPVT!B:I,8,0)*_Mag/VLOOKUP(P328,Standings!A:O,15,0)*H328*K328</f>
        <v/>
      </c>
      <c r="AF328" s="156">
        <f>VLOOKUP(P328,ProjPVT!B:I,8,0)*_Mag/VLOOKUP(N328,Standings!A:O,15,0)*J328*I328</f>
        <v/>
      </c>
      <c r="AG328" s="195">
        <f>VLOOKUP(N328,Matrix!AA:AC,3,0)</f>
        <v/>
      </c>
      <c r="AH328" s="195">
        <f>SUMIFS(Def!C:C,Def!F:F,AG328)</f>
        <v/>
      </c>
      <c r="AI328" s="156">
        <f>IFERROR(SUMIFS(Def!B:B,Def!F:F,AG328)/AH328,"")</f>
        <v/>
      </c>
      <c r="AJ328" s="195">
        <f>VLOOKUP(P328,Matrix!AA:AC,3,0)</f>
        <v/>
      </c>
      <c r="AK328" s="195">
        <f>SUMIFS(Def!C:C,Def!F:F,AJ328)</f>
        <v/>
      </c>
      <c r="AL328" s="156">
        <f>IFERROR(SUMIFS(Def!B:B,Def!F:F,AJ328)/AK328,"")</f>
        <v/>
      </c>
    </row>
    <row r="329" ht="14.4" customHeight="1" s="152">
      <c r="A329" s="157">
        <f>IF(F329="Yes",IFERROR(IF(AA329&gt;1,AA329/100,100/-AA329),""),-1)</f>
        <v/>
      </c>
      <c r="B329" s="157">
        <f>B328+1</f>
        <v/>
      </c>
      <c r="C329" s="157">
        <f>IF(Y329&gt;Z329,1,0)</f>
        <v/>
      </c>
      <c r="D329" s="157">
        <f>IF(AND(C329=1,F329="Yes"),"Yes",IF(AND(C329=0,F329="No"),"Yes","No"))</f>
        <v/>
      </c>
      <c r="E329" s="192">
        <f>IF((AC329+AB329)=AD329,"Push",IF((AC329+AB329)&gt;AD329,"Yes","No"))</f>
        <v/>
      </c>
      <c r="F329" s="192">
        <f>IF(AC329&gt;AD329,"Yes","No")</f>
        <v/>
      </c>
      <c r="G329" s="192">
        <f>IF((Y329+AB329)&gt;Z329,"Yes",IF((Y329+AB329)=Z329,"Push","No"))</f>
        <v/>
      </c>
      <c r="H329" s="157">
        <f>IF(O329="Home",VLOOKUP(N329,Matrix!A:S,19,0),1)</f>
        <v/>
      </c>
      <c r="I329" s="157">
        <f>IF(O329="Away",VLOOKUP(N329,Matrix!A:Z,20,0),1)</f>
        <v/>
      </c>
      <c r="J329" s="157">
        <f>IF(O329="Away",VLOOKUP(P329,Matrix!A:S,19,0),1)</f>
        <v/>
      </c>
      <c r="K329" s="157">
        <f>IF(O329="Home",VLOOKUP(P329,Matrix!A:Z,20,0),1)</f>
        <v/>
      </c>
      <c r="L329" s="156" t="n">
        <v>0.469947002916923</v>
      </c>
      <c r="M329" s="179">
        <f>Schedule!B329</f>
        <v/>
      </c>
      <c r="N329" s="156">
        <f>Schedule!E329</f>
        <v/>
      </c>
      <c r="O329" s="156" t="inlineStr">
        <is>
          <t>Away</t>
        </is>
      </c>
      <c r="P329" s="157">
        <f>Schedule!H329</f>
        <v/>
      </c>
      <c r="Q329" s="157">
        <f>Schedule!C329</f>
        <v/>
      </c>
      <c r="R329" s="180">
        <f>Schedule!D329</f>
        <v/>
      </c>
      <c r="S329" s="181">
        <f>Schedule!J329</f>
        <v/>
      </c>
      <c r="T329" s="193">
        <f>Y329-Z329</f>
        <v/>
      </c>
      <c r="U329" s="182">
        <f>T329/Picks!$K$2</f>
        <v/>
      </c>
      <c r="V329" s="193">
        <f>INDEX(Standings!$T$3:$T$34, MATCH(N329, Standings!$A$3:$A$34, 0)) - INDEX(Standings!$T$3:$T$34, MATCH(P329, Standings!$A$3:$A$34, 0))</f>
        <v/>
      </c>
      <c r="W329" s="157">
        <f>INDEX(Standings!$L$3:$L$34, MATCH(N329, Standings!$A$3:$A$34, 0)) - INDEX(Standings!$L$3:$L$34, MATCH(P329, Standings!$A$3:$A$34, 0))</f>
        <v/>
      </c>
      <c r="X329" s="157">
        <f>INDEX(Standings!$M$3:$M$34, MATCH(N329, Standings!$A$3:$A$34, 0)) - INDEX(Standings!$M$3:$M$34, MATCH(P329, Standings!$A$3:$A$34, 0))</f>
        <v/>
      </c>
      <c r="Y329" s="194">
        <f t="array" ref="Y329:Y329">IFERROR(AE329+(AL329-_DFactor)*AE329,"")</f>
        <v/>
      </c>
      <c r="Z329" s="157">
        <f>IFERROR(AF329+(AI329-_DFactor)*AF329,"")</f>
        <v/>
      </c>
      <c r="AC329" s="194">
        <f>VLOOKUP(M329&amp;N329,Schedule!A:F,6,0)</f>
        <v/>
      </c>
      <c r="AD329" s="194">
        <f>VLOOKUP(M329&amp;P329,Schedule!A:F,6,0)</f>
        <v/>
      </c>
      <c r="AE329" s="156">
        <f>VLOOKUP(N329,ProjPVT!B:I,8,0)*_Mag/VLOOKUP(P329,Standings!A:O,15,0)*H329*K329</f>
        <v/>
      </c>
      <c r="AF329" s="156">
        <f>VLOOKUP(P329,ProjPVT!B:I,8,0)*_Mag/VLOOKUP(N329,Standings!A:O,15,0)*J329*I329</f>
        <v/>
      </c>
      <c r="AG329" s="195">
        <f>VLOOKUP(N329,Matrix!AA:AC,3,0)</f>
        <v/>
      </c>
      <c r="AH329" s="195">
        <f>SUMIFS(Def!C:C,Def!F:F,AG329)</f>
        <v/>
      </c>
      <c r="AI329" s="156">
        <f>IFERROR(SUMIFS(Def!B:B,Def!F:F,AG329)/AH329,"")</f>
        <v/>
      </c>
      <c r="AJ329" s="195">
        <f>VLOOKUP(P329,Matrix!AA:AC,3,0)</f>
        <v/>
      </c>
      <c r="AK329" s="195">
        <f>SUMIFS(Def!C:C,Def!F:F,AJ329)</f>
        <v/>
      </c>
      <c r="AL329" s="156">
        <f>IFERROR(SUMIFS(Def!B:B,Def!F:F,AJ329)/AK329,"")</f>
        <v/>
      </c>
    </row>
    <row r="330" ht="14.4" customHeight="1" s="152">
      <c r="A330" s="157">
        <f>IF(F330="Yes",IFERROR(IF(AA330&gt;1,AA330/100,100/-AA330),""),-1)</f>
        <v/>
      </c>
      <c r="B330" s="157">
        <f>B329+1</f>
        <v/>
      </c>
      <c r="C330" s="157">
        <f>IF(Y330&gt;Z330,1,0)</f>
        <v/>
      </c>
      <c r="D330" s="157">
        <f>IF(AND(C330=1,F330="Yes"),"Yes",IF(AND(C330=0,F330="No"),"Yes","No"))</f>
        <v/>
      </c>
      <c r="E330" s="192">
        <f>IF((AC330+AB330)=AD330,"Push",IF((AC330+AB330)&gt;AD330,"Yes","No"))</f>
        <v/>
      </c>
      <c r="F330" s="192">
        <f>IF(AC330&gt;AD330,"Yes","No")</f>
        <v/>
      </c>
      <c r="G330" s="192">
        <f>IF((Y330+AB330)&gt;Z330,"Yes",IF((Y330+AB330)=Z330,"Push","No"))</f>
        <v/>
      </c>
      <c r="H330" s="157">
        <f>IF(O330="Home",VLOOKUP(N330,Matrix!A:S,19,0),1)</f>
        <v/>
      </c>
      <c r="I330" s="157">
        <f>IF(O330="Away",VLOOKUP(N330,Matrix!A:Z,20,0),1)</f>
        <v/>
      </c>
      <c r="J330" s="157">
        <f>IF(O330="Away",VLOOKUP(P330,Matrix!A:S,19,0),1)</f>
        <v/>
      </c>
      <c r="K330" s="157">
        <f>IF(O330="Home",VLOOKUP(P330,Matrix!A:Z,20,0),1)</f>
        <v/>
      </c>
      <c r="L330" s="156" t="n">
        <v>0.470567508330035</v>
      </c>
      <c r="M330" s="179">
        <f>Schedule!B330</f>
        <v/>
      </c>
      <c r="N330" s="156">
        <f>Schedule!E330</f>
        <v/>
      </c>
      <c r="O330" s="156" t="inlineStr">
        <is>
          <t>Home</t>
        </is>
      </c>
      <c r="P330" s="157">
        <f>Schedule!H330</f>
        <v/>
      </c>
      <c r="Q330" s="157">
        <f>Schedule!C330</f>
        <v/>
      </c>
      <c r="R330" s="180">
        <f>Schedule!D330</f>
        <v/>
      </c>
      <c r="S330" s="181">
        <f>Schedule!J330</f>
        <v/>
      </c>
      <c r="T330" s="193">
        <f>Y330-Z330</f>
        <v/>
      </c>
      <c r="U330" s="182">
        <f>T330/Picks!$K$2</f>
        <v/>
      </c>
      <c r="V330" s="193">
        <f>INDEX(Standings!$T$3:$T$34, MATCH(N330, Standings!$A$3:$A$34, 0)) - INDEX(Standings!$T$3:$T$34, MATCH(P330, Standings!$A$3:$A$34, 0))</f>
        <v/>
      </c>
      <c r="W330" s="157">
        <f>INDEX(Standings!$L$3:$L$34, MATCH(N330, Standings!$A$3:$A$34, 0)) - INDEX(Standings!$L$3:$L$34, MATCH(P330, Standings!$A$3:$A$34, 0))</f>
        <v/>
      </c>
      <c r="X330" s="157">
        <f>INDEX(Standings!$M$3:$M$34, MATCH(N330, Standings!$A$3:$A$34, 0)) - INDEX(Standings!$M$3:$M$34, MATCH(P330, Standings!$A$3:$A$34, 0))</f>
        <v/>
      </c>
      <c r="Y330" s="194">
        <f t="array" ref="Y330:Y330">IFERROR(AE330+(AL330-_DFactor)*AE330,"")</f>
        <v/>
      </c>
      <c r="Z330" s="157">
        <f>IFERROR(AF330+(AI330-_DFactor)*AF330,"")</f>
        <v/>
      </c>
      <c r="AC330" s="194">
        <f>VLOOKUP(M330&amp;N330,Schedule!A:F,6,0)</f>
        <v/>
      </c>
      <c r="AD330" s="194">
        <f>VLOOKUP(M330&amp;P330,Schedule!A:F,6,0)</f>
        <v/>
      </c>
      <c r="AE330" s="156">
        <f>VLOOKUP(N330,ProjPVT!B:I,8,0)*_Mag/VLOOKUP(P330,Standings!A:O,15,0)*H330*K330</f>
        <v/>
      </c>
      <c r="AF330" s="156">
        <f>VLOOKUP(P330,ProjPVT!B:I,8,0)*_Mag/VLOOKUP(N330,Standings!A:O,15,0)*J330*I330</f>
        <v/>
      </c>
      <c r="AG330" s="195">
        <f>VLOOKUP(N330,Matrix!AA:AC,3,0)</f>
        <v/>
      </c>
      <c r="AH330" s="195">
        <f>SUMIFS(Def!C:C,Def!F:F,AG330)</f>
        <v/>
      </c>
      <c r="AI330" s="156">
        <f>IFERROR(SUMIFS(Def!B:B,Def!F:F,AG330)/AH330,"")</f>
        <v/>
      </c>
      <c r="AJ330" s="195">
        <f>VLOOKUP(P330,Matrix!AA:AC,3,0)</f>
        <v/>
      </c>
      <c r="AK330" s="195">
        <f>SUMIFS(Def!C:C,Def!F:F,AJ330)</f>
        <v/>
      </c>
      <c r="AL330" s="156">
        <f>IFERROR(SUMIFS(Def!B:B,Def!F:F,AJ330)/AK330,"")</f>
        <v/>
      </c>
    </row>
    <row r="331" ht="14.4" customHeight="1" s="152">
      <c r="A331" s="157">
        <f>IF(F331="Yes",IFERROR(IF(AA331&gt;1,AA331/100,100/-AA331),""),-1)</f>
        <v/>
      </c>
      <c r="B331" s="157">
        <f>B330+1</f>
        <v/>
      </c>
      <c r="C331" s="157">
        <f>IF(Y331&gt;Z331,1,0)</f>
        <v/>
      </c>
      <c r="D331" s="157">
        <f>IF(AND(C331=1,F331="Yes"),"Yes",IF(AND(C331=0,F331="No"),"Yes","No"))</f>
        <v/>
      </c>
      <c r="E331" s="192">
        <f>IF((AC331+AB331)=AD331,"Push",IF((AC331+AB331)&gt;AD331,"Yes","No"))</f>
        <v/>
      </c>
      <c r="F331" s="192">
        <f>IF(AC331&gt;AD331,"Yes","No")</f>
        <v/>
      </c>
      <c r="G331" s="192">
        <f>IF((Y331+AB331)&gt;Z331,"Yes",IF((Y331+AB331)=Z331,"Push","No"))</f>
        <v/>
      </c>
      <c r="H331" s="157">
        <f>IF(O331="Home",VLOOKUP(N331,Matrix!A:S,19,0),1)</f>
        <v/>
      </c>
      <c r="I331" s="157">
        <f>IF(O331="Away",VLOOKUP(N331,Matrix!A:Z,20,0),1)</f>
        <v/>
      </c>
      <c r="J331" s="157">
        <f>IF(O331="Away",VLOOKUP(P331,Matrix!A:S,19,0),1)</f>
        <v/>
      </c>
      <c r="K331" s="157">
        <f>IF(O331="Home",VLOOKUP(P331,Matrix!A:Z,20,0),1)</f>
        <v/>
      </c>
      <c r="L331" s="156" t="n">
        <v>0.48968310165319</v>
      </c>
      <c r="M331" s="179">
        <f>Schedule!B331</f>
        <v/>
      </c>
      <c r="N331" s="156">
        <f>Schedule!E331</f>
        <v/>
      </c>
      <c r="O331" s="156" t="inlineStr">
        <is>
          <t>Away</t>
        </is>
      </c>
      <c r="P331" s="157">
        <f>Schedule!H331</f>
        <v/>
      </c>
      <c r="Q331" s="157">
        <f>Schedule!C331</f>
        <v/>
      </c>
      <c r="R331" s="180">
        <f>Schedule!D331</f>
        <v/>
      </c>
      <c r="S331" s="181">
        <f>Schedule!J331</f>
        <v/>
      </c>
      <c r="T331" s="193">
        <f>Y331-Z331</f>
        <v/>
      </c>
      <c r="U331" s="182">
        <f>T331/Picks!$K$2</f>
        <v/>
      </c>
      <c r="V331" s="193">
        <f>INDEX(Standings!$T$3:$T$34, MATCH(N331, Standings!$A$3:$A$34, 0)) - INDEX(Standings!$T$3:$T$34, MATCH(P331, Standings!$A$3:$A$34, 0))</f>
        <v/>
      </c>
      <c r="W331" s="157">
        <f>INDEX(Standings!$L$3:$L$34, MATCH(N331, Standings!$A$3:$A$34, 0)) - INDEX(Standings!$L$3:$L$34, MATCH(P331, Standings!$A$3:$A$34, 0))</f>
        <v/>
      </c>
      <c r="X331" s="157">
        <f>INDEX(Standings!$M$3:$M$34, MATCH(N331, Standings!$A$3:$A$34, 0)) - INDEX(Standings!$M$3:$M$34, MATCH(P331, Standings!$A$3:$A$34, 0))</f>
        <v/>
      </c>
      <c r="Y331" s="194">
        <f t="array" ref="Y331:Y331">IFERROR(AE331+(AL331-_DFactor)*AE331,"")</f>
        <v/>
      </c>
      <c r="Z331" s="157">
        <f>IFERROR(AF331+(AI331-_DFactor)*AF331,"")</f>
        <v/>
      </c>
      <c r="AC331" s="194">
        <f>VLOOKUP(M331&amp;N331,Schedule!A:F,6,0)</f>
        <v/>
      </c>
      <c r="AD331" s="194">
        <f>VLOOKUP(M331&amp;P331,Schedule!A:F,6,0)</f>
        <v/>
      </c>
      <c r="AE331" s="156">
        <f>VLOOKUP(N331,ProjPVT!B:I,8,0)*_Mag/VLOOKUP(P331,Standings!A:O,15,0)*H331*K331</f>
        <v/>
      </c>
      <c r="AF331" s="156">
        <f>VLOOKUP(P331,ProjPVT!B:I,8,0)*_Mag/VLOOKUP(N331,Standings!A:O,15,0)*J331*I331</f>
        <v/>
      </c>
      <c r="AG331" s="195">
        <f>VLOOKUP(N331,Matrix!AA:AC,3,0)</f>
        <v/>
      </c>
      <c r="AH331" s="195">
        <f>SUMIFS(Def!C:C,Def!F:F,AG331)</f>
        <v/>
      </c>
      <c r="AI331" s="156">
        <f>IFERROR(SUMIFS(Def!B:B,Def!F:F,AG331)/AH331,"")</f>
        <v/>
      </c>
      <c r="AJ331" s="195">
        <f>VLOOKUP(P331,Matrix!AA:AC,3,0)</f>
        <v/>
      </c>
      <c r="AK331" s="195">
        <f>SUMIFS(Def!C:C,Def!F:F,AJ331)</f>
        <v/>
      </c>
      <c r="AL331" s="156">
        <f>IFERROR(SUMIFS(Def!B:B,Def!F:F,AJ331)/AK331,"")</f>
        <v/>
      </c>
    </row>
    <row r="332" ht="14.4" customHeight="1" s="152">
      <c r="A332" s="157">
        <f>IF(F332="Yes",IFERROR(IF(AA332&gt;1,AA332/100,100/-AA332),""),-1)</f>
        <v/>
      </c>
      <c r="B332" s="157">
        <f>B331+1</f>
        <v/>
      </c>
      <c r="C332" s="157">
        <f>IF(Y332&gt;Z332,1,0)</f>
        <v/>
      </c>
      <c r="D332" s="157">
        <f>IF(AND(C332=1,F332="Yes"),"Yes",IF(AND(C332=0,F332="No"),"Yes","No"))</f>
        <v/>
      </c>
      <c r="E332" s="192">
        <f>IF((AC332+AB332)=AD332,"Push",IF((AC332+AB332)&gt;AD332,"Yes","No"))</f>
        <v/>
      </c>
      <c r="F332" s="192">
        <f>IF(AC332&gt;AD332,"Yes","No")</f>
        <v/>
      </c>
      <c r="G332" s="192">
        <f>IF((Y332+AB332)&gt;Z332,"Yes",IF((Y332+AB332)=Z332,"Push","No"))</f>
        <v/>
      </c>
      <c r="H332" s="157">
        <f>IF(O332="Home",VLOOKUP(N332,Matrix!A:S,19,0),1)</f>
        <v/>
      </c>
      <c r="I332" s="157">
        <f>IF(O332="Away",VLOOKUP(N332,Matrix!A:Z,20,0),1)</f>
        <v/>
      </c>
      <c r="J332" s="157">
        <f>IF(O332="Away",VLOOKUP(P332,Matrix!A:S,19,0),1)</f>
        <v/>
      </c>
      <c r="K332" s="157">
        <f>IF(O332="Home",VLOOKUP(P332,Matrix!A:Z,20,0),1)</f>
        <v/>
      </c>
      <c r="L332" s="156" t="n">
        <v>0.493103962223824</v>
      </c>
      <c r="M332" s="179">
        <f>Schedule!B332</f>
        <v/>
      </c>
      <c r="N332" s="156">
        <f>Schedule!E332</f>
        <v/>
      </c>
      <c r="O332" s="156" t="inlineStr">
        <is>
          <t>Home</t>
        </is>
      </c>
      <c r="P332" s="157">
        <f>Schedule!H332</f>
        <v/>
      </c>
      <c r="Q332" s="157">
        <f>Schedule!C332</f>
        <v/>
      </c>
      <c r="R332" s="180">
        <f>Schedule!D332</f>
        <v/>
      </c>
      <c r="S332" s="181">
        <f>Schedule!J332</f>
        <v/>
      </c>
      <c r="T332" s="193">
        <f>Y332-Z332</f>
        <v/>
      </c>
      <c r="U332" s="182">
        <f>T332/Picks!$K$2</f>
        <v/>
      </c>
      <c r="V332" s="193">
        <f>INDEX(Standings!$T$3:$T$34, MATCH(N332, Standings!$A$3:$A$34, 0)) - INDEX(Standings!$T$3:$T$34, MATCH(P332, Standings!$A$3:$A$34, 0))</f>
        <v/>
      </c>
      <c r="W332" s="157">
        <f>INDEX(Standings!$L$3:$L$34, MATCH(N332, Standings!$A$3:$A$34, 0)) - INDEX(Standings!$L$3:$L$34, MATCH(P332, Standings!$A$3:$A$34, 0))</f>
        <v/>
      </c>
      <c r="X332" s="157">
        <f>INDEX(Standings!$M$3:$M$34, MATCH(N332, Standings!$A$3:$A$34, 0)) - INDEX(Standings!$M$3:$M$34, MATCH(P332, Standings!$A$3:$A$34, 0))</f>
        <v/>
      </c>
      <c r="Y332" s="194">
        <f t="array" ref="Y332:Y332">IFERROR(AE332+(AL332-_DFactor)*AE332,"")</f>
        <v/>
      </c>
      <c r="Z332" s="157">
        <f>IFERROR(AF332+(AI332-_DFactor)*AF332,"")</f>
        <v/>
      </c>
      <c r="AC332" s="194">
        <f>VLOOKUP(M332&amp;N332,Schedule!A:F,6,0)</f>
        <v/>
      </c>
      <c r="AD332" s="194">
        <f>VLOOKUP(M332&amp;P332,Schedule!A:F,6,0)</f>
        <v/>
      </c>
      <c r="AE332" s="156">
        <f>VLOOKUP(N332,ProjPVT!B:I,8,0)*_Mag/VLOOKUP(P332,Standings!A:O,15,0)*H332*K332</f>
        <v/>
      </c>
      <c r="AF332" s="156">
        <f>VLOOKUP(P332,ProjPVT!B:I,8,0)*_Mag/VLOOKUP(N332,Standings!A:O,15,0)*J332*I332</f>
        <v/>
      </c>
      <c r="AG332" s="195">
        <f>VLOOKUP(N332,Matrix!AA:AC,3,0)</f>
        <v/>
      </c>
      <c r="AH332" s="195">
        <f>SUMIFS(Def!C:C,Def!F:F,AG332)</f>
        <v/>
      </c>
      <c r="AI332" s="156">
        <f>IFERROR(SUMIFS(Def!B:B,Def!F:F,AG332)/AH332,"")</f>
        <v/>
      </c>
      <c r="AJ332" s="195">
        <f>VLOOKUP(P332,Matrix!AA:AC,3,0)</f>
        <v/>
      </c>
      <c r="AK332" s="195">
        <f>SUMIFS(Def!C:C,Def!F:F,AJ332)</f>
        <v/>
      </c>
      <c r="AL332" s="156">
        <f>IFERROR(SUMIFS(Def!B:B,Def!F:F,AJ332)/AK332,"")</f>
        <v/>
      </c>
    </row>
    <row r="333" ht="14.4" customHeight="1" s="152">
      <c r="A333" s="157">
        <f>IF(F333="Yes",IFERROR(IF(AA333&gt;1,AA333/100,100/-AA333),""),-1)</f>
        <v/>
      </c>
      <c r="B333" s="157">
        <f>B332+1</f>
        <v/>
      </c>
      <c r="C333" s="157">
        <f>IF(Y333&gt;Z333,1,0)</f>
        <v/>
      </c>
      <c r="D333" s="157">
        <f>IF(AND(C333=1,F333="Yes"),"Yes",IF(AND(C333=0,F333="No"),"Yes","No"))</f>
        <v/>
      </c>
      <c r="E333" s="192">
        <f>IF((AC333+AB333)=AD333,"Push",IF((AC333+AB333)&gt;AD333,"Yes","No"))</f>
        <v/>
      </c>
      <c r="F333" s="192">
        <f>IF(AC333&gt;AD333,"Yes","No")</f>
        <v/>
      </c>
      <c r="G333" s="192">
        <f>IF((Y333+AB333)&gt;Z333,"Yes",IF((Y333+AB333)=Z333,"Push","No"))</f>
        <v/>
      </c>
      <c r="H333" s="157">
        <f>IF(O333="Home",VLOOKUP(N333,Matrix!A:S,19,0),1)</f>
        <v/>
      </c>
      <c r="I333" s="157">
        <f>IF(O333="Away",VLOOKUP(N333,Matrix!A:Z,20,0),1)</f>
        <v/>
      </c>
      <c r="J333" s="157">
        <f>IF(O333="Away",VLOOKUP(P333,Matrix!A:S,19,0),1)</f>
        <v/>
      </c>
      <c r="K333" s="157">
        <f>IF(O333="Home",VLOOKUP(P333,Matrix!A:Z,20,0),1)</f>
        <v/>
      </c>
      <c r="L333" s="156" t="n">
        <v>0.499858063339216</v>
      </c>
      <c r="M333" s="179">
        <f>Schedule!B333</f>
        <v/>
      </c>
      <c r="N333" s="156">
        <f>Schedule!E333</f>
        <v/>
      </c>
      <c r="O333" s="156" t="inlineStr">
        <is>
          <t>Home</t>
        </is>
      </c>
      <c r="P333" s="157">
        <f>Schedule!H333</f>
        <v/>
      </c>
      <c r="Q333" s="157">
        <f>Schedule!C333</f>
        <v/>
      </c>
      <c r="R333" s="180">
        <f>Schedule!D333</f>
        <v/>
      </c>
      <c r="S333" s="181">
        <f>Schedule!J333</f>
        <v/>
      </c>
      <c r="T333" s="193">
        <f>Y333-Z333</f>
        <v/>
      </c>
      <c r="U333" s="182">
        <f>T333/Picks!$K$2</f>
        <v/>
      </c>
      <c r="V333" s="193">
        <f>INDEX(Standings!$T$3:$T$34, MATCH(N333, Standings!$A$3:$A$34, 0)) - INDEX(Standings!$T$3:$T$34, MATCH(P333, Standings!$A$3:$A$34, 0))</f>
        <v/>
      </c>
      <c r="W333" s="157">
        <f>INDEX(Standings!$L$3:$L$34, MATCH(N333, Standings!$A$3:$A$34, 0)) - INDEX(Standings!$L$3:$L$34, MATCH(P333, Standings!$A$3:$A$34, 0))</f>
        <v/>
      </c>
      <c r="X333" s="157">
        <f>INDEX(Standings!$M$3:$M$34, MATCH(N333, Standings!$A$3:$A$34, 0)) - INDEX(Standings!$M$3:$M$34, MATCH(P333, Standings!$A$3:$A$34, 0))</f>
        <v/>
      </c>
      <c r="Y333" s="194">
        <f t="array" ref="Y333:Y333">IFERROR(AE333+(AL333-_DFactor)*AE333,"")</f>
        <v/>
      </c>
      <c r="Z333" s="157">
        <f>IFERROR(AF333+(AI333-_DFactor)*AF333,"")</f>
        <v/>
      </c>
      <c r="AC333" s="194">
        <f>VLOOKUP(M333&amp;N333,Schedule!A:F,6,0)</f>
        <v/>
      </c>
      <c r="AD333" s="194">
        <f>VLOOKUP(M333&amp;P333,Schedule!A:F,6,0)</f>
        <v/>
      </c>
      <c r="AE333" s="156">
        <f>VLOOKUP(N333,ProjPVT!B:I,8,0)*_Mag/VLOOKUP(P333,Standings!A:O,15,0)*H333*K333</f>
        <v/>
      </c>
      <c r="AF333" s="156">
        <f>VLOOKUP(P333,ProjPVT!B:I,8,0)*_Mag/VLOOKUP(N333,Standings!A:O,15,0)*J333*I333</f>
        <v/>
      </c>
      <c r="AG333" s="195">
        <f>VLOOKUP(N333,Matrix!AA:AC,3,0)</f>
        <v/>
      </c>
      <c r="AH333" s="195">
        <f>SUMIFS(Def!C:C,Def!F:F,AG333)</f>
        <v/>
      </c>
      <c r="AI333" s="156">
        <f>IFERROR(SUMIFS(Def!B:B,Def!F:F,AG333)/AH333,"")</f>
        <v/>
      </c>
      <c r="AJ333" s="195">
        <f>VLOOKUP(P333,Matrix!AA:AC,3,0)</f>
        <v/>
      </c>
      <c r="AK333" s="195">
        <f>SUMIFS(Def!C:C,Def!F:F,AJ333)</f>
        <v/>
      </c>
      <c r="AL333" s="156">
        <f>IFERROR(SUMIFS(Def!B:B,Def!F:F,AJ333)/AK333,"")</f>
        <v/>
      </c>
    </row>
    <row r="334" ht="14.4" customHeight="1" s="152">
      <c r="A334" s="157">
        <f>IF(F334="Yes",IFERROR(IF(AA334&gt;1,AA334/100,100/-AA334),""),-1)</f>
        <v/>
      </c>
      <c r="B334" s="157">
        <f>B333+1</f>
        <v/>
      </c>
      <c r="C334" s="157">
        <f>IF(Y334&gt;Z334,1,0)</f>
        <v/>
      </c>
      <c r="D334" s="157">
        <f>IF(AND(C334=1,F334="Yes"),"Yes",IF(AND(C334=0,F334="No"),"Yes","No"))</f>
        <v/>
      </c>
      <c r="E334" s="192">
        <f>IF((AC334+AB334)=AD334,"Push",IF((AC334+AB334)&gt;AD334,"Yes","No"))</f>
        <v/>
      </c>
      <c r="F334" s="192">
        <f>IF(AC334&gt;AD334,"Yes","No")</f>
        <v/>
      </c>
      <c r="G334" s="192">
        <f>IF((Y334+AB334)&gt;Z334,"Yes",IF((Y334+AB334)=Z334,"Push","No"))</f>
        <v/>
      </c>
      <c r="H334" s="157">
        <f>IF(O334="Home",VLOOKUP(N334,Matrix!A:S,19,0),1)</f>
        <v/>
      </c>
      <c r="I334" s="157">
        <f>IF(O334="Away",VLOOKUP(N334,Matrix!A:Z,20,0),1)</f>
        <v/>
      </c>
      <c r="J334" s="157">
        <f>IF(O334="Away",VLOOKUP(P334,Matrix!A:S,19,0),1)</f>
        <v/>
      </c>
      <c r="K334" s="157">
        <f>IF(O334="Home",VLOOKUP(P334,Matrix!A:Z,20,0),1)</f>
        <v/>
      </c>
      <c r="L334" s="156" t="n">
        <v>-0.7111026752602601</v>
      </c>
      <c r="M334" s="179">
        <f>Schedule!B334</f>
        <v/>
      </c>
      <c r="N334" s="156">
        <f>Schedule!E334</f>
        <v/>
      </c>
      <c r="O334" s="156" t="inlineStr">
        <is>
          <t>Home</t>
        </is>
      </c>
      <c r="P334" s="157">
        <f>Schedule!H334</f>
        <v/>
      </c>
      <c r="Q334" s="157">
        <f>Schedule!C334</f>
        <v/>
      </c>
      <c r="R334" s="180">
        <f>Schedule!D334</f>
        <v/>
      </c>
      <c r="S334" s="181">
        <f>Schedule!J334</f>
        <v/>
      </c>
      <c r="T334" s="193">
        <f>Y334-Z334</f>
        <v/>
      </c>
      <c r="U334" s="182">
        <f>T334/Picks!$K$2</f>
        <v/>
      </c>
      <c r="V334" s="193">
        <f>INDEX(Standings!$T$3:$T$34, MATCH(N334, Standings!$A$3:$A$34, 0)) - INDEX(Standings!$T$3:$T$34, MATCH(P334, Standings!$A$3:$A$34, 0))</f>
        <v/>
      </c>
      <c r="W334" s="157">
        <f>INDEX(Standings!$L$3:$L$34, MATCH(N334, Standings!$A$3:$A$34, 0)) - INDEX(Standings!$L$3:$L$34, MATCH(P334, Standings!$A$3:$A$34, 0))</f>
        <v/>
      </c>
      <c r="X334" s="157">
        <f>INDEX(Standings!$M$3:$M$34, MATCH(N334, Standings!$A$3:$A$34, 0)) - INDEX(Standings!$M$3:$M$34, MATCH(P334, Standings!$A$3:$A$34, 0))</f>
        <v/>
      </c>
      <c r="Y334" s="194">
        <f t="array" ref="Y334:Y334">IFERROR(AE334+(AL334-_DFactor)*AE334,"")</f>
        <v/>
      </c>
      <c r="Z334" s="157">
        <f>IFERROR(AF334+(AI334-_DFactor)*AF334,"")</f>
        <v/>
      </c>
      <c r="AC334" s="194">
        <f>VLOOKUP(M334&amp;N334,Schedule!A:F,6,0)</f>
        <v/>
      </c>
      <c r="AD334" s="194">
        <f>VLOOKUP(M334&amp;P334,Schedule!A:F,6,0)</f>
        <v/>
      </c>
      <c r="AE334" s="156">
        <f>VLOOKUP(N334,ProjPVT!B:I,8,0)*_Mag/VLOOKUP(P334,Standings!A:O,15,0)*H334*K334</f>
        <v/>
      </c>
      <c r="AF334" s="156">
        <f>VLOOKUP(P334,ProjPVT!B:I,8,0)*_Mag/VLOOKUP(N334,Standings!A:O,15,0)*J334*I334</f>
        <v/>
      </c>
      <c r="AG334" s="195">
        <f>VLOOKUP(N334,Matrix!AA:AC,3,0)</f>
        <v/>
      </c>
      <c r="AH334" s="195">
        <f>SUMIFS(Def!C:C,Def!F:F,AG334)</f>
        <v/>
      </c>
      <c r="AI334" s="156">
        <f>IFERROR(SUMIFS(Def!B:B,Def!F:F,AG334)/AH334,"")</f>
        <v/>
      </c>
      <c r="AJ334" s="195">
        <f>VLOOKUP(P334,Matrix!AA:AC,3,0)</f>
        <v/>
      </c>
      <c r="AK334" s="195">
        <f>SUMIFS(Def!C:C,Def!F:F,AJ334)</f>
        <v/>
      </c>
      <c r="AL334" s="156">
        <f>IFERROR(SUMIFS(Def!B:B,Def!F:F,AJ334)/AK334,"")</f>
        <v/>
      </c>
    </row>
    <row r="335" ht="14.4" customHeight="1" s="152">
      <c r="A335" s="157">
        <f>IF(F335="Yes",IFERROR(IF(AA335&gt;1,AA335/100,100/-AA335),""),-1)</f>
        <v/>
      </c>
      <c r="B335" s="157">
        <f>B334+1</f>
        <v/>
      </c>
      <c r="C335" s="157">
        <f>IF(Y335&gt;Z335,1,0)</f>
        <v/>
      </c>
      <c r="D335" s="157">
        <f>IF(AND(C335=1,F335="Yes"),"Yes",IF(AND(C335=0,F335="No"),"Yes","No"))</f>
        <v/>
      </c>
      <c r="E335" s="192">
        <f>IF((AC335+AB335)=AD335,"Push",IF((AC335+AB335)&gt;AD335,"Yes","No"))</f>
        <v/>
      </c>
      <c r="F335" s="192">
        <f>IF(AC335&gt;AD335,"Yes","No")</f>
        <v/>
      </c>
      <c r="G335" s="192">
        <f>IF((Y335+AB335)&gt;Z335,"Yes",IF((Y335+AB335)=Z335,"Push","No"))</f>
        <v/>
      </c>
      <c r="H335" s="157">
        <f>IF(O335="Home",VLOOKUP(N335,Matrix!A:S,19,0),1)</f>
        <v/>
      </c>
      <c r="I335" s="157">
        <f>IF(O335="Away",VLOOKUP(N335,Matrix!A:Z,20,0),1)</f>
        <v/>
      </c>
      <c r="J335" s="157">
        <f>IF(O335="Away",VLOOKUP(P335,Matrix!A:S,19,0),1)</f>
        <v/>
      </c>
      <c r="K335" s="157">
        <f>IF(O335="Home",VLOOKUP(P335,Matrix!A:Z,20,0),1)</f>
        <v/>
      </c>
      <c r="L335" s="156" t="n">
        <v>-0.57306418050333</v>
      </c>
      <c r="M335" s="179">
        <f>Schedule!B335</f>
        <v/>
      </c>
      <c r="N335" s="156">
        <f>Schedule!E335</f>
        <v/>
      </c>
      <c r="O335" s="156" t="inlineStr">
        <is>
          <t>Home</t>
        </is>
      </c>
      <c r="P335" s="157">
        <f>Schedule!H335</f>
        <v/>
      </c>
      <c r="Q335" s="157">
        <f>Schedule!C335</f>
        <v/>
      </c>
      <c r="R335" s="180">
        <f>Schedule!D335</f>
        <v/>
      </c>
      <c r="S335" s="181">
        <f>Schedule!J335</f>
        <v/>
      </c>
      <c r="T335" s="193">
        <f>Y335-Z335</f>
        <v/>
      </c>
      <c r="U335" s="182">
        <f>T335/Picks!$K$2</f>
        <v/>
      </c>
      <c r="V335" s="193">
        <f>INDEX(Standings!$T$3:$T$34, MATCH(N335, Standings!$A$3:$A$34, 0)) - INDEX(Standings!$T$3:$T$34, MATCH(P335, Standings!$A$3:$A$34, 0))</f>
        <v/>
      </c>
      <c r="W335" s="157">
        <f>INDEX(Standings!$L$3:$L$34, MATCH(N335, Standings!$A$3:$A$34, 0)) - INDEX(Standings!$L$3:$L$34, MATCH(P335, Standings!$A$3:$A$34, 0))</f>
        <v/>
      </c>
      <c r="X335" s="157">
        <f>INDEX(Standings!$M$3:$M$34, MATCH(N335, Standings!$A$3:$A$34, 0)) - INDEX(Standings!$M$3:$M$34, MATCH(P335, Standings!$A$3:$A$34, 0))</f>
        <v/>
      </c>
      <c r="Y335" s="194">
        <f t="array" ref="Y335:Y335">IFERROR(AE335+(AL335-_DFactor)*AE335,"")</f>
        <v/>
      </c>
      <c r="Z335" s="157">
        <f>IFERROR(AF335+(AI335-_DFactor)*AF335,"")</f>
        <v/>
      </c>
      <c r="AC335" s="194">
        <f>VLOOKUP(M335&amp;N335,Schedule!A:F,6,0)</f>
        <v/>
      </c>
      <c r="AD335" s="194">
        <f>VLOOKUP(M335&amp;P335,Schedule!A:F,6,0)</f>
        <v/>
      </c>
      <c r="AE335" s="156">
        <f>VLOOKUP(N335,ProjPVT!B:I,8,0)*_Mag/VLOOKUP(P335,Standings!A:O,15,0)*H335*K335</f>
        <v/>
      </c>
      <c r="AF335" s="156">
        <f>VLOOKUP(P335,ProjPVT!B:I,8,0)*_Mag/VLOOKUP(N335,Standings!A:O,15,0)*J335*I335</f>
        <v/>
      </c>
      <c r="AG335" s="195">
        <f>VLOOKUP(N335,Matrix!AA:AC,3,0)</f>
        <v/>
      </c>
      <c r="AH335" s="195">
        <f>SUMIFS(Def!C:C,Def!F:F,AG335)</f>
        <v/>
      </c>
      <c r="AI335" s="156">
        <f>IFERROR(SUMIFS(Def!B:B,Def!F:F,AG335)/AH335,"")</f>
        <v/>
      </c>
      <c r="AJ335" s="195">
        <f>VLOOKUP(P335,Matrix!AA:AC,3,0)</f>
        <v/>
      </c>
      <c r="AK335" s="195">
        <f>SUMIFS(Def!C:C,Def!F:F,AJ335)</f>
        <v/>
      </c>
      <c r="AL335" s="156">
        <f>IFERROR(SUMIFS(Def!B:B,Def!F:F,AJ335)/AK335,"")</f>
        <v/>
      </c>
    </row>
    <row r="336" ht="14.4" customHeight="1" s="152">
      <c r="A336" s="157">
        <f>IF(F336="Yes",IFERROR(IF(AA336&gt;1,AA336/100,100/-AA336),""),-1)</f>
        <v/>
      </c>
      <c r="B336" s="157">
        <f>B335+1</f>
        <v/>
      </c>
      <c r="C336" s="157">
        <f>IF(Y336&gt;Z336,1,0)</f>
        <v/>
      </c>
      <c r="D336" s="157">
        <f>IF(AND(C336=1,F336="Yes"),"Yes",IF(AND(C336=0,F336="No"),"Yes","No"))</f>
        <v/>
      </c>
      <c r="E336" s="192">
        <f>IF((AC336+AB336)=AD336,"Push",IF((AC336+AB336)&gt;AD336,"Yes","No"))</f>
        <v/>
      </c>
      <c r="F336" s="192">
        <f>IF(AC336&gt;AD336,"Yes","No")</f>
        <v/>
      </c>
      <c r="G336" s="192">
        <f>IF((Y336+AB336)&gt;Z336,"Yes",IF((Y336+AB336)=Z336,"Push","No"))</f>
        <v/>
      </c>
      <c r="H336" s="157">
        <f>IF(O336="Home",VLOOKUP(N336,Matrix!A:S,19,0),1)</f>
        <v/>
      </c>
      <c r="I336" s="157">
        <f>IF(O336="Away",VLOOKUP(N336,Matrix!A:Z,20,0),1)</f>
        <v/>
      </c>
      <c r="J336" s="157">
        <f>IF(O336="Away",VLOOKUP(P336,Matrix!A:S,19,0),1)</f>
        <v/>
      </c>
      <c r="K336" s="157">
        <f>IF(O336="Home",VLOOKUP(P336,Matrix!A:Z,20,0),1)</f>
        <v/>
      </c>
      <c r="L336" s="156" t="n">
        <v>-0.542432716146705</v>
      </c>
      <c r="M336" s="179">
        <f>Schedule!B336</f>
        <v/>
      </c>
      <c r="N336" s="156">
        <f>Schedule!E336</f>
        <v/>
      </c>
      <c r="O336" s="156" t="inlineStr">
        <is>
          <t>Home</t>
        </is>
      </c>
      <c r="P336" s="157">
        <f>Schedule!H336</f>
        <v/>
      </c>
      <c r="Q336" s="157">
        <f>Schedule!C336</f>
        <v/>
      </c>
      <c r="R336" s="180">
        <f>Schedule!D336</f>
        <v/>
      </c>
      <c r="S336" s="181">
        <f>Schedule!J336</f>
        <v/>
      </c>
      <c r="T336" s="193">
        <f>Y336-Z336</f>
        <v/>
      </c>
      <c r="U336" s="182">
        <f>T336/Picks!$K$2</f>
        <v/>
      </c>
      <c r="V336" s="193">
        <f>INDEX(Standings!$T$3:$T$34, MATCH(N336, Standings!$A$3:$A$34, 0)) - INDEX(Standings!$T$3:$T$34, MATCH(P336, Standings!$A$3:$A$34, 0))</f>
        <v/>
      </c>
      <c r="W336" s="157">
        <f>INDEX(Standings!$L$3:$L$34, MATCH(N336, Standings!$A$3:$A$34, 0)) - INDEX(Standings!$L$3:$L$34, MATCH(P336, Standings!$A$3:$A$34, 0))</f>
        <v/>
      </c>
      <c r="X336" s="157">
        <f>INDEX(Standings!$M$3:$M$34, MATCH(N336, Standings!$A$3:$A$34, 0)) - INDEX(Standings!$M$3:$M$34, MATCH(P336, Standings!$A$3:$A$34, 0))</f>
        <v/>
      </c>
      <c r="Y336" s="194">
        <f t="array" ref="Y336:Y336">IFERROR(AE336+(AL336-_DFactor)*AE336,"")</f>
        <v/>
      </c>
      <c r="Z336" s="157">
        <f>IFERROR(AF336+(AI336-_DFactor)*AF336,"")</f>
        <v/>
      </c>
      <c r="AC336" s="194">
        <f>VLOOKUP(M336&amp;N336,Schedule!A:F,6,0)</f>
        <v/>
      </c>
      <c r="AD336" s="194">
        <f>VLOOKUP(M336&amp;P336,Schedule!A:F,6,0)</f>
        <v/>
      </c>
      <c r="AE336" s="156">
        <f>VLOOKUP(N336,ProjPVT!B:I,8,0)*_Mag/VLOOKUP(P336,Standings!A:O,15,0)*H336*K336</f>
        <v/>
      </c>
      <c r="AF336" s="156">
        <f>VLOOKUP(P336,ProjPVT!B:I,8,0)*_Mag/VLOOKUP(N336,Standings!A:O,15,0)*J336*I336</f>
        <v/>
      </c>
      <c r="AG336" s="195">
        <f>VLOOKUP(N336,Matrix!AA:AC,3,0)</f>
        <v/>
      </c>
      <c r="AH336" s="195">
        <f>SUMIFS(Def!C:C,Def!F:F,AG336)</f>
        <v/>
      </c>
      <c r="AI336" s="156">
        <f>IFERROR(SUMIFS(Def!B:B,Def!F:F,AG336)/AH336,"")</f>
        <v/>
      </c>
      <c r="AJ336" s="195">
        <f>VLOOKUP(P336,Matrix!AA:AC,3,0)</f>
        <v/>
      </c>
      <c r="AK336" s="195">
        <f>SUMIFS(Def!C:C,Def!F:F,AJ336)</f>
        <v/>
      </c>
      <c r="AL336" s="156">
        <f>IFERROR(SUMIFS(Def!B:B,Def!F:F,AJ336)/AK336,"")</f>
        <v/>
      </c>
    </row>
    <row r="337" ht="14.4" customHeight="1" s="152">
      <c r="A337" s="157">
        <f>IF(F337="Yes",IFERROR(IF(AA337&gt;1,AA337/100,100/-AA337),""),-1)</f>
        <v/>
      </c>
      <c r="B337" s="157">
        <f>B336+1</f>
        <v/>
      </c>
      <c r="C337" s="157">
        <f>IF(Y337&gt;Z337,1,0)</f>
        <v/>
      </c>
      <c r="D337" s="157">
        <f>IF(AND(C337=1,F337="Yes"),"Yes",IF(AND(C337=0,F337="No"),"Yes","No"))</f>
        <v/>
      </c>
      <c r="E337" s="192">
        <f>IF((AC337+AB337)=AD337,"Push",IF((AC337+AB337)&gt;AD337,"Yes","No"))</f>
        <v/>
      </c>
      <c r="F337" s="192">
        <f>IF(AC337&gt;AD337,"Yes","No")</f>
        <v/>
      </c>
      <c r="G337" s="192">
        <f>IF((Y337+AB337)&gt;Z337,"Yes",IF((Y337+AB337)=Z337,"Push","No"))</f>
        <v/>
      </c>
      <c r="H337" s="157">
        <f>IF(O337="Home",VLOOKUP(N337,Matrix!A:S,19,0),1)</f>
        <v/>
      </c>
      <c r="I337" s="157">
        <f>IF(O337="Away",VLOOKUP(N337,Matrix!A:Z,20,0),1)</f>
        <v/>
      </c>
      <c r="J337" s="157">
        <f>IF(O337="Away",VLOOKUP(P337,Matrix!A:S,19,0),1)</f>
        <v/>
      </c>
      <c r="K337" s="157">
        <f>IF(O337="Home",VLOOKUP(P337,Matrix!A:Z,20,0),1)</f>
        <v/>
      </c>
      <c r="L337" s="156" t="n">
        <v>-0.527566502463054</v>
      </c>
      <c r="M337" s="179">
        <f>Schedule!B337</f>
        <v/>
      </c>
      <c r="N337" s="156">
        <f>Schedule!E337</f>
        <v/>
      </c>
      <c r="O337" s="156" t="inlineStr">
        <is>
          <t>Away</t>
        </is>
      </c>
      <c r="P337" s="157">
        <f>Schedule!H337</f>
        <v/>
      </c>
      <c r="Q337" s="157">
        <f>Schedule!C337</f>
        <v/>
      </c>
      <c r="R337" s="180">
        <f>Schedule!D337</f>
        <v/>
      </c>
      <c r="S337" s="181">
        <f>Schedule!J337</f>
        <v/>
      </c>
      <c r="T337" s="193">
        <f>Y337-Z337</f>
        <v/>
      </c>
      <c r="U337" s="182">
        <f>T337/Picks!$K$2</f>
        <v/>
      </c>
      <c r="V337" s="193">
        <f>INDEX(Standings!$T$3:$T$34, MATCH(N337, Standings!$A$3:$A$34, 0)) - INDEX(Standings!$T$3:$T$34, MATCH(P337, Standings!$A$3:$A$34, 0))</f>
        <v/>
      </c>
      <c r="W337" s="157">
        <f>INDEX(Standings!$L$3:$L$34, MATCH(N337, Standings!$A$3:$A$34, 0)) - INDEX(Standings!$L$3:$L$34, MATCH(P337, Standings!$A$3:$A$34, 0))</f>
        <v/>
      </c>
      <c r="X337" s="157">
        <f>INDEX(Standings!$M$3:$M$34, MATCH(N337, Standings!$A$3:$A$34, 0)) - INDEX(Standings!$M$3:$M$34, MATCH(P337, Standings!$A$3:$A$34, 0))</f>
        <v/>
      </c>
      <c r="Y337" s="194">
        <f t="array" ref="Y337:Y337">IFERROR(AE337+(AL337-_DFactor)*AE337,"")</f>
        <v/>
      </c>
      <c r="Z337" s="157">
        <f>IFERROR(AF337+(AI337-_DFactor)*AF337,"")</f>
        <v/>
      </c>
      <c r="AC337" s="194">
        <f>VLOOKUP(M337&amp;N337,Schedule!A:F,6,0)</f>
        <v/>
      </c>
      <c r="AD337" s="194">
        <f>VLOOKUP(M337&amp;P337,Schedule!A:F,6,0)</f>
        <v/>
      </c>
      <c r="AE337" s="156">
        <f>VLOOKUP(N337,ProjPVT!B:I,8,0)*_Mag/VLOOKUP(P337,Standings!A:O,15,0)*H337*K337</f>
        <v/>
      </c>
      <c r="AF337" s="156">
        <f>VLOOKUP(P337,ProjPVT!B:I,8,0)*_Mag/VLOOKUP(N337,Standings!A:O,15,0)*J337*I337</f>
        <v/>
      </c>
      <c r="AG337" s="195">
        <f>VLOOKUP(N337,Matrix!AA:AC,3,0)</f>
        <v/>
      </c>
      <c r="AH337" s="195">
        <f>SUMIFS(Def!C:C,Def!F:F,AG337)</f>
        <v/>
      </c>
      <c r="AI337" s="156">
        <f>IFERROR(SUMIFS(Def!B:B,Def!F:F,AG337)/AH337,"")</f>
        <v/>
      </c>
      <c r="AJ337" s="195">
        <f>VLOOKUP(P337,Matrix!AA:AC,3,0)</f>
        <v/>
      </c>
      <c r="AK337" s="195">
        <f>SUMIFS(Def!C:C,Def!F:F,AJ337)</f>
        <v/>
      </c>
      <c r="AL337" s="156">
        <f>IFERROR(SUMIFS(Def!B:B,Def!F:F,AJ337)/AK337,"")</f>
        <v/>
      </c>
    </row>
    <row r="338" ht="14.4" customHeight="1" s="152">
      <c r="A338" s="157">
        <f>IF(F338="Yes",IFERROR(IF(AA338&gt;1,AA338/100,100/-AA338),""),-1)</f>
        <v/>
      </c>
      <c r="B338" s="157">
        <f>B337+1</f>
        <v/>
      </c>
      <c r="C338" s="157">
        <f>IF(Y338&gt;Z338,1,0)</f>
        <v/>
      </c>
      <c r="D338" s="157">
        <f>IF(AND(C338=1,F338="Yes"),"Yes",IF(AND(C338=0,F338="No"),"Yes","No"))</f>
        <v/>
      </c>
      <c r="E338" s="192">
        <f>IF((AC338+AB338)=AD338,"Push",IF((AC338+AB338)&gt;AD338,"Yes","No"))</f>
        <v/>
      </c>
      <c r="F338" s="192">
        <f>IF(AC338&gt;AD338,"Yes","No")</f>
        <v/>
      </c>
      <c r="G338" s="192">
        <f>IF((Y338+AB338)&gt;Z338,"Yes",IF((Y338+AB338)=Z338,"Push","No"))</f>
        <v/>
      </c>
      <c r="H338" s="157">
        <f>IF(O338="Home",VLOOKUP(N338,Matrix!A:S,19,0),1)</f>
        <v/>
      </c>
      <c r="I338" s="157">
        <f>IF(O338="Away",VLOOKUP(N338,Matrix!A:Z,20,0),1)</f>
        <v/>
      </c>
      <c r="J338" s="157">
        <f>IF(O338="Away",VLOOKUP(P338,Matrix!A:S,19,0),1)</f>
        <v/>
      </c>
      <c r="K338" s="157">
        <f>IF(O338="Home",VLOOKUP(P338,Matrix!A:Z,20,0),1)</f>
        <v/>
      </c>
      <c r="L338" s="156" t="n">
        <v>-0.439457136958484</v>
      </c>
      <c r="M338" s="179">
        <f>Schedule!B338</f>
        <v/>
      </c>
      <c r="N338" s="156">
        <f>Schedule!E338</f>
        <v/>
      </c>
      <c r="O338" s="156" t="inlineStr">
        <is>
          <t>Away</t>
        </is>
      </c>
      <c r="P338" s="157">
        <f>Schedule!H338</f>
        <v/>
      </c>
      <c r="Q338" s="157">
        <f>Schedule!C338</f>
        <v/>
      </c>
      <c r="R338" s="180">
        <f>Schedule!D338</f>
        <v/>
      </c>
      <c r="S338" s="181">
        <f>Schedule!J338</f>
        <v/>
      </c>
      <c r="T338" s="193">
        <f>Y338-Z338</f>
        <v/>
      </c>
      <c r="U338" s="182">
        <f>T338/Picks!$K$2</f>
        <v/>
      </c>
      <c r="V338" s="193">
        <f>INDEX(Standings!$T$3:$T$34, MATCH(N338, Standings!$A$3:$A$34, 0)) - INDEX(Standings!$T$3:$T$34, MATCH(P338, Standings!$A$3:$A$34, 0))</f>
        <v/>
      </c>
      <c r="W338" s="157">
        <f>INDEX(Standings!$L$3:$L$34, MATCH(N338, Standings!$A$3:$A$34, 0)) - INDEX(Standings!$L$3:$L$34, MATCH(P338, Standings!$A$3:$A$34, 0))</f>
        <v/>
      </c>
      <c r="X338" s="157">
        <f>INDEX(Standings!$M$3:$M$34, MATCH(N338, Standings!$A$3:$A$34, 0)) - INDEX(Standings!$M$3:$M$34, MATCH(P338, Standings!$A$3:$A$34, 0))</f>
        <v/>
      </c>
      <c r="Y338" s="194">
        <f t="array" ref="Y338:Y338">IFERROR(AE338+(AL338-_DFactor)*AE338,"")</f>
        <v/>
      </c>
      <c r="Z338" s="157">
        <f>IFERROR(AF338+(AI338-_DFactor)*AF338,"")</f>
        <v/>
      </c>
      <c r="AC338" s="194">
        <f>VLOOKUP(M338&amp;N338,Schedule!A:F,6,0)</f>
        <v/>
      </c>
      <c r="AD338" s="194">
        <f>VLOOKUP(M338&amp;P338,Schedule!A:F,6,0)</f>
        <v/>
      </c>
      <c r="AE338" s="156">
        <f>VLOOKUP(N338,ProjPVT!B:I,8,0)*_Mag/VLOOKUP(P338,Standings!A:O,15,0)*H338*K338</f>
        <v/>
      </c>
      <c r="AF338" s="156">
        <f>VLOOKUP(P338,ProjPVT!B:I,8,0)*_Mag/VLOOKUP(N338,Standings!A:O,15,0)*J338*I338</f>
        <v/>
      </c>
      <c r="AG338" s="195">
        <f>VLOOKUP(N338,Matrix!AA:AC,3,0)</f>
        <v/>
      </c>
      <c r="AH338" s="195">
        <f>SUMIFS(Def!C:C,Def!F:F,AG338)</f>
        <v/>
      </c>
      <c r="AI338" s="156">
        <f>IFERROR(SUMIFS(Def!B:B,Def!F:F,AG338)/AH338,"")</f>
        <v/>
      </c>
      <c r="AJ338" s="195">
        <f>VLOOKUP(P338,Matrix!AA:AC,3,0)</f>
        <v/>
      </c>
      <c r="AK338" s="195">
        <f>SUMIFS(Def!C:C,Def!F:F,AJ338)</f>
        <v/>
      </c>
      <c r="AL338" s="156">
        <f>IFERROR(SUMIFS(Def!B:B,Def!F:F,AJ338)/AK338,"")</f>
        <v/>
      </c>
    </row>
    <row r="339" ht="14.4" customHeight="1" s="152">
      <c r="A339" s="157">
        <f>IF(F339="Yes",IFERROR(IF(AA339&gt;1,AA339/100,100/-AA339),""),-1)</f>
        <v/>
      </c>
      <c r="B339" s="157">
        <f>B338+1</f>
        <v/>
      </c>
      <c r="C339" s="157">
        <f>IF(Y339&gt;Z339,1,0)</f>
        <v/>
      </c>
      <c r="D339" s="157">
        <f>IF(AND(C339=1,F339="Yes"),"Yes",IF(AND(C339=0,F339="No"),"Yes","No"))</f>
        <v/>
      </c>
      <c r="E339" s="192">
        <f>IF((AC339+AB339)=AD339,"Push",IF((AC339+AB339)&gt;AD339,"Yes","No"))</f>
        <v/>
      </c>
      <c r="F339" s="192">
        <f>IF(AC339&gt;AD339,"Yes","No")</f>
        <v/>
      </c>
      <c r="G339" s="192">
        <f>IF((Y339+AB339)&gt;Z339,"Yes",IF((Y339+AB339)=Z339,"Push","No"))</f>
        <v/>
      </c>
      <c r="H339" s="157">
        <f>IF(O339="Home",VLOOKUP(N339,Matrix!A:S,19,0),1)</f>
        <v/>
      </c>
      <c r="I339" s="157">
        <f>IF(O339="Away",VLOOKUP(N339,Matrix!A:Z,20,0),1)</f>
        <v/>
      </c>
      <c r="J339" s="157">
        <f>IF(O339="Away",VLOOKUP(P339,Matrix!A:S,19,0),1)</f>
        <v/>
      </c>
      <c r="K339" s="157">
        <f>IF(O339="Home",VLOOKUP(P339,Matrix!A:Z,20,0),1)</f>
        <v/>
      </c>
      <c r="L339" s="156" t="n">
        <v>-0.322042759632929</v>
      </c>
      <c r="M339" s="179">
        <f>Schedule!B339</f>
        <v/>
      </c>
      <c r="N339" s="156">
        <f>Schedule!E339</f>
        <v/>
      </c>
      <c r="O339" s="156" t="inlineStr">
        <is>
          <t>Away</t>
        </is>
      </c>
      <c r="P339" s="157">
        <f>Schedule!H339</f>
        <v/>
      </c>
      <c r="Q339" s="157">
        <f>Schedule!C339</f>
        <v/>
      </c>
      <c r="R339" s="180">
        <f>Schedule!D339</f>
        <v/>
      </c>
      <c r="S339" s="181">
        <f>Schedule!J339</f>
        <v/>
      </c>
      <c r="T339" s="193">
        <f>Y339-Z339</f>
        <v/>
      </c>
      <c r="U339" s="182">
        <f>T339/Picks!$K$2</f>
        <v/>
      </c>
      <c r="V339" s="193">
        <f>INDEX(Standings!$T$3:$T$34, MATCH(N339, Standings!$A$3:$A$34, 0)) - INDEX(Standings!$T$3:$T$34, MATCH(P339, Standings!$A$3:$A$34, 0))</f>
        <v/>
      </c>
      <c r="W339" s="157">
        <f>INDEX(Standings!$L$3:$L$34, MATCH(N339, Standings!$A$3:$A$34, 0)) - INDEX(Standings!$L$3:$L$34, MATCH(P339, Standings!$A$3:$A$34, 0))</f>
        <v/>
      </c>
      <c r="X339" s="157">
        <f>INDEX(Standings!$M$3:$M$34, MATCH(N339, Standings!$A$3:$A$34, 0)) - INDEX(Standings!$M$3:$M$34, MATCH(P339, Standings!$A$3:$A$34, 0))</f>
        <v/>
      </c>
      <c r="Y339" s="194">
        <f t="array" ref="Y339:Y339">IFERROR(AE339+(AL339-_DFactor)*AE339,"")</f>
        <v/>
      </c>
      <c r="Z339" s="157">
        <f>IFERROR(AF339+(AI339-_DFactor)*AF339,"")</f>
        <v/>
      </c>
      <c r="AC339" s="194">
        <f>VLOOKUP(M339&amp;N339,Schedule!A:F,6,0)</f>
        <v/>
      </c>
      <c r="AD339" s="194">
        <f>VLOOKUP(M339&amp;P339,Schedule!A:F,6,0)</f>
        <v/>
      </c>
      <c r="AE339" s="156">
        <f>VLOOKUP(N339,ProjPVT!B:I,8,0)*_Mag/VLOOKUP(P339,Standings!A:O,15,0)*H339*K339</f>
        <v/>
      </c>
      <c r="AF339" s="156">
        <f>VLOOKUP(P339,ProjPVT!B:I,8,0)*_Mag/VLOOKUP(N339,Standings!A:O,15,0)*J339*I339</f>
        <v/>
      </c>
      <c r="AG339" s="195">
        <f>VLOOKUP(N339,Matrix!AA:AC,3,0)</f>
        <v/>
      </c>
      <c r="AH339" s="195">
        <f>SUMIFS(Def!C:C,Def!F:F,AG339)</f>
        <v/>
      </c>
      <c r="AI339" s="156">
        <f>IFERROR(SUMIFS(Def!B:B,Def!F:F,AG339)/AH339,"")</f>
        <v/>
      </c>
      <c r="AJ339" s="195">
        <f>VLOOKUP(P339,Matrix!AA:AC,3,0)</f>
        <v/>
      </c>
      <c r="AK339" s="195">
        <f>SUMIFS(Def!C:C,Def!F:F,AJ339)</f>
        <v/>
      </c>
      <c r="AL339" s="156">
        <f>IFERROR(SUMIFS(Def!B:B,Def!F:F,AJ339)/AK339,"")</f>
        <v/>
      </c>
    </row>
    <row r="340" ht="14.4" customHeight="1" s="152">
      <c r="A340" s="157">
        <f>IF(F340="Yes",IFERROR(IF(AA340&gt;1,AA340/100,100/-AA340),""),-1)</f>
        <v/>
      </c>
      <c r="B340" s="157">
        <f>B339+1</f>
        <v/>
      </c>
      <c r="C340" s="157">
        <f>IF(Y340&gt;Z340,1,0)</f>
        <v/>
      </c>
      <c r="D340" s="157">
        <f>IF(AND(C340=1,F340="Yes"),"Yes",IF(AND(C340=0,F340="No"),"Yes","No"))</f>
        <v/>
      </c>
      <c r="E340" s="192">
        <f>IF((AC340+AB340)=AD340,"Push",IF((AC340+AB340)&gt;AD340,"Yes","No"))</f>
        <v/>
      </c>
      <c r="F340" s="192">
        <f>IF(AC340&gt;AD340,"Yes","No")</f>
        <v/>
      </c>
      <c r="G340" s="192">
        <f>IF((Y340+AB340)&gt;Z340,"Yes",IF((Y340+AB340)=Z340,"Push","No"))</f>
        <v/>
      </c>
      <c r="H340" s="157">
        <f>IF(O340="Home",VLOOKUP(N340,Matrix!A:S,19,0),1)</f>
        <v/>
      </c>
      <c r="I340" s="157">
        <f>IF(O340="Away",VLOOKUP(N340,Matrix!A:Z,20,0),1)</f>
        <v/>
      </c>
      <c r="J340" s="157">
        <f>IF(O340="Away",VLOOKUP(P340,Matrix!A:S,19,0),1)</f>
        <v/>
      </c>
      <c r="K340" s="157">
        <f>IF(O340="Home",VLOOKUP(P340,Matrix!A:Z,20,0),1)</f>
        <v/>
      </c>
      <c r="L340" s="156" t="n">
        <v>-0.2993762252006</v>
      </c>
      <c r="M340" s="179">
        <f>Schedule!B340</f>
        <v/>
      </c>
      <c r="N340" s="156">
        <f>Schedule!E340</f>
        <v/>
      </c>
      <c r="O340" s="156" t="inlineStr">
        <is>
          <t>Home</t>
        </is>
      </c>
      <c r="P340" s="157">
        <f>Schedule!H340</f>
        <v/>
      </c>
      <c r="Q340" s="157">
        <f>Schedule!C340</f>
        <v/>
      </c>
      <c r="R340" s="180">
        <f>Schedule!D340</f>
        <v/>
      </c>
      <c r="S340" s="181">
        <f>Schedule!J340</f>
        <v/>
      </c>
      <c r="T340" s="193">
        <f>Y340-Z340</f>
        <v/>
      </c>
      <c r="U340" s="182">
        <f>T340/Picks!$K$2</f>
        <v/>
      </c>
      <c r="V340" s="193">
        <f>INDEX(Standings!$T$3:$T$34, MATCH(N340, Standings!$A$3:$A$34, 0)) - INDEX(Standings!$T$3:$T$34, MATCH(P340, Standings!$A$3:$A$34, 0))</f>
        <v/>
      </c>
      <c r="W340" s="157">
        <f>INDEX(Standings!$L$3:$L$34, MATCH(N340, Standings!$A$3:$A$34, 0)) - INDEX(Standings!$L$3:$L$34, MATCH(P340, Standings!$A$3:$A$34, 0))</f>
        <v/>
      </c>
      <c r="X340" s="157">
        <f>INDEX(Standings!$M$3:$M$34, MATCH(N340, Standings!$A$3:$A$34, 0)) - INDEX(Standings!$M$3:$M$34, MATCH(P340, Standings!$A$3:$A$34, 0))</f>
        <v/>
      </c>
      <c r="Y340" s="194">
        <f t="array" ref="Y340:Y340">IFERROR(AE340+(AL340-_DFactor)*AE340,"")</f>
        <v/>
      </c>
      <c r="Z340" s="157">
        <f>IFERROR(AF340+(AI340-_DFactor)*AF340,"")</f>
        <v/>
      </c>
      <c r="AC340" s="194">
        <f>VLOOKUP(M340&amp;N340,Schedule!A:F,6,0)</f>
        <v/>
      </c>
      <c r="AD340" s="194">
        <f>VLOOKUP(M340&amp;P340,Schedule!A:F,6,0)</f>
        <v/>
      </c>
      <c r="AE340" s="156">
        <f>VLOOKUP(N340,ProjPVT!B:I,8,0)*_Mag/VLOOKUP(P340,Standings!A:O,15,0)*H340*K340</f>
        <v/>
      </c>
      <c r="AF340" s="156">
        <f>VLOOKUP(P340,ProjPVT!B:I,8,0)*_Mag/VLOOKUP(N340,Standings!A:O,15,0)*J340*I340</f>
        <v/>
      </c>
      <c r="AG340" s="195">
        <f>VLOOKUP(N340,Matrix!AA:AC,3,0)</f>
        <v/>
      </c>
      <c r="AH340" s="195">
        <f>SUMIFS(Def!C:C,Def!F:F,AG340)</f>
        <v/>
      </c>
      <c r="AI340" s="156">
        <f>IFERROR(SUMIFS(Def!B:B,Def!F:F,AG340)/AH340,"")</f>
        <v/>
      </c>
      <c r="AJ340" s="195">
        <f>VLOOKUP(P340,Matrix!AA:AC,3,0)</f>
        <v/>
      </c>
      <c r="AK340" s="195">
        <f>SUMIFS(Def!C:C,Def!F:F,AJ340)</f>
        <v/>
      </c>
      <c r="AL340" s="156">
        <f>IFERROR(SUMIFS(Def!B:B,Def!F:F,AJ340)/AK340,"")</f>
        <v/>
      </c>
    </row>
    <row r="341" ht="14.4" customHeight="1" s="152">
      <c r="A341" s="157">
        <f>IF(F341="Yes",IFERROR(IF(AA341&gt;1,AA341/100,100/-AA341),""),-1)</f>
        <v/>
      </c>
      <c r="B341" s="157">
        <f>B340+1</f>
        <v/>
      </c>
      <c r="C341" s="157">
        <f>IF(Y341&gt;Z341,1,0)</f>
        <v/>
      </c>
      <c r="D341" s="157">
        <f>IF(AND(C341=1,F341="Yes"),"Yes",IF(AND(C341=0,F341="No"),"Yes","No"))</f>
        <v/>
      </c>
      <c r="E341" s="192">
        <f>IF((AC341+AB341)=AD341,"Push",IF((AC341+AB341)&gt;AD341,"Yes","No"))</f>
        <v/>
      </c>
      <c r="F341" s="192">
        <f>IF(AC341&gt;AD341,"Yes","No")</f>
        <v/>
      </c>
      <c r="G341" s="192">
        <f>IF((Y341+AB341)&gt;Z341,"Yes",IF((Y341+AB341)=Z341,"Push","No"))</f>
        <v/>
      </c>
      <c r="H341" s="157">
        <f>IF(O341="Home",VLOOKUP(N341,Matrix!A:S,19,0),1)</f>
        <v/>
      </c>
      <c r="I341" s="157">
        <f>IF(O341="Away",VLOOKUP(N341,Matrix!A:Z,20,0),1)</f>
        <v/>
      </c>
      <c r="J341" s="157">
        <f>IF(O341="Away",VLOOKUP(P341,Matrix!A:S,19,0),1)</f>
        <v/>
      </c>
      <c r="K341" s="157">
        <f>IF(O341="Home",VLOOKUP(P341,Matrix!A:Z,20,0),1)</f>
        <v/>
      </c>
      <c r="L341" s="156" t="n">
        <v>-0.272029272276631</v>
      </c>
      <c r="M341" s="179">
        <f>Schedule!B341</f>
        <v/>
      </c>
      <c r="N341" s="156">
        <f>Schedule!E341</f>
        <v/>
      </c>
      <c r="O341" s="156" t="inlineStr">
        <is>
          <t>Away</t>
        </is>
      </c>
      <c r="P341" s="157">
        <f>Schedule!H341</f>
        <v/>
      </c>
      <c r="Q341" s="157">
        <f>Schedule!C341</f>
        <v/>
      </c>
      <c r="R341" s="180">
        <f>Schedule!D341</f>
        <v/>
      </c>
      <c r="S341" s="181">
        <f>Schedule!J341</f>
        <v/>
      </c>
      <c r="T341" s="193">
        <f>Y341-Z341</f>
        <v/>
      </c>
      <c r="U341" s="182">
        <f>T341/Picks!$K$2</f>
        <v/>
      </c>
      <c r="V341" s="193">
        <f>INDEX(Standings!$T$3:$T$34, MATCH(N341, Standings!$A$3:$A$34, 0)) - INDEX(Standings!$T$3:$T$34, MATCH(P341, Standings!$A$3:$A$34, 0))</f>
        <v/>
      </c>
      <c r="W341" s="157">
        <f>INDEX(Standings!$L$3:$L$34, MATCH(N341, Standings!$A$3:$A$34, 0)) - INDEX(Standings!$L$3:$L$34, MATCH(P341, Standings!$A$3:$A$34, 0))</f>
        <v/>
      </c>
      <c r="X341" s="157">
        <f>INDEX(Standings!$M$3:$M$34, MATCH(N341, Standings!$A$3:$A$34, 0)) - INDEX(Standings!$M$3:$M$34, MATCH(P341, Standings!$A$3:$A$34, 0))</f>
        <v/>
      </c>
      <c r="Y341" s="194">
        <f t="array" ref="Y341:Y341">IFERROR(AE341+(AL341-_DFactor)*AE341,"")</f>
        <v/>
      </c>
      <c r="Z341" s="157">
        <f>IFERROR(AF341+(AI341-_DFactor)*AF341,"")</f>
        <v/>
      </c>
      <c r="AC341" s="194">
        <f>VLOOKUP(M341&amp;N341,Schedule!A:F,6,0)</f>
        <v/>
      </c>
      <c r="AD341" s="194">
        <f>VLOOKUP(M341&amp;P341,Schedule!A:F,6,0)</f>
        <v/>
      </c>
      <c r="AE341" s="156">
        <f>VLOOKUP(N341,ProjPVT!B:I,8,0)*_Mag/VLOOKUP(P341,Standings!A:O,15,0)*H341*K341</f>
        <v/>
      </c>
      <c r="AF341" s="156">
        <f>VLOOKUP(P341,ProjPVT!B:I,8,0)*_Mag/VLOOKUP(N341,Standings!A:O,15,0)*J341*I341</f>
        <v/>
      </c>
      <c r="AG341" s="195">
        <f>VLOOKUP(N341,Matrix!AA:AC,3,0)</f>
        <v/>
      </c>
      <c r="AH341" s="195">
        <f>SUMIFS(Def!C:C,Def!F:F,AG341)</f>
        <v/>
      </c>
      <c r="AI341" s="156">
        <f>IFERROR(SUMIFS(Def!B:B,Def!F:F,AG341)/AH341,"")</f>
        <v/>
      </c>
      <c r="AJ341" s="195">
        <f>VLOOKUP(P341,Matrix!AA:AC,3,0)</f>
        <v/>
      </c>
      <c r="AK341" s="195">
        <f>SUMIFS(Def!C:C,Def!F:F,AJ341)</f>
        <v/>
      </c>
      <c r="AL341" s="156">
        <f>IFERROR(SUMIFS(Def!B:B,Def!F:F,AJ341)/AK341,"")</f>
        <v/>
      </c>
    </row>
    <row r="342" ht="14.4" customHeight="1" s="152">
      <c r="A342" s="157">
        <f>IF(F342="Yes",IFERROR(IF(AA342&gt;1,AA342/100,100/-AA342),""),-1)</f>
        <v/>
      </c>
      <c r="B342" s="157">
        <f>B341+1</f>
        <v/>
      </c>
      <c r="C342" s="157">
        <f>IF(Y342&gt;Z342,1,0)</f>
        <v/>
      </c>
      <c r="D342" s="157">
        <f>IF(AND(C342=1,F342="Yes"),"Yes",IF(AND(C342=0,F342="No"),"Yes","No"))</f>
        <v/>
      </c>
      <c r="E342" s="192">
        <f>IF((AC342+AB342)=AD342,"Push",IF((AC342+AB342)&gt;AD342,"Yes","No"))</f>
        <v/>
      </c>
      <c r="F342" s="192">
        <f>IF(AC342&gt;AD342,"Yes","No")</f>
        <v/>
      </c>
      <c r="G342" s="192">
        <f>IF((Y342+AB342)&gt;Z342,"Yes",IF((Y342+AB342)=Z342,"Push","No"))</f>
        <v/>
      </c>
      <c r="H342" s="157">
        <f>IF(O342="Home",VLOOKUP(N342,Matrix!A:S,19,0),1)</f>
        <v/>
      </c>
      <c r="I342" s="157">
        <f>IF(O342="Away",VLOOKUP(N342,Matrix!A:Z,20,0),1)</f>
        <v/>
      </c>
      <c r="J342" s="157">
        <f>IF(O342="Away",VLOOKUP(P342,Matrix!A:S,19,0),1)</f>
        <v/>
      </c>
      <c r="K342" s="157">
        <f>IF(O342="Home",VLOOKUP(P342,Matrix!A:Z,20,0),1)</f>
        <v/>
      </c>
      <c r="L342" s="156" t="n">
        <v>-0.235144191623395</v>
      </c>
      <c r="M342" s="179">
        <f>Schedule!B342</f>
        <v/>
      </c>
      <c r="N342" s="156">
        <f>Schedule!E342</f>
        <v/>
      </c>
      <c r="O342" s="156" t="inlineStr">
        <is>
          <t>Home</t>
        </is>
      </c>
      <c r="P342" s="157">
        <f>Schedule!H342</f>
        <v/>
      </c>
      <c r="Q342" s="157">
        <f>Schedule!C342</f>
        <v/>
      </c>
      <c r="R342" s="180">
        <f>Schedule!D342</f>
        <v/>
      </c>
      <c r="S342" s="181">
        <f>Schedule!J342</f>
        <v/>
      </c>
      <c r="T342" s="193">
        <f>Y342-Z342</f>
        <v/>
      </c>
      <c r="U342" s="182">
        <f>T342/Picks!$K$2</f>
        <v/>
      </c>
      <c r="V342" s="193">
        <f>INDEX(Standings!$T$3:$T$34, MATCH(N342, Standings!$A$3:$A$34, 0)) - INDEX(Standings!$T$3:$T$34, MATCH(P342, Standings!$A$3:$A$34, 0))</f>
        <v/>
      </c>
      <c r="W342" s="157">
        <f>INDEX(Standings!$L$3:$L$34, MATCH(N342, Standings!$A$3:$A$34, 0)) - INDEX(Standings!$L$3:$L$34, MATCH(P342, Standings!$A$3:$A$34, 0))</f>
        <v/>
      </c>
      <c r="X342" s="157">
        <f>INDEX(Standings!$M$3:$M$34, MATCH(N342, Standings!$A$3:$A$34, 0)) - INDEX(Standings!$M$3:$M$34, MATCH(P342, Standings!$A$3:$A$34, 0))</f>
        <v/>
      </c>
      <c r="Y342" s="194">
        <f t="array" ref="Y342:Y342">IFERROR(AE342+(AL342-_DFactor)*AE342,"")</f>
        <v/>
      </c>
      <c r="Z342" s="157">
        <f>IFERROR(AF342+(AI342-_DFactor)*AF342,"")</f>
        <v/>
      </c>
      <c r="AC342" s="194">
        <f>VLOOKUP(M342&amp;N342,Schedule!A:F,6,0)</f>
        <v/>
      </c>
      <c r="AD342" s="194">
        <f>VLOOKUP(M342&amp;P342,Schedule!A:F,6,0)</f>
        <v/>
      </c>
      <c r="AE342" s="156">
        <f>VLOOKUP(N342,ProjPVT!B:I,8,0)*_Mag/VLOOKUP(P342,Standings!A:O,15,0)*H342*K342</f>
        <v/>
      </c>
      <c r="AF342" s="156">
        <f>VLOOKUP(P342,ProjPVT!B:I,8,0)*_Mag/VLOOKUP(N342,Standings!A:O,15,0)*J342*I342</f>
        <v/>
      </c>
      <c r="AG342" s="195">
        <f>VLOOKUP(N342,Matrix!AA:AC,3,0)</f>
        <v/>
      </c>
      <c r="AH342" s="195">
        <f>SUMIFS(Def!C:C,Def!F:F,AG342)</f>
        <v/>
      </c>
      <c r="AI342" s="156">
        <f>IFERROR(SUMIFS(Def!B:B,Def!F:F,AG342)/AH342,"")</f>
        <v/>
      </c>
      <c r="AJ342" s="195">
        <f>VLOOKUP(P342,Matrix!AA:AC,3,0)</f>
        <v/>
      </c>
      <c r="AK342" s="195">
        <f>SUMIFS(Def!C:C,Def!F:F,AJ342)</f>
        <v/>
      </c>
      <c r="AL342" s="156">
        <f>IFERROR(SUMIFS(Def!B:B,Def!F:F,AJ342)/AK342,"")</f>
        <v/>
      </c>
    </row>
    <row r="343" ht="14.4" customHeight="1" s="152">
      <c r="A343" s="157">
        <f>IF(F343="Yes",IFERROR(IF(AA343&gt;1,AA343/100,100/-AA343),""),-1)</f>
        <v/>
      </c>
      <c r="B343" s="157">
        <f>B342+1</f>
        <v/>
      </c>
      <c r="C343" s="157">
        <f>IF(Y343&gt;Z343,1,0)</f>
        <v/>
      </c>
      <c r="D343" s="157">
        <f>IF(AND(C343=1,F343="Yes"),"Yes",IF(AND(C343=0,F343="No"),"Yes","No"))</f>
        <v/>
      </c>
      <c r="E343" s="192">
        <f>IF((AC343+AB343)=AD343,"Push",IF((AC343+AB343)&gt;AD343,"Yes","No"))</f>
        <v/>
      </c>
      <c r="F343" s="192">
        <f>IF(AC343&gt;AD343,"Yes","No")</f>
        <v/>
      </c>
      <c r="G343" s="192">
        <f>IF((Y343+AB343)&gt;Z343,"Yes",IF((Y343+AB343)=Z343,"Push","No"))</f>
        <v/>
      </c>
      <c r="H343" s="157">
        <f>IF(O343="Home",VLOOKUP(N343,Matrix!A:S,19,0),1)</f>
        <v/>
      </c>
      <c r="I343" s="157">
        <f>IF(O343="Away",VLOOKUP(N343,Matrix!A:Z,20,0),1)</f>
        <v/>
      </c>
      <c r="J343" s="157">
        <f>IF(O343="Away",VLOOKUP(P343,Matrix!A:S,19,0),1)</f>
        <v/>
      </c>
      <c r="K343" s="157">
        <f>IF(O343="Home",VLOOKUP(P343,Matrix!A:Z,20,0),1)</f>
        <v/>
      </c>
      <c r="L343" s="156" t="n">
        <v>-0.221611268186166</v>
      </c>
      <c r="M343" s="179">
        <f>Schedule!B343</f>
        <v/>
      </c>
      <c r="N343" s="156">
        <f>Schedule!E343</f>
        <v/>
      </c>
      <c r="O343" s="156" t="inlineStr">
        <is>
          <t>Home</t>
        </is>
      </c>
      <c r="P343" s="157">
        <f>Schedule!H343</f>
        <v/>
      </c>
      <c r="Q343" s="157">
        <f>Schedule!C343</f>
        <v/>
      </c>
      <c r="R343" s="180">
        <f>Schedule!D343</f>
        <v/>
      </c>
      <c r="S343" s="181">
        <f>Schedule!J343</f>
        <v/>
      </c>
      <c r="T343" s="193">
        <f>Y343-Z343</f>
        <v/>
      </c>
      <c r="U343" s="182">
        <f>T343/Picks!$K$2</f>
        <v/>
      </c>
      <c r="V343" s="193">
        <f>INDEX(Standings!$T$3:$T$34, MATCH(N343, Standings!$A$3:$A$34, 0)) - INDEX(Standings!$T$3:$T$34, MATCH(P343, Standings!$A$3:$A$34, 0))</f>
        <v/>
      </c>
      <c r="W343" s="157">
        <f>INDEX(Standings!$L$3:$L$34, MATCH(N343, Standings!$A$3:$A$34, 0)) - INDEX(Standings!$L$3:$L$34, MATCH(P343, Standings!$A$3:$A$34, 0))</f>
        <v/>
      </c>
      <c r="X343" s="157">
        <f>INDEX(Standings!$M$3:$M$34, MATCH(N343, Standings!$A$3:$A$34, 0)) - INDEX(Standings!$M$3:$M$34, MATCH(P343, Standings!$A$3:$A$34, 0))</f>
        <v/>
      </c>
      <c r="Y343" s="194">
        <f t="array" ref="Y343:Y343">IFERROR(AE343+(AL343-_DFactor)*AE343,"")</f>
        <v/>
      </c>
      <c r="Z343" s="157">
        <f>IFERROR(AF343+(AI343-_DFactor)*AF343,"")</f>
        <v/>
      </c>
      <c r="AC343" s="194">
        <f>VLOOKUP(M343&amp;N343,Schedule!A:F,6,0)</f>
        <v/>
      </c>
      <c r="AD343" s="194">
        <f>VLOOKUP(M343&amp;P343,Schedule!A:F,6,0)</f>
        <v/>
      </c>
      <c r="AE343" s="156">
        <f>VLOOKUP(N343,ProjPVT!B:I,8,0)*_Mag/VLOOKUP(P343,Standings!A:O,15,0)*H343*K343</f>
        <v/>
      </c>
      <c r="AF343" s="156">
        <f>VLOOKUP(P343,ProjPVT!B:I,8,0)*_Mag/VLOOKUP(N343,Standings!A:O,15,0)*J343*I343</f>
        <v/>
      </c>
      <c r="AG343" s="195">
        <f>VLOOKUP(N343,Matrix!AA:AC,3,0)</f>
        <v/>
      </c>
      <c r="AH343" s="195">
        <f>SUMIFS(Def!C:C,Def!F:F,AG343)</f>
        <v/>
      </c>
      <c r="AI343" s="156">
        <f>IFERROR(SUMIFS(Def!B:B,Def!F:F,AG343)/AH343,"")</f>
        <v/>
      </c>
      <c r="AJ343" s="195">
        <f>VLOOKUP(P343,Matrix!AA:AC,3,0)</f>
        <v/>
      </c>
      <c r="AK343" s="195">
        <f>SUMIFS(Def!C:C,Def!F:F,AJ343)</f>
        <v/>
      </c>
      <c r="AL343" s="156">
        <f>IFERROR(SUMIFS(Def!B:B,Def!F:F,AJ343)/AK343,"")</f>
        <v/>
      </c>
    </row>
    <row r="344" ht="14.4" customHeight="1" s="152">
      <c r="A344" s="157">
        <f>IF(F344="Yes",IFERROR(IF(AA344&gt;1,AA344/100,100/-AA344),""),-1)</f>
        <v/>
      </c>
      <c r="B344" s="157">
        <f>B343+1</f>
        <v/>
      </c>
      <c r="C344" s="157">
        <f>IF(Y344&gt;Z344,1,0)</f>
        <v/>
      </c>
      <c r="D344" s="157">
        <f>IF(AND(C344=1,F344="Yes"),"Yes",IF(AND(C344=0,F344="No"),"Yes","No"))</f>
        <v/>
      </c>
      <c r="E344" s="192">
        <f>IF((AC344+AB344)=AD344,"Push",IF((AC344+AB344)&gt;AD344,"Yes","No"))</f>
        <v/>
      </c>
      <c r="F344" s="192">
        <f>IF(AC344&gt;AD344,"Yes","No")</f>
        <v/>
      </c>
      <c r="G344" s="192">
        <f>IF((Y344+AB344)&gt;Z344,"Yes",IF((Y344+AB344)=Z344,"Push","No"))</f>
        <v/>
      </c>
      <c r="H344" s="157">
        <f>IF(O344="Home",VLOOKUP(N344,Matrix!A:S,19,0),1)</f>
        <v/>
      </c>
      <c r="I344" s="157">
        <f>IF(O344="Away",VLOOKUP(N344,Matrix!A:Z,20,0),1)</f>
        <v/>
      </c>
      <c r="J344" s="157">
        <f>IF(O344="Away",VLOOKUP(P344,Matrix!A:S,19,0),1)</f>
        <v/>
      </c>
      <c r="K344" s="157">
        <f>IF(O344="Home",VLOOKUP(P344,Matrix!A:Z,20,0),1)</f>
        <v/>
      </c>
      <c r="L344" s="156" t="n">
        <v>-0.198687659459501</v>
      </c>
      <c r="M344" s="179">
        <f>Schedule!B344</f>
        <v/>
      </c>
      <c r="N344" s="156">
        <f>Schedule!E344</f>
        <v/>
      </c>
      <c r="O344" s="156" t="inlineStr">
        <is>
          <t>Away</t>
        </is>
      </c>
      <c r="P344" s="157">
        <f>Schedule!H344</f>
        <v/>
      </c>
      <c r="Q344" s="157">
        <f>Schedule!C344</f>
        <v/>
      </c>
      <c r="R344" s="180">
        <f>Schedule!D344</f>
        <v/>
      </c>
      <c r="S344" s="181">
        <f>Schedule!J344</f>
        <v/>
      </c>
      <c r="T344" s="193">
        <f>Y344-Z344</f>
        <v/>
      </c>
      <c r="U344" s="182">
        <f>T344/Picks!$K$2</f>
        <v/>
      </c>
      <c r="V344" s="193">
        <f>INDEX(Standings!$T$3:$T$34, MATCH(N344, Standings!$A$3:$A$34, 0)) - INDEX(Standings!$T$3:$T$34, MATCH(P344, Standings!$A$3:$A$34, 0))</f>
        <v/>
      </c>
      <c r="W344" s="157">
        <f>INDEX(Standings!$L$3:$L$34, MATCH(N344, Standings!$A$3:$A$34, 0)) - INDEX(Standings!$L$3:$L$34, MATCH(P344, Standings!$A$3:$A$34, 0))</f>
        <v/>
      </c>
      <c r="X344" s="157">
        <f>INDEX(Standings!$M$3:$M$34, MATCH(N344, Standings!$A$3:$A$34, 0)) - INDEX(Standings!$M$3:$M$34, MATCH(P344, Standings!$A$3:$A$34, 0))</f>
        <v/>
      </c>
      <c r="Y344" s="194">
        <f t="array" ref="Y344:Y344">IFERROR(AE344+(AL344-_DFactor)*AE344,"")</f>
        <v/>
      </c>
      <c r="Z344" s="157">
        <f>IFERROR(AF344+(AI344-_DFactor)*AF344,"")</f>
        <v/>
      </c>
      <c r="AC344" s="194">
        <f>VLOOKUP(M344&amp;N344,Schedule!A:F,6,0)</f>
        <v/>
      </c>
      <c r="AD344" s="194">
        <f>VLOOKUP(M344&amp;P344,Schedule!A:F,6,0)</f>
        <v/>
      </c>
      <c r="AE344" s="156">
        <f>VLOOKUP(N344,ProjPVT!B:I,8,0)*_Mag/VLOOKUP(P344,Standings!A:O,15,0)*H344*K344</f>
        <v/>
      </c>
      <c r="AF344" s="156">
        <f>VLOOKUP(P344,ProjPVT!B:I,8,0)*_Mag/VLOOKUP(N344,Standings!A:O,15,0)*J344*I344</f>
        <v/>
      </c>
      <c r="AG344" s="195">
        <f>VLOOKUP(N344,Matrix!AA:AC,3,0)</f>
        <v/>
      </c>
      <c r="AH344" s="195">
        <f>SUMIFS(Def!C:C,Def!F:F,AG344)</f>
        <v/>
      </c>
      <c r="AI344" s="156">
        <f>IFERROR(SUMIFS(Def!B:B,Def!F:F,AG344)/AH344,"")</f>
        <v/>
      </c>
      <c r="AJ344" s="195">
        <f>VLOOKUP(P344,Matrix!AA:AC,3,0)</f>
        <v/>
      </c>
      <c r="AK344" s="195">
        <f>SUMIFS(Def!C:C,Def!F:F,AJ344)</f>
        <v/>
      </c>
      <c r="AL344" s="156">
        <f>IFERROR(SUMIFS(Def!B:B,Def!F:F,AJ344)/AK344,"")</f>
        <v/>
      </c>
    </row>
    <row r="345" ht="14.4" customHeight="1" s="152">
      <c r="A345" s="157">
        <f>IF(F345="Yes",IFERROR(IF(AA345&gt;1,AA345/100,100/-AA345),""),-1)</f>
        <v/>
      </c>
      <c r="B345" s="157">
        <f>B344+1</f>
        <v/>
      </c>
      <c r="C345" s="157">
        <f>IF(Y345&gt;Z345,1,0)</f>
        <v/>
      </c>
      <c r="D345" s="157">
        <f>IF(AND(C345=1,F345="Yes"),"Yes",IF(AND(C345=0,F345="No"),"Yes","No"))</f>
        <v/>
      </c>
      <c r="E345" s="192">
        <f>IF((AC345+AB345)=AD345,"Push",IF((AC345+AB345)&gt;AD345,"Yes","No"))</f>
        <v/>
      </c>
      <c r="F345" s="192">
        <f>IF(AC345&gt;AD345,"Yes","No")</f>
        <v/>
      </c>
      <c r="G345" s="192">
        <f>IF((Y345+AB345)&gt;Z345,"Yes",IF((Y345+AB345)=Z345,"Push","No"))</f>
        <v/>
      </c>
      <c r="H345" s="157">
        <f>IF(O345="Home",VLOOKUP(N345,Matrix!A:S,19,0),1)</f>
        <v/>
      </c>
      <c r="I345" s="157">
        <f>IF(O345="Away",VLOOKUP(N345,Matrix!A:Z,20,0),1)</f>
        <v/>
      </c>
      <c r="J345" s="157">
        <f>IF(O345="Away",VLOOKUP(P345,Matrix!A:S,19,0),1)</f>
        <v/>
      </c>
      <c r="K345" s="157">
        <f>IF(O345="Home",VLOOKUP(P345,Matrix!A:Z,20,0),1)</f>
        <v/>
      </c>
      <c r="L345" s="156" t="n">
        <v>-0.0414576203208069</v>
      </c>
      <c r="M345" s="179">
        <f>Schedule!B345</f>
        <v/>
      </c>
      <c r="N345" s="156">
        <f>Schedule!E345</f>
        <v/>
      </c>
      <c r="O345" s="156" t="inlineStr">
        <is>
          <t>Away</t>
        </is>
      </c>
      <c r="P345" s="157">
        <f>Schedule!H345</f>
        <v/>
      </c>
      <c r="Q345" s="157">
        <f>Schedule!C345</f>
        <v/>
      </c>
      <c r="R345" s="180">
        <f>Schedule!D345</f>
        <v/>
      </c>
      <c r="S345" s="181">
        <f>Schedule!J345</f>
        <v/>
      </c>
      <c r="T345" s="193">
        <f>Y345-Z345</f>
        <v/>
      </c>
      <c r="U345" s="182">
        <f>T345/Picks!$K$2</f>
        <v/>
      </c>
      <c r="V345" s="193">
        <f>INDEX(Standings!$T$3:$T$34, MATCH(N345, Standings!$A$3:$A$34, 0)) - INDEX(Standings!$T$3:$T$34, MATCH(P345, Standings!$A$3:$A$34, 0))</f>
        <v/>
      </c>
      <c r="W345" s="157">
        <f>INDEX(Standings!$L$3:$L$34, MATCH(N345, Standings!$A$3:$A$34, 0)) - INDEX(Standings!$L$3:$L$34, MATCH(P345, Standings!$A$3:$A$34, 0))</f>
        <v/>
      </c>
      <c r="X345" s="157">
        <f>INDEX(Standings!$M$3:$M$34, MATCH(N345, Standings!$A$3:$A$34, 0)) - INDEX(Standings!$M$3:$M$34, MATCH(P345, Standings!$A$3:$A$34, 0))</f>
        <v/>
      </c>
      <c r="Y345" s="194">
        <f t="array" ref="Y345:Y345">IFERROR(AE345+(AL345-_DFactor)*AE345,"")</f>
        <v/>
      </c>
      <c r="Z345" s="157">
        <f>IFERROR(AF345+(AI345-_DFactor)*AF345,"")</f>
        <v/>
      </c>
      <c r="AC345" s="194">
        <f>VLOOKUP(M345&amp;N345,Schedule!A:F,6,0)</f>
        <v/>
      </c>
      <c r="AD345" s="194">
        <f>VLOOKUP(M345&amp;P345,Schedule!A:F,6,0)</f>
        <v/>
      </c>
      <c r="AE345" s="156">
        <f>VLOOKUP(N345,ProjPVT!B:I,8,0)*_Mag/VLOOKUP(P345,Standings!A:O,15,0)*H345*K345</f>
        <v/>
      </c>
      <c r="AF345" s="156">
        <f>VLOOKUP(P345,ProjPVT!B:I,8,0)*_Mag/VLOOKUP(N345,Standings!A:O,15,0)*J345*I345</f>
        <v/>
      </c>
      <c r="AG345" s="195">
        <f>VLOOKUP(N345,Matrix!AA:AC,3,0)</f>
        <v/>
      </c>
      <c r="AH345" s="195">
        <f>SUMIFS(Def!C:C,Def!F:F,AG345)</f>
        <v/>
      </c>
      <c r="AI345" s="156">
        <f>IFERROR(SUMIFS(Def!B:B,Def!F:F,AG345)/AH345,"")</f>
        <v/>
      </c>
      <c r="AJ345" s="195">
        <f>VLOOKUP(P345,Matrix!AA:AC,3,0)</f>
        <v/>
      </c>
      <c r="AK345" s="195">
        <f>SUMIFS(Def!C:C,Def!F:F,AJ345)</f>
        <v/>
      </c>
      <c r="AL345" s="156">
        <f>IFERROR(SUMIFS(Def!B:B,Def!F:F,AJ345)/AK345,"")</f>
        <v/>
      </c>
    </row>
    <row r="346" ht="14.4" customHeight="1" s="152">
      <c r="A346" s="157">
        <f>IF(F346="Yes",IFERROR(IF(AA346&gt;1,AA346/100,100/-AA346),""),-1)</f>
        <v/>
      </c>
      <c r="B346" s="157">
        <f>B345+1</f>
        <v/>
      </c>
      <c r="C346" s="157">
        <f>IF(Y346&gt;Z346,1,0)</f>
        <v/>
      </c>
      <c r="D346" s="157">
        <f>IF(AND(C346=1,F346="Yes"),"Yes",IF(AND(C346=0,F346="No"),"Yes","No"))</f>
        <v/>
      </c>
      <c r="E346" s="192">
        <f>IF((AC346+AB346)=AD346,"Push",IF((AC346+AB346)&gt;AD346,"Yes","No"))</f>
        <v/>
      </c>
      <c r="F346" s="192">
        <f>IF(AC346&gt;AD346,"Yes","No")</f>
        <v/>
      </c>
      <c r="G346" s="192">
        <f>IF((Y346+AB346)&gt;Z346,"Yes",IF((Y346+AB346)=Z346,"Push","No"))</f>
        <v/>
      </c>
      <c r="H346" s="157">
        <f>IF(O346="Home",VLOOKUP(N346,Matrix!A:S,19,0),1)</f>
        <v/>
      </c>
      <c r="I346" s="157">
        <f>IF(O346="Away",VLOOKUP(N346,Matrix!A:Z,20,0),1)</f>
        <v/>
      </c>
      <c r="J346" s="157">
        <f>IF(O346="Away",VLOOKUP(P346,Matrix!A:S,19,0),1)</f>
        <v/>
      </c>
      <c r="K346" s="157">
        <f>IF(O346="Home",VLOOKUP(P346,Matrix!A:Z,20,0),1)</f>
        <v/>
      </c>
      <c r="L346" s="156" t="n">
        <v>-0.0414078116084878</v>
      </c>
      <c r="M346" s="179">
        <f>Schedule!B346</f>
        <v/>
      </c>
      <c r="N346" s="156">
        <f>Schedule!E346</f>
        <v/>
      </c>
      <c r="O346" s="156" t="inlineStr">
        <is>
          <t>Away</t>
        </is>
      </c>
      <c r="P346" s="157">
        <f>Schedule!H346</f>
        <v/>
      </c>
      <c r="Q346" s="157">
        <f>Schedule!C346</f>
        <v/>
      </c>
      <c r="R346" s="180">
        <f>Schedule!D346</f>
        <v/>
      </c>
      <c r="S346" s="181">
        <f>Schedule!J346</f>
        <v/>
      </c>
      <c r="T346" s="193">
        <f>Y346-Z346</f>
        <v/>
      </c>
      <c r="U346" s="182">
        <f>T346/Picks!$K$2</f>
        <v/>
      </c>
      <c r="V346" s="193">
        <f>INDEX(Standings!$T$3:$T$34, MATCH(N346, Standings!$A$3:$A$34, 0)) - INDEX(Standings!$T$3:$T$34, MATCH(P346, Standings!$A$3:$A$34, 0))</f>
        <v/>
      </c>
      <c r="W346" s="157">
        <f>INDEX(Standings!$L$3:$L$34, MATCH(N346, Standings!$A$3:$A$34, 0)) - INDEX(Standings!$L$3:$L$34, MATCH(P346, Standings!$A$3:$A$34, 0))</f>
        <v/>
      </c>
      <c r="X346" s="157">
        <f>INDEX(Standings!$M$3:$M$34, MATCH(N346, Standings!$A$3:$A$34, 0)) - INDEX(Standings!$M$3:$M$34, MATCH(P346, Standings!$A$3:$A$34, 0))</f>
        <v/>
      </c>
      <c r="Y346" s="194">
        <f t="array" ref="Y346:Y346">IFERROR(AE346+(AL346-_DFactor)*AE346,"")</f>
        <v/>
      </c>
      <c r="Z346" s="157">
        <f>IFERROR(AF346+(AI346-_DFactor)*AF346,"")</f>
        <v/>
      </c>
      <c r="AC346" s="194">
        <f>VLOOKUP(M346&amp;N346,Schedule!A:F,6,0)</f>
        <v/>
      </c>
      <c r="AD346" s="194">
        <f>VLOOKUP(M346&amp;P346,Schedule!A:F,6,0)</f>
        <v/>
      </c>
      <c r="AE346" s="156">
        <f>VLOOKUP(N346,ProjPVT!B:I,8,0)*_Mag/VLOOKUP(P346,Standings!A:O,15,0)*H346*K346</f>
        <v/>
      </c>
      <c r="AF346" s="156">
        <f>VLOOKUP(P346,ProjPVT!B:I,8,0)*_Mag/VLOOKUP(N346,Standings!A:O,15,0)*J346*I346</f>
        <v/>
      </c>
      <c r="AG346" s="195">
        <f>VLOOKUP(N346,Matrix!AA:AC,3,0)</f>
        <v/>
      </c>
      <c r="AH346" s="195">
        <f>SUMIFS(Def!C:C,Def!F:F,AG346)</f>
        <v/>
      </c>
      <c r="AI346" s="156">
        <f>IFERROR(SUMIFS(Def!B:B,Def!F:F,AG346)/AH346,"")</f>
        <v/>
      </c>
      <c r="AJ346" s="195">
        <f>VLOOKUP(P346,Matrix!AA:AC,3,0)</f>
        <v/>
      </c>
      <c r="AK346" s="195">
        <f>SUMIFS(Def!C:C,Def!F:F,AJ346)</f>
        <v/>
      </c>
      <c r="AL346" s="156">
        <f>IFERROR(SUMIFS(Def!B:B,Def!F:F,AJ346)/AK346,"")</f>
        <v/>
      </c>
    </row>
    <row r="347" ht="14.4" customHeight="1" s="152">
      <c r="A347" s="157">
        <f>IF(F347="Yes",IFERROR(IF(AA347&gt;1,AA347/100,100/-AA347),""),-1)</f>
        <v/>
      </c>
      <c r="B347" s="157">
        <f>B346+1</f>
        <v/>
      </c>
      <c r="C347" s="157">
        <f>IF(Y347&gt;Z347,1,0)</f>
        <v/>
      </c>
      <c r="D347" s="157">
        <f>IF(AND(C347=1,F347="Yes"),"Yes",IF(AND(C347=0,F347="No"),"Yes","No"))</f>
        <v/>
      </c>
      <c r="E347" s="192">
        <f>IF((AC347+AB347)=AD347,"Push",IF((AC347+AB347)&gt;AD347,"Yes","No"))</f>
        <v/>
      </c>
      <c r="F347" s="192">
        <f>IF(AC347&gt;AD347,"Yes","No")</f>
        <v/>
      </c>
      <c r="G347" s="192">
        <f>IF((Y347+AB347)&gt;Z347,"Yes",IF((Y347+AB347)=Z347,"Push","No"))</f>
        <v/>
      </c>
      <c r="H347" s="157">
        <f>IF(O347="Home",VLOOKUP(N347,Matrix!A:S,19,0),1)</f>
        <v/>
      </c>
      <c r="I347" s="157">
        <f>IF(O347="Away",VLOOKUP(N347,Matrix!A:Z,20,0),1)</f>
        <v/>
      </c>
      <c r="J347" s="157">
        <f>IF(O347="Away",VLOOKUP(P347,Matrix!A:S,19,0),1)</f>
        <v/>
      </c>
      <c r="K347" s="157">
        <f>IF(O347="Home",VLOOKUP(P347,Matrix!A:Z,20,0),1)</f>
        <v/>
      </c>
      <c r="L347" s="156" t="n">
        <v>0.0414078116084878</v>
      </c>
      <c r="M347" s="179">
        <f>Schedule!B347</f>
        <v/>
      </c>
      <c r="N347" s="156">
        <f>Schedule!E347</f>
        <v/>
      </c>
      <c r="O347" s="156" t="inlineStr">
        <is>
          <t>Home</t>
        </is>
      </c>
      <c r="P347" s="157">
        <f>Schedule!H347</f>
        <v/>
      </c>
      <c r="Q347" s="157">
        <f>Schedule!C347</f>
        <v/>
      </c>
      <c r="R347" s="180">
        <f>Schedule!D347</f>
        <v/>
      </c>
      <c r="S347" s="181">
        <f>Schedule!J347</f>
        <v/>
      </c>
      <c r="T347" s="193">
        <f>Y347-Z347</f>
        <v/>
      </c>
      <c r="U347" s="182">
        <f>T347/Picks!$K$2</f>
        <v/>
      </c>
      <c r="V347" s="193">
        <f>INDEX(Standings!$T$3:$T$34, MATCH(N347, Standings!$A$3:$A$34, 0)) - INDEX(Standings!$T$3:$T$34, MATCH(P347, Standings!$A$3:$A$34, 0))</f>
        <v/>
      </c>
      <c r="W347" s="157">
        <f>INDEX(Standings!$L$3:$L$34, MATCH(N347, Standings!$A$3:$A$34, 0)) - INDEX(Standings!$L$3:$L$34, MATCH(P347, Standings!$A$3:$A$34, 0))</f>
        <v/>
      </c>
      <c r="X347" s="157">
        <f>INDEX(Standings!$M$3:$M$34, MATCH(N347, Standings!$A$3:$A$34, 0)) - INDEX(Standings!$M$3:$M$34, MATCH(P347, Standings!$A$3:$A$34, 0))</f>
        <v/>
      </c>
      <c r="Y347" s="194">
        <f t="array" ref="Y347:Y347">IFERROR(AE347+(AL347-_DFactor)*AE347,"")</f>
        <v/>
      </c>
      <c r="Z347" s="157">
        <f>IFERROR(AF347+(AI347-_DFactor)*AF347,"")</f>
        <v/>
      </c>
      <c r="AC347" s="194">
        <f>VLOOKUP(M347&amp;N347,Schedule!A:F,6,0)</f>
        <v/>
      </c>
      <c r="AD347" s="194">
        <f>VLOOKUP(M347&amp;P347,Schedule!A:F,6,0)</f>
        <v/>
      </c>
      <c r="AE347" s="156">
        <f>VLOOKUP(N347,ProjPVT!B:I,8,0)*_Mag/VLOOKUP(P347,Standings!A:O,15,0)*H347*K347</f>
        <v/>
      </c>
      <c r="AF347" s="156">
        <f>VLOOKUP(P347,ProjPVT!B:I,8,0)*_Mag/VLOOKUP(N347,Standings!A:O,15,0)*J347*I347</f>
        <v/>
      </c>
      <c r="AG347" s="195">
        <f>VLOOKUP(N347,Matrix!AA:AC,3,0)</f>
        <v/>
      </c>
      <c r="AH347" s="195">
        <f>SUMIFS(Def!C:C,Def!F:F,AG347)</f>
        <v/>
      </c>
      <c r="AI347" s="156">
        <f>IFERROR(SUMIFS(Def!B:B,Def!F:F,AG347)/AH347,"")</f>
        <v/>
      </c>
      <c r="AJ347" s="195">
        <f>VLOOKUP(P347,Matrix!AA:AC,3,0)</f>
        <v/>
      </c>
      <c r="AK347" s="195">
        <f>SUMIFS(Def!C:C,Def!F:F,AJ347)</f>
        <v/>
      </c>
      <c r="AL347" s="156">
        <f>IFERROR(SUMIFS(Def!B:B,Def!F:F,AJ347)/AK347,"")</f>
        <v/>
      </c>
    </row>
    <row r="348" ht="14.4" customHeight="1" s="152">
      <c r="A348" s="157">
        <f>IF(F348="Yes",IFERROR(IF(AA348&gt;1,AA348/100,100/-AA348),""),-1)</f>
        <v/>
      </c>
      <c r="B348" s="157">
        <f>B347+1</f>
        <v/>
      </c>
      <c r="C348" s="157">
        <f>IF(Y348&gt;Z348,1,0)</f>
        <v/>
      </c>
      <c r="D348" s="157">
        <f>IF(AND(C348=1,F348="Yes"),"Yes",IF(AND(C348=0,F348="No"),"Yes","No"))</f>
        <v/>
      </c>
      <c r="E348" s="192">
        <f>IF((AC348+AB348)=AD348,"Push",IF((AC348+AB348)&gt;AD348,"Yes","No"))</f>
        <v/>
      </c>
      <c r="F348" s="192">
        <f>IF(AC348&gt;AD348,"Yes","No")</f>
        <v/>
      </c>
      <c r="G348" s="192">
        <f>IF((Y348+AB348)&gt;Z348,"Yes",IF((Y348+AB348)=Z348,"Push","No"))</f>
        <v/>
      </c>
      <c r="H348" s="157">
        <f>IF(O348="Home",VLOOKUP(N348,Matrix!A:S,19,0),1)</f>
        <v/>
      </c>
      <c r="I348" s="157">
        <f>IF(O348="Away",VLOOKUP(N348,Matrix!A:Z,20,0),1)</f>
        <v/>
      </c>
      <c r="J348" s="157">
        <f>IF(O348="Away",VLOOKUP(P348,Matrix!A:S,19,0),1)</f>
        <v/>
      </c>
      <c r="K348" s="157">
        <f>IF(O348="Home",VLOOKUP(P348,Matrix!A:Z,20,0),1)</f>
        <v/>
      </c>
      <c r="L348" s="156" t="n">
        <v>0.0414576203208069</v>
      </c>
      <c r="M348" s="179">
        <f>Schedule!B348</f>
        <v/>
      </c>
      <c r="N348" s="156">
        <f>Schedule!E348</f>
        <v/>
      </c>
      <c r="O348" s="156" t="inlineStr">
        <is>
          <t>Home</t>
        </is>
      </c>
      <c r="P348" s="157">
        <f>Schedule!H348</f>
        <v/>
      </c>
      <c r="Q348" s="157">
        <f>Schedule!C348</f>
        <v/>
      </c>
      <c r="R348" s="180">
        <f>Schedule!D348</f>
        <v/>
      </c>
      <c r="S348" s="181">
        <f>Schedule!J348</f>
        <v/>
      </c>
      <c r="T348" s="193">
        <f>Y348-Z348</f>
        <v/>
      </c>
      <c r="U348" s="182">
        <f>T348/Picks!$K$2</f>
        <v/>
      </c>
      <c r="V348" s="193">
        <f>INDEX(Standings!$T$3:$T$34, MATCH(N348, Standings!$A$3:$A$34, 0)) - INDEX(Standings!$T$3:$T$34, MATCH(P348, Standings!$A$3:$A$34, 0))</f>
        <v/>
      </c>
      <c r="W348" s="157">
        <f>INDEX(Standings!$L$3:$L$34, MATCH(N348, Standings!$A$3:$A$34, 0)) - INDEX(Standings!$L$3:$L$34, MATCH(P348, Standings!$A$3:$A$34, 0))</f>
        <v/>
      </c>
      <c r="X348" s="157">
        <f>INDEX(Standings!$M$3:$M$34, MATCH(N348, Standings!$A$3:$A$34, 0)) - INDEX(Standings!$M$3:$M$34, MATCH(P348, Standings!$A$3:$A$34, 0))</f>
        <v/>
      </c>
      <c r="Y348" s="194">
        <f t="array" ref="Y348:Y348">IFERROR(AE348+(AL348-_DFactor)*AE348,"")</f>
        <v/>
      </c>
      <c r="Z348" s="157">
        <f>IFERROR(AF348+(AI348-_DFactor)*AF348,"")</f>
        <v/>
      </c>
      <c r="AC348" s="194">
        <f>VLOOKUP(M348&amp;N348,Schedule!A:F,6,0)</f>
        <v/>
      </c>
      <c r="AD348" s="194">
        <f>VLOOKUP(M348&amp;P348,Schedule!A:F,6,0)</f>
        <v/>
      </c>
      <c r="AE348" s="156">
        <f>VLOOKUP(N348,ProjPVT!B:I,8,0)*_Mag/VLOOKUP(P348,Standings!A:O,15,0)*H348*K348</f>
        <v/>
      </c>
      <c r="AF348" s="156">
        <f>VLOOKUP(P348,ProjPVT!B:I,8,0)*_Mag/VLOOKUP(N348,Standings!A:O,15,0)*J348*I348</f>
        <v/>
      </c>
      <c r="AG348" s="195">
        <f>VLOOKUP(N348,Matrix!AA:AC,3,0)</f>
        <v/>
      </c>
      <c r="AH348" s="195">
        <f>SUMIFS(Def!C:C,Def!F:F,AG348)</f>
        <v/>
      </c>
      <c r="AI348" s="156">
        <f>IFERROR(SUMIFS(Def!B:B,Def!F:F,AG348)/AH348,"")</f>
        <v/>
      </c>
      <c r="AJ348" s="195">
        <f>VLOOKUP(P348,Matrix!AA:AC,3,0)</f>
        <v/>
      </c>
      <c r="AK348" s="195">
        <f>SUMIFS(Def!C:C,Def!F:F,AJ348)</f>
        <v/>
      </c>
      <c r="AL348" s="156">
        <f>IFERROR(SUMIFS(Def!B:B,Def!F:F,AJ348)/AK348,"")</f>
        <v/>
      </c>
    </row>
    <row r="349" ht="14.4" customHeight="1" s="152">
      <c r="A349" s="157">
        <f>IF(F349="Yes",IFERROR(IF(AA349&gt;1,AA349/100,100/-AA349),""),-1)</f>
        <v/>
      </c>
      <c r="B349" s="157">
        <f>B348+1</f>
        <v/>
      </c>
      <c r="C349" s="157">
        <f>IF(Y349&gt;Z349,1,0)</f>
        <v/>
      </c>
      <c r="D349" s="157">
        <f>IF(AND(C349=1,F349="Yes"),"Yes",IF(AND(C349=0,F349="No"),"Yes","No"))</f>
        <v/>
      </c>
      <c r="E349" s="192">
        <f>IF((AC349+AB349)=AD349,"Push",IF((AC349+AB349)&gt;AD349,"Yes","No"))</f>
        <v/>
      </c>
      <c r="F349" s="192">
        <f>IF(AC349&gt;AD349,"Yes","No")</f>
        <v/>
      </c>
      <c r="G349" s="192">
        <f>IF((Y349+AB349)&gt;Z349,"Yes",IF((Y349+AB349)=Z349,"Push","No"))</f>
        <v/>
      </c>
      <c r="H349" s="157">
        <f>IF(O349="Home",VLOOKUP(N349,Matrix!A:S,19,0),1)</f>
        <v/>
      </c>
      <c r="I349" s="157">
        <f>IF(O349="Away",VLOOKUP(N349,Matrix!A:Z,20,0),1)</f>
        <v/>
      </c>
      <c r="J349" s="157">
        <f>IF(O349="Away",VLOOKUP(P349,Matrix!A:S,19,0),1)</f>
        <v/>
      </c>
      <c r="K349" s="157">
        <f>IF(O349="Home",VLOOKUP(P349,Matrix!A:Z,20,0),1)</f>
        <v/>
      </c>
      <c r="L349" s="156" t="n">
        <v>0.198687659459501</v>
      </c>
      <c r="M349" s="179">
        <f>Schedule!B349</f>
        <v/>
      </c>
      <c r="N349" s="156">
        <f>Schedule!E349</f>
        <v/>
      </c>
      <c r="O349" s="156" t="inlineStr">
        <is>
          <t>Home</t>
        </is>
      </c>
      <c r="P349" s="157">
        <f>Schedule!H349</f>
        <v/>
      </c>
      <c r="Q349" s="157">
        <f>Schedule!C349</f>
        <v/>
      </c>
      <c r="R349" s="180">
        <f>Schedule!D349</f>
        <v/>
      </c>
      <c r="S349" s="181">
        <f>Schedule!J349</f>
        <v/>
      </c>
      <c r="T349" s="193">
        <f>Y349-Z349</f>
        <v/>
      </c>
      <c r="U349" s="182">
        <f>T349/Picks!$K$2</f>
        <v/>
      </c>
      <c r="V349" s="193">
        <f>INDEX(Standings!$T$3:$T$34, MATCH(N349, Standings!$A$3:$A$34, 0)) - INDEX(Standings!$T$3:$T$34, MATCH(P349, Standings!$A$3:$A$34, 0))</f>
        <v/>
      </c>
      <c r="W349" s="157">
        <f>INDEX(Standings!$L$3:$L$34, MATCH(N349, Standings!$A$3:$A$34, 0)) - INDEX(Standings!$L$3:$L$34, MATCH(P349, Standings!$A$3:$A$34, 0))</f>
        <v/>
      </c>
      <c r="X349" s="157">
        <f>INDEX(Standings!$M$3:$M$34, MATCH(N349, Standings!$A$3:$A$34, 0)) - INDEX(Standings!$M$3:$M$34, MATCH(P349, Standings!$A$3:$A$34, 0))</f>
        <v/>
      </c>
      <c r="Y349" s="194">
        <f t="array" ref="Y349:Y349">IFERROR(AE349+(AL349-_DFactor)*AE349,"")</f>
        <v/>
      </c>
      <c r="Z349" s="157">
        <f>IFERROR(AF349+(AI349-_DFactor)*AF349,"")</f>
        <v/>
      </c>
      <c r="AC349" s="194">
        <f>VLOOKUP(M349&amp;N349,Schedule!A:F,6,0)</f>
        <v/>
      </c>
      <c r="AD349" s="194">
        <f>VLOOKUP(M349&amp;P349,Schedule!A:F,6,0)</f>
        <v/>
      </c>
      <c r="AE349" s="156">
        <f>VLOOKUP(N349,ProjPVT!B:I,8,0)*_Mag/VLOOKUP(P349,Standings!A:O,15,0)*H349*K349</f>
        <v/>
      </c>
      <c r="AF349" s="156">
        <f>VLOOKUP(P349,ProjPVT!B:I,8,0)*_Mag/VLOOKUP(N349,Standings!A:O,15,0)*J349*I349</f>
        <v/>
      </c>
      <c r="AG349" s="195">
        <f>VLOOKUP(N349,Matrix!AA:AC,3,0)</f>
        <v/>
      </c>
      <c r="AH349" s="195">
        <f>SUMIFS(Def!C:C,Def!F:F,AG349)</f>
        <v/>
      </c>
      <c r="AI349" s="156">
        <f>IFERROR(SUMIFS(Def!B:B,Def!F:F,AG349)/AH349,"")</f>
        <v/>
      </c>
      <c r="AJ349" s="195">
        <f>VLOOKUP(P349,Matrix!AA:AC,3,0)</f>
        <v/>
      </c>
      <c r="AK349" s="195">
        <f>SUMIFS(Def!C:C,Def!F:F,AJ349)</f>
        <v/>
      </c>
      <c r="AL349" s="156">
        <f>IFERROR(SUMIFS(Def!B:B,Def!F:F,AJ349)/AK349,"")</f>
        <v/>
      </c>
    </row>
    <row r="350" ht="14.4" customHeight="1" s="152">
      <c r="A350" s="157">
        <f>IF(F350="Yes",IFERROR(IF(AA350&gt;1,AA350/100,100/-AA350),""),-1)</f>
        <v/>
      </c>
      <c r="B350" s="157">
        <f>B349+1</f>
        <v/>
      </c>
      <c r="C350" s="157">
        <f>IF(Y350&gt;Z350,1,0)</f>
        <v/>
      </c>
      <c r="D350" s="157">
        <f>IF(AND(C350=1,F350="Yes"),"Yes",IF(AND(C350=0,F350="No"),"Yes","No"))</f>
        <v/>
      </c>
      <c r="E350" s="192">
        <f>IF((AC350+AB350)=AD350,"Push",IF((AC350+AB350)&gt;AD350,"Yes","No"))</f>
        <v/>
      </c>
      <c r="F350" s="192">
        <f>IF(AC350&gt;AD350,"Yes","No")</f>
        <v/>
      </c>
      <c r="G350" s="192">
        <f>IF((Y350+AB350)&gt;Z350,"Yes",IF((Y350+AB350)=Z350,"Push","No"))</f>
        <v/>
      </c>
      <c r="H350" s="157">
        <f>IF(O350="Home",VLOOKUP(N350,Matrix!A:S,19,0),1)</f>
        <v/>
      </c>
      <c r="I350" s="157">
        <f>IF(O350="Away",VLOOKUP(N350,Matrix!A:Z,20,0),1)</f>
        <v/>
      </c>
      <c r="J350" s="157">
        <f>IF(O350="Away",VLOOKUP(P350,Matrix!A:S,19,0),1)</f>
        <v/>
      </c>
      <c r="K350" s="157">
        <f>IF(O350="Home",VLOOKUP(P350,Matrix!A:Z,20,0),1)</f>
        <v/>
      </c>
      <c r="L350" s="156" t="n">
        <v>0.221611268186166</v>
      </c>
      <c r="M350" s="179">
        <f>Schedule!B350</f>
        <v/>
      </c>
      <c r="N350" s="156">
        <f>Schedule!E350</f>
        <v/>
      </c>
      <c r="O350" s="156" t="inlineStr">
        <is>
          <t>Away</t>
        </is>
      </c>
      <c r="P350" s="157">
        <f>Schedule!H350</f>
        <v/>
      </c>
      <c r="Q350" s="157">
        <f>Schedule!C350</f>
        <v/>
      </c>
      <c r="R350" s="180">
        <f>Schedule!D350</f>
        <v/>
      </c>
      <c r="S350" s="181">
        <f>Schedule!J350</f>
        <v/>
      </c>
      <c r="T350" s="193">
        <f>Y350-Z350</f>
        <v/>
      </c>
      <c r="U350" s="182">
        <f>T350/Picks!$K$2</f>
        <v/>
      </c>
      <c r="V350" s="193">
        <f>INDEX(Standings!$T$3:$T$34, MATCH(N350, Standings!$A$3:$A$34, 0)) - INDEX(Standings!$T$3:$T$34, MATCH(P350, Standings!$A$3:$A$34, 0))</f>
        <v/>
      </c>
      <c r="W350" s="157">
        <f>INDEX(Standings!$L$3:$L$34, MATCH(N350, Standings!$A$3:$A$34, 0)) - INDEX(Standings!$L$3:$L$34, MATCH(P350, Standings!$A$3:$A$34, 0))</f>
        <v/>
      </c>
      <c r="X350" s="157">
        <f>INDEX(Standings!$M$3:$M$34, MATCH(N350, Standings!$A$3:$A$34, 0)) - INDEX(Standings!$M$3:$M$34, MATCH(P350, Standings!$A$3:$A$34, 0))</f>
        <v/>
      </c>
      <c r="Y350" s="194">
        <f t="array" ref="Y350:Y350">IFERROR(AE350+(AL350-_DFactor)*AE350,"")</f>
        <v/>
      </c>
      <c r="Z350" s="157">
        <f>IFERROR(AF350+(AI350-_DFactor)*AF350,"")</f>
        <v/>
      </c>
      <c r="AC350" s="194">
        <f>VLOOKUP(M350&amp;N350,Schedule!A:F,6,0)</f>
        <v/>
      </c>
      <c r="AD350" s="194">
        <f>VLOOKUP(M350&amp;P350,Schedule!A:F,6,0)</f>
        <v/>
      </c>
      <c r="AE350" s="156">
        <f>VLOOKUP(N350,ProjPVT!B:I,8,0)*_Mag/VLOOKUP(P350,Standings!A:O,15,0)*H350*K350</f>
        <v/>
      </c>
      <c r="AF350" s="156">
        <f>VLOOKUP(P350,ProjPVT!B:I,8,0)*_Mag/VLOOKUP(N350,Standings!A:O,15,0)*J350*I350</f>
        <v/>
      </c>
      <c r="AG350" s="195">
        <f>VLOOKUP(N350,Matrix!AA:AC,3,0)</f>
        <v/>
      </c>
      <c r="AH350" s="195">
        <f>SUMIFS(Def!C:C,Def!F:F,AG350)</f>
        <v/>
      </c>
      <c r="AI350" s="156">
        <f>IFERROR(SUMIFS(Def!B:B,Def!F:F,AG350)/AH350,"")</f>
        <v/>
      </c>
      <c r="AJ350" s="195">
        <f>VLOOKUP(P350,Matrix!AA:AC,3,0)</f>
        <v/>
      </c>
      <c r="AK350" s="195">
        <f>SUMIFS(Def!C:C,Def!F:F,AJ350)</f>
        <v/>
      </c>
      <c r="AL350" s="156">
        <f>IFERROR(SUMIFS(Def!B:B,Def!F:F,AJ350)/AK350,"")</f>
        <v/>
      </c>
    </row>
    <row r="351" ht="14.4" customHeight="1" s="152">
      <c r="A351" s="157">
        <f>IF(F351="Yes",IFERROR(IF(AA351&gt;1,AA351/100,100/-AA351),""),-1)</f>
        <v/>
      </c>
      <c r="B351" s="157">
        <f>B350+1</f>
        <v/>
      </c>
      <c r="C351" s="157">
        <f>IF(Y351&gt;Z351,1,0)</f>
        <v/>
      </c>
      <c r="D351" s="157">
        <f>IF(AND(C351=1,F351="Yes"),"Yes",IF(AND(C351=0,F351="No"),"Yes","No"))</f>
        <v/>
      </c>
      <c r="E351" s="192">
        <f>IF((AC351+AB351)=AD351,"Push",IF((AC351+AB351)&gt;AD351,"Yes","No"))</f>
        <v/>
      </c>
      <c r="F351" s="192">
        <f>IF(AC351&gt;AD351,"Yes","No")</f>
        <v/>
      </c>
      <c r="G351" s="192">
        <f>IF((Y351+AB351)&gt;Z351,"Yes",IF((Y351+AB351)=Z351,"Push","No"))</f>
        <v/>
      </c>
      <c r="H351" s="157">
        <f>IF(O351="Home",VLOOKUP(N351,Matrix!A:S,19,0),1)</f>
        <v/>
      </c>
      <c r="I351" s="157">
        <f>IF(O351="Away",VLOOKUP(N351,Matrix!A:Z,20,0),1)</f>
        <v/>
      </c>
      <c r="J351" s="157">
        <f>IF(O351="Away",VLOOKUP(P351,Matrix!A:S,19,0),1)</f>
        <v/>
      </c>
      <c r="K351" s="157">
        <f>IF(O351="Home",VLOOKUP(P351,Matrix!A:Z,20,0),1)</f>
        <v/>
      </c>
      <c r="L351" s="156" t="n">
        <v>0.235144191623395</v>
      </c>
      <c r="M351" s="179">
        <f>Schedule!B351</f>
        <v/>
      </c>
      <c r="N351" s="156">
        <f>Schedule!E351</f>
        <v/>
      </c>
      <c r="O351" s="156" t="inlineStr">
        <is>
          <t>Away</t>
        </is>
      </c>
      <c r="P351" s="157">
        <f>Schedule!H351</f>
        <v/>
      </c>
      <c r="Q351" s="157">
        <f>Schedule!C351</f>
        <v/>
      </c>
      <c r="R351" s="180">
        <f>Schedule!D351</f>
        <v/>
      </c>
      <c r="S351" s="181">
        <f>Schedule!J351</f>
        <v/>
      </c>
      <c r="T351" s="193">
        <f>Y351-Z351</f>
        <v/>
      </c>
      <c r="U351" s="182">
        <f>T351/Picks!$K$2</f>
        <v/>
      </c>
      <c r="V351" s="193">
        <f>INDEX(Standings!$T$3:$T$34, MATCH(N351, Standings!$A$3:$A$34, 0)) - INDEX(Standings!$T$3:$T$34, MATCH(P351, Standings!$A$3:$A$34, 0))</f>
        <v/>
      </c>
      <c r="W351" s="157">
        <f>INDEX(Standings!$L$3:$L$34, MATCH(N351, Standings!$A$3:$A$34, 0)) - INDEX(Standings!$L$3:$L$34, MATCH(P351, Standings!$A$3:$A$34, 0))</f>
        <v/>
      </c>
      <c r="X351" s="157">
        <f>INDEX(Standings!$M$3:$M$34, MATCH(N351, Standings!$A$3:$A$34, 0)) - INDEX(Standings!$M$3:$M$34, MATCH(P351, Standings!$A$3:$A$34, 0))</f>
        <v/>
      </c>
      <c r="Y351" s="194">
        <f t="array" ref="Y351:Y351">IFERROR(AE351+(AL351-_DFactor)*AE351,"")</f>
        <v/>
      </c>
      <c r="Z351" s="157">
        <f>IFERROR(AF351+(AI351-_DFactor)*AF351,"")</f>
        <v/>
      </c>
      <c r="AC351" s="194">
        <f>VLOOKUP(M351&amp;N351,Schedule!A:F,6,0)</f>
        <v/>
      </c>
      <c r="AD351" s="194">
        <f>VLOOKUP(M351&amp;P351,Schedule!A:F,6,0)</f>
        <v/>
      </c>
      <c r="AE351" s="156">
        <f>VLOOKUP(N351,ProjPVT!B:I,8,0)*_Mag/VLOOKUP(P351,Standings!A:O,15,0)*H351*K351</f>
        <v/>
      </c>
      <c r="AF351" s="156">
        <f>VLOOKUP(P351,ProjPVT!B:I,8,0)*_Mag/VLOOKUP(N351,Standings!A:O,15,0)*J351*I351</f>
        <v/>
      </c>
      <c r="AG351" s="195">
        <f>VLOOKUP(N351,Matrix!AA:AC,3,0)</f>
        <v/>
      </c>
      <c r="AH351" s="195">
        <f>SUMIFS(Def!C:C,Def!F:F,AG351)</f>
        <v/>
      </c>
      <c r="AI351" s="156">
        <f>IFERROR(SUMIFS(Def!B:B,Def!F:F,AG351)/AH351,"")</f>
        <v/>
      </c>
      <c r="AJ351" s="195">
        <f>VLOOKUP(P351,Matrix!AA:AC,3,0)</f>
        <v/>
      </c>
      <c r="AK351" s="195">
        <f>SUMIFS(Def!C:C,Def!F:F,AJ351)</f>
        <v/>
      </c>
      <c r="AL351" s="156">
        <f>IFERROR(SUMIFS(Def!B:B,Def!F:F,AJ351)/AK351,"")</f>
        <v/>
      </c>
    </row>
    <row r="352" ht="14.4" customHeight="1" s="152">
      <c r="A352" s="157">
        <f>IF(F352="Yes",IFERROR(IF(AA352&gt;1,AA352/100,100/-AA352),""),-1)</f>
        <v/>
      </c>
      <c r="B352" s="157">
        <f>B351+1</f>
        <v/>
      </c>
      <c r="C352" s="157">
        <f>IF(Y352&gt;Z352,1,0)</f>
        <v/>
      </c>
      <c r="D352" s="157">
        <f>IF(AND(C352=1,F352="Yes"),"Yes",IF(AND(C352=0,F352="No"),"Yes","No"))</f>
        <v/>
      </c>
      <c r="E352" s="192">
        <f>IF((AC352+AB352)=AD352,"Push",IF((AC352+AB352)&gt;AD352,"Yes","No"))</f>
        <v/>
      </c>
      <c r="F352" s="192">
        <f>IF(AC352&gt;AD352,"Yes","No")</f>
        <v/>
      </c>
      <c r="G352" s="192">
        <f>IF((Y352+AB352)&gt;Z352,"Yes",IF((Y352+AB352)=Z352,"Push","No"))</f>
        <v/>
      </c>
      <c r="H352" s="157">
        <f>IF(O352="Home",VLOOKUP(N352,Matrix!A:S,19,0),1)</f>
        <v/>
      </c>
      <c r="I352" s="157">
        <f>IF(O352="Away",VLOOKUP(N352,Matrix!A:Z,20,0),1)</f>
        <v/>
      </c>
      <c r="J352" s="157">
        <f>IF(O352="Away",VLOOKUP(P352,Matrix!A:S,19,0),1)</f>
        <v/>
      </c>
      <c r="K352" s="157">
        <f>IF(O352="Home",VLOOKUP(P352,Matrix!A:Z,20,0),1)</f>
        <v/>
      </c>
      <c r="L352" s="156" t="n">
        <v>0.272029272276631</v>
      </c>
      <c r="M352" s="179">
        <f>Schedule!B352</f>
        <v/>
      </c>
      <c r="N352" s="156">
        <f>Schedule!E352</f>
        <v/>
      </c>
      <c r="O352" s="156" t="inlineStr">
        <is>
          <t>Home</t>
        </is>
      </c>
      <c r="P352" s="157">
        <f>Schedule!H352</f>
        <v/>
      </c>
      <c r="Q352" s="157">
        <f>Schedule!C352</f>
        <v/>
      </c>
      <c r="R352" s="180">
        <f>Schedule!D352</f>
        <v/>
      </c>
      <c r="S352" s="181">
        <f>Schedule!J352</f>
        <v/>
      </c>
      <c r="T352" s="193">
        <f>Y352-Z352</f>
        <v/>
      </c>
      <c r="U352" s="182">
        <f>T352/Picks!$K$2</f>
        <v/>
      </c>
      <c r="V352" s="193">
        <f>INDEX(Standings!$T$3:$T$34, MATCH(N352, Standings!$A$3:$A$34, 0)) - INDEX(Standings!$T$3:$T$34, MATCH(P352, Standings!$A$3:$A$34, 0))</f>
        <v/>
      </c>
      <c r="W352" s="157">
        <f>INDEX(Standings!$L$3:$L$34, MATCH(N352, Standings!$A$3:$A$34, 0)) - INDEX(Standings!$L$3:$L$34, MATCH(P352, Standings!$A$3:$A$34, 0))</f>
        <v/>
      </c>
      <c r="X352" s="157">
        <f>INDEX(Standings!$M$3:$M$34, MATCH(N352, Standings!$A$3:$A$34, 0)) - INDEX(Standings!$M$3:$M$34, MATCH(P352, Standings!$A$3:$A$34, 0))</f>
        <v/>
      </c>
      <c r="Y352" s="194">
        <f t="array" ref="Y352:Y352">IFERROR(AE352+(AL352-_DFactor)*AE352,"")</f>
        <v/>
      </c>
      <c r="Z352" s="157">
        <f>IFERROR(AF352+(AI352-_DFactor)*AF352,"")</f>
        <v/>
      </c>
      <c r="AC352" s="194">
        <f>VLOOKUP(M352&amp;N352,Schedule!A:F,6,0)</f>
        <v/>
      </c>
      <c r="AD352" s="194">
        <f>VLOOKUP(M352&amp;P352,Schedule!A:F,6,0)</f>
        <v/>
      </c>
      <c r="AE352" s="156">
        <f>VLOOKUP(N352,ProjPVT!B:I,8,0)*_Mag/VLOOKUP(P352,Standings!A:O,15,0)*H352*K352</f>
        <v/>
      </c>
      <c r="AF352" s="156">
        <f>VLOOKUP(P352,ProjPVT!B:I,8,0)*_Mag/VLOOKUP(N352,Standings!A:O,15,0)*J352*I352</f>
        <v/>
      </c>
      <c r="AG352" s="195">
        <f>VLOOKUP(N352,Matrix!AA:AC,3,0)</f>
        <v/>
      </c>
      <c r="AH352" s="195">
        <f>SUMIFS(Def!C:C,Def!F:F,AG352)</f>
        <v/>
      </c>
      <c r="AI352" s="156">
        <f>IFERROR(SUMIFS(Def!B:B,Def!F:F,AG352)/AH352,"")</f>
        <v/>
      </c>
      <c r="AJ352" s="195">
        <f>VLOOKUP(P352,Matrix!AA:AC,3,0)</f>
        <v/>
      </c>
      <c r="AK352" s="195">
        <f>SUMIFS(Def!C:C,Def!F:F,AJ352)</f>
        <v/>
      </c>
      <c r="AL352" s="156">
        <f>IFERROR(SUMIFS(Def!B:B,Def!F:F,AJ352)/AK352,"")</f>
        <v/>
      </c>
    </row>
    <row r="353" ht="14.4" customHeight="1" s="152">
      <c r="A353" s="157">
        <f>IF(F353="Yes",IFERROR(IF(AA353&gt;1,AA353/100,100/-AA353),""),-1)</f>
        <v/>
      </c>
      <c r="B353" s="157">
        <f>B352+1</f>
        <v/>
      </c>
      <c r="C353" s="157">
        <f>IF(Y353&gt;Z353,1,0)</f>
        <v/>
      </c>
      <c r="D353" s="157">
        <f>IF(AND(C353=1,F353="Yes"),"Yes",IF(AND(C353=0,F353="No"),"Yes","No"))</f>
        <v/>
      </c>
      <c r="E353" s="192">
        <f>IF((AC353+AB353)=AD353,"Push",IF((AC353+AB353)&gt;AD353,"Yes","No"))</f>
        <v/>
      </c>
      <c r="F353" s="192">
        <f>IF(AC353&gt;AD353,"Yes","No")</f>
        <v/>
      </c>
      <c r="G353" s="192">
        <f>IF((Y353+AB353)&gt;Z353,"Yes",IF((Y353+AB353)=Z353,"Push","No"))</f>
        <v/>
      </c>
      <c r="H353" s="157">
        <f>IF(O353="Home",VLOOKUP(N353,Matrix!A:S,19,0),1)</f>
        <v/>
      </c>
      <c r="I353" s="157">
        <f>IF(O353="Away",VLOOKUP(N353,Matrix!A:Z,20,0),1)</f>
        <v/>
      </c>
      <c r="J353" s="157">
        <f>IF(O353="Away",VLOOKUP(P353,Matrix!A:S,19,0),1)</f>
        <v/>
      </c>
      <c r="K353" s="157">
        <f>IF(O353="Home",VLOOKUP(P353,Matrix!A:Z,20,0),1)</f>
        <v/>
      </c>
      <c r="L353" s="156" t="n">
        <v>0.2993762252006</v>
      </c>
      <c r="M353" s="179">
        <f>Schedule!B353</f>
        <v/>
      </c>
      <c r="N353" s="156">
        <f>Schedule!E353</f>
        <v/>
      </c>
      <c r="O353" s="156" t="inlineStr">
        <is>
          <t>Away</t>
        </is>
      </c>
      <c r="P353" s="157">
        <f>Schedule!H353</f>
        <v/>
      </c>
      <c r="Q353" s="157">
        <f>Schedule!C353</f>
        <v/>
      </c>
      <c r="R353" s="180">
        <f>Schedule!D353</f>
        <v/>
      </c>
      <c r="S353" s="181">
        <f>Schedule!J353</f>
        <v/>
      </c>
      <c r="T353" s="193">
        <f>Y353-Z353</f>
        <v/>
      </c>
      <c r="U353" s="182">
        <f>T353/Picks!$K$2</f>
        <v/>
      </c>
      <c r="V353" s="193">
        <f>INDEX(Standings!$T$3:$T$34, MATCH(N353, Standings!$A$3:$A$34, 0)) - INDEX(Standings!$T$3:$T$34, MATCH(P353, Standings!$A$3:$A$34, 0))</f>
        <v/>
      </c>
      <c r="W353" s="157">
        <f>INDEX(Standings!$L$3:$L$34, MATCH(N353, Standings!$A$3:$A$34, 0)) - INDEX(Standings!$L$3:$L$34, MATCH(P353, Standings!$A$3:$A$34, 0))</f>
        <v/>
      </c>
      <c r="X353" s="157">
        <f>INDEX(Standings!$M$3:$M$34, MATCH(N353, Standings!$A$3:$A$34, 0)) - INDEX(Standings!$M$3:$M$34, MATCH(P353, Standings!$A$3:$A$34, 0))</f>
        <v/>
      </c>
      <c r="Y353" s="194">
        <f t="array" ref="Y353:Y353">IFERROR(AE353+(AL353-_DFactor)*AE353,"")</f>
        <v/>
      </c>
      <c r="Z353" s="157">
        <f>IFERROR(AF353+(AI353-_DFactor)*AF353,"")</f>
        <v/>
      </c>
      <c r="AC353" s="194">
        <f>VLOOKUP(M353&amp;N353,Schedule!A:F,6,0)</f>
        <v/>
      </c>
      <c r="AD353" s="194">
        <f>VLOOKUP(M353&amp;P353,Schedule!A:F,6,0)</f>
        <v/>
      </c>
      <c r="AE353" s="156">
        <f>VLOOKUP(N353,ProjPVT!B:I,8,0)*_Mag/VLOOKUP(P353,Standings!A:O,15,0)*H353*K353</f>
        <v/>
      </c>
      <c r="AF353" s="156">
        <f>VLOOKUP(P353,ProjPVT!B:I,8,0)*_Mag/VLOOKUP(N353,Standings!A:O,15,0)*J353*I353</f>
        <v/>
      </c>
      <c r="AG353" s="195">
        <f>VLOOKUP(N353,Matrix!AA:AC,3,0)</f>
        <v/>
      </c>
      <c r="AH353" s="195">
        <f>SUMIFS(Def!C:C,Def!F:F,AG353)</f>
        <v/>
      </c>
      <c r="AI353" s="156">
        <f>IFERROR(SUMIFS(Def!B:B,Def!F:F,AG353)/AH353,"")</f>
        <v/>
      </c>
      <c r="AJ353" s="195">
        <f>VLOOKUP(P353,Matrix!AA:AC,3,0)</f>
        <v/>
      </c>
      <c r="AK353" s="195">
        <f>SUMIFS(Def!C:C,Def!F:F,AJ353)</f>
        <v/>
      </c>
      <c r="AL353" s="156">
        <f>IFERROR(SUMIFS(Def!B:B,Def!F:F,AJ353)/AK353,"")</f>
        <v/>
      </c>
    </row>
    <row r="354" ht="14.4" customHeight="1" s="152">
      <c r="A354" s="157">
        <f>IF(F354="Yes",IFERROR(IF(AA354&gt;1,AA354/100,100/-AA354),""),-1)</f>
        <v/>
      </c>
      <c r="B354" s="157">
        <f>B353+1</f>
        <v/>
      </c>
      <c r="C354" s="157">
        <f>IF(Y354&gt;Z354,1,0)</f>
        <v/>
      </c>
      <c r="D354" s="157">
        <f>IF(AND(C354=1,F354="Yes"),"Yes",IF(AND(C354=0,F354="No"),"Yes","No"))</f>
        <v/>
      </c>
      <c r="E354" s="192">
        <f>IF((AC354+AB354)=AD354,"Push",IF((AC354+AB354)&gt;AD354,"Yes","No"))</f>
        <v/>
      </c>
      <c r="F354" s="192">
        <f>IF(AC354&gt;AD354,"Yes","No")</f>
        <v/>
      </c>
      <c r="G354" s="192">
        <f>IF((Y354+AB354)&gt;Z354,"Yes",IF((Y354+AB354)=Z354,"Push","No"))</f>
        <v/>
      </c>
      <c r="H354" s="157">
        <f>IF(O354="Home",VLOOKUP(N354,Matrix!A:S,19,0),1)</f>
        <v/>
      </c>
      <c r="I354" s="157">
        <f>IF(O354="Away",VLOOKUP(N354,Matrix!A:Z,20,0),1)</f>
        <v/>
      </c>
      <c r="J354" s="157">
        <f>IF(O354="Away",VLOOKUP(P354,Matrix!A:S,19,0),1)</f>
        <v/>
      </c>
      <c r="K354" s="157">
        <f>IF(O354="Home",VLOOKUP(P354,Matrix!A:Z,20,0),1)</f>
        <v/>
      </c>
      <c r="L354" s="156" t="n">
        <v>0.322042759632929</v>
      </c>
      <c r="M354" s="179">
        <f>Schedule!B354</f>
        <v/>
      </c>
      <c r="N354" s="156">
        <f>Schedule!E354</f>
        <v/>
      </c>
      <c r="O354" s="156" t="inlineStr">
        <is>
          <t>Home</t>
        </is>
      </c>
      <c r="P354" s="157">
        <f>Schedule!H354</f>
        <v/>
      </c>
      <c r="Q354" s="157">
        <f>Schedule!C354</f>
        <v/>
      </c>
      <c r="R354" s="180">
        <f>Schedule!D354</f>
        <v/>
      </c>
      <c r="S354" s="181">
        <f>Schedule!J354</f>
        <v/>
      </c>
      <c r="T354" s="193">
        <f>Y354-Z354</f>
        <v/>
      </c>
      <c r="U354" s="182">
        <f>T354/Picks!$K$2</f>
        <v/>
      </c>
      <c r="V354" s="193">
        <f>INDEX(Standings!$T$3:$T$34, MATCH(N354, Standings!$A$3:$A$34, 0)) - INDEX(Standings!$T$3:$T$34, MATCH(P354, Standings!$A$3:$A$34, 0))</f>
        <v/>
      </c>
      <c r="W354" s="157">
        <f>INDEX(Standings!$L$3:$L$34, MATCH(N354, Standings!$A$3:$A$34, 0)) - INDEX(Standings!$L$3:$L$34, MATCH(P354, Standings!$A$3:$A$34, 0))</f>
        <v/>
      </c>
      <c r="X354" s="157">
        <f>INDEX(Standings!$M$3:$M$34, MATCH(N354, Standings!$A$3:$A$34, 0)) - INDEX(Standings!$M$3:$M$34, MATCH(P354, Standings!$A$3:$A$34, 0))</f>
        <v/>
      </c>
      <c r="Y354" s="194">
        <f t="array" ref="Y354:Y354">IFERROR(AE354+(AL354-_DFactor)*AE354,"")</f>
        <v/>
      </c>
      <c r="Z354" s="157">
        <f>IFERROR(AF354+(AI354-_DFactor)*AF354,"")</f>
        <v/>
      </c>
      <c r="AC354" s="194">
        <f>VLOOKUP(M354&amp;N354,Schedule!A:F,6,0)</f>
        <v/>
      </c>
      <c r="AD354" s="194">
        <f>VLOOKUP(M354&amp;P354,Schedule!A:F,6,0)</f>
        <v/>
      </c>
      <c r="AE354" s="156">
        <f>VLOOKUP(N354,ProjPVT!B:I,8,0)*_Mag/VLOOKUP(P354,Standings!A:O,15,0)*H354*K354</f>
        <v/>
      </c>
      <c r="AF354" s="156">
        <f>VLOOKUP(P354,ProjPVT!B:I,8,0)*_Mag/VLOOKUP(N354,Standings!A:O,15,0)*J354*I354</f>
        <v/>
      </c>
      <c r="AG354" s="195">
        <f>VLOOKUP(N354,Matrix!AA:AC,3,0)</f>
        <v/>
      </c>
      <c r="AH354" s="195">
        <f>SUMIFS(Def!C:C,Def!F:F,AG354)</f>
        <v/>
      </c>
      <c r="AI354" s="156">
        <f>IFERROR(SUMIFS(Def!B:B,Def!F:F,AG354)/AH354,"")</f>
        <v/>
      </c>
      <c r="AJ354" s="195">
        <f>VLOOKUP(P354,Matrix!AA:AC,3,0)</f>
        <v/>
      </c>
      <c r="AK354" s="195">
        <f>SUMIFS(Def!C:C,Def!F:F,AJ354)</f>
        <v/>
      </c>
      <c r="AL354" s="156">
        <f>IFERROR(SUMIFS(Def!B:B,Def!F:F,AJ354)/AK354,"")</f>
        <v/>
      </c>
    </row>
    <row r="355" ht="14.4" customHeight="1" s="152">
      <c r="A355" s="157">
        <f>IF(F355="Yes",IFERROR(IF(AA355&gt;1,AA355/100,100/-AA355),""),-1)</f>
        <v/>
      </c>
      <c r="B355" s="157">
        <f>B354+1</f>
        <v/>
      </c>
      <c r="C355" s="157">
        <f>IF(Y355&gt;Z355,1,0)</f>
        <v/>
      </c>
      <c r="D355" s="157">
        <f>IF(AND(C355=1,F355="Yes"),"Yes",IF(AND(C355=0,F355="No"),"Yes","No"))</f>
        <v/>
      </c>
      <c r="E355" s="192">
        <f>IF((AC355+AB355)=AD355,"Push",IF((AC355+AB355)&gt;AD355,"Yes","No"))</f>
        <v/>
      </c>
      <c r="F355" s="192">
        <f>IF(AC355&gt;AD355,"Yes","No")</f>
        <v/>
      </c>
      <c r="G355" s="192">
        <f>IF((Y355+AB355)&gt;Z355,"Yes",IF((Y355+AB355)=Z355,"Push","No"))</f>
        <v/>
      </c>
      <c r="H355" s="157">
        <f>IF(O355="Home",VLOOKUP(N355,Matrix!A:S,19,0),1)</f>
        <v/>
      </c>
      <c r="I355" s="157">
        <f>IF(O355="Away",VLOOKUP(N355,Matrix!A:Z,20,0),1)</f>
        <v/>
      </c>
      <c r="J355" s="157">
        <f>IF(O355="Away",VLOOKUP(P355,Matrix!A:S,19,0),1)</f>
        <v/>
      </c>
      <c r="K355" s="157">
        <f>IF(O355="Home",VLOOKUP(P355,Matrix!A:Z,20,0),1)</f>
        <v/>
      </c>
      <c r="L355" s="156" t="n">
        <v>0.439457136958484</v>
      </c>
      <c r="M355" s="179">
        <f>Schedule!B355</f>
        <v/>
      </c>
      <c r="N355" s="156">
        <f>Schedule!E355</f>
        <v/>
      </c>
      <c r="O355" s="156" t="inlineStr">
        <is>
          <t>Home</t>
        </is>
      </c>
      <c r="P355" s="157">
        <f>Schedule!H355</f>
        <v/>
      </c>
      <c r="Q355" s="157">
        <f>Schedule!C355</f>
        <v/>
      </c>
      <c r="R355" s="180">
        <f>Schedule!D355</f>
        <v/>
      </c>
      <c r="S355" s="181">
        <f>Schedule!J355</f>
        <v/>
      </c>
      <c r="T355" s="193">
        <f>Y355-Z355</f>
        <v/>
      </c>
      <c r="U355" s="182">
        <f>T355/Picks!$K$2</f>
        <v/>
      </c>
      <c r="V355" s="193">
        <f>INDEX(Standings!$T$3:$T$34, MATCH(N355, Standings!$A$3:$A$34, 0)) - INDEX(Standings!$T$3:$T$34, MATCH(P355, Standings!$A$3:$A$34, 0))</f>
        <v/>
      </c>
      <c r="W355" s="157">
        <f>INDEX(Standings!$L$3:$L$34, MATCH(N355, Standings!$A$3:$A$34, 0)) - INDEX(Standings!$L$3:$L$34, MATCH(P355, Standings!$A$3:$A$34, 0))</f>
        <v/>
      </c>
      <c r="X355" s="157">
        <f>INDEX(Standings!$M$3:$M$34, MATCH(N355, Standings!$A$3:$A$34, 0)) - INDEX(Standings!$M$3:$M$34, MATCH(P355, Standings!$A$3:$A$34, 0))</f>
        <v/>
      </c>
      <c r="Y355" s="194">
        <f t="array" ref="Y355:Y355">IFERROR(AE355+(AL355-_DFactor)*AE355,"")</f>
        <v/>
      </c>
      <c r="Z355" s="157">
        <f>IFERROR(AF355+(AI355-_DFactor)*AF355,"")</f>
        <v/>
      </c>
      <c r="AC355" s="194">
        <f>VLOOKUP(M355&amp;N355,Schedule!A:F,6,0)</f>
        <v/>
      </c>
      <c r="AD355" s="194">
        <f>VLOOKUP(M355&amp;P355,Schedule!A:F,6,0)</f>
        <v/>
      </c>
      <c r="AE355" s="156">
        <f>VLOOKUP(N355,ProjPVT!B:I,8,0)*_Mag/VLOOKUP(P355,Standings!A:O,15,0)*H355*K355</f>
        <v/>
      </c>
      <c r="AF355" s="156">
        <f>VLOOKUP(P355,ProjPVT!B:I,8,0)*_Mag/VLOOKUP(N355,Standings!A:O,15,0)*J355*I355</f>
        <v/>
      </c>
      <c r="AG355" s="195">
        <f>VLOOKUP(N355,Matrix!AA:AC,3,0)</f>
        <v/>
      </c>
      <c r="AH355" s="195">
        <f>SUMIFS(Def!C:C,Def!F:F,AG355)</f>
        <v/>
      </c>
      <c r="AI355" s="156">
        <f>IFERROR(SUMIFS(Def!B:B,Def!F:F,AG355)/AH355,"")</f>
        <v/>
      </c>
      <c r="AJ355" s="195">
        <f>VLOOKUP(P355,Matrix!AA:AC,3,0)</f>
        <v/>
      </c>
      <c r="AK355" s="195">
        <f>SUMIFS(Def!C:C,Def!F:F,AJ355)</f>
        <v/>
      </c>
      <c r="AL355" s="156">
        <f>IFERROR(SUMIFS(Def!B:B,Def!F:F,AJ355)/AK355,"")</f>
        <v/>
      </c>
    </row>
    <row r="356" ht="14.4" customHeight="1" s="152">
      <c r="A356" s="157">
        <f>IF(F356="Yes",IFERROR(IF(AA356&gt;1,AA356/100,100/-AA356),""),-1)</f>
        <v/>
      </c>
      <c r="B356" s="157">
        <f>B355+1</f>
        <v/>
      </c>
      <c r="C356" s="157">
        <f>IF(Y356&gt;Z356,1,0)</f>
        <v/>
      </c>
      <c r="D356" s="157">
        <f>IF(AND(C356=1,F356="Yes"),"Yes",IF(AND(C356=0,F356="No"),"Yes","No"))</f>
        <v/>
      </c>
      <c r="E356" s="192">
        <f>IF((AC356+AB356)=AD356,"Push",IF((AC356+AB356)&gt;AD356,"Yes","No"))</f>
        <v/>
      </c>
      <c r="F356" s="192">
        <f>IF(AC356&gt;AD356,"Yes","No")</f>
        <v/>
      </c>
      <c r="G356" s="192">
        <f>IF((Y356+AB356)&gt;Z356,"Yes",IF((Y356+AB356)=Z356,"Push","No"))</f>
        <v/>
      </c>
      <c r="H356" s="157">
        <f>IF(O356="Home",VLOOKUP(N356,Matrix!A:S,19,0),1)</f>
        <v/>
      </c>
      <c r="I356" s="157">
        <f>IF(O356="Away",VLOOKUP(N356,Matrix!A:Z,20,0),1)</f>
        <v/>
      </c>
      <c r="J356" s="157">
        <f>IF(O356="Away",VLOOKUP(P356,Matrix!A:S,19,0),1)</f>
        <v/>
      </c>
      <c r="K356" s="157">
        <f>IF(O356="Home",VLOOKUP(P356,Matrix!A:Z,20,0),1)</f>
        <v/>
      </c>
      <c r="L356" s="156" t="n">
        <v>0.527566502463054</v>
      </c>
      <c r="M356" s="179">
        <f>Schedule!B356</f>
        <v/>
      </c>
      <c r="N356" s="156">
        <f>Schedule!E356</f>
        <v/>
      </c>
      <c r="O356" s="156" t="inlineStr">
        <is>
          <t>Home</t>
        </is>
      </c>
      <c r="P356" s="157">
        <f>Schedule!H356</f>
        <v/>
      </c>
      <c r="Q356" s="157">
        <f>Schedule!C356</f>
        <v/>
      </c>
      <c r="R356" s="180">
        <f>Schedule!D356</f>
        <v/>
      </c>
      <c r="S356" s="181">
        <f>Schedule!J356</f>
        <v/>
      </c>
      <c r="T356" s="193">
        <f>Y356-Z356</f>
        <v/>
      </c>
      <c r="U356" s="182">
        <f>T356/Picks!$K$2</f>
        <v/>
      </c>
      <c r="V356" s="193">
        <f>INDEX(Standings!$T$3:$T$34, MATCH(N356, Standings!$A$3:$A$34, 0)) - INDEX(Standings!$T$3:$T$34, MATCH(P356, Standings!$A$3:$A$34, 0))</f>
        <v/>
      </c>
      <c r="W356" s="157">
        <f>INDEX(Standings!$L$3:$L$34, MATCH(N356, Standings!$A$3:$A$34, 0)) - INDEX(Standings!$L$3:$L$34, MATCH(P356, Standings!$A$3:$A$34, 0))</f>
        <v/>
      </c>
      <c r="X356" s="157">
        <f>INDEX(Standings!$M$3:$M$34, MATCH(N356, Standings!$A$3:$A$34, 0)) - INDEX(Standings!$M$3:$M$34, MATCH(P356, Standings!$A$3:$A$34, 0))</f>
        <v/>
      </c>
      <c r="Y356" s="194">
        <f t="array" ref="Y356:Y356">IFERROR(AE356+(AL356-_DFactor)*AE356,"")</f>
        <v/>
      </c>
      <c r="Z356" s="157">
        <f>IFERROR(AF356+(AI356-_DFactor)*AF356,"")</f>
        <v/>
      </c>
      <c r="AC356" s="194">
        <f>VLOOKUP(M356&amp;N356,Schedule!A:F,6,0)</f>
        <v/>
      </c>
      <c r="AD356" s="194">
        <f>VLOOKUP(M356&amp;P356,Schedule!A:F,6,0)</f>
        <v/>
      </c>
      <c r="AE356" s="156">
        <f>VLOOKUP(N356,ProjPVT!B:I,8,0)*_Mag/VLOOKUP(P356,Standings!A:O,15,0)*H356*K356</f>
        <v/>
      </c>
      <c r="AF356" s="156">
        <f>VLOOKUP(P356,ProjPVT!B:I,8,0)*_Mag/VLOOKUP(N356,Standings!A:O,15,0)*J356*I356</f>
        <v/>
      </c>
      <c r="AG356" s="195">
        <f>VLOOKUP(N356,Matrix!AA:AC,3,0)</f>
        <v/>
      </c>
      <c r="AH356" s="195">
        <f>SUMIFS(Def!C:C,Def!F:F,AG356)</f>
        <v/>
      </c>
      <c r="AI356" s="156">
        <f>IFERROR(SUMIFS(Def!B:B,Def!F:F,AG356)/AH356,"")</f>
        <v/>
      </c>
      <c r="AJ356" s="195">
        <f>VLOOKUP(P356,Matrix!AA:AC,3,0)</f>
        <v/>
      </c>
      <c r="AK356" s="195">
        <f>SUMIFS(Def!C:C,Def!F:F,AJ356)</f>
        <v/>
      </c>
      <c r="AL356" s="156">
        <f>IFERROR(SUMIFS(Def!B:B,Def!F:F,AJ356)/AK356,"")</f>
        <v/>
      </c>
    </row>
    <row r="357" ht="14.4" customHeight="1" s="152">
      <c r="A357" s="157">
        <f>IF(F357="Yes",IFERROR(IF(AA357&gt;1,AA357/100,100/-AA357),""),-1)</f>
        <v/>
      </c>
      <c r="B357" s="157">
        <f>B356+1</f>
        <v/>
      </c>
      <c r="C357" s="157">
        <f>IF(Y357&gt;Z357,1,0)</f>
        <v/>
      </c>
      <c r="D357" s="157">
        <f>IF(AND(C357=1,F357="Yes"),"Yes",IF(AND(C357=0,F357="No"),"Yes","No"))</f>
        <v/>
      </c>
      <c r="E357" s="192">
        <f>IF((AC357+AB357)=AD357,"Push",IF((AC357+AB357)&gt;AD357,"Yes","No"))</f>
        <v/>
      </c>
      <c r="F357" s="192">
        <f>IF(AC357&gt;AD357,"Yes","No")</f>
        <v/>
      </c>
      <c r="G357" s="192">
        <f>IF((Y357+AB357)&gt;Z357,"Yes",IF((Y357+AB357)=Z357,"Push","No"))</f>
        <v/>
      </c>
      <c r="H357" s="157">
        <f>IF(O357="Home",VLOOKUP(N357,Matrix!A:S,19,0),1)</f>
        <v/>
      </c>
      <c r="I357" s="157">
        <f>IF(O357="Away",VLOOKUP(N357,Matrix!A:Z,20,0),1)</f>
        <v/>
      </c>
      <c r="J357" s="157">
        <f>IF(O357="Away",VLOOKUP(P357,Matrix!A:S,19,0),1)</f>
        <v/>
      </c>
      <c r="K357" s="157">
        <f>IF(O357="Home",VLOOKUP(P357,Matrix!A:Z,20,0),1)</f>
        <v/>
      </c>
      <c r="L357" s="156" t="n">
        <v>0.542432716146705</v>
      </c>
      <c r="M357" s="179">
        <f>Schedule!B357</f>
        <v/>
      </c>
      <c r="N357" s="156">
        <f>Schedule!E357</f>
        <v/>
      </c>
      <c r="O357" s="156" t="inlineStr">
        <is>
          <t>Away</t>
        </is>
      </c>
      <c r="P357" s="157">
        <f>Schedule!H357</f>
        <v/>
      </c>
      <c r="Q357" s="157">
        <f>Schedule!C357</f>
        <v/>
      </c>
      <c r="R357" s="180">
        <f>Schedule!D357</f>
        <v/>
      </c>
      <c r="S357" s="181">
        <f>Schedule!J357</f>
        <v/>
      </c>
      <c r="T357" s="193">
        <f>Y357-Z357</f>
        <v/>
      </c>
      <c r="U357" s="182">
        <f>T357/Picks!$K$2</f>
        <v/>
      </c>
      <c r="V357" s="193">
        <f>INDEX(Standings!$T$3:$T$34, MATCH(N357, Standings!$A$3:$A$34, 0)) - INDEX(Standings!$T$3:$T$34, MATCH(P357, Standings!$A$3:$A$34, 0))</f>
        <v/>
      </c>
      <c r="W357" s="157">
        <f>INDEX(Standings!$L$3:$L$34, MATCH(N357, Standings!$A$3:$A$34, 0)) - INDEX(Standings!$L$3:$L$34, MATCH(P357, Standings!$A$3:$A$34, 0))</f>
        <v/>
      </c>
      <c r="X357" s="157">
        <f>INDEX(Standings!$M$3:$M$34, MATCH(N357, Standings!$A$3:$A$34, 0)) - INDEX(Standings!$M$3:$M$34, MATCH(P357, Standings!$A$3:$A$34, 0))</f>
        <v/>
      </c>
      <c r="Y357" s="194">
        <f t="array" ref="Y357:Y357">IFERROR(AE357+(AL357-_DFactor)*AE357,"")</f>
        <v/>
      </c>
      <c r="Z357" s="157">
        <f>IFERROR(AF357+(AI357-_DFactor)*AF357,"")</f>
        <v/>
      </c>
      <c r="AC357" s="194">
        <f>VLOOKUP(M357&amp;N357,Schedule!A:F,6,0)</f>
        <v/>
      </c>
      <c r="AD357" s="194">
        <f>VLOOKUP(M357&amp;P357,Schedule!A:F,6,0)</f>
        <v/>
      </c>
      <c r="AE357" s="156">
        <f>VLOOKUP(N357,ProjPVT!B:I,8,0)*_Mag/VLOOKUP(P357,Standings!A:O,15,0)*H357*K357</f>
        <v/>
      </c>
      <c r="AF357" s="156">
        <f>VLOOKUP(P357,ProjPVT!B:I,8,0)*_Mag/VLOOKUP(N357,Standings!A:O,15,0)*J357*I357</f>
        <v/>
      </c>
      <c r="AG357" s="195">
        <f>VLOOKUP(N357,Matrix!AA:AC,3,0)</f>
        <v/>
      </c>
      <c r="AH357" s="195">
        <f>SUMIFS(Def!C:C,Def!F:F,AG357)</f>
        <v/>
      </c>
      <c r="AI357" s="156">
        <f>IFERROR(SUMIFS(Def!B:B,Def!F:F,AG357)/AH357,"")</f>
        <v/>
      </c>
      <c r="AJ357" s="195">
        <f>VLOOKUP(P357,Matrix!AA:AC,3,0)</f>
        <v/>
      </c>
      <c r="AK357" s="195">
        <f>SUMIFS(Def!C:C,Def!F:F,AJ357)</f>
        <v/>
      </c>
      <c r="AL357" s="156">
        <f>IFERROR(SUMIFS(Def!B:B,Def!F:F,AJ357)/AK357,"")</f>
        <v/>
      </c>
    </row>
    <row r="358" ht="14.4" customHeight="1" s="152">
      <c r="A358" s="157">
        <f>IF(F358="Yes",IFERROR(IF(AA358&gt;1,AA358/100,100/-AA358),""),-1)</f>
        <v/>
      </c>
      <c r="B358" s="157">
        <f>B357+1</f>
        <v/>
      </c>
      <c r="C358" s="157">
        <f>IF(Y358&gt;Z358,1,0)</f>
        <v/>
      </c>
      <c r="D358" s="157">
        <f>IF(AND(C358=1,F358="Yes"),"Yes",IF(AND(C358=0,F358="No"),"Yes","No"))</f>
        <v/>
      </c>
      <c r="E358" s="192">
        <f>IF((AC358+AB358)=AD358,"Push",IF((AC358+AB358)&gt;AD358,"Yes","No"))</f>
        <v/>
      </c>
      <c r="F358" s="192">
        <f>IF(AC358&gt;AD358,"Yes","No")</f>
        <v/>
      </c>
      <c r="G358" s="192">
        <f>IF((Y358+AB358)&gt;Z358,"Yes",IF((Y358+AB358)=Z358,"Push","No"))</f>
        <v/>
      </c>
      <c r="H358" s="157">
        <f>IF(O358="Home",VLOOKUP(N358,Matrix!A:S,19,0),1)</f>
        <v/>
      </c>
      <c r="I358" s="157">
        <f>IF(O358="Away",VLOOKUP(N358,Matrix!A:Z,20,0),1)</f>
        <v/>
      </c>
      <c r="J358" s="157">
        <f>IF(O358="Away",VLOOKUP(P358,Matrix!A:S,19,0),1)</f>
        <v/>
      </c>
      <c r="K358" s="157">
        <f>IF(O358="Home",VLOOKUP(P358,Matrix!A:Z,20,0),1)</f>
        <v/>
      </c>
      <c r="L358" s="156" t="n">
        <v>0.57306418050333</v>
      </c>
      <c r="M358" s="179">
        <f>Schedule!B358</f>
        <v/>
      </c>
      <c r="N358" s="156">
        <f>Schedule!E358</f>
        <v/>
      </c>
      <c r="O358" s="156" t="inlineStr">
        <is>
          <t>Away</t>
        </is>
      </c>
      <c r="P358" s="157">
        <f>Schedule!H358</f>
        <v/>
      </c>
      <c r="Q358" s="157">
        <f>Schedule!C358</f>
        <v/>
      </c>
      <c r="R358" s="180">
        <f>Schedule!D358</f>
        <v/>
      </c>
      <c r="S358" s="181">
        <f>Schedule!J358</f>
        <v/>
      </c>
      <c r="T358" s="193">
        <f>Y358-Z358</f>
        <v/>
      </c>
      <c r="U358" s="182">
        <f>T358/Picks!$K$2</f>
        <v/>
      </c>
      <c r="V358" s="193">
        <f>INDEX(Standings!$T$3:$T$34, MATCH(N358, Standings!$A$3:$A$34, 0)) - INDEX(Standings!$T$3:$T$34, MATCH(P358, Standings!$A$3:$A$34, 0))</f>
        <v/>
      </c>
      <c r="W358" s="157">
        <f>INDEX(Standings!$L$3:$L$34, MATCH(N358, Standings!$A$3:$A$34, 0)) - INDEX(Standings!$L$3:$L$34, MATCH(P358, Standings!$A$3:$A$34, 0))</f>
        <v/>
      </c>
      <c r="X358" s="157">
        <f>INDEX(Standings!$M$3:$M$34, MATCH(N358, Standings!$A$3:$A$34, 0)) - INDEX(Standings!$M$3:$M$34, MATCH(P358, Standings!$A$3:$A$34, 0))</f>
        <v/>
      </c>
      <c r="Y358" s="194">
        <f t="array" ref="Y358:Y358">IFERROR(AE358+(AL358-_DFactor)*AE358,"")</f>
        <v/>
      </c>
      <c r="Z358" s="157">
        <f>IFERROR(AF358+(AI358-_DFactor)*AF358,"")</f>
        <v/>
      </c>
      <c r="AC358" s="194">
        <f>VLOOKUP(M358&amp;N358,Schedule!A:F,6,0)</f>
        <v/>
      </c>
      <c r="AD358" s="194">
        <f>VLOOKUP(M358&amp;P358,Schedule!A:F,6,0)</f>
        <v/>
      </c>
      <c r="AE358" s="156">
        <f>VLOOKUP(N358,ProjPVT!B:I,8,0)*_Mag/VLOOKUP(P358,Standings!A:O,15,0)*H358*K358</f>
        <v/>
      </c>
      <c r="AF358" s="156">
        <f>VLOOKUP(P358,ProjPVT!B:I,8,0)*_Mag/VLOOKUP(N358,Standings!A:O,15,0)*J358*I358</f>
        <v/>
      </c>
      <c r="AG358" s="195">
        <f>VLOOKUP(N358,Matrix!AA:AC,3,0)</f>
        <v/>
      </c>
      <c r="AH358" s="195">
        <f>SUMIFS(Def!C:C,Def!F:F,AG358)</f>
        <v/>
      </c>
      <c r="AI358" s="156">
        <f>IFERROR(SUMIFS(Def!B:B,Def!F:F,AG358)/AH358,"")</f>
        <v/>
      </c>
      <c r="AJ358" s="195">
        <f>VLOOKUP(P358,Matrix!AA:AC,3,0)</f>
        <v/>
      </c>
      <c r="AK358" s="195">
        <f>SUMIFS(Def!C:C,Def!F:F,AJ358)</f>
        <v/>
      </c>
      <c r="AL358" s="156">
        <f>IFERROR(SUMIFS(Def!B:B,Def!F:F,AJ358)/AK358,"")</f>
        <v/>
      </c>
    </row>
    <row r="359" ht="14.4" customHeight="1" s="152">
      <c r="A359" s="157">
        <f>IF(F359="Yes",IFERROR(IF(AA359&gt;1,AA359/100,100/-AA359),""),-1)</f>
        <v/>
      </c>
      <c r="B359" s="157">
        <f>B358+1</f>
        <v/>
      </c>
      <c r="C359" s="157">
        <f>IF(Y359&gt;Z359,1,0)</f>
        <v/>
      </c>
      <c r="D359" s="157">
        <f>IF(AND(C359=1,F359="Yes"),"Yes",IF(AND(C359=0,F359="No"),"Yes","No"))</f>
        <v/>
      </c>
      <c r="E359" s="192">
        <f>IF((AC359+AB359)=AD359,"Push",IF((AC359+AB359)&gt;AD359,"Yes","No"))</f>
        <v/>
      </c>
      <c r="F359" s="192">
        <f>IF(AC359&gt;AD359,"Yes","No")</f>
        <v/>
      </c>
      <c r="G359" s="192">
        <f>IF((Y359+AB359)&gt;Z359,"Yes",IF((Y359+AB359)=Z359,"Push","No"))</f>
        <v/>
      </c>
      <c r="H359" s="157">
        <f>IF(O359="Home",VLOOKUP(N359,Matrix!A:S,19,0),1)</f>
        <v/>
      </c>
      <c r="I359" s="157">
        <f>IF(O359="Away",VLOOKUP(N359,Matrix!A:Z,20,0),1)</f>
        <v/>
      </c>
      <c r="J359" s="157">
        <f>IF(O359="Away",VLOOKUP(P359,Matrix!A:S,19,0),1)</f>
        <v/>
      </c>
      <c r="K359" s="157">
        <f>IF(O359="Home",VLOOKUP(P359,Matrix!A:Z,20,0),1)</f>
        <v/>
      </c>
      <c r="L359" s="156" t="n">
        <v>0.7111026752602601</v>
      </c>
      <c r="M359" s="179">
        <f>Schedule!B359</f>
        <v/>
      </c>
      <c r="N359" s="156">
        <f>Schedule!E359</f>
        <v/>
      </c>
      <c r="O359" s="156" t="inlineStr">
        <is>
          <t>Away</t>
        </is>
      </c>
      <c r="P359" s="157">
        <f>Schedule!H359</f>
        <v/>
      </c>
      <c r="Q359" s="157">
        <f>Schedule!C359</f>
        <v/>
      </c>
      <c r="R359" s="180">
        <f>Schedule!D359</f>
        <v/>
      </c>
      <c r="S359" s="181">
        <f>Schedule!J359</f>
        <v/>
      </c>
      <c r="T359" s="193">
        <f>Y359-Z359</f>
        <v/>
      </c>
      <c r="U359" s="182">
        <f>T359/Picks!$K$2</f>
        <v/>
      </c>
      <c r="V359" s="193">
        <f>INDEX(Standings!$T$3:$T$34, MATCH(N359, Standings!$A$3:$A$34, 0)) - INDEX(Standings!$T$3:$T$34, MATCH(P359, Standings!$A$3:$A$34, 0))</f>
        <v/>
      </c>
      <c r="W359" s="157">
        <f>INDEX(Standings!$L$3:$L$34, MATCH(N359, Standings!$A$3:$A$34, 0)) - INDEX(Standings!$L$3:$L$34, MATCH(P359, Standings!$A$3:$A$34, 0))</f>
        <v/>
      </c>
      <c r="X359" s="157">
        <f>INDEX(Standings!$M$3:$M$34, MATCH(N359, Standings!$A$3:$A$34, 0)) - INDEX(Standings!$M$3:$M$34, MATCH(P359, Standings!$A$3:$A$34, 0))</f>
        <v/>
      </c>
      <c r="Y359" s="194">
        <f t="array" ref="Y359:Y359">IFERROR(AE359+(AL359-_DFactor)*AE359,"")</f>
        <v/>
      </c>
      <c r="Z359" s="157">
        <f>IFERROR(AF359+(AI359-_DFactor)*AF359,"")</f>
        <v/>
      </c>
      <c r="AC359" s="194">
        <f>VLOOKUP(M359&amp;N359,Schedule!A:F,6,0)</f>
        <v/>
      </c>
      <c r="AD359" s="194">
        <f>VLOOKUP(M359&amp;P359,Schedule!A:F,6,0)</f>
        <v/>
      </c>
      <c r="AE359" s="156">
        <f>VLOOKUP(N359,ProjPVT!B:I,8,0)*_Mag/VLOOKUP(P359,Standings!A:O,15,0)*H359*K359</f>
        <v/>
      </c>
      <c r="AF359" s="156">
        <f>VLOOKUP(P359,ProjPVT!B:I,8,0)*_Mag/VLOOKUP(N359,Standings!A:O,15,0)*J359*I359</f>
        <v/>
      </c>
      <c r="AG359" s="195">
        <f>VLOOKUP(N359,Matrix!AA:AC,3,0)</f>
        <v/>
      </c>
      <c r="AH359" s="195">
        <f>SUMIFS(Def!C:C,Def!F:F,AG359)</f>
        <v/>
      </c>
      <c r="AI359" s="156">
        <f>IFERROR(SUMIFS(Def!B:B,Def!F:F,AG359)/AH359,"")</f>
        <v/>
      </c>
      <c r="AJ359" s="195">
        <f>VLOOKUP(P359,Matrix!AA:AC,3,0)</f>
        <v/>
      </c>
      <c r="AK359" s="195">
        <f>SUMIFS(Def!C:C,Def!F:F,AJ359)</f>
        <v/>
      </c>
      <c r="AL359" s="156">
        <f>IFERROR(SUMIFS(Def!B:B,Def!F:F,AJ359)/AK359,"")</f>
        <v/>
      </c>
    </row>
    <row r="360" ht="14.4" customHeight="1" s="152">
      <c r="A360" s="157">
        <f>IF(F360="Yes",IFERROR(IF(AA360&gt;1,AA360/100,100/-AA360),""),-1)</f>
        <v/>
      </c>
      <c r="B360" s="157">
        <f>B359+1</f>
        <v/>
      </c>
      <c r="C360" s="157">
        <f>IF(Y360&gt;Z360,1,0)</f>
        <v/>
      </c>
      <c r="D360" s="157">
        <f>IF(AND(C360=1,F360="Yes"),"Yes",IF(AND(C360=0,F360="No"),"Yes","No"))</f>
        <v/>
      </c>
      <c r="E360" s="192">
        <f>IF((AC360+AB360)=AD360,"Push",IF((AC360+AB360)&gt;AD360,"Yes","No"))</f>
        <v/>
      </c>
      <c r="F360" s="192">
        <f>IF(AC360&gt;AD360,"Yes","No")</f>
        <v/>
      </c>
      <c r="G360" s="192">
        <f>IF((Y360+AB360)&gt;Z360,"Yes",IF((Y360+AB360)=Z360,"Push","No"))</f>
        <v/>
      </c>
      <c r="H360" s="157">
        <f>IF(O360="Home",VLOOKUP(N360,Matrix!A:S,19,0),1)</f>
        <v/>
      </c>
      <c r="I360" s="157">
        <f>IF(O360="Away",VLOOKUP(N360,Matrix!A:Z,20,0),1)</f>
        <v/>
      </c>
      <c r="J360" s="157">
        <f>IF(O360="Away",VLOOKUP(P360,Matrix!A:S,19,0),1)</f>
        <v/>
      </c>
      <c r="K360" s="157">
        <f>IF(O360="Home",VLOOKUP(P360,Matrix!A:Z,20,0),1)</f>
        <v/>
      </c>
      <c r="L360" s="156" t="n">
        <v>-0.853694618966664</v>
      </c>
      <c r="M360" s="179">
        <f>Schedule!B360</f>
        <v/>
      </c>
      <c r="N360" s="156">
        <f>Schedule!E360</f>
        <v/>
      </c>
      <c r="O360" s="156" t="inlineStr">
        <is>
          <t>Away</t>
        </is>
      </c>
      <c r="P360" s="157">
        <f>Schedule!H360</f>
        <v/>
      </c>
      <c r="Q360" s="157">
        <f>Schedule!C360</f>
        <v/>
      </c>
      <c r="R360" s="180">
        <f>Schedule!D360</f>
        <v/>
      </c>
      <c r="S360" s="181">
        <f>Schedule!J360</f>
        <v/>
      </c>
      <c r="T360" s="193">
        <f>Y360-Z360</f>
        <v/>
      </c>
      <c r="U360" s="182">
        <f>T360/Picks!$K$2</f>
        <v/>
      </c>
      <c r="V360" s="193">
        <f>INDEX(Standings!$T$3:$T$34, MATCH(N360, Standings!$A$3:$A$34, 0)) - INDEX(Standings!$T$3:$T$34, MATCH(P360, Standings!$A$3:$A$34, 0))</f>
        <v/>
      </c>
      <c r="W360" s="157">
        <f>INDEX(Standings!$L$3:$L$34, MATCH(N360, Standings!$A$3:$A$34, 0)) - INDEX(Standings!$L$3:$L$34, MATCH(P360, Standings!$A$3:$A$34, 0))</f>
        <v/>
      </c>
      <c r="X360" s="157">
        <f>INDEX(Standings!$M$3:$M$34, MATCH(N360, Standings!$A$3:$A$34, 0)) - INDEX(Standings!$M$3:$M$34, MATCH(P360, Standings!$A$3:$A$34, 0))</f>
        <v/>
      </c>
      <c r="Y360" s="194">
        <f t="array" ref="Y360:Y360">IFERROR(AE360+(AL360-_DFactor)*AE360,"")</f>
        <v/>
      </c>
      <c r="Z360" s="157">
        <f>IFERROR(AF360+(AI360-_DFactor)*AF360,"")</f>
        <v/>
      </c>
      <c r="AC360" s="194">
        <f>VLOOKUP(M360&amp;N360,Schedule!A:F,6,0)</f>
        <v/>
      </c>
      <c r="AD360" s="194">
        <f>VLOOKUP(M360&amp;P360,Schedule!A:F,6,0)</f>
        <v/>
      </c>
      <c r="AE360" s="156">
        <f>VLOOKUP(N360,ProjPVT!B:I,8,0)*_Mag/VLOOKUP(P360,Standings!A:O,15,0)*H360*K360</f>
        <v/>
      </c>
      <c r="AF360" s="156">
        <f>VLOOKUP(P360,ProjPVT!B:I,8,0)*_Mag/VLOOKUP(N360,Standings!A:O,15,0)*J360*I360</f>
        <v/>
      </c>
      <c r="AG360" s="195">
        <f>VLOOKUP(N360,Matrix!AA:AC,3,0)</f>
        <v/>
      </c>
      <c r="AH360" s="195">
        <f>SUMIFS(Def!C:C,Def!F:F,AG360)</f>
        <v/>
      </c>
      <c r="AI360" s="156">
        <f>IFERROR(SUMIFS(Def!B:B,Def!F:F,AG360)/AH360,"")</f>
        <v/>
      </c>
      <c r="AJ360" s="195">
        <f>VLOOKUP(P360,Matrix!AA:AC,3,0)</f>
        <v/>
      </c>
      <c r="AK360" s="195">
        <f>SUMIFS(Def!C:C,Def!F:F,AJ360)</f>
        <v/>
      </c>
      <c r="AL360" s="156">
        <f>IFERROR(SUMIFS(Def!B:B,Def!F:F,AJ360)/AK360,"")</f>
        <v/>
      </c>
    </row>
    <row r="361" ht="14.4" customHeight="1" s="152">
      <c r="A361" s="157">
        <f>IF(F361="Yes",IFERROR(IF(AA361&gt;1,AA361/100,100/-AA361),""),-1)</f>
        <v/>
      </c>
      <c r="B361" s="157">
        <f>B360+1</f>
        <v/>
      </c>
      <c r="C361" s="157">
        <f>IF(Y361&gt;Z361,1,0)</f>
        <v/>
      </c>
      <c r="D361" s="157">
        <f>IF(AND(C361=1,F361="Yes"),"Yes",IF(AND(C361=0,F361="No"),"Yes","No"))</f>
        <v/>
      </c>
      <c r="E361" s="192">
        <f>IF((AC361+AB361)=AD361,"Push",IF((AC361+AB361)&gt;AD361,"Yes","No"))</f>
        <v/>
      </c>
      <c r="F361" s="192">
        <f>IF(AC361&gt;AD361,"Yes","No")</f>
        <v/>
      </c>
      <c r="G361" s="192">
        <f>IF((Y361+AB361)&gt;Z361,"Yes",IF((Y361+AB361)=Z361,"Push","No"))</f>
        <v/>
      </c>
      <c r="H361" s="157">
        <f>IF(O361="Home",VLOOKUP(N361,Matrix!A:S,19,0),1)</f>
        <v/>
      </c>
      <c r="I361" s="157">
        <f>IF(O361="Away",VLOOKUP(N361,Matrix!A:Z,20,0),1)</f>
        <v/>
      </c>
      <c r="J361" s="157">
        <f>IF(O361="Away",VLOOKUP(P361,Matrix!A:S,19,0),1)</f>
        <v/>
      </c>
      <c r="K361" s="157">
        <f>IF(O361="Home",VLOOKUP(P361,Matrix!A:Z,20,0),1)</f>
        <v/>
      </c>
      <c r="L361" s="156" t="n">
        <v>-0.463561503349674</v>
      </c>
      <c r="M361" s="179">
        <f>Schedule!B361</f>
        <v/>
      </c>
      <c r="N361" s="156">
        <f>Schedule!E361</f>
        <v/>
      </c>
      <c r="O361" s="156" t="inlineStr">
        <is>
          <t>Home</t>
        </is>
      </c>
      <c r="P361" s="157">
        <f>Schedule!H361</f>
        <v/>
      </c>
      <c r="Q361" s="157">
        <f>Schedule!C361</f>
        <v/>
      </c>
      <c r="R361" s="180">
        <f>Schedule!D361</f>
        <v/>
      </c>
      <c r="S361" s="181">
        <f>Schedule!J361</f>
        <v/>
      </c>
      <c r="T361" s="193">
        <f>Y361-Z361</f>
        <v/>
      </c>
      <c r="U361" s="182">
        <f>T361/Picks!$K$2</f>
        <v/>
      </c>
      <c r="V361" s="193">
        <f>INDEX(Standings!$T$3:$T$34, MATCH(N361, Standings!$A$3:$A$34, 0)) - INDEX(Standings!$T$3:$T$34, MATCH(P361, Standings!$A$3:$A$34, 0))</f>
        <v/>
      </c>
      <c r="W361" s="157">
        <f>INDEX(Standings!$L$3:$L$34, MATCH(N361, Standings!$A$3:$A$34, 0)) - INDEX(Standings!$L$3:$L$34, MATCH(P361, Standings!$A$3:$A$34, 0))</f>
        <v/>
      </c>
      <c r="X361" s="157">
        <f>INDEX(Standings!$M$3:$M$34, MATCH(N361, Standings!$A$3:$A$34, 0)) - INDEX(Standings!$M$3:$M$34, MATCH(P361, Standings!$A$3:$A$34, 0))</f>
        <v/>
      </c>
      <c r="Y361" s="194">
        <f t="array" ref="Y361:Y361">IFERROR(AE361+(AL361-_DFactor)*AE361,"")</f>
        <v/>
      </c>
      <c r="Z361" s="157">
        <f>IFERROR(AF361+(AI361-_DFactor)*AF361,"")</f>
        <v/>
      </c>
      <c r="AC361" s="194">
        <f>VLOOKUP(M361&amp;N361,Schedule!A:F,6,0)</f>
        <v/>
      </c>
      <c r="AD361" s="194">
        <f>VLOOKUP(M361&amp;P361,Schedule!A:F,6,0)</f>
        <v/>
      </c>
      <c r="AE361" s="156">
        <f>VLOOKUP(N361,ProjPVT!B:I,8,0)*_Mag/VLOOKUP(P361,Standings!A:O,15,0)*H361*K361</f>
        <v/>
      </c>
      <c r="AF361" s="156">
        <f>VLOOKUP(P361,ProjPVT!B:I,8,0)*_Mag/VLOOKUP(N361,Standings!A:O,15,0)*J361*I361</f>
        <v/>
      </c>
      <c r="AG361" s="195">
        <f>VLOOKUP(N361,Matrix!AA:AC,3,0)</f>
        <v/>
      </c>
      <c r="AH361" s="195">
        <f>SUMIFS(Def!C:C,Def!F:F,AG361)</f>
        <v/>
      </c>
      <c r="AI361" s="156">
        <f>IFERROR(SUMIFS(Def!B:B,Def!F:F,AG361)/AH361,"")</f>
        <v/>
      </c>
      <c r="AJ361" s="195">
        <f>VLOOKUP(P361,Matrix!AA:AC,3,0)</f>
        <v/>
      </c>
      <c r="AK361" s="195">
        <f>SUMIFS(Def!C:C,Def!F:F,AJ361)</f>
        <v/>
      </c>
      <c r="AL361" s="156">
        <f>IFERROR(SUMIFS(Def!B:B,Def!F:F,AJ361)/AK361,"")</f>
        <v/>
      </c>
    </row>
    <row r="362" ht="14.4" customHeight="1" s="152">
      <c r="A362" s="157">
        <f>IF(F362="Yes",IFERROR(IF(AA362&gt;1,AA362/100,100/-AA362),""),-1)</f>
        <v/>
      </c>
      <c r="B362" s="157">
        <f>B361+1</f>
        <v/>
      </c>
      <c r="C362" s="157">
        <f>IF(Y362&gt;Z362,1,0)</f>
        <v/>
      </c>
      <c r="D362" s="157">
        <f>IF(AND(C362=1,F362="Yes"),"Yes",IF(AND(C362=0,F362="No"),"Yes","No"))</f>
        <v/>
      </c>
      <c r="E362" s="192">
        <f>IF((AC362+AB362)=AD362,"Push",IF((AC362+AB362)&gt;AD362,"Yes","No"))</f>
        <v/>
      </c>
      <c r="F362" s="192">
        <f>IF(AC362&gt;AD362,"Yes","No")</f>
        <v/>
      </c>
      <c r="G362" s="192">
        <f>IF((Y362+AB362)&gt;Z362,"Yes",IF((Y362+AB362)=Z362,"Push","No"))</f>
        <v/>
      </c>
      <c r="H362" s="157">
        <f>IF(O362="Home",VLOOKUP(N362,Matrix!A:S,19,0),1)</f>
        <v/>
      </c>
      <c r="I362" s="157">
        <f>IF(O362="Away",VLOOKUP(N362,Matrix!A:Z,20,0),1)</f>
        <v/>
      </c>
      <c r="J362" s="157">
        <f>IF(O362="Away",VLOOKUP(P362,Matrix!A:S,19,0),1)</f>
        <v/>
      </c>
      <c r="K362" s="157">
        <f>IF(O362="Home",VLOOKUP(P362,Matrix!A:Z,20,0),1)</f>
        <v/>
      </c>
      <c r="L362" s="156" t="n">
        <v>-0.44123224039438</v>
      </c>
      <c r="M362" s="179">
        <f>Schedule!B362</f>
        <v/>
      </c>
      <c r="N362" s="156">
        <f>Schedule!E362</f>
        <v/>
      </c>
      <c r="O362" s="156" t="inlineStr">
        <is>
          <t>Away</t>
        </is>
      </c>
      <c r="P362" s="157">
        <f>Schedule!H362</f>
        <v/>
      </c>
      <c r="Q362" s="157">
        <f>Schedule!C362</f>
        <v/>
      </c>
      <c r="R362" s="180">
        <f>Schedule!D362</f>
        <v/>
      </c>
      <c r="S362" s="181">
        <f>Schedule!J362</f>
        <v/>
      </c>
      <c r="T362" s="193">
        <f>Y362-Z362</f>
        <v/>
      </c>
      <c r="U362" s="182">
        <f>T362/Picks!$K$2</f>
        <v/>
      </c>
      <c r="V362" s="193">
        <f>INDEX(Standings!$T$3:$T$34, MATCH(N362, Standings!$A$3:$A$34, 0)) - INDEX(Standings!$T$3:$T$34, MATCH(P362, Standings!$A$3:$A$34, 0))</f>
        <v/>
      </c>
      <c r="W362" s="157">
        <f>INDEX(Standings!$L$3:$L$34, MATCH(N362, Standings!$A$3:$A$34, 0)) - INDEX(Standings!$L$3:$L$34, MATCH(P362, Standings!$A$3:$A$34, 0))</f>
        <v/>
      </c>
      <c r="X362" s="157">
        <f>INDEX(Standings!$M$3:$M$34, MATCH(N362, Standings!$A$3:$A$34, 0)) - INDEX(Standings!$M$3:$M$34, MATCH(P362, Standings!$A$3:$A$34, 0))</f>
        <v/>
      </c>
      <c r="Y362" s="194">
        <f t="array" ref="Y362:Y362">IFERROR(AE362+(AL362-_DFactor)*AE362,"")</f>
        <v/>
      </c>
      <c r="Z362" s="157">
        <f>IFERROR(AF362+(AI362-_DFactor)*AF362,"")</f>
        <v/>
      </c>
      <c r="AC362" s="194">
        <f>VLOOKUP(M362&amp;N362,Schedule!A:F,6,0)</f>
        <v/>
      </c>
      <c r="AD362" s="194">
        <f>VLOOKUP(M362&amp;P362,Schedule!A:F,6,0)</f>
        <v/>
      </c>
      <c r="AE362" s="156">
        <f>VLOOKUP(N362,ProjPVT!B:I,8,0)*_Mag/VLOOKUP(P362,Standings!A:O,15,0)*H362*K362</f>
        <v/>
      </c>
      <c r="AF362" s="156">
        <f>VLOOKUP(P362,ProjPVT!B:I,8,0)*_Mag/VLOOKUP(N362,Standings!A:O,15,0)*J362*I362</f>
        <v/>
      </c>
      <c r="AG362" s="195">
        <f>VLOOKUP(N362,Matrix!AA:AC,3,0)</f>
        <v/>
      </c>
      <c r="AH362" s="195">
        <f>SUMIFS(Def!C:C,Def!F:F,AG362)</f>
        <v/>
      </c>
      <c r="AI362" s="156">
        <f>IFERROR(SUMIFS(Def!B:B,Def!F:F,AG362)/AH362,"")</f>
        <v/>
      </c>
      <c r="AJ362" s="195">
        <f>VLOOKUP(P362,Matrix!AA:AC,3,0)</f>
        <v/>
      </c>
      <c r="AK362" s="195">
        <f>SUMIFS(Def!C:C,Def!F:F,AJ362)</f>
        <v/>
      </c>
      <c r="AL362" s="156">
        <f>IFERROR(SUMIFS(Def!B:B,Def!F:F,AJ362)/AK362,"")</f>
        <v/>
      </c>
    </row>
    <row r="363" ht="14.4" customHeight="1" s="152">
      <c r="A363" s="157">
        <f>IF(F363="Yes",IFERROR(IF(AA363&gt;1,AA363/100,100/-AA363),""),-1)</f>
        <v/>
      </c>
      <c r="B363" s="157">
        <f>B362+1</f>
        <v/>
      </c>
      <c r="C363" s="157">
        <f>IF(Y363&gt;Z363,1,0)</f>
        <v/>
      </c>
      <c r="D363" s="157">
        <f>IF(AND(C363=1,F363="Yes"),"Yes",IF(AND(C363=0,F363="No"),"Yes","No"))</f>
        <v/>
      </c>
      <c r="E363" s="192">
        <f>IF((AC363+AB363)=AD363,"Push",IF((AC363+AB363)&gt;AD363,"Yes","No"))</f>
        <v/>
      </c>
      <c r="F363" s="192">
        <f>IF(AC363&gt;AD363,"Yes","No")</f>
        <v/>
      </c>
      <c r="G363" s="192">
        <f>IF((Y363+AB363)&gt;Z363,"Yes",IF((Y363+AB363)=Z363,"Push","No"))</f>
        <v/>
      </c>
      <c r="H363" s="157">
        <f>IF(O363="Home",VLOOKUP(N363,Matrix!A:S,19,0),1)</f>
        <v/>
      </c>
      <c r="I363" s="157">
        <f>IF(O363="Away",VLOOKUP(N363,Matrix!A:Z,20,0),1)</f>
        <v/>
      </c>
      <c r="J363" s="157">
        <f>IF(O363="Away",VLOOKUP(P363,Matrix!A:S,19,0),1)</f>
        <v/>
      </c>
      <c r="K363" s="157">
        <f>IF(O363="Home",VLOOKUP(P363,Matrix!A:Z,20,0),1)</f>
        <v/>
      </c>
      <c r="L363" s="156" t="n">
        <v>-0.394127070948122</v>
      </c>
      <c r="M363" s="179">
        <f>Schedule!B363</f>
        <v/>
      </c>
      <c r="N363" s="156">
        <f>Schedule!E363</f>
        <v/>
      </c>
      <c r="O363" s="156" t="inlineStr">
        <is>
          <t>Home</t>
        </is>
      </c>
      <c r="P363" s="157">
        <f>Schedule!H363</f>
        <v/>
      </c>
      <c r="Q363" s="157">
        <f>Schedule!C363</f>
        <v/>
      </c>
      <c r="R363" s="180">
        <f>Schedule!D363</f>
        <v/>
      </c>
      <c r="S363" s="181">
        <f>Schedule!J363</f>
        <v/>
      </c>
      <c r="T363" s="193">
        <f>Y363-Z363</f>
        <v/>
      </c>
      <c r="U363" s="182">
        <f>T363/Picks!$K$2</f>
        <v/>
      </c>
      <c r="V363" s="193">
        <f>INDEX(Standings!$T$3:$T$34, MATCH(N363, Standings!$A$3:$A$34, 0)) - INDEX(Standings!$T$3:$T$34, MATCH(P363, Standings!$A$3:$A$34, 0))</f>
        <v/>
      </c>
      <c r="W363" s="157">
        <f>INDEX(Standings!$L$3:$L$34, MATCH(N363, Standings!$A$3:$A$34, 0)) - INDEX(Standings!$L$3:$L$34, MATCH(P363, Standings!$A$3:$A$34, 0))</f>
        <v/>
      </c>
      <c r="X363" s="157">
        <f>INDEX(Standings!$M$3:$M$34, MATCH(N363, Standings!$A$3:$A$34, 0)) - INDEX(Standings!$M$3:$M$34, MATCH(P363, Standings!$A$3:$A$34, 0))</f>
        <v/>
      </c>
      <c r="Y363" s="194">
        <f t="array" ref="Y363:Y363">IFERROR(AE363+(AL363-_DFactor)*AE363,"")</f>
        <v/>
      </c>
      <c r="Z363" s="157">
        <f>IFERROR(AF363+(AI363-_DFactor)*AF363,"")</f>
        <v/>
      </c>
      <c r="AC363" s="194">
        <f>VLOOKUP(M363&amp;N363,Schedule!A:F,6,0)</f>
        <v/>
      </c>
      <c r="AD363" s="194">
        <f>VLOOKUP(M363&amp;P363,Schedule!A:F,6,0)</f>
        <v/>
      </c>
      <c r="AE363" s="156">
        <f>VLOOKUP(N363,ProjPVT!B:I,8,0)*_Mag/VLOOKUP(P363,Standings!A:O,15,0)*H363*K363</f>
        <v/>
      </c>
      <c r="AF363" s="156">
        <f>VLOOKUP(P363,ProjPVT!B:I,8,0)*_Mag/VLOOKUP(N363,Standings!A:O,15,0)*J363*I363</f>
        <v/>
      </c>
      <c r="AG363" s="195">
        <f>VLOOKUP(N363,Matrix!AA:AC,3,0)</f>
        <v/>
      </c>
      <c r="AH363" s="195">
        <f>SUMIFS(Def!C:C,Def!F:F,AG363)</f>
        <v/>
      </c>
      <c r="AI363" s="156">
        <f>IFERROR(SUMIFS(Def!B:B,Def!F:F,AG363)/AH363,"")</f>
        <v/>
      </c>
      <c r="AJ363" s="195">
        <f>VLOOKUP(P363,Matrix!AA:AC,3,0)</f>
        <v/>
      </c>
      <c r="AK363" s="195">
        <f>SUMIFS(Def!C:C,Def!F:F,AJ363)</f>
        <v/>
      </c>
      <c r="AL363" s="156">
        <f>IFERROR(SUMIFS(Def!B:B,Def!F:F,AJ363)/AK363,"")</f>
        <v/>
      </c>
    </row>
    <row r="364" ht="14.4" customHeight="1" s="152">
      <c r="A364" s="157">
        <f>IF(F364="Yes",IFERROR(IF(AA364&gt;1,AA364/100,100/-AA364),""),-1)</f>
        <v/>
      </c>
      <c r="B364" s="157">
        <f>B363+1</f>
        <v/>
      </c>
      <c r="C364" s="157">
        <f>IF(Y364&gt;Z364,1,0)</f>
        <v/>
      </c>
      <c r="D364" s="157">
        <f>IF(AND(C364=1,F364="Yes"),"Yes",IF(AND(C364=0,F364="No"),"Yes","No"))</f>
        <v/>
      </c>
      <c r="E364" s="192">
        <f>IF((AC364+AB364)=AD364,"Push",IF((AC364+AB364)&gt;AD364,"Yes","No"))</f>
        <v/>
      </c>
      <c r="F364" s="192">
        <f>IF(AC364&gt;AD364,"Yes","No")</f>
        <v/>
      </c>
      <c r="G364" s="192">
        <f>IF((Y364+AB364)&gt;Z364,"Yes",IF((Y364+AB364)=Z364,"Push","No"))</f>
        <v/>
      </c>
      <c r="H364" s="157">
        <f>IF(O364="Home",VLOOKUP(N364,Matrix!A:S,19,0),1)</f>
        <v/>
      </c>
      <c r="I364" s="157">
        <f>IF(O364="Away",VLOOKUP(N364,Matrix!A:Z,20,0),1)</f>
        <v/>
      </c>
      <c r="J364" s="157">
        <f>IF(O364="Away",VLOOKUP(P364,Matrix!A:S,19,0),1)</f>
        <v/>
      </c>
      <c r="K364" s="157">
        <f>IF(O364="Home",VLOOKUP(P364,Matrix!A:Z,20,0),1)</f>
        <v/>
      </c>
      <c r="L364" s="156" t="n">
        <v>-0.296285624349372</v>
      </c>
      <c r="M364" s="179">
        <f>Schedule!B364</f>
        <v/>
      </c>
      <c r="N364" s="156">
        <f>Schedule!E364</f>
        <v/>
      </c>
      <c r="O364" s="156" t="inlineStr">
        <is>
          <t>Away</t>
        </is>
      </c>
      <c r="P364" s="157">
        <f>Schedule!H364</f>
        <v/>
      </c>
      <c r="Q364" s="157">
        <f>Schedule!C364</f>
        <v/>
      </c>
      <c r="R364" s="180">
        <f>Schedule!D364</f>
        <v/>
      </c>
      <c r="S364" s="181">
        <f>Schedule!J364</f>
        <v/>
      </c>
      <c r="T364" s="193">
        <f>Y364-Z364</f>
        <v/>
      </c>
      <c r="U364" s="182">
        <f>T364/Picks!$K$2</f>
        <v/>
      </c>
      <c r="V364" s="193">
        <f>INDEX(Standings!$T$3:$T$34, MATCH(N364, Standings!$A$3:$A$34, 0)) - INDEX(Standings!$T$3:$T$34, MATCH(P364, Standings!$A$3:$A$34, 0))</f>
        <v/>
      </c>
      <c r="W364" s="157">
        <f>INDEX(Standings!$L$3:$L$34, MATCH(N364, Standings!$A$3:$A$34, 0)) - INDEX(Standings!$L$3:$L$34, MATCH(P364, Standings!$A$3:$A$34, 0))</f>
        <v/>
      </c>
      <c r="X364" s="157">
        <f>INDEX(Standings!$M$3:$M$34, MATCH(N364, Standings!$A$3:$A$34, 0)) - INDEX(Standings!$M$3:$M$34, MATCH(P364, Standings!$A$3:$A$34, 0))</f>
        <v/>
      </c>
      <c r="Y364" s="194">
        <f t="array" ref="Y364:Y364">IFERROR(AE364+(AL364-_DFactor)*AE364,"")</f>
        <v/>
      </c>
      <c r="Z364" s="157">
        <f>IFERROR(AF364+(AI364-_DFactor)*AF364,"")</f>
        <v/>
      </c>
      <c r="AC364" s="194">
        <f>VLOOKUP(M364&amp;N364,Schedule!A:F,6,0)</f>
        <v/>
      </c>
      <c r="AD364" s="194">
        <f>VLOOKUP(M364&amp;P364,Schedule!A:F,6,0)</f>
        <v/>
      </c>
      <c r="AE364" s="156">
        <f>VLOOKUP(N364,ProjPVT!B:I,8,0)*_Mag/VLOOKUP(P364,Standings!A:O,15,0)*H364*K364</f>
        <v/>
      </c>
      <c r="AF364" s="156">
        <f>VLOOKUP(P364,ProjPVT!B:I,8,0)*_Mag/VLOOKUP(N364,Standings!A:O,15,0)*J364*I364</f>
        <v/>
      </c>
      <c r="AG364" s="195">
        <f>VLOOKUP(N364,Matrix!AA:AC,3,0)</f>
        <v/>
      </c>
      <c r="AH364" s="195">
        <f>SUMIFS(Def!C:C,Def!F:F,AG364)</f>
        <v/>
      </c>
      <c r="AI364" s="156">
        <f>IFERROR(SUMIFS(Def!B:B,Def!F:F,AG364)/AH364,"")</f>
        <v/>
      </c>
      <c r="AJ364" s="195">
        <f>VLOOKUP(P364,Matrix!AA:AC,3,0)</f>
        <v/>
      </c>
      <c r="AK364" s="195">
        <f>SUMIFS(Def!C:C,Def!F:F,AJ364)</f>
        <v/>
      </c>
      <c r="AL364" s="156">
        <f>IFERROR(SUMIFS(Def!B:B,Def!F:F,AJ364)/AK364,"")</f>
        <v/>
      </c>
    </row>
    <row r="365" ht="14.4" customHeight="1" s="152">
      <c r="A365" s="157">
        <f>IF(F365="Yes",IFERROR(IF(AA365&gt;1,AA365/100,100/-AA365),""),-1)</f>
        <v/>
      </c>
      <c r="B365" s="157">
        <f>B364+1</f>
        <v/>
      </c>
      <c r="C365" s="157">
        <f>IF(Y365&gt;Z365,1,0)</f>
        <v/>
      </c>
      <c r="D365" s="157">
        <f>IF(AND(C365=1,F365="Yes"),"Yes",IF(AND(C365=0,F365="No"),"Yes","No"))</f>
        <v/>
      </c>
      <c r="E365" s="192">
        <f>IF((AC365+AB365)=AD365,"Push",IF((AC365+AB365)&gt;AD365,"Yes","No"))</f>
        <v/>
      </c>
      <c r="F365" s="192">
        <f>IF(AC365&gt;AD365,"Yes","No")</f>
        <v/>
      </c>
      <c r="G365" s="192">
        <f>IF((Y365+AB365)&gt;Z365,"Yes",IF((Y365+AB365)=Z365,"Push","No"))</f>
        <v/>
      </c>
      <c r="H365" s="157">
        <f>IF(O365="Home",VLOOKUP(N365,Matrix!A:S,19,0),1)</f>
        <v/>
      </c>
      <c r="I365" s="157">
        <f>IF(O365="Away",VLOOKUP(N365,Matrix!A:Z,20,0),1)</f>
        <v/>
      </c>
      <c r="J365" s="157">
        <f>IF(O365="Away",VLOOKUP(P365,Matrix!A:S,19,0),1)</f>
        <v/>
      </c>
      <c r="K365" s="157">
        <f>IF(O365="Home",VLOOKUP(P365,Matrix!A:Z,20,0),1)</f>
        <v/>
      </c>
      <c r="L365" s="156" t="n">
        <v>-0.272225486612047</v>
      </c>
      <c r="M365" s="179">
        <f>Schedule!B365</f>
        <v/>
      </c>
      <c r="N365" s="156">
        <f>Schedule!E365</f>
        <v/>
      </c>
      <c r="O365" s="156" t="inlineStr">
        <is>
          <t>Away</t>
        </is>
      </c>
      <c r="P365" s="157">
        <f>Schedule!H365</f>
        <v/>
      </c>
      <c r="Q365" s="157">
        <f>Schedule!C365</f>
        <v/>
      </c>
      <c r="R365" s="180">
        <f>Schedule!D365</f>
        <v/>
      </c>
      <c r="S365" s="181">
        <f>Schedule!J365</f>
        <v/>
      </c>
      <c r="T365" s="193">
        <f>Y365-Z365</f>
        <v/>
      </c>
      <c r="U365" s="182">
        <f>T365/Picks!$K$2</f>
        <v/>
      </c>
      <c r="V365" s="193">
        <f>INDEX(Standings!$T$3:$T$34, MATCH(N365, Standings!$A$3:$A$34, 0)) - INDEX(Standings!$T$3:$T$34, MATCH(P365, Standings!$A$3:$A$34, 0))</f>
        <v/>
      </c>
      <c r="W365" s="157">
        <f>INDEX(Standings!$L$3:$L$34, MATCH(N365, Standings!$A$3:$A$34, 0)) - INDEX(Standings!$L$3:$L$34, MATCH(P365, Standings!$A$3:$A$34, 0))</f>
        <v/>
      </c>
      <c r="X365" s="157">
        <f>INDEX(Standings!$M$3:$M$34, MATCH(N365, Standings!$A$3:$A$34, 0)) - INDEX(Standings!$M$3:$M$34, MATCH(P365, Standings!$A$3:$A$34, 0))</f>
        <v/>
      </c>
      <c r="Y365" s="194">
        <f t="array" ref="Y365:Y365">IFERROR(AE365+(AL365-_DFactor)*AE365,"")</f>
        <v/>
      </c>
      <c r="Z365" s="157">
        <f>IFERROR(AF365+(AI365-_DFactor)*AF365,"")</f>
        <v/>
      </c>
      <c r="AC365" s="194">
        <f>VLOOKUP(M365&amp;N365,Schedule!A:F,6,0)</f>
        <v/>
      </c>
      <c r="AD365" s="194">
        <f>VLOOKUP(M365&amp;P365,Schedule!A:F,6,0)</f>
        <v/>
      </c>
      <c r="AE365" s="156">
        <f>VLOOKUP(N365,ProjPVT!B:I,8,0)*_Mag/VLOOKUP(P365,Standings!A:O,15,0)*H365*K365</f>
        <v/>
      </c>
      <c r="AF365" s="156">
        <f>VLOOKUP(P365,ProjPVT!B:I,8,0)*_Mag/VLOOKUP(N365,Standings!A:O,15,0)*J365*I365</f>
        <v/>
      </c>
      <c r="AG365" s="195">
        <f>VLOOKUP(N365,Matrix!AA:AC,3,0)</f>
        <v/>
      </c>
      <c r="AH365" s="195">
        <f>SUMIFS(Def!C:C,Def!F:F,AG365)</f>
        <v/>
      </c>
      <c r="AI365" s="156">
        <f>IFERROR(SUMIFS(Def!B:B,Def!F:F,AG365)/AH365,"")</f>
        <v/>
      </c>
      <c r="AJ365" s="195">
        <f>VLOOKUP(P365,Matrix!AA:AC,3,0)</f>
        <v/>
      </c>
      <c r="AK365" s="195">
        <f>SUMIFS(Def!C:C,Def!F:F,AJ365)</f>
        <v/>
      </c>
      <c r="AL365" s="156">
        <f>IFERROR(SUMIFS(Def!B:B,Def!F:F,AJ365)/AK365,"")</f>
        <v/>
      </c>
    </row>
    <row r="366" ht="14.4" customHeight="1" s="152">
      <c r="A366" s="157">
        <f>IF(F366="Yes",IFERROR(IF(AA366&gt;1,AA366/100,100/-AA366),""),-1)</f>
        <v/>
      </c>
      <c r="B366" s="157">
        <f>B365+1</f>
        <v/>
      </c>
      <c r="C366" s="157">
        <f>IF(Y366&gt;Z366,1,0)</f>
        <v/>
      </c>
      <c r="D366" s="157">
        <f>IF(AND(C366=1,F366="Yes"),"Yes",IF(AND(C366=0,F366="No"),"Yes","No"))</f>
        <v/>
      </c>
      <c r="E366" s="192">
        <f>IF((AC366+AB366)=AD366,"Push",IF((AC366+AB366)&gt;AD366,"Yes","No"))</f>
        <v/>
      </c>
      <c r="F366" s="192">
        <f>IF(AC366&gt;AD366,"Yes","No")</f>
        <v/>
      </c>
      <c r="G366" s="192">
        <f>IF((Y366+AB366)&gt;Z366,"Yes",IF((Y366+AB366)=Z366,"Push","No"))</f>
        <v/>
      </c>
      <c r="H366" s="157">
        <f>IF(O366="Home",VLOOKUP(N366,Matrix!A:S,19,0),1)</f>
        <v/>
      </c>
      <c r="I366" s="157">
        <f>IF(O366="Away",VLOOKUP(N366,Matrix!A:Z,20,0),1)</f>
        <v/>
      </c>
      <c r="J366" s="157">
        <f>IF(O366="Away",VLOOKUP(P366,Matrix!A:S,19,0),1)</f>
        <v/>
      </c>
      <c r="K366" s="157">
        <f>IF(O366="Home",VLOOKUP(P366,Matrix!A:Z,20,0),1)</f>
        <v/>
      </c>
      <c r="L366" s="156" t="n">
        <v>-0.150359259092036</v>
      </c>
      <c r="M366" s="179">
        <f>Schedule!B366</f>
        <v/>
      </c>
      <c r="N366" s="156">
        <f>Schedule!E366</f>
        <v/>
      </c>
      <c r="O366" s="156" t="inlineStr">
        <is>
          <t>Away</t>
        </is>
      </c>
      <c r="P366" s="157">
        <f>Schedule!H366</f>
        <v/>
      </c>
      <c r="Q366" s="157">
        <f>Schedule!C366</f>
        <v/>
      </c>
      <c r="R366" s="180">
        <f>Schedule!D366</f>
        <v/>
      </c>
      <c r="S366" s="181">
        <f>Schedule!J366</f>
        <v/>
      </c>
      <c r="T366" s="193">
        <f>Y366-Z366</f>
        <v/>
      </c>
      <c r="U366" s="182">
        <f>T366/Picks!$K$2</f>
        <v/>
      </c>
      <c r="V366" s="193">
        <f>INDEX(Standings!$T$3:$T$34, MATCH(N366, Standings!$A$3:$A$34, 0)) - INDEX(Standings!$T$3:$T$34, MATCH(P366, Standings!$A$3:$A$34, 0))</f>
        <v/>
      </c>
      <c r="W366" s="157">
        <f>INDEX(Standings!$L$3:$L$34, MATCH(N366, Standings!$A$3:$A$34, 0)) - INDEX(Standings!$L$3:$L$34, MATCH(P366, Standings!$A$3:$A$34, 0))</f>
        <v/>
      </c>
      <c r="X366" s="157">
        <f>INDEX(Standings!$M$3:$M$34, MATCH(N366, Standings!$A$3:$A$34, 0)) - INDEX(Standings!$M$3:$M$34, MATCH(P366, Standings!$A$3:$A$34, 0))</f>
        <v/>
      </c>
      <c r="Y366" s="194">
        <f t="array" ref="Y366:Y366">IFERROR(AE366+(AL366-_DFactor)*AE366,"")</f>
        <v/>
      </c>
      <c r="Z366" s="157">
        <f>IFERROR(AF366+(AI366-_DFactor)*AF366,"")</f>
        <v/>
      </c>
      <c r="AC366" s="194">
        <f>VLOOKUP(M366&amp;N366,Schedule!A:F,6,0)</f>
        <v/>
      </c>
      <c r="AD366" s="194">
        <f>VLOOKUP(M366&amp;P366,Schedule!A:F,6,0)</f>
        <v/>
      </c>
      <c r="AE366" s="156">
        <f>VLOOKUP(N366,ProjPVT!B:I,8,0)*_Mag/VLOOKUP(P366,Standings!A:O,15,0)*H366*K366</f>
        <v/>
      </c>
      <c r="AF366" s="156">
        <f>VLOOKUP(P366,ProjPVT!B:I,8,0)*_Mag/VLOOKUP(N366,Standings!A:O,15,0)*J366*I366</f>
        <v/>
      </c>
      <c r="AG366" s="195">
        <f>VLOOKUP(N366,Matrix!AA:AC,3,0)</f>
        <v/>
      </c>
      <c r="AH366" s="195">
        <f>SUMIFS(Def!C:C,Def!F:F,AG366)</f>
        <v/>
      </c>
      <c r="AI366" s="156">
        <f>IFERROR(SUMIFS(Def!B:B,Def!F:F,AG366)/AH366,"")</f>
        <v/>
      </c>
      <c r="AJ366" s="195">
        <f>VLOOKUP(P366,Matrix!AA:AC,3,0)</f>
        <v/>
      </c>
      <c r="AK366" s="195">
        <f>SUMIFS(Def!C:C,Def!F:F,AJ366)</f>
        <v/>
      </c>
      <c r="AL366" s="156">
        <f>IFERROR(SUMIFS(Def!B:B,Def!F:F,AJ366)/AK366,"")</f>
        <v/>
      </c>
    </row>
    <row r="367" ht="14.4" customHeight="1" s="152">
      <c r="A367" s="157">
        <f>IF(F367="Yes",IFERROR(IF(AA367&gt;1,AA367/100,100/-AA367),""),-1)</f>
        <v/>
      </c>
      <c r="B367" s="157">
        <f>B366+1</f>
        <v/>
      </c>
      <c r="C367" s="157">
        <f>IF(Y367&gt;Z367,1,0)</f>
        <v/>
      </c>
      <c r="D367" s="157">
        <f>IF(AND(C367=1,F367="Yes"),"Yes",IF(AND(C367=0,F367="No"),"Yes","No"))</f>
        <v/>
      </c>
      <c r="E367" s="192">
        <f>IF((AC367+AB367)=AD367,"Push",IF((AC367+AB367)&gt;AD367,"Yes","No"))</f>
        <v/>
      </c>
      <c r="F367" s="192">
        <f>IF(AC367&gt;AD367,"Yes","No")</f>
        <v/>
      </c>
      <c r="G367" s="192">
        <f>IF((Y367+AB367)&gt;Z367,"Yes",IF((Y367+AB367)=Z367,"Push","No"))</f>
        <v/>
      </c>
      <c r="H367" s="157">
        <f>IF(O367="Home",VLOOKUP(N367,Matrix!A:S,19,0),1)</f>
        <v/>
      </c>
      <c r="I367" s="157">
        <f>IF(O367="Away",VLOOKUP(N367,Matrix!A:Z,20,0),1)</f>
        <v/>
      </c>
      <c r="J367" s="157">
        <f>IF(O367="Away",VLOOKUP(P367,Matrix!A:S,19,0),1)</f>
        <v/>
      </c>
      <c r="K367" s="157">
        <f>IF(O367="Home",VLOOKUP(P367,Matrix!A:Z,20,0),1)</f>
        <v/>
      </c>
      <c r="L367" s="156" t="n">
        <v>-0.101563319918132</v>
      </c>
      <c r="M367" s="179">
        <f>Schedule!B367</f>
        <v/>
      </c>
      <c r="N367" s="156">
        <f>Schedule!E367</f>
        <v/>
      </c>
      <c r="O367" s="156" t="inlineStr">
        <is>
          <t>Home</t>
        </is>
      </c>
      <c r="P367" s="157">
        <f>Schedule!H367</f>
        <v/>
      </c>
      <c r="Q367" s="157">
        <f>Schedule!C367</f>
        <v/>
      </c>
      <c r="R367" s="180">
        <f>Schedule!D367</f>
        <v/>
      </c>
      <c r="S367" s="181">
        <f>Schedule!J367</f>
        <v/>
      </c>
      <c r="T367" s="193">
        <f>Y367-Z367</f>
        <v/>
      </c>
      <c r="U367" s="182">
        <f>T367/Picks!$K$2</f>
        <v/>
      </c>
      <c r="V367" s="193">
        <f>INDEX(Standings!$T$3:$T$34, MATCH(N367, Standings!$A$3:$A$34, 0)) - INDEX(Standings!$T$3:$T$34, MATCH(P367, Standings!$A$3:$A$34, 0))</f>
        <v/>
      </c>
      <c r="W367" s="157">
        <f>INDEX(Standings!$L$3:$L$34, MATCH(N367, Standings!$A$3:$A$34, 0)) - INDEX(Standings!$L$3:$L$34, MATCH(P367, Standings!$A$3:$A$34, 0))</f>
        <v/>
      </c>
      <c r="X367" s="157">
        <f>INDEX(Standings!$M$3:$M$34, MATCH(N367, Standings!$A$3:$A$34, 0)) - INDEX(Standings!$M$3:$M$34, MATCH(P367, Standings!$A$3:$A$34, 0))</f>
        <v/>
      </c>
      <c r="Y367" s="194">
        <f t="array" ref="Y367:Y367">IFERROR(AE367+(AL367-_DFactor)*AE367,"")</f>
        <v/>
      </c>
      <c r="Z367" s="157">
        <f>IFERROR(AF367+(AI367-_DFactor)*AF367,"")</f>
        <v/>
      </c>
      <c r="AC367" s="194">
        <f>VLOOKUP(M367&amp;N367,Schedule!A:F,6,0)</f>
        <v/>
      </c>
      <c r="AD367" s="194">
        <f>VLOOKUP(M367&amp;P367,Schedule!A:F,6,0)</f>
        <v/>
      </c>
      <c r="AE367" s="156">
        <f>VLOOKUP(N367,ProjPVT!B:I,8,0)*_Mag/VLOOKUP(P367,Standings!A:O,15,0)*H367*K367</f>
        <v/>
      </c>
      <c r="AF367" s="156">
        <f>VLOOKUP(P367,ProjPVT!B:I,8,0)*_Mag/VLOOKUP(N367,Standings!A:O,15,0)*J367*I367</f>
        <v/>
      </c>
      <c r="AG367" s="195">
        <f>VLOOKUP(N367,Matrix!AA:AC,3,0)</f>
        <v/>
      </c>
      <c r="AH367" s="195">
        <f>SUMIFS(Def!C:C,Def!F:F,AG367)</f>
        <v/>
      </c>
      <c r="AI367" s="156">
        <f>IFERROR(SUMIFS(Def!B:B,Def!F:F,AG367)/AH367,"")</f>
        <v/>
      </c>
      <c r="AJ367" s="195">
        <f>VLOOKUP(P367,Matrix!AA:AC,3,0)</f>
        <v/>
      </c>
      <c r="AK367" s="195">
        <f>SUMIFS(Def!C:C,Def!F:F,AJ367)</f>
        <v/>
      </c>
      <c r="AL367" s="156">
        <f>IFERROR(SUMIFS(Def!B:B,Def!F:F,AJ367)/AK367,"")</f>
        <v/>
      </c>
    </row>
    <row r="368" ht="14.4" customHeight="1" s="152">
      <c r="A368" s="157">
        <f>IF(F368="Yes",IFERROR(IF(AA368&gt;1,AA368/100,100/-AA368),""),-1)</f>
        <v/>
      </c>
      <c r="B368" s="157">
        <f>B367+1</f>
        <v/>
      </c>
      <c r="C368" s="157">
        <f>IF(Y368&gt;Z368,1,0)</f>
        <v/>
      </c>
      <c r="D368" s="157">
        <f>IF(AND(C368=1,F368="Yes"),"Yes",IF(AND(C368=0,F368="No"),"Yes","No"))</f>
        <v/>
      </c>
      <c r="E368" s="192">
        <f>IF((AC368+AB368)=AD368,"Push",IF((AC368+AB368)&gt;AD368,"Yes","No"))</f>
        <v/>
      </c>
      <c r="F368" s="192">
        <f>IF(AC368&gt;AD368,"Yes","No")</f>
        <v/>
      </c>
      <c r="G368" s="192">
        <f>IF((Y368+AB368)&gt;Z368,"Yes",IF((Y368+AB368)=Z368,"Push","No"))</f>
        <v/>
      </c>
      <c r="H368" s="157">
        <f>IF(O368="Home",VLOOKUP(N368,Matrix!A:S,19,0),1)</f>
        <v/>
      </c>
      <c r="I368" s="157">
        <f>IF(O368="Away",VLOOKUP(N368,Matrix!A:Z,20,0),1)</f>
        <v/>
      </c>
      <c r="J368" s="157">
        <f>IF(O368="Away",VLOOKUP(P368,Matrix!A:S,19,0),1)</f>
        <v/>
      </c>
      <c r="K368" s="157">
        <f>IF(O368="Home",VLOOKUP(P368,Matrix!A:Z,20,0),1)</f>
        <v/>
      </c>
      <c r="L368" s="156" t="n">
        <v>-0.0950965104335259</v>
      </c>
      <c r="M368" s="179">
        <f>Schedule!B368</f>
        <v/>
      </c>
      <c r="N368" s="156">
        <f>Schedule!E368</f>
        <v/>
      </c>
      <c r="O368" s="156" t="inlineStr">
        <is>
          <t>Home</t>
        </is>
      </c>
      <c r="P368" s="157">
        <f>Schedule!H368</f>
        <v/>
      </c>
      <c r="Q368" s="157">
        <f>Schedule!C368</f>
        <v/>
      </c>
      <c r="R368" s="180">
        <f>Schedule!D368</f>
        <v/>
      </c>
      <c r="S368" s="181">
        <f>Schedule!J368</f>
        <v/>
      </c>
      <c r="T368" s="193">
        <f>Y368-Z368</f>
        <v/>
      </c>
      <c r="U368" s="182">
        <f>T368/Picks!$K$2</f>
        <v/>
      </c>
      <c r="V368" s="193">
        <f>INDEX(Standings!$T$3:$T$34, MATCH(N368, Standings!$A$3:$A$34, 0)) - INDEX(Standings!$T$3:$T$34, MATCH(P368, Standings!$A$3:$A$34, 0))</f>
        <v/>
      </c>
      <c r="W368" s="157">
        <f>INDEX(Standings!$L$3:$L$34, MATCH(N368, Standings!$A$3:$A$34, 0)) - INDEX(Standings!$L$3:$L$34, MATCH(P368, Standings!$A$3:$A$34, 0))</f>
        <v/>
      </c>
      <c r="X368" s="157">
        <f>INDEX(Standings!$M$3:$M$34, MATCH(N368, Standings!$A$3:$A$34, 0)) - INDEX(Standings!$M$3:$M$34, MATCH(P368, Standings!$A$3:$A$34, 0))</f>
        <v/>
      </c>
      <c r="Y368" s="194">
        <f t="array" ref="Y368:Y368">IFERROR(AE368+(AL368-_DFactor)*AE368,"")</f>
        <v/>
      </c>
      <c r="Z368" s="157">
        <f>IFERROR(AF368+(AI368-_DFactor)*AF368,"")</f>
        <v/>
      </c>
      <c r="AC368" s="194">
        <f>VLOOKUP(M368&amp;N368,Schedule!A:F,6,0)</f>
        <v/>
      </c>
      <c r="AD368" s="194">
        <f>VLOOKUP(M368&amp;P368,Schedule!A:F,6,0)</f>
        <v/>
      </c>
      <c r="AE368" s="156">
        <f>VLOOKUP(N368,ProjPVT!B:I,8,0)*_Mag/VLOOKUP(P368,Standings!A:O,15,0)*H368*K368</f>
        <v/>
      </c>
      <c r="AF368" s="156">
        <f>VLOOKUP(P368,ProjPVT!B:I,8,0)*_Mag/VLOOKUP(N368,Standings!A:O,15,0)*J368*I368</f>
        <v/>
      </c>
      <c r="AG368" s="195">
        <f>VLOOKUP(N368,Matrix!AA:AC,3,0)</f>
        <v/>
      </c>
      <c r="AH368" s="195">
        <f>SUMIFS(Def!C:C,Def!F:F,AG368)</f>
        <v/>
      </c>
      <c r="AI368" s="156">
        <f>IFERROR(SUMIFS(Def!B:B,Def!F:F,AG368)/AH368,"")</f>
        <v/>
      </c>
      <c r="AJ368" s="195">
        <f>VLOOKUP(P368,Matrix!AA:AC,3,0)</f>
        <v/>
      </c>
      <c r="AK368" s="195">
        <f>SUMIFS(Def!C:C,Def!F:F,AJ368)</f>
        <v/>
      </c>
      <c r="AL368" s="156">
        <f>IFERROR(SUMIFS(Def!B:B,Def!F:F,AJ368)/AK368,"")</f>
        <v/>
      </c>
    </row>
    <row r="369" ht="14.4" customHeight="1" s="152">
      <c r="A369" s="157">
        <f>IF(F369="Yes",IFERROR(IF(AA369&gt;1,AA369/100,100/-AA369),""),-1)</f>
        <v/>
      </c>
      <c r="B369" s="157">
        <f>B368+1</f>
        <v/>
      </c>
      <c r="C369" s="157">
        <f>IF(Y369&gt;Z369,1,0)</f>
        <v/>
      </c>
      <c r="D369" s="157">
        <f>IF(AND(C369=1,F369="Yes"),"Yes",IF(AND(C369=0,F369="No"),"Yes","No"))</f>
        <v/>
      </c>
      <c r="E369" s="192">
        <f>IF((AC369+AB369)=AD369,"Push",IF((AC369+AB369)&gt;AD369,"Yes","No"))</f>
        <v/>
      </c>
      <c r="F369" s="192">
        <f>IF(AC369&gt;AD369,"Yes","No")</f>
        <v/>
      </c>
      <c r="G369" s="192">
        <f>IF((Y369+AB369)&gt;Z369,"Yes",IF((Y369+AB369)=Z369,"Push","No"))</f>
        <v/>
      </c>
      <c r="H369" s="157">
        <f>IF(O369="Home",VLOOKUP(N369,Matrix!A:S,19,0),1)</f>
        <v/>
      </c>
      <c r="I369" s="157">
        <f>IF(O369="Away",VLOOKUP(N369,Matrix!A:Z,20,0),1)</f>
        <v/>
      </c>
      <c r="J369" s="157">
        <f>IF(O369="Away",VLOOKUP(P369,Matrix!A:S,19,0),1)</f>
        <v/>
      </c>
      <c r="K369" s="157">
        <f>IF(O369="Home",VLOOKUP(P369,Matrix!A:Z,20,0),1)</f>
        <v/>
      </c>
      <c r="L369" s="156" t="n">
        <v>-0.0898992521811383</v>
      </c>
      <c r="M369" s="179">
        <f>Schedule!B369</f>
        <v/>
      </c>
      <c r="N369" s="156">
        <f>Schedule!E369</f>
        <v/>
      </c>
      <c r="O369" s="156" t="inlineStr">
        <is>
          <t>Away</t>
        </is>
      </c>
      <c r="P369" s="157">
        <f>Schedule!H369</f>
        <v/>
      </c>
      <c r="Q369" s="157">
        <f>Schedule!C369</f>
        <v/>
      </c>
      <c r="R369" s="180">
        <f>Schedule!D369</f>
        <v/>
      </c>
      <c r="S369" s="181">
        <f>Schedule!J369</f>
        <v/>
      </c>
      <c r="T369" s="193">
        <f>Y369-Z369</f>
        <v/>
      </c>
      <c r="U369" s="182">
        <f>T369/Picks!$K$2</f>
        <v/>
      </c>
      <c r="V369" s="193">
        <f>INDEX(Standings!$T$3:$T$34, MATCH(N369, Standings!$A$3:$A$34, 0)) - INDEX(Standings!$T$3:$T$34, MATCH(P369, Standings!$A$3:$A$34, 0))</f>
        <v/>
      </c>
      <c r="W369" s="157">
        <f>INDEX(Standings!$L$3:$L$34, MATCH(N369, Standings!$A$3:$A$34, 0)) - INDEX(Standings!$L$3:$L$34, MATCH(P369, Standings!$A$3:$A$34, 0))</f>
        <v/>
      </c>
      <c r="X369" s="157">
        <f>INDEX(Standings!$M$3:$M$34, MATCH(N369, Standings!$A$3:$A$34, 0)) - INDEX(Standings!$M$3:$M$34, MATCH(P369, Standings!$A$3:$A$34, 0))</f>
        <v/>
      </c>
      <c r="Y369" s="194">
        <f t="array" ref="Y369:Y369">IFERROR(AE369+(AL369-_DFactor)*AE369,"")</f>
        <v/>
      </c>
      <c r="Z369" s="157">
        <f>IFERROR(AF369+(AI369-_DFactor)*AF369,"")</f>
        <v/>
      </c>
      <c r="AC369" s="194">
        <f>VLOOKUP(M369&amp;N369,Schedule!A:F,6,0)</f>
        <v/>
      </c>
      <c r="AD369" s="194">
        <f>VLOOKUP(M369&amp;P369,Schedule!A:F,6,0)</f>
        <v/>
      </c>
      <c r="AE369" s="156">
        <f>VLOOKUP(N369,ProjPVT!B:I,8,0)*_Mag/VLOOKUP(P369,Standings!A:O,15,0)*H369*K369</f>
        <v/>
      </c>
      <c r="AF369" s="156">
        <f>VLOOKUP(P369,ProjPVT!B:I,8,0)*_Mag/VLOOKUP(N369,Standings!A:O,15,0)*J369*I369</f>
        <v/>
      </c>
      <c r="AG369" s="195">
        <f>VLOOKUP(N369,Matrix!AA:AC,3,0)</f>
        <v/>
      </c>
      <c r="AH369" s="195">
        <f>SUMIFS(Def!C:C,Def!F:F,AG369)</f>
        <v/>
      </c>
      <c r="AI369" s="156">
        <f>IFERROR(SUMIFS(Def!B:B,Def!F:F,AG369)/AH369,"")</f>
        <v/>
      </c>
      <c r="AJ369" s="195">
        <f>VLOOKUP(P369,Matrix!AA:AC,3,0)</f>
        <v/>
      </c>
      <c r="AK369" s="195">
        <f>SUMIFS(Def!C:C,Def!F:F,AJ369)</f>
        <v/>
      </c>
      <c r="AL369" s="156">
        <f>IFERROR(SUMIFS(Def!B:B,Def!F:F,AJ369)/AK369,"")</f>
        <v/>
      </c>
    </row>
    <row r="370" ht="14.4" customHeight="1" s="152">
      <c r="A370" s="157">
        <f>IF(F370="Yes",IFERROR(IF(AA370&gt;1,AA370/100,100/-AA370),""),-1)</f>
        <v/>
      </c>
      <c r="B370" s="157">
        <f>B369+1</f>
        <v/>
      </c>
      <c r="C370" s="157">
        <f>IF(Y370&gt;Z370,1,0)</f>
        <v/>
      </c>
      <c r="D370" s="157">
        <f>IF(AND(C370=1,F370="Yes"),"Yes",IF(AND(C370=0,F370="No"),"Yes","No"))</f>
        <v/>
      </c>
      <c r="E370" s="192">
        <f>IF((AC370+AB370)=AD370,"Push",IF((AC370+AB370)&gt;AD370,"Yes","No"))</f>
        <v/>
      </c>
      <c r="F370" s="192">
        <f>IF(AC370&gt;AD370,"Yes","No")</f>
        <v/>
      </c>
      <c r="G370" s="192">
        <f>IF((Y370+AB370)&gt;Z370,"Yes",IF((Y370+AB370)=Z370,"Push","No"))</f>
        <v/>
      </c>
      <c r="H370" s="157">
        <f>IF(O370="Home",VLOOKUP(N370,Matrix!A:S,19,0),1)</f>
        <v/>
      </c>
      <c r="I370" s="157">
        <f>IF(O370="Away",VLOOKUP(N370,Matrix!A:Z,20,0),1)</f>
        <v/>
      </c>
      <c r="J370" s="157">
        <f>IF(O370="Away",VLOOKUP(P370,Matrix!A:S,19,0),1)</f>
        <v/>
      </c>
      <c r="K370" s="157">
        <f>IF(O370="Home",VLOOKUP(P370,Matrix!A:Z,20,0),1)</f>
        <v/>
      </c>
      <c r="L370" s="156" t="n">
        <v>-0.07415733125011149</v>
      </c>
      <c r="M370" s="179">
        <f>Schedule!B370</f>
        <v/>
      </c>
      <c r="N370" s="156">
        <f>Schedule!E370</f>
        <v/>
      </c>
      <c r="O370" s="156" t="inlineStr">
        <is>
          <t>Home</t>
        </is>
      </c>
      <c r="P370" s="157">
        <f>Schedule!H370</f>
        <v/>
      </c>
      <c r="Q370" s="157">
        <f>Schedule!C370</f>
        <v/>
      </c>
      <c r="R370" s="180">
        <f>Schedule!D370</f>
        <v/>
      </c>
      <c r="S370" s="181">
        <f>Schedule!J370</f>
        <v/>
      </c>
      <c r="T370" s="193">
        <f>Y370-Z370</f>
        <v/>
      </c>
      <c r="U370" s="182">
        <f>T370/Picks!$K$2</f>
        <v/>
      </c>
      <c r="V370" s="193">
        <f>INDEX(Standings!$T$3:$T$34, MATCH(N370, Standings!$A$3:$A$34, 0)) - INDEX(Standings!$T$3:$T$34, MATCH(P370, Standings!$A$3:$A$34, 0))</f>
        <v/>
      </c>
      <c r="W370" s="157">
        <f>INDEX(Standings!$L$3:$L$34, MATCH(N370, Standings!$A$3:$A$34, 0)) - INDEX(Standings!$L$3:$L$34, MATCH(P370, Standings!$A$3:$A$34, 0))</f>
        <v/>
      </c>
      <c r="X370" s="157">
        <f>INDEX(Standings!$M$3:$M$34, MATCH(N370, Standings!$A$3:$A$34, 0)) - INDEX(Standings!$M$3:$M$34, MATCH(P370, Standings!$A$3:$A$34, 0))</f>
        <v/>
      </c>
      <c r="Y370" s="194">
        <f t="array" ref="Y370:Y370">IFERROR(AE370+(AL370-_DFactor)*AE370,"")</f>
        <v/>
      </c>
      <c r="Z370" s="157">
        <f>IFERROR(AF370+(AI370-_DFactor)*AF370,"")</f>
        <v/>
      </c>
      <c r="AC370" s="194">
        <f>VLOOKUP(M370&amp;N370,Schedule!A:F,6,0)</f>
        <v/>
      </c>
      <c r="AD370" s="194">
        <f>VLOOKUP(M370&amp;P370,Schedule!A:F,6,0)</f>
        <v/>
      </c>
      <c r="AE370" s="156">
        <f>VLOOKUP(N370,ProjPVT!B:I,8,0)*_Mag/VLOOKUP(P370,Standings!A:O,15,0)*H370*K370</f>
        <v/>
      </c>
      <c r="AF370" s="156">
        <f>VLOOKUP(P370,ProjPVT!B:I,8,0)*_Mag/VLOOKUP(N370,Standings!A:O,15,0)*J370*I370</f>
        <v/>
      </c>
      <c r="AG370" s="195">
        <f>VLOOKUP(N370,Matrix!AA:AC,3,0)</f>
        <v/>
      </c>
      <c r="AH370" s="195">
        <f>SUMIFS(Def!C:C,Def!F:F,AG370)</f>
        <v/>
      </c>
      <c r="AI370" s="156">
        <f>IFERROR(SUMIFS(Def!B:B,Def!F:F,AG370)/AH370,"")</f>
        <v/>
      </c>
      <c r="AJ370" s="195">
        <f>VLOOKUP(P370,Matrix!AA:AC,3,0)</f>
        <v/>
      </c>
      <c r="AK370" s="195">
        <f>SUMIFS(Def!C:C,Def!F:F,AJ370)</f>
        <v/>
      </c>
      <c r="AL370" s="156">
        <f>IFERROR(SUMIFS(Def!B:B,Def!F:F,AJ370)/AK370,"")</f>
        <v/>
      </c>
    </row>
    <row r="371" ht="14.4" customHeight="1" s="152">
      <c r="A371" s="157">
        <f>IF(F371="Yes",IFERROR(IF(AA371&gt;1,AA371/100,100/-AA371),""),-1)</f>
        <v/>
      </c>
      <c r="B371" s="157">
        <f>B370+1</f>
        <v/>
      </c>
      <c r="C371" s="157">
        <f>IF(Y371&gt;Z371,1,0)</f>
        <v/>
      </c>
      <c r="D371" s="157">
        <f>IF(AND(C371=1,F371="Yes"),"Yes",IF(AND(C371=0,F371="No"),"Yes","No"))</f>
        <v/>
      </c>
      <c r="E371" s="192">
        <f>IF((AC371+AB371)=AD371,"Push",IF((AC371+AB371)&gt;AD371,"Yes","No"))</f>
        <v/>
      </c>
      <c r="F371" s="192">
        <f>IF(AC371&gt;AD371,"Yes","No")</f>
        <v/>
      </c>
      <c r="G371" s="192">
        <f>IF((Y371+AB371)&gt;Z371,"Yes",IF((Y371+AB371)=Z371,"Push","No"))</f>
        <v/>
      </c>
      <c r="H371" s="157">
        <f>IF(O371="Home",VLOOKUP(N371,Matrix!A:S,19,0),1)</f>
        <v/>
      </c>
      <c r="I371" s="157">
        <f>IF(O371="Away",VLOOKUP(N371,Matrix!A:Z,20,0),1)</f>
        <v/>
      </c>
      <c r="J371" s="157">
        <f>IF(O371="Away",VLOOKUP(P371,Matrix!A:S,19,0),1)</f>
        <v/>
      </c>
      <c r="K371" s="157">
        <f>IF(O371="Home",VLOOKUP(P371,Matrix!A:Z,20,0),1)</f>
        <v/>
      </c>
      <c r="L371" s="156" t="n">
        <v>-0.0513130756881678</v>
      </c>
      <c r="M371" s="179">
        <f>Schedule!B371</f>
        <v/>
      </c>
      <c r="N371" s="156">
        <f>Schedule!E371</f>
        <v/>
      </c>
      <c r="O371" s="156" t="inlineStr">
        <is>
          <t>Away</t>
        </is>
      </c>
      <c r="P371" s="157">
        <f>Schedule!H371</f>
        <v/>
      </c>
      <c r="Q371" s="157">
        <f>Schedule!C371</f>
        <v/>
      </c>
      <c r="R371" s="180">
        <f>Schedule!D371</f>
        <v/>
      </c>
      <c r="S371" s="181">
        <f>Schedule!J371</f>
        <v/>
      </c>
      <c r="T371" s="193">
        <f>Y371-Z371</f>
        <v/>
      </c>
      <c r="U371" s="182">
        <f>T371/Picks!$K$2</f>
        <v/>
      </c>
      <c r="V371" s="193">
        <f>INDEX(Standings!$T$3:$T$34, MATCH(N371, Standings!$A$3:$A$34, 0)) - INDEX(Standings!$T$3:$T$34, MATCH(P371, Standings!$A$3:$A$34, 0))</f>
        <v/>
      </c>
      <c r="W371" s="157">
        <f>INDEX(Standings!$L$3:$L$34, MATCH(N371, Standings!$A$3:$A$34, 0)) - INDEX(Standings!$L$3:$L$34, MATCH(P371, Standings!$A$3:$A$34, 0))</f>
        <v/>
      </c>
      <c r="X371" s="157">
        <f>INDEX(Standings!$M$3:$M$34, MATCH(N371, Standings!$A$3:$A$34, 0)) - INDEX(Standings!$M$3:$M$34, MATCH(P371, Standings!$A$3:$A$34, 0))</f>
        <v/>
      </c>
      <c r="Y371" s="194">
        <f t="array" ref="Y371:Y371">IFERROR(AE371+(AL371-_DFactor)*AE371,"")</f>
        <v/>
      </c>
      <c r="Z371" s="157">
        <f>IFERROR(AF371+(AI371-_DFactor)*AF371,"")</f>
        <v/>
      </c>
      <c r="AC371" s="194">
        <f>VLOOKUP(M371&amp;N371,Schedule!A:F,6,0)</f>
        <v/>
      </c>
      <c r="AD371" s="194">
        <f>VLOOKUP(M371&amp;P371,Schedule!A:F,6,0)</f>
        <v/>
      </c>
      <c r="AE371" s="156">
        <f>VLOOKUP(N371,ProjPVT!B:I,8,0)*_Mag/VLOOKUP(P371,Standings!A:O,15,0)*H371*K371</f>
        <v/>
      </c>
      <c r="AF371" s="156">
        <f>VLOOKUP(P371,ProjPVT!B:I,8,0)*_Mag/VLOOKUP(N371,Standings!A:O,15,0)*J371*I371</f>
        <v/>
      </c>
      <c r="AG371" s="195">
        <f>VLOOKUP(N371,Matrix!AA:AC,3,0)</f>
        <v/>
      </c>
      <c r="AH371" s="195">
        <f>SUMIFS(Def!C:C,Def!F:F,AG371)</f>
        <v/>
      </c>
      <c r="AI371" s="156">
        <f>IFERROR(SUMIFS(Def!B:B,Def!F:F,AG371)/AH371,"")</f>
        <v/>
      </c>
      <c r="AJ371" s="195">
        <f>VLOOKUP(P371,Matrix!AA:AC,3,0)</f>
        <v/>
      </c>
      <c r="AK371" s="195">
        <f>SUMIFS(Def!C:C,Def!F:F,AJ371)</f>
        <v/>
      </c>
      <c r="AL371" s="156">
        <f>IFERROR(SUMIFS(Def!B:B,Def!F:F,AJ371)/AK371,"")</f>
        <v/>
      </c>
    </row>
    <row r="372" ht="14.4" customHeight="1" s="152">
      <c r="A372" s="157">
        <f>IF(F372="Yes",IFERROR(IF(AA372&gt;1,AA372/100,100/-AA372),""),-1)</f>
        <v/>
      </c>
      <c r="B372" s="157">
        <f>B371+1</f>
        <v/>
      </c>
      <c r="C372" s="157">
        <f>IF(Y372&gt;Z372,1,0)</f>
        <v/>
      </c>
      <c r="D372" s="157">
        <f>IF(AND(C372=1,F372="Yes"),"Yes",IF(AND(C372=0,F372="No"),"Yes","No"))</f>
        <v/>
      </c>
      <c r="E372" s="192">
        <f>IF((AC372+AB372)=AD372,"Push",IF((AC372+AB372)&gt;AD372,"Yes","No"))</f>
        <v/>
      </c>
      <c r="F372" s="192">
        <f>IF(AC372&gt;AD372,"Yes","No")</f>
        <v/>
      </c>
      <c r="G372" s="192">
        <f>IF((Y372+AB372)&gt;Z372,"Yes",IF((Y372+AB372)=Z372,"Push","No"))</f>
        <v/>
      </c>
      <c r="H372" s="157">
        <f>IF(O372="Home",VLOOKUP(N372,Matrix!A:S,19,0),1)</f>
        <v/>
      </c>
      <c r="I372" s="157">
        <f>IF(O372="Away",VLOOKUP(N372,Matrix!A:Z,20,0),1)</f>
        <v/>
      </c>
      <c r="J372" s="157">
        <f>IF(O372="Away",VLOOKUP(P372,Matrix!A:S,19,0),1)</f>
        <v/>
      </c>
      <c r="K372" s="157">
        <f>IF(O372="Home",VLOOKUP(P372,Matrix!A:Z,20,0),1)</f>
        <v/>
      </c>
      <c r="L372" s="156" t="n">
        <v>-0.0257430225601854</v>
      </c>
      <c r="M372" s="179">
        <f>Schedule!B372</f>
        <v/>
      </c>
      <c r="N372" s="156">
        <f>Schedule!E372</f>
        <v/>
      </c>
      <c r="O372" s="156" t="inlineStr">
        <is>
          <t>Home</t>
        </is>
      </c>
      <c r="P372" s="157">
        <f>Schedule!H372</f>
        <v/>
      </c>
      <c r="Q372" s="157">
        <f>Schedule!C372</f>
        <v/>
      </c>
      <c r="R372" s="180">
        <f>Schedule!D372</f>
        <v/>
      </c>
      <c r="S372" s="181">
        <f>Schedule!J372</f>
        <v/>
      </c>
      <c r="T372" s="193">
        <f>Y372-Z372</f>
        <v/>
      </c>
      <c r="U372" s="182">
        <f>T372/Picks!$K$2</f>
        <v/>
      </c>
      <c r="V372" s="193">
        <f>INDEX(Standings!$T$3:$T$34, MATCH(N372, Standings!$A$3:$A$34, 0)) - INDEX(Standings!$T$3:$T$34, MATCH(P372, Standings!$A$3:$A$34, 0))</f>
        <v/>
      </c>
      <c r="W372" s="157">
        <f>INDEX(Standings!$L$3:$L$34, MATCH(N372, Standings!$A$3:$A$34, 0)) - INDEX(Standings!$L$3:$L$34, MATCH(P372, Standings!$A$3:$A$34, 0))</f>
        <v/>
      </c>
      <c r="X372" s="157">
        <f>INDEX(Standings!$M$3:$M$34, MATCH(N372, Standings!$A$3:$A$34, 0)) - INDEX(Standings!$M$3:$M$34, MATCH(P372, Standings!$A$3:$A$34, 0))</f>
        <v/>
      </c>
      <c r="Y372" s="194">
        <f t="array" ref="Y372:Y372">IFERROR(AE372+(AL372-_DFactor)*AE372,"")</f>
        <v/>
      </c>
      <c r="Z372" s="157">
        <f>IFERROR(AF372+(AI372-_DFactor)*AF372,"")</f>
        <v/>
      </c>
      <c r="AC372" s="194">
        <f>VLOOKUP(M372&amp;N372,Schedule!A:F,6,0)</f>
        <v/>
      </c>
      <c r="AD372" s="194">
        <f>VLOOKUP(M372&amp;P372,Schedule!A:F,6,0)</f>
        <v/>
      </c>
      <c r="AE372" s="156">
        <f>VLOOKUP(N372,ProjPVT!B:I,8,0)*_Mag/VLOOKUP(P372,Standings!A:O,15,0)*H372*K372</f>
        <v/>
      </c>
      <c r="AF372" s="156">
        <f>VLOOKUP(P372,ProjPVT!B:I,8,0)*_Mag/VLOOKUP(N372,Standings!A:O,15,0)*J372*I372</f>
        <v/>
      </c>
      <c r="AG372" s="195">
        <f>VLOOKUP(N372,Matrix!AA:AC,3,0)</f>
        <v/>
      </c>
      <c r="AH372" s="195">
        <f>SUMIFS(Def!C:C,Def!F:F,AG372)</f>
        <v/>
      </c>
      <c r="AI372" s="156">
        <f>IFERROR(SUMIFS(Def!B:B,Def!F:F,AG372)/AH372,"")</f>
        <v/>
      </c>
      <c r="AJ372" s="195">
        <f>VLOOKUP(P372,Matrix!AA:AC,3,0)</f>
        <v/>
      </c>
      <c r="AK372" s="195">
        <f>SUMIFS(Def!C:C,Def!F:F,AJ372)</f>
        <v/>
      </c>
      <c r="AL372" s="156">
        <f>IFERROR(SUMIFS(Def!B:B,Def!F:F,AJ372)/AK372,"")</f>
        <v/>
      </c>
    </row>
    <row r="373" ht="14.4" customHeight="1" s="152">
      <c r="A373" s="157">
        <f>IF(F373="Yes",IFERROR(IF(AA373&gt;1,AA373/100,100/-AA373),""),-1)</f>
        <v/>
      </c>
      <c r="B373" s="157">
        <f>B372+1</f>
        <v/>
      </c>
      <c r="C373" s="157">
        <f>IF(Y373&gt;Z373,1,0)</f>
        <v/>
      </c>
      <c r="D373" s="157">
        <f>IF(AND(C373=1,F373="Yes"),"Yes",IF(AND(C373=0,F373="No"),"Yes","No"))</f>
        <v/>
      </c>
      <c r="E373" s="192">
        <f>IF((AC373+AB373)=AD373,"Push",IF((AC373+AB373)&gt;AD373,"Yes","No"))</f>
        <v/>
      </c>
      <c r="F373" s="192">
        <f>IF(AC373&gt;AD373,"Yes","No")</f>
        <v/>
      </c>
      <c r="G373" s="192">
        <f>IF((Y373+AB373)&gt;Z373,"Yes",IF((Y373+AB373)=Z373,"Push","No"))</f>
        <v/>
      </c>
      <c r="H373" s="157">
        <f>IF(O373="Home",VLOOKUP(N373,Matrix!A:S,19,0),1)</f>
        <v/>
      </c>
      <c r="I373" s="157">
        <f>IF(O373="Away",VLOOKUP(N373,Matrix!A:Z,20,0),1)</f>
        <v/>
      </c>
      <c r="J373" s="157">
        <f>IF(O373="Away",VLOOKUP(P373,Matrix!A:S,19,0),1)</f>
        <v/>
      </c>
      <c r="K373" s="157">
        <f>IF(O373="Home",VLOOKUP(P373,Matrix!A:Z,20,0),1)</f>
        <v/>
      </c>
      <c r="L373" s="156" t="n">
        <v>-0.0255294404976429</v>
      </c>
      <c r="M373" s="179">
        <f>Schedule!B373</f>
        <v/>
      </c>
      <c r="N373" s="156">
        <f>Schedule!E373</f>
        <v/>
      </c>
      <c r="O373" s="156" t="inlineStr">
        <is>
          <t>Away</t>
        </is>
      </c>
      <c r="P373" s="157">
        <f>Schedule!H373</f>
        <v/>
      </c>
      <c r="Q373" s="157">
        <f>Schedule!C373</f>
        <v/>
      </c>
      <c r="R373" s="180">
        <f>Schedule!D373</f>
        <v/>
      </c>
      <c r="S373" s="181">
        <f>Schedule!J373</f>
        <v/>
      </c>
      <c r="T373" s="193">
        <f>Y373-Z373</f>
        <v/>
      </c>
      <c r="U373" s="182">
        <f>T373/Picks!$K$2</f>
        <v/>
      </c>
      <c r="V373" s="193">
        <f>INDEX(Standings!$T$3:$T$34, MATCH(N373, Standings!$A$3:$A$34, 0)) - INDEX(Standings!$T$3:$T$34, MATCH(P373, Standings!$A$3:$A$34, 0))</f>
        <v/>
      </c>
      <c r="W373" s="157">
        <f>INDEX(Standings!$L$3:$L$34, MATCH(N373, Standings!$A$3:$A$34, 0)) - INDEX(Standings!$L$3:$L$34, MATCH(P373, Standings!$A$3:$A$34, 0))</f>
        <v/>
      </c>
      <c r="X373" s="157">
        <f>INDEX(Standings!$M$3:$M$34, MATCH(N373, Standings!$A$3:$A$34, 0)) - INDEX(Standings!$M$3:$M$34, MATCH(P373, Standings!$A$3:$A$34, 0))</f>
        <v/>
      </c>
      <c r="Y373" s="194">
        <f t="array" ref="Y373:Y373">IFERROR(AE373+(AL373-_DFactor)*AE373,"")</f>
        <v/>
      </c>
      <c r="Z373" s="157">
        <f>IFERROR(AF373+(AI373-_DFactor)*AF373,"")</f>
        <v/>
      </c>
      <c r="AC373" s="194">
        <f>VLOOKUP(M373&amp;N373,Schedule!A:F,6,0)</f>
        <v/>
      </c>
      <c r="AD373" s="194">
        <f>VLOOKUP(M373&amp;P373,Schedule!A:F,6,0)</f>
        <v/>
      </c>
      <c r="AE373" s="156">
        <f>VLOOKUP(N373,ProjPVT!B:I,8,0)*_Mag/VLOOKUP(P373,Standings!A:O,15,0)*H373*K373</f>
        <v/>
      </c>
      <c r="AF373" s="156">
        <f>VLOOKUP(P373,ProjPVT!B:I,8,0)*_Mag/VLOOKUP(N373,Standings!A:O,15,0)*J373*I373</f>
        <v/>
      </c>
      <c r="AG373" s="195">
        <f>VLOOKUP(N373,Matrix!AA:AC,3,0)</f>
        <v/>
      </c>
      <c r="AH373" s="195">
        <f>SUMIFS(Def!C:C,Def!F:F,AG373)</f>
        <v/>
      </c>
      <c r="AI373" s="156">
        <f>IFERROR(SUMIFS(Def!B:B,Def!F:F,AG373)/AH373,"")</f>
        <v/>
      </c>
      <c r="AJ373" s="195">
        <f>VLOOKUP(P373,Matrix!AA:AC,3,0)</f>
        <v/>
      </c>
      <c r="AK373" s="195">
        <f>SUMIFS(Def!C:C,Def!F:F,AJ373)</f>
        <v/>
      </c>
      <c r="AL373" s="156">
        <f>IFERROR(SUMIFS(Def!B:B,Def!F:F,AJ373)/AK373,"")</f>
        <v/>
      </c>
    </row>
    <row r="374" ht="14.4" customHeight="1" s="152">
      <c r="A374" s="157">
        <f>IF(F374="Yes",IFERROR(IF(AA374&gt;1,AA374/100,100/-AA374),""),-1)</f>
        <v/>
      </c>
      <c r="B374" s="157">
        <f>B373+1</f>
        <v/>
      </c>
      <c r="C374" s="157">
        <f>IF(Y374&gt;Z374,1,0)</f>
        <v/>
      </c>
      <c r="D374" s="157">
        <f>IF(AND(C374=1,F374="Yes"),"Yes",IF(AND(C374=0,F374="No"),"Yes","No"))</f>
        <v/>
      </c>
      <c r="E374" s="192">
        <f>IF((AC374+AB374)=AD374,"Push",IF((AC374+AB374)&gt;AD374,"Yes","No"))</f>
        <v/>
      </c>
      <c r="F374" s="192">
        <f>IF(AC374&gt;AD374,"Yes","No")</f>
        <v/>
      </c>
      <c r="G374" s="192">
        <f>IF((Y374+AB374)&gt;Z374,"Yes",IF((Y374+AB374)=Z374,"Push","No"))</f>
        <v/>
      </c>
      <c r="H374" s="157">
        <f>IF(O374="Home",VLOOKUP(N374,Matrix!A:S,19,0),1)</f>
        <v/>
      </c>
      <c r="I374" s="157">
        <f>IF(O374="Away",VLOOKUP(N374,Matrix!A:Z,20,0),1)</f>
        <v/>
      </c>
      <c r="J374" s="157">
        <f>IF(O374="Away",VLOOKUP(P374,Matrix!A:S,19,0),1)</f>
        <v/>
      </c>
      <c r="K374" s="157">
        <f>IF(O374="Home",VLOOKUP(P374,Matrix!A:Z,20,0),1)</f>
        <v/>
      </c>
      <c r="L374" s="156" t="n">
        <v>-0.0203367162020502</v>
      </c>
      <c r="M374" s="179">
        <f>Schedule!B374</f>
        <v/>
      </c>
      <c r="N374" s="156">
        <f>Schedule!E374</f>
        <v/>
      </c>
      <c r="O374" s="156" t="inlineStr">
        <is>
          <t>Home</t>
        </is>
      </c>
      <c r="P374" s="157">
        <f>Schedule!H374</f>
        <v/>
      </c>
      <c r="Q374" s="157">
        <f>Schedule!C374</f>
        <v/>
      </c>
      <c r="R374" s="180">
        <f>Schedule!D374</f>
        <v/>
      </c>
      <c r="S374" s="181">
        <f>Schedule!J374</f>
        <v/>
      </c>
      <c r="T374" s="193">
        <f>Y374-Z374</f>
        <v/>
      </c>
      <c r="U374" s="182">
        <f>T374/Picks!$K$2</f>
        <v/>
      </c>
      <c r="V374" s="193">
        <f>INDEX(Standings!$T$3:$T$34, MATCH(N374, Standings!$A$3:$A$34, 0)) - INDEX(Standings!$T$3:$T$34, MATCH(P374, Standings!$A$3:$A$34, 0))</f>
        <v/>
      </c>
      <c r="W374" s="157">
        <f>INDEX(Standings!$L$3:$L$34, MATCH(N374, Standings!$A$3:$A$34, 0)) - INDEX(Standings!$L$3:$L$34, MATCH(P374, Standings!$A$3:$A$34, 0))</f>
        <v/>
      </c>
      <c r="X374" s="157">
        <f>INDEX(Standings!$M$3:$M$34, MATCH(N374, Standings!$A$3:$A$34, 0)) - INDEX(Standings!$M$3:$M$34, MATCH(P374, Standings!$A$3:$A$34, 0))</f>
        <v/>
      </c>
      <c r="Y374" s="194">
        <f t="array" ref="Y374:Y374">IFERROR(AE374+(AL374-_DFactor)*AE374,"")</f>
        <v/>
      </c>
      <c r="Z374" s="157">
        <f>IFERROR(AF374+(AI374-_DFactor)*AF374,"")</f>
        <v/>
      </c>
      <c r="AC374" s="194">
        <f>VLOOKUP(M374&amp;N374,Schedule!A:F,6,0)</f>
        <v/>
      </c>
      <c r="AD374" s="194">
        <f>VLOOKUP(M374&amp;P374,Schedule!A:F,6,0)</f>
        <v/>
      </c>
      <c r="AE374" s="156">
        <f>VLOOKUP(N374,ProjPVT!B:I,8,0)*_Mag/VLOOKUP(P374,Standings!A:O,15,0)*H374*K374</f>
        <v/>
      </c>
      <c r="AF374" s="156">
        <f>VLOOKUP(P374,ProjPVT!B:I,8,0)*_Mag/VLOOKUP(N374,Standings!A:O,15,0)*J374*I374</f>
        <v/>
      </c>
      <c r="AG374" s="195">
        <f>VLOOKUP(N374,Matrix!AA:AC,3,0)</f>
        <v/>
      </c>
      <c r="AH374" s="195">
        <f>SUMIFS(Def!C:C,Def!F:F,AG374)</f>
        <v/>
      </c>
      <c r="AI374" s="156">
        <f>IFERROR(SUMIFS(Def!B:B,Def!F:F,AG374)/AH374,"")</f>
        <v/>
      </c>
      <c r="AJ374" s="195">
        <f>VLOOKUP(P374,Matrix!AA:AC,3,0)</f>
        <v/>
      </c>
      <c r="AK374" s="195">
        <f>SUMIFS(Def!C:C,Def!F:F,AJ374)</f>
        <v/>
      </c>
      <c r="AL374" s="156">
        <f>IFERROR(SUMIFS(Def!B:B,Def!F:F,AJ374)/AK374,"")</f>
        <v/>
      </c>
    </row>
    <row r="375" ht="14.4" customHeight="1" s="152">
      <c r="A375" s="157">
        <f>IF(F375="Yes",IFERROR(IF(AA375&gt;1,AA375/100,100/-AA375),""),-1)</f>
        <v/>
      </c>
      <c r="B375" s="157">
        <f>B374+1</f>
        <v/>
      </c>
      <c r="C375" s="157">
        <f>IF(Y375&gt;Z375,1,0)</f>
        <v/>
      </c>
      <c r="D375" s="157">
        <f>IF(AND(C375=1,F375="Yes"),"Yes",IF(AND(C375=0,F375="No"),"Yes","No"))</f>
        <v/>
      </c>
      <c r="E375" s="192">
        <f>IF((AC375+AB375)=AD375,"Push",IF((AC375+AB375)&gt;AD375,"Yes","No"))</f>
        <v/>
      </c>
      <c r="F375" s="192">
        <f>IF(AC375&gt;AD375,"Yes","No")</f>
        <v/>
      </c>
      <c r="G375" s="192">
        <f>IF((Y375+AB375)&gt;Z375,"Yes",IF((Y375+AB375)=Z375,"Push","No"))</f>
        <v/>
      </c>
      <c r="H375" s="157">
        <f>IF(O375="Home",VLOOKUP(N375,Matrix!A:S,19,0),1)</f>
        <v/>
      </c>
      <c r="I375" s="157">
        <f>IF(O375="Away",VLOOKUP(N375,Matrix!A:Z,20,0),1)</f>
        <v/>
      </c>
      <c r="J375" s="157">
        <f>IF(O375="Away",VLOOKUP(P375,Matrix!A:S,19,0),1)</f>
        <v/>
      </c>
      <c r="K375" s="157">
        <f>IF(O375="Home",VLOOKUP(P375,Matrix!A:Z,20,0),1)</f>
        <v/>
      </c>
      <c r="L375" s="156" t="n">
        <v>-0.0066740255470187</v>
      </c>
      <c r="M375" s="179">
        <f>Schedule!B375</f>
        <v/>
      </c>
      <c r="N375" s="156">
        <f>Schedule!E375</f>
        <v/>
      </c>
      <c r="O375" s="156" t="inlineStr">
        <is>
          <t>Away</t>
        </is>
      </c>
      <c r="P375" s="157">
        <f>Schedule!H375</f>
        <v/>
      </c>
      <c r="Q375" s="157">
        <f>Schedule!C375</f>
        <v/>
      </c>
      <c r="R375" s="180">
        <f>Schedule!D375</f>
        <v/>
      </c>
      <c r="S375" s="181">
        <f>Schedule!J375</f>
        <v/>
      </c>
      <c r="T375" s="193">
        <f>Y375-Z375</f>
        <v/>
      </c>
      <c r="U375" s="182">
        <f>T375/Picks!$K$2</f>
        <v/>
      </c>
      <c r="V375" s="193">
        <f>INDEX(Standings!$T$3:$T$34, MATCH(N375, Standings!$A$3:$A$34, 0)) - INDEX(Standings!$T$3:$T$34, MATCH(P375, Standings!$A$3:$A$34, 0))</f>
        <v/>
      </c>
      <c r="W375" s="157">
        <f>INDEX(Standings!$L$3:$L$34, MATCH(N375, Standings!$A$3:$A$34, 0)) - INDEX(Standings!$L$3:$L$34, MATCH(P375, Standings!$A$3:$A$34, 0))</f>
        <v/>
      </c>
      <c r="X375" s="157">
        <f>INDEX(Standings!$M$3:$M$34, MATCH(N375, Standings!$A$3:$A$34, 0)) - INDEX(Standings!$M$3:$M$34, MATCH(P375, Standings!$A$3:$A$34, 0))</f>
        <v/>
      </c>
      <c r="Y375" s="194">
        <f t="array" ref="Y375:Y375">IFERROR(AE375+(AL375-_DFactor)*AE375,"")</f>
        <v/>
      </c>
      <c r="Z375" s="157">
        <f>IFERROR(AF375+(AI375-_DFactor)*AF375,"")</f>
        <v/>
      </c>
      <c r="AC375" s="194">
        <f>VLOOKUP(M375&amp;N375,Schedule!A:F,6,0)</f>
        <v/>
      </c>
      <c r="AD375" s="194">
        <f>VLOOKUP(M375&amp;P375,Schedule!A:F,6,0)</f>
        <v/>
      </c>
      <c r="AE375" s="156">
        <f>VLOOKUP(N375,ProjPVT!B:I,8,0)*_Mag/VLOOKUP(P375,Standings!A:O,15,0)*H375*K375</f>
        <v/>
      </c>
      <c r="AF375" s="156">
        <f>VLOOKUP(P375,ProjPVT!B:I,8,0)*_Mag/VLOOKUP(N375,Standings!A:O,15,0)*J375*I375</f>
        <v/>
      </c>
      <c r="AG375" s="195">
        <f>VLOOKUP(N375,Matrix!AA:AC,3,0)</f>
        <v/>
      </c>
      <c r="AH375" s="195">
        <f>SUMIFS(Def!C:C,Def!F:F,AG375)</f>
        <v/>
      </c>
      <c r="AI375" s="156">
        <f>IFERROR(SUMIFS(Def!B:B,Def!F:F,AG375)/AH375,"")</f>
        <v/>
      </c>
      <c r="AJ375" s="195">
        <f>VLOOKUP(P375,Matrix!AA:AC,3,0)</f>
        <v/>
      </c>
      <c r="AK375" s="195">
        <f>SUMIFS(Def!C:C,Def!F:F,AJ375)</f>
        <v/>
      </c>
      <c r="AL375" s="156">
        <f>IFERROR(SUMIFS(Def!B:B,Def!F:F,AJ375)/AK375,"")</f>
        <v/>
      </c>
    </row>
    <row r="376" ht="14.4" customHeight="1" s="152">
      <c r="A376" s="157">
        <f>IF(F376="Yes",IFERROR(IF(AA376&gt;1,AA376/100,100/-AA376),""),-1)</f>
        <v/>
      </c>
      <c r="B376" s="157">
        <f>B375+1</f>
        <v/>
      </c>
      <c r="C376" s="157">
        <f>IF(Y376&gt;Z376,1,0)</f>
        <v/>
      </c>
      <c r="D376" s="157">
        <f>IF(AND(C376=1,F376="Yes"),"Yes",IF(AND(C376=0,F376="No"),"Yes","No"))</f>
        <v/>
      </c>
      <c r="E376" s="192">
        <f>IF((AC376+AB376)=AD376,"Push",IF((AC376+AB376)&gt;AD376,"Yes","No"))</f>
        <v/>
      </c>
      <c r="F376" s="192">
        <f>IF(AC376&gt;AD376,"Yes","No")</f>
        <v/>
      </c>
      <c r="G376" s="192">
        <f>IF((Y376+AB376)&gt;Z376,"Yes",IF((Y376+AB376)=Z376,"Push","No"))</f>
        <v/>
      </c>
      <c r="H376" s="157">
        <f>IF(O376="Home",VLOOKUP(N376,Matrix!A:S,19,0),1)</f>
        <v/>
      </c>
      <c r="I376" s="157">
        <f>IF(O376="Away",VLOOKUP(N376,Matrix!A:Z,20,0),1)</f>
        <v/>
      </c>
      <c r="J376" s="157">
        <f>IF(O376="Away",VLOOKUP(P376,Matrix!A:S,19,0),1)</f>
        <v/>
      </c>
      <c r="K376" s="157">
        <f>IF(O376="Home",VLOOKUP(P376,Matrix!A:Z,20,0),1)</f>
        <v/>
      </c>
      <c r="L376" s="156" t="n">
        <v>0.0066740255470187</v>
      </c>
      <c r="M376" s="179">
        <f>Schedule!B376</f>
        <v/>
      </c>
      <c r="N376" s="156">
        <f>Schedule!E376</f>
        <v/>
      </c>
      <c r="O376" s="156" t="inlineStr">
        <is>
          <t>Home</t>
        </is>
      </c>
      <c r="P376" s="157">
        <f>Schedule!H376</f>
        <v/>
      </c>
      <c r="Q376" s="157">
        <f>Schedule!C376</f>
        <v/>
      </c>
      <c r="R376" s="180">
        <f>Schedule!D376</f>
        <v/>
      </c>
      <c r="S376" s="181">
        <f>Schedule!J376</f>
        <v/>
      </c>
      <c r="T376" s="193">
        <f>Y376-Z376</f>
        <v/>
      </c>
      <c r="U376" s="182">
        <f>T376/Picks!$K$2</f>
        <v/>
      </c>
      <c r="V376" s="193">
        <f>INDEX(Standings!$T$3:$T$34, MATCH(N376, Standings!$A$3:$A$34, 0)) - INDEX(Standings!$T$3:$T$34, MATCH(P376, Standings!$A$3:$A$34, 0))</f>
        <v/>
      </c>
      <c r="W376" s="157">
        <f>INDEX(Standings!$L$3:$L$34, MATCH(N376, Standings!$A$3:$A$34, 0)) - INDEX(Standings!$L$3:$L$34, MATCH(P376, Standings!$A$3:$A$34, 0))</f>
        <v/>
      </c>
      <c r="X376" s="157">
        <f>INDEX(Standings!$M$3:$M$34, MATCH(N376, Standings!$A$3:$A$34, 0)) - INDEX(Standings!$M$3:$M$34, MATCH(P376, Standings!$A$3:$A$34, 0))</f>
        <v/>
      </c>
      <c r="Y376" s="194">
        <f t="array" ref="Y376:Y376">IFERROR(AE376+(AL376-_DFactor)*AE376,"")</f>
        <v/>
      </c>
      <c r="Z376" s="157">
        <f>IFERROR(AF376+(AI376-_DFactor)*AF376,"")</f>
        <v/>
      </c>
      <c r="AC376" s="194">
        <f>VLOOKUP(M376&amp;N376,Schedule!A:F,6,0)</f>
        <v/>
      </c>
      <c r="AD376" s="194">
        <f>VLOOKUP(M376&amp;P376,Schedule!A:F,6,0)</f>
        <v/>
      </c>
      <c r="AE376" s="156">
        <f>VLOOKUP(N376,ProjPVT!B:I,8,0)*_Mag/VLOOKUP(P376,Standings!A:O,15,0)*H376*K376</f>
        <v/>
      </c>
      <c r="AF376" s="156">
        <f>VLOOKUP(P376,ProjPVT!B:I,8,0)*_Mag/VLOOKUP(N376,Standings!A:O,15,0)*J376*I376</f>
        <v/>
      </c>
      <c r="AG376" s="195">
        <f>VLOOKUP(N376,Matrix!AA:AC,3,0)</f>
        <v/>
      </c>
      <c r="AH376" s="195">
        <f>SUMIFS(Def!C:C,Def!F:F,AG376)</f>
        <v/>
      </c>
      <c r="AI376" s="156">
        <f>IFERROR(SUMIFS(Def!B:B,Def!F:F,AG376)/AH376,"")</f>
        <v/>
      </c>
      <c r="AJ376" s="195">
        <f>VLOOKUP(P376,Matrix!AA:AC,3,0)</f>
        <v/>
      </c>
      <c r="AK376" s="195">
        <f>SUMIFS(Def!C:C,Def!F:F,AJ376)</f>
        <v/>
      </c>
      <c r="AL376" s="156">
        <f>IFERROR(SUMIFS(Def!B:B,Def!F:F,AJ376)/AK376,"")</f>
        <v/>
      </c>
    </row>
    <row r="377" ht="14.4" customHeight="1" s="152">
      <c r="A377" s="157">
        <f>IF(F377="Yes",IFERROR(IF(AA377&gt;1,AA377/100,100/-AA377),""),-1)</f>
        <v/>
      </c>
      <c r="B377" s="157">
        <f>B376+1</f>
        <v/>
      </c>
      <c r="C377" s="157">
        <f>IF(Y377&gt;Z377,1,0)</f>
        <v/>
      </c>
      <c r="D377" s="157">
        <f>IF(AND(C377=1,F377="Yes"),"Yes",IF(AND(C377=0,F377="No"),"Yes","No"))</f>
        <v/>
      </c>
      <c r="E377" s="192">
        <f>IF((AC377+AB377)=AD377,"Push",IF((AC377+AB377)&gt;AD377,"Yes","No"))</f>
        <v/>
      </c>
      <c r="F377" s="192">
        <f>IF(AC377&gt;AD377,"Yes","No")</f>
        <v/>
      </c>
      <c r="G377" s="192">
        <f>IF((Y377+AB377)&gt;Z377,"Yes",IF((Y377+AB377)=Z377,"Push","No"))</f>
        <v/>
      </c>
      <c r="H377" s="157">
        <f>IF(O377="Home",VLOOKUP(N377,Matrix!A:S,19,0),1)</f>
        <v/>
      </c>
      <c r="I377" s="157">
        <f>IF(O377="Away",VLOOKUP(N377,Matrix!A:Z,20,0),1)</f>
        <v/>
      </c>
      <c r="J377" s="157">
        <f>IF(O377="Away",VLOOKUP(P377,Matrix!A:S,19,0),1)</f>
        <v/>
      </c>
      <c r="K377" s="157">
        <f>IF(O377="Home",VLOOKUP(P377,Matrix!A:Z,20,0),1)</f>
        <v/>
      </c>
      <c r="L377" s="156" t="n">
        <v>0.0203367162020502</v>
      </c>
      <c r="M377" s="179">
        <f>Schedule!B377</f>
        <v/>
      </c>
      <c r="N377" s="156">
        <f>Schedule!E377</f>
        <v/>
      </c>
      <c r="O377" s="156" t="inlineStr">
        <is>
          <t>Away</t>
        </is>
      </c>
      <c r="P377" s="157">
        <f>Schedule!H377</f>
        <v/>
      </c>
      <c r="Q377" s="157">
        <f>Schedule!C377</f>
        <v/>
      </c>
      <c r="R377" s="180">
        <f>Schedule!D377</f>
        <v/>
      </c>
      <c r="S377" s="181">
        <f>Schedule!J377</f>
        <v/>
      </c>
      <c r="T377" s="193">
        <f>Y377-Z377</f>
        <v/>
      </c>
      <c r="U377" s="182">
        <f>T377/Picks!$K$2</f>
        <v/>
      </c>
      <c r="V377" s="193">
        <f>INDEX(Standings!$T$3:$T$34, MATCH(N377, Standings!$A$3:$A$34, 0)) - INDEX(Standings!$T$3:$T$34, MATCH(P377, Standings!$A$3:$A$34, 0))</f>
        <v/>
      </c>
      <c r="W377" s="157">
        <f>INDEX(Standings!$L$3:$L$34, MATCH(N377, Standings!$A$3:$A$34, 0)) - INDEX(Standings!$L$3:$L$34, MATCH(P377, Standings!$A$3:$A$34, 0))</f>
        <v/>
      </c>
      <c r="X377" s="157">
        <f>INDEX(Standings!$M$3:$M$34, MATCH(N377, Standings!$A$3:$A$34, 0)) - INDEX(Standings!$M$3:$M$34, MATCH(P377, Standings!$A$3:$A$34, 0))</f>
        <v/>
      </c>
      <c r="Y377" s="194">
        <f t="array" ref="Y377:Y377">IFERROR(AE377+(AL377-_DFactor)*AE377,"")</f>
        <v/>
      </c>
      <c r="Z377" s="157">
        <f>IFERROR(AF377+(AI377-_DFactor)*AF377,"")</f>
        <v/>
      </c>
      <c r="AC377" s="194">
        <f>VLOOKUP(M377&amp;N377,Schedule!A:F,6,0)</f>
        <v/>
      </c>
      <c r="AD377" s="194">
        <f>VLOOKUP(M377&amp;P377,Schedule!A:F,6,0)</f>
        <v/>
      </c>
      <c r="AE377" s="156">
        <f>VLOOKUP(N377,ProjPVT!B:I,8,0)*_Mag/VLOOKUP(P377,Standings!A:O,15,0)*H377*K377</f>
        <v/>
      </c>
      <c r="AF377" s="156">
        <f>VLOOKUP(P377,ProjPVT!B:I,8,0)*_Mag/VLOOKUP(N377,Standings!A:O,15,0)*J377*I377</f>
        <v/>
      </c>
      <c r="AG377" s="195">
        <f>VLOOKUP(N377,Matrix!AA:AC,3,0)</f>
        <v/>
      </c>
      <c r="AH377" s="195">
        <f>SUMIFS(Def!C:C,Def!F:F,AG377)</f>
        <v/>
      </c>
      <c r="AI377" s="156">
        <f>IFERROR(SUMIFS(Def!B:B,Def!F:F,AG377)/AH377,"")</f>
        <v/>
      </c>
      <c r="AJ377" s="195">
        <f>VLOOKUP(P377,Matrix!AA:AC,3,0)</f>
        <v/>
      </c>
      <c r="AK377" s="195">
        <f>SUMIFS(Def!C:C,Def!F:F,AJ377)</f>
        <v/>
      </c>
      <c r="AL377" s="156">
        <f>IFERROR(SUMIFS(Def!B:B,Def!F:F,AJ377)/AK377,"")</f>
        <v/>
      </c>
    </row>
    <row r="378" ht="14.4" customHeight="1" s="152">
      <c r="A378" s="157">
        <f>IF(F378="Yes",IFERROR(IF(AA378&gt;1,AA378/100,100/-AA378),""),-1)</f>
        <v/>
      </c>
      <c r="B378" s="157">
        <f>B377+1</f>
        <v/>
      </c>
      <c r="C378" s="157">
        <f>IF(Y378&gt;Z378,1,0)</f>
        <v/>
      </c>
      <c r="D378" s="157">
        <f>IF(AND(C378=1,F378="Yes"),"Yes",IF(AND(C378=0,F378="No"),"Yes","No"))</f>
        <v/>
      </c>
      <c r="E378" s="192">
        <f>IF((AC378+AB378)=AD378,"Push",IF((AC378+AB378)&gt;AD378,"Yes","No"))</f>
        <v/>
      </c>
      <c r="F378" s="192">
        <f>IF(AC378&gt;AD378,"Yes","No")</f>
        <v/>
      </c>
      <c r="G378" s="192">
        <f>IF((Y378+AB378)&gt;Z378,"Yes",IF((Y378+AB378)=Z378,"Push","No"))</f>
        <v/>
      </c>
      <c r="H378" s="157">
        <f>IF(O378="Home",VLOOKUP(N378,Matrix!A:S,19,0),1)</f>
        <v/>
      </c>
      <c r="I378" s="157">
        <f>IF(O378="Away",VLOOKUP(N378,Matrix!A:Z,20,0),1)</f>
        <v/>
      </c>
      <c r="J378" s="157">
        <f>IF(O378="Away",VLOOKUP(P378,Matrix!A:S,19,0),1)</f>
        <v/>
      </c>
      <c r="K378" s="157">
        <f>IF(O378="Home",VLOOKUP(P378,Matrix!A:Z,20,0),1)</f>
        <v/>
      </c>
      <c r="L378" s="156" t="n">
        <v>0.0255294404976429</v>
      </c>
      <c r="M378" s="179">
        <f>Schedule!B378</f>
        <v/>
      </c>
      <c r="N378" s="156">
        <f>Schedule!E378</f>
        <v/>
      </c>
      <c r="O378" s="156" t="inlineStr">
        <is>
          <t>Home</t>
        </is>
      </c>
      <c r="P378" s="157">
        <f>Schedule!H378</f>
        <v/>
      </c>
      <c r="Q378" s="157">
        <f>Schedule!C378</f>
        <v/>
      </c>
      <c r="R378" s="180">
        <f>Schedule!D378</f>
        <v/>
      </c>
      <c r="S378" s="181">
        <f>Schedule!J378</f>
        <v/>
      </c>
      <c r="T378" s="193">
        <f>Y378-Z378</f>
        <v/>
      </c>
      <c r="U378" s="182">
        <f>T378/Picks!$K$2</f>
        <v/>
      </c>
      <c r="V378" s="193">
        <f>INDEX(Standings!$T$3:$T$34, MATCH(N378, Standings!$A$3:$A$34, 0)) - INDEX(Standings!$T$3:$T$34, MATCH(P378, Standings!$A$3:$A$34, 0))</f>
        <v/>
      </c>
      <c r="W378" s="157">
        <f>INDEX(Standings!$L$3:$L$34, MATCH(N378, Standings!$A$3:$A$34, 0)) - INDEX(Standings!$L$3:$L$34, MATCH(P378, Standings!$A$3:$A$34, 0))</f>
        <v/>
      </c>
      <c r="X378" s="157">
        <f>INDEX(Standings!$M$3:$M$34, MATCH(N378, Standings!$A$3:$A$34, 0)) - INDEX(Standings!$M$3:$M$34, MATCH(P378, Standings!$A$3:$A$34, 0))</f>
        <v/>
      </c>
      <c r="Y378" s="194">
        <f t="array" ref="Y378:Y378">IFERROR(AE378+(AL378-_DFactor)*AE378,"")</f>
        <v/>
      </c>
      <c r="Z378" s="157">
        <f>IFERROR(AF378+(AI378-_DFactor)*AF378,"")</f>
        <v/>
      </c>
      <c r="AC378" s="194">
        <f>VLOOKUP(M378&amp;N378,Schedule!A:F,6,0)</f>
        <v/>
      </c>
      <c r="AD378" s="194">
        <f>VLOOKUP(M378&amp;P378,Schedule!A:F,6,0)</f>
        <v/>
      </c>
      <c r="AE378" s="156">
        <f>VLOOKUP(N378,ProjPVT!B:I,8,0)*_Mag/VLOOKUP(P378,Standings!A:O,15,0)*H378*K378</f>
        <v/>
      </c>
      <c r="AF378" s="156">
        <f>VLOOKUP(P378,ProjPVT!B:I,8,0)*_Mag/VLOOKUP(N378,Standings!A:O,15,0)*J378*I378</f>
        <v/>
      </c>
      <c r="AG378" s="195">
        <f>VLOOKUP(N378,Matrix!AA:AC,3,0)</f>
        <v/>
      </c>
      <c r="AH378" s="195">
        <f>SUMIFS(Def!C:C,Def!F:F,AG378)</f>
        <v/>
      </c>
      <c r="AI378" s="156">
        <f>IFERROR(SUMIFS(Def!B:B,Def!F:F,AG378)/AH378,"")</f>
        <v/>
      </c>
      <c r="AJ378" s="195">
        <f>VLOOKUP(P378,Matrix!AA:AC,3,0)</f>
        <v/>
      </c>
      <c r="AK378" s="195">
        <f>SUMIFS(Def!C:C,Def!F:F,AJ378)</f>
        <v/>
      </c>
      <c r="AL378" s="156">
        <f>IFERROR(SUMIFS(Def!B:B,Def!F:F,AJ378)/AK378,"")</f>
        <v/>
      </c>
    </row>
    <row r="379" ht="14.4" customHeight="1" s="152">
      <c r="A379" s="157">
        <f>IF(F379="Yes",IFERROR(IF(AA379&gt;1,AA379/100,100/-AA379),""),-1)</f>
        <v/>
      </c>
      <c r="B379" s="157">
        <f>B378+1</f>
        <v/>
      </c>
      <c r="C379" s="157">
        <f>IF(Y379&gt;Z379,1,0)</f>
        <v/>
      </c>
      <c r="D379" s="157">
        <f>IF(AND(C379=1,F379="Yes"),"Yes",IF(AND(C379=0,F379="No"),"Yes","No"))</f>
        <v/>
      </c>
      <c r="E379" s="192">
        <f>IF((AC379+AB379)=AD379,"Push",IF((AC379+AB379)&gt;AD379,"Yes","No"))</f>
        <v/>
      </c>
      <c r="F379" s="192">
        <f>IF(AC379&gt;AD379,"Yes","No")</f>
        <v/>
      </c>
      <c r="G379" s="192">
        <f>IF((Y379+AB379)&gt;Z379,"Yes",IF((Y379+AB379)=Z379,"Push","No"))</f>
        <v/>
      </c>
      <c r="H379" s="157">
        <f>IF(O379="Home",VLOOKUP(N379,Matrix!A:S,19,0),1)</f>
        <v/>
      </c>
      <c r="I379" s="157">
        <f>IF(O379="Away",VLOOKUP(N379,Matrix!A:Z,20,0),1)</f>
        <v/>
      </c>
      <c r="J379" s="157">
        <f>IF(O379="Away",VLOOKUP(P379,Matrix!A:S,19,0),1)</f>
        <v/>
      </c>
      <c r="K379" s="157">
        <f>IF(O379="Home",VLOOKUP(P379,Matrix!A:Z,20,0),1)</f>
        <v/>
      </c>
      <c r="L379" s="156" t="n">
        <v>0.0257430225601854</v>
      </c>
      <c r="M379" s="179">
        <f>Schedule!B379</f>
        <v/>
      </c>
      <c r="N379" s="156">
        <f>Schedule!E379</f>
        <v/>
      </c>
      <c r="O379" s="156" t="inlineStr">
        <is>
          <t>Away</t>
        </is>
      </c>
      <c r="P379" s="157">
        <f>Schedule!H379</f>
        <v/>
      </c>
      <c r="Q379" s="157">
        <f>Schedule!C379</f>
        <v/>
      </c>
      <c r="R379" s="180">
        <f>Schedule!D379</f>
        <v/>
      </c>
      <c r="S379" s="181">
        <f>Schedule!J379</f>
        <v/>
      </c>
      <c r="T379" s="193">
        <f>Y379-Z379</f>
        <v/>
      </c>
      <c r="U379" s="182">
        <f>T379/Picks!$K$2</f>
        <v/>
      </c>
      <c r="V379" s="193">
        <f>INDEX(Standings!$T$3:$T$34, MATCH(N379, Standings!$A$3:$A$34, 0)) - INDEX(Standings!$T$3:$T$34, MATCH(P379, Standings!$A$3:$A$34, 0))</f>
        <v/>
      </c>
      <c r="W379" s="157">
        <f>INDEX(Standings!$L$3:$L$34, MATCH(N379, Standings!$A$3:$A$34, 0)) - INDEX(Standings!$L$3:$L$34, MATCH(P379, Standings!$A$3:$A$34, 0))</f>
        <v/>
      </c>
      <c r="X379" s="157">
        <f>INDEX(Standings!$M$3:$M$34, MATCH(N379, Standings!$A$3:$A$34, 0)) - INDEX(Standings!$M$3:$M$34, MATCH(P379, Standings!$A$3:$A$34, 0))</f>
        <v/>
      </c>
      <c r="Y379" s="194">
        <f t="array" ref="Y379:Y379">IFERROR(AE379+(AL379-_DFactor)*AE379,"")</f>
        <v/>
      </c>
      <c r="Z379" s="157">
        <f>IFERROR(AF379+(AI379-_DFactor)*AF379,"")</f>
        <v/>
      </c>
      <c r="AC379" s="194">
        <f>VLOOKUP(M379&amp;N379,Schedule!A:F,6,0)</f>
        <v/>
      </c>
      <c r="AD379" s="194">
        <f>VLOOKUP(M379&amp;P379,Schedule!A:F,6,0)</f>
        <v/>
      </c>
      <c r="AE379" s="156">
        <f>VLOOKUP(N379,ProjPVT!B:I,8,0)*_Mag/VLOOKUP(P379,Standings!A:O,15,0)*H379*K379</f>
        <v/>
      </c>
      <c r="AF379" s="156">
        <f>VLOOKUP(P379,ProjPVT!B:I,8,0)*_Mag/VLOOKUP(N379,Standings!A:O,15,0)*J379*I379</f>
        <v/>
      </c>
      <c r="AG379" s="195">
        <f>VLOOKUP(N379,Matrix!AA:AC,3,0)</f>
        <v/>
      </c>
      <c r="AH379" s="195">
        <f>SUMIFS(Def!C:C,Def!F:F,AG379)</f>
        <v/>
      </c>
      <c r="AI379" s="156">
        <f>IFERROR(SUMIFS(Def!B:B,Def!F:F,AG379)/AH379,"")</f>
        <v/>
      </c>
      <c r="AJ379" s="195">
        <f>VLOOKUP(P379,Matrix!AA:AC,3,0)</f>
        <v/>
      </c>
      <c r="AK379" s="195">
        <f>SUMIFS(Def!C:C,Def!F:F,AJ379)</f>
        <v/>
      </c>
      <c r="AL379" s="156">
        <f>IFERROR(SUMIFS(Def!B:B,Def!F:F,AJ379)/AK379,"")</f>
        <v/>
      </c>
    </row>
    <row r="380" ht="14.4" customHeight="1" s="152">
      <c r="A380" s="157">
        <f>IF(F380="Yes",IFERROR(IF(AA380&gt;1,AA380/100,100/-AA380),""),-1)</f>
        <v/>
      </c>
      <c r="B380" s="157">
        <f>B379+1</f>
        <v/>
      </c>
      <c r="C380" s="157">
        <f>IF(Y380&gt;Z380,1,0)</f>
        <v/>
      </c>
      <c r="D380" s="157">
        <f>IF(AND(C380=1,F380="Yes"),"Yes",IF(AND(C380=0,F380="No"),"Yes","No"))</f>
        <v/>
      </c>
      <c r="E380" s="192">
        <f>IF((AC380+AB380)=AD380,"Push",IF((AC380+AB380)&gt;AD380,"Yes","No"))</f>
        <v/>
      </c>
      <c r="F380" s="192">
        <f>IF(AC380&gt;AD380,"Yes","No")</f>
        <v/>
      </c>
      <c r="G380" s="192">
        <f>IF((Y380+AB380)&gt;Z380,"Yes",IF((Y380+AB380)=Z380,"Push","No"))</f>
        <v/>
      </c>
      <c r="H380" s="157">
        <f>IF(O380="Home",VLOOKUP(N380,Matrix!A:S,19,0),1)</f>
        <v/>
      </c>
      <c r="I380" s="157">
        <f>IF(O380="Away",VLOOKUP(N380,Matrix!A:Z,20,0),1)</f>
        <v/>
      </c>
      <c r="J380" s="157">
        <f>IF(O380="Away",VLOOKUP(P380,Matrix!A:S,19,0),1)</f>
        <v/>
      </c>
      <c r="K380" s="157">
        <f>IF(O380="Home",VLOOKUP(P380,Matrix!A:Z,20,0),1)</f>
        <v/>
      </c>
      <c r="L380" s="156" t="n">
        <v>0.0513130756881678</v>
      </c>
      <c r="M380" s="179">
        <f>Schedule!B380</f>
        <v/>
      </c>
      <c r="N380" s="156">
        <f>Schedule!E380</f>
        <v/>
      </c>
      <c r="O380" s="156" t="inlineStr">
        <is>
          <t>Home</t>
        </is>
      </c>
      <c r="P380" s="157">
        <f>Schedule!H380</f>
        <v/>
      </c>
      <c r="Q380" s="157">
        <f>Schedule!C380</f>
        <v/>
      </c>
      <c r="R380" s="180">
        <f>Schedule!D380</f>
        <v/>
      </c>
      <c r="S380" s="181">
        <f>Schedule!J380</f>
        <v/>
      </c>
      <c r="T380" s="193">
        <f>Y380-Z380</f>
        <v/>
      </c>
      <c r="U380" s="182">
        <f>T380/Picks!$K$2</f>
        <v/>
      </c>
      <c r="V380" s="193">
        <f>INDEX(Standings!$T$3:$T$34, MATCH(N380, Standings!$A$3:$A$34, 0)) - INDEX(Standings!$T$3:$T$34, MATCH(P380, Standings!$A$3:$A$34, 0))</f>
        <v/>
      </c>
      <c r="W380" s="157">
        <f>INDEX(Standings!$L$3:$L$34, MATCH(N380, Standings!$A$3:$A$34, 0)) - INDEX(Standings!$L$3:$L$34, MATCH(P380, Standings!$A$3:$A$34, 0))</f>
        <v/>
      </c>
      <c r="X380" s="157">
        <f>INDEX(Standings!$M$3:$M$34, MATCH(N380, Standings!$A$3:$A$34, 0)) - INDEX(Standings!$M$3:$M$34, MATCH(P380, Standings!$A$3:$A$34, 0))</f>
        <v/>
      </c>
      <c r="Y380" s="194">
        <f t="array" ref="Y380:Y380">IFERROR(AE380+(AL380-_DFactor)*AE380,"")</f>
        <v/>
      </c>
      <c r="Z380" s="157">
        <f>IFERROR(AF380+(AI380-_DFactor)*AF380,"")</f>
        <v/>
      </c>
      <c r="AC380" s="194">
        <f>VLOOKUP(M380&amp;N380,Schedule!A:F,6,0)</f>
        <v/>
      </c>
      <c r="AD380" s="194">
        <f>VLOOKUP(M380&amp;P380,Schedule!A:F,6,0)</f>
        <v/>
      </c>
      <c r="AE380" s="156">
        <f>VLOOKUP(N380,ProjPVT!B:I,8,0)*_Mag/VLOOKUP(P380,Standings!A:O,15,0)*H380*K380</f>
        <v/>
      </c>
      <c r="AF380" s="156">
        <f>VLOOKUP(P380,ProjPVT!B:I,8,0)*_Mag/VLOOKUP(N380,Standings!A:O,15,0)*J380*I380</f>
        <v/>
      </c>
      <c r="AG380" s="195">
        <f>VLOOKUP(N380,Matrix!AA:AC,3,0)</f>
        <v/>
      </c>
      <c r="AH380" s="195">
        <f>SUMIFS(Def!C:C,Def!F:F,AG380)</f>
        <v/>
      </c>
      <c r="AI380" s="156">
        <f>IFERROR(SUMIFS(Def!B:B,Def!F:F,AG380)/AH380,"")</f>
        <v/>
      </c>
      <c r="AJ380" s="195">
        <f>VLOOKUP(P380,Matrix!AA:AC,3,0)</f>
        <v/>
      </c>
      <c r="AK380" s="195">
        <f>SUMIFS(Def!C:C,Def!F:F,AJ380)</f>
        <v/>
      </c>
      <c r="AL380" s="156">
        <f>IFERROR(SUMIFS(Def!B:B,Def!F:F,AJ380)/AK380,"")</f>
        <v/>
      </c>
    </row>
    <row r="381" ht="14.4" customHeight="1" s="152">
      <c r="A381" s="157">
        <f>IF(F381="Yes",IFERROR(IF(AA381&gt;1,AA381/100,100/-AA381),""),-1)</f>
        <v/>
      </c>
      <c r="B381" s="157">
        <f>B380+1</f>
        <v/>
      </c>
      <c r="C381" s="157">
        <f>IF(Y381&gt;Z381,1,0)</f>
        <v/>
      </c>
      <c r="D381" s="157">
        <f>IF(AND(C381=1,F381="Yes"),"Yes",IF(AND(C381=0,F381="No"),"Yes","No"))</f>
        <v/>
      </c>
      <c r="E381" s="192">
        <f>IF((AC381+AB381)=AD381,"Push",IF((AC381+AB381)&gt;AD381,"Yes","No"))</f>
        <v/>
      </c>
      <c r="F381" s="192">
        <f>IF(AC381&gt;AD381,"Yes","No")</f>
        <v/>
      </c>
      <c r="G381" s="192">
        <f>IF((Y381+AB381)&gt;Z381,"Yes",IF((Y381+AB381)=Z381,"Push","No"))</f>
        <v/>
      </c>
      <c r="H381" s="157">
        <f>IF(O381="Home",VLOOKUP(N381,Matrix!A:S,19,0),1)</f>
        <v/>
      </c>
      <c r="I381" s="157">
        <f>IF(O381="Away",VLOOKUP(N381,Matrix!A:Z,20,0),1)</f>
        <v/>
      </c>
      <c r="J381" s="157">
        <f>IF(O381="Away",VLOOKUP(P381,Matrix!A:S,19,0),1)</f>
        <v/>
      </c>
      <c r="K381" s="157">
        <f>IF(O381="Home",VLOOKUP(P381,Matrix!A:Z,20,0),1)</f>
        <v/>
      </c>
      <c r="L381" s="156" t="n">
        <v>0.07415733125011149</v>
      </c>
      <c r="M381" s="179">
        <f>Schedule!B381</f>
        <v/>
      </c>
      <c r="N381" s="156">
        <f>Schedule!E381</f>
        <v/>
      </c>
      <c r="O381" s="156" t="inlineStr">
        <is>
          <t>Away</t>
        </is>
      </c>
      <c r="P381" s="157">
        <f>Schedule!H381</f>
        <v/>
      </c>
      <c r="Q381" s="157">
        <f>Schedule!C381</f>
        <v/>
      </c>
      <c r="R381" s="180">
        <f>Schedule!D381</f>
        <v/>
      </c>
      <c r="S381" s="181">
        <f>Schedule!J381</f>
        <v/>
      </c>
      <c r="T381" s="193">
        <f>Y381-Z381</f>
        <v/>
      </c>
      <c r="U381" s="182">
        <f>T381/Picks!$K$2</f>
        <v/>
      </c>
      <c r="V381" s="193">
        <f>INDEX(Standings!$T$3:$T$34, MATCH(N381, Standings!$A$3:$A$34, 0)) - INDEX(Standings!$T$3:$T$34, MATCH(P381, Standings!$A$3:$A$34, 0))</f>
        <v/>
      </c>
      <c r="W381" s="157">
        <f>INDEX(Standings!$L$3:$L$34, MATCH(N381, Standings!$A$3:$A$34, 0)) - INDEX(Standings!$L$3:$L$34, MATCH(P381, Standings!$A$3:$A$34, 0))</f>
        <v/>
      </c>
      <c r="X381" s="157">
        <f>INDEX(Standings!$M$3:$M$34, MATCH(N381, Standings!$A$3:$A$34, 0)) - INDEX(Standings!$M$3:$M$34, MATCH(P381, Standings!$A$3:$A$34, 0))</f>
        <v/>
      </c>
      <c r="Y381" s="194">
        <f t="array" ref="Y381:Y381">IFERROR(AE381+(AL381-_DFactor)*AE381,"")</f>
        <v/>
      </c>
      <c r="Z381" s="157">
        <f>IFERROR(AF381+(AI381-_DFactor)*AF381,"")</f>
        <v/>
      </c>
      <c r="AC381" s="194">
        <f>VLOOKUP(M381&amp;N381,Schedule!A:F,6,0)</f>
        <v/>
      </c>
      <c r="AD381" s="194">
        <f>VLOOKUP(M381&amp;P381,Schedule!A:F,6,0)</f>
        <v/>
      </c>
      <c r="AE381" s="156">
        <f>VLOOKUP(N381,ProjPVT!B:I,8,0)*_Mag/VLOOKUP(P381,Standings!A:O,15,0)*H381*K381</f>
        <v/>
      </c>
      <c r="AF381" s="156">
        <f>VLOOKUP(P381,ProjPVT!B:I,8,0)*_Mag/VLOOKUP(N381,Standings!A:O,15,0)*J381*I381</f>
        <v/>
      </c>
      <c r="AG381" s="195">
        <f>VLOOKUP(N381,Matrix!AA:AC,3,0)</f>
        <v/>
      </c>
      <c r="AH381" s="195">
        <f>SUMIFS(Def!C:C,Def!F:F,AG381)</f>
        <v/>
      </c>
      <c r="AI381" s="156">
        <f>IFERROR(SUMIFS(Def!B:B,Def!F:F,AG381)/AH381,"")</f>
        <v/>
      </c>
      <c r="AJ381" s="195">
        <f>VLOOKUP(P381,Matrix!AA:AC,3,0)</f>
        <v/>
      </c>
      <c r="AK381" s="195">
        <f>SUMIFS(Def!C:C,Def!F:F,AJ381)</f>
        <v/>
      </c>
      <c r="AL381" s="156">
        <f>IFERROR(SUMIFS(Def!B:B,Def!F:F,AJ381)/AK381,"")</f>
        <v/>
      </c>
    </row>
    <row r="382" ht="14.4" customHeight="1" s="152">
      <c r="A382" s="157">
        <f>IF(F382="Yes",IFERROR(IF(AA382&gt;1,AA382/100,100/-AA382),""),-1)</f>
        <v/>
      </c>
      <c r="B382" s="157">
        <f>B381+1</f>
        <v/>
      </c>
      <c r="C382" s="157">
        <f>IF(Y382&gt;Z382,1,0)</f>
        <v/>
      </c>
      <c r="D382" s="157">
        <f>IF(AND(C382=1,F382="Yes"),"Yes",IF(AND(C382=0,F382="No"),"Yes","No"))</f>
        <v/>
      </c>
      <c r="E382" s="192">
        <f>IF((AC382+AB382)=AD382,"Push",IF((AC382+AB382)&gt;AD382,"Yes","No"))</f>
        <v/>
      </c>
      <c r="F382" s="192">
        <f>IF(AC382&gt;AD382,"Yes","No")</f>
        <v/>
      </c>
      <c r="G382" s="192">
        <f>IF((Y382+AB382)&gt;Z382,"Yes",IF((Y382+AB382)=Z382,"Push","No"))</f>
        <v/>
      </c>
      <c r="H382" s="157">
        <f>IF(O382="Home",VLOOKUP(N382,Matrix!A:S,19,0),1)</f>
        <v/>
      </c>
      <c r="I382" s="157">
        <f>IF(O382="Away",VLOOKUP(N382,Matrix!A:Z,20,0),1)</f>
        <v/>
      </c>
      <c r="J382" s="157">
        <f>IF(O382="Away",VLOOKUP(P382,Matrix!A:S,19,0),1)</f>
        <v/>
      </c>
      <c r="K382" s="157">
        <f>IF(O382="Home",VLOOKUP(P382,Matrix!A:Z,20,0),1)</f>
        <v/>
      </c>
      <c r="L382" s="156" t="n">
        <v>0.0898992521811383</v>
      </c>
      <c r="M382" s="179">
        <f>Schedule!B382</f>
        <v/>
      </c>
      <c r="N382" s="156">
        <f>Schedule!E382</f>
        <v/>
      </c>
      <c r="O382" s="156" t="inlineStr">
        <is>
          <t>Home</t>
        </is>
      </c>
      <c r="P382" s="157">
        <f>Schedule!H382</f>
        <v/>
      </c>
      <c r="Q382" s="157">
        <f>Schedule!C382</f>
        <v/>
      </c>
      <c r="R382" s="180">
        <f>Schedule!D382</f>
        <v/>
      </c>
      <c r="S382" s="181">
        <f>Schedule!J382</f>
        <v/>
      </c>
      <c r="T382" s="193">
        <f>Y382-Z382</f>
        <v/>
      </c>
      <c r="U382" s="182">
        <f>T382/Picks!$K$2</f>
        <v/>
      </c>
      <c r="V382" s="193">
        <f>INDEX(Standings!$T$3:$T$34, MATCH(N382, Standings!$A$3:$A$34, 0)) - INDEX(Standings!$T$3:$T$34, MATCH(P382, Standings!$A$3:$A$34, 0))</f>
        <v/>
      </c>
      <c r="W382" s="157">
        <f>INDEX(Standings!$L$3:$L$34, MATCH(N382, Standings!$A$3:$A$34, 0)) - INDEX(Standings!$L$3:$L$34, MATCH(P382, Standings!$A$3:$A$34, 0))</f>
        <v/>
      </c>
      <c r="X382" s="157">
        <f>INDEX(Standings!$M$3:$M$34, MATCH(N382, Standings!$A$3:$A$34, 0)) - INDEX(Standings!$M$3:$M$34, MATCH(P382, Standings!$A$3:$A$34, 0))</f>
        <v/>
      </c>
      <c r="Y382" s="194">
        <f t="array" ref="Y382:Y382">IFERROR(AE382+(AL382-_DFactor)*AE382,"")</f>
        <v/>
      </c>
      <c r="Z382" s="157">
        <f>IFERROR(AF382+(AI382-_DFactor)*AF382,"")</f>
        <v/>
      </c>
      <c r="AC382" s="194">
        <f>VLOOKUP(M382&amp;N382,Schedule!A:F,6,0)</f>
        <v/>
      </c>
      <c r="AD382" s="194">
        <f>VLOOKUP(M382&amp;P382,Schedule!A:F,6,0)</f>
        <v/>
      </c>
      <c r="AE382" s="156">
        <f>VLOOKUP(N382,ProjPVT!B:I,8,0)*_Mag/VLOOKUP(P382,Standings!A:O,15,0)*H382*K382</f>
        <v/>
      </c>
      <c r="AF382" s="156">
        <f>VLOOKUP(P382,ProjPVT!B:I,8,0)*_Mag/VLOOKUP(N382,Standings!A:O,15,0)*J382*I382</f>
        <v/>
      </c>
      <c r="AG382" s="195">
        <f>VLOOKUP(N382,Matrix!AA:AC,3,0)</f>
        <v/>
      </c>
      <c r="AH382" s="195">
        <f>SUMIFS(Def!C:C,Def!F:F,AG382)</f>
        <v/>
      </c>
      <c r="AI382" s="156">
        <f>IFERROR(SUMIFS(Def!B:B,Def!F:F,AG382)/AH382,"")</f>
        <v/>
      </c>
      <c r="AJ382" s="195">
        <f>VLOOKUP(P382,Matrix!AA:AC,3,0)</f>
        <v/>
      </c>
      <c r="AK382" s="195">
        <f>SUMIFS(Def!C:C,Def!F:F,AJ382)</f>
        <v/>
      </c>
      <c r="AL382" s="156">
        <f>IFERROR(SUMIFS(Def!B:B,Def!F:F,AJ382)/AK382,"")</f>
        <v/>
      </c>
    </row>
    <row r="383" ht="14.4" customHeight="1" s="152">
      <c r="A383" s="157">
        <f>IF(F383="Yes",IFERROR(IF(AA383&gt;1,AA383/100,100/-AA383),""),-1)</f>
        <v/>
      </c>
      <c r="B383" s="157">
        <f>B382+1</f>
        <v/>
      </c>
      <c r="C383" s="157">
        <f>IF(Y383&gt;Z383,1,0)</f>
        <v/>
      </c>
      <c r="D383" s="157">
        <f>IF(AND(C383=1,F383="Yes"),"Yes",IF(AND(C383=0,F383="No"),"Yes","No"))</f>
        <v/>
      </c>
      <c r="E383" s="192">
        <f>IF((AC383+AB383)=AD383,"Push",IF((AC383+AB383)&gt;AD383,"Yes","No"))</f>
        <v/>
      </c>
      <c r="F383" s="192">
        <f>IF(AC383&gt;AD383,"Yes","No")</f>
        <v/>
      </c>
      <c r="G383" s="192">
        <f>IF((Y383+AB383)&gt;Z383,"Yes",IF((Y383+AB383)=Z383,"Push","No"))</f>
        <v/>
      </c>
      <c r="H383" s="157">
        <f>IF(O383="Home",VLOOKUP(N383,Matrix!A:S,19,0),1)</f>
        <v/>
      </c>
      <c r="I383" s="157">
        <f>IF(O383="Away",VLOOKUP(N383,Matrix!A:Z,20,0),1)</f>
        <v/>
      </c>
      <c r="J383" s="157">
        <f>IF(O383="Away",VLOOKUP(P383,Matrix!A:S,19,0),1)</f>
        <v/>
      </c>
      <c r="K383" s="157">
        <f>IF(O383="Home",VLOOKUP(P383,Matrix!A:Z,20,0),1)</f>
        <v/>
      </c>
      <c r="L383" s="156" t="n">
        <v>0.0950965104335259</v>
      </c>
      <c r="M383" s="179">
        <f>Schedule!B383</f>
        <v/>
      </c>
      <c r="N383" s="156">
        <f>Schedule!E383</f>
        <v/>
      </c>
      <c r="O383" s="156" t="inlineStr">
        <is>
          <t>Away</t>
        </is>
      </c>
      <c r="P383" s="157">
        <f>Schedule!H383</f>
        <v/>
      </c>
      <c r="Q383" s="157">
        <f>Schedule!C383</f>
        <v/>
      </c>
      <c r="R383" s="180">
        <f>Schedule!D383</f>
        <v/>
      </c>
      <c r="S383" s="181">
        <f>Schedule!J383</f>
        <v/>
      </c>
      <c r="T383" s="193">
        <f>Y383-Z383</f>
        <v/>
      </c>
      <c r="U383" s="182">
        <f>T383/Picks!$K$2</f>
        <v/>
      </c>
      <c r="V383" s="193">
        <f>INDEX(Standings!$T$3:$T$34, MATCH(N383, Standings!$A$3:$A$34, 0)) - INDEX(Standings!$T$3:$T$34, MATCH(P383, Standings!$A$3:$A$34, 0))</f>
        <v/>
      </c>
      <c r="W383" s="157">
        <f>INDEX(Standings!$L$3:$L$34, MATCH(N383, Standings!$A$3:$A$34, 0)) - INDEX(Standings!$L$3:$L$34, MATCH(P383, Standings!$A$3:$A$34, 0))</f>
        <v/>
      </c>
      <c r="X383" s="157">
        <f>INDEX(Standings!$M$3:$M$34, MATCH(N383, Standings!$A$3:$A$34, 0)) - INDEX(Standings!$M$3:$M$34, MATCH(P383, Standings!$A$3:$A$34, 0))</f>
        <v/>
      </c>
      <c r="Y383" s="194">
        <f t="array" ref="Y383:Y383">IFERROR(AE383+(AL383-_DFactor)*AE383,"")</f>
        <v/>
      </c>
      <c r="Z383" s="157">
        <f>IFERROR(AF383+(AI383-_DFactor)*AF383,"")</f>
        <v/>
      </c>
      <c r="AC383" s="194">
        <f>VLOOKUP(M383&amp;N383,Schedule!A:F,6,0)</f>
        <v/>
      </c>
      <c r="AD383" s="194">
        <f>VLOOKUP(M383&amp;P383,Schedule!A:F,6,0)</f>
        <v/>
      </c>
      <c r="AE383" s="156">
        <f>VLOOKUP(N383,ProjPVT!B:I,8,0)*_Mag/VLOOKUP(P383,Standings!A:O,15,0)*H383*K383</f>
        <v/>
      </c>
      <c r="AF383" s="156">
        <f>VLOOKUP(P383,ProjPVT!B:I,8,0)*_Mag/VLOOKUP(N383,Standings!A:O,15,0)*J383*I383</f>
        <v/>
      </c>
      <c r="AG383" s="195">
        <f>VLOOKUP(N383,Matrix!AA:AC,3,0)</f>
        <v/>
      </c>
      <c r="AH383" s="195">
        <f>SUMIFS(Def!C:C,Def!F:F,AG383)</f>
        <v/>
      </c>
      <c r="AI383" s="156">
        <f>IFERROR(SUMIFS(Def!B:B,Def!F:F,AG383)/AH383,"")</f>
        <v/>
      </c>
      <c r="AJ383" s="195">
        <f>VLOOKUP(P383,Matrix!AA:AC,3,0)</f>
        <v/>
      </c>
      <c r="AK383" s="195">
        <f>SUMIFS(Def!C:C,Def!F:F,AJ383)</f>
        <v/>
      </c>
      <c r="AL383" s="156">
        <f>IFERROR(SUMIFS(Def!B:B,Def!F:F,AJ383)/AK383,"")</f>
        <v/>
      </c>
    </row>
    <row r="384" ht="14.4" customHeight="1" s="152">
      <c r="A384" s="157">
        <f>IF(F384="Yes",IFERROR(IF(AA384&gt;1,AA384/100,100/-AA384),""),-1)</f>
        <v/>
      </c>
      <c r="B384" s="157">
        <f>B383+1</f>
        <v/>
      </c>
      <c r="C384" s="157">
        <f>IF(Y384&gt;Z384,1,0)</f>
        <v/>
      </c>
      <c r="D384" s="157">
        <f>IF(AND(C384=1,F384="Yes"),"Yes",IF(AND(C384=0,F384="No"),"Yes","No"))</f>
        <v/>
      </c>
      <c r="E384" s="192">
        <f>IF((AC384+AB384)=AD384,"Push",IF((AC384+AB384)&gt;AD384,"Yes","No"))</f>
        <v/>
      </c>
      <c r="F384" s="192">
        <f>IF(AC384&gt;AD384,"Yes","No")</f>
        <v/>
      </c>
      <c r="G384" s="192">
        <f>IF((Y384+AB384)&gt;Z384,"Yes",IF((Y384+AB384)=Z384,"Push","No"))</f>
        <v/>
      </c>
      <c r="H384" s="157">
        <f>IF(O384="Home",VLOOKUP(N384,Matrix!A:S,19,0),1)</f>
        <v/>
      </c>
      <c r="I384" s="157">
        <f>IF(O384="Away",VLOOKUP(N384,Matrix!A:Z,20,0),1)</f>
        <v/>
      </c>
      <c r="J384" s="157">
        <f>IF(O384="Away",VLOOKUP(P384,Matrix!A:S,19,0),1)</f>
        <v/>
      </c>
      <c r="K384" s="157">
        <f>IF(O384="Home",VLOOKUP(P384,Matrix!A:Z,20,0),1)</f>
        <v/>
      </c>
      <c r="L384" s="156" t="n">
        <v>0.101563319918132</v>
      </c>
      <c r="M384" s="179">
        <f>Schedule!B384</f>
        <v/>
      </c>
      <c r="N384" s="156">
        <f>Schedule!E384</f>
        <v/>
      </c>
      <c r="O384" s="156" t="inlineStr">
        <is>
          <t>Away</t>
        </is>
      </c>
      <c r="P384" s="157">
        <f>Schedule!H384</f>
        <v/>
      </c>
      <c r="Q384" s="157">
        <f>Schedule!C384</f>
        <v/>
      </c>
      <c r="R384" s="180">
        <f>Schedule!D384</f>
        <v/>
      </c>
      <c r="S384" s="181">
        <f>Schedule!J384</f>
        <v/>
      </c>
      <c r="T384" s="193">
        <f>Y384-Z384</f>
        <v/>
      </c>
      <c r="U384" s="182">
        <f>T384/Picks!$K$2</f>
        <v/>
      </c>
      <c r="V384" s="193">
        <f>INDEX(Standings!$T$3:$T$34, MATCH(N384, Standings!$A$3:$A$34, 0)) - INDEX(Standings!$T$3:$T$34, MATCH(P384, Standings!$A$3:$A$34, 0))</f>
        <v/>
      </c>
      <c r="W384" s="157">
        <f>INDEX(Standings!$L$3:$L$34, MATCH(N384, Standings!$A$3:$A$34, 0)) - INDEX(Standings!$L$3:$L$34, MATCH(P384, Standings!$A$3:$A$34, 0))</f>
        <v/>
      </c>
      <c r="X384" s="157">
        <f>INDEX(Standings!$M$3:$M$34, MATCH(N384, Standings!$A$3:$A$34, 0)) - INDEX(Standings!$M$3:$M$34, MATCH(P384, Standings!$A$3:$A$34, 0))</f>
        <v/>
      </c>
      <c r="Y384" s="194">
        <f t="array" ref="Y384:Y384">IFERROR(AE384+(AL384-_DFactor)*AE384,"")</f>
        <v/>
      </c>
      <c r="Z384" s="157">
        <f>IFERROR(AF384+(AI384-_DFactor)*AF384,"")</f>
        <v/>
      </c>
      <c r="AC384" s="194">
        <f>VLOOKUP(M384&amp;N384,Schedule!A:F,6,0)</f>
        <v/>
      </c>
      <c r="AD384" s="194">
        <f>VLOOKUP(M384&amp;P384,Schedule!A:F,6,0)</f>
        <v/>
      </c>
      <c r="AE384" s="156">
        <f>VLOOKUP(N384,ProjPVT!B:I,8,0)*_Mag/VLOOKUP(P384,Standings!A:O,15,0)*H384*K384</f>
        <v/>
      </c>
      <c r="AF384" s="156">
        <f>VLOOKUP(P384,ProjPVT!B:I,8,0)*_Mag/VLOOKUP(N384,Standings!A:O,15,0)*J384*I384</f>
        <v/>
      </c>
      <c r="AG384" s="195">
        <f>VLOOKUP(N384,Matrix!AA:AC,3,0)</f>
        <v/>
      </c>
      <c r="AH384" s="195">
        <f>SUMIFS(Def!C:C,Def!F:F,AG384)</f>
        <v/>
      </c>
      <c r="AI384" s="156">
        <f>IFERROR(SUMIFS(Def!B:B,Def!F:F,AG384)/AH384,"")</f>
        <v/>
      </c>
      <c r="AJ384" s="195">
        <f>VLOOKUP(P384,Matrix!AA:AC,3,0)</f>
        <v/>
      </c>
      <c r="AK384" s="195">
        <f>SUMIFS(Def!C:C,Def!F:F,AJ384)</f>
        <v/>
      </c>
      <c r="AL384" s="156">
        <f>IFERROR(SUMIFS(Def!B:B,Def!F:F,AJ384)/AK384,"")</f>
        <v/>
      </c>
    </row>
    <row r="385" ht="14.4" customHeight="1" s="152">
      <c r="A385" s="157">
        <f>IF(F385="Yes",IFERROR(IF(AA385&gt;1,AA385/100,100/-AA385),""),-1)</f>
        <v/>
      </c>
      <c r="B385" s="157">
        <f>B384+1</f>
        <v/>
      </c>
      <c r="C385" s="157">
        <f>IF(Y385&gt;Z385,1,0)</f>
        <v/>
      </c>
      <c r="D385" s="157">
        <f>IF(AND(C385=1,F385="Yes"),"Yes",IF(AND(C385=0,F385="No"),"Yes","No"))</f>
        <v/>
      </c>
      <c r="E385" s="192">
        <f>IF((AC385+AB385)=AD385,"Push",IF((AC385+AB385)&gt;AD385,"Yes","No"))</f>
        <v/>
      </c>
      <c r="F385" s="192">
        <f>IF(AC385&gt;AD385,"Yes","No")</f>
        <v/>
      </c>
      <c r="G385" s="192">
        <f>IF((Y385+AB385)&gt;Z385,"Yes",IF((Y385+AB385)=Z385,"Push","No"))</f>
        <v/>
      </c>
      <c r="H385" s="157">
        <f>IF(O385="Home",VLOOKUP(N385,Matrix!A:S,19,0),1)</f>
        <v/>
      </c>
      <c r="I385" s="157">
        <f>IF(O385="Away",VLOOKUP(N385,Matrix!A:Z,20,0),1)</f>
        <v/>
      </c>
      <c r="J385" s="157">
        <f>IF(O385="Away",VLOOKUP(P385,Matrix!A:S,19,0),1)</f>
        <v/>
      </c>
      <c r="K385" s="157">
        <f>IF(O385="Home",VLOOKUP(P385,Matrix!A:Z,20,0),1)</f>
        <v/>
      </c>
      <c r="L385" s="156" t="n">
        <v>0.150359259092036</v>
      </c>
      <c r="M385" s="179">
        <f>Schedule!B385</f>
        <v/>
      </c>
      <c r="N385" s="156">
        <f>Schedule!E385</f>
        <v/>
      </c>
      <c r="O385" s="156" t="inlineStr">
        <is>
          <t>Home</t>
        </is>
      </c>
      <c r="P385" s="157">
        <f>Schedule!H385</f>
        <v/>
      </c>
      <c r="Q385" s="157">
        <f>Schedule!C385</f>
        <v/>
      </c>
      <c r="R385" s="180">
        <f>Schedule!D385</f>
        <v/>
      </c>
      <c r="S385" s="181">
        <f>Schedule!J385</f>
        <v/>
      </c>
      <c r="T385" s="193">
        <f>Y385-Z385</f>
        <v/>
      </c>
      <c r="U385" s="182">
        <f>T385/Picks!$K$2</f>
        <v/>
      </c>
      <c r="V385" s="193">
        <f>INDEX(Standings!$T$3:$T$34, MATCH(N385, Standings!$A$3:$A$34, 0)) - INDEX(Standings!$T$3:$T$34, MATCH(P385, Standings!$A$3:$A$34, 0))</f>
        <v/>
      </c>
      <c r="W385" s="157">
        <f>INDEX(Standings!$L$3:$L$34, MATCH(N385, Standings!$A$3:$A$34, 0)) - INDEX(Standings!$L$3:$L$34, MATCH(P385, Standings!$A$3:$A$34, 0))</f>
        <v/>
      </c>
      <c r="X385" s="157">
        <f>INDEX(Standings!$M$3:$M$34, MATCH(N385, Standings!$A$3:$A$34, 0)) - INDEX(Standings!$M$3:$M$34, MATCH(P385, Standings!$A$3:$A$34, 0))</f>
        <v/>
      </c>
      <c r="Y385" s="194">
        <f t="array" ref="Y385:Y385">IFERROR(AE385+(AL385-_DFactor)*AE385,"")</f>
        <v/>
      </c>
      <c r="Z385" s="157">
        <f>IFERROR(AF385+(AI385-_DFactor)*AF385,"")</f>
        <v/>
      </c>
      <c r="AC385" s="194">
        <f>VLOOKUP(M385&amp;N385,Schedule!A:F,6,0)</f>
        <v/>
      </c>
      <c r="AD385" s="194">
        <f>VLOOKUP(M385&amp;P385,Schedule!A:F,6,0)</f>
        <v/>
      </c>
      <c r="AE385" s="156">
        <f>VLOOKUP(N385,ProjPVT!B:I,8,0)*_Mag/VLOOKUP(P385,Standings!A:O,15,0)*H385*K385</f>
        <v/>
      </c>
      <c r="AF385" s="156">
        <f>VLOOKUP(P385,ProjPVT!B:I,8,0)*_Mag/VLOOKUP(N385,Standings!A:O,15,0)*J385*I385</f>
        <v/>
      </c>
      <c r="AG385" s="195">
        <f>VLOOKUP(N385,Matrix!AA:AC,3,0)</f>
        <v/>
      </c>
      <c r="AH385" s="195">
        <f>SUMIFS(Def!C:C,Def!F:F,AG385)</f>
        <v/>
      </c>
      <c r="AI385" s="156">
        <f>IFERROR(SUMIFS(Def!B:B,Def!F:F,AG385)/AH385,"")</f>
        <v/>
      </c>
      <c r="AJ385" s="195">
        <f>VLOOKUP(P385,Matrix!AA:AC,3,0)</f>
        <v/>
      </c>
      <c r="AK385" s="195">
        <f>SUMIFS(Def!C:C,Def!F:F,AJ385)</f>
        <v/>
      </c>
      <c r="AL385" s="156">
        <f>IFERROR(SUMIFS(Def!B:B,Def!F:F,AJ385)/AK385,"")</f>
        <v/>
      </c>
    </row>
    <row r="386" ht="14.4" customHeight="1" s="152">
      <c r="A386" s="157">
        <f>IF(F386="Yes",IFERROR(IF(AA386&gt;1,AA386/100,100/-AA386),""),-1)</f>
        <v/>
      </c>
      <c r="B386" s="157">
        <f>B385+1</f>
        <v/>
      </c>
      <c r="C386" s="157">
        <f>IF(Y386&gt;Z386,1,0)</f>
        <v/>
      </c>
      <c r="D386" s="157">
        <f>IF(AND(C386=1,F386="Yes"),"Yes",IF(AND(C386=0,F386="No"),"Yes","No"))</f>
        <v/>
      </c>
      <c r="E386" s="192">
        <f>IF((AC386+AB386)=AD386,"Push",IF((AC386+AB386)&gt;AD386,"Yes","No"))</f>
        <v/>
      </c>
      <c r="F386" s="192">
        <f>IF(AC386&gt;AD386,"Yes","No")</f>
        <v/>
      </c>
      <c r="G386" s="192">
        <f>IF((Y386+AB386)&gt;Z386,"Yes",IF((Y386+AB386)=Z386,"Push","No"))</f>
        <v/>
      </c>
      <c r="H386" s="157">
        <f>IF(O386="Home",VLOOKUP(N386,Matrix!A:S,19,0),1)</f>
        <v/>
      </c>
      <c r="I386" s="157">
        <f>IF(O386="Away",VLOOKUP(N386,Matrix!A:Z,20,0),1)</f>
        <v/>
      </c>
      <c r="J386" s="157">
        <f>IF(O386="Away",VLOOKUP(P386,Matrix!A:S,19,0),1)</f>
        <v/>
      </c>
      <c r="K386" s="157">
        <f>IF(O386="Home",VLOOKUP(P386,Matrix!A:Z,20,0),1)</f>
        <v/>
      </c>
      <c r="L386" s="156" t="n">
        <v>0.272225486612047</v>
      </c>
      <c r="M386" s="179">
        <f>Schedule!B386</f>
        <v/>
      </c>
      <c r="N386" s="156">
        <f>Schedule!E386</f>
        <v/>
      </c>
      <c r="O386" s="156" t="inlineStr">
        <is>
          <t>Home</t>
        </is>
      </c>
      <c r="P386" s="157">
        <f>Schedule!H386</f>
        <v/>
      </c>
      <c r="Q386" s="157">
        <f>Schedule!C386</f>
        <v/>
      </c>
      <c r="R386" s="180">
        <f>Schedule!D386</f>
        <v/>
      </c>
      <c r="S386" s="181">
        <f>Schedule!J386</f>
        <v/>
      </c>
      <c r="T386" s="193">
        <f>Y386-Z386</f>
        <v/>
      </c>
      <c r="U386" s="182">
        <f>T386/Picks!$K$2</f>
        <v/>
      </c>
      <c r="V386" s="193">
        <f>INDEX(Standings!$T$3:$T$34, MATCH(N386, Standings!$A$3:$A$34, 0)) - INDEX(Standings!$T$3:$T$34, MATCH(P386, Standings!$A$3:$A$34, 0))</f>
        <v/>
      </c>
      <c r="W386" s="157">
        <f>INDEX(Standings!$L$3:$L$34, MATCH(N386, Standings!$A$3:$A$34, 0)) - INDEX(Standings!$L$3:$L$34, MATCH(P386, Standings!$A$3:$A$34, 0))</f>
        <v/>
      </c>
      <c r="X386" s="157">
        <f>INDEX(Standings!$M$3:$M$34, MATCH(N386, Standings!$A$3:$A$34, 0)) - INDEX(Standings!$M$3:$M$34, MATCH(P386, Standings!$A$3:$A$34, 0))</f>
        <v/>
      </c>
      <c r="Y386" s="194">
        <f t="array" ref="Y386:Y386">IFERROR(AE386+(AL386-_DFactor)*AE386,"")</f>
        <v/>
      </c>
      <c r="Z386" s="157">
        <f>IFERROR(AF386+(AI386-_DFactor)*AF386,"")</f>
        <v/>
      </c>
      <c r="AC386" s="194">
        <f>VLOOKUP(M386&amp;N386,Schedule!A:F,6,0)</f>
        <v/>
      </c>
      <c r="AD386" s="194">
        <f>VLOOKUP(M386&amp;P386,Schedule!A:F,6,0)</f>
        <v/>
      </c>
      <c r="AE386" s="156">
        <f>VLOOKUP(N386,ProjPVT!B:I,8,0)*_Mag/VLOOKUP(P386,Standings!A:O,15,0)*H386*K386</f>
        <v/>
      </c>
      <c r="AF386" s="156">
        <f>VLOOKUP(P386,ProjPVT!B:I,8,0)*_Mag/VLOOKUP(N386,Standings!A:O,15,0)*J386*I386</f>
        <v/>
      </c>
      <c r="AG386" s="195">
        <f>VLOOKUP(N386,Matrix!AA:AC,3,0)</f>
        <v/>
      </c>
      <c r="AH386" s="195">
        <f>SUMIFS(Def!C:C,Def!F:F,AG386)</f>
        <v/>
      </c>
      <c r="AI386" s="156">
        <f>IFERROR(SUMIFS(Def!B:B,Def!F:F,AG386)/AH386,"")</f>
        <v/>
      </c>
      <c r="AJ386" s="195">
        <f>VLOOKUP(P386,Matrix!AA:AC,3,0)</f>
        <v/>
      </c>
      <c r="AK386" s="195">
        <f>SUMIFS(Def!C:C,Def!F:F,AJ386)</f>
        <v/>
      </c>
      <c r="AL386" s="156">
        <f>IFERROR(SUMIFS(Def!B:B,Def!F:F,AJ386)/AK386,"")</f>
        <v/>
      </c>
    </row>
    <row r="387" ht="14.4" customHeight="1" s="152">
      <c r="A387" s="157">
        <f>IF(F387="Yes",IFERROR(IF(AA387&gt;1,AA387/100,100/-AA387),""),-1)</f>
        <v/>
      </c>
      <c r="B387" s="157">
        <f>B386+1</f>
        <v/>
      </c>
      <c r="C387" s="157">
        <f>IF(Y387&gt;Z387,1,0)</f>
        <v/>
      </c>
      <c r="D387" s="157">
        <f>IF(AND(C387=1,F387="Yes"),"Yes",IF(AND(C387=0,F387="No"),"Yes","No"))</f>
        <v/>
      </c>
      <c r="E387" s="192">
        <f>IF((AC387+AB387)=AD387,"Push",IF((AC387+AB387)&gt;AD387,"Yes","No"))</f>
        <v/>
      </c>
      <c r="F387" s="192">
        <f>IF(AC387&gt;AD387,"Yes","No")</f>
        <v/>
      </c>
      <c r="G387" s="192">
        <f>IF((Y387+AB387)&gt;Z387,"Yes",IF((Y387+AB387)=Z387,"Push","No"))</f>
        <v/>
      </c>
      <c r="H387" s="157">
        <f>IF(O387="Home",VLOOKUP(N387,Matrix!A:S,19,0),1)</f>
        <v/>
      </c>
      <c r="I387" s="157">
        <f>IF(O387="Away",VLOOKUP(N387,Matrix!A:Z,20,0),1)</f>
        <v/>
      </c>
      <c r="J387" s="157">
        <f>IF(O387="Away",VLOOKUP(P387,Matrix!A:S,19,0),1)</f>
        <v/>
      </c>
      <c r="K387" s="157">
        <f>IF(O387="Home",VLOOKUP(P387,Matrix!A:Z,20,0),1)</f>
        <v/>
      </c>
      <c r="L387" s="156" t="n">
        <v>0.296285624349372</v>
      </c>
      <c r="M387" s="179">
        <f>Schedule!B387</f>
        <v/>
      </c>
      <c r="N387" s="156">
        <f>Schedule!E387</f>
        <v/>
      </c>
      <c r="O387" s="156" t="inlineStr">
        <is>
          <t>Home</t>
        </is>
      </c>
      <c r="P387" s="157">
        <f>Schedule!H387</f>
        <v/>
      </c>
      <c r="Q387" s="157">
        <f>Schedule!C387</f>
        <v/>
      </c>
      <c r="R387" s="180">
        <f>Schedule!D387</f>
        <v/>
      </c>
      <c r="S387" s="181">
        <f>Schedule!J387</f>
        <v/>
      </c>
      <c r="T387" s="193">
        <f>Y387-Z387</f>
        <v/>
      </c>
      <c r="U387" s="182">
        <f>T387/Picks!$K$2</f>
        <v/>
      </c>
      <c r="V387" s="193">
        <f>INDEX(Standings!$T$3:$T$34, MATCH(N387, Standings!$A$3:$A$34, 0)) - INDEX(Standings!$T$3:$T$34, MATCH(P387, Standings!$A$3:$A$34, 0))</f>
        <v/>
      </c>
      <c r="W387" s="157">
        <f>INDEX(Standings!$L$3:$L$34, MATCH(N387, Standings!$A$3:$A$34, 0)) - INDEX(Standings!$L$3:$L$34, MATCH(P387, Standings!$A$3:$A$34, 0))</f>
        <v/>
      </c>
      <c r="X387" s="157">
        <f>INDEX(Standings!$M$3:$M$34, MATCH(N387, Standings!$A$3:$A$34, 0)) - INDEX(Standings!$M$3:$M$34, MATCH(P387, Standings!$A$3:$A$34, 0))</f>
        <v/>
      </c>
      <c r="Y387" s="194">
        <f t="array" ref="Y387:Y387">IFERROR(AE387+(AL387-_DFactor)*AE387,"")</f>
        <v/>
      </c>
      <c r="Z387" s="157">
        <f>IFERROR(AF387+(AI387-_DFactor)*AF387,"")</f>
        <v/>
      </c>
      <c r="AC387" s="194">
        <f>VLOOKUP(M387&amp;N387,Schedule!A:F,6,0)</f>
        <v/>
      </c>
      <c r="AD387" s="194">
        <f>VLOOKUP(M387&amp;P387,Schedule!A:F,6,0)</f>
        <v/>
      </c>
      <c r="AE387" s="156">
        <f>VLOOKUP(N387,ProjPVT!B:I,8,0)*_Mag/VLOOKUP(P387,Standings!A:O,15,0)*H387*K387</f>
        <v/>
      </c>
      <c r="AF387" s="156">
        <f>VLOOKUP(P387,ProjPVT!B:I,8,0)*_Mag/VLOOKUP(N387,Standings!A:O,15,0)*J387*I387</f>
        <v/>
      </c>
      <c r="AG387" s="195">
        <f>VLOOKUP(N387,Matrix!AA:AC,3,0)</f>
        <v/>
      </c>
      <c r="AH387" s="195">
        <f>SUMIFS(Def!C:C,Def!F:F,AG387)</f>
        <v/>
      </c>
      <c r="AI387" s="156">
        <f>IFERROR(SUMIFS(Def!B:B,Def!F:F,AG387)/AH387,"")</f>
        <v/>
      </c>
      <c r="AJ387" s="195">
        <f>VLOOKUP(P387,Matrix!AA:AC,3,0)</f>
        <v/>
      </c>
      <c r="AK387" s="195">
        <f>SUMIFS(Def!C:C,Def!F:F,AJ387)</f>
        <v/>
      </c>
      <c r="AL387" s="156">
        <f>IFERROR(SUMIFS(Def!B:B,Def!F:F,AJ387)/AK387,"")</f>
        <v/>
      </c>
    </row>
    <row r="388" ht="14.4" customHeight="1" s="152">
      <c r="A388" s="157">
        <f>IF(F388="Yes",IFERROR(IF(AA388&gt;1,AA388/100,100/-AA388),""),-1)</f>
        <v/>
      </c>
      <c r="B388" s="157">
        <f>B387+1</f>
        <v/>
      </c>
      <c r="C388" s="157">
        <f>IF(Y388&gt;Z388,1,0)</f>
        <v/>
      </c>
      <c r="D388" s="157">
        <f>IF(AND(C388=1,F388="Yes"),"Yes",IF(AND(C388=0,F388="No"),"Yes","No"))</f>
        <v/>
      </c>
      <c r="E388" s="192">
        <f>IF((AC388+AB388)=AD388,"Push",IF((AC388+AB388)&gt;AD388,"Yes","No"))</f>
        <v/>
      </c>
      <c r="F388" s="192">
        <f>IF(AC388&gt;AD388,"Yes","No")</f>
        <v/>
      </c>
      <c r="G388" s="192">
        <f>IF((Y388+AB388)&gt;Z388,"Yes",IF((Y388+AB388)=Z388,"Push","No"))</f>
        <v/>
      </c>
      <c r="H388" s="157">
        <f>IF(O388="Home",VLOOKUP(N388,Matrix!A:S,19,0),1)</f>
        <v/>
      </c>
      <c r="I388" s="157">
        <f>IF(O388="Away",VLOOKUP(N388,Matrix!A:Z,20,0),1)</f>
        <v/>
      </c>
      <c r="J388" s="157">
        <f>IF(O388="Away",VLOOKUP(P388,Matrix!A:S,19,0),1)</f>
        <v/>
      </c>
      <c r="K388" s="157">
        <f>IF(O388="Home",VLOOKUP(P388,Matrix!A:Z,20,0),1)</f>
        <v/>
      </c>
      <c r="L388" s="156" t="n">
        <v>0.394127070948122</v>
      </c>
      <c r="M388" s="179">
        <f>Schedule!B388</f>
        <v/>
      </c>
      <c r="N388" s="156">
        <f>Schedule!E388</f>
        <v/>
      </c>
      <c r="O388" s="156" t="inlineStr">
        <is>
          <t>Away</t>
        </is>
      </c>
      <c r="P388" s="157">
        <f>Schedule!H388</f>
        <v/>
      </c>
      <c r="Q388" s="157">
        <f>Schedule!C388</f>
        <v/>
      </c>
      <c r="R388" s="180">
        <f>Schedule!D388</f>
        <v/>
      </c>
      <c r="S388" s="181">
        <f>Schedule!J388</f>
        <v/>
      </c>
      <c r="T388" s="193">
        <f>Y388-Z388</f>
        <v/>
      </c>
      <c r="U388" s="182">
        <f>T388/Picks!$K$2</f>
        <v/>
      </c>
      <c r="V388" s="193">
        <f>INDEX(Standings!$T$3:$T$34, MATCH(N388, Standings!$A$3:$A$34, 0)) - INDEX(Standings!$T$3:$T$34, MATCH(P388, Standings!$A$3:$A$34, 0))</f>
        <v/>
      </c>
      <c r="W388" s="157">
        <f>INDEX(Standings!$L$3:$L$34, MATCH(N388, Standings!$A$3:$A$34, 0)) - INDEX(Standings!$L$3:$L$34, MATCH(P388, Standings!$A$3:$A$34, 0))</f>
        <v/>
      </c>
      <c r="X388" s="157">
        <f>INDEX(Standings!$M$3:$M$34, MATCH(N388, Standings!$A$3:$A$34, 0)) - INDEX(Standings!$M$3:$M$34, MATCH(P388, Standings!$A$3:$A$34, 0))</f>
        <v/>
      </c>
      <c r="Y388" s="194">
        <f t="array" ref="Y388:Y388">IFERROR(AE388+(AL388-_DFactor)*AE388,"")</f>
        <v/>
      </c>
      <c r="Z388" s="157">
        <f>IFERROR(AF388+(AI388-_DFactor)*AF388,"")</f>
        <v/>
      </c>
      <c r="AC388" s="194">
        <f>VLOOKUP(M388&amp;N388,Schedule!A:F,6,0)</f>
        <v/>
      </c>
      <c r="AD388" s="194">
        <f>VLOOKUP(M388&amp;P388,Schedule!A:F,6,0)</f>
        <v/>
      </c>
      <c r="AE388" s="156">
        <f>VLOOKUP(N388,ProjPVT!B:I,8,0)*_Mag/VLOOKUP(P388,Standings!A:O,15,0)*H388*K388</f>
        <v/>
      </c>
      <c r="AF388" s="156">
        <f>VLOOKUP(P388,ProjPVT!B:I,8,0)*_Mag/VLOOKUP(N388,Standings!A:O,15,0)*J388*I388</f>
        <v/>
      </c>
      <c r="AG388" s="195">
        <f>VLOOKUP(N388,Matrix!AA:AC,3,0)</f>
        <v/>
      </c>
      <c r="AH388" s="195">
        <f>SUMIFS(Def!C:C,Def!F:F,AG388)</f>
        <v/>
      </c>
      <c r="AI388" s="156">
        <f>IFERROR(SUMIFS(Def!B:B,Def!F:F,AG388)/AH388,"")</f>
        <v/>
      </c>
      <c r="AJ388" s="195">
        <f>VLOOKUP(P388,Matrix!AA:AC,3,0)</f>
        <v/>
      </c>
      <c r="AK388" s="195">
        <f>SUMIFS(Def!C:C,Def!F:F,AJ388)</f>
        <v/>
      </c>
      <c r="AL388" s="156">
        <f>IFERROR(SUMIFS(Def!B:B,Def!F:F,AJ388)/AK388,"")</f>
        <v/>
      </c>
    </row>
    <row r="389" ht="14.4" customHeight="1" s="152">
      <c r="A389" s="157">
        <f>IF(F389="Yes",IFERROR(IF(AA389&gt;1,AA389/100,100/-AA389),""),-1)</f>
        <v/>
      </c>
      <c r="B389" s="157">
        <f>B388+1</f>
        <v/>
      </c>
      <c r="C389" s="157">
        <f>IF(Y389&gt;Z389,1,0)</f>
        <v/>
      </c>
      <c r="D389" s="157">
        <f>IF(AND(C389=1,F389="Yes"),"Yes",IF(AND(C389=0,F389="No"),"Yes","No"))</f>
        <v/>
      </c>
      <c r="E389" s="192">
        <f>IF((AC389+AB389)=AD389,"Push",IF((AC389+AB389)&gt;AD389,"Yes","No"))</f>
        <v/>
      </c>
      <c r="F389" s="192">
        <f>IF(AC389&gt;AD389,"Yes","No")</f>
        <v/>
      </c>
      <c r="G389" s="192">
        <f>IF((Y389+AB389)&gt;Z389,"Yes",IF((Y389+AB389)=Z389,"Push","No"))</f>
        <v/>
      </c>
      <c r="H389" s="157">
        <f>IF(O389="Home",VLOOKUP(N389,Matrix!A:S,19,0),1)</f>
        <v/>
      </c>
      <c r="I389" s="157">
        <f>IF(O389="Away",VLOOKUP(N389,Matrix!A:Z,20,0),1)</f>
        <v/>
      </c>
      <c r="J389" s="157">
        <f>IF(O389="Away",VLOOKUP(P389,Matrix!A:S,19,0),1)</f>
        <v/>
      </c>
      <c r="K389" s="157">
        <f>IF(O389="Home",VLOOKUP(P389,Matrix!A:Z,20,0),1)</f>
        <v/>
      </c>
      <c r="L389" s="156" t="n">
        <v>0.44123224039438</v>
      </c>
      <c r="M389" s="179">
        <f>Schedule!B389</f>
        <v/>
      </c>
      <c r="N389" s="156">
        <f>Schedule!E389</f>
        <v/>
      </c>
      <c r="O389" s="156" t="inlineStr">
        <is>
          <t>Home</t>
        </is>
      </c>
      <c r="P389" s="157">
        <f>Schedule!H389</f>
        <v/>
      </c>
      <c r="Q389" s="157">
        <f>Schedule!C389</f>
        <v/>
      </c>
      <c r="R389" s="180">
        <f>Schedule!D389</f>
        <v/>
      </c>
      <c r="S389" s="181">
        <f>Schedule!J389</f>
        <v/>
      </c>
      <c r="T389" s="193">
        <f>Y389-Z389</f>
        <v/>
      </c>
      <c r="U389" s="182">
        <f>T389/Picks!$K$2</f>
        <v/>
      </c>
      <c r="V389" s="193">
        <f>INDEX(Standings!$T$3:$T$34, MATCH(N389, Standings!$A$3:$A$34, 0)) - INDEX(Standings!$T$3:$T$34, MATCH(P389, Standings!$A$3:$A$34, 0))</f>
        <v/>
      </c>
      <c r="W389" s="157">
        <f>INDEX(Standings!$L$3:$L$34, MATCH(N389, Standings!$A$3:$A$34, 0)) - INDEX(Standings!$L$3:$L$34, MATCH(P389, Standings!$A$3:$A$34, 0))</f>
        <v/>
      </c>
      <c r="X389" s="157">
        <f>INDEX(Standings!$M$3:$M$34, MATCH(N389, Standings!$A$3:$A$34, 0)) - INDEX(Standings!$M$3:$M$34, MATCH(P389, Standings!$A$3:$A$34, 0))</f>
        <v/>
      </c>
      <c r="Y389" s="194">
        <f t="array" ref="Y389:Y389">IFERROR(AE389+(AL389-_DFactor)*AE389,"")</f>
        <v/>
      </c>
      <c r="Z389" s="157">
        <f>IFERROR(AF389+(AI389-_DFactor)*AF389,"")</f>
        <v/>
      </c>
      <c r="AC389" s="194">
        <f>VLOOKUP(M389&amp;N389,Schedule!A:F,6,0)</f>
        <v/>
      </c>
      <c r="AD389" s="194">
        <f>VLOOKUP(M389&amp;P389,Schedule!A:F,6,0)</f>
        <v/>
      </c>
      <c r="AE389" s="156">
        <f>VLOOKUP(N389,ProjPVT!B:I,8,0)*_Mag/VLOOKUP(P389,Standings!A:O,15,0)*H389*K389</f>
        <v/>
      </c>
      <c r="AF389" s="156">
        <f>VLOOKUP(P389,ProjPVT!B:I,8,0)*_Mag/VLOOKUP(N389,Standings!A:O,15,0)*J389*I389</f>
        <v/>
      </c>
      <c r="AG389" s="195">
        <f>VLOOKUP(N389,Matrix!AA:AC,3,0)</f>
        <v/>
      </c>
      <c r="AH389" s="195">
        <f>SUMIFS(Def!C:C,Def!F:F,AG389)</f>
        <v/>
      </c>
      <c r="AI389" s="156">
        <f>IFERROR(SUMIFS(Def!B:B,Def!F:F,AG389)/AH389,"")</f>
        <v/>
      </c>
      <c r="AJ389" s="195">
        <f>VLOOKUP(P389,Matrix!AA:AC,3,0)</f>
        <v/>
      </c>
      <c r="AK389" s="195">
        <f>SUMIFS(Def!C:C,Def!F:F,AJ389)</f>
        <v/>
      </c>
      <c r="AL389" s="156">
        <f>IFERROR(SUMIFS(Def!B:B,Def!F:F,AJ389)/AK389,"")</f>
        <v/>
      </c>
    </row>
    <row r="390" ht="14.4" customHeight="1" s="152">
      <c r="A390" s="157">
        <f>IF(F390="Yes",IFERROR(IF(AA390&gt;1,AA390/100,100/-AA390),""),-1)</f>
        <v/>
      </c>
      <c r="B390" s="157">
        <f>B389+1</f>
        <v/>
      </c>
      <c r="C390" s="157">
        <f>IF(Y390&gt;Z390,1,0)</f>
        <v/>
      </c>
      <c r="D390" s="157">
        <f>IF(AND(C390=1,F390="Yes"),"Yes",IF(AND(C390=0,F390="No"),"Yes","No"))</f>
        <v/>
      </c>
      <c r="E390" s="192">
        <f>IF((AC390+AB390)=AD390,"Push",IF((AC390+AB390)&gt;AD390,"Yes","No"))</f>
        <v/>
      </c>
      <c r="F390" s="192">
        <f>IF(AC390&gt;AD390,"Yes","No")</f>
        <v/>
      </c>
      <c r="G390" s="192">
        <f>IF((Y390+AB390)&gt;Z390,"Yes",IF((Y390+AB390)=Z390,"Push","No"))</f>
        <v/>
      </c>
      <c r="H390" s="157">
        <f>IF(O390="Home",VLOOKUP(N390,Matrix!A:S,19,0),1)</f>
        <v/>
      </c>
      <c r="I390" s="157">
        <f>IF(O390="Away",VLOOKUP(N390,Matrix!A:Z,20,0),1)</f>
        <v/>
      </c>
      <c r="J390" s="157">
        <f>IF(O390="Away",VLOOKUP(P390,Matrix!A:S,19,0),1)</f>
        <v/>
      </c>
      <c r="K390" s="157">
        <f>IF(O390="Home",VLOOKUP(P390,Matrix!A:Z,20,0),1)</f>
        <v/>
      </c>
      <c r="L390" s="156" t="n">
        <v>0.463561503349674</v>
      </c>
      <c r="M390" s="179">
        <f>Schedule!B390</f>
        <v/>
      </c>
      <c r="N390" s="156">
        <f>Schedule!E390</f>
        <v/>
      </c>
      <c r="O390" s="156" t="inlineStr">
        <is>
          <t>Away</t>
        </is>
      </c>
      <c r="P390" s="157">
        <f>Schedule!H390</f>
        <v/>
      </c>
      <c r="Q390" s="157">
        <f>Schedule!C390</f>
        <v/>
      </c>
      <c r="R390" s="180">
        <f>Schedule!D390</f>
        <v/>
      </c>
      <c r="S390" s="181">
        <f>Schedule!J390</f>
        <v/>
      </c>
      <c r="T390" s="193">
        <f>Y390-Z390</f>
        <v/>
      </c>
      <c r="U390" s="182">
        <f>T390/Picks!$K$2</f>
        <v/>
      </c>
      <c r="V390" s="193">
        <f>INDEX(Standings!$T$3:$T$34, MATCH(N390, Standings!$A$3:$A$34, 0)) - INDEX(Standings!$T$3:$T$34, MATCH(P390, Standings!$A$3:$A$34, 0))</f>
        <v/>
      </c>
      <c r="W390" s="157">
        <f>INDEX(Standings!$L$3:$L$34, MATCH(N390, Standings!$A$3:$A$34, 0)) - INDEX(Standings!$L$3:$L$34, MATCH(P390, Standings!$A$3:$A$34, 0))</f>
        <v/>
      </c>
      <c r="X390" s="157">
        <f>INDEX(Standings!$M$3:$M$34, MATCH(N390, Standings!$A$3:$A$34, 0)) - INDEX(Standings!$M$3:$M$34, MATCH(P390, Standings!$A$3:$A$34, 0))</f>
        <v/>
      </c>
      <c r="Y390" s="194">
        <f t="array" ref="Y390:Y390">IFERROR(AE390+(AL390-_DFactor)*AE390,"")</f>
        <v/>
      </c>
      <c r="Z390" s="157">
        <f>IFERROR(AF390+(AI390-_DFactor)*AF390,"")</f>
        <v/>
      </c>
      <c r="AC390" s="194">
        <f>VLOOKUP(M390&amp;N390,Schedule!A:F,6,0)</f>
        <v/>
      </c>
      <c r="AD390" s="194">
        <f>VLOOKUP(M390&amp;P390,Schedule!A:F,6,0)</f>
        <v/>
      </c>
      <c r="AE390" s="156">
        <f>VLOOKUP(N390,ProjPVT!B:I,8,0)*_Mag/VLOOKUP(P390,Standings!A:O,15,0)*H390*K390</f>
        <v/>
      </c>
      <c r="AF390" s="156">
        <f>VLOOKUP(P390,ProjPVT!B:I,8,0)*_Mag/VLOOKUP(N390,Standings!A:O,15,0)*J390*I390</f>
        <v/>
      </c>
      <c r="AG390" s="195">
        <f>VLOOKUP(N390,Matrix!AA:AC,3,0)</f>
        <v/>
      </c>
      <c r="AH390" s="195">
        <f>SUMIFS(Def!C:C,Def!F:F,AG390)</f>
        <v/>
      </c>
      <c r="AI390" s="156">
        <f>IFERROR(SUMIFS(Def!B:B,Def!F:F,AG390)/AH390,"")</f>
        <v/>
      </c>
      <c r="AJ390" s="195">
        <f>VLOOKUP(P390,Matrix!AA:AC,3,0)</f>
        <v/>
      </c>
      <c r="AK390" s="195">
        <f>SUMIFS(Def!C:C,Def!F:F,AJ390)</f>
        <v/>
      </c>
      <c r="AL390" s="156">
        <f>IFERROR(SUMIFS(Def!B:B,Def!F:F,AJ390)/AK390,"")</f>
        <v/>
      </c>
    </row>
    <row r="391" ht="14.4" customHeight="1" s="152">
      <c r="A391" s="157">
        <f>IF(F391="Yes",IFERROR(IF(AA391&gt;1,AA391/100,100/-AA391),""),-1)</f>
        <v/>
      </c>
      <c r="B391" s="157">
        <f>B390+1</f>
        <v/>
      </c>
      <c r="C391" s="157">
        <f>IF(Y391&gt;Z391,1,0)</f>
        <v/>
      </c>
      <c r="D391" s="157">
        <f>IF(AND(C391=1,F391="Yes"),"Yes",IF(AND(C391=0,F391="No"),"Yes","No"))</f>
        <v/>
      </c>
      <c r="E391" s="192">
        <f>IF((AC391+AB391)=AD391,"Push",IF((AC391+AB391)&gt;AD391,"Yes","No"))</f>
        <v/>
      </c>
      <c r="F391" s="192">
        <f>IF(AC391&gt;AD391,"Yes","No")</f>
        <v/>
      </c>
      <c r="G391" s="192">
        <f>IF((Y391+AB391)&gt;Z391,"Yes",IF((Y391+AB391)=Z391,"Push","No"))</f>
        <v/>
      </c>
      <c r="H391" s="157">
        <f>IF(O391="Home",VLOOKUP(N391,Matrix!A:S,19,0),1)</f>
        <v/>
      </c>
      <c r="I391" s="157">
        <f>IF(O391="Away",VLOOKUP(N391,Matrix!A:Z,20,0),1)</f>
        <v/>
      </c>
      <c r="J391" s="157">
        <f>IF(O391="Away",VLOOKUP(P391,Matrix!A:S,19,0),1)</f>
        <v/>
      </c>
      <c r="K391" s="157">
        <f>IF(O391="Home",VLOOKUP(P391,Matrix!A:Z,20,0),1)</f>
        <v/>
      </c>
      <c r="L391" s="156" t="n">
        <v>0.853694618966664</v>
      </c>
      <c r="M391" s="179">
        <f>Schedule!B391</f>
        <v/>
      </c>
      <c r="N391" s="156">
        <f>Schedule!E391</f>
        <v/>
      </c>
      <c r="O391" s="156" t="inlineStr">
        <is>
          <t>Home</t>
        </is>
      </c>
      <c r="P391" s="157">
        <f>Schedule!H391</f>
        <v/>
      </c>
      <c r="Q391" s="157">
        <f>Schedule!C391</f>
        <v/>
      </c>
      <c r="R391" s="180">
        <f>Schedule!D391</f>
        <v/>
      </c>
      <c r="S391" s="181">
        <f>Schedule!J391</f>
        <v/>
      </c>
      <c r="T391" s="193">
        <f>Y391-Z391</f>
        <v/>
      </c>
      <c r="U391" s="182">
        <f>T391/Picks!$K$2</f>
        <v/>
      </c>
      <c r="V391" s="193">
        <f>INDEX(Standings!$T$3:$T$34, MATCH(N391, Standings!$A$3:$A$34, 0)) - INDEX(Standings!$T$3:$T$34, MATCH(P391, Standings!$A$3:$A$34, 0))</f>
        <v/>
      </c>
      <c r="W391" s="157">
        <f>INDEX(Standings!$L$3:$L$34, MATCH(N391, Standings!$A$3:$A$34, 0)) - INDEX(Standings!$L$3:$L$34, MATCH(P391, Standings!$A$3:$A$34, 0))</f>
        <v/>
      </c>
      <c r="X391" s="157">
        <f>INDEX(Standings!$M$3:$M$34, MATCH(N391, Standings!$A$3:$A$34, 0)) - INDEX(Standings!$M$3:$M$34, MATCH(P391, Standings!$A$3:$A$34, 0))</f>
        <v/>
      </c>
      <c r="Y391" s="194">
        <f t="array" ref="Y391:Y391">IFERROR(AE391+(AL391-_DFactor)*AE391,"")</f>
        <v/>
      </c>
      <c r="Z391" s="157">
        <f>IFERROR(AF391+(AI391-_DFactor)*AF391,"")</f>
        <v/>
      </c>
      <c r="AC391" s="194">
        <f>VLOOKUP(M391&amp;N391,Schedule!A:F,6,0)</f>
        <v/>
      </c>
      <c r="AD391" s="194">
        <f>VLOOKUP(M391&amp;P391,Schedule!A:F,6,0)</f>
        <v/>
      </c>
      <c r="AE391" s="156">
        <f>VLOOKUP(N391,ProjPVT!B:I,8,0)*_Mag/VLOOKUP(P391,Standings!A:O,15,0)*H391*K391</f>
        <v/>
      </c>
      <c r="AF391" s="156">
        <f>VLOOKUP(P391,ProjPVT!B:I,8,0)*_Mag/VLOOKUP(N391,Standings!A:O,15,0)*J391*I391</f>
        <v/>
      </c>
      <c r="AG391" s="195">
        <f>VLOOKUP(N391,Matrix!AA:AC,3,0)</f>
        <v/>
      </c>
      <c r="AH391" s="195">
        <f>SUMIFS(Def!C:C,Def!F:F,AG391)</f>
        <v/>
      </c>
      <c r="AI391" s="156">
        <f>IFERROR(SUMIFS(Def!B:B,Def!F:F,AG391)/AH391,"")</f>
        <v/>
      </c>
      <c r="AJ391" s="195">
        <f>VLOOKUP(P391,Matrix!AA:AC,3,0)</f>
        <v/>
      </c>
      <c r="AK391" s="195">
        <f>SUMIFS(Def!C:C,Def!F:F,AJ391)</f>
        <v/>
      </c>
      <c r="AL391" s="156">
        <f>IFERROR(SUMIFS(Def!B:B,Def!F:F,AJ391)/AK391,"")</f>
        <v/>
      </c>
    </row>
    <row r="392" ht="14.4" customHeight="1" s="152">
      <c r="A392" s="157">
        <f>IF(F392="Yes",IFERROR(IF(AA392&gt;1,AA392/100,100/-AA392),""),-1)</f>
        <v/>
      </c>
      <c r="B392" s="157">
        <f>B391+1</f>
        <v/>
      </c>
      <c r="C392" s="157">
        <f>IF(Y392&gt;Z392,1,0)</f>
        <v/>
      </c>
      <c r="D392" s="157">
        <f>IF(AND(C392=1,F392="Yes"),"Yes",IF(AND(C392=0,F392="No"),"Yes","No"))</f>
        <v/>
      </c>
      <c r="E392" s="192">
        <f>IF((AC392+AB392)=AD392,"Push",IF((AC392+AB392)&gt;AD392,"Yes","No"))</f>
        <v/>
      </c>
      <c r="F392" s="192">
        <f>IF(AC392&gt;AD392,"Yes","No")</f>
        <v/>
      </c>
      <c r="G392" s="192">
        <f>IF((Y392+AB392)&gt;Z392,"Yes",IF((Y392+AB392)=Z392,"Push","No"))</f>
        <v/>
      </c>
      <c r="H392" s="157">
        <f>IF(O392="Home",VLOOKUP(N392,Matrix!A:S,19,0),1)</f>
        <v/>
      </c>
      <c r="I392" s="157">
        <f>IF(O392="Away",VLOOKUP(N392,Matrix!A:Z,20,0),1)</f>
        <v/>
      </c>
      <c r="J392" s="157">
        <f>IF(O392="Away",VLOOKUP(P392,Matrix!A:S,19,0),1)</f>
        <v/>
      </c>
      <c r="K392" s="157">
        <f>IF(O392="Home",VLOOKUP(P392,Matrix!A:Z,20,0),1)</f>
        <v/>
      </c>
      <c r="L392" s="156" t="n">
        <v>-0.713273785340522</v>
      </c>
      <c r="M392" s="179">
        <f>Schedule!B392</f>
        <v/>
      </c>
      <c r="N392" s="156">
        <f>Schedule!E392</f>
        <v/>
      </c>
      <c r="O392" s="156" t="inlineStr">
        <is>
          <t>Away</t>
        </is>
      </c>
      <c r="P392" s="157">
        <f>Schedule!H392</f>
        <v/>
      </c>
      <c r="Q392" s="157">
        <f>Schedule!C392</f>
        <v/>
      </c>
      <c r="R392" s="180">
        <f>Schedule!D392</f>
        <v/>
      </c>
      <c r="S392" s="181">
        <f>Schedule!J392</f>
        <v/>
      </c>
      <c r="T392" s="193">
        <f>Y392-Z392</f>
        <v/>
      </c>
      <c r="U392" s="182">
        <f>T392/Picks!$K$2</f>
        <v/>
      </c>
      <c r="V392" s="193">
        <f>INDEX(Standings!$T$3:$T$34, MATCH(N392, Standings!$A$3:$A$34, 0)) - INDEX(Standings!$T$3:$T$34, MATCH(P392, Standings!$A$3:$A$34, 0))</f>
        <v/>
      </c>
      <c r="W392" s="157">
        <f>INDEX(Standings!$L$3:$L$34, MATCH(N392, Standings!$A$3:$A$34, 0)) - INDEX(Standings!$L$3:$L$34, MATCH(P392, Standings!$A$3:$A$34, 0))</f>
        <v/>
      </c>
      <c r="X392" s="157">
        <f>INDEX(Standings!$M$3:$M$34, MATCH(N392, Standings!$A$3:$A$34, 0)) - INDEX(Standings!$M$3:$M$34, MATCH(P392, Standings!$A$3:$A$34, 0))</f>
        <v/>
      </c>
      <c r="Y392" s="194">
        <f t="array" ref="Y392:Y392">IFERROR(AE392+(AL392-_DFactor)*AE392,"")</f>
        <v/>
      </c>
      <c r="Z392" s="157">
        <f>IFERROR(AF392+(AI392-_DFactor)*AF392,"")</f>
        <v/>
      </c>
      <c r="AC392" s="194">
        <f>VLOOKUP(M392&amp;N392,Schedule!A:F,6,0)</f>
        <v/>
      </c>
      <c r="AD392" s="194">
        <f>VLOOKUP(M392&amp;P392,Schedule!A:F,6,0)</f>
        <v/>
      </c>
      <c r="AE392" s="156">
        <f>VLOOKUP(N392,ProjPVT!B:I,8,0)*_Mag/VLOOKUP(P392,Standings!A:O,15,0)*H392*K392</f>
        <v/>
      </c>
      <c r="AF392" s="156">
        <f>VLOOKUP(P392,ProjPVT!B:I,8,0)*_Mag/VLOOKUP(N392,Standings!A:O,15,0)*J392*I392</f>
        <v/>
      </c>
      <c r="AG392" s="195">
        <f>VLOOKUP(N392,Matrix!AA:AC,3,0)</f>
        <v/>
      </c>
      <c r="AH392" s="195">
        <f>SUMIFS(Def!C:C,Def!F:F,AG392)</f>
        <v/>
      </c>
      <c r="AI392" s="156">
        <f>IFERROR(SUMIFS(Def!B:B,Def!F:F,AG392)/AH392,"")</f>
        <v/>
      </c>
      <c r="AJ392" s="195">
        <f>VLOOKUP(P392,Matrix!AA:AC,3,0)</f>
        <v/>
      </c>
      <c r="AK392" s="195">
        <f>SUMIFS(Def!C:C,Def!F:F,AJ392)</f>
        <v/>
      </c>
      <c r="AL392" s="156">
        <f>IFERROR(SUMIFS(Def!B:B,Def!F:F,AJ392)/AK392,"")</f>
        <v/>
      </c>
    </row>
    <row r="393" ht="14.4" customHeight="1" s="152">
      <c r="A393" s="157">
        <f>IF(F393="Yes",IFERROR(IF(AA393&gt;1,AA393/100,100/-AA393),""),-1)</f>
        <v/>
      </c>
      <c r="B393" s="157">
        <f>B392+1</f>
        <v/>
      </c>
      <c r="C393" s="157">
        <f>IF(Y393&gt;Z393,1,0)</f>
        <v/>
      </c>
      <c r="D393" s="157">
        <f>IF(AND(C393=1,F393="Yes"),"Yes",IF(AND(C393=0,F393="No"),"Yes","No"))</f>
        <v/>
      </c>
      <c r="E393" s="192">
        <f>IF((AC393+AB393)=AD393,"Push",IF((AC393+AB393)&gt;AD393,"Yes","No"))</f>
        <v/>
      </c>
      <c r="F393" s="192">
        <f>IF(AC393&gt;AD393,"Yes","No")</f>
        <v/>
      </c>
      <c r="G393" s="192">
        <f>IF((Y393+AB393)&gt;Z393,"Yes",IF((Y393+AB393)=Z393,"Push","No"))</f>
        <v/>
      </c>
      <c r="H393" s="157">
        <f>IF(O393="Home",VLOOKUP(N393,Matrix!A:S,19,0),1)</f>
        <v/>
      </c>
      <c r="I393" s="157">
        <f>IF(O393="Away",VLOOKUP(N393,Matrix!A:Z,20,0),1)</f>
        <v/>
      </c>
      <c r="J393" s="157">
        <f>IF(O393="Away",VLOOKUP(P393,Matrix!A:S,19,0),1)</f>
        <v/>
      </c>
      <c r="K393" s="157">
        <f>IF(O393="Home",VLOOKUP(P393,Matrix!A:Z,20,0),1)</f>
        <v/>
      </c>
      <c r="L393" s="156" t="n">
        <v>-0.5951526043125021</v>
      </c>
      <c r="M393" s="179">
        <f>Schedule!B393</f>
        <v/>
      </c>
      <c r="N393" s="156">
        <f>Schedule!E393</f>
        <v/>
      </c>
      <c r="O393" s="156" t="inlineStr">
        <is>
          <t>Away</t>
        </is>
      </c>
      <c r="P393" s="157">
        <f>Schedule!H393</f>
        <v/>
      </c>
      <c r="Q393" s="157">
        <f>Schedule!C393</f>
        <v/>
      </c>
      <c r="R393" s="180">
        <f>Schedule!D393</f>
        <v/>
      </c>
      <c r="S393" s="181">
        <f>Schedule!J393</f>
        <v/>
      </c>
      <c r="T393" s="193">
        <f>Y393-Z393</f>
        <v/>
      </c>
      <c r="U393" s="182">
        <f>T393/Picks!$K$2</f>
        <v/>
      </c>
      <c r="V393" s="193">
        <f>INDEX(Standings!$T$3:$T$34, MATCH(N393, Standings!$A$3:$A$34, 0)) - INDEX(Standings!$T$3:$T$34, MATCH(P393, Standings!$A$3:$A$34, 0))</f>
        <v/>
      </c>
      <c r="W393" s="157">
        <f>INDEX(Standings!$L$3:$L$34, MATCH(N393, Standings!$A$3:$A$34, 0)) - INDEX(Standings!$L$3:$L$34, MATCH(P393, Standings!$A$3:$A$34, 0))</f>
        <v/>
      </c>
      <c r="X393" s="157">
        <f>INDEX(Standings!$M$3:$M$34, MATCH(N393, Standings!$A$3:$A$34, 0)) - INDEX(Standings!$M$3:$M$34, MATCH(P393, Standings!$A$3:$A$34, 0))</f>
        <v/>
      </c>
      <c r="Y393" s="194">
        <f t="array" ref="Y393:Y393">IFERROR(AE393+(AL393-_DFactor)*AE393,"")</f>
        <v/>
      </c>
      <c r="Z393" s="157">
        <f>IFERROR(AF393+(AI393-_DFactor)*AF393,"")</f>
        <v/>
      </c>
      <c r="AC393" s="194">
        <f>VLOOKUP(M393&amp;N393,Schedule!A:F,6,0)</f>
        <v/>
      </c>
      <c r="AD393" s="194">
        <f>VLOOKUP(M393&amp;P393,Schedule!A:F,6,0)</f>
        <v/>
      </c>
      <c r="AE393" s="156">
        <f>VLOOKUP(N393,ProjPVT!B:I,8,0)*_Mag/VLOOKUP(P393,Standings!A:O,15,0)*H393*K393</f>
        <v/>
      </c>
      <c r="AF393" s="156">
        <f>VLOOKUP(P393,ProjPVT!B:I,8,0)*_Mag/VLOOKUP(N393,Standings!A:O,15,0)*J393*I393</f>
        <v/>
      </c>
      <c r="AG393" s="195">
        <f>VLOOKUP(N393,Matrix!AA:AC,3,0)</f>
        <v/>
      </c>
      <c r="AH393" s="195">
        <f>SUMIFS(Def!C:C,Def!F:F,AG393)</f>
        <v/>
      </c>
      <c r="AI393" s="156">
        <f>IFERROR(SUMIFS(Def!B:B,Def!F:F,AG393)/AH393,"")</f>
        <v/>
      </c>
      <c r="AJ393" s="195">
        <f>VLOOKUP(P393,Matrix!AA:AC,3,0)</f>
        <v/>
      </c>
      <c r="AK393" s="195">
        <f>SUMIFS(Def!C:C,Def!F:F,AJ393)</f>
        <v/>
      </c>
      <c r="AL393" s="156">
        <f>IFERROR(SUMIFS(Def!B:B,Def!F:F,AJ393)/AK393,"")</f>
        <v/>
      </c>
    </row>
    <row r="394" ht="14.4" customHeight="1" s="152">
      <c r="A394" s="157">
        <f>IF(F394="Yes",IFERROR(IF(AA394&gt;1,AA394/100,100/-AA394),""),-1)</f>
        <v/>
      </c>
      <c r="B394" s="157">
        <f>B393+1</f>
        <v/>
      </c>
      <c r="C394" s="157">
        <f>IF(Y394&gt;Z394,1,0)</f>
        <v/>
      </c>
      <c r="D394" s="157">
        <f>IF(AND(C394=1,F394="Yes"),"Yes",IF(AND(C394=0,F394="No"),"Yes","No"))</f>
        <v/>
      </c>
      <c r="E394" s="192">
        <f>IF((AC394+AB394)=AD394,"Push",IF((AC394+AB394)&gt;AD394,"Yes","No"))</f>
        <v/>
      </c>
      <c r="F394" s="192">
        <f>IF(AC394&gt;AD394,"Yes","No")</f>
        <v/>
      </c>
      <c r="G394" s="192">
        <f>IF((Y394+AB394)&gt;Z394,"Yes",IF((Y394+AB394)=Z394,"Push","No"))</f>
        <v/>
      </c>
      <c r="H394" s="157">
        <f>IF(O394="Home",VLOOKUP(N394,Matrix!A:S,19,0),1)</f>
        <v/>
      </c>
      <c r="I394" s="157">
        <f>IF(O394="Away",VLOOKUP(N394,Matrix!A:Z,20,0),1)</f>
        <v/>
      </c>
      <c r="J394" s="157">
        <f>IF(O394="Away",VLOOKUP(P394,Matrix!A:S,19,0),1)</f>
        <v/>
      </c>
      <c r="K394" s="157">
        <f>IF(O394="Home",VLOOKUP(P394,Matrix!A:Z,20,0),1)</f>
        <v/>
      </c>
      <c r="L394" s="156" t="n">
        <v>-0.511277814816339</v>
      </c>
      <c r="M394" s="179">
        <f>Schedule!B394</f>
        <v/>
      </c>
      <c r="N394" s="156">
        <f>Schedule!E394</f>
        <v/>
      </c>
      <c r="O394" s="156" t="inlineStr">
        <is>
          <t>Away</t>
        </is>
      </c>
      <c r="P394" s="157">
        <f>Schedule!H394</f>
        <v/>
      </c>
      <c r="Q394" s="157">
        <f>Schedule!C394</f>
        <v/>
      </c>
      <c r="R394" s="180">
        <f>Schedule!D394</f>
        <v/>
      </c>
      <c r="S394" s="181">
        <f>Schedule!J394</f>
        <v/>
      </c>
      <c r="T394" s="193">
        <f>Y394-Z394</f>
        <v/>
      </c>
      <c r="U394" s="182">
        <f>T394/Picks!$K$2</f>
        <v/>
      </c>
      <c r="V394" s="193">
        <f>INDEX(Standings!$T$3:$T$34, MATCH(N394, Standings!$A$3:$A$34, 0)) - INDEX(Standings!$T$3:$T$34, MATCH(P394, Standings!$A$3:$A$34, 0))</f>
        <v/>
      </c>
      <c r="W394" s="157">
        <f>INDEX(Standings!$L$3:$L$34, MATCH(N394, Standings!$A$3:$A$34, 0)) - INDEX(Standings!$L$3:$L$34, MATCH(P394, Standings!$A$3:$A$34, 0))</f>
        <v/>
      </c>
      <c r="X394" s="157">
        <f>INDEX(Standings!$M$3:$M$34, MATCH(N394, Standings!$A$3:$A$34, 0)) - INDEX(Standings!$M$3:$M$34, MATCH(P394, Standings!$A$3:$A$34, 0))</f>
        <v/>
      </c>
      <c r="Y394" s="194">
        <f t="array" ref="Y394:Y394">IFERROR(AE394+(AL394-_DFactor)*AE394,"")</f>
        <v/>
      </c>
      <c r="Z394" s="157">
        <f>IFERROR(AF394+(AI394-_DFactor)*AF394,"")</f>
        <v/>
      </c>
      <c r="AC394" s="194">
        <f>VLOOKUP(M394&amp;N394,Schedule!A:F,6,0)</f>
        <v/>
      </c>
      <c r="AD394" s="194">
        <f>VLOOKUP(M394&amp;P394,Schedule!A:F,6,0)</f>
        <v/>
      </c>
      <c r="AE394" s="156">
        <f>VLOOKUP(N394,ProjPVT!B:I,8,0)*_Mag/VLOOKUP(P394,Standings!A:O,15,0)*H394*K394</f>
        <v/>
      </c>
      <c r="AF394" s="156">
        <f>VLOOKUP(P394,ProjPVT!B:I,8,0)*_Mag/VLOOKUP(N394,Standings!A:O,15,0)*J394*I394</f>
        <v/>
      </c>
      <c r="AG394" s="195">
        <f>VLOOKUP(N394,Matrix!AA:AC,3,0)</f>
        <v/>
      </c>
      <c r="AH394" s="195">
        <f>SUMIFS(Def!C:C,Def!F:F,AG394)</f>
        <v/>
      </c>
      <c r="AI394" s="156">
        <f>IFERROR(SUMIFS(Def!B:B,Def!F:F,AG394)/AH394,"")</f>
        <v/>
      </c>
      <c r="AJ394" s="195">
        <f>VLOOKUP(P394,Matrix!AA:AC,3,0)</f>
        <v/>
      </c>
      <c r="AK394" s="195">
        <f>SUMIFS(Def!C:C,Def!F:F,AJ394)</f>
        <v/>
      </c>
      <c r="AL394" s="156">
        <f>IFERROR(SUMIFS(Def!B:B,Def!F:F,AJ394)/AK394,"")</f>
        <v/>
      </c>
    </row>
    <row r="395" ht="14.4" customHeight="1" s="152">
      <c r="A395" s="157">
        <f>IF(F395="Yes",IFERROR(IF(AA395&gt;1,AA395/100,100/-AA395),""),-1)</f>
        <v/>
      </c>
      <c r="B395" s="157">
        <f>B394+1</f>
        <v/>
      </c>
      <c r="C395" s="157">
        <f>IF(Y395&gt;Z395,1,0)</f>
        <v/>
      </c>
      <c r="D395" s="157">
        <f>IF(AND(C395=1,F395="Yes"),"Yes",IF(AND(C395=0,F395="No"),"Yes","No"))</f>
        <v/>
      </c>
      <c r="E395" s="192">
        <f>IF((AC395+AB395)=AD395,"Push",IF((AC395+AB395)&gt;AD395,"Yes","No"))</f>
        <v/>
      </c>
      <c r="F395" s="192">
        <f>IF(AC395&gt;AD395,"Yes","No")</f>
        <v/>
      </c>
      <c r="G395" s="192">
        <f>IF((Y395+AB395)&gt;Z395,"Yes",IF((Y395+AB395)=Z395,"Push","No"))</f>
        <v/>
      </c>
      <c r="H395" s="157">
        <f>IF(O395="Home",VLOOKUP(N395,Matrix!A:S,19,0),1)</f>
        <v/>
      </c>
      <c r="I395" s="157">
        <f>IF(O395="Away",VLOOKUP(N395,Matrix!A:Z,20,0),1)</f>
        <v/>
      </c>
      <c r="J395" s="157">
        <f>IF(O395="Away",VLOOKUP(P395,Matrix!A:S,19,0),1)</f>
        <v/>
      </c>
      <c r="K395" s="157">
        <f>IF(O395="Home",VLOOKUP(P395,Matrix!A:Z,20,0),1)</f>
        <v/>
      </c>
      <c r="L395" s="156" t="n">
        <v>-0.499083393381923</v>
      </c>
      <c r="M395" s="179">
        <f>Schedule!B395</f>
        <v/>
      </c>
      <c r="N395" s="156">
        <f>Schedule!E395</f>
        <v/>
      </c>
      <c r="O395" s="156" t="inlineStr">
        <is>
          <t>Away</t>
        </is>
      </c>
      <c r="P395" s="157">
        <f>Schedule!H395</f>
        <v/>
      </c>
      <c r="Q395" s="157">
        <f>Schedule!C395</f>
        <v/>
      </c>
      <c r="R395" s="180">
        <f>Schedule!D395</f>
        <v/>
      </c>
      <c r="S395" s="181">
        <f>Schedule!J395</f>
        <v/>
      </c>
      <c r="T395" s="193">
        <f>Y395-Z395</f>
        <v/>
      </c>
      <c r="U395" s="182">
        <f>T395/Picks!$K$2</f>
        <v/>
      </c>
      <c r="V395" s="193">
        <f>INDEX(Standings!$T$3:$T$34, MATCH(N395, Standings!$A$3:$A$34, 0)) - INDEX(Standings!$T$3:$T$34, MATCH(P395, Standings!$A$3:$A$34, 0))</f>
        <v/>
      </c>
      <c r="W395" s="157">
        <f>INDEX(Standings!$L$3:$L$34, MATCH(N395, Standings!$A$3:$A$34, 0)) - INDEX(Standings!$L$3:$L$34, MATCH(P395, Standings!$A$3:$A$34, 0))</f>
        <v/>
      </c>
      <c r="X395" s="157">
        <f>INDEX(Standings!$M$3:$M$34, MATCH(N395, Standings!$A$3:$A$34, 0)) - INDEX(Standings!$M$3:$M$34, MATCH(P395, Standings!$A$3:$A$34, 0))</f>
        <v/>
      </c>
      <c r="Y395" s="194">
        <f t="array" ref="Y395:Y395">IFERROR(AE395+(AL395-_DFactor)*AE395,"")</f>
        <v/>
      </c>
      <c r="Z395" s="157">
        <f>IFERROR(AF395+(AI395-_DFactor)*AF395,"")</f>
        <v/>
      </c>
      <c r="AC395" s="194">
        <f>VLOOKUP(M395&amp;N395,Schedule!A:F,6,0)</f>
        <v/>
      </c>
      <c r="AD395" s="194">
        <f>VLOOKUP(M395&amp;P395,Schedule!A:F,6,0)</f>
        <v/>
      </c>
      <c r="AE395" s="156">
        <f>VLOOKUP(N395,ProjPVT!B:I,8,0)*_Mag/VLOOKUP(P395,Standings!A:O,15,0)*H395*K395</f>
        <v/>
      </c>
      <c r="AF395" s="156">
        <f>VLOOKUP(P395,ProjPVT!B:I,8,0)*_Mag/VLOOKUP(N395,Standings!A:O,15,0)*J395*I395</f>
        <v/>
      </c>
      <c r="AG395" s="195">
        <f>VLOOKUP(N395,Matrix!AA:AC,3,0)</f>
        <v/>
      </c>
      <c r="AH395" s="195">
        <f>SUMIFS(Def!C:C,Def!F:F,AG395)</f>
        <v/>
      </c>
      <c r="AI395" s="156">
        <f>IFERROR(SUMIFS(Def!B:B,Def!F:F,AG395)/AH395,"")</f>
        <v/>
      </c>
      <c r="AJ395" s="195">
        <f>VLOOKUP(P395,Matrix!AA:AC,3,0)</f>
        <v/>
      </c>
      <c r="AK395" s="195">
        <f>SUMIFS(Def!C:C,Def!F:F,AJ395)</f>
        <v/>
      </c>
      <c r="AL395" s="156">
        <f>IFERROR(SUMIFS(Def!B:B,Def!F:F,AJ395)/AK395,"")</f>
        <v/>
      </c>
    </row>
    <row r="396" ht="14.4" customHeight="1" s="152">
      <c r="A396" s="157">
        <f>IF(F396="Yes",IFERROR(IF(AA396&gt;1,AA396/100,100/-AA396),""),-1)</f>
        <v/>
      </c>
      <c r="B396" s="157">
        <f>B395+1</f>
        <v/>
      </c>
      <c r="C396" s="157">
        <f>IF(Y396&gt;Z396,1,0)</f>
        <v/>
      </c>
      <c r="D396" s="157">
        <f>IF(AND(C396=1,F396="Yes"),"Yes",IF(AND(C396=0,F396="No"),"Yes","No"))</f>
        <v/>
      </c>
      <c r="E396" s="192">
        <f>IF((AC396+AB396)=AD396,"Push",IF((AC396+AB396)&gt;AD396,"Yes","No"))</f>
        <v/>
      </c>
      <c r="F396" s="192">
        <f>IF(AC396&gt;AD396,"Yes","No")</f>
        <v/>
      </c>
      <c r="G396" s="192">
        <f>IF((Y396+AB396)&gt;Z396,"Yes",IF((Y396+AB396)=Z396,"Push","No"))</f>
        <v/>
      </c>
      <c r="H396" s="157">
        <f>IF(O396="Home",VLOOKUP(N396,Matrix!A:S,19,0),1)</f>
        <v/>
      </c>
      <c r="I396" s="157">
        <f>IF(O396="Away",VLOOKUP(N396,Matrix!A:Z,20,0),1)</f>
        <v/>
      </c>
      <c r="J396" s="157">
        <f>IF(O396="Away",VLOOKUP(P396,Matrix!A:S,19,0),1)</f>
        <v/>
      </c>
      <c r="K396" s="157">
        <f>IF(O396="Home",VLOOKUP(P396,Matrix!A:Z,20,0),1)</f>
        <v/>
      </c>
      <c r="L396" s="156" t="n">
        <v>-0.2593822150702</v>
      </c>
      <c r="M396" s="179">
        <f>Schedule!B396</f>
        <v/>
      </c>
      <c r="N396" s="156">
        <f>Schedule!E396</f>
        <v/>
      </c>
      <c r="O396" s="156" t="inlineStr">
        <is>
          <t>Away</t>
        </is>
      </c>
      <c r="P396" s="157">
        <f>Schedule!H396</f>
        <v/>
      </c>
      <c r="Q396" s="157">
        <f>Schedule!C396</f>
        <v/>
      </c>
      <c r="R396" s="180">
        <f>Schedule!D396</f>
        <v/>
      </c>
      <c r="S396" s="181">
        <f>Schedule!J396</f>
        <v/>
      </c>
      <c r="T396" s="193">
        <f>Y396-Z396</f>
        <v/>
      </c>
      <c r="U396" s="182">
        <f>T396/Picks!$K$2</f>
        <v/>
      </c>
      <c r="V396" s="193">
        <f>INDEX(Standings!$T$3:$T$34, MATCH(N396, Standings!$A$3:$A$34, 0)) - INDEX(Standings!$T$3:$T$34, MATCH(P396, Standings!$A$3:$A$34, 0))</f>
        <v/>
      </c>
      <c r="W396" s="157">
        <f>INDEX(Standings!$L$3:$L$34, MATCH(N396, Standings!$A$3:$A$34, 0)) - INDEX(Standings!$L$3:$L$34, MATCH(P396, Standings!$A$3:$A$34, 0))</f>
        <v/>
      </c>
      <c r="X396" s="157">
        <f>INDEX(Standings!$M$3:$M$34, MATCH(N396, Standings!$A$3:$A$34, 0)) - INDEX(Standings!$M$3:$M$34, MATCH(P396, Standings!$A$3:$A$34, 0))</f>
        <v/>
      </c>
      <c r="Y396" s="194">
        <f t="array" ref="Y396:Y396">IFERROR(AE396+(AL396-_DFactor)*AE396,"")</f>
        <v/>
      </c>
      <c r="Z396" s="157">
        <f>IFERROR(AF396+(AI396-_DFactor)*AF396,"")</f>
        <v/>
      </c>
      <c r="AC396" s="194">
        <f>VLOOKUP(M396&amp;N396,Schedule!A:F,6,0)</f>
        <v/>
      </c>
      <c r="AD396" s="194">
        <f>VLOOKUP(M396&amp;P396,Schedule!A:F,6,0)</f>
        <v/>
      </c>
      <c r="AE396" s="156">
        <f>VLOOKUP(N396,ProjPVT!B:I,8,0)*_Mag/VLOOKUP(P396,Standings!A:O,15,0)*H396*K396</f>
        <v/>
      </c>
      <c r="AF396" s="156">
        <f>VLOOKUP(P396,ProjPVT!B:I,8,0)*_Mag/VLOOKUP(N396,Standings!A:O,15,0)*J396*I396</f>
        <v/>
      </c>
      <c r="AG396" s="195">
        <f>VLOOKUP(N396,Matrix!AA:AC,3,0)</f>
        <v/>
      </c>
      <c r="AH396" s="195">
        <f>SUMIFS(Def!C:C,Def!F:F,AG396)</f>
        <v/>
      </c>
      <c r="AI396" s="156">
        <f>IFERROR(SUMIFS(Def!B:B,Def!F:F,AG396)/AH396,"")</f>
        <v/>
      </c>
      <c r="AJ396" s="195">
        <f>VLOOKUP(P396,Matrix!AA:AC,3,0)</f>
        <v/>
      </c>
      <c r="AK396" s="195">
        <f>SUMIFS(Def!C:C,Def!F:F,AJ396)</f>
        <v/>
      </c>
      <c r="AL396" s="156">
        <f>IFERROR(SUMIFS(Def!B:B,Def!F:F,AJ396)/AK396,"")</f>
        <v/>
      </c>
    </row>
    <row r="397" ht="14.4" customHeight="1" s="152">
      <c r="A397" s="157">
        <f>IF(F397="Yes",IFERROR(IF(AA397&gt;1,AA397/100,100/-AA397),""),-1)</f>
        <v/>
      </c>
      <c r="B397" s="157">
        <f>B396+1</f>
        <v/>
      </c>
      <c r="C397" s="157">
        <f>IF(Y397&gt;Z397,1,0)</f>
        <v/>
      </c>
      <c r="D397" s="157">
        <f>IF(AND(C397=1,F397="Yes"),"Yes",IF(AND(C397=0,F397="No"),"Yes","No"))</f>
        <v/>
      </c>
      <c r="E397" s="192">
        <f>IF((AC397+AB397)=AD397,"Push",IF((AC397+AB397)&gt;AD397,"Yes","No"))</f>
        <v/>
      </c>
      <c r="F397" s="192">
        <f>IF(AC397&gt;AD397,"Yes","No")</f>
        <v/>
      </c>
      <c r="G397" s="192">
        <f>IF((Y397+AB397)&gt;Z397,"Yes",IF((Y397+AB397)=Z397,"Push","No"))</f>
        <v/>
      </c>
      <c r="H397" s="157">
        <f>IF(O397="Home",VLOOKUP(N397,Matrix!A:S,19,0),1)</f>
        <v/>
      </c>
      <c r="I397" s="157">
        <f>IF(O397="Away",VLOOKUP(N397,Matrix!A:Z,20,0),1)</f>
        <v/>
      </c>
      <c r="J397" s="157">
        <f>IF(O397="Away",VLOOKUP(P397,Matrix!A:S,19,0),1)</f>
        <v/>
      </c>
      <c r="K397" s="157">
        <f>IF(O397="Home",VLOOKUP(P397,Matrix!A:Z,20,0),1)</f>
        <v/>
      </c>
      <c r="L397" s="156" t="n">
        <v>-0.22723901238245</v>
      </c>
      <c r="M397" s="179">
        <f>Schedule!B397</f>
        <v/>
      </c>
      <c r="N397" s="156">
        <f>Schedule!E397</f>
        <v/>
      </c>
      <c r="O397" s="156" t="inlineStr">
        <is>
          <t>Away</t>
        </is>
      </c>
      <c r="P397" s="157">
        <f>Schedule!H397</f>
        <v/>
      </c>
      <c r="Q397" s="157">
        <f>Schedule!C397</f>
        <v/>
      </c>
      <c r="R397" s="180">
        <f>Schedule!D397</f>
        <v/>
      </c>
      <c r="S397" s="181">
        <f>Schedule!J397</f>
        <v/>
      </c>
      <c r="T397" s="193">
        <f>Y397-Z397</f>
        <v/>
      </c>
      <c r="U397" s="182">
        <f>T397/Picks!$K$2</f>
        <v/>
      </c>
      <c r="V397" s="193">
        <f>INDEX(Standings!$T$3:$T$34, MATCH(N397, Standings!$A$3:$A$34, 0)) - INDEX(Standings!$T$3:$T$34, MATCH(P397, Standings!$A$3:$A$34, 0))</f>
        <v/>
      </c>
      <c r="W397" s="157">
        <f>INDEX(Standings!$L$3:$L$34, MATCH(N397, Standings!$A$3:$A$34, 0)) - INDEX(Standings!$L$3:$L$34, MATCH(P397, Standings!$A$3:$A$34, 0))</f>
        <v/>
      </c>
      <c r="X397" s="157">
        <f>INDEX(Standings!$M$3:$M$34, MATCH(N397, Standings!$A$3:$A$34, 0)) - INDEX(Standings!$M$3:$M$34, MATCH(P397, Standings!$A$3:$A$34, 0))</f>
        <v/>
      </c>
      <c r="Y397" s="194">
        <f t="array" ref="Y397:Y397">IFERROR(AE397+(AL397-_DFactor)*AE397,"")</f>
        <v/>
      </c>
      <c r="Z397" s="157">
        <f>IFERROR(AF397+(AI397-_DFactor)*AF397,"")</f>
        <v/>
      </c>
      <c r="AC397" s="194">
        <f>VLOOKUP(M397&amp;N397,Schedule!A:F,6,0)</f>
        <v/>
      </c>
      <c r="AD397" s="194">
        <f>VLOOKUP(M397&amp;P397,Schedule!A:F,6,0)</f>
        <v/>
      </c>
      <c r="AE397" s="156">
        <f>VLOOKUP(N397,ProjPVT!B:I,8,0)*_Mag/VLOOKUP(P397,Standings!A:O,15,0)*H397*K397</f>
        <v/>
      </c>
      <c r="AF397" s="156">
        <f>VLOOKUP(P397,ProjPVT!B:I,8,0)*_Mag/VLOOKUP(N397,Standings!A:O,15,0)*J397*I397</f>
        <v/>
      </c>
      <c r="AG397" s="195">
        <f>VLOOKUP(N397,Matrix!AA:AC,3,0)</f>
        <v/>
      </c>
      <c r="AH397" s="195">
        <f>SUMIFS(Def!C:C,Def!F:F,AG397)</f>
        <v/>
      </c>
      <c r="AI397" s="156">
        <f>IFERROR(SUMIFS(Def!B:B,Def!F:F,AG397)/AH397,"")</f>
        <v/>
      </c>
      <c r="AJ397" s="195">
        <f>VLOOKUP(P397,Matrix!AA:AC,3,0)</f>
        <v/>
      </c>
      <c r="AK397" s="195">
        <f>SUMIFS(Def!C:C,Def!F:F,AJ397)</f>
        <v/>
      </c>
      <c r="AL397" s="156">
        <f>IFERROR(SUMIFS(Def!B:B,Def!F:F,AJ397)/AK397,"")</f>
        <v/>
      </c>
    </row>
    <row r="398" ht="14.4" customHeight="1" s="152">
      <c r="A398" s="157">
        <f>IF(F398="Yes",IFERROR(IF(AA398&gt;1,AA398/100,100/-AA398),""),-1)</f>
        <v/>
      </c>
      <c r="B398" s="157">
        <f>B397+1</f>
        <v/>
      </c>
      <c r="C398" s="157">
        <f>IF(Y398&gt;Z398,1,0)</f>
        <v/>
      </c>
      <c r="D398" s="157">
        <f>IF(AND(C398=1,F398="Yes"),"Yes",IF(AND(C398=0,F398="No"),"Yes","No"))</f>
        <v/>
      </c>
      <c r="E398" s="192">
        <f>IF((AC398+AB398)=AD398,"Push",IF((AC398+AB398)&gt;AD398,"Yes","No"))</f>
        <v/>
      </c>
      <c r="F398" s="192">
        <f>IF(AC398&gt;AD398,"Yes","No")</f>
        <v/>
      </c>
      <c r="G398" s="192">
        <f>IF((Y398+AB398)&gt;Z398,"Yes",IF((Y398+AB398)=Z398,"Push","No"))</f>
        <v/>
      </c>
      <c r="H398" s="157">
        <f>IF(O398="Home",VLOOKUP(N398,Matrix!A:S,19,0),1)</f>
        <v/>
      </c>
      <c r="I398" s="157">
        <f>IF(O398="Away",VLOOKUP(N398,Matrix!A:Z,20,0),1)</f>
        <v/>
      </c>
      <c r="J398" s="157">
        <f>IF(O398="Away",VLOOKUP(P398,Matrix!A:S,19,0),1)</f>
        <v/>
      </c>
      <c r="K398" s="157">
        <f>IF(O398="Home",VLOOKUP(P398,Matrix!A:Z,20,0),1)</f>
        <v/>
      </c>
      <c r="L398" s="156" t="n">
        <v>-0.206634229079878</v>
      </c>
      <c r="M398" s="179">
        <f>Schedule!B398</f>
        <v/>
      </c>
      <c r="N398" s="156">
        <f>Schedule!E398</f>
        <v/>
      </c>
      <c r="O398" s="156" t="inlineStr">
        <is>
          <t>Away</t>
        </is>
      </c>
      <c r="P398" s="157">
        <f>Schedule!H398</f>
        <v/>
      </c>
      <c r="Q398" s="157">
        <f>Schedule!C398</f>
        <v/>
      </c>
      <c r="R398" s="180">
        <f>Schedule!D398</f>
        <v/>
      </c>
      <c r="S398" s="181">
        <f>Schedule!J398</f>
        <v/>
      </c>
      <c r="T398" s="193">
        <f>Y398-Z398</f>
        <v/>
      </c>
      <c r="U398" s="182">
        <f>T398/Picks!$K$2</f>
        <v/>
      </c>
      <c r="V398" s="193">
        <f>INDEX(Standings!$T$3:$T$34, MATCH(N398, Standings!$A$3:$A$34, 0)) - INDEX(Standings!$T$3:$T$34, MATCH(P398, Standings!$A$3:$A$34, 0))</f>
        <v/>
      </c>
      <c r="W398" s="157">
        <f>INDEX(Standings!$L$3:$L$34, MATCH(N398, Standings!$A$3:$A$34, 0)) - INDEX(Standings!$L$3:$L$34, MATCH(P398, Standings!$A$3:$A$34, 0))</f>
        <v/>
      </c>
      <c r="X398" s="157">
        <f>INDEX(Standings!$M$3:$M$34, MATCH(N398, Standings!$A$3:$A$34, 0)) - INDEX(Standings!$M$3:$M$34, MATCH(P398, Standings!$A$3:$A$34, 0))</f>
        <v/>
      </c>
      <c r="Y398" s="194">
        <f t="array" ref="Y398:Y398">IFERROR(AE398+(AL398-_DFactor)*AE398,"")</f>
        <v/>
      </c>
      <c r="Z398" s="157">
        <f>IFERROR(AF398+(AI398-_DFactor)*AF398,"")</f>
        <v/>
      </c>
      <c r="AC398" s="194">
        <f>VLOOKUP(M398&amp;N398,Schedule!A:F,6,0)</f>
        <v/>
      </c>
      <c r="AD398" s="194">
        <f>VLOOKUP(M398&amp;P398,Schedule!A:F,6,0)</f>
        <v/>
      </c>
      <c r="AE398" s="156">
        <f>VLOOKUP(N398,ProjPVT!B:I,8,0)*_Mag/VLOOKUP(P398,Standings!A:O,15,0)*H398*K398</f>
        <v/>
      </c>
      <c r="AF398" s="156">
        <f>VLOOKUP(P398,ProjPVT!B:I,8,0)*_Mag/VLOOKUP(N398,Standings!A:O,15,0)*J398*I398</f>
        <v/>
      </c>
      <c r="AG398" s="195">
        <f>VLOOKUP(N398,Matrix!AA:AC,3,0)</f>
        <v/>
      </c>
      <c r="AH398" s="195">
        <f>SUMIFS(Def!C:C,Def!F:F,AG398)</f>
        <v/>
      </c>
      <c r="AI398" s="156">
        <f>IFERROR(SUMIFS(Def!B:B,Def!F:F,AG398)/AH398,"")</f>
        <v/>
      </c>
      <c r="AJ398" s="195">
        <f>VLOOKUP(P398,Matrix!AA:AC,3,0)</f>
        <v/>
      </c>
      <c r="AK398" s="195">
        <f>SUMIFS(Def!C:C,Def!F:F,AJ398)</f>
        <v/>
      </c>
      <c r="AL398" s="156">
        <f>IFERROR(SUMIFS(Def!B:B,Def!F:F,AJ398)/AK398,"")</f>
        <v/>
      </c>
    </row>
    <row r="399" ht="14.4" customHeight="1" s="152">
      <c r="A399" s="157">
        <f>IF(F399="Yes",IFERROR(IF(AA399&gt;1,AA399/100,100/-AA399),""),-1)</f>
        <v/>
      </c>
      <c r="B399" s="157">
        <f>B398+1</f>
        <v/>
      </c>
      <c r="C399" s="157">
        <f>IF(Y399&gt;Z399,1,0)</f>
        <v/>
      </c>
      <c r="D399" s="157">
        <f>IF(AND(C399=1,F399="Yes"),"Yes",IF(AND(C399=0,F399="No"),"Yes","No"))</f>
        <v/>
      </c>
      <c r="E399" s="192">
        <f>IF((AC399+AB399)=AD399,"Push",IF((AC399+AB399)&gt;AD399,"Yes","No"))</f>
        <v/>
      </c>
      <c r="F399" s="192">
        <f>IF(AC399&gt;AD399,"Yes","No")</f>
        <v/>
      </c>
      <c r="G399" s="192">
        <f>IF((Y399+AB399)&gt;Z399,"Yes",IF((Y399+AB399)=Z399,"Push","No"))</f>
        <v/>
      </c>
      <c r="H399" s="157">
        <f>IF(O399="Home",VLOOKUP(N399,Matrix!A:S,19,0),1)</f>
        <v/>
      </c>
      <c r="I399" s="157">
        <f>IF(O399="Away",VLOOKUP(N399,Matrix!A:Z,20,0),1)</f>
        <v/>
      </c>
      <c r="J399" s="157">
        <f>IF(O399="Away",VLOOKUP(P399,Matrix!A:S,19,0),1)</f>
        <v/>
      </c>
      <c r="K399" s="157">
        <f>IF(O399="Home",VLOOKUP(P399,Matrix!A:Z,20,0),1)</f>
        <v/>
      </c>
      <c r="L399" s="156" t="n">
        <v>-0.2059713310615</v>
      </c>
      <c r="M399" s="179">
        <f>Schedule!B399</f>
        <v/>
      </c>
      <c r="N399" s="156">
        <f>Schedule!E399</f>
        <v/>
      </c>
      <c r="O399" s="156" t="inlineStr">
        <is>
          <t>Home</t>
        </is>
      </c>
      <c r="P399" s="157">
        <f>Schedule!H399</f>
        <v/>
      </c>
      <c r="Q399" s="157">
        <f>Schedule!C399</f>
        <v/>
      </c>
      <c r="R399" s="180">
        <f>Schedule!D399</f>
        <v/>
      </c>
      <c r="S399" s="181">
        <f>Schedule!J399</f>
        <v/>
      </c>
      <c r="T399" s="193">
        <f>Y399-Z399</f>
        <v/>
      </c>
      <c r="U399" s="182">
        <f>T399/Picks!$K$2</f>
        <v/>
      </c>
      <c r="V399" s="193">
        <f>INDEX(Standings!$T$3:$T$34, MATCH(N399, Standings!$A$3:$A$34, 0)) - INDEX(Standings!$T$3:$T$34, MATCH(P399, Standings!$A$3:$A$34, 0))</f>
        <v/>
      </c>
      <c r="W399" s="157">
        <f>INDEX(Standings!$L$3:$L$34, MATCH(N399, Standings!$A$3:$A$34, 0)) - INDEX(Standings!$L$3:$L$34, MATCH(P399, Standings!$A$3:$A$34, 0))</f>
        <v/>
      </c>
      <c r="X399" s="157">
        <f>INDEX(Standings!$M$3:$M$34, MATCH(N399, Standings!$A$3:$A$34, 0)) - INDEX(Standings!$M$3:$M$34, MATCH(P399, Standings!$A$3:$A$34, 0))</f>
        <v/>
      </c>
      <c r="Y399" s="194">
        <f t="array" ref="Y399:Y399">IFERROR(AE399+(AL399-_DFactor)*AE399,"")</f>
        <v/>
      </c>
      <c r="Z399" s="157">
        <f>IFERROR(AF399+(AI399-_DFactor)*AF399,"")</f>
        <v/>
      </c>
      <c r="AC399" s="194">
        <f>VLOOKUP(M399&amp;N399,Schedule!A:F,6,0)</f>
        <v/>
      </c>
      <c r="AD399" s="194">
        <f>VLOOKUP(M399&amp;P399,Schedule!A:F,6,0)</f>
        <v/>
      </c>
      <c r="AE399" s="156">
        <f>VLOOKUP(N399,ProjPVT!B:I,8,0)*_Mag/VLOOKUP(P399,Standings!A:O,15,0)*H399*K399</f>
        <v/>
      </c>
      <c r="AF399" s="156">
        <f>VLOOKUP(P399,ProjPVT!B:I,8,0)*_Mag/VLOOKUP(N399,Standings!A:O,15,0)*J399*I399</f>
        <v/>
      </c>
      <c r="AG399" s="195">
        <f>VLOOKUP(N399,Matrix!AA:AC,3,0)</f>
        <v/>
      </c>
      <c r="AH399" s="195">
        <f>SUMIFS(Def!C:C,Def!F:F,AG399)</f>
        <v/>
      </c>
      <c r="AI399" s="156">
        <f>IFERROR(SUMIFS(Def!B:B,Def!F:F,AG399)/AH399,"")</f>
        <v/>
      </c>
      <c r="AJ399" s="195">
        <f>VLOOKUP(P399,Matrix!AA:AC,3,0)</f>
        <v/>
      </c>
      <c r="AK399" s="195">
        <f>SUMIFS(Def!C:C,Def!F:F,AJ399)</f>
        <v/>
      </c>
      <c r="AL399" s="156">
        <f>IFERROR(SUMIFS(Def!B:B,Def!F:F,AJ399)/AK399,"")</f>
        <v/>
      </c>
    </row>
    <row r="400" ht="14.4" customHeight="1" s="152">
      <c r="A400" s="157">
        <f>IF(F400="Yes",IFERROR(IF(AA400&gt;1,AA400/100,100/-AA400),""),-1)</f>
        <v/>
      </c>
      <c r="B400" s="157">
        <f>B399+1</f>
        <v/>
      </c>
      <c r="C400" s="157">
        <f>IF(Y400&gt;Z400,1,0)</f>
        <v/>
      </c>
      <c r="D400" s="157">
        <f>IF(AND(C400=1,F400="Yes"),"Yes",IF(AND(C400=0,F400="No"),"Yes","No"))</f>
        <v/>
      </c>
      <c r="E400" s="192">
        <f>IF((AC400+AB400)=AD400,"Push",IF((AC400+AB400)&gt;AD400,"Yes","No"))</f>
        <v/>
      </c>
      <c r="F400" s="192">
        <f>IF(AC400&gt;AD400,"Yes","No")</f>
        <v/>
      </c>
      <c r="G400" s="192">
        <f>IF((Y400+AB400)&gt;Z400,"Yes",IF((Y400+AB400)=Z400,"Push","No"))</f>
        <v/>
      </c>
      <c r="H400" s="157">
        <f>IF(O400="Home",VLOOKUP(N400,Matrix!A:S,19,0),1)</f>
        <v/>
      </c>
      <c r="I400" s="157">
        <f>IF(O400="Away",VLOOKUP(N400,Matrix!A:Z,20,0),1)</f>
        <v/>
      </c>
      <c r="J400" s="157">
        <f>IF(O400="Away",VLOOKUP(P400,Matrix!A:S,19,0),1)</f>
        <v/>
      </c>
      <c r="K400" s="157">
        <f>IF(O400="Home",VLOOKUP(P400,Matrix!A:Z,20,0),1)</f>
        <v/>
      </c>
      <c r="L400" s="156" t="n">
        <v>-0.161316471968444</v>
      </c>
      <c r="M400" s="179">
        <f>Schedule!B400</f>
        <v/>
      </c>
      <c r="N400" s="156">
        <f>Schedule!E400</f>
        <v/>
      </c>
      <c r="O400" s="156" t="inlineStr">
        <is>
          <t>Home</t>
        </is>
      </c>
      <c r="P400" s="157">
        <f>Schedule!H400</f>
        <v/>
      </c>
      <c r="Q400" s="157">
        <f>Schedule!C400</f>
        <v/>
      </c>
      <c r="R400" s="180">
        <f>Schedule!D400</f>
        <v/>
      </c>
      <c r="S400" s="181">
        <f>Schedule!J400</f>
        <v/>
      </c>
      <c r="T400" s="193">
        <f>Y400-Z400</f>
        <v/>
      </c>
      <c r="U400" s="182">
        <f>T400/Picks!$K$2</f>
        <v/>
      </c>
      <c r="V400" s="193">
        <f>INDEX(Standings!$T$3:$T$34, MATCH(N400, Standings!$A$3:$A$34, 0)) - INDEX(Standings!$T$3:$T$34, MATCH(P400, Standings!$A$3:$A$34, 0))</f>
        <v/>
      </c>
      <c r="W400" s="157">
        <f>INDEX(Standings!$L$3:$L$34, MATCH(N400, Standings!$A$3:$A$34, 0)) - INDEX(Standings!$L$3:$L$34, MATCH(P400, Standings!$A$3:$A$34, 0))</f>
        <v/>
      </c>
      <c r="X400" s="157">
        <f>INDEX(Standings!$M$3:$M$34, MATCH(N400, Standings!$A$3:$A$34, 0)) - INDEX(Standings!$M$3:$M$34, MATCH(P400, Standings!$A$3:$A$34, 0))</f>
        <v/>
      </c>
      <c r="Y400" s="194">
        <f t="array" ref="Y400:Y400">IFERROR(AE400+(AL400-_DFactor)*AE400,"")</f>
        <v/>
      </c>
      <c r="Z400" s="157">
        <f>IFERROR(AF400+(AI400-_DFactor)*AF400,"")</f>
        <v/>
      </c>
      <c r="AC400" s="194">
        <f>VLOOKUP(M400&amp;N400,Schedule!A:F,6,0)</f>
        <v/>
      </c>
      <c r="AD400" s="194">
        <f>VLOOKUP(M400&amp;P400,Schedule!A:F,6,0)</f>
        <v/>
      </c>
      <c r="AE400" s="156">
        <f>VLOOKUP(N400,ProjPVT!B:I,8,0)*_Mag/VLOOKUP(P400,Standings!A:O,15,0)*H400*K400</f>
        <v/>
      </c>
      <c r="AF400" s="156">
        <f>VLOOKUP(P400,ProjPVT!B:I,8,0)*_Mag/VLOOKUP(N400,Standings!A:O,15,0)*J400*I400</f>
        <v/>
      </c>
      <c r="AG400" s="195">
        <f>VLOOKUP(N400,Matrix!AA:AC,3,0)</f>
        <v/>
      </c>
      <c r="AH400" s="195">
        <f>SUMIFS(Def!C:C,Def!F:F,AG400)</f>
        <v/>
      </c>
      <c r="AI400" s="156">
        <f>IFERROR(SUMIFS(Def!B:B,Def!F:F,AG400)/AH400,"")</f>
        <v/>
      </c>
      <c r="AJ400" s="195">
        <f>VLOOKUP(P400,Matrix!AA:AC,3,0)</f>
        <v/>
      </c>
      <c r="AK400" s="195">
        <f>SUMIFS(Def!C:C,Def!F:F,AJ400)</f>
        <v/>
      </c>
      <c r="AL400" s="156">
        <f>IFERROR(SUMIFS(Def!B:B,Def!F:F,AJ400)/AK400,"")</f>
        <v/>
      </c>
    </row>
    <row r="401" ht="14.4" customHeight="1" s="152">
      <c r="A401" s="157">
        <f>IF(F401="Yes",IFERROR(IF(AA401&gt;1,AA401/100,100/-AA401),""),-1)</f>
        <v/>
      </c>
      <c r="B401" s="157">
        <f>B400+1</f>
        <v/>
      </c>
      <c r="C401" s="157">
        <f>IF(Y401&gt;Z401,1,0)</f>
        <v/>
      </c>
      <c r="D401" s="157">
        <f>IF(AND(C401=1,F401="Yes"),"Yes",IF(AND(C401=0,F401="No"),"Yes","No"))</f>
        <v/>
      </c>
      <c r="E401" s="192">
        <f>IF((AC401+AB401)=AD401,"Push",IF((AC401+AB401)&gt;AD401,"Yes","No"))</f>
        <v/>
      </c>
      <c r="F401" s="192">
        <f>IF(AC401&gt;AD401,"Yes","No")</f>
        <v/>
      </c>
      <c r="G401" s="192">
        <f>IF((Y401+AB401)&gt;Z401,"Yes",IF((Y401+AB401)=Z401,"Push","No"))</f>
        <v/>
      </c>
      <c r="H401" s="157">
        <f>IF(O401="Home",VLOOKUP(N401,Matrix!A:S,19,0),1)</f>
        <v/>
      </c>
      <c r="I401" s="157">
        <f>IF(O401="Away",VLOOKUP(N401,Matrix!A:Z,20,0),1)</f>
        <v/>
      </c>
      <c r="J401" s="157">
        <f>IF(O401="Away",VLOOKUP(P401,Matrix!A:S,19,0),1)</f>
        <v/>
      </c>
      <c r="K401" s="157">
        <f>IF(O401="Home",VLOOKUP(P401,Matrix!A:Z,20,0),1)</f>
        <v/>
      </c>
      <c r="L401" s="156" t="n">
        <v>-0.151263277899291</v>
      </c>
      <c r="M401" s="179">
        <f>Schedule!B401</f>
        <v/>
      </c>
      <c r="N401" s="156">
        <f>Schedule!E401</f>
        <v/>
      </c>
      <c r="O401" s="156" t="inlineStr">
        <is>
          <t>Home</t>
        </is>
      </c>
      <c r="P401" s="157">
        <f>Schedule!H401</f>
        <v/>
      </c>
      <c r="Q401" s="157">
        <f>Schedule!C401</f>
        <v/>
      </c>
      <c r="R401" s="180">
        <f>Schedule!D401</f>
        <v/>
      </c>
      <c r="S401" s="181">
        <f>Schedule!J401</f>
        <v/>
      </c>
      <c r="T401" s="193">
        <f>Y401-Z401</f>
        <v/>
      </c>
      <c r="U401" s="182">
        <f>T401/Picks!$K$2</f>
        <v/>
      </c>
      <c r="V401" s="193">
        <f>INDEX(Standings!$T$3:$T$34, MATCH(N401, Standings!$A$3:$A$34, 0)) - INDEX(Standings!$T$3:$T$34, MATCH(P401, Standings!$A$3:$A$34, 0))</f>
        <v/>
      </c>
      <c r="W401" s="157">
        <f>INDEX(Standings!$L$3:$L$34, MATCH(N401, Standings!$A$3:$A$34, 0)) - INDEX(Standings!$L$3:$L$34, MATCH(P401, Standings!$A$3:$A$34, 0))</f>
        <v/>
      </c>
      <c r="X401" s="157">
        <f>INDEX(Standings!$M$3:$M$34, MATCH(N401, Standings!$A$3:$A$34, 0)) - INDEX(Standings!$M$3:$M$34, MATCH(P401, Standings!$A$3:$A$34, 0))</f>
        <v/>
      </c>
      <c r="Y401" s="194">
        <f t="array" ref="Y401:Y401">IFERROR(AE401+(AL401-_DFactor)*AE401,"")</f>
        <v/>
      </c>
      <c r="Z401" s="157">
        <f>IFERROR(AF401+(AI401-_DFactor)*AF401,"")</f>
        <v/>
      </c>
      <c r="AC401" s="194">
        <f>VLOOKUP(M401&amp;N401,Schedule!A:F,6,0)</f>
        <v/>
      </c>
      <c r="AD401" s="194">
        <f>VLOOKUP(M401&amp;P401,Schedule!A:F,6,0)</f>
        <v/>
      </c>
      <c r="AE401" s="156">
        <f>VLOOKUP(N401,ProjPVT!B:I,8,0)*_Mag/VLOOKUP(P401,Standings!A:O,15,0)*H401*K401</f>
        <v/>
      </c>
      <c r="AF401" s="156">
        <f>VLOOKUP(P401,ProjPVT!B:I,8,0)*_Mag/VLOOKUP(N401,Standings!A:O,15,0)*J401*I401</f>
        <v/>
      </c>
      <c r="AG401" s="195">
        <f>VLOOKUP(N401,Matrix!AA:AC,3,0)</f>
        <v/>
      </c>
      <c r="AH401" s="195">
        <f>SUMIFS(Def!C:C,Def!F:F,AG401)</f>
        <v/>
      </c>
      <c r="AI401" s="156">
        <f>IFERROR(SUMIFS(Def!B:B,Def!F:F,AG401)/AH401,"")</f>
        <v/>
      </c>
      <c r="AJ401" s="195">
        <f>VLOOKUP(P401,Matrix!AA:AC,3,0)</f>
        <v/>
      </c>
      <c r="AK401" s="195">
        <f>SUMIFS(Def!C:C,Def!F:F,AJ401)</f>
        <v/>
      </c>
      <c r="AL401" s="156">
        <f>IFERROR(SUMIFS(Def!B:B,Def!F:F,AJ401)/AK401,"")</f>
        <v/>
      </c>
    </row>
    <row r="402" ht="14.4" customHeight="1" s="152">
      <c r="A402" s="157">
        <f>IF(F402="Yes",IFERROR(IF(AA402&gt;1,AA402/100,100/-AA402),""),-1)</f>
        <v/>
      </c>
      <c r="B402" s="157">
        <f>B401+1</f>
        <v/>
      </c>
      <c r="C402" s="157">
        <f>IF(Y402&gt;Z402,1,0)</f>
        <v/>
      </c>
      <c r="D402" s="157">
        <f>IF(AND(C402=1,F402="Yes"),"Yes",IF(AND(C402=0,F402="No"),"Yes","No"))</f>
        <v/>
      </c>
      <c r="E402" s="192">
        <f>IF((AC402+AB402)=AD402,"Push",IF((AC402+AB402)&gt;AD402,"Yes","No"))</f>
        <v/>
      </c>
      <c r="F402" s="192">
        <f>IF(AC402&gt;AD402,"Yes","No")</f>
        <v/>
      </c>
      <c r="G402" s="192">
        <f>IF((Y402+AB402)&gt;Z402,"Yes",IF((Y402+AB402)=Z402,"Push","No"))</f>
        <v/>
      </c>
      <c r="H402" s="157">
        <f>IF(O402="Home",VLOOKUP(N402,Matrix!A:S,19,0),1)</f>
        <v/>
      </c>
      <c r="I402" s="157">
        <f>IF(O402="Away",VLOOKUP(N402,Matrix!A:Z,20,0),1)</f>
        <v/>
      </c>
      <c r="J402" s="157">
        <f>IF(O402="Away",VLOOKUP(P402,Matrix!A:S,19,0),1)</f>
        <v/>
      </c>
      <c r="K402" s="157">
        <f>IF(O402="Home",VLOOKUP(P402,Matrix!A:Z,20,0),1)</f>
        <v/>
      </c>
      <c r="L402" s="156" t="n">
        <v>-0.0582370470731182</v>
      </c>
      <c r="M402" s="179">
        <f>Schedule!B402</f>
        <v/>
      </c>
      <c r="N402" s="156">
        <f>Schedule!E402</f>
        <v/>
      </c>
      <c r="O402" s="156" t="inlineStr">
        <is>
          <t>Away</t>
        </is>
      </c>
      <c r="P402" s="157">
        <f>Schedule!H402</f>
        <v/>
      </c>
      <c r="Q402" s="157">
        <f>Schedule!C402</f>
        <v/>
      </c>
      <c r="R402" s="180">
        <f>Schedule!D402</f>
        <v/>
      </c>
      <c r="S402" s="181">
        <f>Schedule!J402</f>
        <v/>
      </c>
      <c r="T402" s="193">
        <f>Y402-Z402</f>
        <v/>
      </c>
      <c r="U402" s="182">
        <f>T402/Picks!$K$2</f>
        <v/>
      </c>
      <c r="V402" s="193">
        <f>INDEX(Standings!$T$3:$T$34, MATCH(N402, Standings!$A$3:$A$34, 0)) - INDEX(Standings!$T$3:$T$34, MATCH(P402, Standings!$A$3:$A$34, 0))</f>
        <v/>
      </c>
      <c r="W402" s="157">
        <f>INDEX(Standings!$L$3:$L$34, MATCH(N402, Standings!$A$3:$A$34, 0)) - INDEX(Standings!$L$3:$L$34, MATCH(P402, Standings!$A$3:$A$34, 0))</f>
        <v/>
      </c>
      <c r="X402" s="157">
        <f>INDEX(Standings!$M$3:$M$34, MATCH(N402, Standings!$A$3:$A$34, 0)) - INDEX(Standings!$M$3:$M$34, MATCH(P402, Standings!$A$3:$A$34, 0))</f>
        <v/>
      </c>
      <c r="Y402" s="194">
        <f t="array" ref="Y402:Y402">IFERROR(AE402+(AL402-_DFactor)*AE402,"")</f>
        <v/>
      </c>
      <c r="Z402" s="157">
        <f>IFERROR(AF402+(AI402-_DFactor)*AF402,"")</f>
        <v/>
      </c>
      <c r="AC402" s="194">
        <f>VLOOKUP(M402&amp;N402,Schedule!A:F,6,0)</f>
        <v/>
      </c>
      <c r="AD402" s="194">
        <f>VLOOKUP(M402&amp;P402,Schedule!A:F,6,0)</f>
        <v/>
      </c>
      <c r="AE402" s="156">
        <f>VLOOKUP(N402,ProjPVT!B:I,8,0)*_Mag/VLOOKUP(P402,Standings!A:O,15,0)*H402*K402</f>
        <v/>
      </c>
      <c r="AF402" s="156">
        <f>VLOOKUP(P402,ProjPVT!B:I,8,0)*_Mag/VLOOKUP(N402,Standings!A:O,15,0)*J402*I402</f>
        <v/>
      </c>
      <c r="AG402" s="195">
        <f>VLOOKUP(N402,Matrix!AA:AC,3,0)</f>
        <v/>
      </c>
      <c r="AH402" s="195">
        <f>SUMIFS(Def!C:C,Def!F:F,AG402)</f>
        <v/>
      </c>
      <c r="AI402" s="156">
        <f>IFERROR(SUMIFS(Def!B:B,Def!F:F,AG402)/AH402,"")</f>
        <v/>
      </c>
      <c r="AJ402" s="195">
        <f>VLOOKUP(P402,Matrix!AA:AC,3,0)</f>
        <v/>
      </c>
      <c r="AK402" s="195">
        <f>SUMIFS(Def!C:C,Def!F:F,AJ402)</f>
        <v/>
      </c>
      <c r="AL402" s="156">
        <f>IFERROR(SUMIFS(Def!B:B,Def!F:F,AJ402)/AK402,"")</f>
        <v/>
      </c>
    </row>
    <row r="403" ht="14.4" customHeight="1" s="152">
      <c r="A403" s="157">
        <f>IF(F403="Yes",IFERROR(IF(AA403&gt;1,AA403/100,100/-AA403),""),-1)</f>
        <v/>
      </c>
      <c r="B403" s="157">
        <f>B402+1</f>
        <v/>
      </c>
      <c r="C403" s="157">
        <f>IF(Y403&gt;Z403,1,0)</f>
        <v/>
      </c>
      <c r="D403" s="157">
        <f>IF(AND(C403=1,F403="Yes"),"Yes",IF(AND(C403=0,F403="No"),"Yes","No"))</f>
        <v/>
      </c>
      <c r="E403" s="192">
        <f>IF((AC403+AB403)=AD403,"Push",IF((AC403+AB403)&gt;AD403,"Yes","No"))</f>
        <v/>
      </c>
      <c r="F403" s="192">
        <f>IF(AC403&gt;AD403,"Yes","No")</f>
        <v/>
      </c>
      <c r="G403" s="192">
        <f>IF((Y403+AB403)&gt;Z403,"Yes",IF((Y403+AB403)=Z403,"Push","No"))</f>
        <v/>
      </c>
      <c r="H403" s="157">
        <f>IF(O403="Home",VLOOKUP(N403,Matrix!A:S,19,0),1)</f>
        <v/>
      </c>
      <c r="I403" s="157">
        <f>IF(O403="Away",VLOOKUP(N403,Matrix!A:Z,20,0),1)</f>
        <v/>
      </c>
      <c r="J403" s="157">
        <f>IF(O403="Away",VLOOKUP(P403,Matrix!A:S,19,0),1)</f>
        <v/>
      </c>
      <c r="K403" s="157">
        <f>IF(O403="Home",VLOOKUP(P403,Matrix!A:Z,20,0),1)</f>
        <v/>
      </c>
      <c r="L403" s="156" t="n">
        <v>-0.0136850134376546</v>
      </c>
      <c r="M403" s="179">
        <f>Schedule!B403</f>
        <v/>
      </c>
      <c r="N403" s="156">
        <f>Schedule!E403</f>
        <v/>
      </c>
      <c r="O403" s="156" t="inlineStr">
        <is>
          <t>Away</t>
        </is>
      </c>
      <c r="P403" s="157">
        <f>Schedule!H403</f>
        <v/>
      </c>
      <c r="Q403" s="157">
        <f>Schedule!C403</f>
        <v/>
      </c>
      <c r="R403" s="180">
        <f>Schedule!D403</f>
        <v/>
      </c>
      <c r="S403" s="181">
        <f>Schedule!J403</f>
        <v/>
      </c>
      <c r="T403" s="193">
        <f>Y403-Z403</f>
        <v/>
      </c>
      <c r="U403" s="182">
        <f>T403/Picks!$K$2</f>
        <v/>
      </c>
      <c r="V403" s="193">
        <f>INDEX(Standings!$T$3:$T$34, MATCH(N403, Standings!$A$3:$A$34, 0)) - INDEX(Standings!$T$3:$T$34, MATCH(P403, Standings!$A$3:$A$34, 0))</f>
        <v/>
      </c>
      <c r="W403" s="157">
        <f>INDEX(Standings!$L$3:$L$34, MATCH(N403, Standings!$A$3:$A$34, 0)) - INDEX(Standings!$L$3:$L$34, MATCH(P403, Standings!$A$3:$A$34, 0))</f>
        <v/>
      </c>
      <c r="X403" s="157">
        <f>INDEX(Standings!$M$3:$M$34, MATCH(N403, Standings!$A$3:$A$34, 0)) - INDEX(Standings!$M$3:$M$34, MATCH(P403, Standings!$A$3:$A$34, 0))</f>
        <v/>
      </c>
      <c r="Y403" s="194">
        <f t="array" ref="Y403:Y403">IFERROR(AE403+(AL403-_DFactor)*AE403,"")</f>
        <v/>
      </c>
      <c r="Z403" s="157">
        <f>IFERROR(AF403+(AI403-_DFactor)*AF403,"")</f>
        <v/>
      </c>
      <c r="AC403" s="194">
        <f>VLOOKUP(M403&amp;N403,Schedule!A:F,6,0)</f>
        <v/>
      </c>
      <c r="AD403" s="194">
        <f>VLOOKUP(M403&amp;P403,Schedule!A:F,6,0)</f>
        <v/>
      </c>
      <c r="AE403" s="156">
        <f>VLOOKUP(N403,ProjPVT!B:I,8,0)*_Mag/VLOOKUP(P403,Standings!A:O,15,0)*H403*K403</f>
        <v/>
      </c>
      <c r="AF403" s="156">
        <f>VLOOKUP(P403,ProjPVT!B:I,8,0)*_Mag/VLOOKUP(N403,Standings!A:O,15,0)*J403*I403</f>
        <v/>
      </c>
      <c r="AG403" s="195">
        <f>VLOOKUP(N403,Matrix!AA:AC,3,0)</f>
        <v/>
      </c>
      <c r="AH403" s="195">
        <f>SUMIFS(Def!C:C,Def!F:F,AG403)</f>
        <v/>
      </c>
      <c r="AI403" s="156">
        <f>IFERROR(SUMIFS(Def!B:B,Def!F:F,AG403)/AH403,"")</f>
        <v/>
      </c>
      <c r="AJ403" s="195">
        <f>VLOOKUP(P403,Matrix!AA:AC,3,0)</f>
        <v/>
      </c>
      <c r="AK403" s="195">
        <f>SUMIFS(Def!C:C,Def!F:F,AJ403)</f>
        <v/>
      </c>
      <c r="AL403" s="156">
        <f>IFERROR(SUMIFS(Def!B:B,Def!F:F,AJ403)/AK403,"")</f>
        <v/>
      </c>
    </row>
    <row r="404" ht="14.4" customHeight="1" s="152">
      <c r="A404" s="157">
        <f>IF(F404="Yes",IFERROR(IF(AA404&gt;1,AA404/100,100/-AA404),""),-1)</f>
        <v/>
      </c>
      <c r="B404" s="157">
        <f>B403+1</f>
        <v/>
      </c>
      <c r="C404" s="157">
        <f>IF(Y404&gt;Z404,1,0)</f>
        <v/>
      </c>
      <c r="D404" s="157">
        <f>IF(AND(C404=1,F404="Yes"),"Yes",IF(AND(C404=0,F404="No"),"Yes","No"))</f>
        <v/>
      </c>
      <c r="E404" s="192">
        <f>IF((AC404+AB404)=AD404,"Push",IF((AC404+AB404)&gt;AD404,"Yes","No"))</f>
        <v/>
      </c>
      <c r="F404" s="192">
        <f>IF(AC404&gt;AD404,"Yes","No")</f>
        <v/>
      </c>
      <c r="G404" s="192">
        <f>IF((Y404+AB404)&gt;Z404,"Yes",IF((Y404+AB404)=Z404,"Push","No"))</f>
        <v/>
      </c>
      <c r="H404" s="157">
        <f>IF(O404="Home",VLOOKUP(N404,Matrix!A:S,19,0),1)</f>
        <v/>
      </c>
      <c r="I404" s="157">
        <f>IF(O404="Away",VLOOKUP(N404,Matrix!A:Z,20,0),1)</f>
        <v/>
      </c>
      <c r="J404" s="157">
        <f>IF(O404="Away",VLOOKUP(P404,Matrix!A:S,19,0),1)</f>
        <v/>
      </c>
      <c r="K404" s="157">
        <f>IF(O404="Home",VLOOKUP(P404,Matrix!A:Z,20,0),1)</f>
        <v/>
      </c>
      <c r="L404" s="156" t="n">
        <v>-0.00401333461016238</v>
      </c>
      <c r="M404" s="179">
        <f>Schedule!B404</f>
        <v/>
      </c>
      <c r="N404" s="156">
        <f>Schedule!E404</f>
        <v/>
      </c>
      <c r="O404" s="156" t="inlineStr">
        <is>
          <t>Home</t>
        </is>
      </c>
      <c r="P404" s="157">
        <f>Schedule!H404</f>
        <v/>
      </c>
      <c r="Q404" s="157">
        <f>Schedule!C404</f>
        <v/>
      </c>
      <c r="R404" s="180">
        <f>Schedule!D404</f>
        <v/>
      </c>
      <c r="S404" s="181">
        <f>Schedule!J404</f>
        <v/>
      </c>
      <c r="T404" s="193">
        <f>Y404-Z404</f>
        <v/>
      </c>
      <c r="U404" s="182">
        <f>T404/Picks!$K$2</f>
        <v/>
      </c>
      <c r="V404" s="193">
        <f>INDEX(Standings!$T$3:$T$34, MATCH(N404, Standings!$A$3:$A$34, 0)) - INDEX(Standings!$T$3:$T$34, MATCH(P404, Standings!$A$3:$A$34, 0))</f>
        <v/>
      </c>
      <c r="W404" s="157">
        <f>INDEX(Standings!$L$3:$L$34, MATCH(N404, Standings!$A$3:$A$34, 0)) - INDEX(Standings!$L$3:$L$34, MATCH(P404, Standings!$A$3:$A$34, 0))</f>
        <v/>
      </c>
      <c r="X404" s="157">
        <f>INDEX(Standings!$M$3:$M$34, MATCH(N404, Standings!$A$3:$A$34, 0)) - INDEX(Standings!$M$3:$M$34, MATCH(P404, Standings!$A$3:$A$34, 0))</f>
        <v/>
      </c>
      <c r="Y404" s="194">
        <f t="array" ref="Y404:Y404">IFERROR(AE404+(AL404-_DFactor)*AE404,"")</f>
        <v/>
      </c>
      <c r="Z404" s="157">
        <f>IFERROR(AF404+(AI404-_DFactor)*AF404,"")</f>
        <v/>
      </c>
      <c r="AC404" s="194">
        <f>VLOOKUP(M404&amp;N404,Schedule!A:F,6,0)</f>
        <v/>
      </c>
      <c r="AD404" s="194">
        <f>VLOOKUP(M404&amp;P404,Schedule!A:F,6,0)</f>
        <v/>
      </c>
      <c r="AE404" s="156">
        <f>VLOOKUP(N404,ProjPVT!B:I,8,0)*_Mag/VLOOKUP(P404,Standings!A:O,15,0)*H404*K404</f>
        <v/>
      </c>
      <c r="AF404" s="156">
        <f>VLOOKUP(P404,ProjPVT!B:I,8,0)*_Mag/VLOOKUP(N404,Standings!A:O,15,0)*J404*I404</f>
        <v/>
      </c>
      <c r="AG404" s="195">
        <f>VLOOKUP(N404,Matrix!AA:AC,3,0)</f>
        <v/>
      </c>
      <c r="AH404" s="195">
        <f>SUMIFS(Def!C:C,Def!F:F,AG404)</f>
        <v/>
      </c>
      <c r="AI404" s="156">
        <f>IFERROR(SUMIFS(Def!B:B,Def!F:F,AG404)/AH404,"")</f>
        <v/>
      </c>
      <c r="AJ404" s="195">
        <f>VLOOKUP(P404,Matrix!AA:AC,3,0)</f>
        <v/>
      </c>
      <c r="AK404" s="195">
        <f>SUMIFS(Def!C:C,Def!F:F,AJ404)</f>
        <v/>
      </c>
      <c r="AL404" s="156">
        <f>IFERROR(SUMIFS(Def!B:B,Def!F:F,AJ404)/AK404,"")</f>
        <v/>
      </c>
    </row>
    <row r="405" ht="14.4" customHeight="1" s="152">
      <c r="A405" s="157">
        <f>IF(F405="Yes",IFERROR(IF(AA405&gt;1,AA405/100,100/-AA405),""),-1)</f>
        <v/>
      </c>
      <c r="B405" s="157">
        <f>B404+1</f>
        <v/>
      </c>
      <c r="C405" s="157">
        <f>IF(Y405&gt;Z405,1,0)</f>
        <v/>
      </c>
      <c r="D405" s="157">
        <f>IF(AND(C405=1,F405="Yes"),"Yes",IF(AND(C405=0,F405="No"),"Yes","No"))</f>
        <v/>
      </c>
      <c r="E405" s="192">
        <f>IF((AC405+AB405)=AD405,"Push",IF((AC405+AB405)&gt;AD405,"Yes","No"))</f>
        <v/>
      </c>
      <c r="F405" s="192">
        <f>IF(AC405&gt;AD405,"Yes","No")</f>
        <v/>
      </c>
      <c r="G405" s="192">
        <f>IF((Y405+AB405)&gt;Z405,"Yes",IF((Y405+AB405)=Z405,"Push","No"))</f>
        <v/>
      </c>
      <c r="H405" s="157">
        <f>IF(O405="Home",VLOOKUP(N405,Matrix!A:S,19,0),1)</f>
        <v/>
      </c>
      <c r="I405" s="157">
        <f>IF(O405="Away",VLOOKUP(N405,Matrix!A:Z,20,0),1)</f>
        <v/>
      </c>
      <c r="J405" s="157">
        <f>IF(O405="Away",VLOOKUP(P405,Matrix!A:S,19,0),1)</f>
        <v/>
      </c>
      <c r="K405" s="157">
        <f>IF(O405="Home",VLOOKUP(P405,Matrix!A:Z,20,0),1)</f>
        <v/>
      </c>
      <c r="L405" s="156" t="n">
        <v>0.00401333461016238</v>
      </c>
      <c r="M405" s="179">
        <f>Schedule!B405</f>
        <v/>
      </c>
      <c r="N405" s="156">
        <f>Schedule!E405</f>
        <v/>
      </c>
      <c r="O405" s="156" t="inlineStr">
        <is>
          <t>Away</t>
        </is>
      </c>
      <c r="P405" s="157">
        <f>Schedule!H405</f>
        <v/>
      </c>
      <c r="Q405" s="157">
        <f>Schedule!C405</f>
        <v/>
      </c>
      <c r="R405" s="180">
        <f>Schedule!D405</f>
        <v/>
      </c>
      <c r="S405" s="181">
        <f>Schedule!J405</f>
        <v/>
      </c>
      <c r="T405" s="193">
        <f>Y405-Z405</f>
        <v/>
      </c>
      <c r="U405" s="182">
        <f>T405/Picks!$K$2</f>
        <v/>
      </c>
      <c r="V405" s="193">
        <f>INDEX(Standings!$T$3:$T$34, MATCH(N405, Standings!$A$3:$A$34, 0)) - INDEX(Standings!$T$3:$T$34, MATCH(P405, Standings!$A$3:$A$34, 0))</f>
        <v/>
      </c>
      <c r="W405" s="157">
        <f>INDEX(Standings!$L$3:$L$34, MATCH(N405, Standings!$A$3:$A$34, 0)) - INDEX(Standings!$L$3:$L$34, MATCH(P405, Standings!$A$3:$A$34, 0))</f>
        <v/>
      </c>
      <c r="X405" s="157">
        <f>INDEX(Standings!$M$3:$M$34, MATCH(N405, Standings!$A$3:$A$34, 0)) - INDEX(Standings!$M$3:$M$34, MATCH(P405, Standings!$A$3:$A$34, 0))</f>
        <v/>
      </c>
      <c r="Y405" s="194">
        <f t="array" ref="Y405:Y405">IFERROR(AE405+(AL405-_DFactor)*AE405,"")</f>
        <v/>
      </c>
      <c r="Z405" s="157">
        <f>IFERROR(AF405+(AI405-_DFactor)*AF405,"")</f>
        <v/>
      </c>
      <c r="AC405" s="194">
        <f>VLOOKUP(M405&amp;N405,Schedule!A:F,6,0)</f>
        <v/>
      </c>
      <c r="AD405" s="194">
        <f>VLOOKUP(M405&amp;P405,Schedule!A:F,6,0)</f>
        <v/>
      </c>
      <c r="AE405" s="156">
        <f>VLOOKUP(N405,ProjPVT!B:I,8,0)*_Mag/VLOOKUP(P405,Standings!A:O,15,0)*H405*K405</f>
        <v/>
      </c>
      <c r="AF405" s="156">
        <f>VLOOKUP(P405,ProjPVT!B:I,8,0)*_Mag/VLOOKUP(N405,Standings!A:O,15,0)*J405*I405</f>
        <v/>
      </c>
      <c r="AG405" s="195">
        <f>VLOOKUP(N405,Matrix!AA:AC,3,0)</f>
        <v/>
      </c>
      <c r="AH405" s="195">
        <f>SUMIFS(Def!C:C,Def!F:F,AG405)</f>
        <v/>
      </c>
      <c r="AI405" s="156">
        <f>IFERROR(SUMIFS(Def!B:B,Def!F:F,AG405)/AH405,"")</f>
        <v/>
      </c>
      <c r="AJ405" s="195">
        <f>VLOOKUP(P405,Matrix!AA:AC,3,0)</f>
        <v/>
      </c>
      <c r="AK405" s="195">
        <f>SUMIFS(Def!C:C,Def!F:F,AJ405)</f>
        <v/>
      </c>
      <c r="AL405" s="156">
        <f>IFERROR(SUMIFS(Def!B:B,Def!F:F,AJ405)/AK405,"")</f>
        <v/>
      </c>
    </row>
    <row r="406" ht="14.4" customHeight="1" s="152">
      <c r="A406" s="157">
        <f>IF(F406="Yes",IFERROR(IF(AA406&gt;1,AA406/100,100/-AA406),""),-1)</f>
        <v/>
      </c>
      <c r="B406" s="157">
        <f>B405+1</f>
        <v/>
      </c>
      <c r="C406" s="157">
        <f>IF(Y406&gt;Z406,1,0)</f>
        <v/>
      </c>
      <c r="D406" s="157">
        <f>IF(AND(C406=1,F406="Yes"),"Yes",IF(AND(C406=0,F406="No"),"Yes","No"))</f>
        <v/>
      </c>
      <c r="E406" s="192">
        <f>IF((AC406+AB406)=AD406,"Push",IF((AC406+AB406)&gt;AD406,"Yes","No"))</f>
        <v/>
      </c>
      <c r="F406" s="192">
        <f>IF(AC406&gt;AD406,"Yes","No")</f>
        <v/>
      </c>
      <c r="G406" s="192">
        <f>IF((Y406+AB406)&gt;Z406,"Yes",IF((Y406+AB406)=Z406,"Push","No"))</f>
        <v/>
      </c>
      <c r="H406" s="157">
        <f>IF(O406="Home",VLOOKUP(N406,Matrix!A:S,19,0),1)</f>
        <v/>
      </c>
      <c r="I406" s="157">
        <f>IF(O406="Away",VLOOKUP(N406,Matrix!A:Z,20,0),1)</f>
        <v/>
      </c>
      <c r="J406" s="157">
        <f>IF(O406="Away",VLOOKUP(P406,Matrix!A:S,19,0),1)</f>
        <v/>
      </c>
      <c r="K406" s="157">
        <f>IF(O406="Home",VLOOKUP(P406,Matrix!A:Z,20,0),1)</f>
        <v/>
      </c>
      <c r="L406" s="156" t="n">
        <v>0.0136850134376546</v>
      </c>
      <c r="M406" s="179">
        <f>Schedule!B406</f>
        <v/>
      </c>
      <c r="N406" s="156">
        <f>Schedule!E406</f>
        <v/>
      </c>
      <c r="O406" s="156" t="inlineStr">
        <is>
          <t>Home</t>
        </is>
      </c>
      <c r="P406" s="157">
        <f>Schedule!H406</f>
        <v/>
      </c>
      <c r="Q406" s="157">
        <f>Schedule!C406</f>
        <v/>
      </c>
      <c r="R406" s="180">
        <f>Schedule!D406</f>
        <v/>
      </c>
      <c r="S406" s="181">
        <f>Schedule!J406</f>
        <v/>
      </c>
      <c r="T406" s="193">
        <f>Y406-Z406</f>
        <v/>
      </c>
      <c r="U406" s="182">
        <f>T406/Picks!$K$2</f>
        <v/>
      </c>
      <c r="V406" s="193">
        <f>INDEX(Standings!$T$3:$T$34, MATCH(N406, Standings!$A$3:$A$34, 0)) - INDEX(Standings!$T$3:$T$34, MATCH(P406, Standings!$A$3:$A$34, 0))</f>
        <v/>
      </c>
      <c r="W406" s="157">
        <f>INDEX(Standings!$L$3:$L$34, MATCH(N406, Standings!$A$3:$A$34, 0)) - INDEX(Standings!$L$3:$L$34, MATCH(P406, Standings!$A$3:$A$34, 0))</f>
        <v/>
      </c>
      <c r="X406" s="157">
        <f>INDEX(Standings!$M$3:$M$34, MATCH(N406, Standings!$A$3:$A$34, 0)) - INDEX(Standings!$M$3:$M$34, MATCH(P406, Standings!$A$3:$A$34, 0))</f>
        <v/>
      </c>
      <c r="Y406" s="194">
        <f t="array" ref="Y406:Y406">IFERROR(AE406+(AL406-_DFactor)*AE406,"")</f>
        <v/>
      </c>
      <c r="Z406" s="157">
        <f>IFERROR(AF406+(AI406-_DFactor)*AF406,"")</f>
        <v/>
      </c>
      <c r="AC406" s="194">
        <f>VLOOKUP(M406&amp;N406,Schedule!A:F,6,0)</f>
        <v/>
      </c>
      <c r="AD406" s="194">
        <f>VLOOKUP(M406&amp;P406,Schedule!A:F,6,0)</f>
        <v/>
      </c>
      <c r="AE406" s="156">
        <f>VLOOKUP(N406,ProjPVT!B:I,8,0)*_Mag/VLOOKUP(P406,Standings!A:O,15,0)*H406*K406</f>
        <v/>
      </c>
      <c r="AF406" s="156">
        <f>VLOOKUP(P406,ProjPVT!B:I,8,0)*_Mag/VLOOKUP(N406,Standings!A:O,15,0)*J406*I406</f>
        <v/>
      </c>
      <c r="AG406" s="195">
        <f>VLOOKUP(N406,Matrix!AA:AC,3,0)</f>
        <v/>
      </c>
      <c r="AH406" s="195">
        <f>SUMIFS(Def!C:C,Def!F:F,AG406)</f>
        <v/>
      </c>
      <c r="AI406" s="156">
        <f>IFERROR(SUMIFS(Def!B:B,Def!F:F,AG406)/AH406,"")</f>
        <v/>
      </c>
      <c r="AJ406" s="195">
        <f>VLOOKUP(P406,Matrix!AA:AC,3,0)</f>
        <v/>
      </c>
      <c r="AK406" s="195">
        <f>SUMIFS(Def!C:C,Def!F:F,AJ406)</f>
        <v/>
      </c>
      <c r="AL406" s="156">
        <f>IFERROR(SUMIFS(Def!B:B,Def!F:F,AJ406)/AK406,"")</f>
        <v/>
      </c>
    </row>
    <row r="407" ht="14.4" customHeight="1" s="152">
      <c r="A407" s="157">
        <f>IF(F407="Yes",IFERROR(IF(AA407&gt;1,AA407/100,100/-AA407),""),-1)</f>
        <v/>
      </c>
      <c r="B407" s="157">
        <f>B406+1</f>
        <v/>
      </c>
      <c r="C407" s="157">
        <f>IF(Y407&gt;Z407,1,0)</f>
        <v/>
      </c>
      <c r="D407" s="157">
        <f>IF(AND(C407=1,F407="Yes"),"Yes",IF(AND(C407=0,F407="No"),"Yes","No"))</f>
        <v/>
      </c>
      <c r="E407" s="192">
        <f>IF((AC407+AB407)=AD407,"Push",IF((AC407+AB407)&gt;AD407,"Yes","No"))</f>
        <v/>
      </c>
      <c r="F407" s="192">
        <f>IF(AC407&gt;AD407,"Yes","No")</f>
        <v/>
      </c>
      <c r="G407" s="192">
        <f>IF((Y407+AB407)&gt;Z407,"Yes",IF((Y407+AB407)=Z407,"Push","No"))</f>
        <v/>
      </c>
      <c r="H407" s="157">
        <f>IF(O407="Home",VLOOKUP(N407,Matrix!A:S,19,0),1)</f>
        <v/>
      </c>
      <c r="I407" s="157">
        <f>IF(O407="Away",VLOOKUP(N407,Matrix!A:Z,20,0),1)</f>
        <v/>
      </c>
      <c r="J407" s="157">
        <f>IF(O407="Away",VLOOKUP(P407,Matrix!A:S,19,0),1)</f>
        <v/>
      </c>
      <c r="K407" s="157">
        <f>IF(O407="Home",VLOOKUP(P407,Matrix!A:Z,20,0),1)</f>
        <v/>
      </c>
      <c r="L407" s="156" t="n">
        <v>0.0582370470731182</v>
      </c>
      <c r="M407" s="179">
        <f>Schedule!B407</f>
        <v/>
      </c>
      <c r="N407" s="156">
        <f>Schedule!E407</f>
        <v/>
      </c>
      <c r="O407" s="156" t="inlineStr">
        <is>
          <t>Home</t>
        </is>
      </c>
      <c r="P407" s="157">
        <f>Schedule!H407</f>
        <v/>
      </c>
      <c r="Q407" s="157">
        <f>Schedule!C407</f>
        <v/>
      </c>
      <c r="R407" s="180">
        <f>Schedule!D407</f>
        <v/>
      </c>
      <c r="S407" s="181">
        <f>Schedule!J407</f>
        <v/>
      </c>
      <c r="T407" s="193">
        <f>Y407-Z407</f>
        <v/>
      </c>
      <c r="U407" s="182">
        <f>T407/Picks!$K$2</f>
        <v/>
      </c>
      <c r="V407" s="193">
        <f>INDEX(Standings!$T$3:$T$34, MATCH(N407, Standings!$A$3:$A$34, 0)) - INDEX(Standings!$T$3:$T$34, MATCH(P407, Standings!$A$3:$A$34, 0))</f>
        <v/>
      </c>
      <c r="W407" s="157">
        <f>INDEX(Standings!$L$3:$L$34, MATCH(N407, Standings!$A$3:$A$34, 0)) - INDEX(Standings!$L$3:$L$34, MATCH(P407, Standings!$A$3:$A$34, 0))</f>
        <v/>
      </c>
      <c r="X407" s="157">
        <f>INDEX(Standings!$M$3:$M$34, MATCH(N407, Standings!$A$3:$A$34, 0)) - INDEX(Standings!$M$3:$M$34, MATCH(P407, Standings!$A$3:$A$34, 0))</f>
        <v/>
      </c>
      <c r="Y407" s="194">
        <f t="array" ref="Y407:Y407">IFERROR(AE407+(AL407-_DFactor)*AE407,"")</f>
        <v/>
      </c>
      <c r="Z407" s="157">
        <f>IFERROR(AF407+(AI407-_DFactor)*AF407,"")</f>
        <v/>
      </c>
      <c r="AC407" s="194">
        <f>VLOOKUP(M407&amp;N407,Schedule!A:F,6,0)</f>
        <v/>
      </c>
      <c r="AD407" s="194">
        <f>VLOOKUP(M407&amp;P407,Schedule!A:F,6,0)</f>
        <v/>
      </c>
      <c r="AE407" s="156">
        <f>VLOOKUP(N407,ProjPVT!B:I,8,0)*_Mag/VLOOKUP(P407,Standings!A:O,15,0)*H407*K407</f>
        <v/>
      </c>
      <c r="AF407" s="156">
        <f>VLOOKUP(P407,ProjPVT!B:I,8,0)*_Mag/VLOOKUP(N407,Standings!A:O,15,0)*J407*I407</f>
        <v/>
      </c>
      <c r="AG407" s="195">
        <f>VLOOKUP(N407,Matrix!AA:AC,3,0)</f>
        <v/>
      </c>
      <c r="AH407" s="195">
        <f>SUMIFS(Def!C:C,Def!F:F,AG407)</f>
        <v/>
      </c>
      <c r="AI407" s="156">
        <f>IFERROR(SUMIFS(Def!B:B,Def!F:F,AG407)/AH407,"")</f>
        <v/>
      </c>
      <c r="AJ407" s="195">
        <f>VLOOKUP(P407,Matrix!AA:AC,3,0)</f>
        <v/>
      </c>
      <c r="AK407" s="195">
        <f>SUMIFS(Def!C:C,Def!F:F,AJ407)</f>
        <v/>
      </c>
      <c r="AL407" s="156">
        <f>IFERROR(SUMIFS(Def!B:B,Def!F:F,AJ407)/AK407,"")</f>
        <v/>
      </c>
    </row>
    <row r="408" ht="14.4" customHeight="1" s="152">
      <c r="A408" s="157">
        <f>IF(F408="Yes",IFERROR(IF(AA408&gt;1,AA408/100,100/-AA408),""),-1)</f>
        <v/>
      </c>
      <c r="B408" s="157">
        <f>B407+1</f>
        <v/>
      </c>
      <c r="C408" s="157">
        <f>IF(Y408&gt;Z408,1,0)</f>
        <v/>
      </c>
      <c r="D408" s="157">
        <f>IF(AND(C408=1,F408="Yes"),"Yes",IF(AND(C408=0,F408="No"),"Yes","No"))</f>
        <v/>
      </c>
      <c r="E408" s="192">
        <f>IF((AC408+AB408)=AD408,"Push",IF((AC408+AB408)&gt;AD408,"Yes","No"))</f>
        <v/>
      </c>
      <c r="F408" s="192">
        <f>IF(AC408&gt;AD408,"Yes","No")</f>
        <v/>
      </c>
      <c r="G408" s="192">
        <f>IF((Y408+AB408)&gt;Z408,"Yes",IF((Y408+AB408)=Z408,"Push","No"))</f>
        <v/>
      </c>
      <c r="H408" s="157">
        <f>IF(O408="Home",VLOOKUP(N408,Matrix!A:S,19,0),1)</f>
        <v/>
      </c>
      <c r="I408" s="157">
        <f>IF(O408="Away",VLOOKUP(N408,Matrix!A:Z,20,0),1)</f>
        <v/>
      </c>
      <c r="J408" s="157">
        <f>IF(O408="Away",VLOOKUP(P408,Matrix!A:S,19,0),1)</f>
        <v/>
      </c>
      <c r="K408" s="157">
        <f>IF(O408="Home",VLOOKUP(P408,Matrix!A:Z,20,0),1)</f>
        <v/>
      </c>
      <c r="L408" s="156" t="n">
        <v>0.151263277899291</v>
      </c>
      <c r="M408" s="179">
        <f>Schedule!B408</f>
        <v/>
      </c>
      <c r="N408" s="156">
        <f>Schedule!E408</f>
        <v/>
      </c>
      <c r="O408" s="156" t="inlineStr">
        <is>
          <t>Away</t>
        </is>
      </c>
      <c r="P408" s="157">
        <f>Schedule!H408</f>
        <v/>
      </c>
      <c r="Q408" s="157">
        <f>Schedule!C408</f>
        <v/>
      </c>
      <c r="R408" s="180">
        <f>Schedule!D408</f>
        <v/>
      </c>
      <c r="S408" s="181">
        <f>Schedule!J408</f>
        <v/>
      </c>
      <c r="T408" s="193">
        <f>Y408-Z408</f>
        <v/>
      </c>
      <c r="U408" s="182">
        <f>T408/Picks!$K$2</f>
        <v/>
      </c>
      <c r="V408" s="193">
        <f>INDEX(Standings!$T$3:$T$34, MATCH(N408, Standings!$A$3:$A$34, 0)) - INDEX(Standings!$T$3:$T$34, MATCH(P408, Standings!$A$3:$A$34, 0))</f>
        <v/>
      </c>
      <c r="W408" s="157">
        <f>INDEX(Standings!$L$3:$L$34, MATCH(N408, Standings!$A$3:$A$34, 0)) - INDEX(Standings!$L$3:$L$34, MATCH(P408, Standings!$A$3:$A$34, 0))</f>
        <v/>
      </c>
      <c r="X408" s="157">
        <f>INDEX(Standings!$M$3:$M$34, MATCH(N408, Standings!$A$3:$A$34, 0)) - INDEX(Standings!$M$3:$M$34, MATCH(P408, Standings!$A$3:$A$34, 0))</f>
        <v/>
      </c>
      <c r="Y408" s="194">
        <f t="array" ref="Y408:Y408">IFERROR(AE408+(AL408-_DFactor)*AE408,"")</f>
        <v/>
      </c>
      <c r="Z408" s="157">
        <f>IFERROR(AF408+(AI408-_DFactor)*AF408,"")</f>
        <v/>
      </c>
      <c r="AC408" s="194">
        <f>VLOOKUP(M408&amp;N408,Schedule!A:F,6,0)</f>
        <v/>
      </c>
      <c r="AD408" s="194">
        <f>VLOOKUP(M408&amp;P408,Schedule!A:F,6,0)</f>
        <v/>
      </c>
      <c r="AE408" s="156">
        <f>VLOOKUP(N408,ProjPVT!B:I,8,0)*_Mag/VLOOKUP(P408,Standings!A:O,15,0)*H408*K408</f>
        <v/>
      </c>
      <c r="AF408" s="156">
        <f>VLOOKUP(P408,ProjPVT!B:I,8,0)*_Mag/VLOOKUP(N408,Standings!A:O,15,0)*J408*I408</f>
        <v/>
      </c>
      <c r="AG408" s="195">
        <f>VLOOKUP(N408,Matrix!AA:AC,3,0)</f>
        <v/>
      </c>
      <c r="AH408" s="195">
        <f>SUMIFS(Def!C:C,Def!F:F,AG408)</f>
        <v/>
      </c>
      <c r="AI408" s="156">
        <f>IFERROR(SUMIFS(Def!B:B,Def!F:F,AG408)/AH408,"")</f>
        <v/>
      </c>
      <c r="AJ408" s="195">
        <f>VLOOKUP(P408,Matrix!AA:AC,3,0)</f>
        <v/>
      </c>
      <c r="AK408" s="195">
        <f>SUMIFS(Def!C:C,Def!F:F,AJ408)</f>
        <v/>
      </c>
      <c r="AL408" s="156">
        <f>IFERROR(SUMIFS(Def!B:B,Def!F:F,AJ408)/AK408,"")</f>
        <v/>
      </c>
    </row>
    <row r="409" ht="14.4" customHeight="1" s="152">
      <c r="A409" s="157">
        <f>IF(F409="Yes",IFERROR(IF(AA409&gt;1,AA409/100,100/-AA409),""),-1)</f>
        <v/>
      </c>
      <c r="B409" s="157">
        <f>B408+1</f>
        <v/>
      </c>
      <c r="C409" s="157">
        <f>IF(Y409&gt;Z409,1,0)</f>
        <v/>
      </c>
      <c r="D409" s="157">
        <f>IF(AND(C409=1,F409="Yes"),"Yes",IF(AND(C409=0,F409="No"),"Yes","No"))</f>
        <v/>
      </c>
      <c r="E409" s="192">
        <f>IF((AC409+AB409)=AD409,"Push",IF((AC409+AB409)&gt;AD409,"Yes","No"))</f>
        <v/>
      </c>
      <c r="F409" s="192">
        <f>IF(AC409&gt;AD409,"Yes","No")</f>
        <v/>
      </c>
      <c r="G409" s="192">
        <f>IF((Y409+AB409)&gt;Z409,"Yes",IF((Y409+AB409)=Z409,"Push","No"))</f>
        <v/>
      </c>
      <c r="H409" s="157">
        <f>IF(O409="Home",VLOOKUP(N409,Matrix!A:S,19,0),1)</f>
        <v/>
      </c>
      <c r="I409" s="157">
        <f>IF(O409="Away",VLOOKUP(N409,Matrix!A:Z,20,0),1)</f>
        <v/>
      </c>
      <c r="J409" s="157">
        <f>IF(O409="Away",VLOOKUP(P409,Matrix!A:S,19,0),1)</f>
        <v/>
      </c>
      <c r="K409" s="157">
        <f>IF(O409="Home",VLOOKUP(P409,Matrix!A:Z,20,0),1)</f>
        <v/>
      </c>
      <c r="L409" s="156" t="n">
        <v>0.161316471968444</v>
      </c>
      <c r="M409" s="179">
        <f>Schedule!B409</f>
        <v/>
      </c>
      <c r="N409" s="156">
        <f>Schedule!E409</f>
        <v/>
      </c>
      <c r="O409" s="156" t="inlineStr">
        <is>
          <t>Away</t>
        </is>
      </c>
      <c r="P409" s="157">
        <f>Schedule!H409</f>
        <v/>
      </c>
      <c r="Q409" s="157">
        <f>Schedule!C409</f>
        <v/>
      </c>
      <c r="R409" s="180">
        <f>Schedule!D409</f>
        <v/>
      </c>
      <c r="S409" s="181">
        <f>Schedule!J409</f>
        <v/>
      </c>
      <c r="T409" s="193">
        <f>Y409-Z409</f>
        <v/>
      </c>
      <c r="U409" s="182">
        <f>T409/Picks!$K$2</f>
        <v/>
      </c>
      <c r="V409" s="193">
        <f>INDEX(Standings!$T$3:$T$34, MATCH(N409, Standings!$A$3:$A$34, 0)) - INDEX(Standings!$T$3:$T$34, MATCH(P409, Standings!$A$3:$A$34, 0))</f>
        <v/>
      </c>
      <c r="W409" s="157">
        <f>INDEX(Standings!$L$3:$L$34, MATCH(N409, Standings!$A$3:$A$34, 0)) - INDEX(Standings!$L$3:$L$34, MATCH(P409, Standings!$A$3:$A$34, 0))</f>
        <v/>
      </c>
      <c r="X409" s="157">
        <f>INDEX(Standings!$M$3:$M$34, MATCH(N409, Standings!$A$3:$A$34, 0)) - INDEX(Standings!$M$3:$M$34, MATCH(P409, Standings!$A$3:$A$34, 0))</f>
        <v/>
      </c>
      <c r="Y409" s="194">
        <f t="array" ref="Y409:Y409">IFERROR(AE409+(AL409-_DFactor)*AE409,"")</f>
        <v/>
      </c>
      <c r="Z409" s="157">
        <f>IFERROR(AF409+(AI409-_DFactor)*AF409,"")</f>
        <v/>
      </c>
      <c r="AC409" s="194">
        <f>VLOOKUP(M409&amp;N409,Schedule!A:F,6,0)</f>
        <v/>
      </c>
      <c r="AD409" s="194">
        <f>VLOOKUP(M409&amp;P409,Schedule!A:F,6,0)</f>
        <v/>
      </c>
      <c r="AE409" s="156">
        <f>VLOOKUP(N409,ProjPVT!B:I,8,0)*_Mag/VLOOKUP(P409,Standings!A:O,15,0)*H409*K409</f>
        <v/>
      </c>
      <c r="AF409" s="156">
        <f>VLOOKUP(P409,ProjPVT!B:I,8,0)*_Mag/VLOOKUP(N409,Standings!A:O,15,0)*J409*I409</f>
        <v/>
      </c>
      <c r="AG409" s="195">
        <f>VLOOKUP(N409,Matrix!AA:AC,3,0)</f>
        <v/>
      </c>
      <c r="AH409" s="195">
        <f>SUMIFS(Def!C:C,Def!F:F,AG409)</f>
        <v/>
      </c>
      <c r="AI409" s="156">
        <f>IFERROR(SUMIFS(Def!B:B,Def!F:F,AG409)/AH409,"")</f>
        <v/>
      </c>
      <c r="AJ409" s="195">
        <f>VLOOKUP(P409,Matrix!AA:AC,3,0)</f>
        <v/>
      </c>
      <c r="AK409" s="195">
        <f>SUMIFS(Def!C:C,Def!F:F,AJ409)</f>
        <v/>
      </c>
      <c r="AL409" s="156">
        <f>IFERROR(SUMIFS(Def!B:B,Def!F:F,AJ409)/AK409,"")</f>
        <v/>
      </c>
    </row>
    <row r="410" ht="14.4" customHeight="1" s="152">
      <c r="A410" s="157">
        <f>IF(F410="Yes",IFERROR(IF(AA410&gt;1,AA410/100,100/-AA410),""),-1)</f>
        <v/>
      </c>
      <c r="B410" s="157">
        <f>B409+1</f>
        <v/>
      </c>
      <c r="C410" s="157">
        <f>IF(Y410&gt;Z410,1,0)</f>
        <v/>
      </c>
      <c r="D410" s="157">
        <f>IF(AND(C410=1,F410="Yes"),"Yes",IF(AND(C410=0,F410="No"),"Yes","No"))</f>
        <v/>
      </c>
      <c r="E410" s="192">
        <f>IF((AC410+AB410)=AD410,"Push",IF((AC410+AB410)&gt;AD410,"Yes","No"))</f>
        <v/>
      </c>
      <c r="F410" s="192">
        <f>IF(AC410&gt;AD410,"Yes","No")</f>
        <v/>
      </c>
      <c r="G410" s="192">
        <f>IF((Y410+AB410)&gt;Z410,"Yes",IF((Y410+AB410)=Z410,"Push","No"))</f>
        <v/>
      </c>
      <c r="H410" s="157">
        <f>IF(O410="Home",VLOOKUP(N410,Matrix!A:S,19,0),1)</f>
        <v/>
      </c>
      <c r="I410" s="157">
        <f>IF(O410="Away",VLOOKUP(N410,Matrix!A:Z,20,0),1)</f>
        <v/>
      </c>
      <c r="J410" s="157">
        <f>IF(O410="Away",VLOOKUP(P410,Matrix!A:S,19,0),1)</f>
        <v/>
      </c>
      <c r="K410" s="157">
        <f>IF(O410="Home",VLOOKUP(P410,Matrix!A:Z,20,0),1)</f>
        <v/>
      </c>
      <c r="L410" s="156" t="n">
        <v>0.2059713310615</v>
      </c>
      <c r="M410" s="179">
        <f>Schedule!B410</f>
        <v/>
      </c>
      <c r="N410" s="156">
        <f>Schedule!E410</f>
        <v/>
      </c>
      <c r="O410" s="156" t="inlineStr">
        <is>
          <t>Away</t>
        </is>
      </c>
      <c r="P410" s="157">
        <f>Schedule!H410</f>
        <v/>
      </c>
      <c r="Q410" s="157">
        <f>Schedule!C410</f>
        <v/>
      </c>
      <c r="R410" s="180">
        <f>Schedule!D410</f>
        <v/>
      </c>
      <c r="S410" s="181">
        <f>Schedule!J410</f>
        <v/>
      </c>
      <c r="T410" s="193">
        <f>Y410-Z410</f>
        <v/>
      </c>
      <c r="U410" s="182">
        <f>T410/Picks!$K$2</f>
        <v/>
      </c>
      <c r="V410" s="193">
        <f>INDEX(Standings!$T$3:$T$34, MATCH(N410, Standings!$A$3:$A$34, 0)) - INDEX(Standings!$T$3:$T$34, MATCH(P410, Standings!$A$3:$A$34, 0))</f>
        <v/>
      </c>
      <c r="W410" s="157">
        <f>INDEX(Standings!$L$3:$L$34, MATCH(N410, Standings!$A$3:$A$34, 0)) - INDEX(Standings!$L$3:$L$34, MATCH(P410, Standings!$A$3:$A$34, 0))</f>
        <v/>
      </c>
      <c r="X410" s="157">
        <f>INDEX(Standings!$M$3:$M$34, MATCH(N410, Standings!$A$3:$A$34, 0)) - INDEX(Standings!$M$3:$M$34, MATCH(P410, Standings!$A$3:$A$34, 0))</f>
        <v/>
      </c>
      <c r="Y410" s="194">
        <f t="array" ref="Y410:Y410">IFERROR(AE410+(AL410-_DFactor)*AE410,"")</f>
        <v/>
      </c>
      <c r="Z410" s="157">
        <f>IFERROR(AF410+(AI410-_DFactor)*AF410,"")</f>
        <v/>
      </c>
      <c r="AC410" s="194">
        <f>VLOOKUP(M410&amp;N410,Schedule!A:F,6,0)</f>
        <v/>
      </c>
      <c r="AD410" s="194">
        <f>VLOOKUP(M410&amp;P410,Schedule!A:F,6,0)</f>
        <v/>
      </c>
      <c r="AE410" s="156">
        <f>VLOOKUP(N410,ProjPVT!B:I,8,0)*_Mag/VLOOKUP(P410,Standings!A:O,15,0)*H410*K410</f>
        <v/>
      </c>
      <c r="AF410" s="156">
        <f>VLOOKUP(P410,ProjPVT!B:I,8,0)*_Mag/VLOOKUP(N410,Standings!A:O,15,0)*J410*I410</f>
        <v/>
      </c>
      <c r="AG410" s="195">
        <f>VLOOKUP(N410,Matrix!AA:AC,3,0)</f>
        <v/>
      </c>
      <c r="AH410" s="195">
        <f>SUMIFS(Def!C:C,Def!F:F,AG410)</f>
        <v/>
      </c>
      <c r="AI410" s="156">
        <f>IFERROR(SUMIFS(Def!B:B,Def!F:F,AG410)/AH410,"")</f>
        <v/>
      </c>
      <c r="AJ410" s="195">
        <f>VLOOKUP(P410,Matrix!AA:AC,3,0)</f>
        <v/>
      </c>
      <c r="AK410" s="195">
        <f>SUMIFS(Def!C:C,Def!F:F,AJ410)</f>
        <v/>
      </c>
      <c r="AL410" s="156">
        <f>IFERROR(SUMIFS(Def!B:B,Def!F:F,AJ410)/AK410,"")</f>
        <v/>
      </c>
    </row>
    <row r="411" ht="14.4" customHeight="1" s="152">
      <c r="A411" s="157">
        <f>IF(F411="Yes",IFERROR(IF(AA411&gt;1,AA411/100,100/-AA411),""),-1)</f>
        <v/>
      </c>
      <c r="B411" s="157">
        <f>B410+1</f>
        <v/>
      </c>
      <c r="C411" s="157">
        <f>IF(Y411&gt;Z411,1,0)</f>
        <v/>
      </c>
      <c r="D411" s="157">
        <f>IF(AND(C411=1,F411="Yes"),"Yes",IF(AND(C411=0,F411="No"),"Yes","No"))</f>
        <v/>
      </c>
      <c r="E411" s="192">
        <f>IF((AC411+AB411)=AD411,"Push",IF((AC411+AB411)&gt;AD411,"Yes","No"))</f>
        <v/>
      </c>
      <c r="F411" s="192">
        <f>IF(AC411&gt;AD411,"Yes","No")</f>
        <v/>
      </c>
      <c r="G411" s="192">
        <f>IF((Y411+AB411)&gt;Z411,"Yes",IF((Y411+AB411)=Z411,"Push","No"))</f>
        <v/>
      </c>
      <c r="H411" s="157">
        <f>IF(O411="Home",VLOOKUP(N411,Matrix!A:S,19,0),1)</f>
        <v/>
      </c>
      <c r="I411" s="157">
        <f>IF(O411="Away",VLOOKUP(N411,Matrix!A:Z,20,0),1)</f>
        <v/>
      </c>
      <c r="J411" s="157">
        <f>IF(O411="Away",VLOOKUP(P411,Matrix!A:S,19,0),1)</f>
        <v/>
      </c>
      <c r="K411" s="157">
        <f>IF(O411="Home",VLOOKUP(P411,Matrix!A:Z,20,0),1)</f>
        <v/>
      </c>
      <c r="L411" s="156" t="n">
        <v>0.206634229079878</v>
      </c>
      <c r="M411" s="179">
        <f>Schedule!B411</f>
        <v/>
      </c>
      <c r="N411" s="156">
        <f>Schedule!E411</f>
        <v/>
      </c>
      <c r="O411" s="156" t="inlineStr">
        <is>
          <t>Home</t>
        </is>
      </c>
      <c r="P411" s="157">
        <f>Schedule!H411</f>
        <v/>
      </c>
      <c r="Q411" s="157">
        <f>Schedule!C411</f>
        <v/>
      </c>
      <c r="R411" s="180">
        <f>Schedule!D411</f>
        <v/>
      </c>
      <c r="S411" s="181">
        <f>Schedule!J411</f>
        <v/>
      </c>
      <c r="T411" s="193">
        <f>Y411-Z411</f>
        <v/>
      </c>
      <c r="U411" s="182">
        <f>T411/Picks!$K$2</f>
        <v/>
      </c>
      <c r="V411" s="193">
        <f>INDEX(Standings!$T$3:$T$34, MATCH(N411, Standings!$A$3:$A$34, 0)) - INDEX(Standings!$T$3:$T$34, MATCH(P411, Standings!$A$3:$A$34, 0))</f>
        <v/>
      </c>
      <c r="W411" s="157">
        <f>INDEX(Standings!$L$3:$L$34, MATCH(N411, Standings!$A$3:$A$34, 0)) - INDEX(Standings!$L$3:$L$34, MATCH(P411, Standings!$A$3:$A$34, 0))</f>
        <v/>
      </c>
      <c r="X411" s="157">
        <f>INDEX(Standings!$M$3:$M$34, MATCH(N411, Standings!$A$3:$A$34, 0)) - INDEX(Standings!$M$3:$M$34, MATCH(P411, Standings!$A$3:$A$34, 0))</f>
        <v/>
      </c>
      <c r="Y411" s="194">
        <f t="array" ref="Y411:Y411">IFERROR(AE411+(AL411-_DFactor)*AE411,"")</f>
        <v/>
      </c>
      <c r="Z411" s="157">
        <f>IFERROR(AF411+(AI411-_DFactor)*AF411,"")</f>
        <v/>
      </c>
      <c r="AC411" s="194">
        <f>VLOOKUP(M411&amp;N411,Schedule!A:F,6,0)</f>
        <v/>
      </c>
      <c r="AD411" s="194">
        <f>VLOOKUP(M411&amp;P411,Schedule!A:F,6,0)</f>
        <v/>
      </c>
      <c r="AE411" s="156">
        <f>VLOOKUP(N411,ProjPVT!B:I,8,0)*_Mag/VLOOKUP(P411,Standings!A:O,15,0)*H411*K411</f>
        <v/>
      </c>
      <c r="AF411" s="156">
        <f>VLOOKUP(P411,ProjPVT!B:I,8,0)*_Mag/VLOOKUP(N411,Standings!A:O,15,0)*J411*I411</f>
        <v/>
      </c>
      <c r="AG411" s="195">
        <f>VLOOKUP(N411,Matrix!AA:AC,3,0)</f>
        <v/>
      </c>
      <c r="AH411" s="195">
        <f>SUMIFS(Def!C:C,Def!F:F,AG411)</f>
        <v/>
      </c>
      <c r="AI411" s="156">
        <f>IFERROR(SUMIFS(Def!B:B,Def!F:F,AG411)/AH411,"")</f>
        <v/>
      </c>
      <c r="AJ411" s="195">
        <f>VLOOKUP(P411,Matrix!AA:AC,3,0)</f>
        <v/>
      </c>
      <c r="AK411" s="195">
        <f>SUMIFS(Def!C:C,Def!F:F,AJ411)</f>
        <v/>
      </c>
      <c r="AL411" s="156">
        <f>IFERROR(SUMIFS(Def!B:B,Def!F:F,AJ411)/AK411,"")</f>
        <v/>
      </c>
    </row>
    <row r="412" ht="14.4" customHeight="1" s="152">
      <c r="A412" s="157">
        <f>IF(F412="Yes",IFERROR(IF(AA412&gt;1,AA412/100,100/-AA412),""),-1)</f>
        <v/>
      </c>
      <c r="B412" s="157">
        <f>B411+1</f>
        <v/>
      </c>
      <c r="C412" s="157">
        <f>IF(Y412&gt;Z412,1,0)</f>
        <v/>
      </c>
      <c r="D412" s="157">
        <f>IF(AND(C412=1,F412="Yes"),"Yes",IF(AND(C412=0,F412="No"),"Yes","No"))</f>
        <v/>
      </c>
      <c r="E412" s="192">
        <f>IF((AC412+AB412)=AD412,"Push",IF((AC412+AB412)&gt;AD412,"Yes","No"))</f>
        <v/>
      </c>
      <c r="F412" s="192">
        <f>IF(AC412&gt;AD412,"Yes","No")</f>
        <v/>
      </c>
      <c r="G412" s="192">
        <f>IF((Y412+AB412)&gt;Z412,"Yes",IF((Y412+AB412)=Z412,"Push","No"))</f>
        <v/>
      </c>
      <c r="H412" s="157">
        <f>IF(O412="Home",VLOOKUP(N412,Matrix!A:S,19,0),1)</f>
        <v/>
      </c>
      <c r="I412" s="157">
        <f>IF(O412="Away",VLOOKUP(N412,Matrix!A:Z,20,0),1)</f>
        <v/>
      </c>
      <c r="J412" s="157">
        <f>IF(O412="Away",VLOOKUP(P412,Matrix!A:S,19,0),1)</f>
        <v/>
      </c>
      <c r="K412" s="157">
        <f>IF(O412="Home",VLOOKUP(P412,Matrix!A:Z,20,0),1)</f>
        <v/>
      </c>
      <c r="L412" s="156" t="n">
        <v>0.22723901238245</v>
      </c>
      <c r="M412" s="179">
        <f>Schedule!B412</f>
        <v/>
      </c>
      <c r="N412" s="156">
        <f>Schedule!E412</f>
        <v/>
      </c>
      <c r="O412" s="156" t="inlineStr">
        <is>
          <t>Home</t>
        </is>
      </c>
      <c r="P412" s="157">
        <f>Schedule!H412</f>
        <v/>
      </c>
      <c r="Q412" s="157">
        <f>Schedule!C412</f>
        <v/>
      </c>
      <c r="R412" s="180">
        <f>Schedule!D412</f>
        <v/>
      </c>
      <c r="S412" s="181">
        <f>Schedule!J412</f>
        <v/>
      </c>
      <c r="T412" s="193">
        <f>Y412-Z412</f>
        <v/>
      </c>
      <c r="U412" s="182">
        <f>T412/Picks!$K$2</f>
        <v/>
      </c>
      <c r="V412" s="193">
        <f>INDEX(Standings!$T$3:$T$34, MATCH(N412, Standings!$A$3:$A$34, 0)) - INDEX(Standings!$T$3:$T$34, MATCH(P412, Standings!$A$3:$A$34, 0))</f>
        <v/>
      </c>
      <c r="W412" s="157">
        <f>INDEX(Standings!$L$3:$L$34, MATCH(N412, Standings!$A$3:$A$34, 0)) - INDEX(Standings!$L$3:$L$34, MATCH(P412, Standings!$A$3:$A$34, 0))</f>
        <v/>
      </c>
      <c r="X412" s="157">
        <f>INDEX(Standings!$M$3:$M$34, MATCH(N412, Standings!$A$3:$A$34, 0)) - INDEX(Standings!$M$3:$M$34, MATCH(P412, Standings!$A$3:$A$34, 0))</f>
        <v/>
      </c>
      <c r="Y412" s="194">
        <f t="array" ref="Y412:Y412">IFERROR(AE412+(AL412-_DFactor)*AE412,"")</f>
        <v/>
      </c>
      <c r="Z412" s="157">
        <f>IFERROR(AF412+(AI412-_DFactor)*AF412,"")</f>
        <v/>
      </c>
      <c r="AC412" s="194">
        <f>VLOOKUP(M412&amp;N412,Schedule!A:F,6,0)</f>
        <v/>
      </c>
      <c r="AD412" s="194">
        <f>VLOOKUP(M412&amp;P412,Schedule!A:F,6,0)</f>
        <v/>
      </c>
      <c r="AE412" s="156">
        <f>VLOOKUP(N412,ProjPVT!B:I,8,0)*_Mag/VLOOKUP(P412,Standings!A:O,15,0)*H412*K412</f>
        <v/>
      </c>
      <c r="AF412" s="156">
        <f>VLOOKUP(P412,ProjPVT!B:I,8,0)*_Mag/VLOOKUP(N412,Standings!A:O,15,0)*J412*I412</f>
        <v/>
      </c>
      <c r="AG412" s="195">
        <f>VLOOKUP(N412,Matrix!AA:AC,3,0)</f>
        <v/>
      </c>
      <c r="AH412" s="195">
        <f>SUMIFS(Def!C:C,Def!F:F,AG412)</f>
        <v/>
      </c>
      <c r="AI412" s="156">
        <f>IFERROR(SUMIFS(Def!B:B,Def!F:F,AG412)/AH412,"")</f>
        <v/>
      </c>
      <c r="AJ412" s="195">
        <f>VLOOKUP(P412,Matrix!AA:AC,3,0)</f>
        <v/>
      </c>
      <c r="AK412" s="195">
        <f>SUMIFS(Def!C:C,Def!F:F,AJ412)</f>
        <v/>
      </c>
      <c r="AL412" s="156">
        <f>IFERROR(SUMIFS(Def!B:B,Def!F:F,AJ412)/AK412,"")</f>
        <v/>
      </c>
    </row>
    <row r="413" ht="14.4" customHeight="1" s="152">
      <c r="A413" s="157">
        <f>IF(F413="Yes",IFERROR(IF(AA413&gt;1,AA413/100,100/-AA413),""),-1)</f>
        <v/>
      </c>
      <c r="B413" s="157">
        <f>B412+1</f>
        <v/>
      </c>
      <c r="C413" s="157">
        <f>IF(Y413&gt;Z413,1,0)</f>
        <v/>
      </c>
      <c r="D413" s="157">
        <f>IF(AND(C413=1,F413="Yes"),"Yes",IF(AND(C413=0,F413="No"),"Yes","No"))</f>
        <v/>
      </c>
      <c r="E413" s="192">
        <f>IF((AC413+AB413)=AD413,"Push",IF((AC413+AB413)&gt;AD413,"Yes","No"))</f>
        <v/>
      </c>
      <c r="F413" s="192">
        <f>IF(AC413&gt;AD413,"Yes","No")</f>
        <v/>
      </c>
      <c r="G413" s="192">
        <f>IF((Y413+AB413)&gt;Z413,"Yes",IF((Y413+AB413)=Z413,"Push","No"))</f>
        <v/>
      </c>
      <c r="H413" s="157">
        <f>IF(O413="Home",VLOOKUP(N413,Matrix!A:S,19,0),1)</f>
        <v/>
      </c>
      <c r="I413" s="157">
        <f>IF(O413="Away",VLOOKUP(N413,Matrix!A:Z,20,0),1)</f>
        <v/>
      </c>
      <c r="J413" s="157">
        <f>IF(O413="Away",VLOOKUP(P413,Matrix!A:S,19,0),1)</f>
        <v/>
      </c>
      <c r="K413" s="157">
        <f>IF(O413="Home",VLOOKUP(P413,Matrix!A:Z,20,0),1)</f>
        <v/>
      </c>
      <c r="L413" s="156" t="n">
        <v>0.2593822150702</v>
      </c>
      <c r="M413" s="179">
        <f>Schedule!B413</f>
        <v/>
      </c>
      <c r="N413" s="156">
        <f>Schedule!E413</f>
        <v/>
      </c>
      <c r="O413" s="156" t="inlineStr">
        <is>
          <t>Home</t>
        </is>
      </c>
      <c r="P413" s="157">
        <f>Schedule!H413</f>
        <v/>
      </c>
      <c r="Q413" s="157">
        <f>Schedule!C413</f>
        <v/>
      </c>
      <c r="R413" s="180">
        <f>Schedule!D413</f>
        <v/>
      </c>
      <c r="S413" s="181">
        <f>Schedule!J413</f>
        <v/>
      </c>
      <c r="T413" s="193">
        <f>Y413-Z413</f>
        <v/>
      </c>
      <c r="U413" s="182">
        <f>T413/Picks!$K$2</f>
        <v/>
      </c>
      <c r="V413" s="193">
        <f>INDEX(Standings!$T$3:$T$34, MATCH(N413, Standings!$A$3:$A$34, 0)) - INDEX(Standings!$T$3:$T$34, MATCH(P413, Standings!$A$3:$A$34, 0))</f>
        <v/>
      </c>
      <c r="W413" s="157">
        <f>INDEX(Standings!$L$3:$L$34, MATCH(N413, Standings!$A$3:$A$34, 0)) - INDEX(Standings!$L$3:$L$34, MATCH(P413, Standings!$A$3:$A$34, 0))</f>
        <v/>
      </c>
      <c r="X413" s="157">
        <f>INDEX(Standings!$M$3:$M$34, MATCH(N413, Standings!$A$3:$A$34, 0)) - INDEX(Standings!$M$3:$M$34, MATCH(P413, Standings!$A$3:$A$34, 0))</f>
        <v/>
      </c>
      <c r="Y413" s="194">
        <f t="array" ref="Y413:Y413">IFERROR(AE413+(AL413-_DFactor)*AE413,"")</f>
        <v/>
      </c>
      <c r="Z413" s="157">
        <f>IFERROR(AF413+(AI413-_DFactor)*AF413,"")</f>
        <v/>
      </c>
      <c r="AC413" s="194">
        <f>VLOOKUP(M413&amp;N413,Schedule!A:F,6,0)</f>
        <v/>
      </c>
      <c r="AD413" s="194">
        <f>VLOOKUP(M413&amp;P413,Schedule!A:F,6,0)</f>
        <v/>
      </c>
      <c r="AE413" s="156">
        <f>VLOOKUP(N413,ProjPVT!B:I,8,0)*_Mag/VLOOKUP(P413,Standings!A:O,15,0)*H413*K413</f>
        <v/>
      </c>
      <c r="AF413" s="156">
        <f>VLOOKUP(P413,ProjPVT!B:I,8,0)*_Mag/VLOOKUP(N413,Standings!A:O,15,0)*J413*I413</f>
        <v/>
      </c>
      <c r="AG413" s="195">
        <f>VLOOKUP(N413,Matrix!AA:AC,3,0)</f>
        <v/>
      </c>
      <c r="AH413" s="195">
        <f>SUMIFS(Def!C:C,Def!F:F,AG413)</f>
        <v/>
      </c>
      <c r="AI413" s="156">
        <f>IFERROR(SUMIFS(Def!B:B,Def!F:F,AG413)/AH413,"")</f>
        <v/>
      </c>
      <c r="AJ413" s="195">
        <f>VLOOKUP(P413,Matrix!AA:AC,3,0)</f>
        <v/>
      </c>
      <c r="AK413" s="195">
        <f>SUMIFS(Def!C:C,Def!F:F,AJ413)</f>
        <v/>
      </c>
      <c r="AL413" s="156">
        <f>IFERROR(SUMIFS(Def!B:B,Def!F:F,AJ413)/AK413,"")</f>
        <v/>
      </c>
    </row>
    <row r="414" ht="14.4" customHeight="1" s="152">
      <c r="A414" s="157">
        <f>IF(F414="Yes",IFERROR(IF(AA414&gt;1,AA414/100,100/-AA414),""),-1)</f>
        <v/>
      </c>
      <c r="B414" s="157">
        <f>B413+1</f>
        <v/>
      </c>
      <c r="C414" s="157">
        <f>IF(Y414&gt;Z414,1,0)</f>
        <v/>
      </c>
      <c r="D414" s="157">
        <f>IF(AND(C414=1,F414="Yes"),"Yes",IF(AND(C414=0,F414="No"),"Yes","No"))</f>
        <v/>
      </c>
      <c r="E414" s="192">
        <f>IF((AC414+AB414)=AD414,"Push",IF((AC414+AB414)&gt;AD414,"Yes","No"))</f>
        <v/>
      </c>
      <c r="F414" s="192">
        <f>IF(AC414&gt;AD414,"Yes","No")</f>
        <v/>
      </c>
      <c r="G414" s="192">
        <f>IF((Y414+AB414)&gt;Z414,"Yes",IF((Y414+AB414)=Z414,"Push","No"))</f>
        <v/>
      </c>
      <c r="H414" s="157">
        <f>IF(O414="Home",VLOOKUP(N414,Matrix!A:S,19,0),1)</f>
        <v/>
      </c>
      <c r="I414" s="157">
        <f>IF(O414="Away",VLOOKUP(N414,Matrix!A:Z,20,0),1)</f>
        <v/>
      </c>
      <c r="J414" s="157">
        <f>IF(O414="Away",VLOOKUP(P414,Matrix!A:S,19,0),1)</f>
        <v/>
      </c>
      <c r="K414" s="157">
        <f>IF(O414="Home",VLOOKUP(P414,Matrix!A:Z,20,0),1)</f>
        <v/>
      </c>
      <c r="L414" s="156" t="n">
        <v>0.499083393381923</v>
      </c>
      <c r="M414" s="179">
        <f>Schedule!B414</f>
        <v/>
      </c>
      <c r="N414" s="156">
        <f>Schedule!E414</f>
        <v/>
      </c>
      <c r="O414" s="156" t="inlineStr">
        <is>
          <t>Home</t>
        </is>
      </c>
      <c r="P414" s="157">
        <f>Schedule!H414</f>
        <v/>
      </c>
      <c r="Q414" s="157">
        <f>Schedule!C414</f>
        <v/>
      </c>
      <c r="R414" s="180">
        <f>Schedule!D414</f>
        <v/>
      </c>
      <c r="S414" s="181">
        <f>Schedule!J414</f>
        <v/>
      </c>
      <c r="T414" s="193">
        <f>Y414-Z414</f>
        <v/>
      </c>
      <c r="U414" s="182">
        <f>T414/Picks!$K$2</f>
        <v/>
      </c>
      <c r="V414" s="193">
        <f>INDEX(Standings!$T$3:$T$34, MATCH(N414, Standings!$A$3:$A$34, 0)) - INDEX(Standings!$T$3:$T$34, MATCH(P414, Standings!$A$3:$A$34, 0))</f>
        <v/>
      </c>
      <c r="W414" s="157">
        <f>INDEX(Standings!$L$3:$L$34, MATCH(N414, Standings!$A$3:$A$34, 0)) - INDEX(Standings!$L$3:$L$34, MATCH(P414, Standings!$A$3:$A$34, 0))</f>
        <v/>
      </c>
      <c r="X414" s="157">
        <f>INDEX(Standings!$M$3:$M$34, MATCH(N414, Standings!$A$3:$A$34, 0)) - INDEX(Standings!$M$3:$M$34, MATCH(P414, Standings!$A$3:$A$34, 0))</f>
        <v/>
      </c>
      <c r="Y414" s="194">
        <f t="array" ref="Y414:Y414">IFERROR(AE414+(AL414-_DFactor)*AE414,"")</f>
        <v/>
      </c>
      <c r="Z414" s="157">
        <f>IFERROR(AF414+(AI414-_DFactor)*AF414,"")</f>
        <v/>
      </c>
      <c r="AC414" s="194">
        <f>VLOOKUP(M414&amp;N414,Schedule!A:F,6,0)</f>
        <v/>
      </c>
      <c r="AD414" s="194">
        <f>VLOOKUP(M414&amp;P414,Schedule!A:F,6,0)</f>
        <v/>
      </c>
      <c r="AE414" s="156">
        <f>VLOOKUP(N414,ProjPVT!B:I,8,0)*_Mag/VLOOKUP(P414,Standings!A:O,15,0)*H414*K414</f>
        <v/>
      </c>
      <c r="AF414" s="156">
        <f>VLOOKUP(P414,ProjPVT!B:I,8,0)*_Mag/VLOOKUP(N414,Standings!A:O,15,0)*J414*I414</f>
        <v/>
      </c>
      <c r="AG414" s="195">
        <f>VLOOKUP(N414,Matrix!AA:AC,3,0)</f>
        <v/>
      </c>
      <c r="AH414" s="195">
        <f>SUMIFS(Def!C:C,Def!F:F,AG414)</f>
        <v/>
      </c>
      <c r="AI414" s="156">
        <f>IFERROR(SUMIFS(Def!B:B,Def!F:F,AG414)/AH414,"")</f>
        <v/>
      </c>
      <c r="AJ414" s="195">
        <f>VLOOKUP(P414,Matrix!AA:AC,3,0)</f>
        <v/>
      </c>
      <c r="AK414" s="195">
        <f>SUMIFS(Def!C:C,Def!F:F,AJ414)</f>
        <v/>
      </c>
      <c r="AL414" s="156">
        <f>IFERROR(SUMIFS(Def!B:B,Def!F:F,AJ414)/AK414,"")</f>
        <v/>
      </c>
    </row>
    <row r="415" ht="14.4" customHeight="1" s="152">
      <c r="A415" s="157">
        <f>IF(F415="Yes",IFERROR(IF(AA415&gt;1,AA415/100,100/-AA415),""),-1)</f>
        <v/>
      </c>
      <c r="B415" s="157">
        <f>B414+1</f>
        <v/>
      </c>
      <c r="C415" s="157">
        <f>IF(Y415&gt;Z415,1,0)</f>
        <v/>
      </c>
      <c r="D415" s="157">
        <f>IF(AND(C415=1,F415="Yes"),"Yes",IF(AND(C415=0,F415="No"),"Yes","No"))</f>
        <v/>
      </c>
      <c r="E415" s="192">
        <f>IF((AC415+AB415)=AD415,"Push",IF((AC415+AB415)&gt;AD415,"Yes","No"))</f>
        <v/>
      </c>
      <c r="F415" s="192">
        <f>IF(AC415&gt;AD415,"Yes","No")</f>
        <v/>
      </c>
      <c r="G415" s="192">
        <f>IF((Y415+AB415)&gt;Z415,"Yes",IF((Y415+AB415)=Z415,"Push","No"))</f>
        <v/>
      </c>
      <c r="H415" s="157">
        <f>IF(O415="Home",VLOOKUP(N415,Matrix!A:S,19,0),1)</f>
        <v/>
      </c>
      <c r="I415" s="157">
        <f>IF(O415="Away",VLOOKUP(N415,Matrix!A:Z,20,0),1)</f>
        <v/>
      </c>
      <c r="J415" s="157">
        <f>IF(O415="Away",VLOOKUP(P415,Matrix!A:S,19,0),1)</f>
        <v/>
      </c>
      <c r="K415" s="157">
        <f>IF(O415="Home",VLOOKUP(P415,Matrix!A:Z,20,0),1)</f>
        <v/>
      </c>
      <c r="L415" s="156" t="n">
        <v>0.511277814816339</v>
      </c>
      <c r="M415" s="179">
        <f>Schedule!B415</f>
        <v/>
      </c>
      <c r="N415" s="156">
        <f>Schedule!E415</f>
        <v/>
      </c>
      <c r="O415" s="156" t="inlineStr">
        <is>
          <t>Home</t>
        </is>
      </c>
      <c r="P415" s="157">
        <f>Schedule!H415</f>
        <v/>
      </c>
      <c r="Q415" s="157">
        <f>Schedule!C415</f>
        <v/>
      </c>
      <c r="R415" s="180">
        <f>Schedule!D415</f>
        <v/>
      </c>
      <c r="S415" s="181">
        <f>Schedule!J415</f>
        <v/>
      </c>
      <c r="T415" s="193">
        <f>Y415-Z415</f>
        <v/>
      </c>
      <c r="U415" s="182">
        <f>T415/Picks!$K$2</f>
        <v/>
      </c>
      <c r="V415" s="193">
        <f>INDEX(Standings!$T$3:$T$34, MATCH(N415, Standings!$A$3:$A$34, 0)) - INDEX(Standings!$T$3:$T$34, MATCH(P415, Standings!$A$3:$A$34, 0))</f>
        <v/>
      </c>
      <c r="W415" s="157">
        <f>INDEX(Standings!$L$3:$L$34, MATCH(N415, Standings!$A$3:$A$34, 0)) - INDEX(Standings!$L$3:$L$34, MATCH(P415, Standings!$A$3:$A$34, 0))</f>
        <v/>
      </c>
      <c r="X415" s="157">
        <f>INDEX(Standings!$M$3:$M$34, MATCH(N415, Standings!$A$3:$A$34, 0)) - INDEX(Standings!$M$3:$M$34, MATCH(P415, Standings!$A$3:$A$34, 0))</f>
        <v/>
      </c>
      <c r="Y415" s="194">
        <f t="array" ref="Y415:Y415">IFERROR(AE415+(AL415-_DFactor)*AE415,"")</f>
        <v/>
      </c>
      <c r="Z415" s="157">
        <f>IFERROR(AF415+(AI415-_DFactor)*AF415,"")</f>
        <v/>
      </c>
      <c r="AC415" s="194">
        <f>VLOOKUP(M415&amp;N415,Schedule!A:F,6,0)</f>
        <v/>
      </c>
      <c r="AD415" s="194">
        <f>VLOOKUP(M415&amp;P415,Schedule!A:F,6,0)</f>
        <v/>
      </c>
      <c r="AE415" s="156">
        <f>VLOOKUP(N415,ProjPVT!B:I,8,0)*_Mag/VLOOKUP(P415,Standings!A:O,15,0)*H415*K415</f>
        <v/>
      </c>
      <c r="AF415" s="156">
        <f>VLOOKUP(P415,ProjPVT!B:I,8,0)*_Mag/VLOOKUP(N415,Standings!A:O,15,0)*J415*I415</f>
        <v/>
      </c>
      <c r="AG415" s="195">
        <f>VLOOKUP(N415,Matrix!AA:AC,3,0)</f>
        <v/>
      </c>
      <c r="AH415" s="195">
        <f>SUMIFS(Def!C:C,Def!F:F,AG415)</f>
        <v/>
      </c>
      <c r="AI415" s="156">
        <f>IFERROR(SUMIFS(Def!B:B,Def!F:F,AG415)/AH415,"")</f>
        <v/>
      </c>
      <c r="AJ415" s="195">
        <f>VLOOKUP(P415,Matrix!AA:AC,3,0)</f>
        <v/>
      </c>
      <c r="AK415" s="195">
        <f>SUMIFS(Def!C:C,Def!F:F,AJ415)</f>
        <v/>
      </c>
      <c r="AL415" s="156">
        <f>IFERROR(SUMIFS(Def!B:B,Def!F:F,AJ415)/AK415,"")</f>
        <v/>
      </c>
    </row>
    <row r="416" ht="14.4" customHeight="1" s="152">
      <c r="A416" s="157">
        <f>IF(F416="Yes",IFERROR(IF(AA416&gt;1,AA416/100,100/-AA416),""),-1)</f>
        <v/>
      </c>
      <c r="B416" s="157">
        <f>B415+1</f>
        <v/>
      </c>
      <c r="C416" s="157">
        <f>IF(Y416&gt;Z416,1,0)</f>
        <v/>
      </c>
      <c r="D416" s="157">
        <f>IF(AND(C416=1,F416="Yes"),"Yes",IF(AND(C416=0,F416="No"),"Yes","No"))</f>
        <v/>
      </c>
      <c r="E416" s="192">
        <f>IF((AC416+AB416)=AD416,"Push",IF((AC416+AB416)&gt;AD416,"Yes","No"))</f>
        <v/>
      </c>
      <c r="F416" s="192">
        <f>IF(AC416&gt;AD416,"Yes","No")</f>
        <v/>
      </c>
      <c r="G416" s="192">
        <f>IF((Y416+AB416)&gt;Z416,"Yes",IF((Y416+AB416)=Z416,"Push","No"))</f>
        <v/>
      </c>
      <c r="H416" s="157">
        <f>IF(O416="Home",VLOOKUP(N416,Matrix!A:S,19,0),1)</f>
        <v/>
      </c>
      <c r="I416" s="157">
        <f>IF(O416="Away",VLOOKUP(N416,Matrix!A:Z,20,0),1)</f>
        <v/>
      </c>
      <c r="J416" s="157">
        <f>IF(O416="Away",VLOOKUP(P416,Matrix!A:S,19,0),1)</f>
        <v/>
      </c>
      <c r="K416" s="157">
        <f>IF(O416="Home",VLOOKUP(P416,Matrix!A:Z,20,0),1)</f>
        <v/>
      </c>
      <c r="L416" s="156" t="n">
        <v>0.5951526043125021</v>
      </c>
      <c r="M416" s="179">
        <f>Schedule!B416</f>
        <v/>
      </c>
      <c r="N416" s="156">
        <f>Schedule!E416</f>
        <v/>
      </c>
      <c r="O416" s="156" t="inlineStr">
        <is>
          <t>Home</t>
        </is>
      </c>
      <c r="P416" s="157">
        <f>Schedule!H416</f>
        <v/>
      </c>
      <c r="Q416" s="157">
        <f>Schedule!C416</f>
        <v/>
      </c>
      <c r="R416" s="180">
        <f>Schedule!D416</f>
        <v/>
      </c>
      <c r="S416" s="181">
        <f>Schedule!J416</f>
        <v/>
      </c>
      <c r="T416" s="193">
        <f>Y416-Z416</f>
        <v/>
      </c>
      <c r="U416" s="182">
        <f>T416/Picks!$K$2</f>
        <v/>
      </c>
      <c r="V416" s="193">
        <f>INDEX(Standings!$T$3:$T$34, MATCH(N416, Standings!$A$3:$A$34, 0)) - INDEX(Standings!$T$3:$T$34, MATCH(P416, Standings!$A$3:$A$34, 0))</f>
        <v/>
      </c>
      <c r="W416" s="157">
        <f>INDEX(Standings!$L$3:$L$34, MATCH(N416, Standings!$A$3:$A$34, 0)) - INDEX(Standings!$L$3:$L$34, MATCH(P416, Standings!$A$3:$A$34, 0))</f>
        <v/>
      </c>
      <c r="X416" s="157">
        <f>INDEX(Standings!$M$3:$M$34, MATCH(N416, Standings!$A$3:$A$34, 0)) - INDEX(Standings!$M$3:$M$34, MATCH(P416, Standings!$A$3:$A$34, 0))</f>
        <v/>
      </c>
      <c r="Y416" s="194">
        <f t="array" ref="Y416:Y416">IFERROR(AE416+(AL416-_DFactor)*AE416,"")</f>
        <v/>
      </c>
      <c r="Z416" s="157">
        <f>IFERROR(AF416+(AI416-_DFactor)*AF416,"")</f>
        <v/>
      </c>
      <c r="AC416" s="194">
        <f>VLOOKUP(M416&amp;N416,Schedule!A:F,6,0)</f>
        <v/>
      </c>
      <c r="AD416" s="194">
        <f>VLOOKUP(M416&amp;P416,Schedule!A:F,6,0)</f>
        <v/>
      </c>
      <c r="AE416" s="156">
        <f>VLOOKUP(N416,ProjPVT!B:I,8,0)*_Mag/VLOOKUP(P416,Standings!A:O,15,0)*H416*K416</f>
        <v/>
      </c>
      <c r="AF416" s="156">
        <f>VLOOKUP(P416,ProjPVT!B:I,8,0)*_Mag/VLOOKUP(N416,Standings!A:O,15,0)*J416*I416</f>
        <v/>
      </c>
      <c r="AG416" s="195">
        <f>VLOOKUP(N416,Matrix!AA:AC,3,0)</f>
        <v/>
      </c>
      <c r="AH416" s="195">
        <f>SUMIFS(Def!C:C,Def!F:F,AG416)</f>
        <v/>
      </c>
      <c r="AI416" s="156">
        <f>IFERROR(SUMIFS(Def!B:B,Def!F:F,AG416)/AH416,"")</f>
        <v/>
      </c>
      <c r="AJ416" s="195">
        <f>VLOOKUP(P416,Matrix!AA:AC,3,0)</f>
        <v/>
      </c>
      <c r="AK416" s="195">
        <f>SUMIFS(Def!C:C,Def!F:F,AJ416)</f>
        <v/>
      </c>
      <c r="AL416" s="156">
        <f>IFERROR(SUMIFS(Def!B:B,Def!F:F,AJ416)/AK416,"")</f>
        <v/>
      </c>
    </row>
    <row r="417" ht="14.4" customHeight="1" s="152">
      <c r="A417" s="157">
        <f>IF(F417="Yes",IFERROR(IF(AA417&gt;1,AA417/100,100/-AA417),""),-1)</f>
        <v/>
      </c>
      <c r="B417" s="157">
        <f>B416+1</f>
        <v/>
      </c>
      <c r="C417" s="157">
        <f>IF(Y417&gt;Z417,1,0)</f>
        <v/>
      </c>
      <c r="D417" s="157">
        <f>IF(AND(C417=1,F417="Yes"),"Yes",IF(AND(C417=0,F417="No"),"Yes","No"))</f>
        <v/>
      </c>
      <c r="E417" s="192">
        <f>IF((AC417+AB417)=AD417,"Push",IF((AC417+AB417)&gt;AD417,"Yes","No"))</f>
        <v/>
      </c>
      <c r="F417" s="192">
        <f>IF(AC417&gt;AD417,"Yes","No")</f>
        <v/>
      </c>
      <c r="G417" s="192">
        <f>IF((Y417+AB417)&gt;Z417,"Yes",IF((Y417+AB417)=Z417,"Push","No"))</f>
        <v/>
      </c>
      <c r="H417" s="157">
        <f>IF(O417="Home",VLOOKUP(N417,Matrix!A:S,19,0),1)</f>
        <v/>
      </c>
      <c r="I417" s="157">
        <f>IF(O417="Away",VLOOKUP(N417,Matrix!A:Z,20,0),1)</f>
        <v/>
      </c>
      <c r="J417" s="157">
        <f>IF(O417="Away",VLOOKUP(P417,Matrix!A:S,19,0),1)</f>
        <v/>
      </c>
      <c r="K417" s="157">
        <f>IF(O417="Home",VLOOKUP(P417,Matrix!A:Z,20,0),1)</f>
        <v/>
      </c>
      <c r="L417" s="156" t="n">
        <v>0.713273785340522</v>
      </c>
      <c r="M417" s="179">
        <f>Schedule!B417</f>
        <v/>
      </c>
      <c r="N417" s="156">
        <f>Schedule!E417</f>
        <v/>
      </c>
      <c r="O417" s="156" t="inlineStr">
        <is>
          <t>Home</t>
        </is>
      </c>
      <c r="P417" s="157">
        <f>Schedule!H417</f>
        <v/>
      </c>
      <c r="Q417" s="157">
        <f>Schedule!C417</f>
        <v/>
      </c>
      <c r="R417" s="180">
        <f>Schedule!D417</f>
        <v/>
      </c>
      <c r="S417" s="181">
        <f>Schedule!J417</f>
        <v/>
      </c>
      <c r="T417" s="193">
        <f>Y417-Z417</f>
        <v/>
      </c>
      <c r="U417" s="182">
        <f>T417/Picks!$K$2</f>
        <v/>
      </c>
      <c r="V417" s="193">
        <f>INDEX(Standings!$T$3:$T$34, MATCH(N417, Standings!$A$3:$A$34, 0)) - INDEX(Standings!$T$3:$T$34, MATCH(P417, Standings!$A$3:$A$34, 0))</f>
        <v/>
      </c>
      <c r="W417" s="157">
        <f>INDEX(Standings!$L$3:$L$34, MATCH(N417, Standings!$A$3:$A$34, 0)) - INDEX(Standings!$L$3:$L$34, MATCH(P417, Standings!$A$3:$A$34, 0))</f>
        <v/>
      </c>
      <c r="X417" s="157">
        <f>INDEX(Standings!$M$3:$M$34, MATCH(N417, Standings!$A$3:$A$34, 0)) - INDEX(Standings!$M$3:$M$34, MATCH(P417, Standings!$A$3:$A$34, 0))</f>
        <v/>
      </c>
      <c r="Y417" s="194">
        <f t="array" ref="Y417:Y417">IFERROR(AE417+(AL417-_DFactor)*AE417,"")</f>
        <v/>
      </c>
      <c r="Z417" s="157">
        <f>IFERROR(AF417+(AI417-_DFactor)*AF417,"")</f>
        <v/>
      </c>
      <c r="AC417" s="194">
        <f>VLOOKUP(M417&amp;N417,Schedule!A:F,6,0)</f>
        <v/>
      </c>
      <c r="AD417" s="194">
        <f>VLOOKUP(M417&amp;P417,Schedule!A:F,6,0)</f>
        <v/>
      </c>
      <c r="AE417" s="156">
        <f>VLOOKUP(N417,ProjPVT!B:I,8,0)*_Mag/VLOOKUP(P417,Standings!A:O,15,0)*H417*K417</f>
        <v/>
      </c>
      <c r="AF417" s="156">
        <f>VLOOKUP(P417,ProjPVT!B:I,8,0)*_Mag/VLOOKUP(N417,Standings!A:O,15,0)*J417*I417</f>
        <v/>
      </c>
      <c r="AG417" s="195">
        <f>VLOOKUP(N417,Matrix!AA:AC,3,0)</f>
        <v/>
      </c>
      <c r="AH417" s="195">
        <f>SUMIFS(Def!C:C,Def!F:F,AG417)</f>
        <v/>
      </c>
      <c r="AI417" s="156">
        <f>IFERROR(SUMIFS(Def!B:B,Def!F:F,AG417)/AH417,"")</f>
        <v/>
      </c>
      <c r="AJ417" s="195">
        <f>VLOOKUP(P417,Matrix!AA:AC,3,0)</f>
        <v/>
      </c>
      <c r="AK417" s="195">
        <f>SUMIFS(Def!C:C,Def!F:F,AJ417)</f>
        <v/>
      </c>
      <c r="AL417" s="156">
        <f>IFERROR(SUMIFS(Def!B:B,Def!F:F,AJ417)/AK417,"")</f>
        <v/>
      </c>
    </row>
    <row r="418" ht="14.4" customHeight="1" s="152">
      <c r="A418" s="157">
        <f>IF(F418="Yes",IFERROR(IF(AA418&gt;1,AA418/100,100/-AA418),""),-1)</f>
        <v/>
      </c>
      <c r="B418" s="157">
        <f>B417+1</f>
        <v/>
      </c>
      <c r="C418" s="157">
        <f>IF(Y418&gt;Z418,1,0)</f>
        <v/>
      </c>
      <c r="D418" s="157">
        <f>IF(AND(C418=1,F418="Yes"),"Yes",IF(AND(C418=0,F418="No"),"Yes","No"))</f>
        <v/>
      </c>
      <c r="E418" s="192">
        <f>IF((AC418+AB418)=AD418,"Push",IF((AC418+AB418)&gt;AD418,"Yes","No"))</f>
        <v/>
      </c>
      <c r="F418" s="192">
        <f>IF(AC418&gt;AD418,"Yes","No")</f>
        <v/>
      </c>
      <c r="G418" s="192">
        <f>IF((Y418+AB418)&gt;Z418,"Yes",IF((Y418+AB418)=Z418,"Push","No"))</f>
        <v/>
      </c>
      <c r="H418" s="157">
        <f>IF(O418="Home",VLOOKUP(N418,Matrix!A:S,19,0),1)</f>
        <v/>
      </c>
      <c r="I418" s="157">
        <f>IF(O418="Away",VLOOKUP(N418,Matrix!A:Z,20,0),1)</f>
        <v/>
      </c>
      <c r="J418" s="157">
        <f>IF(O418="Away",VLOOKUP(P418,Matrix!A:S,19,0),1)</f>
        <v/>
      </c>
      <c r="K418" s="157">
        <f>IF(O418="Home",VLOOKUP(P418,Matrix!A:Z,20,0),1)</f>
        <v/>
      </c>
      <c r="L418" s="156" t="n">
        <v>-0.661197754904899</v>
      </c>
      <c r="M418" s="179">
        <f>Schedule!B418</f>
        <v/>
      </c>
      <c r="N418" s="156">
        <f>Schedule!E418</f>
        <v/>
      </c>
      <c r="O418" s="156" t="inlineStr">
        <is>
          <t>Home</t>
        </is>
      </c>
      <c r="P418" s="157">
        <f>Schedule!H418</f>
        <v/>
      </c>
      <c r="Q418" s="157">
        <f>Schedule!C418</f>
        <v/>
      </c>
      <c r="R418" s="180">
        <f>Schedule!D418</f>
        <v/>
      </c>
      <c r="S418" s="181">
        <f>Schedule!J418</f>
        <v/>
      </c>
      <c r="T418" s="193">
        <f>Y418-Z418</f>
        <v/>
      </c>
      <c r="U418" s="182">
        <f>T418/Picks!$K$2</f>
        <v/>
      </c>
      <c r="V418" s="193">
        <f>INDEX(Standings!$T$3:$T$34, MATCH(N418, Standings!$A$3:$A$34, 0)) - INDEX(Standings!$T$3:$T$34, MATCH(P418, Standings!$A$3:$A$34, 0))</f>
        <v/>
      </c>
      <c r="W418" s="157">
        <f>INDEX(Standings!$L$3:$L$34, MATCH(N418, Standings!$A$3:$A$34, 0)) - INDEX(Standings!$L$3:$L$34, MATCH(P418, Standings!$A$3:$A$34, 0))</f>
        <v/>
      </c>
      <c r="X418" s="157">
        <f>INDEX(Standings!$M$3:$M$34, MATCH(N418, Standings!$A$3:$A$34, 0)) - INDEX(Standings!$M$3:$M$34, MATCH(P418, Standings!$A$3:$A$34, 0))</f>
        <v/>
      </c>
      <c r="Y418" s="194">
        <f t="array" ref="Y418:Y418">IFERROR(AE418+(AL418-_DFactor)*AE418,"")</f>
        <v/>
      </c>
      <c r="Z418" s="157">
        <f>IFERROR(AF418+(AI418-_DFactor)*AF418,"")</f>
        <v/>
      </c>
      <c r="AC418" s="194">
        <f>VLOOKUP(M418&amp;N418,Schedule!A:F,6,0)</f>
        <v/>
      </c>
      <c r="AD418" s="194">
        <f>VLOOKUP(M418&amp;P418,Schedule!A:F,6,0)</f>
        <v/>
      </c>
      <c r="AE418" s="156">
        <f>VLOOKUP(N418,ProjPVT!B:I,8,0)*_Mag/VLOOKUP(P418,Standings!A:O,15,0)*H418*K418</f>
        <v/>
      </c>
      <c r="AF418" s="156">
        <f>VLOOKUP(P418,ProjPVT!B:I,8,0)*_Mag/VLOOKUP(N418,Standings!A:O,15,0)*J418*I418</f>
        <v/>
      </c>
      <c r="AG418" s="195">
        <f>VLOOKUP(N418,Matrix!AA:AC,3,0)</f>
        <v/>
      </c>
      <c r="AH418" s="195">
        <f>SUMIFS(Def!C:C,Def!F:F,AG418)</f>
        <v/>
      </c>
      <c r="AI418" s="156">
        <f>IFERROR(SUMIFS(Def!B:B,Def!F:F,AG418)/AH418,"")</f>
        <v/>
      </c>
      <c r="AJ418" s="195">
        <f>VLOOKUP(P418,Matrix!AA:AC,3,0)</f>
        <v/>
      </c>
      <c r="AK418" s="195">
        <f>SUMIFS(Def!C:C,Def!F:F,AJ418)</f>
        <v/>
      </c>
      <c r="AL418" s="156">
        <f>IFERROR(SUMIFS(Def!B:B,Def!F:F,AJ418)/AK418,"")</f>
        <v/>
      </c>
    </row>
    <row r="419" ht="14.4" customHeight="1" s="152">
      <c r="A419" s="157">
        <f>IF(F419="Yes",IFERROR(IF(AA419&gt;1,AA419/100,100/-AA419),""),-1)</f>
        <v/>
      </c>
      <c r="B419" s="157">
        <f>B418+1</f>
        <v/>
      </c>
      <c r="C419" s="157">
        <f>IF(Y419&gt;Z419,1,0)</f>
        <v/>
      </c>
      <c r="D419" s="157">
        <f>IF(AND(C419=1,F419="Yes"),"Yes",IF(AND(C419=0,F419="No"),"Yes","No"))</f>
        <v/>
      </c>
      <c r="E419" s="192">
        <f>IF((AC419+AB419)=AD419,"Push",IF((AC419+AB419)&gt;AD419,"Yes","No"))</f>
        <v/>
      </c>
      <c r="F419" s="192">
        <f>IF(AC419&gt;AD419,"Yes","No")</f>
        <v/>
      </c>
      <c r="G419" s="192">
        <f>IF((Y419+AB419)&gt;Z419,"Yes",IF((Y419+AB419)=Z419,"Push","No"))</f>
        <v/>
      </c>
      <c r="H419" s="157">
        <f>IF(O419="Home",VLOOKUP(N419,Matrix!A:S,19,0),1)</f>
        <v/>
      </c>
      <c r="I419" s="157">
        <f>IF(O419="Away",VLOOKUP(N419,Matrix!A:Z,20,0),1)</f>
        <v/>
      </c>
      <c r="J419" s="157">
        <f>IF(O419="Away",VLOOKUP(P419,Matrix!A:S,19,0),1)</f>
        <v/>
      </c>
      <c r="K419" s="157">
        <f>IF(O419="Home",VLOOKUP(P419,Matrix!A:Z,20,0),1)</f>
        <v/>
      </c>
      <c r="L419" s="156" t="n">
        <v>-0.490496136014335</v>
      </c>
      <c r="M419" s="179">
        <f>Schedule!B419</f>
        <v/>
      </c>
      <c r="N419" s="156">
        <f>Schedule!E419</f>
        <v/>
      </c>
      <c r="O419" s="156" t="inlineStr">
        <is>
          <t>Home</t>
        </is>
      </c>
      <c r="P419" s="157">
        <f>Schedule!H419</f>
        <v/>
      </c>
      <c r="Q419" s="157">
        <f>Schedule!C419</f>
        <v/>
      </c>
      <c r="R419" s="180">
        <f>Schedule!D419</f>
        <v/>
      </c>
      <c r="S419" s="181">
        <f>Schedule!J419</f>
        <v/>
      </c>
      <c r="T419" s="193">
        <f>Y419-Z419</f>
        <v/>
      </c>
      <c r="U419" s="182">
        <f>T419/Picks!$K$2</f>
        <v/>
      </c>
      <c r="V419" s="193">
        <f>INDEX(Standings!$T$3:$T$34, MATCH(N419, Standings!$A$3:$A$34, 0)) - INDEX(Standings!$T$3:$T$34, MATCH(P419, Standings!$A$3:$A$34, 0))</f>
        <v/>
      </c>
      <c r="W419" s="157">
        <f>INDEX(Standings!$L$3:$L$34, MATCH(N419, Standings!$A$3:$A$34, 0)) - INDEX(Standings!$L$3:$L$34, MATCH(P419, Standings!$A$3:$A$34, 0))</f>
        <v/>
      </c>
      <c r="X419" s="157">
        <f>INDEX(Standings!$M$3:$M$34, MATCH(N419, Standings!$A$3:$A$34, 0)) - INDEX(Standings!$M$3:$M$34, MATCH(P419, Standings!$A$3:$A$34, 0))</f>
        <v/>
      </c>
      <c r="Y419" s="194">
        <f t="array" ref="Y419:Y419">IFERROR(AE419+(AL419-_DFactor)*AE419,"")</f>
        <v/>
      </c>
      <c r="Z419" s="157">
        <f>IFERROR(AF419+(AI419-_DFactor)*AF419,"")</f>
        <v/>
      </c>
      <c r="AC419" s="194">
        <f>VLOOKUP(M419&amp;N419,Schedule!A:F,6,0)</f>
        <v/>
      </c>
      <c r="AD419" s="194">
        <f>VLOOKUP(M419&amp;P419,Schedule!A:F,6,0)</f>
        <v/>
      </c>
      <c r="AE419" s="156">
        <f>VLOOKUP(N419,ProjPVT!B:I,8,0)*_Mag/VLOOKUP(P419,Standings!A:O,15,0)*H419*K419</f>
        <v/>
      </c>
      <c r="AF419" s="156">
        <f>VLOOKUP(P419,ProjPVT!B:I,8,0)*_Mag/VLOOKUP(N419,Standings!A:O,15,0)*J419*I419</f>
        <v/>
      </c>
      <c r="AG419" s="195">
        <f>VLOOKUP(N419,Matrix!AA:AC,3,0)</f>
        <v/>
      </c>
      <c r="AH419" s="195">
        <f>SUMIFS(Def!C:C,Def!F:F,AG419)</f>
        <v/>
      </c>
      <c r="AI419" s="156">
        <f>IFERROR(SUMIFS(Def!B:B,Def!F:F,AG419)/AH419,"")</f>
        <v/>
      </c>
      <c r="AJ419" s="195">
        <f>VLOOKUP(P419,Matrix!AA:AC,3,0)</f>
        <v/>
      </c>
      <c r="AK419" s="195">
        <f>SUMIFS(Def!C:C,Def!F:F,AJ419)</f>
        <v/>
      </c>
      <c r="AL419" s="156">
        <f>IFERROR(SUMIFS(Def!B:B,Def!F:F,AJ419)/AK419,"")</f>
        <v/>
      </c>
    </row>
    <row r="420" ht="14.4" customHeight="1" s="152">
      <c r="A420" s="157">
        <f>IF(F420="Yes",IFERROR(IF(AA420&gt;1,AA420/100,100/-AA420),""),-1)</f>
        <v/>
      </c>
      <c r="B420" s="157">
        <f>B419+1</f>
        <v/>
      </c>
      <c r="C420" s="157">
        <f>IF(Y420&gt;Z420,1,0)</f>
        <v/>
      </c>
      <c r="D420" s="157">
        <f>IF(AND(C420=1,F420="Yes"),"Yes",IF(AND(C420=0,F420="No"),"Yes","No"))</f>
        <v/>
      </c>
      <c r="E420" s="192">
        <f>IF((AC420+AB420)=AD420,"Push",IF((AC420+AB420)&gt;AD420,"Yes","No"))</f>
        <v/>
      </c>
      <c r="F420" s="192">
        <f>IF(AC420&gt;AD420,"Yes","No")</f>
        <v/>
      </c>
      <c r="G420" s="192">
        <f>IF((Y420+AB420)&gt;Z420,"Yes",IF((Y420+AB420)=Z420,"Push","No"))</f>
        <v/>
      </c>
      <c r="H420" s="157">
        <f>IF(O420="Home",VLOOKUP(N420,Matrix!A:S,19,0),1)</f>
        <v/>
      </c>
      <c r="I420" s="157">
        <f>IF(O420="Away",VLOOKUP(N420,Matrix!A:Z,20,0),1)</f>
        <v/>
      </c>
      <c r="J420" s="157">
        <f>IF(O420="Away",VLOOKUP(P420,Matrix!A:S,19,0),1)</f>
        <v/>
      </c>
      <c r="K420" s="157">
        <f>IF(O420="Home",VLOOKUP(P420,Matrix!A:Z,20,0),1)</f>
        <v/>
      </c>
      <c r="L420" s="156" t="n">
        <v>-0.367911712005628</v>
      </c>
      <c r="M420" s="179">
        <f>Schedule!B420</f>
        <v/>
      </c>
      <c r="N420" s="156">
        <f>Schedule!E420</f>
        <v/>
      </c>
      <c r="O420" s="156" t="inlineStr">
        <is>
          <t>Away</t>
        </is>
      </c>
      <c r="P420" s="157">
        <f>Schedule!H420</f>
        <v/>
      </c>
      <c r="Q420" s="157">
        <f>Schedule!C420</f>
        <v/>
      </c>
      <c r="R420" s="180">
        <f>Schedule!D420</f>
        <v/>
      </c>
      <c r="S420" s="181">
        <f>Schedule!J420</f>
        <v/>
      </c>
      <c r="T420" s="193">
        <f>Y420-Z420</f>
        <v/>
      </c>
      <c r="U420" s="182">
        <f>T420/Picks!$K$2</f>
        <v/>
      </c>
      <c r="V420" s="193">
        <f>INDEX(Standings!$T$3:$T$34, MATCH(N420, Standings!$A$3:$A$34, 0)) - INDEX(Standings!$T$3:$T$34, MATCH(P420, Standings!$A$3:$A$34, 0))</f>
        <v/>
      </c>
      <c r="W420" s="157">
        <f>INDEX(Standings!$L$3:$L$34, MATCH(N420, Standings!$A$3:$A$34, 0)) - INDEX(Standings!$L$3:$L$34, MATCH(P420, Standings!$A$3:$A$34, 0))</f>
        <v/>
      </c>
      <c r="X420" s="157">
        <f>INDEX(Standings!$M$3:$M$34, MATCH(N420, Standings!$A$3:$A$34, 0)) - INDEX(Standings!$M$3:$M$34, MATCH(P420, Standings!$A$3:$A$34, 0))</f>
        <v/>
      </c>
      <c r="Y420" s="194">
        <f t="array" ref="Y420:Y420">IFERROR(AE420+(AL420-_DFactor)*AE420,"")</f>
        <v/>
      </c>
      <c r="Z420" s="157">
        <f>IFERROR(AF420+(AI420-_DFactor)*AF420,"")</f>
        <v/>
      </c>
      <c r="AC420" s="194">
        <f>VLOOKUP(M420&amp;N420,Schedule!A:F,6,0)</f>
        <v/>
      </c>
      <c r="AD420" s="194">
        <f>VLOOKUP(M420&amp;P420,Schedule!A:F,6,0)</f>
        <v/>
      </c>
      <c r="AE420" s="156">
        <f>VLOOKUP(N420,ProjPVT!B:I,8,0)*_Mag/VLOOKUP(P420,Standings!A:O,15,0)*H420*K420</f>
        <v/>
      </c>
      <c r="AF420" s="156">
        <f>VLOOKUP(P420,ProjPVT!B:I,8,0)*_Mag/VLOOKUP(N420,Standings!A:O,15,0)*J420*I420</f>
        <v/>
      </c>
      <c r="AG420" s="195">
        <f>VLOOKUP(N420,Matrix!AA:AC,3,0)</f>
        <v/>
      </c>
      <c r="AH420" s="195">
        <f>SUMIFS(Def!C:C,Def!F:F,AG420)</f>
        <v/>
      </c>
      <c r="AI420" s="156">
        <f>IFERROR(SUMIFS(Def!B:B,Def!F:F,AG420)/AH420,"")</f>
        <v/>
      </c>
      <c r="AJ420" s="195">
        <f>VLOOKUP(P420,Matrix!AA:AC,3,0)</f>
        <v/>
      </c>
      <c r="AK420" s="195">
        <f>SUMIFS(Def!C:C,Def!F:F,AJ420)</f>
        <v/>
      </c>
      <c r="AL420" s="156">
        <f>IFERROR(SUMIFS(Def!B:B,Def!F:F,AJ420)/AK420,"")</f>
        <v/>
      </c>
    </row>
    <row r="421" ht="14.4" customHeight="1" s="152">
      <c r="A421" s="157">
        <f>IF(F421="Yes",IFERROR(IF(AA421&gt;1,AA421/100,100/-AA421),""),-1)</f>
        <v/>
      </c>
      <c r="B421" s="157">
        <f>B420+1</f>
        <v/>
      </c>
      <c r="C421" s="157">
        <f>IF(Y421&gt;Z421,1,0)</f>
        <v/>
      </c>
      <c r="D421" s="157">
        <f>IF(AND(C421=1,F421="Yes"),"Yes",IF(AND(C421=0,F421="No"),"Yes","No"))</f>
        <v/>
      </c>
      <c r="E421" s="192">
        <f>IF((AC421+AB421)=AD421,"Push",IF((AC421+AB421)&gt;AD421,"Yes","No"))</f>
        <v/>
      </c>
      <c r="F421" s="192">
        <f>IF(AC421&gt;AD421,"Yes","No")</f>
        <v/>
      </c>
      <c r="G421" s="192">
        <f>IF((Y421+AB421)&gt;Z421,"Yes",IF((Y421+AB421)=Z421,"Push","No"))</f>
        <v/>
      </c>
      <c r="H421" s="157">
        <f>IF(O421="Home",VLOOKUP(N421,Matrix!A:S,19,0),1)</f>
        <v/>
      </c>
      <c r="I421" s="157">
        <f>IF(O421="Away",VLOOKUP(N421,Matrix!A:Z,20,0),1)</f>
        <v/>
      </c>
      <c r="J421" s="157">
        <f>IF(O421="Away",VLOOKUP(P421,Matrix!A:S,19,0),1)</f>
        <v/>
      </c>
      <c r="K421" s="157">
        <f>IF(O421="Home",VLOOKUP(P421,Matrix!A:Z,20,0),1)</f>
        <v/>
      </c>
      <c r="L421" s="156" t="n">
        <v>-0.307379843226756</v>
      </c>
      <c r="M421" s="179">
        <f>Schedule!B421</f>
        <v/>
      </c>
      <c r="N421" s="156">
        <f>Schedule!E421</f>
        <v/>
      </c>
      <c r="O421" s="156" t="inlineStr">
        <is>
          <t>Away</t>
        </is>
      </c>
      <c r="P421" s="157">
        <f>Schedule!H421</f>
        <v/>
      </c>
      <c r="Q421" s="157">
        <f>Schedule!C421</f>
        <v/>
      </c>
      <c r="R421" s="180">
        <f>Schedule!D421</f>
        <v/>
      </c>
      <c r="S421" s="181">
        <f>Schedule!J421</f>
        <v/>
      </c>
      <c r="T421" s="193">
        <f>Y421-Z421</f>
        <v/>
      </c>
      <c r="U421" s="182">
        <f>T421/Picks!$K$2</f>
        <v/>
      </c>
      <c r="V421" s="193">
        <f>INDEX(Standings!$T$3:$T$34, MATCH(N421, Standings!$A$3:$A$34, 0)) - INDEX(Standings!$T$3:$T$34, MATCH(P421, Standings!$A$3:$A$34, 0))</f>
        <v/>
      </c>
      <c r="W421" s="157">
        <f>INDEX(Standings!$L$3:$L$34, MATCH(N421, Standings!$A$3:$A$34, 0)) - INDEX(Standings!$L$3:$L$34, MATCH(P421, Standings!$A$3:$A$34, 0))</f>
        <v/>
      </c>
      <c r="X421" s="157">
        <f>INDEX(Standings!$M$3:$M$34, MATCH(N421, Standings!$A$3:$A$34, 0)) - INDEX(Standings!$M$3:$M$34, MATCH(P421, Standings!$A$3:$A$34, 0))</f>
        <v/>
      </c>
      <c r="Y421" s="194">
        <f t="array" ref="Y421:Y421">IFERROR(AE421+(AL421-_DFactor)*AE421,"")</f>
        <v/>
      </c>
      <c r="Z421" s="157">
        <f>IFERROR(AF421+(AI421-_DFactor)*AF421,"")</f>
        <v/>
      </c>
      <c r="AC421" s="194">
        <f>VLOOKUP(M421&amp;N421,Schedule!A:F,6,0)</f>
        <v/>
      </c>
      <c r="AD421" s="194">
        <f>VLOOKUP(M421&amp;P421,Schedule!A:F,6,0)</f>
        <v/>
      </c>
      <c r="AE421" s="156">
        <f>VLOOKUP(N421,ProjPVT!B:I,8,0)*_Mag/VLOOKUP(P421,Standings!A:O,15,0)*H421*K421</f>
        <v/>
      </c>
      <c r="AF421" s="156">
        <f>VLOOKUP(P421,ProjPVT!B:I,8,0)*_Mag/VLOOKUP(N421,Standings!A:O,15,0)*J421*I421</f>
        <v/>
      </c>
      <c r="AG421" s="195">
        <f>VLOOKUP(N421,Matrix!AA:AC,3,0)</f>
        <v/>
      </c>
      <c r="AH421" s="195">
        <f>SUMIFS(Def!C:C,Def!F:F,AG421)</f>
        <v/>
      </c>
      <c r="AI421" s="156">
        <f>IFERROR(SUMIFS(Def!B:B,Def!F:F,AG421)/AH421,"")</f>
        <v/>
      </c>
      <c r="AJ421" s="195">
        <f>VLOOKUP(P421,Matrix!AA:AC,3,0)</f>
        <v/>
      </c>
      <c r="AK421" s="195">
        <f>SUMIFS(Def!C:C,Def!F:F,AJ421)</f>
        <v/>
      </c>
      <c r="AL421" s="156">
        <f>IFERROR(SUMIFS(Def!B:B,Def!F:F,AJ421)/AK421,"")</f>
        <v/>
      </c>
    </row>
    <row r="422" ht="14.4" customHeight="1" s="152">
      <c r="A422" s="157">
        <f>IF(F422="Yes",IFERROR(IF(AA422&gt;1,AA422/100,100/-AA422),""),-1)</f>
        <v/>
      </c>
      <c r="B422" s="157">
        <f>B421+1</f>
        <v/>
      </c>
      <c r="C422" s="157">
        <f>IF(Y422&gt;Z422,1,0)</f>
        <v/>
      </c>
      <c r="D422" s="157">
        <f>IF(AND(C422=1,F422="Yes"),"Yes",IF(AND(C422=0,F422="No"),"Yes","No"))</f>
        <v/>
      </c>
      <c r="E422" s="192">
        <f>IF((AC422+AB422)=AD422,"Push",IF((AC422+AB422)&gt;AD422,"Yes","No"))</f>
        <v/>
      </c>
      <c r="F422" s="192">
        <f>IF(AC422&gt;AD422,"Yes","No")</f>
        <v/>
      </c>
      <c r="G422" s="192">
        <f>IF((Y422+AB422)&gt;Z422,"Yes",IF((Y422+AB422)=Z422,"Push","No"))</f>
        <v/>
      </c>
      <c r="H422" s="157">
        <f>IF(O422="Home",VLOOKUP(N422,Matrix!A:S,19,0),1)</f>
        <v/>
      </c>
      <c r="I422" s="157">
        <f>IF(O422="Away",VLOOKUP(N422,Matrix!A:Z,20,0),1)</f>
        <v/>
      </c>
      <c r="J422" s="157">
        <f>IF(O422="Away",VLOOKUP(P422,Matrix!A:S,19,0),1)</f>
        <v/>
      </c>
      <c r="K422" s="157">
        <f>IF(O422="Home",VLOOKUP(P422,Matrix!A:Z,20,0),1)</f>
        <v/>
      </c>
      <c r="L422" s="156" t="n">
        <v>-0.271516188541527</v>
      </c>
      <c r="M422" s="179">
        <f>Schedule!B422</f>
        <v/>
      </c>
      <c r="N422" s="156">
        <f>Schedule!E422</f>
        <v/>
      </c>
      <c r="O422" s="156" t="inlineStr">
        <is>
          <t>Home</t>
        </is>
      </c>
      <c r="P422" s="157">
        <f>Schedule!H422</f>
        <v/>
      </c>
      <c r="Q422" s="157">
        <f>Schedule!C422</f>
        <v/>
      </c>
      <c r="R422" s="180">
        <f>Schedule!D422</f>
        <v/>
      </c>
      <c r="S422" s="181">
        <f>Schedule!J422</f>
        <v/>
      </c>
      <c r="T422" s="193">
        <f>Y422-Z422</f>
        <v/>
      </c>
      <c r="U422" s="182">
        <f>T422/Picks!$K$2</f>
        <v/>
      </c>
      <c r="V422" s="193">
        <f>INDEX(Standings!$T$3:$T$34, MATCH(N422, Standings!$A$3:$A$34, 0)) - INDEX(Standings!$T$3:$T$34, MATCH(P422, Standings!$A$3:$A$34, 0))</f>
        <v/>
      </c>
      <c r="W422" s="157">
        <f>INDEX(Standings!$L$3:$L$34, MATCH(N422, Standings!$A$3:$A$34, 0)) - INDEX(Standings!$L$3:$L$34, MATCH(P422, Standings!$A$3:$A$34, 0))</f>
        <v/>
      </c>
      <c r="X422" s="157">
        <f>INDEX(Standings!$M$3:$M$34, MATCH(N422, Standings!$A$3:$A$34, 0)) - INDEX(Standings!$M$3:$M$34, MATCH(P422, Standings!$A$3:$A$34, 0))</f>
        <v/>
      </c>
      <c r="Y422" s="194">
        <f t="array" ref="Y422:Y422">IFERROR(AE422+(AL422-_DFactor)*AE422,"")</f>
        <v/>
      </c>
      <c r="Z422" s="157">
        <f>IFERROR(AF422+(AI422-_DFactor)*AF422,"")</f>
        <v/>
      </c>
      <c r="AC422" s="194">
        <f>VLOOKUP(M422&amp;N422,Schedule!A:F,6,0)</f>
        <v/>
      </c>
      <c r="AD422" s="194">
        <f>VLOOKUP(M422&amp;P422,Schedule!A:F,6,0)</f>
        <v/>
      </c>
      <c r="AE422" s="156">
        <f>VLOOKUP(N422,ProjPVT!B:I,8,0)*_Mag/VLOOKUP(P422,Standings!A:O,15,0)*H422*K422</f>
        <v/>
      </c>
      <c r="AF422" s="156">
        <f>VLOOKUP(P422,ProjPVT!B:I,8,0)*_Mag/VLOOKUP(N422,Standings!A:O,15,0)*J422*I422</f>
        <v/>
      </c>
      <c r="AG422" s="195">
        <f>VLOOKUP(N422,Matrix!AA:AC,3,0)</f>
        <v/>
      </c>
      <c r="AH422" s="195">
        <f>SUMIFS(Def!C:C,Def!F:F,AG422)</f>
        <v/>
      </c>
      <c r="AI422" s="156">
        <f>IFERROR(SUMIFS(Def!B:B,Def!F:F,AG422)/AH422,"")</f>
        <v/>
      </c>
      <c r="AJ422" s="195">
        <f>VLOOKUP(P422,Matrix!AA:AC,3,0)</f>
        <v/>
      </c>
      <c r="AK422" s="195">
        <f>SUMIFS(Def!C:C,Def!F:F,AJ422)</f>
        <v/>
      </c>
      <c r="AL422" s="156">
        <f>IFERROR(SUMIFS(Def!B:B,Def!F:F,AJ422)/AK422,"")</f>
        <v/>
      </c>
    </row>
    <row r="423" ht="14.4" customHeight="1" s="152">
      <c r="A423" s="157">
        <f>IF(F423="Yes",IFERROR(IF(AA423&gt;1,AA423/100,100/-AA423),""),-1)</f>
        <v/>
      </c>
      <c r="B423" s="157">
        <f>B422+1</f>
        <v/>
      </c>
      <c r="C423" s="157">
        <f>IF(Y423&gt;Z423,1,0)</f>
        <v/>
      </c>
      <c r="D423" s="157">
        <f>IF(AND(C423=1,F423="Yes"),"Yes",IF(AND(C423=0,F423="No"),"Yes","No"))</f>
        <v/>
      </c>
      <c r="E423" s="192">
        <f>IF((AC423+AB423)=AD423,"Push",IF((AC423+AB423)&gt;AD423,"Yes","No"))</f>
        <v/>
      </c>
      <c r="F423" s="192">
        <f>IF(AC423&gt;AD423,"Yes","No")</f>
        <v/>
      </c>
      <c r="G423" s="192">
        <f>IF((Y423+AB423)&gt;Z423,"Yes",IF((Y423+AB423)=Z423,"Push","No"))</f>
        <v/>
      </c>
      <c r="H423" s="157">
        <f>IF(O423="Home",VLOOKUP(N423,Matrix!A:S,19,0),1)</f>
        <v/>
      </c>
      <c r="I423" s="157">
        <f>IF(O423="Away",VLOOKUP(N423,Matrix!A:Z,20,0),1)</f>
        <v/>
      </c>
      <c r="J423" s="157">
        <f>IF(O423="Away",VLOOKUP(P423,Matrix!A:S,19,0),1)</f>
        <v/>
      </c>
      <c r="K423" s="157">
        <f>IF(O423="Home",VLOOKUP(P423,Matrix!A:Z,20,0),1)</f>
        <v/>
      </c>
      <c r="L423" s="156" t="n">
        <v>-0.224109845043688</v>
      </c>
      <c r="M423" s="179">
        <f>Schedule!B423</f>
        <v/>
      </c>
      <c r="N423" s="156">
        <f>Schedule!E423</f>
        <v/>
      </c>
      <c r="O423" s="156" t="inlineStr">
        <is>
          <t>Away</t>
        </is>
      </c>
      <c r="P423" s="157">
        <f>Schedule!H423</f>
        <v/>
      </c>
      <c r="Q423" s="157">
        <f>Schedule!C423</f>
        <v/>
      </c>
      <c r="R423" s="180">
        <f>Schedule!D423</f>
        <v/>
      </c>
      <c r="S423" s="181">
        <f>Schedule!J423</f>
        <v/>
      </c>
      <c r="T423" s="193">
        <f>Y423-Z423</f>
        <v/>
      </c>
      <c r="U423" s="182">
        <f>T423/Picks!$K$2</f>
        <v/>
      </c>
      <c r="V423" s="193">
        <f>INDEX(Standings!$T$3:$T$34, MATCH(N423, Standings!$A$3:$A$34, 0)) - INDEX(Standings!$T$3:$T$34, MATCH(P423, Standings!$A$3:$A$34, 0))</f>
        <v/>
      </c>
      <c r="W423" s="157">
        <f>INDEX(Standings!$L$3:$L$34, MATCH(N423, Standings!$A$3:$A$34, 0)) - INDEX(Standings!$L$3:$L$34, MATCH(P423, Standings!$A$3:$A$34, 0))</f>
        <v/>
      </c>
      <c r="X423" s="157">
        <f>INDEX(Standings!$M$3:$M$34, MATCH(N423, Standings!$A$3:$A$34, 0)) - INDEX(Standings!$M$3:$M$34, MATCH(P423, Standings!$A$3:$A$34, 0))</f>
        <v/>
      </c>
      <c r="Y423" s="194">
        <f t="array" ref="Y423:Y423">IFERROR(AE423+(AL423-_DFactor)*AE423,"")</f>
        <v/>
      </c>
      <c r="Z423" s="157">
        <f>IFERROR(AF423+(AI423-_DFactor)*AF423,"")</f>
        <v/>
      </c>
      <c r="AC423" s="194">
        <f>VLOOKUP(M423&amp;N423,Schedule!A:F,6,0)</f>
        <v/>
      </c>
      <c r="AD423" s="194">
        <f>VLOOKUP(M423&amp;P423,Schedule!A:F,6,0)</f>
        <v/>
      </c>
      <c r="AE423" s="156">
        <f>VLOOKUP(N423,ProjPVT!B:I,8,0)*_Mag/VLOOKUP(P423,Standings!A:O,15,0)*H423*K423</f>
        <v/>
      </c>
      <c r="AF423" s="156">
        <f>VLOOKUP(P423,ProjPVT!B:I,8,0)*_Mag/VLOOKUP(N423,Standings!A:O,15,0)*J423*I423</f>
        <v/>
      </c>
      <c r="AG423" s="195">
        <f>VLOOKUP(N423,Matrix!AA:AC,3,0)</f>
        <v/>
      </c>
      <c r="AH423" s="195">
        <f>SUMIFS(Def!C:C,Def!F:F,AG423)</f>
        <v/>
      </c>
      <c r="AI423" s="156">
        <f>IFERROR(SUMIFS(Def!B:B,Def!F:F,AG423)/AH423,"")</f>
        <v/>
      </c>
      <c r="AJ423" s="195">
        <f>VLOOKUP(P423,Matrix!AA:AC,3,0)</f>
        <v/>
      </c>
      <c r="AK423" s="195">
        <f>SUMIFS(Def!C:C,Def!F:F,AJ423)</f>
        <v/>
      </c>
      <c r="AL423" s="156">
        <f>IFERROR(SUMIFS(Def!B:B,Def!F:F,AJ423)/AK423,"")</f>
        <v/>
      </c>
    </row>
    <row r="424" ht="14.4" customHeight="1" s="152">
      <c r="A424" s="157">
        <f>IF(F424="Yes",IFERROR(IF(AA424&gt;1,AA424/100,100/-AA424),""),-1)</f>
        <v/>
      </c>
      <c r="B424" s="157">
        <f>B423+1</f>
        <v/>
      </c>
      <c r="C424" s="157">
        <f>IF(Y424&gt;Z424,1,0)</f>
        <v/>
      </c>
      <c r="D424" s="157">
        <f>IF(AND(C424=1,F424="Yes"),"Yes",IF(AND(C424=0,F424="No"),"Yes","No"))</f>
        <v/>
      </c>
      <c r="E424" s="192">
        <f>IF((AC424+AB424)=AD424,"Push",IF((AC424+AB424)&gt;AD424,"Yes","No"))</f>
        <v/>
      </c>
      <c r="F424" s="192">
        <f>IF(AC424&gt;AD424,"Yes","No")</f>
        <v/>
      </c>
      <c r="G424" s="192">
        <f>IF((Y424+AB424)&gt;Z424,"Yes",IF((Y424+AB424)=Z424,"Push","No"))</f>
        <v/>
      </c>
      <c r="H424" s="157">
        <f>IF(O424="Home",VLOOKUP(N424,Matrix!A:S,19,0),1)</f>
        <v/>
      </c>
      <c r="I424" s="157">
        <f>IF(O424="Away",VLOOKUP(N424,Matrix!A:Z,20,0),1)</f>
        <v/>
      </c>
      <c r="J424" s="157">
        <f>IF(O424="Away",VLOOKUP(P424,Matrix!A:S,19,0),1)</f>
        <v/>
      </c>
      <c r="K424" s="157">
        <f>IF(O424="Home",VLOOKUP(P424,Matrix!A:Z,20,0),1)</f>
        <v/>
      </c>
      <c r="L424" s="156" t="n">
        <v>-0.193839510054482</v>
      </c>
      <c r="M424" s="179">
        <f>Schedule!B424</f>
        <v/>
      </c>
      <c r="N424" s="156">
        <f>Schedule!E424</f>
        <v/>
      </c>
      <c r="O424" s="156" t="inlineStr">
        <is>
          <t>Away</t>
        </is>
      </c>
      <c r="P424" s="157">
        <f>Schedule!H424</f>
        <v/>
      </c>
      <c r="Q424" s="157">
        <f>Schedule!C424</f>
        <v/>
      </c>
      <c r="R424" s="180">
        <f>Schedule!D424</f>
        <v/>
      </c>
      <c r="S424" s="181">
        <f>Schedule!J424</f>
        <v/>
      </c>
      <c r="T424" s="193">
        <f>Y424-Z424</f>
        <v/>
      </c>
      <c r="U424" s="182">
        <f>T424/Picks!$K$2</f>
        <v/>
      </c>
      <c r="V424" s="193">
        <f>INDEX(Standings!$T$3:$T$34, MATCH(N424, Standings!$A$3:$A$34, 0)) - INDEX(Standings!$T$3:$T$34, MATCH(P424, Standings!$A$3:$A$34, 0))</f>
        <v/>
      </c>
      <c r="W424" s="157">
        <f>INDEX(Standings!$L$3:$L$34, MATCH(N424, Standings!$A$3:$A$34, 0)) - INDEX(Standings!$L$3:$L$34, MATCH(P424, Standings!$A$3:$A$34, 0))</f>
        <v/>
      </c>
      <c r="X424" s="157">
        <f>INDEX(Standings!$M$3:$M$34, MATCH(N424, Standings!$A$3:$A$34, 0)) - INDEX(Standings!$M$3:$M$34, MATCH(P424, Standings!$A$3:$A$34, 0))</f>
        <v/>
      </c>
      <c r="Y424" s="194">
        <f t="array" ref="Y424:Y424">IFERROR(AE424+(AL424-_DFactor)*AE424,"")</f>
        <v/>
      </c>
      <c r="Z424" s="157">
        <f>IFERROR(AF424+(AI424-_DFactor)*AF424,"")</f>
        <v/>
      </c>
      <c r="AC424" s="194">
        <f>VLOOKUP(M424&amp;N424,Schedule!A:F,6,0)</f>
        <v/>
      </c>
      <c r="AD424" s="194">
        <f>VLOOKUP(M424&amp;P424,Schedule!A:F,6,0)</f>
        <v/>
      </c>
      <c r="AE424" s="156">
        <f>VLOOKUP(N424,ProjPVT!B:I,8,0)*_Mag/VLOOKUP(P424,Standings!A:O,15,0)*H424*K424</f>
        <v/>
      </c>
      <c r="AF424" s="156">
        <f>VLOOKUP(P424,ProjPVT!B:I,8,0)*_Mag/VLOOKUP(N424,Standings!A:O,15,0)*J424*I424</f>
        <v/>
      </c>
      <c r="AG424" s="195">
        <f>VLOOKUP(N424,Matrix!AA:AC,3,0)</f>
        <v/>
      </c>
      <c r="AH424" s="195">
        <f>SUMIFS(Def!C:C,Def!F:F,AG424)</f>
        <v/>
      </c>
      <c r="AI424" s="156">
        <f>IFERROR(SUMIFS(Def!B:B,Def!F:F,AG424)/AH424,"")</f>
        <v/>
      </c>
      <c r="AJ424" s="195">
        <f>VLOOKUP(P424,Matrix!AA:AC,3,0)</f>
        <v/>
      </c>
      <c r="AK424" s="195">
        <f>SUMIFS(Def!C:C,Def!F:F,AJ424)</f>
        <v/>
      </c>
      <c r="AL424" s="156">
        <f>IFERROR(SUMIFS(Def!B:B,Def!F:F,AJ424)/AK424,"")</f>
        <v/>
      </c>
    </row>
    <row r="425" ht="14.4" customHeight="1" s="152">
      <c r="A425" s="157">
        <f>IF(F425="Yes",IFERROR(IF(AA425&gt;1,AA425/100,100/-AA425),""),-1)</f>
        <v/>
      </c>
      <c r="B425" s="157">
        <f>B424+1</f>
        <v/>
      </c>
      <c r="C425" s="157">
        <f>IF(Y425&gt;Z425,1,0)</f>
        <v/>
      </c>
      <c r="D425" s="157">
        <f>IF(AND(C425=1,F425="Yes"),"Yes",IF(AND(C425=0,F425="No"),"Yes","No"))</f>
        <v/>
      </c>
      <c r="E425" s="192">
        <f>IF((AC425+AB425)=AD425,"Push",IF((AC425+AB425)&gt;AD425,"Yes","No"))</f>
        <v/>
      </c>
      <c r="F425" s="192">
        <f>IF(AC425&gt;AD425,"Yes","No")</f>
        <v/>
      </c>
      <c r="G425" s="192">
        <f>IF((Y425+AB425)&gt;Z425,"Yes",IF((Y425+AB425)=Z425,"Push","No"))</f>
        <v/>
      </c>
      <c r="H425" s="157">
        <f>IF(O425="Home",VLOOKUP(N425,Matrix!A:S,19,0),1)</f>
        <v/>
      </c>
      <c r="I425" s="157">
        <f>IF(O425="Away",VLOOKUP(N425,Matrix!A:Z,20,0),1)</f>
        <v/>
      </c>
      <c r="J425" s="157">
        <f>IF(O425="Away",VLOOKUP(P425,Matrix!A:S,19,0),1)</f>
        <v/>
      </c>
      <c r="K425" s="157">
        <f>IF(O425="Home",VLOOKUP(P425,Matrix!A:Z,20,0),1)</f>
        <v/>
      </c>
      <c r="L425" s="156" t="n">
        <v>-0.163886186469715</v>
      </c>
      <c r="M425" s="179">
        <f>Schedule!B425</f>
        <v/>
      </c>
      <c r="N425" s="156">
        <f>Schedule!E425</f>
        <v/>
      </c>
      <c r="O425" s="156" t="inlineStr">
        <is>
          <t>Away</t>
        </is>
      </c>
      <c r="P425" s="157">
        <f>Schedule!H425</f>
        <v/>
      </c>
      <c r="Q425" s="157">
        <f>Schedule!C425</f>
        <v/>
      </c>
      <c r="R425" s="180">
        <f>Schedule!D425</f>
        <v/>
      </c>
      <c r="S425" s="181">
        <f>Schedule!J425</f>
        <v/>
      </c>
      <c r="T425" s="193">
        <f>Y425-Z425</f>
        <v/>
      </c>
      <c r="U425" s="182">
        <f>T425/Picks!$K$2</f>
        <v/>
      </c>
      <c r="V425" s="193">
        <f>INDEX(Standings!$T$3:$T$34, MATCH(N425, Standings!$A$3:$A$34, 0)) - INDEX(Standings!$T$3:$T$34, MATCH(P425, Standings!$A$3:$A$34, 0))</f>
        <v/>
      </c>
      <c r="W425" s="157">
        <f>INDEX(Standings!$L$3:$L$34, MATCH(N425, Standings!$A$3:$A$34, 0)) - INDEX(Standings!$L$3:$L$34, MATCH(P425, Standings!$A$3:$A$34, 0))</f>
        <v/>
      </c>
      <c r="X425" s="157">
        <f>INDEX(Standings!$M$3:$M$34, MATCH(N425, Standings!$A$3:$A$34, 0)) - INDEX(Standings!$M$3:$M$34, MATCH(P425, Standings!$A$3:$A$34, 0))</f>
        <v/>
      </c>
      <c r="Y425" s="194">
        <f t="array" ref="Y425:Y425">IFERROR(AE425+(AL425-_DFactor)*AE425,"")</f>
        <v/>
      </c>
      <c r="Z425" s="157">
        <f>IFERROR(AF425+(AI425-_DFactor)*AF425,"")</f>
        <v/>
      </c>
      <c r="AC425" s="194">
        <f>VLOOKUP(M425&amp;N425,Schedule!A:F,6,0)</f>
        <v/>
      </c>
      <c r="AD425" s="194">
        <f>VLOOKUP(M425&amp;P425,Schedule!A:F,6,0)</f>
        <v/>
      </c>
      <c r="AE425" s="156">
        <f>VLOOKUP(N425,ProjPVT!B:I,8,0)*_Mag/VLOOKUP(P425,Standings!A:O,15,0)*H425*K425</f>
        <v/>
      </c>
      <c r="AF425" s="156">
        <f>VLOOKUP(P425,ProjPVT!B:I,8,0)*_Mag/VLOOKUP(N425,Standings!A:O,15,0)*J425*I425</f>
        <v/>
      </c>
      <c r="AG425" s="195">
        <f>VLOOKUP(N425,Matrix!AA:AC,3,0)</f>
        <v/>
      </c>
      <c r="AH425" s="195">
        <f>SUMIFS(Def!C:C,Def!F:F,AG425)</f>
        <v/>
      </c>
      <c r="AI425" s="156">
        <f>IFERROR(SUMIFS(Def!B:B,Def!F:F,AG425)/AH425,"")</f>
        <v/>
      </c>
      <c r="AJ425" s="195">
        <f>VLOOKUP(P425,Matrix!AA:AC,3,0)</f>
        <v/>
      </c>
      <c r="AK425" s="195">
        <f>SUMIFS(Def!C:C,Def!F:F,AJ425)</f>
        <v/>
      </c>
      <c r="AL425" s="156">
        <f>IFERROR(SUMIFS(Def!B:B,Def!F:F,AJ425)/AK425,"")</f>
        <v/>
      </c>
    </row>
    <row r="426" ht="14.4" customHeight="1" s="152">
      <c r="A426" s="157">
        <f>IF(F426="Yes",IFERROR(IF(AA426&gt;1,AA426/100,100/-AA426),""),-1)</f>
        <v/>
      </c>
      <c r="B426" s="157">
        <f>B425+1</f>
        <v/>
      </c>
      <c r="C426" s="157">
        <f>IF(Y426&gt;Z426,1,0)</f>
        <v/>
      </c>
      <c r="D426" s="157">
        <f>IF(AND(C426=1,F426="Yes"),"Yes",IF(AND(C426=0,F426="No"),"Yes","No"))</f>
        <v/>
      </c>
      <c r="E426" s="192">
        <f>IF((AC426+AB426)=AD426,"Push",IF((AC426+AB426)&gt;AD426,"Yes","No"))</f>
        <v/>
      </c>
      <c r="F426" s="192">
        <f>IF(AC426&gt;AD426,"Yes","No")</f>
        <v/>
      </c>
      <c r="G426" s="192">
        <f>IF((Y426+AB426)&gt;Z426,"Yes",IF((Y426+AB426)=Z426,"Push","No"))</f>
        <v/>
      </c>
      <c r="H426" s="157">
        <f>IF(O426="Home",VLOOKUP(N426,Matrix!A:S,19,0),1)</f>
        <v/>
      </c>
      <c r="I426" s="157">
        <f>IF(O426="Away",VLOOKUP(N426,Matrix!A:Z,20,0),1)</f>
        <v/>
      </c>
      <c r="J426" s="157">
        <f>IF(O426="Away",VLOOKUP(P426,Matrix!A:S,19,0),1)</f>
        <v/>
      </c>
      <c r="K426" s="157">
        <f>IF(O426="Home",VLOOKUP(P426,Matrix!A:Z,20,0),1)</f>
        <v/>
      </c>
      <c r="L426" s="156" t="n">
        <v>-0.117602500303125</v>
      </c>
      <c r="M426" s="179">
        <f>Schedule!B426</f>
        <v/>
      </c>
      <c r="N426" s="156">
        <f>Schedule!E426</f>
        <v/>
      </c>
      <c r="O426" s="156" t="inlineStr">
        <is>
          <t>Away</t>
        </is>
      </c>
      <c r="P426" s="157">
        <f>Schedule!H426</f>
        <v/>
      </c>
      <c r="Q426" s="157">
        <f>Schedule!C426</f>
        <v/>
      </c>
      <c r="R426" s="180">
        <f>Schedule!D426</f>
        <v/>
      </c>
      <c r="S426" s="181">
        <f>Schedule!J426</f>
        <v/>
      </c>
      <c r="T426" s="193">
        <f>Y426-Z426</f>
        <v/>
      </c>
      <c r="U426" s="182">
        <f>T426/Picks!$K$2</f>
        <v/>
      </c>
      <c r="V426" s="193">
        <f>INDEX(Standings!$T$3:$T$34, MATCH(N426, Standings!$A$3:$A$34, 0)) - INDEX(Standings!$T$3:$T$34, MATCH(P426, Standings!$A$3:$A$34, 0))</f>
        <v/>
      </c>
      <c r="W426" s="157">
        <f>INDEX(Standings!$L$3:$L$34, MATCH(N426, Standings!$A$3:$A$34, 0)) - INDEX(Standings!$L$3:$L$34, MATCH(P426, Standings!$A$3:$A$34, 0))</f>
        <v/>
      </c>
      <c r="X426" s="157">
        <f>INDEX(Standings!$M$3:$M$34, MATCH(N426, Standings!$A$3:$A$34, 0)) - INDEX(Standings!$M$3:$M$34, MATCH(P426, Standings!$A$3:$A$34, 0))</f>
        <v/>
      </c>
      <c r="Y426" s="194">
        <f t="array" ref="Y426:Y426">IFERROR(AE426+(AL426-_DFactor)*AE426,"")</f>
        <v/>
      </c>
      <c r="Z426" s="157">
        <f>IFERROR(AF426+(AI426-_DFactor)*AF426,"")</f>
        <v/>
      </c>
      <c r="AC426" s="194">
        <f>VLOOKUP(M426&amp;N426,Schedule!A:F,6,0)</f>
        <v/>
      </c>
      <c r="AD426" s="194">
        <f>VLOOKUP(M426&amp;P426,Schedule!A:F,6,0)</f>
        <v/>
      </c>
      <c r="AE426" s="156">
        <f>VLOOKUP(N426,ProjPVT!B:I,8,0)*_Mag/VLOOKUP(P426,Standings!A:O,15,0)*H426*K426</f>
        <v/>
      </c>
      <c r="AF426" s="156">
        <f>VLOOKUP(P426,ProjPVT!B:I,8,0)*_Mag/VLOOKUP(N426,Standings!A:O,15,0)*J426*I426</f>
        <v/>
      </c>
      <c r="AG426" s="195">
        <f>VLOOKUP(N426,Matrix!AA:AC,3,0)</f>
        <v/>
      </c>
      <c r="AH426" s="195">
        <f>SUMIFS(Def!C:C,Def!F:F,AG426)</f>
        <v/>
      </c>
      <c r="AI426" s="156">
        <f>IFERROR(SUMIFS(Def!B:B,Def!F:F,AG426)/AH426,"")</f>
        <v/>
      </c>
      <c r="AJ426" s="195">
        <f>VLOOKUP(P426,Matrix!AA:AC,3,0)</f>
        <v/>
      </c>
      <c r="AK426" s="195">
        <f>SUMIFS(Def!C:C,Def!F:F,AJ426)</f>
        <v/>
      </c>
      <c r="AL426" s="156">
        <f>IFERROR(SUMIFS(Def!B:B,Def!F:F,AJ426)/AK426,"")</f>
        <v/>
      </c>
    </row>
    <row r="427" ht="14.4" customHeight="1" s="152">
      <c r="A427" s="157">
        <f>IF(F427="Yes",IFERROR(IF(AA427&gt;1,AA427/100,100/-AA427),""),-1)</f>
        <v/>
      </c>
      <c r="B427" s="157">
        <f>B426+1</f>
        <v/>
      </c>
      <c r="C427" s="157">
        <f>IF(Y427&gt;Z427,1,0)</f>
        <v/>
      </c>
      <c r="D427" s="157">
        <f>IF(AND(C427=1,F427="Yes"),"Yes",IF(AND(C427=0,F427="No"),"Yes","No"))</f>
        <v/>
      </c>
      <c r="E427" s="192">
        <f>IF((AC427+AB427)=AD427,"Push",IF((AC427+AB427)&gt;AD427,"Yes","No"))</f>
        <v/>
      </c>
      <c r="F427" s="192">
        <f>IF(AC427&gt;AD427,"Yes","No")</f>
        <v/>
      </c>
      <c r="G427" s="192">
        <f>IF((Y427+AB427)&gt;Z427,"Yes",IF((Y427+AB427)=Z427,"Push","No"))</f>
        <v/>
      </c>
      <c r="H427" s="157">
        <f>IF(O427="Home",VLOOKUP(N427,Matrix!A:S,19,0),1)</f>
        <v/>
      </c>
      <c r="I427" s="157">
        <f>IF(O427="Away",VLOOKUP(N427,Matrix!A:Z,20,0),1)</f>
        <v/>
      </c>
      <c r="J427" s="157">
        <f>IF(O427="Away",VLOOKUP(P427,Matrix!A:S,19,0),1)</f>
        <v/>
      </c>
      <c r="K427" s="157">
        <f>IF(O427="Home",VLOOKUP(P427,Matrix!A:Z,20,0),1)</f>
        <v/>
      </c>
      <c r="L427" s="156" t="n">
        <v>-0.08763840492982231</v>
      </c>
      <c r="M427" s="179">
        <f>Schedule!B427</f>
        <v/>
      </c>
      <c r="N427" s="156">
        <f>Schedule!E427</f>
        <v/>
      </c>
      <c r="O427" s="156" t="inlineStr">
        <is>
          <t>Away</t>
        </is>
      </c>
      <c r="P427" s="157">
        <f>Schedule!H427</f>
        <v/>
      </c>
      <c r="Q427" s="157">
        <f>Schedule!C427</f>
        <v/>
      </c>
      <c r="R427" s="180">
        <f>Schedule!D427</f>
        <v/>
      </c>
      <c r="S427" s="181">
        <f>Schedule!J427</f>
        <v/>
      </c>
      <c r="T427" s="193">
        <f>Y427-Z427</f>
        <v/>
      </c>
      <c r="U427" s="182">
        <f>T427/Picks!$K$2</f>
        <v/>
      </c>
      <c r="V427" s="193">
        <f>INDEX(Standings!$T$3:$T$34, MATCH(N427, Standings!$A$3:$A$34, 0)) - INDEX(Standings!$T$3:$T$34, MATCH(P427, Standings!$A$3:$A$34, 0))</f>
        <v/>
      </c>
      <c r="W427" s="157">
        <f>INDEX(Standings!$L$3:$L$34, MATCH(N427, Standings!$A$3:$A$34, 0)) - INDEX(Standings!$L$3:$L$34, MATCH(P427, Standings!$A$3:$A$34, 0))</f>
        <v/>
      </c>
      <c r="X427" s="157">
        <f>INDEX(Standings!$M$3:$M$34, MATCH(N427, Standings!$A$3:$A$34, 0)) - INDEX(Standings!$M$3:$M$34, MATCH(P427, Standings!$A$3:$A$34, 0))</f>
        <v/>
      </c>
      <c r="Y427" s="194">
        <f t="array" ref="Y427:Y427">IFERROR(AE427+(AL427-_DFactor)*AE427,"")</f>
        <v/>
      </c>
      <c r="Z427" s="157">
        <f>IFERROR(AF427+(AI427-_DFactor)*AF427,"")</f>
        <v/>
      </c>
      <c r="AC427" s="194">
        <f>VLOOKUP(M427&amp;N427,Schedule!A:F,6,0)</f>
        <v/>
      </c>
      <c r="AD427" s="194">
        <f>VLOOKUP(M427&amp;P427,Schedule!A:F,6,0)</f>
        <v/>
      </c>
      <c r="AE427" s="156">
        <f>VLOOKUP(N427,ProjPVT!B:I,8,0)*_Mag/VLOOKUP(P427,Standings!A:O,15,0)*H427*K427</f>
        <v/>
      </c>
      <c r="AF427" s="156">
        <f>VLOOKUP(P427,ProjPVT!B:I,8,0)*_Mag/VLOOKUP(N427,Standings!A:O,15,0)*J427*I427</f>
        <v/>
      </c>
      <c r="AG427" s="195">
        <f>VLOOKUP(N427,Matrix!AA:AC,3,0)</f>
        <v/>
      </c>
      <c r="AH427" s="195">
        <f>SUMIFS(Def!C:C,Def!F:F,AG427)</f>
        <v/>
      </c>
      <c r="AI427" s="156">
        <f>IFERROR(SUMIFS(Def!B:B,Def!F:F,AG427)/AH427,"")</f>
        <v/>
      </c>
      <c r="AJ427" s="195">
        <f>VLOOKUP(P427,Matrix!AA:AC,3,0)</f>
        <v/>
      </c>
      <c r="AK427" s="195">
        <f>SUMIFS(Def!C:C,Def!F:F,AJ427)</f>
        <v/>
      </c>
      <c r="AL427" s="156">
        <f>IFERROR(SUMIFS(Def!B:B,Def!F:F,AJ427)/AK427,"")</f>
        <v/>
      </c>
    </row>
    <row r="428" ht="14.4" customHeight="1" s="152">
      <c r="A428" s="157">
        <f>IF(F428="Yes",IFERROR(IF(AA428&gt;1,AA428/100,100/-AA428),""),-1)</f>
        <v/>
      </c>
      <c r="B428" s="157">
        <f>B427+1</f>
        <v/>
      </c>
      <c r="C428" s="157">
        <f>IF(Y428&gt;Z428,1,0)</f>
        <v/>
      </c>
      <c r="D428" s="157">
        <f>IF(AND(C428=1,F428="Yes"),"Yes",IF(AND(C428=0,F428="No"),"Yes","No"))</f>
        <v/>
      </c>
      <c r="E428" s="192">
        <f>IF((AC428+AB428)=AD428,"Push",IF((AC428+AB428)&gt;AD428,"Yes","No"))</f>
        <v/>
      </c>
      <c r="F428" s="192">
        <f>IF(AC428&gt;AD428,"Yes","No")</f>
        <v/>
      </c>
      <c r="G428" s="192">
        <f>IF((Y428+AB428)&gt;Z428,"Yes",IF((Y428+AB428)=Z428,"Push","No"))</f>
        <v/>
      </c>
      <c r="H428" s="157">
        <f>IF(O428="Home",VLOOKUP(N428,Matrix!A:S,19,0),1)</f>
        <v/>
      </c>
      <c r="I428" s="157">
        <f>IF(O428="Away",VLOOKUP(N428,Matrix!A:Z,20,0),1)</f>
        <v/>
      </c>
      <c r="J428" s="157">
        <f>IF(O428="Away",VLOOKUP(P428,Matrix!A:S,19,0),1)</f>
        <v/>
      </c>
      <c r="K428" s="157">
        <f>IF(O428="Home",VLOOKUP(P428,Matrix!A:Z,20,0),1)</f>
        <v/>
      </c>
      <c r="L428" s="156" t="n">
        <v>-0.0809692951139078</v>
      </c>
      <c r="M428" s="179">
        <f>Schedule!B428</f>
        <v/>
      </c>
      <c r="N428" s="156">
        <f>Schedule!E428</f>
        <v/>
      </c>
      <c r="O428" s="156" t="inlineStr">
        <is>
          <t>Home</t>
        </is>
      </c>
      <c r="P428" s="157">
        <f>Schedule!H428</f>
        <v/>
      </c>
      <c r="Q428" s="157">
        <f>Schedule!C428</f>
        <v/>
      </c>
      <c r="R428" s="180">
        <f>Schedule!D428</f>
        <v/>
      </c>
      <c r="S428" s="181">
        <f>Schedule!J428</f>
        <v/>
      </c>
      <c r="T428" s="193">
        <f>Y428-Z428</f>
        <v/>
      </c>
      <c r="U428" s="182">
        <f>T428/Picks!$K$2</f>
        <v/>
      </c>
      <c r="V428" s="193">
        <f>INDEX(Standings!$T$3:$T$34, MATCH(N428, Standings!$A$3:$A$34, 0)) - INDEX(Standings!$T$3:$T$34, MATCH(P428, Standings!$A$3:$A$34, 0))</f>
        <v/>
      </c>
      <c r="W428" s="157">
        <f>INDEX(Standings!$L$3:$L$34, MATCH(N428, Standings!$A$3:$A$34, 0)) - INDEX(Standings!$L$3:$L$34, MATCH(P428, Standings!$A$3:$A$34, 0))</f>
        <v/>
      </c>
      <c r="X428" s="157">
        <f>INDEX(Standings!$M$3:$M$34, MATCH(N428, Standings!$A$3:$A$34, 0)) - INDEX(Standings!$M$3:$M$34, MATCH(P428, Standings!$A$3:$A$34, 0))</f>
        <v/>
      </c>
      <c r="Y428" s="194">
        <f t="array" ref="Y428:Y428">IFERROR(AE428+(AL428-_DFactor)*AE428,"")</f>
        <v/>
      </c>
      <c r="Z428" s="157">
        <f>IFERROR(AF428+(AI428-_DFactor)*AF428,"")</f>
        <v/>
      </c>
      <c r="AC428" s="194">
        <f>VLOOKUP(M428&amp;N428,Schedule!A:F,6,0)</f>
        <v/>
      </c>
      <c r="AD428" s="194">
        <f>VLOOKUP(M428&amp;P428,Schedule!A:F,6,0)</f>
        <v/>
      </c>
      <c r="AE428" s="156">
        <f>VLOOKUP(N428,ProjPVT!B:I,8,0)*_Mag/VLOOKUP(P428,Standings!A:O,15,0)*H428*K428</f>
        <v/>
      </c>
      <c r="AF428" s="156">
        <f>VLOOKUP(P428,ProjPVT!B:I,8,0)*_Mag/VLOOKUP(N428,Standings!A:O,15,0)*J428*I428</f>
        <v/>
      </c>
      <c r="AG428" s="195">
        <f>VLOOKUP(N428,Matrix!AA:AC,3,0)</f>
        <v/>
      </c>
      <c r="AH428" s="195">
        <f>SUMIFS(Def!C:C,Def!F:F,AG428)</f>
        <v/>
      </c>
      <c r="AI428" s="156">
        <f>IFERROR(SUMIFS(Def!B:B,Def!F:F,AG428)/AH428,"")</f>
        <v/>
      </c>
      <c r="AJ428" s="195">
        <f>VLOOKUP(P428,Matrix!AA:AC,3,0)</f>
        <v/>
      </c>
      <c r="AK428" s="195">
        <f>SUMIFS(Def!C:C,Def!F:F,AJ428)</f>
        <v/>
      </c>
      <c r="AL428" s="156">
        <f>IFERROR(SUMIFS(Def!B:B,Def!F:F,AJ428)/AK428,"")</f>
        <v/>
      </c>
    </row>
    <row r="429" ht="14.4" customHeight="1" s="152">
      <c r="A429" s="157">
        <f>IF(F429="Yes",IFERROR(IF(AA429&gt;1,AA429/100,100/-AA429),""),-1)</f>
        <v/>
      </c>
      <c r="B429" s="157">
        <f>B428+1</f>
        <v/>
      </c>
      <c r="C429" s="157">
        <f>IF(Y429&gt;Z429,1,0)</f>
        <v/>
      </c>
      <c r="D429" s="157">
        <f>IF(AND(C429=1,F429="Yes"),"Yes",IF(AND(C429=0,F429="No"),"Yes","No"))</f>
        <v/>
      </c>
      <c r="E429" s="192">
        <f>IF((AC429+AB429)=AD429,"Push",IF((AC429+AB429)&gt;AD429,"Yes","No"))</f>
        <v/>
      </c>
      <c r="F429" s="192">
        <f>IF(AC429&gt;AD429,"Yes","No")</f>
        <v/>
      </c>
      <c r="G429" s="192">
        <f>IF((Y429+AB429)&gt;Z429,"Yes",IF((Y429+AB429)=Z429,"Push","No"))</f>
        <v/>
      </c>
      <c r="H429" s="157">
        <f>IF(O429="Home",VLOOKUP(N429,Matrix!A:S,19,0),1)</f>
        <v/>
      </c>
      <c r="I429" s="157">
        <f>IF(O429="Away",VLOOKUP(N429,Matrix!A:Z,20,0),1)</f>
        <v/>
      </c>
      <c r="J429" s="157">
        <f>IF(O429="Away",VLOOKUP(P429,Matrix!A:S,19,0),1)</f>
        <v/>
      </c>
      <c r="K429" s="157">
        <f>IF(O429="Home",VLOOKUP(P429,Matrix!A:Z,20,0),1)</f>
        <v/>
      </c>
      <c r="L429" s="156" t="n">
        <v>-0.07138567051912199</v>
      </c>
      <c r="M429" s="179">
        <f>Schedule!B429</f>
        <v/>
      </c>
      <c r="N429" s="156">
        <f>Schedule!E429</f>
        <v/>
      </c>
      <c r="O429" s="156" t="inlineStr">
        <is>
          <t>Away</t>
        </is>
      </c>
      <c r="P429" s="157">
        <f>Schedule!H429</f>
        <v/>
      </c>
      <c r="Q429" s="157">
        <f>Schedule!C429</f>
        <v/>
      </c>
      <c r="R429" s="180">
        <f>Schedule!D429</f>
        <v/>
      </c>
      <c r="S429" s="181">
        <f>Schedule!J429</f>
        <v/>
      </c>
      <c r="T429" s="193">
        <f>Y429-Z429</f>
        <v/>
      </c>
      <c r="U429" s="182">
        <f>T429/Picks!$K$2</f>
        <v/>
      </c>
      <c r="V429" s="193">
        <f>INDEX(Standings!$T$3:$T$34, MATCH(N429, Standings!$A$3:$A$34, 0)) - INDEX(Standings!$T$3:$T$34, MATCH(P429, Standings!$A$3:$A$34, 0))</f>
        <v/>
      </c>
      <c r="W429" s="157">
        <f>INDEX(Standings!$L$3:$L$34, MATCH(N429, Standings!$A$3:$A$34, 0)) - INDEX(Standings!$L$3:$L$34, MATCH(P429, Standings!$A$3:$A$34, 0))</f>
        <v/>
      </c>
      <c r="X429" s="157">
        <f>INDEX(Standings!$M$3:$M$34, MATCH(N429, Standings!$A$3:$A$34, 0)) - INDEX(Standings!$M$3:$M$34, MATCH(P429, Standings!$A$3:$A$34, 0))</f>
        <v/>
      </c>
      <c r="Y429" s="194">
        <f t="array" ref="Y429:Y429">IFERROR(AE429+(AL429-_DFactor)*AE429,"")</f>
        <v/>
      </c>
      <c r="Z429" s="157">
        <f>IFERROR(AF429+(AI429-_DFactor)*AF429,"")</f>
        <v/>
      </c>
      <c r="AC429" s="194">
        <f>VLOOKUP(M429&amp;N429,Schedule!A:F,6,0)</f>
        <v/>
      </c>
      <c r="AD429" s="194">
        <f>VLOOKUP(M429&amp;P429,Schedule!A:F,6,0)</f>
        <v/>
      </c>
      <c r="AE429" s="156">
        <f>VLOOKUP(N429,ProjPVT!B:I,8,0)*_Mag/VLOOKUP(P429,Standings!A:O,15,0)*H429*K429</f>
        <v/>
      </c>
      <c r="AF429" s="156">
        <f>VLOOKUP(P429,ProjPVT!B:I,8,0)*_Mag/VLOOKUP(N429,Standings!A:O,15,0)*J429*I429</f>
        <v/>
      </c>
      <c r="AG429" s="195">
        <f>VLOOKUP(N429,Matrix!AA:AC,3,0)</f>
        <v/>
      </c>
      <c r="AH429" s="195">
        <f>SUMIFS(Def!C:C,Def!F:F,AG429)</f>
        <v/>
      </c>
      <c r="AI429" s="156">
        <f>IFERROR(SUMIFS(Def!B:B,Def!F:F,AG429)/AH429,"")</f>
        <v/>
      </c>
      <c r="AJ429" s="195">
        <f>VLOOKUP(P429,Matrix!AA:AC,3,0)</f>
        <v/>
      </c>
      <c r="AK429" s="195">
        <f>SUMIFS(Def!C:C,Def!F:F,AJ429)</f>
        <v/>
      </c>
      <c r="AL429" s="156">
        <f>IFERROR(SUMIFS(Def!B:B,Def!F:F,AJ429)/AK429,"")</f>
        <v/>
      </c>
    </row>
    <row r="430" ht="14.4" customHeight="1" s="152">
      <c r="A430" s="157">
        <f>IF(F430="Yes",IFERROR(IF(AA430&gt;1,AA430/100,100/-AA430),""),-1)</f>
        <v/>
      </c>
      <c r="B430" s="157">
        <f>B429+1</f>
        <v/>
      </c>
      <c r="C430" s="157">
        <f>IF(Y430&gt;Z430,1,0)</f>
        <v/>
      </c>
      <c r="D430" s="157">
        <f>IF(AND(C430=1,F430="Yes"),"Yes",IF(AND(C430=0,F430="No"),"Yes","No"))</f>
        <v/>
      </c>
      <c r="E430" s="192">
        <f>IF((AC430+AB430)=AD430,"Push",IF((AC430+AB430)&gt;AD430,"Yes","No"))</f>
        <v/>
      </c>
      <c r="F430" s="192">
        <f>IF(AC430&gt;AD430,"Yes","No")</f>
        <v/>
      </c>
      <c r="G430" s="192">
        <f>IF((Y430+AB430)&gt;Z430,"Yes",IF((Y430+AB430)=Z430,"Push","No"))</f>
        <v/>
      </c>
      <c r="H430" s="157">
        <f>IF(O430="Home",VLOOKUP(N430,Matrix!A:S,19,0),1)</f>
        <v/>
      </c>
      <c r="I430" s="157">
        <f>IF(O430="Away",VLOOKUP(N430,Matrix!A:Z,20,0),1)</f>
        <v/>
      </c>
      <c r="J430" s="157">
        <f>IF(O430="Away",VLOOKUP(P430,Matrix!A:S,19,0),1)</f>
        <v/>
      </c>
      <c r="K430" s="157">
        <f>IF(O430="Home",VLOOKUP(P430,Matrix!A:Z,20,0),1)</f>
        <v/>
      </c>
      <c r="L430" s="156" t="n">
        <v>-0.0465200765587661</v>
      </c>
      <c r="M430" s="179">
        <f>Schedule!B430</f>
        <v/>
      </c>
      <c r="N430" s="156">
        <f>Schedule!E430</f>
        <v/>
      </c>
      <c r="O430" s="156" t="inlineStr">
        <is>
          <t>Away</t>
        </is>
      </c>
      <c r="P430" s="157">
        <f>Schedule!H430</f>
        <v/>
      </c>
      <c r="Q430" s="157">
        <f>Schedule!C430</f>
        <v/>
      </c>
      <c r="R430" s="180">
        <f>Schedule!D430</f>
        <v/>
      </c>
      <c r="S430" s="181">
        <f>Schedule!J430</f>
        <v/>
      </c>
      <c r="T430" s="193">
        <f>Y430-Z430</f>
        <v/>
      </c>
      <c r="U430" s="182">
        <f>T430/Picks!$K$2</f>
        <v/>
      </c>
      <c r="V430" s="193">
        <f>INDEX(Standings!$T$3:$T$34, MATCH(N430, Standings!$A$3:$A$34, 0)) - INDEX(Standings!$T$3:$T$34, MATCH(P430, Standings!$A$3:$A$34, 0))</f>
        <v/>
      </c>
      <c r="W430" s="157">
        <f>INDEX(Standings!$L$3:$L$34, MATCH(N430, Standings!$A$3:$A$34, 0)) - INDEX(Standings!$L$3:$L$34, MATCH(P430, Standings!$A$3:$A$34, 0))</f>
        <v/>
      </c>
      <c r="X430" s="157">
        <f>INDEX(Standings!$M$3:$M$34, MATCH(N430, Standings!$A$3:$A$34, 0)) - INDEX(Standings!$M$3:$M$34, MATCH(P430, Standings!$A$3:$A$34, 0))</f>
        <v/>
      </c>
      <c r="Y430" s="194">
        <f t="array" ref="Y430:Y430">IFERROR(AE430+(AL430-_DFactor)*AE430,"")</f>
        <v/>
      </c>
      <c r="Z430" s="157">
        <f>IFERROR(AF430+(AI430-_DFactor)*AF430,"")</f>
        <v/>
      </c>
      <c r="AC430" s="194">
        <f>VLOOKUP(M430&amp;N430,Schedule!A:F,6,0)</f>
        <v/>
      </c>
      <c r="AD430" s="194">
        <f>VLOOKUP(M430&amp;P430,Schedule!A:F,6,0)</f>
        <v/>
      </c>
      <c r="AE430" s="156">
        <f>VLOOKUP(N430,ProjPVT!B:I,8,0)*_Mag/VLOOKUP(P430,Standings!A:O,15,0)*H430*K430</f>
        <v/>
      </c>
      <c r="AF430" s="156">
        <f>VLOOKUP(P430,ProjPVT!B:I,8,0)*_Mag/VLOOKUP(N430,Standings!A:O,15,0)*J430*I430</f>
        <v/>
      </c>
      <c r="AG430" s="195">
        <f>VLOOKUP(N430,Matrix!AA:AC,3,0)</f>
        <v/>
      </c>
      <c r="AH430" s="195">
        <f>SUMIFS(Def!C:C,Def!F:F,AG430)</f>
        <v/>
      </c>
      <c r="AI430" s="156">
        <f>IFERROR(SUMIFS(Def!B:B,Def!F:F,AG430)/AH430,"")</f>
        <v/>
      </c>
      <c r="AJ430" s="195">
        <f>VLOOKUP(P430,Matrix!AA:AC,3,0)</f>
        <v/>
      </c>
      <c r="AK430" s="195">
        <f>SUMIFS(Def!C:C,Def!F:F,AJ430)</f>
        <v/>
      </c>
      <c r="AL430" s="156">
        <f>IFERROR(SUMIFS(Def!B:B,Def!F:F,AJ430)/AK430,"")</f>
        <v/>
      </c>
    </row>
    <row r="431" ht="14.4" customHeight="1" s="152">
      <c r="A431" s="157">
        <f>IF(F431="Yes",IFERROR(IF(AA431&gt;1,AA431/100,100/-AA431),""),-1)</f>
        <v/>
      </c>
      <c r="B431" s="157">
        <f>B430+1</f>
        <v/>
      </c>
      <c r="C431" s="157">
        <f>IF(Y431&gt;Z431,1,0)</f>
        <v/>
      </c>
      <c r="D431" s="157">
        <f>IF(AND(C431=1,F431="Yes"),"Yes",IF(AND(C431=0,F431="No"),"Yes","No"))</f>
        <v/>
      </c>
      <c r="E431" s="192">
        <f>IF((AC431+AB431)=AD431,"Push",IF((AC431+AB431)&gt;AD431,"Yes","No"))</f>
        <v/>
      </c>
      <c r="F431" s="192">
        <f>IF(AC431&gt;AD431,"Yes","No")</f>
        <v/>
      </c>
      <c r="G431" s="192">
        <f>IF((Y431+AB431)&gt;Z431,"Yes",IF((Y431+AB431)=Z431,"Push","No"))</f>
        <v/>
      </c>
      <c r="H431" s="157">
        <f>IF(O431="Home",VLOOKUP(N431,Matrix!A:S,19,0),1)</f>
        <v/>
      </c>
      <c r="I431" s="157">
        <f>IF(O431="Away",VLOOKUP(N431,Matrix!A:Z,20,0),1)</f>
        <v/>
      </c>
      <c r="J431" s="157">
        <f>IF(O431="Away",VLOOKUP(P431,Matrix!A:S,19,0),1)</f>
        <v/>
      </c>
      <c r="K431" s="157">
        <f>IF(O431="Home",VLOOKUP(P431,Matrix!A:Z,20,0),1)</f>
        <v/>
      </c>
      <c r="L431" s="156" t="n">
        <v>-0.043476466353795</v>
      </c>
      <c r="M431" s="179">
        <f>Schedule!B431</f>
        <v/>
      </c>
      <c r="N431" s="156">
        <f>Schedule!E431</f>
        <v/>
      </c>
      <c r="O431" s="156" t="inlineStr">
        <is>
          <t>Home</t>
        </is>
      </c>
      <c r="P431" s="157">
        <f>Schedule!H431</f>
        <v/>
      </c>
      <c r="Q431" s="157">
        <f>Schedule!C431</f>
        <v/>
      </c>
      <c r="R431" s="180">
        <f>Schedule!D431</f>
        <v/>
      </c>
      <c r="S431" s="181">
        <f>Schedule!J431</f>
        <v/>
      </c>
      <c r="T431" s="193">
        <f>Y431-Z431</f>
        <v/>
      </c>
      <c r="U431" s="182">
        <f>T431/Picks!$K$2</f>
        <v/>
      </c>
      <c r="V431" s="193">
        <f>INDEX(Standings!$T$3:$T$34, MATCH(N431, Standings!$A$3:$A$34, 0)) - INDEX(Standings!$T$3:$T$34, MATCH(P431, Standings!$A$3:$A$34, 0))</f>
        <v/>
      </c>
      <c r="W431" s="157">
        <f>INDEX(Standings!$L$3:$L$34, MATCH(N431, Standings!$A$3:$A$34, 0)) - INDEX(Standings!$L$3:$L$34, MATCH(P431, Standings!$A$3:$A$34, 0))</f>
        <v/>
      </c>
      <c r="X431" s="157">
        <f>INDEX(Standings!$M$3:$M$34, MATCH(N431, Standings!$A$3:$A$34, 0)) - INDEX(Standings!$M$3:$M$34, MATCH(P431, Standings!$A$3:$A$34, 0))</f>
        <v/>
      </c>
      <c r="Y431" s="194">
        <f t="array" ref="Y431:Y431">IFERROR(AE431+(AL431-_DFactor)*AE431,"")</f>
        <v/>
      </c>
      <c r="Z431" s="157">
        <f>IFERROR(AF431+(AI431-_DFactor)*AF431,"")</f>
        <v/>
      </c>
      <c r="AC431" s="194">
        <f>VLOOKUP(M431&amp;N431,Schedule!A:F,6,0)</f>
        <v/>
      </c>
      <c r="AD431" s="194">
        <f>VLOOKUP(M431&amp;P431,Schedule!A:F,6,0)</f>
        <v/>
      </c>
      <c r="AE431" s="156">
        <f>VLOOKUP(N431,ProjPVT!B:I,8,0)*_Mag/VLOOKUP(P431,Standings!A:O,15,0)*H431*K431</f>
        <v/>
      </c>
      <c r="AF431" s="156">
        <f>VLOOKUP(P431,ProjPVT!B:I,8,0)*_Mag/VLOOKUP(N431,Standings!A:O,15,0)*J431*I431</f>
        <v/>
      </c>
      <c r="AG431" s="195">
        <f>VLOOKUP(N431,Matrix!AA:AC,3,0)</f>
        <v/>
      </c>
      <c r="AH431" s="195">
        <f>SUMIFS(Def!C:C,Def!F:F,AG431)</f>
        <v/>
      </c>
      <c r="AI431" s="156">
        <f>IFERROR(SUMIFS(Def!B:B,Def!F:F,AG431)/AH431,"")</f>
        <v/>
      </c>
      <c r="AJ431" s="195">
        <f>VLOOKUP(P431,Matrix!AA:AC,3,0)</f>
        <v/>
      </c>
      <c r="AK431" s="195">
        <f>SUMIFS(Def!C:C,Def!F:F,AJ431)</f>
        <v/>
      </c>
      <c r="AL431" s="156">
        <f>IFERROR(SUMIFS(Def!B:B,Def!F:F,AJ431)/AK431,"")</f>
        <v/>
      </c>
    </row>
    <row r="432" ht="14.4" customHeight="1" s="152">
      <c r="A432" s="157">
        <f>IF(F432="Yes",IFERROR(IF(AA432&gt;1,AA432/100,100/-AA432),""),-1)</f>
        <v/>
      </c>
      <c r="B432" s="157">
        <f>B431+1</f>
        <v/>
      </c>
      <c r="C432" s="157">
        <f>IF(Y432&gt;Z432,1,0)</f>
        <v/>
      </c>
      <c r="D432" s="157">
        <f>IF(AND(C432=1,F432="Yes"),"Yes",IF(AND(C432=0,F432="No"),"Yes","No"))</f>
        <v/>
      </c>
      <c r="E432" s="192">
        <f>IF((AC432+AB432)=AD432,"Push",IF((AC432+AB432)&gt;AD432,"Yes","No"))</f>
        <v/>
      </c>
      <c r="F432" s="192">
        <f>IF(AC432&gt;AD432,"Yes","No")</f>
        <v/>
      </c>
      <c r="G432" s="192">
        <f>IF((Y432+AB432)&gt;Z432,"Yes",IF((Y432+AB432)=Z432,"Push","No"))</f>
        <v/>
      </c>
      <c r="H432" s="157">
        <f>IF(O432="Home",VLOOKUP(N432,Matrix!A:S,19,0),1)</f>
        <v/>
      </c>
      <c r="I432" s="157">
        <f>IF(O432="Away",VLOOKUP(N432,Matrix!A:Z,20,0),1)</f>
        <v/>
      </c>
      <c r="J432" s="157">
        <f>IF(O432="Away",VLOOKUP(P432,Matrix!A:S,19,0),1)</f>
        <v/>
      </c>
      <c r="K432" s="157">
        <f>IF(O432="Home",VLOOKUP(P432,Matrix!A:Z,20,0),1)</f>
        <v/>
      </c>
      <c r="L432" s="156" t="n">
        <v>-0.0210921883915122</v>
      </c>
      <c r="M432" s="179">
        <f>Schedule!B432</f>
        <v/>
      </c>
      <c r="N432" s="156">
        <f>Schedule!E432</f>
        <v/>
      </c>
      <c r="O432" s="156" t="inlineStr">
        <is>
          <t>Away</t>
        </is>
      </c>
      <c r="P432" s="157">
        <f>Schedule!H432</f>
        <v/>
      </c>
      <c r="Q432" s="157">
        <f>Schedule!C432</f>
        <v/>
      </c>
      <c r="R432" s="180">
        <f>Schedule!D432</f>
        <v/>
      </c>
      <c r="S432" s="181">
        <f>Schedule!J432</f>
        <v/>
      </c>
      <c r="T432" s="193">
        <f>Y432-Z432</f>
        <v/>
      </c>
      <c r="U432" s="182">
        <f>T432/Picks!$K$2</f>
        <v/>
      </c>
      <c r="V432" s="193">
        <f>INDEX(Standings!$T$3:$T$34, MATCH(N432, Standings!$A$3:$A$34, 0)) - INDEX(Standings!$T$3:$T$34, MATCH(P432, Standings!$A$3:$A$34, 0))</f>
        <v/>
      </c>
      <c r="W432" s="157">
        <f>INDEX(Standings!$L$3:$L$34, MATCH(N432, Standings!$A$3:$A$34, 0)) - INDEX(Standings!$L$3:$L$34, MATCH(P432, Standings!$A$3:$A$34, 0))</f>
        <v/>
      </c>
      <c r="X432" s="157">
        <f>INDEX(Standings!$M$3:$M$34, MATCH(N432, Standings!$A$3:$A$34, 0)) - INDEX(Standings!$M$3:$M$34, MATCH(P432, Standings!$A$3:$A$34, 0))</f>
        <v/>
      </c>
      <c r="Y432" s="194">
        <f t="array" ref="Y432:Y432">IFERROR(AE432+(AL432-_DFactor)*AE432,"")</f>
        <v/>
      </c>
      <c r="Z432" s="157">
        <f>IFERROR(AF432+(AI432-_DFactor)*AF432,"")</f>
        <v/>
      </c>
      <c r="AC432" s="194">
        <f>VLOOKUP(M432&amp;N432,Schedule!A:F,6,0)</f>
        <v/>
      </c>
      <c r="AD432" s="194">
        <f>VLOOKUP(M432&amp;P432,Schedule!A:F,6,0)</f>
        <v/>
      </c>
      <c r="AE432" s="156">
        <f>VLOOKUP(N432,ProjPVT!B:I,8,0)*_Mag/VLOOKUP(P432,Standings!A:O,15,0)*H432*K432</f>
        <v/>
      </c>
      <c r="AF432" s="156">
        <f>VLOOKUP(P432,ProjPVT!B:I,8,0)*_Mag/VLOOKUP(N432,Standings!A:O,15,0)*J432*I432</f>
        <v/>
      </c>
      <c r="AG432" s="195">
        <f>VLOOKUP(N432,Matrix!AA:AC,3,0)</f>
        <v/>
      </c>
      <c r="AH432" s="195">
        <f>SUMIFS(Def!C:C,Def!F:F,AG432)</f>
        <v/>
      </c>
      <c r="AI432" s="156">
        <f>IFERROR(SUMIFS(Def!B:B,Def!F:F,AG432)/AH432,"")</f>
        <v/>
      </c>
      <c r="AJ432" s="195">
        <f>VLOOKUP(P432,Matrix!AA:AC,3,0)</f>
        <v/>
      </c>
      <c r="AK432" s="195">
        <f>SUMIFS(Def!C:C,Def!F:F,AJ432)</f>
        <v/>
      </c>
      <c r="AL432" s="156">
        <f>IFERROR(SUMIFS(Def!B:B,Def!F:F,AJ432)/AK432,"")</f>
        <v/>
      </c>
    </row>
    <row r="433" ht="14.4" customHeight="1" s="152">
      <c r="A433" s="157">
        <f>IF(F433="Yes",IFERROR(IF(AA433&gt;1,AA433/100,100/-AA433),""),-1)</f>
        <v/>
      </c>
      <c r="B433" s="157">
        <f>B432+1</f>
        <v/>
      </c>
      <c r="C433" s="157">
        <f>IF(Y433&gt;Z433,1,0)</f>
        <v/>
      </c>
      <c r="D433" s="157">
        <f>IF(AND(C433=1,F433="Yes"),"Yes",IF(AND(C433=0,F433="No"),"Yes","No"))</f>
        <v/>
      </c>
      <c r="E433" s="192">
        <f>IF((AC433+AB433)=AD433,"Push",IF((AC433+AB433)&gt;AD433,"Yes","No"))</f>
        <v/>
      </c>
      <c r="F433" s="192">
        <f>IF(AC433&gt;AD433,"Yes","No")</f>
        <v/>
      </c>
      <c r="G433" s="192">
        <f>IF((Y433+AB433)&gt;Z433,"Yes",IF((Y433+AB433)=Z433,"Push","No"))</f>
        <v/>
      </c>
      <c r="H433" s="157">
        <f>IF(O433="Home",VLOOKUP(N433,Matrix!A:S,19,0),1)</f>
        <v/>
      </c>
      <c r="I433" s="157">
        <f>IF(O433="Away",VLOOKUP(N433,Matrix!A:Z,20,0),1)</f>
        <v/>
      </c>
      <c r="J433" s="157">
        <f>IF(O433="Away",VLOOKUP(P433,Matrix!A:S,19,0),1)</f>
        <v/>
      </c>
      <c r="K433" s="157">
        <f>IF(O433="Home",VLOOKUP(P433,Matrix!A:Z,20,0),1)</f>
        <v/>
      </c>
      <c r="L433" s="156" t="n">
        <v>-0.0113873028455204</v>
      </c>
      <c r="M433" s="179">
        <f>Schedule!B433</f>
        <v/>
      </c>
      <c r="N433" s="156">
        <f>Schedule!E433</f>
        <v/>
      </c>
      <c r="O433" s="156" t="inlineStr">
        <is>
          <t>Home</t>
        </is>
      </c>
      <c r="P433" s="157">
        <f>Schedule!H433</f>
        <v/>
      </c>
      <c r="Q433" s="157">
        <f>Schedule!C433</f>
        <v/>
      </c>
      <c r="R433" s="180">
        <f>Schedule!D433</f>
        <v/>
      </c>
      <c r="S433" s="181">
        <f>Schedule!J433</f>
        <v/>
      </c>
      <c r="T433" s="193">
        <f>Y433-Z433</f>
        <v/>
      </c>
      <c r="U433" s="182">
        <f>T433/Picks!$K$2</f>
        <v/>
      </c>
      <c r="V433" s="193">
        <f>INDEX(Standings!$T$3:$T$34, MATCH(N433, Standings!$A$3:$A$34, 0)) - INDEX(Standings!$T$3:$T$34, MATCH(P433, Standings!$A$3:$A$34, 0))</f>
        <v/>
      </c>
      <c r="W433" s="157">
        <f>INDEX(Standings!$L$3:$L$34, MATCH(N433, Standings!$A$3:$A$34, 0)) - INDEX(Standings!$L$3:$L$34, MATCH(P433, Standings!$A$3:$A$34, 0))</f>
        <v/>
      </c>
      <c r="X433" s="157">
        <f>INDEX(Standings!$M$3:$M$34, MATCH(N433, Standings!$A$3:$A$34, 0)) - INDEX(Standings!$M$3:$M$34, MATCH(P433, Standings!$A$3:$A$34, 0))</f>
        <v/>
      </c>
      <c r="Y433" s="194">
        <f t="array" ref="Y433:Y433">IFERROR(AE433+(AL433-_DFactor)*AE433,"")</f>
        <v/>
      </c>
      <c r="Z433" s="157">
        <f>IFERROR(AF433+(AI433-_DFactor)*AF433,"")</f>
        <v/>
      </c>
      <c r="AC433" s="194">
        <f>VLOOKUP(M433&amp;N433,Schedule!A:F,6,0)</f>
        <v/>
      </c>
      <c r="AD433" s="194">
        <f>VLOOKUP(M433&amp;P433,Schedule!A:F,6,0)</f>
        <v/>
      </c>
      <c r="AE433" s="156">
        <f>VLOOKUP(N433,ProjPVT!B:I,8,0)*_Mag/VLOOKUP(P433,Standings!A:O,15,0)*H433*K433</f>
        <v/>
      </c>
      <c r="AF433" s="156">
        <f>VLOOKUP(P433,ProjPVT!B:I,8,0)*_Mag/VLOOKUP(N433,Standings!A:O,15,0)*J433*I433</f>
        <v/>
      </c>
      <c r="AG433" s="195">
        <f>VLOOKUP(N433,Matrix!AA:AC,3,0)</f>
        <v/>
      </c>
      <c r="AH433" s="195">
        <f>SUMIFS(Def!C:C,Def!F:F,AG433)</f>
        <v/>
      </c>
      <c r="AI433" s="156">
        <f>IFERROR(SUMIFS(Def!B:B,Def!F:F,AG433)/AH433,"")</f>
        <v/>
      </c>
      <c r="AJ433" s="195">
        <f>VLOOKUP(P433,Matrix!AA:AC,3,0)</f>
        <v/>
      </c>
      <c r="AK433" s="195">
        <f>SUMIFS(Def!C:C,Def!F:F,AJ433)</f>
        <v/>
      </c>
      <c r="AL433" s="156">
        <f>IFERROR(SUMIFS(Def!B:B,Def!F:F,AJ433)/AK433,"")</f>
        <v/>
      </c>
    </row>
    <row r="434" ht="14.4" customHeight="1" s="152">
      <c r="A434" s="157">
        <f>IF(F434="Yes",IFERROR(IF(AA434&gt;1,AA434/100,100/-AA434),""),-1)</f>
        <v/>
      </c>
      <c r="B434" s="157">
        <f>B433+1</f>
        <v/>
      </c>
      <c r="C434" s="157">
        <f>IF(Y434&gt;Z434,1,0)</f>
        <v/>
      </c>
      <c r="D434" s="157">
        <f>IF(AND(C434=1,F434="Yes"),"Yes",IF(AND(C434=0,F434="No"),"Yes","No"))</f>
        <v/>
      </c>
      <c r="E434" s="192">
        <f>IF((AC434+AB434)=AD434,"Push",IF((AC434+AB434)&gt;AD434,"Yes","No"))</f>
        <v/>
      </c>
      <c r="F434" s="192">
        <f>IF(AC434&gt;AD434,"Yes","No")</f>
        <v/>
      </c>
      <c r="G434" s="192">
        <f>IF((Y434+AB434)&gt;Z434,"Yes",IF((Y434+AB434)=Z434,"Push","No"))</f>
        <v/>
      </c>
      <c r="H434" s="157">
        <f>IF(O434="Home",VLOOKUP(N434,Matrix!A:S,19,0),1)</f>
        <v/>
      </c>
      <c r="I434" s="157">
        <f>IF(O434="Away",VLOOKUP(N434,Matrix!A:Z,20,0),1)</f>
        <v/>
      </c>
      <c r="J434" s="157">
        <f>IF(O434="Away",VLOOKUP(P434,Matrix!A:S,19,0),1)</f>
        <v/>
      </c>
      <c r="K434" s="157">
        <f>IF(O434="Home",VLOOKUP(P434,Matrix!A:Z,20,0),1)</f>
        <v/>
      </c>
      <c r="L434" s="156" t="n">
        <v>0.0113873028455204</v>
      </c>
      <c r="M434" s="179">
        <f>Schedule!B434</f>
        <v/>
      </c>
      <c r="N434" s="156">
        <f>Schedule!E434</f>
        <v/>
      </c>
      <c r="O434" s="156" t="inlineStr">
        <is>
          <t>Away</t>
        </is>
      </c>
      <c r="P434" s="157">
        <f>Schedule!H434</f>
        <v/>
      </c>
      <c r="Q434" s="157">
        <f>Schedule!C434</f>
        <v/>
      </c>
      <c r="R434" s="180">
        <f>Schedule!D434</f>
        <v/>
      </c>
      <c r="S434" s="181">
        <f>Schedule!J434</f>
        <v/>
      </c>
      <c r="T434" s="193">
        <f>Y434-Z434</f>
        <v/>
      </c>
      <c r="U434" s="182">
        <f>T434/Picks!$K$2</f>
        <v/>
      </c>
      <c r="V434" s="193">
        <f>INDEX(Standings!$T$3:$T$34, MATCH(N434, Standings!$A$3:$A$34, 0)) - INDEX(Standings!$T$3:$T$34, MATCH(P434, Standings!$A$3:$A$34, 0))</f>
        <v/>
      </c>
      <c r="W434" s="157">
        <f>INDEX(Standings!$L$3:$L$34, MATCH(N434, Standings!$A$3:$A$34, 0)) - INDEX(Standings!$L$3:$L$34, MATCH(P434, Standings!$A$3:$A$34, 0))</f>
        <v/>
      </c>
      <c r="X434" s="157">
        <f>INDEX(Standings!$M$3:$M$34, MATCH(N434, Standings!$A$3:$A$34, 0)) - INDEX(Standings!$M$3:$M$34, MATCH(P434, Standings!$A$3:$A$34, 0))</f>
        <v/>
      </c>
      <c r="Y434" s="194">
        <f t="array" ref="Y434:Y434">IFERROR(AE434+(AL434-_DFactor)*AE434,"")</f>
        <v/>
      </c>
      <c r="Z434" s="157">
        <f>IFERROR(AF434+(AI434-_DFactor)*AF434,"")</f>
        <v/>
      </c>
      <c r="AC434" s="194">
        <f>VLOOKUP(M434&amp;N434,Schedule!A:F,6,0)</f>
        <v/>
      </c>
      <c r="AD434" s="194">
        <f>VLOOKUP(M434&amp;P434,Schedule!A:F,6,0)</f>
        <v/>
      </c>
      <c r="AE434" s="156">
        <f>VLOOKUP(N434,ProjPVT!B:I,8,0)*_Mag/VLOOKUP(P434,Standings!A:O,15,0)*H434*K434</f>
        <v/>
      </c>
      <c r="AF434" s="156">
        <f>VLOOKUP(P434,ProjPVT!B:I,8,0)*_Mag/VLOOKUP(N434,Standings!A:O,15,0)*J434*I434</f>
        <v/>
      </c>
      <c r="AG434" s="195">
        <f>VLOOKUP(N434,Matrix!AA:AC,3,0)</f>
        <v/>
      </c>
      <c r="AH434" s="195">
        <f>SUMIFS(Def!C:C,Def!F:F,AG434)</f>
        <v/>
      </c>
      <c r="AI434" s="156">
        <f>IFERROR(SUMIFS(Def!B:B,Def!F:F,AG434)/AH434,"")</f>
        <v/>
      </c>
      <c r="AJ434" s="195">
        <f>VLOOKUP(P434,Matrix!AA:AC,3,0)</f>
        <v/>
      </c>
      <c r="AK434" s="195">
        <f>SUMIFS(Def!C:C,Def!F:F,AJ434)</f>
        <v/>
      </c>
      <c r="AL434" s="156">
        <f>IFERROR(SUMIFS(Def!B:B,Def!F:F,AJ434)/AK434,"")</f>
        <v/>
      </c>
    </row>
    <row r="435" ht="14.4" customHeight="1" s="152">
      <c r="A435" s="157">
        <f>IF(F435="Yes",IFERROR(IF(AA435&gt;1,AA435/100,100/-AA435),""),-1)</f>
        <v/>
      </c>
      <c r="B435" s="157">
        <f>B434+1</f>
        <v/>
      </c>
      <c r="C435" s="157">
        <f>IF(Y435&gt;Z435,1,0)</f>
        <v/>
      </c>
      <c r="D435" s="157">
        <f>IF(AND(C435=1,F435="Yes"),"Yes",IF(AND(C435=0,F435="No"),"Yes","No"))</f>
        <v/>
      </c>
      <c r="E435" s="192">
        <f>IF((AC435+AB435)=AD435,"Push",IF((AC435+AB435)&gt;AD435,"Yes","No"))</f>
        <v/>
      </c>
      <c r="F435" s="192">
        <f>IF(AC435&gt;AD435,"Yes","No")</f>
        <v/>
      </c>
      <c r="G435" s="192">
        <f>IF((Y435+AB435)&gt;Z435,"Yes",IF((Y435+AB435)=Z435,"Push","No"))</f>
        <v/>
      </c>
      <c r="H435" s="157">
        <f>IF(O435="Home",VLOOKUP(N435,Matrix!A:S,19,0),1)</f>
        <v/>
      </c>
      <c r="I435" s="157">
        <f>IF(O435="Away",VLOOKUP(N435,Matrix!A:Z,20,0),1)</f>
        <v/>
      </c>
      <c r="J435" s="157">
        <f>IF(O435="Away",VLOOKUP(P435,Matrix!A:S,19,0),1)</f>
        <v/>
      </c>
      <c r="K435" s="157">
        <f>IF(O435="Home",VLOOKUP(P435,Matrix!A:Z,20,0),1)</f>
        <v/>
      </c>
      <c r="L435" s="156" t="n">
        <v>0.0210921883915122</v>
      </c>
      <c r="M435" s="179">
        <f>Schedule!B435</f>
        <v/>
      </c>
      <c r="N435" s="156">
        <f>Schedule!E435</f>
        <v/>
      </c>
      <c r="O435" s="156" t="inlineStr">
        <is>
          <t>Home</t>
        </is>
      </c>
      <c r="P435" s="157">
        <f>Schedule!H435</f>
        <v/>
      </c>
      <c r="Q435" s="157">
        <f>Schedule!C435</f>
        <v/>
      </c>
      <c r="R435" s="180">
        <f>Schedule!D435</f>
        <v/>
      </c>
      <c r="S435" s="181">
        <f>Schedule!J435</f>
        <v/>
      </c>
      <c r="T435" s="193">
        <f>Y435-Z435</f>
        <v/>
      </c>
      <c r="U435" s="182">
        <f>T435/Picks!$K$2</f>
        <v/>
      </c>
      <c r="V435" s="193">
        <f>INDEX(Standings!$T$3:$T$34, MATCH(N435, Standings!$A$3:$A$34, 0)) - INDEX(Standings!$T$3:$T$34, MATCH(P435, Standings!$A$3:$A$34, 0))</f>
        <v/>
      </c>
      <c r="W435" s="157">
        <f>INDEX(Standings!$L$3:$L$34, MATCH(N435, Standings!$A$3:$A$34, 0)) - INDEX(Standings!$L$3:$L$34, MATCH(P435, Standings!$A$3:$A$34, 0))</f>
        <v/>
      </c>
      <c r="X435" s="157">
        <f>INDEX(Standings!$M$3:$M$34, MATCH(N435, Standings!$A$3:$A$34, 0)) - INDEX(Standings!$M$3:$M$34, MATCH(P435, Standings!$A$3:$A$34, 0))</f>
        <v/>
      </c>
      <c r="Y435" s="194">
        <f t="array" ref="Y435:Y435">IFERROR(AE435+(AL435-_DFactor)*AE435,"")</f>
        <v/>
      </c>
      <c r="Z435" s="157">
        <f>IFERROR(AF435+(AI435-_DFactor)*AF435,"")</f>
        <v/>
      </c>
      <c r="AC435" s="194">
        <f>VLOOKUP(M435&amp;N435,Schedule!A:F,6,0)</f>
        <v/>
      </c>
      <c r="AD435" s="194">
        <f>VLOOKUP(M435&amp;P435,Schedule!A:F,6,0)</f>
        <v/>
      </c>
      <c r="AE435" s="156">
        <f>VLOOKUP(N435,ProjPVT!B:I,8,0)*_Mag/VLOOKUP(P435,Standings!A:O,15,0)*H435*K435</f>
        <v/>
      </c>
      <c r="AF435" s="156">
        <f>VLOOKUP(P435,ProjPVT!B:I,8,0)*_Mag/VLOOKUP(N435,Standings!A:O,15,0)*J435*I435</f>
        <v/>
      </c>
      <c r="AG435" s="195">
        <f>VLOOKUP(N435,Matrix!AA:AC,3,0)</f>
        <v/>
      </c>
      <c r="AH435" s="195">
        <f>SUMIFS(Def!C:C,Def!F:F,AG435)</f>
        <v/>
      </c>
      <c r="AI435" s="156">
        <f>IFERROR(SUMIFS(Def!B:B,Def!F:F,AG435)/AH435,"")</f>
        <v/>
      </c>
      <c r="AJ435" s="195">
        <f>VLOOKUP(P435,Matrix!AA:AC,3,0)</f>
        <v/>
      </c>
      <c r="AK435" s="195">
        <f>SUMIFS(Def!C:C,Def!F:F,AJ435)</f>
        <v/>
      </c>
      <c r="AL435" s="156">
        <f>IFERROR(SUMIFS(Def!B:B,Def!F:F,AJ435)/AK435,"")</f>
        <v/>
      </c>
    </row>
    <row r="436" ht="14.4" customHeight="1" s="152">
      <c r="A436" s="157">
        <f>IF(F436="Yes",IFERROR(IF(AA436&gt;1,AA436/100,100/-AA436),""),-1)</f>
        <v/>
      </c>
      <c r="B436" s="157">
        <f>B435+1</f>
        <v/>
      </c>
      <c r="C436" s="157">
        <f>IF(Y436&gt;Z436,1,0)</f>
        <v/>
      </c>
      <c r="D436" s="157">
        <f>IF(AND(C436=1,F436="Yes"),"Yes",IF(AND(C436=0,F436="No"),"Yes","No"))</f>
        <v/>
      </c>
      <c r="E436" s="192">
        <f>IF((AC436+AB436)=AD436,"Push",IF((AC436+AB436)&gt;AD436,"Yes","No"))</f>
        <v/>
      </c>
      <c r="F436" s="192">
        <f>IF(AC436&gt;AD436,"Yes","No")</f>
        <v/>
      </c>
      <c r="G436" s="192">
        <f>IF((Y436+AB436)&gt;Z436,"Yes",IF((Y436+AB436)=Z436,"Push","No"))</f>
        <v/>
      </c>
      <c r="H436" s="157">
        <f>IF(O436="Home",VLOOKUP(N436,Matrix!A:S,19,0),1)</f>
        <v/>
      </c>
      <c r="I436" s="157">
        <f>IF(O436="Away",VLOOKUP(N436,Matrix!A:Z,20,0),1)</f>
        <v/>
      </c>
      <c r="J436" s="157">
        <f>IF(O436="Away",VLOOKUP(P436,Matrix!A:S,19,0),1)</f>
        <v/>
      </c>
      <c r="K436" s="157">
        <f>IF(O436="Home",VLOOKUP(P436,Matrix!A:Z,20,0),1)</f>
        <v/>
      </c>
      <c r="L436" s="156" t="n">
        <v>0.043476466353795</v>
      </c>
      <c r="M436" s="179">
        <f>Schedule!B436</f>
        <v/>
      </c>
      <c r="N436" s="156">
        <f>Schedule!E436</f>
        <v/>
      </c>
      <c r="O436" s="156" t="inlineStr">
        <is>
          <t>Away</t>
        </is>
      </c>
      <c r="P436" s="157">
        <f>Schedule!H436</f>
        <v/>
      </c>
      <c r="Q436" s="157">
        <f>Schedule!C436</f>
        <v/>
      </c>
      <c r="R436" s="180">
        <f>Schedule!D436</f>
        <v/>
      </c>
      <c r="S436" s="181">
        <f>Schedule!J436</f>
        <v/>
      </c>
      <c r="T436" s="193">
        <f>Y436-Z436</f>
        <v/>
      </c>
      <c r="U436" s="182">
        <f>T436/Picks!$K$2</f>
        <v/>
      </c>
      <c r="V436" s="193">
        <f>INDEX(Standings!$T$3:$T$34, MATCH(N436, Standings!$A$3:$A$34, 0)) - INDEX(Standings!$T$3:$T$34, MATCH(P436, Standings!$A$3:$A$34, 0))</f>
        <v/>
      </c>
      <c r="W436" s="157">
        <f>INDEX(Standings!$L$3:$L$34, MATCH(N436, Standings!$A$3:$A$34, 0)) - INDEX(Standings!$L$3:$L$34, MATCH(P436, Standings!$A$3:$A$34, 0))</f>
        <v/>
      </c>
      <c r="X436" s="157">
        <f>INDEX(Standings!$M$3:$M$34, MATCH(N436, Standings!$A$3:$A$34, 0)) - INDEX(Standings!$M$3:$M$34, MATCH(P436, Standings!$A$3:$A$34, 0))</f>
        <v/>
      </c>
      <c r="Y436" s="194">
        <f t="array" ref="Y436:Y436">IFERROR(AE436+(AL436-_DFactor)*AE436,"")</f>
        <v/>
      </c>
      <c r="Z436" s="157">
        <f>IFERROR(AF436+(AI436-_DFactor)*AF436,"")</f>
        <v/>
      </c>
      <c r="AC436" s="194">
        <f>VLOOKUP(M436&amp;N436,Schedule!A:F,6,0)</f>
        <v/>
      </c>
      <c r="AD436" s="194">
        <f>VLOOKUP(M436&amp;P436,Schedule!A:F,6,0)</f>
        <v/>
      </c>
      <c r="AE436" s="156">
        <f>VLOOKUP(N436,ProjPVT!B:I,8,0)*_Mag/VLOOKUP(P436,Standings!A:O,15,0)*H436*K436</f>
        <v/>
      </c>
      <c r="AF436" s="156">
        <f>VLOOKUP(P436,ProjPVT!B:I,8,0)*_Mag/VLOOKUP(N436,Standings!A:O,15,0)*J436*I436</f>
        <v/>
      </c>
      <c r="AG436" s="195">
        <f>VLOOKUP(N436,Matrix!AA:AC,3,0)</f>
        <v/>
      </c>
      <c r="AH436" s="195">
        <f>SUMIFS(Def!C:C,Def!F:F,AG436)</f>
        <v/>
      </c>
      <c r="AI436" s="156">
        <f>IFERROR(SUMIFS(Def!B:B,Def!F:F,AG436)/AH436,"")</f>
        <v/>
      </c>
      <c r="AJ436" s="195">
        <f>VLOOKUP(P436,Matrix!AA:AC,3,0)</f>
        <v/>
      </c>
      <c r="AK436" s="195">
        <f>SUMIFS(Def!C:C,Def!F:F,AJ436)</f>
        <v/>
      </c>
      <c r="AL436" s="156">
        <f>IFERROR(SUMIFS(Def!B:B,Def!F:F,AJ436)/AK436,"")</f>
        <v/>
      </c>
    </row>
    <row r="437" ht="14.4" customHeight="1" s="152">
      <c r="A437" s="157">
        <f>IF(F437="Yes",IFERROR(IF(AA437&gt;1,AA437/100,100/-AA437),""),-1)</f>
        <v/>
      </c>
      <c r="B437" s="157">
        <f>B436+1</f>
        <v/>
      </c>
      <c r="C437" s="157">
        <f>IF(Y437&gt;Z437,1,0)</f>
        <v/>
      </c>
      <c r="D437" s="157">
        <f>IF(AND(C437=1,F437="Yes"),"Yes",IF(AND(C437=0,F437="No"),"Yes","No"))</f>
        <v/>
      </c>
      <c r="E437" s="192">
        <f>IF((AC437+AB437)=AD437,"Push",IF((AC437+AB437)&gt;AD437,"Yes","No"))</f>
        <v/>
      </c>
      <c r="F437" s="192">
        <f>IF(AC437&gt;AD437,"Yes","No")</f>
        <v/>
      </c>
      <c r="G437" s="192">
        <f>IF((Y437+AB437)&gt;Z437,"Yes",IF((Y437+AB437)=Z437,"Push","No"))</f>
        <v/>
      </c>
      <c r="H437" s="157">
        <f>IF(O437="Home",VLOOKUP(N437,Matrix!A:S,19,0),1)</f>
        <v/>
      </c>
      <c r="I437" s="157">
        <f>IF(O437="Away",VLOOKUP(N437,Matrix!A:Z,20,0),1)</f>
        <v/>
      </c>
      <c r="J437" s="157">
        <f>IF(O437="Away",VLOOKUP(P437,Matrix!A:S,19,0),1)</f>
        <v/>
      </c>
      <c r="K437" s="157">
        <f>IF(O437="Home",VLOOKUP(P437,Matrix!A:Z,20,0),1)</f>
        <v/>
      </c>
      <c r="L437" s="156" t="n">
        <v>0.0465200765587661</v>
      </c>
      <c r="M437" s="179">
        <f>Schedule!B437</f>
        <v/>
      </c>
      <c r="N437" s="156">
        <f>Schedule!E437</f>
        <v/>
      </c>
      <c r="O437" s="156" t="inlineStr">
        <is>
          <t>Home</t>
        </is>
      </c>
      <c r="P437" s="157">
        <f>Schedule!H437</f>
        <v/>
      </c>
      <c r="Q437" s="157">
        <f>Schedule!C437</f>
        <v/>
      </c>
      <c r="R437" s="180">
        <f>Schedule!D437</f>
        <v/>
      </c>
      <c r="S437" s="181">
        <f>Schedule!J437</f>
        <v/>
      </c>
      <c r="T437" s="193">
        <f>Y437-Z437</f>
        <v/>
      </c>
      <c r="U437" s="182">
        <f>T437/Picks!$K$2</f>
        <v/>
      </c>
      <c r="V437" s="193">
        <f>INDEX(Standings!$T$3:$T$34, MATCH(N437, Standings!$A$3:$A$34, 0)) - INDEX(Standings!$T$3:$T$34, MATCH(P437, Standings!$A$3:$A$34, 0))</f>
        <v/>
      </c>
      <c r="W437" s="157">
        <f>INDEX(Standings!$L$3:$L$34, MATCH(N437, Standings!$A$3:$A$34, 0)) - INDEX(Standings!$L$3:$L$34, MATCH(P437, Standings!$A$3:$A$34, 0))</f>
        <v/>
      </c>
      <c r="X437" s="157">
        <f>INDEX(Standings!$M$3:$M$34, MATCH(N437, Standings!$A$3:$A$34, 0)) - INDEX(Standings!$M$3:$M$34, MATCH(P437, Standings!$A$3:$A$34, 0))</f>
        <v/>
      </c>
      <c r="Y437" s="194">
        <f t="array" ref="Y437:Y437">IFERROR(AE437+(AL437-_DFactor)*AE437,"")</f>
        <v/>
      </c>
      <c r="Z437" s="157">
        <f>IFERROR(AF437+(AI437-_DFactor)*AF437,"")</f>
        <v/>
      </c>
      <c r="AC437" s="194">
        <f>VLOOKUP(M437&amp;N437,Schedule!A:F,6,0)</f>
        <v/>
      </c>
      <c r="AD437" s="194">
        <f>VLOOKUP(M437&amp;P437,Schedule!A:F,6,0)</f>
        <v/>
      </c>
      <c r="AE437" s="156">
        <f>VLOOKUP(N437,ProjPVT!B:I,8,0)*_Mag/VLOOKUP(P437,Standings!A:O,15,0)*H437*K437</f>
        <v/>
      </c>
      <c r="AF437" s="156">
        <f>VLOOKUP(P437,ProjPVT!B:I,8,0)*_Mag/VLOOKUP(N437,Standings!A:O,15,0)*J437*I437</f>
        <v/>
      </c>
      <c r="AG437" s="195">
        <f>VLOOKUP(N437,Matrix!AA:AC,3,0)</f>
        <v/>
      </c>
      <c r="AH437" s="195">
        <f>SUMIFS(Def!C:C,Def!F:F,AG437)</f>
        <v/>
      </c>
      <c r="AI437" s="156">
        <f>IFERROR(SUMIFS(Def!B:B,Def!F:F,AG437)/AH437,"")</f>
        <v/>
      </c>
      <c r="AJ437" s="195">
        <f>VLOOKUP(P437,Matrix!AA:AC,3,0)</f>
        <v/>
      </c>
      <c r="AK437" s="195">
        <f>SUMIFS(Def!C:C,Def!F:F,AJ437)</f>
        <v/>
      </c>
      <c r="AL437" s="156">
        <f>IFERROR(SUMIFS(Def!B:B,Def!F:F,AJ437)/AK437,"")</f>
        <v/>
      </c>
    </row>
    <row r="438" ht="14.4" customHeight="1" s="152">
      <c r="A438" s="157">
        <f>IF(F438="Yes",IFERROR(IF(AA438&gt;1,AA438/100,100/-AA438),""),-1)</f>
        <v/>
      </c>
      <c r="B438" s="157">
        <f>B437+1</f>
        <v/>
      </c>
      <c r="C438" s="157">
        <f>IF(Y438&gt;Z438,1,0)</f>
        <v/>
      </c>
      <c r="D438" s="157">
        <f>IF(AND(C438=1,F438="Yes"),"Yes",IF(AND(C438=0,F438="No"),"Yes","No"))</f>
        <v/>
      </c>
      <c r="E438" s="192">
        <f>IF((AC438+AB438)=AD438,"Push",IF((AC438+AB438)&gt;AD438,"Yes","No"))</f>
        <v/>
      </c>
      <c r="F438" s="192">
        <f>IF(AC438&gt;AD438,"Yes","No")</f>
        <v/>
      </c>
      <c r="G438" s="192">
        <f>IF((Y438+AB438)&gt;Z438,"Yes",IF((Y438+AB438)=Z438,"Push","No"))</f>
        <v/>
      </c>
      <c r="H438" s="157">
        <f>IF(O438="Home",VLOOKUP(N438,Matrix!A:S,19,0),1)</f>
        <v/>
      </c>
      <c r="I438" s="157">
        <f>IF(O438="Away",VLOOKUP(N438,Matrix!A:Z,20,0),1)</f>
        <v/>
      </c>
      <c r="J438" s="157">
        <f>IF(O438="Away",VLOOKUP(P438,Matrix!A:S,19,0),1)</f>
        <v/>
      </c>
      <c r="K438" s="157">
        <f>IF(O438="Home",VLOOKUP(P438,Matrix!A:Z,20,0),1)</f>
        <v/>
      </c>
      <c r="L438" s="156" t="n">
        <v>0.07138567051912199</v>
      </c>
      <c r="M438" s="179">
        <f>Schedule!B438</f>
        <v/>
      </c>
      <c r="N438" s="156">
        <f>Schedule!E438</f>
        <v/>
      </c>
      <c r="O438" s="156" t="inlineStr">
        <is>
          <t>Home</t>
        </is>
      </c>
      <c r="P438" s="157">
        <f>Schedule!H438</f>
        <v/>
      </c>
      <c r="Q438" s="157">
        <f>Schedule!C438</f>
        <v/>
      </c>
      <c r="R438" s="180">
        <f>Schedule!D438</f>
        <v/>
      </c>
      <c r="S438" s="181">
        <f>Schedule!J438</f>
        <v/>
      </c>
      <c r="T438" s="193">
        <f>Y438-Z438</f>
        <v/>
      </c>
      <c r="U438" s="182">
        <f>T438/Picks!$K$2</f>
        <v/>
      </c>
      <c r="V438" s="193">
        <f>INDEX(Standings!$T$3:$T$34, MATCH(N438, Standings!$A$3:$A$34, 0)) - INDEX(Standings!$T$3:$T$34, MATCH(P438, Standings!$A$3:$A$34, 0))</f>
        <v/>
      </c>
      <c r="W438" s="157">
        <f>INDEX(Standings!$L$3:$L$34, MATCH(N438, Standings!$A$3:$A$34, 0)) - INDEX(Standings!$L$3:$L$34, MATCH(P438, Standings!$A$3:$A$34, 0))</f>
        <v/>
      </c>
      <c r="X438" s="157">
        <f>INDEX(Standings!$M$3:$M$34, MATCH(N438, Standings!$A$3:$A$34, 0)) - INDEX(Standings!$M$3:$M$34, MATCH(P438, Standings!$A$3:$A$34, 0))</f>
        <v/>
      </c>
      <c r="Y438" s="194">
        <f t="array" ref="Y438:Y438">IFERROR(AE438+(AL438-_DFactor)*AE438,"")</f>
        <v/>
      </c>
      <c r="Z438" s="157">
        <f>IFERROR(AF438+(AI438-_DFactor)*AF438,"")</f>
        <v/>
      </c>
      <c r="AC438" s="194">
        <f>VLOOKUP(M438&amp;N438,Schedule!A:F,6,0)</f>
        <v/>
      </c>
      <c r="AD438" s="194">
        <f>VLOOKUP(M438&amp;P438,Schedule!A:F,6,0)</f>
        <v/>
      </c>
      <c r="AE438" s="156">
        <f>VLOOKUP(N438,ProjPVT!B:I,8,0)*_Mag/VLOOKUP(P438,Standings!A:O,15,0)*H438*K438</f>
        <v/>
      </c>
      <c r="AF438" s="156">
        <f>VLOOKUP(P438,ProjPVT!B:I,8,0)*_Mag/VLOOKUP(N438,Standings!A:O,15,0)*J438*I438</f>
        <v/>
      </c>
      <c r="AG438" s="195">
        <f>VLOOKUP(N438,Matrix!AA:AC,3,0)</f>
        <v/>
      </c>
      <c r="AH438" s="195">
        <f>SUMIFS(Def!C:C,Def!F:F,AG438)</f>
        <v/>
      </c>
      <c r="AI438" s="156">
        <f>IFERROR(SUMIFS(Def!B:B,Def!F:F,AG438)/AH438,"")</f>
        <v/>
      </c>
      <c r="AJ438" s="195">
        <f>VLOOKUP(P438,Matrix!AA:AC,3,0)</f>
        <v/>
      </c>
      <c r="AK438" s="195">
        <f>SUMIFS(Def!C:C,Def!F:F,AJ438)</f>
        <v/>
      </c>
      <c r="AL438" s="156">
        <f>IFERROR(SUMIFS(Def!B:B,Def!F:F,AJ438)/AK438,"")</f>
        <v/>
      </c>
    </row>
    <row r="439" ht="14.4" customHeight="1" s="152">
      <c r="A439" s="157">
        <f>IF(F439="Yes",IFERROR(IF(AA439&gt;1,AA439/100,100/-AA439),""),-1)</f>
        <v/>
      </c>
      <c r="B439" s="157">
        <f>B438+1</f>
        <v/>
      </c>
      <c r="C439" s="157">
        <f>IF(Y439&gt;Z439,1,0)</f>
        <v/>
      </c>
      <c r="D439" s="157">
        <f>IF(AND(C439=1,F439="Yes"),"Yes",IF(AND(C439=0,F439="No"),"Yes","No"))</f>
        <v/>
      </c>
      <c r="E439" s="192">
        <f>IF((AC439+AB439)=AD439,"Push",IF((AC439+AB439)&gt;AD439,"Yes","No"))</f>
        <v/>
      </c>
      <c r="F439" s="192">
        <f>IF(AC439&gt;AD439,"Yes","No")</f>
        <v/>
      </c>
      <c r="G439" s="192">
        <f>IF((Y439+AB439)&gt;Z439,"Yes",IF((Y439+AB439)=Z439,"Push","No"))</f>
        <v/>
      </c>
      <c r="H439" s="157">
        <f>IF(O439="Home",VLOOKUP(N439,Matrix!A:S,19,0),1)</f>
        <v/>
      </c>
      <c r="I439" s="157">
        <f>IF(O439="Away",VLOOKUP(N439,Matrix!A:Z,20,0),1)</f>
        <v/>
      </c>
      <c r="J439" s="157">
        <f>IF(O439="Away",VLOOKUP(P439,Matrix!A:S,19,0),1)</f>
        <v/>
      </c>
      <c r="K439" s="157">
        <f>IF(O439="Home",VLOOKUP(P439,Matrix!A:Z,20,0),1)</f>
        <v/>
      </c>
      <c r="L439" s="156" t="n">
        <v>0.0809692951139078</v>
      </c>
      <c r="M439" s="179">
        <f>Schedule!B439</f>
        <v/>
      </c>
      <c r="N439" s="156">
        <f>Schedule!E439</f>
        <v/>
      </c>
      <c r="O439" s="156" t="inlineStr">
        <is>
          <t>Away</t>
        </is>
      </c>
      <c r="P439" s="157">
        <f>Schedule!H439</f>
        <v/>
      </c>
      <c r="Q439" s="157">
        <f>Schedule!C439</f>
        <v/>
      </c>
      <c r="R439" s="180">
        <f>Schedule!D439</f>
        <v/>
      </c>
      <c r="S439" s="181">
        <f>Schedule!J439</f>
        <v/>
      </c>
      <c r="T439" s="193">
        <f>Y439-Z439</f>
        <v/>
      </c>
      <c r="U439" s="182">
        <f>T439/Picks!$K$2</f>
        <v/>
      </c>
      <c r="V439" s="193">
        <f>INDEX(Standings!$T$3:$T$34, MATCH(N439, Standings!$A$3:$A$34, 0)) - INDEX(Standings!$T$3:$T$34, MATCH(P439, Standings!$A$3:$A$34, 0))</f>
        <v/>
      </c>
      <c r="W439" s="157">
        <f>INDEX(Standings!$L$3:$L$34, MATCH(N439, Standings!$A$3:$A$34, 0)) - INDEX(Standings!$L$3:$L$34, MATCH(P439, Standings!$A$3:$A$34, 0))</f>
        <v/>
      </c>
      <c r="X439" s="157">
        <f>INDEX(Standings!$M$3:$M$34, MATCH(N439, Standings!$A$3:$A$34, 0)) - INDEX(Standings!$M$3:$M$34, MATCH(P439, Standings!$A$3:$A$34, 0))</f>
        <v/>
      </c>
      <c r="Y439" s="194">
        <f t="array" ref="Y439:Y439">IFERROR(AE439+(AL439-_DFactor)*AE439,"")</f>
        <v/>
      </c>
      <c r="Z439" s="157">
        <f>IFERROR(AF439+(AI439-_DFactor)*AF439,"")</f>
        <v/>
      </c>
      <c r="AC439" s="194">
        <f>VLOOKUP(M439&amp;N439,Schedule!A:F,6,0)</f>
        <v/>
      </c>
      <c r="AD439" s="194">
        <f>VLOOKUP(M439&amp;P439,Schedule!A:F,6,0)</f>
        <v/>
      </c>
      <c r="AE439" s="156">
        <f>VLOOKUP(N439,ProjPVT!B:I,8,0)*_Mag/VLOOKUP(P439,Standings!A:O,15,0)*H439*K439</f>
        <v/>
      </c>
      <c r="AF439" s="156">
        <f>VLOOKUP(P439,ProjPVT!B:I,8,0)*_Mag/VLOOKUP(N439,Standings!A:O,15,0)*J439*I439</f>
        <v/>
      </c>
      <c r="AG439" s="195">
        <f>VLOOKUP(N439,Matrix!AA:AC,3,0)</f>
        <v/>
      </c>
      <c r="AH439" s="195">
        <f>SUMIFS(Def!C:C,Def!F:F,AG439)</f>
        <v/>
      </c>
      <c r="AI439" s="156">
        <f>IFERROR(SUMIFS(Def!B:B,Def!F:F,AG439)/AH439,"")</f>
        <v/>
      </c>
      <c r="AJ439" s="195">
        <f>VLOOKUP(P439,Matrix!AA:AC,3,0)</f>
        <v/>
      </c>
      <c r="AK439" s="195">
        <f>SUMIFS(Def!C:C,Def!F:F,AJ439)</f>
        <v/>
      </c>
      <c r="AL439" s="156">
        <f>IFERROR(SUMIFS(Def!B:B,Def!F:F,AJ439)/AK439,"")</f>
        <v/>
      </c>
    </row>
    <row r="440" ht="14.4" customHeight="1" s="152">
      <c r="A440" s="157">
        <f>IF(F440="Yes",IFERROR(IF(AA440&gt;1,AA440/100,100/-AA440),""),-1)</f>
        <v/>
      </c>
      <c r="B440" s="157">
        <f>B439+1</f>
        <v/>
      </c>
      <c r="C440" s="157">
        <f>IF(Y440&gt;Z440,1,0)</f>
        <v/>
      </c>
      <c r="D440" s="157">
        <f>IF(AND(C440=1,F440="Yes"),"Yes",IF(AND(C440=0,F440="No"),"Yes","No"))</f>
        <v/>
      </c>
      <c r="E440" s="192">
        <f>IF((AC440+AB440)=AD440,"Push",IF((AC440+AB440)&gt;AD440,"Yes","No"))</f>
        <v/>
      </c>
      <c r="F440" s="192">
        <f>IF(AC440&gt;AD440,"Yes","No")</f>
        <v/>
      </c>
      <c r="G440" s="192">
        <f>IF((Y440+AB440)&gt;Z440,"Yes",IF((Y440+AB440)=Z440,"Push","No"))</f>
        <v/>
      </c>
      <c r="H440" s="157">
        <f>IF(O440="Home",VLOOKUP(N440,Matrix!A:S,19,0),1)</f>
        <v/>
      </c>
      <c r="I440" s="157">
        <f>IF(O440="Away",VLOOKUP(N440,Matrix!A:Z,20,0),1)</f>
        <v/>
      </c>
      <c r="J440" s="157">
        <f>IF(O440="Away",VLOOKUP(P440,Matrix!A:S,19,0),1)</f>
        <v/>
      </c>
      <c r="K440" s="157">
        <f>IF(O440="Home",VLOOKUP(P440,Matrix!A:Z,20,0),1)</f>
        <v/>
      </c>
      <c r="L440" s="156" t="n">
        <v>0.08763840492982231</v>
      </c>
      <c r="M440" s="179">
        <f>Schedule!B440</f>
        <v/>
      </c>
      <c r="N440" s="156">
        <f>Schedule!E440</f>
        <v/>
      </c>
      <c r="O440" s="156" t="inlineStr">
        <is>
          <t>Home</t>
        </is>
      </c>
      <c r="P440" s="157">
        <f>Schedule!H440</f>
        <v/>
      </c>
      <c r="Q440" s="157">
        <f>Schedule!C440</f>
        <v/>
      </c>
      <c r="R440" s="180">
        <f>Schedule!D440</f>
        <v/>
      </c>
      <c r="S440" s="181">
        <f>Schedule!J440</f>
        <v/>
      </c>
      <c r="T440" s="193">
        <f>Y440-Z440</f>
        <v/>
      </c>
      <c r="U440" s="182">
        <f>T440/Picks!$K$2</f>
        <v/>
      </c>
      <c r="V440" s="193">
        <f>INDEX(Standings!$T$3:$T$34, MATCH(N440, Standings!$A$3:$A$34, 0)) - INDEX(Standings!$T$3:$T$34, MATCH(P440, Standings!$A$3:$A$34, 0))</f>
        <v/>
      </c>
      <c r="W440" s="157">
        <f>INDEX(Standings!$L$3:$L$34, MATCH(N440, Standings!$A$3:$A$34, 0)) - INDEX(Standings!$L$3:$L$34, MATCH(P440, Standings!$A$3:$A$34, 0))</f>
        <v/>
      </c>
      <c r="X440" s="157">
        <f>INDEX(Standings!$M$3:$M$34, MATCH(N440, Standings!$A$3:$A$34, 0)) - INDEX(Standings!$M$3:$M$34, MATCH(P440, Standings!$A$3:$A$34, 0))</f>
        <v/>
      </c>
      <c r="Y440" s="194">
        <f t="array" ref="Y440:Y440">IFERROR(AE440+(AL440-_DFactor)*AE440,"")</f>
        <v/>
      </c>
      <c r="Z440" s="157">
        <f>IFERROR(AF440+(AI440-_DFactor)*AF440,"")</f>
        <v/>
      </c>
      <c r="AC440" s="194">
        <f>VLOOKUP(M440&amp;N440,Schedule!A:F,6,0)</f>
        <v/>
      </c>
      <c r="AD440" s="194">
        <f>VLOOKUP(M440&amp;P440,Schedule!A:F,6,0)</f>
        <v/>
      </c>
      <c r="AE440" s="156">
        <f>VLOOKUP(N440,ProjPVT!B:I,8,0)*_Mag/VLOOKUP(P440,Standings!A:O,15,0)*H440*K440</f>
        <v/>
      </c>
      <c r="AF440" s="156">
        <f>VLOOKUP(P440,ProjPVT!B:I,8,0)*_Mag/VLOOKUP(N440,Standings!A:O,15,0)*J440*I440</f>
        <v/>
      </c>
      <c r="AG440" s="195">
        <f>VLOOKUP(N440,Matrix!AA:AC,3,0)</f>
        <v/>
      </c>
      <c r="AH440" s="195">
        <f>SUMIFS(Def!C:C,Def!F:F,AG440)</f>
        <v/>
      </c>
      <c r="AI440" s="156">
        <f>IFERROR(SUMIFS(Def!B:B,Def!F:F,AG440)/AH440,"")</f>
        <v/>
      </c>
      <c r="AJ440" s="195">
        <f>VLOOKUP(P440,Matrix!AA:AC,3,0)</f>
        <v/>
      </c>
      <c r="AK440" s="195">
        <f>SUMIFS(Def!C:C,Def!F:F,AJ440)</f>
        <v/>
      </c>
      <c r="AL440" s="156">
        <f>IFERROR(SUMIFS(Def!B:B,Def!F:F,AJ440)/AK440,"")</f>
        <v/>
      </c>
    </row>
    <row r="441" ht="14.4" customHeight="1" s="152">
      <c r="A441" s="157">
        <f>IF(F441="Yes",IFERROR(IF(AA441&gt;1,AA441/100,100/-AA441),""),-1)</f>
        <v/>
      </c>
      <c r="B441" s="157">
        <f>B440+1</f>
        <v/>
      </c>
      <c r="C441" s="157">
        <f>IF(Y441&gt;Z441,1,0)</f>
        <v/>
      </c>
      <c r="D441" s="157">
        <f>IF(AND(C441=1,F441="Yes"),"Yes",IF(AND(C441=0,F441="No"),"Yes","No"))</f>
        <v/>
      </c>
      <c r="E441" s="192">
        <f>IF((AC441+AB441)=AD441,"Push",IF((AC441+AB441)&gt;AD441,"Yes","No"))</f>
        <v/>
      </c>
      <c r="F441" s="192">
        <f>IF(AC441&gt;AD441,"Yes","No")</f>
        <v/>
      </c>
      <c r="G441" s="192">
        <f>IF((Y441+AB441)&gt;Z441,"Yes",IF((Y441+AB441)=Z441,"Push","No"))</f>
        <v/>
      </c>
      <c r="H441" s="157">
        <f>IF(O441="Home",VLOOKUP(N441,Matrix!A:S,19,0),1)</f>
        <v/>
      </c>
      <c r="I441" s="157">
        <f>IF(O441="Away",VLOOKUP(N441,Matrix!A:Z,20,0),1)</f>
        <v/>
      </c>
      <c r="J441" s="157">
        <f>IF(O441="Away",VLOOKUP(P441,Matrix!A:S,19,0),1)</f>
        <v/>
      </c>
      <c r="K441" s="157">
        <f>IF(O441="Home",VLOOKUP(P441,Matrix!A:Z,20,0),1)</f>
        <v/>
      </c>
      <c r="L441" s="156" t="n">
        <v>0.117602500303125</v>
      </c>
      <c r="M441" s="179">
        <f>Schedule!B441</f>
        <v/>
      </c>
      <c r="N441" s="156">
        <f>Schedule!E441</f>
        <v/>
      </c>
      <c r="O441" s="156" t="inlineStr">
        <is>
          <t>Home</t>
        </is>
      </c>
      <c r="P441" s="157">
        <f>Schedule!H441</f>
        <v/>
      </c>
      <c r="Q441" s="157">
        <f>Schedule!C441</f>
        <v/>
      </c>
      <c r="R441" s="180">
        <f>Schedule!D441</f>
        <v/>
      </c>
      <c r="S441" s="181">
        <f>Schedule!J441</f>
        <v/>
      </c>
      <c r="T441" s="193">
        <f>Y441-Z441</f>
        <v/>
      </c>
      <c r="U441" s="182">
        <f>T441/Picks!$K$2</f>
        <v/>
      </c>
      <c r="V441" s="193">
        <f>INDEX(Standings!$T$3:$T$34, MATCH(N441, Standings!$A$3:$A$34, 0)) - INDEX(Standings!$T$3:$T$34, MATCH(P441, Standings!$A$3:$A$34, 0))</f>
        <v/>
      </c>
      <c r="W441" s="157">
        <f>INDEX(Standings!$L$3:$L$34, MATCH(N441, Standings!$A$3:$A$34, 0)) - INDEX(Standings!$L$3:$L$34, MATCH(P441, Standings!$A$3:$A$34, 0))</f>
        <v/>
      </c>
      <c r="X441" s="157">
        <f>INDEX(Standings!$M$3:$M$34, MATCH(N441, Standings!$A$3:$A$34, 0)) - INDEX(Standings!$M$3:$M$34, MATCH(P441, Standings!$A$3:$A$34, 0))</f>
        <v/>
      </c>
      <c r="Y441" s="194">
        <f t="array" ref="Y441:Y441">IFERROR(AE441+(AL441-_DFactor)*AE441,"")</f>
        <v/>
      </c>
      <c r="Z441" s="157">
        <f>IFERROR(AF441+(AI441-_DFactor)*AF441,"")</f>
        <v/>
      </c>
      <c r="AC441" s="194">
        <f>VLOOKUP(M441&amp;N441,Schedule!A:F,6,0)</f>
        <v/>
      </c>
      <c r="AD441" s="194">
        <f>VLOOKUP(M441&amp;P441,Schedule!A:F,6,0)</f>
        <v/>
      </c>
      <c r="AE441" s="156">
        <f>VLOOKUP(N441,ProjPVT!B:I,8,0)*_Mag/VLOOKUP(P441,Standings!A:O,15,0)*H441*K441</f>
        <v/>
      </c>
      <c r="AF441" s="156">
        <f>VLOOKUP(P441,ProjPVT!B:I,8,0)*_Mag/VLOOKUP(N441,Standings!A:O,15,0)*J441*I441</f>
        <v/>
      </c>
      <c r="AG441" s="195">
        <f>VLOOKUP(N441,Matrix!AA:AC,3,0)</f>
        <v/>
      </c>
      <c r="AH441" s="195">
        <f>SUMIFS(Def!C:C,Def!F:F,AG441)</f>
        <v/>
      </c>
      <c r="AI441" s="156">
        <f>IFERROR(SUMIFS(Def!B:B,Def!F:F,AG441)/AH441,"")</f>
        <v/>
      </c>
      <c r="AJ441" s="195">
        <f>VLOOKUP(P441,Matrix!AA:AC,3,0)</f>
        <v/>
      </c>
      <c r="AK441" s="195">
        <f>SUMIFS(Def!C:C,Def!F:F,AJ441)</f>
        <v/>
      </c>
      <c r="AL441" s="156">
        <f>IFERROR(SUMIFS(Def!B:B,Def!F:F,AJ441)/AK441,"")</f>
        <v/>
      </c>
    </row>
    <row r="442" ht="14.4" customHeight="1" s="152">
      <c r="A442" s="157">
        <f>IF(F442="Yes",IFERROR(IF(AA442&gt;1,AA442/100,100/-AA442),""),-1)</f>
        <v/>
      </c>
      <c r="B442" s="157">
        <f>B441+1</f>
        <v/>
      </c>
      <c r="C442" s="157">
        <f>IF(Y442&gt;Z442,1,0)</f>
        <v/>
      </c>
      <c r="D442" s="157">
        <f>IF(AND(C442=1,F442="Yes"),"Yes",IF(AND(C442=0,F442="No"),"Yes","No"))</f>
        <v/>
      </c>
      <c r="E442" s="192">
        <f>IF((AC442+AB442)=AD442,"Push",IF((AC442+AB442)&gt;AD442,"Yes","No"))</f>
        <v/>
      </c>
      <c r="F442" s="192">
        <f>IF(AC442&gt;AD442,"Yes","No")</f>
        <v/>
      </c>
      <c r="G442" s="192">
        <f>IF((Y442+AB442)&gt;Z442,"Yes",IF((Y442+AB442)=Z442,"Push","No"))</f>
        <v/>
      </c>
      <c r="H442" s="157">
        <f>IF(O442="Home",VLOOKUP(N442,Matrix!A:S,19,0),1)</f>
        <v/>
      </c>
      <c r="I442" s="157">
        <f>IF(O442="Away",VLOOKUP(N442,Matrix!A:Z,20,0),1)</f>
        <v/>
      </c>
      <c r="J442" s="157">
        <f>IF(O442="Away",VLOOKUP(P442,Matrix!A:S,19,0),1)</f>
        <v/>
      </c>
      <c r="K442" s="157">
        <f>IF(O442="Home",VLOOKUP(P442,Matrix!A:Z,20,0),1)</f>
        <v/>
      </c>
      <c r="L442" s="156" t="n">
        <v>0.163886186469715</v>
      </c>
      <c r="M442" s="179">
        <f>Schedule!B442</f>
        <v/>
      </c>
      <c r="N442" s="156">
        <f>Schedule!E442</f>
        <v/>
      </c>
      <c r="O442" s="156" t="inlineStr">
        <is>
          <t>Home</t>
        </is>
      </c>
      <c r="P442" s="157">
        <f>Schedule!H442</f>
        <v/>
      </c>
      <c r="Q442" s="157">
        <f>Schedule!C442</f>
        <v/>
      </c>
      <c r="R442" s="180">
        <f>Schedule!D442</f>
        <v/>
      </c>
      <c r="S442" s="181">
        <f>Schedule!J442</f>
        <v/>
      </c>
      <c r="T442" s="193">
        <f>Y442-Z442</f>
        <v/>
      </c>
      <c r="U442" s="182">
        <f>T442/Picks!$K$2</f>
        <v/>
      </c>
      <c r="V442" s="193">
        <f>INDEX(Standings!$T$3:$T$34, MATCH(N442, Standings!$A$3:$A$34, 0)) - INDEX(Standings!$T$3:$T$34, MATCH(P442, Standings!$A$3:$A$34, 0))</f>
        <v/>
      </c>
      <c r="W442" s="157">
        <f>INDEX(Standings!$L$3:$L$34, MATCH(N442, Standings!$A$3:$A$34, 0)) - INDEX(Standings!$L$3:$L$34, MATCH(P442, Standings!$A$3:$A$34, 0))</f>
        <v/>
      </c>
      <c r="X442" s="157">
        <f>INDEX(Standings!$M$3:$M$34, MATCH(N442, Standings!$A$3:$A$34, 0)) - INDEX(Standings!$M$3:$M$34, MATCH(P442, Standings!$A$3:$A$34, 0))</f>
        <v/>
      </c>
      <c r="Y442" s="194">
        <f t="array" ref="Y442:Y442">IFERROR(AE442+(AL442-_DFactor)*AE442,"")</f>
        <v/>
      </c>
      <c r="Z442" s="157">
        <f>IFERROR(AF442+(AI442-_DFactor)*AF442,"")</f>
        <v/>
      </c>
      <c r="AC442" s="194">
        <f>VLOOKUP(M442&amp;N442,Schedule!A:F,6,0)</f>
        <v/>
      </c>
      <c r="AD442" s="194">
        <f>VLOOKUP(M442&amp;P442,Schedule!A:F,6,0)</f>
        <v/>
      </c>
      <c r="AE442" s="156">
        <f>VLOOKUP(N442,ProjPVT!B:I,8,0)*_Mag/VLOOKUP(P442,Standings!A:O,15,0)*H442*K442</f>
        <v/>
      </c>
      <c r="AF442" s="156">
        <f>VLOOKUP(P442,ProjPVT!B:I,8,0)*_Mag/VLOOKUP(N442,Standings!A:O,15,0)*J442*I442</f>
        <v/>
      </c>
      <c r="AG442" s="195">
        <f>VLOOKUP(N442,Matrix!AA:AC,3,0)</f>
        <v/>
      </c>
      <c r="AH442" s="195">
        <f>SUMIFS(Def!C:C,Def!F:F,AG442)</f>
        <v/>
      </c>
      <c r="AI442" s="156">
        <f>IFERROR(SUMIFS(Def!B:B,Def!F:F,AG442)/AH442,"")</f>
        <v/>
      </c>
      <c r="AJ442" s="195">
        <f>VLOOKUP(P442,Matrix!AA:AC,3,0)</f>
        <v/>
      </c>
      <c r="AK442" s="195">
        <f>SUMIFS(Def!C:C,Def!F:F,AJ442)</f>
        <v/>
      </c>
      <c r="AL442" s="156">
        <f>IFERROR(SUMIFS(Def!B:B,Def!F:F,AJ442)/AK442,"")</f>
        <v/>
      </c>
    </row>
    <row r="443" ht="14.4" customHeight="1" s="152">
      <c r="A443" s="157">
        <f>IF(F443="Yes",IFERROR(IF(AA443&gt;1,AA443/100,100/-AA443),""),-1)</f>
        <v/>
      </c>
      <c r="B443" s="157">
        <f>B442+1</f>
        <v/>
      </c>
      <c r="C443" s="157">
        <f>IF(Y443&gt;Z443,1,0)</f>
        <v/>
      </c>
      <c r="D443" s="157">
        <f>IF(AND(C443=1,F443="Yes"),"Yes",IF(AND(C443=0,F443="No"),"Yes","No"))</f>
        <v/>
      </c>
      <c r="E443" s="192">
        <f>IF((AC443+AB443)=AD443,"Push",IF((AC443+AB443)&gt;AD443,"Yes","No"))</f>
        <v/>
      </c>
      <c r="F443" s="192">
        <f>IF(AC443&gt;AD443,"Yes","No")</f>
        <v/>
      </c>
      <c r="G443" s="192">
        <f>IF((Y443+AB443)&gt;Z443,"Yes",IF((Y443+AB443)=Z443,"Push","No"))</f>
        <v/>
      </c>
      <c r="H443" s="157">
        <f>IF(O443="Home",VLOOKUP(N443,Matrix!A:S,19,0),1)</f>
        <v/>
      </c>
      <c r="I443" s="157">
        <f>IF(O443="Away",VLOOKUP(N443,Matrix!A:Z,20,0),1)</f>
        <v/>
      </c>
      <c r="J443" s="157">
        <f>IF(O443="Away",VLOOKUP(P443,Matrix!A:S,19,0),1)</f>
        <v/>
      </c>
      <c r="K443" s="157">
        <f>IF(O443="Home",VLOOKUP(P443,Matrix!A:Z,20,0),1)</f>
        <v/>
      </c>
      <c r="L443" s="156" t="n">
        <v>0.193839510054482</v>
      </c>
      <c r="M443" s="179">
        <f>Schedule!B443</f>
        <v/>
      </c>
      <c r="N443" s="156">
        <f>Schedule!E443</f>
        <v/>
      </c>
      <c r="O443" s="156" t="inlineStr">
        <is>
          <t>Home</t>
        </is>
      </c>
      <c r="P443" s="157">
        <f>Schedule!H443</f>
        <v/>
      </c>
      <c r="Q443" s="157">
        <f>Schedule!C443</f>
        <v/>
      </c>
      <c r="R443" s="180">
        <f>Schedule!D443</f>
        <v/>
      </c>
      <c r="S443" s="181">
        <f>Schedule!J443</f>
        <v/>
      </c>
      <c r="T443" s="193">
        <f>Y443-Z443</f>
        <v/>
      </c>
      <c r="U443" s="182">
        <f>T443/Picks!$K$2</f>
        <v/>
      </c>
      <c r="V443" s="193">
        <f>INDEX(Standings!$T$3:$T$34, MATCH(N443, Standings!$A$3:$A$34, 0)) - INDEX(Standings!$T$3:$T$34, MATCH(P443, Standings!$A$3:$A$34, 0))</f>
        <v/>
      </c>
      <c r="W443" s="157">
        <f>INDEX(Standings!$L$3:$L$34, MATCH(N443, Standings!$A$3:$A$34, 0)) - INDEX(Standings!$L$3:$L$34, MATCH(P443, Standings!$A$3:$A$34, 0))</f>
        <v/>
      </c>
      <c r="X443" s="157">
        <f>INDEX(Standings!$M$3:$M$34, MATCH(N443, Standings!$A$3:$A$34, 0)) - INDEX(Standings!$M$3:$M$34, MATCH(P443, Standings!$A$3:$A$34, 0))</f>
        <v/>
      </c>
      <c r="Y443" s="194">
        <f t="array" ref="Y443:Y443">IFERROR(AE443+(AL443-_DFactor)*AE443,"")</f>
        <v/>
      </c>
      <c r="Z443" s="157">
        <f>IFERROR(AF443+(AI443-_DFactor)*AF443,"")</f>
        <v/>
      </c>
      <c r="AC443" s="194">
        <f>VLOOKUP(M443&amp;N443,Schedule!A:F,6,0)</f>
        <v/>
      </c>
      <c r="AD443" s="194">
        <f>VLOOKUP(M443&amp;P443,Schedule!A:F,6,0)</f>
        <v/>
      </c>
      <c r="AE443" s="156">
        <f>VLOOKUP(N443,ProjPVT!B:I,8,0)*_Mag/VLOOKUP(P443,Standings!A:O,15,0)*H443*K443</f>
        <v/>
      </c>
      <c r="AF443" s="156">
        <f>VLOOKUP(P443,ProjPVT!B:I,8,0)*_Mag/VLOOKUP(N443,Standings!A:O,15,0)*J443*I443</f>
        <v/>
      </c>
      <c r="AG443" s="195">
        <f>VLOOKUP(N443,Matrix!AA:AC,3,0)</f>
        <v/>
      </c>
      <c r="AH443" s="195">
        <f>SUMIFS(Def!C:C,Def!F:F,AG443)</f>
        <v/>
      </c>
      <c r="AI443" s="156">
        <f>IFERROR(SUMIFS(Def!B:B,Def!F:F,AG443)/AH443,"")</f>
        <v/>
      </c>
      <c r="AJ443" s="195">
        <f>VLOOKUP(P443,Matrix!AA:AC,3,0)</f>
        <v/>
      </c>
      <c r="AK443" s="195">
        <f>SUMIFS(Def!C:C,Def!F:F,AJ443)</f>
        <v/>
      </c>
      <c r="AL443" s="156">
        <f>IFERROR(SUMIFS(Def!B:B,Def!F:F,AJ443)/AK443,"")</f>
        <v/>
      </c>
    </row>
    <row r="444" ht="14.4" customHeight="1" s="152">
      <c r="A444" s="157">
        <f>IF(F444="Yes",IFERROR(IF(AA444&gt;1,AA444/100,100/-AA444),""),-1)</f>
        <v/>
      </c>
      <c r="B444" s="157">
        <f>B443+1</f>
        <v/>
      </c>
      <c r="C444" s="157">
        <f>IF(Y444&gt;Z444,1,0)</f>
        <v/>
      </c>
      <c r="D444" s="157">
        <f>IF(AND(C444=1,F444="Yes"),"Yes",IF(AND(C444=0,F444="No"),"Yes","No"))</f>
        <v/>
      </c>
      <c r="E444" s="192">
        <f>IF((AC444+AB444)=AD444,"Push",IF((AC444+AB444)&gt;AD444,"Yes","No"))</f>
        <v/>
      </c>
      <c r="F444" s="192">
        <f>IF(AC444&gt;AD444,"Yes","No")</f>
        <v/>
      </c>
      <c r="G444" s="192">
        <f>IF((Y444+AB444)&gt;Z444,"Yes",IF((Y444+AB444)=Z444,"Push","No"))</f>
        <v/>
      </c>
      <c r="H444" s="157">
        <f>IF(O444="Home",VLOOKUP(N444,Matrix!A:S,19,0),1)</f>
        <v/>
      </c>
      <c r="I444" s="157">
        <f>IF(O444="Away",VLOOKUP(N444,Matrix!A:Z,20,0),1)</f>
        <v/>
      </c>
      <c r="J444" s="157">
        <f>IF(O444="Away",VLOOKUP(P444,Matrix!A:S,19,0),1)</f>
        <v/>
      </c>
      <c r="K444" s="157">
        <f>IF(O444="Home",VLOOKUP(P444,Matrix!A:Z,20,0),1)</f>
        <v/>
      </c>
      <c r="L444" s="156" t="n">
        <v>0.224109845043688</v>
      </c>
      <c r="M444" s="179">
        <f>Schedule!B444</f>
        <v/>
      </c>
      <c r="N444" s="156">
        <f>Schedule!E444</f>
        <v/>
      </c>
      <c r="O444" s="156" t="inlineStr">
        <is>
          <t>Home</t>
        </is>
      </c>
      <c r="P444" s="157">
        <f>Schedule!H444</f>
        <v/>
      </c>
      <c r="Q444" s="157">
        <f>Schedule!C444</f>
        <v/>
      </c>
      <c r="R444" s="180">
        <f>Schedule!D444</f>
        <v/>
      </c>
      <c r="S444" s="181">
        <f>Schedule!J444</f>
        <v/>
      </c>
      <c r="T444" s="193">
        <f>Y444-Z444</f>
        <v/>
      </c>
      <c r="U444" s="182">
        <f>T444/Picks!$K$2</f>
        <v/>
      </c>
      <c r="V444" s="193">
        <f>INDEX(Standings!$T$3:$T$34, MATCH(N444, Standings!$A$3:$A$34, 0)) - INDEX(Standings!$T$3:$T$34, MATCH(P444, Standings!$A$3:$A$34, 0))</f>
        <v/>
      </c>
      <c r="W444" s="157">
        <f>INDEX(Standings!$L$3:$L$34, MATCH(N444, Standings!$A$3:$A$34, 0)) - INDEX(Standings!$L$3:$L$34, MATCH(P444, Standings!$A$3:$A$34, 0))</f>
        <v/>
      </c>
      <c r="X444" s="157">
        <f>INDEX(Standings!$M$3:$M$34, MATCH(N444, Standings!$A$3:$A$34, 0)) - INDEX(Standings!$M$3:$M$34, MATCH(P444, Standings!$A$3:$A$34, 0))</f>
        <v/>
      </c>
      <c r="Y444" s="194">
        <f t="array" ref="Y444:Y444">IFERROR(AE444+(AL444-_DFactor)*AE444,"")</f>
        <v/>
      </c>
      <c r="Z444" s="157">
        <f>IFERROR(AF444+(AI444-_DFactor)*AF444,"")</f>
        <v/>
      </c>
      <c r="AC444" s="194">
        <f>VLOOKUP(M444&amp;N444,Schedule!A:F,6,0)</f>
        <v/>
      </c>
      <c r="AD444" s="194">
        <f>VLOOKUP(M444&amp;P444,Schedule!A:F,6,0)</f>
        <v/>
      </c>
      <c r="AE444" s="156">
        <f>VLOOKUP(N444,ProjPVT!B:I,8,0)*_Mag/VLOOKUP(P444,Standings!A:O,15,0)*H444*K444</f>
        <v/>
      </c>
      <c r="AF444" s="156">
        <f>VLOOKUP(P444,ProjPVT!B:I,8,0)*_Mag/VLOOKUP(N444,Standings!A:O,15,0)*J444*I444</f>
        <v/>
      </c>
      <c r="AG444" s="195">
        <f>VLOOKUP(N444,Matrix!AA:AC,3,0)</f>
        <v/>
      </c>
      <c r="AH444" s="195">
        <f>SUMIFS(Def!C:C,Def!F:F,AG444)</f>
        <v/>
      </c>
      <c r="AI444" s="156">
        <f>IFERROR(SUMIFS(Def!B:B,Def!F:F,AG444)/AH444,"")</f>
        <v/>
      </c>
      <c r="AJ444" s="195">
        <f>VLOOKUP(P444,Matrix!AA:AC,3,0)</f>
        <v/>
      </c>
      <c r="AK444" s="195">
        <f>SUMIFS(Def!C:C,Def!F:F,AJ444)</f>
        <v/>
      </c>
      <c r="AL444" s="156">
        <f>IFERROR(SUMIFS(Def!B:B,Def!F:F,AJ444)/AK444,"")</f>
        <v/>
      </c>
    </row>
    <row r="445" ht="14.4" customHeight="1" s="152">
      <c r="A445" s="157">
        <f>IF(F445="Yes",IFERROR(IF(AA445&gt;1,AA445/100,100/-AA445),""),-1)</f>
        <v/>
      </c>
      <c r="B445" s="157">
        <f>B444+1</f>
        <v/>
      </c>
      <c r="C445" s="157">
        <f>IF(Y445&gt;Z445,1,0)</f>
        <v/>
      </c>
      <c r="D445" s="157">
        <f>IF(AND(C445=1,F445="Yes"),"Yes",IF(AND(C445=0,F445="No"),"Yes","No"))</f>
        <v/>
      </c>
      <c r="E445" s="192">
        <f>IF((AC445+AB445)=AD445,"Push",IF((AC445+AB445)&gt;AD445,"Yes","No"))</f>
        <v/>
      </c>
      <c r="F445" s="192">
        <f>IF(AC445&gt;AD445,"Yes","No")</f>
        <v/>
      </c>
      <c r="G445" s="192">
        <f>IF((Y445+AB445)&gt;Z445,"Yes",IF((Y445+AB445)=Z445,"Push","No"))</f>
        <v/>
      </c>
      <c r="H445" s="157">
        <f>IF(O445="Home",VLOOKUP(N445,Matrix!A:S,19,0),1)</f>
        <v/>
      </c>
      <c r="I445" s="157">
        <f>IF(O445="Away",VLOOKUP(N445,Matrix!A:Z,20,0),1)</f>
        <v/>
      </c>
      <c r="J445" s="157">
        <f>IF(O445="Away",VLOOKUP(P445,Matrix!A:S,19,0),1)</f>
        <v/>
      </c>
      <c r="K445" s="157">
        <f>IF(O445="Home",VLOOKUP(P445,Matrix!A:Z,20,0),1)</f>
        <v/>
      </c>
      <c r="L445" s="156" t="n">
        <v>0.271516188541527</v>
      </c>
      <c r="M445" s="179">
        <f>Schedule!B445</f>
        <v/>
      </c>
      <c r="N445" s="156">
        <f>Schedule!E445</f>
        <v/>
      </c>
      <c r="O445" s="156" t="inlineStr">
        <is>
          <t>Away</t>
        </is>
      </c>
      <c r="P445" s="157">
        <f>Schedule!H445</f>
        <v/>
      </c>
      <c r="Q445" s="157">
        <f>Schedule!C445</f>
        <v/>
      </c>
      <c r="R445" s="180">
        <f>Schedule!D445</f>
        <v/>
      </c>
      <c r="S445" s="181">
        <f>Schedule!J445</f>
        <v/>
      </c>
      <c r="T445" s="193">
        <f>Y445-Z445</f>
        <v/>
      </c>
      <c r="U445" s="182">
        <f>T445/Picks!$K$2</f>
        <v/>
      </c>
      <c r="V445" s="193">
        <f>INDEX(Standings!$T$3:$T$34, MATCH(N445, Standings!$A$3:$A$34, 0)) - INDEX(Standings!$T$3:$T$34, MATCH(P445, Standings!$A$3:$A$34, 0))</f>
        <v/>
      </c>
      <c r="W445" s="157">
        <f>INDEX(Standings!$L$3:$L$34, MATCH(N445, Standings!$A$3:$A$34, 0)) - INDEX(Standings!$L$3:$L$34, MATCH(P445, Standings!$A$3:$A$34, 0))</f>
        <v/>
      </c>
      <c r="X445" s="157">
        <f>INDEX(Standings!$M$3:$M$34, MATCH(N445, Standings!$A$3:$A$34, 0)) - INDEX(Standings!$M$3:$M$34, MATCH(P445, Standings!$A$3:$A$34, 0))</f>
        <v/>
      </c>
      <c r="Y445" s="194">
        <f t="array" ref="Y445:Y445">IFERROR(AE445+(AL445-_DFactor)*AE445,"")</f>
        <v/>
      </c>
      <c r="Z445" s="157">
        <f>IFERROR(AF445+(AI445-_DFactor)*AF445,"")</f>
        <v/>
      </c>
      <c r="AC445" s="194">
        <f>VLOOKUP(M445&amp;N445,Schedule!A:F,6,0)</f>
        <v/>
      </c>
      <c r="AD445" s="194">
        <f>VLOOKUP(M445&amp;P445,Schedule!A:F,6,0)</f>
        <v/>
      </c>
      <c r="AE445" s="156">
        <f>VLOOKUP(N445,ProjPVT!B:I,8,0)*_Mag/VLOOKUP(P445,Standings!A:O,15,0)*H445*K445</f>
        <v/>
      </c>
      <c r="AF445" s="156">
        <f>VLOOKUP(P445,ProjPVT!B:I,8,0)*_Mag/VLOOKUP(N445,Standings!A:O,15,0)*J445*I445</f>
        <v/>
      </c>
      <c r="AG445" s="195">
        <f>VLOOKUP(N445,Matrix!AA:AC,3,0)</f>
        <v/>
      </c>
      <c r="AH445" s="195">
        <f>SUMIFS(Def!C:C,Def!F:F,AG445)</f>
        <v/>
      </c>
      <c r="AI445" s="156">
        <f>IFERROR(SUMIFS(Def!B:B,Def!F:F,AG445)/AH445,"")</f>
        <v/>
      </c>
      <c r="AJ445" s="195">
        <f>VLOOKUP(P445,Matrix!AA:AC,3,0)</f>
        <v/>
      </c>
      <c r="AK445" s="195">
        <f>SUMIFS(Def!C:C,Def!F:F,AJ445)</f>
        <v/>
      </c>
      <c r="AL445" s="156">
        <f>IFERROR(SUMIFS(Def!B:B,Def!F:F,AJ445)/AK445,"")</f>
        <v/>
      </c>
    </row>
    <row r="446" ht="14.4" customHeight="1" s="152">
      <c r="A446" s="157">
        <f>IF(F446="Yes",IFERROR(IF(AA446&gt;1,AA446/100,100/-AA446),""),-1)</f>
        <v/>
      </c>
      <c r="B446" s="157">
        <f>B445+1</f>
        <v/>
      </c>
      <c r="C446" s="157">
        <f>IF(Y446&gt;Z446,1,0)</f>
        <v/>
      </c>
      <c r="D446" s="157">
        <f>IF(AND(C446=1,F446="Yes"),"Yes",IF(AND(C446=0,F446="No"),"Yes","No"))</f>
        <v/>
      </c>
      <c r="E446" s="192">
        <f>IF((AC446+AB446)=AD446,"Push",IF((AC446+AB446)&gt;AD446,"Yes","No"))</f>
        <v/>
      </c>
      <c r="F446" s="192">
        <f>IF(AC446&gt;AD446,"Yes","No")</f>
        <v/>
      </c>
      <c r="G446" s="192">
        <f>IF((Y446+AB446)&gt;Z446,"Yes",IF((Y446+AB446)=Z446,"Push","No"))</f>
        <v/>
      </c>
      <c r="H446" s="157">
        <f>IF(O446="Home",VLOOKUP(N446,Matrix!A:S,19,0),1)</f>
        <v/>
      </c>
      <c r="I446" s="157">
        <f>IF(O446="Away",VLOOKUP(N446,Matrix!A:Z,20,0),1)</f>
        <v/>
      </c>
      <c r="J446" s="157">
        <f>IF(O446="Away",VLOOKUP(P446,Matrix!A:S,19,0),1)</f>
        <v/>
      </c>
      <c r="K446" s="157">
        <f>IF(O446="Home",VLOOKUP(P446,Matrix!A:Z,20,0),1)</f>
        <v/>
      </c>
      <c r="L446" s="156" t="n">
        <v>0.307379843226756</v>
      </c>
      <c r="M446" s="179">
        <f>Schedule!B446</f>
        <v/>
      </c>
      <c r="N446" s="156">
        <f>Schedule!E446</f>
        <v/>
      </c>
      <c r="O446" s="156" t="inlineStr">
        <is>
          <t>Home</t>
        </is>
      </c>
      <c r="P446" s="157">
        <f>Schedule!H446</f>
        <v/>
      </c>
      <c r="Q446" s="157">
        <f>Schedule!C446</f>
        <v/>
      </c>
      <c r="R446" s="180">
        <f>Schedule!D446</f>
        <v/>
      </c>
      <c r="S446" s="181">
        <f>Schedule!J446</f>
        <v/>
      </c>
      <c r="T446" s="193">
        <f>Y446-Z446</f>
        <v/>
      </c>
      <c r="U446" s="182">
        <f>T446/Picks!$K$2</f>
        <v/>
      </c>
      <c r="V446" s="193">
        <f>INDEX(Standings!$T$3:$T$34, MATCH(N446, Standings!$A$3:$A$34, 0)) - INDEX(Standings!$T$3:$T$34, MATCH(P446, Standings!$A$3:$A$34, 0))</f>
        <v/>
      </c>
      <c r="W446" s="157">
        <f>INDEX(Standings!$L$3:$L$34, MATCH(N446, Standings!$A$3:$A$34, 0)) - INDEX(Standings!$L$3:$L$34, MATCH(P446, Standings!$A$3:$A$34, 0))</f>
        <v/>
      </c>
      <c r="X446" s="157">
        <f>INDEX(Standings!$M$3:$M$34, MATCH(N446, Standings!$A$3:$A$34, 0)) - INDEX(Standings!$M$3:$M$34, MATCH(P446, Standings!$A$3:$A$34, 0))</f>
        <v/>
      </c>
      <c r="Y446" s="194">
        <f t="array" ref="Y446:Y446">IFERROR(AE446+(AL446-_DFactor)*AE446,"")</f>
        <v/>
      </c>
      <c r="Z446" s="157">
        <f>IFERROR(AF446+(AI446-_DFactor)*AF446,"")</f>
        <v/>
      </c>
      <c r="AC446" s="194">
        <f>VLOOKUP(M446&amp;N446,Schedule!A:F,6,0)</f>
        <v/>
      </c>
      <c r="AD446" s="194">
        <f>VLOOKUP(M446&amp;P446,Schedule!A:F,6,0)</f>
        <v/>
      </c>
      <c r="AE446" s="156">
        <f>VLOOKUP(N446,ProjPVT!B:I,8,0)*_Mag/VLOOKUP(P446,Standings!A:O,15,0)*H446*K446</f>
        <v/>
      </c>
      <c r="AF446" s="156">
        <f>VLOOKUP(P446,ProjPVT!B:I,8,0)*_Mag/VLOOKUP(N446,Standings!A:O,15,0)*J446*I446</f>
        <v/>
      </c>
      <c r="AG446" s="195">
        <f>VLOOKUP(N446,Matrix!AA:AC,3,0)</f>
        <v/>
      </c>
      <c r="AH446" s="195">
        <f>SUMIFS(Def!C:C,Def!F:F,AG446)</f>
        <v/>
      </c>
      <c r="AI446" s="156">
        <f>IFERROR(SUMIFS(Def!B:B,Def!F:F,AG446)/AH446,"")</f>
        <v/>
      </c>
      <c r="AJ446" s="195">
        <f>VLOOKUP(P446,Matrix!AA:AC,3,0)</f>
        <v/>
      </c>
      <c r="AK446" s="195">
        <f>SUMIFS(Def!C:C,Def!F:F,AJ446)</f>
        <v/>
      </c>
      <c r="AL446" s="156">
        <f>IFERROR(SUMIFS(Def!B:B,Def!F:F,AJ446)/AK446,"")</f>
        <v/>
      </c>
    </row>
    <row r="447" ht="14.4" customHeight="1" s="152">
      <c r="A447" s="157">
        <f>IF(F447="Yes",IFERROR(IF(AA447&gt;1,AA447/100,100/-AA447),""),-1)</f>
        <v/>
      </c>
      <c r="B447" s="157">
        <f>B446+1</f>
        <v/>
      </c>
      <c r="C447" s="157">
        <f>IF(Y447&gt;Z447,1,0)</f>
        <v/>
      </c>
      <c r="D447" s="157">
        <f>IF(AND(C447=1,F447="Yes"),"Yes",IF(AND(C447=0,F447="No"),"Yes","No"))</f>
        <v/>
      </c>
      <c r="E447" s="192">
        <f>IF((AC447+AB447)=AD447,"Push",IF((AC447+AB447)&gt;AD447,"Yes","No"))</f>
        <v/>
      </c>
      <c r="F447" s="192">
        <f>IF(AC447&gt;AD447,"Yes","No")</f>
        <v/>
      </c>
      <c r="G447" s="192">
        <f>IF((Y447+AB447)&gt;Z447,"Yes",IF((Y447+AB447)=Z447,"Push","No"))</f>
        <v/>
      </c>
      <c r="H447" s="157">
        <f>IF(O447="Home",VLOOKUP(N447,Matrix!A:S,19,0),1)</f>
        <v/>
      </c>
      <c r="I447" s="157">
        <f>IF(O447="Away",VLOOKUP(N447,Matrix!A:Z,20,0),1)</f>
        <v/>
      </c>
      <c r="J447" s="157">
        <f>IF(O447="Away",VLOOKUP(P447,Matrix!A:S,19,0),1)</f>
        <v/>
      </c>
      <c r="K447" s="157">
        <f>IF(O447="Home",VLOOKUP(P447,Matrix!A:Z,20,0),1)</f>
        <v/>
      </c>
      <c r="L447" s="156" t="n">
        <v>0.367911712005628</v>
      </c>
      <c r="M447" s="179">
        <f>Schedule!B447</f>
        <v/>
      </c>
      <c r="N447" s="156">
        <f>Schedule!E447</f>
        <v/>
      </c>
      <c r="O447" s="156" t="inlineStr">
        <is>
          <t>Home</t>
        </is>
      </c>
      <c r="P447" s="157">
        <f>Schedule!H447</f>
        <v/>
      </c>
      <c r="Q447" s="157">
        <f>Schedule!C447</f>
        <v/>
      </c>
      <c r="R447" s="180">
        <f>Schedule!D447</f>
        <v/>
      </c>
      <c r="S447" s="181">
        <f>Schedule!J447</f>
        <v/>
      </c>
      <c r="T447" s="193">
        <f>Y447-Z447</f>
        <v/>
      </c>
      <c r="U447" s="182">
        <f>T447/Picks!$K$2</f>
        <v/>
      </c>
      <c r="V447" s="193">
        <f>INDEX(Standings!$T$3:$T$34, MATCH(N447, Standings!$A$3:$A$34, 0)) - INDEX(Standings!$T$3:$T$34, MATCH(P447, Standings!$A$3:$A$34, 0))</f>
        <v/>
      </c>
      <c r="W447" s="157">
        <f>INDEX(Standings!$L$3:$L$34, MATCH(N447, Standings!$A$3:$A$34, 0)) - INDEX(Standings!$L$3:$L$34, MATCH(P447, Standings!$A$3:$A$34, 0))</f>
        <v/>
      </c>
      <c r="X447" s="157">
        <f>INDEX(Standings!$M$3:$M$34, MATCH(N447, Standings!$A$3:$A$34, 0)) - INDEX(Standings!$M$3:$M$34, MATCH(P447, Standings!$A$3:$A$34, 0))</f>
        <v/>
      </c>
      <c r="Y447" s="194">
        <f t="array" ref="Y447:Y447">IFERROR(AE447+(AL447-_DFactor)*AE447,"")</f>
        <v/>
      </c>
      <c r="Z447" s="157">
        <f>IFERROR(AF447+(AI447-_DFactor)*AF447,"")</f>
        <v/>
      </c>
      <c r="AC447" s="194">
        <f>VLOOKUP(M447&amp;N447,Schedule!A:F,6,0)</f>
        <v/>
      </c>
      <c r="AD447" s="194">
        <f>VLOOKUP(M447&amp;P447,Schedule!A:F,6,0)</f>
        <v/>
      </c>
      <c r="AE447" s="156">
        <f>VLOOKUP(N447,ProjPVT!B:I,8,0)*_Mag/VLOOKUP(P447,Standings!A:O,15,0)*H447*K447</f>
        <v/>
      </c>
      <c r="AF447" s="156">
        <f>VLOOKUP(P447,ProjPVT!B:I,8,0)*_Mag/VLOOKUP(N447,Standings!A:O,15,0)*J447*I447</f>
        <v/>
      </c>
      <c r="AG447" s="195">
        <f>VLOOKUP(N447,Matrix!AA:AC,3,0)</f>
        <v/>
      </c>
      <c r="AH447" s="195">
        <f>SUMIFS(Def!C:C,Def!F:F,AG447)</f>
        <v/>
      </c>
      <c r="AI447" s="156">
        <f>IFERROR(SUMIFS(Def!B:B,Def!F:F,AG447)/AH447,"")</f>
        <v/>
      </c>
      <c r="AJ447" s="195">
        <f>VLOOKUP(P447,Matrix!AA:AC,3,0)</f>
        <v/>
      </c>
      <c r="AK447" s="195">
        <f>SUMIFS(Def!C:C,Def!F:F,AJ447)</f>
        <v/>
      </c>
      <c r="AL447" s="156">
        <f>IFERROR(SUMIFS(Def!B:B,Def!F:F,AJ447)/AK447,"")</f>
        <v/>
      </c>
    </row>
    <row r="448" ht="14.4" customHeight="1" s="152">
      <c r="A448" s="157">
        <f>IF(F448="Yes",IFERROR(IF(AA448&gt;1,AA448/100,100/-AA448),""),-1)</f>
        <v/>
      </c>
      <c r="B448" s="157">
        <f>B447+1</f>
        <v/>
      </c>
      <c r="C448" s="157">
        <f>IF(Y448&gt;Z448,1,0)</f>
        <v/>
      </c>
      <c r="D448" s="157">
        <f>IF(AND(C448=1,F448="Yes"),"Yes",IF(AND(C448=0,F448="No"),"Yes","No"))</f>
        <v/>
      </c>
      <c r="E448" s="192">
        <f>IF((AC448+AB448)=AD448,"Push",IF((AC448+AB448)&gt;AD448,"Yes","No"))</f>
        <v/>
      </c>
      <c r="F448" s="192">
        <f>IF(AC448&gt;AD448,"Yes","No")</f>
        <v/>
      </c>
      <c r="G448" s="192">
        <f>IF((Y448+AB448)&gt;Z448,"Yes",IF((Y448+AB448)=Z448,"Push","No"))</f>
        <v/>
      </c>
      <c r="H448" s="157">
        <f>IF(O448="Home",VLOOKUP(N448,Matrix!A:S,19,0),1)</f>
        <v/>
      </c>
      <c r="I448" s="157">
        <f>IF(O448="Away",VLOOKUP(N448,Matrix!A:Z,20,0),1)</f>
        <v/>
      </c>
      <c r="J448" s="157">
        <f>IF(O448="Away",VLOOKUP(P448,Matrix!A:S,19,0),1)</f>
        <v/>
      </c>
      <c r="K448" s="157">
        <f>IF(O448="Home",VLOOKUP(P448,Matrix!A:Z,20,0),1)</f>
        <v/>
      </c>
      <c r="L448" s="156" t="n">
        <v>0.490496136014335</v>
      </c>
      <c r="M448" s="179">
        <f>Schedule!B448</f>
        <v/>
      </c>
      <c r="N448" s="156">
        <f>Schedule!E448</f>
        <v/>
      </c>
      <c r="O448" s="156" t="inlineStr">
        <is>
          <t>Away</t>
        </is>
      </c>
      <c r="P448" s="157">
        <f>Schedule!H448</f>
        <v/>
      </c>
      <c r="Q448" s="157">
        <f>Schedule!C448</f>
        <v/>
      </c>
      <c r="R448" s="180">
        <f>Schedule!D448</f>
        <v/>
      </c>
      <c r="S448" s="181">
        <f>Schedule!J448</f>
        <v/>
      </c>
      <c r="T448" s="193">
        <f>Y448-Z448</f>
        <v/>
      </c>
      <c r="U448" s="182">
        <f>T448/Picks!$K$2</f>
        <v/>
      </c>
      <c r="V448" s="193">
        <f>INDEX(Standings!$T$3:$T$34, MATCH(N448, Standings!$A$3:$A$34, 0)) - INDEX(Standings!$T$3:$T$34, MATCH(P448, Standings!$A$3:$A$34, 0))</f>
        <v/>
      </c>
      <c r="W448" s="157">
        <f>INDEX(Standings!$L$3:$L$34, MATCH(N448, Standings!$A$3:$A$34, 0)) - INDEX(Standings!$L$3:$L$34, MATCH(P448, Standings!$A$3:$A$34, 0))</f>
        <v/>
      </c>
      <c r="X448" s="157">
        <f>INDEX(Standings!$M$3:$M$34, MATCH(N448, Standings!$A$3:$A$34, 0)) - INDEX(Standings!$M$3:$M$34, MATCH(P448, Standings!$A$3:$A$34, 0))</f>
        <v/>
      </c>
      <c r="Y448" s="194">
        <f t="array" ref="Y448:Y448">IFERROR(AE448+(AL448-_DFactor)*AE448,"")</f>
        <v/>
      </c>
      <c r="Z448" s="157">
        <f>IFERROR(AF448+(AI448-_DFactor)*AF448,"")</f>
        <v/>
      </c>
      <c r="AC448" s="194">
        <f>VLOOKUP(M448&amp;N448,Schedule!A:F,6,0)</f>
        <v/>
      </c>
      <c r="AD448" s="194">
        <f>VLOOKUP(M448&amp;P448,Schedule!A:F,6,0)</f>
        <v/>
      </c>
      <c r="AE448" s="156">
        <f>VLOOKUP(N448,ProjPVT!B:I,8,0)*_Mag/VLOOKUP(P448,Standings!A:O,15,0)*H448*K448</f>
        <v/>
      </c>
      <c r="AF448" s="156">
        <f>VLOOKUP(P448,ProjPVT!B:I,8,0)*_Mag/VLOOKUP(N448,Standings!A:O,15,0)*J448*I448</f>
        <v/>
      </c>
      <c r="AG448" s="195">
        <f>VLOOKUP(N448,Matrix!AA:AC,3,0)</f>
        <v/>
      </c>
      <c r="AH448" s="195">
        <f>SUMIFS(Def!C:C,Def!F:F,AG448)</f>
        <v/>
      </c>
      <c r="AI448" s="156">
        <f>IFERROR(SUMIFS(Def!B:B,Def!F:F,AG448)/AH448,"")</f>
        <v/>
      </c>
      <c r="AJ448" s="195">
        <f>VLOOKUP(P448,Matrix!AA:AC,3,0)</f>
        <v/>
      </c>
      <c r="AK448" s="195">
        <f>SUMIFS(Def!C:C,Def!F:F,AJ448)</f>
        <v/>
      </c>
      <c r="AL448" s="156">
        <f>IFERROR(SUMIFS(Def!B:B,Def!F:F,AJ448)/AK448,"")</f>
        <v/>
      </c>
    </row>
    <row r="449" ht="14.4" customHeight="1" s="152">
      <c r="A449" s="157">
        <f>IF(F449="Yes",IFERROR(IF(AA449&gt;1,AA449/100,100/-AA449),""),-1)</f>
        <v/>
      </c>
      <c r="B449" s="157">
        <f>B448+1</f>
        <v/>
      </c>
      <c r="C449" s="157">
        <f>IF(Y449&gt;Z449,1,0)</f>
        <v/>
      </c>
      <c r="D449" s="157">
        <f>IF(AND(C449=1,F449="Yes"),"Yes",IF(AND(C449=0,F449="No"),"Yes","No"))</f>
        <v/>
      </c>
      <c r="E449" s="192">
        <f>IF((AC449+AB449)=AD449,"Push",IF((AC449+AB449)&gt;AD449,"Yes","No"))</f>
        <v/>
      </c>
      <c r="F449" s="192">
        <f>IF(AC449&gt;AD449,"Yes","No")</f>
        <v/>
      </c>
      <c r="G449" s="192">
        <f>IF((Y449+AB449)&gt;Z449,"Yes",IF((Y449+AB449)=Z449,"Push","No"))</f>
        <v/>
      </c>
      <c r="H449" s="157">
        <f>IF(O449="Home",VLOOKUP(N449,Matrix!A:S,19,0),1)</f>
        <v/>
      </c>
      <c r="I449" s="157">
        <f>IF(O449="Away",VLOOKUP(N449,Matrix!A:Z,20,0),1)</f>
        <v/>
      </c>
      <c r="J449" s="157">
        <f>IF(O449="Away",VLOOKUP(P449,Matrix!A:S,19,0),1)</f>
        <v/>
      </c>
      <c r="K449" s="157">
        <f>IF(O449="Home",VLOOKUP(P449,Matrix!A:Z,20,0),1)</f>
        <v/>
      </c>
      <c r="L449" s="156" t="n">
        <v>0.661197754904899</v>
      </c>
      <c r="M449" s="179">
        <f>Schedule!B449</f>
        <v/>
      </c>
      <c r="N449" s="156">
        <f>Schedule!E449</f>
        <v/>
      </c>
      <c r="O449" s="156" t="inlineStr">
        <is>
          <t>Away</t>
        </is>
      </c>
      <c r="P449" s="157">
        <f>Schedule!H449</f>
        <v/>
      </c>
      <c r="Q449" s="157">
        <f>Schedule!C449</f>
        <v/>
      </c>
      <c r="R449" s="180">
        <f>Schedule!D449</f>
        <v/>
      </c>
      <c r="S449" s="181">
        <f>Schedule!J449</f>
        <v/>
      </c>
      <c r="T449" s="193">
        <f>Y449-Z449</f>
        <v/>
      </c>
      <c r="U449" s="182">
        <f>T449/Picks!$K$2</f>
        <v/>
      </c>
      <c r="V449" s="193">
        <f>INDEX(Standings!$T$3:$T$34, MATCH(N449, Standings!$A$3:$A$34, 0)) - INDEX(Standings!$T$3:$T$34, MATCH(P449, Standings!$A$3:$A$34, 0))</f>
        <v/>
      </c>
      <c r="W449" s="157">
        <f>INDEX(Standings!$L$3:$L$34, MATCH(N449, Standings!$A$3:$A$34, 0)) - INDEX(Standings!$L$3:$L$34, MATCH(P449, Standings!$A$3:$A$34, 0))</f>
        <v/>
      </c>
      <c r="X449" s="157">
        <f>INDEX(Standings!$M$3:$M$34, MATCH(N449, Standings!$A$3:$A$34, 0)) - INDEX(Standings!$M$3:$M$34, MATCH(P449, Standings!$A$3:$A$34, 0))</f>
        <v/>
      </c>
      <c r="Y449" s="194">
        <f t="array" ref="Y449:Y449">IFERROR(AE449+(AL449-_DFactor)*AE449,"")</f>
        <v/>
      </c>
      <c r="Z449" s="157">
        <f>IFERROR(AF449+(AI449-_DFactor)*AF449,"")</f>
        <v/>
      </c>
      <c r="AC449" s="194">
        <f>VLOOKUP(M449&amp;N449,Schedule!A:F,6,0)</f>
        <v/>
      </c>
      <c r="AD449" s="194">
        <f>VLOOKUP(M449&amp;P449,Schedule!A:F,6,0)</f>
        <v/>
      </c>
      <c r="AE449" s="156">
        <f>VLOOKUP(N449,ProjPVT!B:I,8,0)*_Mag/VLOOKUP(P449,Standings!A:O,15,0)*H449*K449</f>
        <v/>
      </c>
      <c r="AF449" s="156">
        <f>VLOOKUP(P449,ProjPVT!B:I,8,0)*_Mag/VLOOKUP(N449,Standings!A:O,15,0)*J449*I449</f>
        <v/>
      </c>
      <c r="AG449" s="195">
        <f>VLOOKUP(N449,Matrix!AA:AC,3,0)</f>
        <v/>
      </c>
      <c r="AH449" s="195">
        <f>SUMIFS(Def!C:C,Def!F:F,AG449)</f>
        <v/>
      </c>
      <c r="AI449" s="156">
        <f>IFERROR(SUMIFS(Def!B:B,Def!F:F,AG449)/AH449,"")</f>
        <v/>
      </c>
      <c r="AJ449" s="195">
        <f>VLOOKUP(P449,Matrix!AA:AC,3,0)</f>
        <v/>
      </c>
      <c r="AK449" s="195">
        <f>SUMIFS(Def!C:C,Def!F:F,AJ449)</f>
        <v/>
      </c>
      <c r="AL449" s="156">
        <f>IFERROR(SUMIFS(Def!B:B,Def!F:F,AJ449)/AK449,"")</f>
        <v/>
      </c>
    </row>
    <row r="450" ht="14.4" customHeight="1" s="152">
      <c r="A450" s="157">
        <f>IF(F450="Yes",IFERROR(IF(AA450&gt;1,AA450/100,100/-AA450),""),-1)</f>
        <v/>
      </c>
      <c r="B450" s="157">
        <f>B449+1</f>
        <v/>
      </c>
      <c r="C450" s="157">
        <f>IF(Y450&gt;Z450,1,0)</f>
        <v/>
      </c>
      <c r="D450" s="157">
        <f>IF(AND(C450=1,F450="Yes"),"Yes",IF(AND(C450=0,F450="No"),"Yes","No"))</f>
        <v/>
      </c>
      <c r="E450" s="192">
        <f>IF((AC450+AB450)=AD450,"Push",IF((AC450+AB450)&gt;AD450,"Yes","No"))</f>
        <v/>
      </c>
      <c r="F450" s="192">
        <f>IF(AC450&gt;AD450,"Yes","No")</f>
        <v/>
      </c>
      <c r="G450" s="192">
        <f>IF((Y450+AB450)&gt;Z450,"Yes",IF((Y450+AB450)=Z450,"Push","No"))</f>
        <v/>
      </c>
      <c r="H450" s="157">
        <f>IF(O450="Home",VLOOKUP(N450,Matrix!A:S,19,0),1)</f>
        <v/>
      </c>
      <c r="I450" s="157">
        <f>IF(O450="Away",VLOOKUP(N450,Matrix!A:Z,20,0),1)</f>
        <v/>
      </c>
      <c r="J450" s="157">
        <f>IF(O450="Away",VLOOKUP(P450,Matrix!A:S,19,0),1)</f>
        <v/>
      </c>
      <c r="K450" s="157">
        <f>IF(O450="Home",VLOOKUP(P450,Matrix!A:Z,20,0),1)</f>
        <v/>
      </c>
      <c r="L450" s="156" t="n">
        <v>-0.527531766098514</v>
      </c>
      <c r="M450" s="179">
        <f>Schedule!B450</f>
        <v/>
      </c>
      <c r="N450" s="156">
        <f>Schedule!E450</f>
        <v/>
      </c>
      <c r="O450" s="156" t="inlineStr">
        <is>
          <t>Away</t>
        </is>
      </c>
      <c r="P450" s="157">
        <f>Schedule!H450</f>
        <v/>
      </c>
      <c r="Q450" s="157">
        <f>Schedule!C450</f>
        <v/>
      </c>
      <c r="R450" s="180">
        <f>Schedule!D450</f>
        <v/>
      </c>
      <c r="S450" s="181">
        <f>Schedule!J450</f>
        <v/>
      </c>
      <c r="T450" s="193">
        <f>Y450-Z450</f>
        <v/>
      </c>
      <c r="U450" s="182">
        <f>T450/Picks!$K$2</f>
        <v/>
      </c>
      <c r="V450" s="193">
        <f>INDEX(Standings!$T$3:$T$34, MATCH(N450, Standings!$A$3:$A$34, 0)) - INDEX(Standings!$T$3:$T$34, MATCH(P450, Standings!$A$3:$A$34, 0))</f>
        <v/>
      </c>
      <c r="W450" s="157">
        <f>INDEX(Standings!$L$3:$L$34, MATCH(N450, Standings!$A$3:$A$34, 0)) - INDEX(Standings!$L$3:$L$34, MATCH(P450, Standings!$A$3:$A$34, 0))</f>
        <v/>
      </c>
      <c r="X450" s="157">
        <f>INDEX(Standings!$M$3:$M$34, MATCH(N450, Standings!$A$3:$A$34, 0)) - INDEX(Standings!$M$3:$M$34, MATCH(P450, Standings!$A$3:$A$34, 0))</f>
        <v/>
      </c>
      <c r="Y450" s="194">
        <f t="array" ref="Y450:Y450">IFERROR(AE450+(AL450-_DFactor)*AE450,"")</f>
        <v/>
      </c>
      <c r="Z450" s="157">
        <f>IFERROR(AF450+(AI450-_DFactor)*AF450,"")</f>
        <v/>
      </c>
      <c r="AC450" s="194">
        <f>VLOOKUP(M450&amp;N450,Schedule!A:F,6,0)</f>
        <v/>
      </c>
      <c r="AD450" s="194">
        <f>VLOOKUP(M450&amp;P450,Schedule!A:F,6,0)</f>
        <v/>
      </c>
      <c r="AE450" s="156">
        <f>VLOOKUP(N450,ProjPVT!B:I,8,0)*_Mag/VLOOKUP(P450,Standings!A:O,15,0)*H450*K450</f>
        <v/>
      </c>
      <c r="AF450" s="156">
        <f>VLOOKUP(P450,ProjPVT!B:I,8,0)*_Mag/VLOOKUP(N450,Standings!A:O,15,0)*J450*I450</f>
        <v/>
      </c>
      <c r="AG450" s="195">
        <f>VLOOKUP(N450,Matrix!AA:AC,3,0)</f>
        <v/>
      </c>
      <c r="AH450" s="195">
        <f>SUMIFS(Def!C:C,Def!F:F,AG450)</f>
        <v/>
      </c>
      <c r="AI450" s="156">
        <f>IFERROR(SUMIFS(Def!B:B,Def!F:F,AG450)/AH450,"")</f>
        <v/>
      </c>
      <c r="AJ450" s="195">
        <f>VLOOKUP(P450,Matrix!AA:AC,3,0)</f>
        <v/>
      </c>
      <c r="AK450" s="195">
        <f>SUMIFS(Def!C:C,Def!F:F,AJ450)</f>
        <v/>
      </c>
      <c r="AL450" s="156">
        <f>IFERROR(SUMIFS(Def!B:B,Def!F:F,AJ450)/AK450,"")</f>
        <v/>
      </c>
    </row>
    <row r="451" ht="14.4" customHeight="1" s="152">
      <c r="A451" s="157">
        <f>IF(F451="Yes",IFERROR(IF(AA451&gt;1,AA451/100,100/-AA451),""),-1)</f>
        <v/>
      </c>
      <c r="B451" s="157">
        <f>B450+1</f>
        <v/>
      </c>
      <c r="C451" s="157">
        <f>IF(Y451&gt;Z451,1,0)</f>
        <v/>
      </c>
      <c r="D451" s="157">
        <f>IF(AND(C451=1,F451="Yes"),"Yes",IF(AND(C451=0,F451="No"),"Yes","No"))</f>
        <v/>
      </c>
      <c r="E451" s="192">
        <f>IF((AC451+AB451)=AD451,"Push",IF((AC451+AB451)&gt;AD451,"Yes","No"))</f>
        <v/>
      </c>
      <c r="F451" s="192">
        <f>IF(AC451&gt;AD451,"Yes","No")</f>
        <v/>
      </c>
      <c r="G451" s="192">
        <f>IF((Y451+AB451)&gt;Z451,"Yes",IF((Y451+AB451)=Z451,"Push","No"))</f>
        <v/>
      </c>
      <c r="H451" s="157">
        <f>IF(O451="Home",VLOOKUP(N451,Matrix!A:S,19,0),1)</f>
        <v/>
      </c>
      <c r="I451" s="157">
        <f>IF(O451="Away",VLOOKUP(N451,Matrix!A:Z,20,0),1)</f>
        <v/>
      </c>
      <c r="J451" s="157">
        <f>IF(O451="Away",VLOOKUP(P451,Matrix!A:S,19,0),1)</f>
        <v/>
      </c>
      <c r="K451" s="157">
        <f>IF(O451="Home",VLOOKUP(P451,Matrix!A:Z,20,0),1)</f>
        <v/>
      </c>
      <c r="L451" s="156" t="n">
        <v>-0.479496079758607</v>
      </c>
      <c r="M451" s="179">
        <f>Schedule!B451</f>
        <v/>
      </c>
      <c r="N451" s="156">
        <f>Schedule!E451</f>
        <v/>
      </c>
      <c r="O451" s="156" t="inlineStr">
        <is>
          <t>Home</t>
        </is>
      </c>
      <c r="P451" s="157">
        <f>Schedule!H451</f>
        <v/>
      </c>
      <c r="Q451" s="157">
        <f>Schedule!C451</f>
        <v/>
      </c>
      <c r="R451" s="180">
        <f>Schedule!D451</f>
        <v/>
      </c>
      <c r="S451" s="181">
        <f>Schedule!J451</f>
        <v/>
      </c>
      <c r="T451" s="193">
        <f>Y451-Z451</f>
        <v/>
      </c>
      <c r="U451" s="182">
        <f>T451/Picks!$K$2</f>
        <v/>
      </c>
      <c r="V451" s="193">
        <f>INDEX(Standings!$T$3:$T$34, MATCH(N451, Standings!$A$3:$A$34, 0)) - INDEX(Standings!$T$3:$T$34, MATCH(P451, Standings!$A$3:$A$34, 0))</f>
        <v/>
      </c>
      <c r="W451" s="157">
        <f>INDEX(Standings!$L$3:$L$34, MATCH(N451, Standings!$A$3:$A$34, 0)) - INDEX(Standings!$L$3:$L$34, MATCH(P451, Standings!$A$3:$A$34, 0))</f>
        <v/>
      </c>
      <c r="X451" s="157">
        <f>INDEX(Standings!$M$3:$M$34, MATCH(N451, Standings!$A$3:$A$34, 0)) - INDEX(Standings!$M$3:$M$34, MATCH(P451, Standings!$A$3:$A$34, 0))</f>
        <v/>
      </c>
      <c r="Y451" s="194">
        <f t="array" ref="Y451:Y451">IFERROR(AE451+(AL451-_DFactor)*AE451,"")</f>
        <v/>
      </c>
      <c r="Z451" s="157">
        <f>IFERROR(AF451+(AI451-_DFactor)*AF451,"")</f>
        <v/>
      </c>
      <c r="AC451" s="194">
        <f>VLOOKUP(M451&amp;N451,Schedule!A:F,6,0)</f>
        <v/>
      </c>
      <c r="AD451" s="194">
        <f>VLOOKUP(M451&amp;P451,Schedule!A:F,6,0)</f>
        <v/>
      </c>
      <c r="AE451" s="156">
        <f>VLOOKUP(N451,ProjPVT!B:I,8,0)*_Mag/VLOOKUP(P451,Standings!A:O,15,0)*H451*K451</f>
        <v/>
      </c>
      <c r="AF451" s="156">
        <f>VLOOKUP(P451,ProjPVT!B:I,8,0)*_Mag/VLOOKUP(N451,Standings!A:O,15,0)*J451*I451</f>
        <v/>
      </c>
      <c r="AG451" s="195">
        <f>VLOOKUP(N451,Matrix!AA:AC,3,0)</f>
        <v/>
      </c>
      <c r="AH451" s="195">
        <f>SUMIFS(Def!C:C,Def!F:F,AG451)</f>
        <v/>
      </c>
      <c r="AI451" s="156">
        <f>IFERROR(SUMIFS(Def!B:B,Def!F:F,AG451)/AH451,"")</f>
        <v/>
      </c>
      <c r="AJ451" s="195">
        <f>VLOOKUP(P451,Matrix!AA:AC,3,0)</f>
        <v/>
      </c>
      <c r="AK451" s="195">
        <f>SUMIFS(Def!C:C,Def!F:F,AJ451)</f>
        <v/>
      </c>
      <c r="AL451" s="156">
        <f>IFERROR(SUMIFS(Def!B:B,Def!F:F,AJ451)/AK451,"")</f>
        <v/>
      </c>
    </row>
    <row r="452" ht="14.4" customHeight="1" s="152">
      <c r="A452" s="157">
        <f>IF(F452="Yes",IFERROR(IF(AA452&gt;1,AA452/100,100/-AA452),""),-1)</f>
        <v/>
      </c>
      <c r="B452" s="157">
        <f>B451+1</f>
        <v/>
      </c>
      <c r="C452" s="157">
        <f>IF(Y452&gt;Z452,1,0)</f>
        <v/>
      </c>
      <c r="D452" s="157">
        <f>IF(AND(C452=1,F452="Yes"),"Yes",IF(AND(C452=0,F452="No"),"Yes","No"))</f>
        <v/>
      </c>
      <c r="E452" s="192">
        <f>IF((AC452+AB452)=AD452,"Push",IF((AC452+AB452)&gt;AD452,"Yes","No"))</f>
        <v/>
      </c>
      <c r="F452" s="192">
        <f>IF(AC452&gt;AD452,"Yes","No")</f>
        <v/>
      </c>
      <c r="G452" s="192">
        <f>IF((Y452+AB452)&gt;Z452,"Yes",IF((Y452+AB452)=Z452,"Push","No"))</f>
        <v/>
      </c>
      <c r="H452" s="157">
        <f>IF(O452="Home",VLOOKUP(N452,Matrix!A:S,19,0),1)</f>
        <v/>
      </c>
      <c r="I452" s="157">
        <f>IF(O452="Away",VLOOKUP(N452,Matrix!A:Z,20,0),1)</f>
        <v/>
      </c>
      <c r="J452" s="157">
        <f>IF(O452="Away",VLOOKUP(P452,Matrix!A:S,19,0),1)</f>
        <v/>
      </c>
      <c r="K452" s="157">
        <f>IF(O452="Home",VLOOKUP(P452,Matrix!A:Z,20,0),1)</f>
        <v/>
      </c>
      <c r="L452" s="156" t="n">
        <v>-0.45351192220907</v>
      </c>
      <c r="M452" s="179">
        <f>Schedule!B452</f>
        <v/>
      </c>
      <c r="N452" s="156">
        <f>Schedule!E452</f>
        <v/>
      </c>
      <c r="O452" s="156" t="inlineStr">
        <is>
          <t>Away</t>
        </is>
      </c>
      <c r="P452" s="157">
        <f>Schedule!H452</f>
        <v/>
      </c>
      <c r="Q452" s="157">
        <f>Schedule!C452</f>
        <v/>
      </c>
      <c r="R452" s="180">
        <f>Schedule!D452</f>
        <v/>
      </c>
      <c r="S452" s="181">
        <f>Schedule!J452</f>
        <v/>
      </c>
      <c r="T452" s="193">
        <f>Y452-Z452</f>
        <v/>
      </c>
      <c r="U452" s="182">
        <f>T452/Picks!$K$2</f>
        <v/>
      </c>
      <c r="V452" s="193">
        <f>INDEX(Standings!$T$3:$T$34, MATCH(N452, Standings!$A$3:$A$34, 0)) - INDEX(Standings!$T$3:$T$34, MATCH(P452, Standings!$A$3:$A$34, 0))</f>
        <v/>
      </c>
      <c r="W452" s="157">
        <f>INDEX(Standings!$L$3:$L$34, MATCH(N452, Standings!$A$3:$A$34, 0)) - INDEX(Standings!$L$3:$L$34, MATCH(P452, Standings!$A$3:$A$34, 0))</f>
        <v/>
      </c>
      <c r="X452" s="157">
        <f>INDEX(Standings!$M$3:$M$34, MATCH(N452, Standings!$A$3:$A$34, 0)) - INDEX(Standings!$M$3:$M$34, MATCH(P452, Standings!$A$3:$A$34, 0))</f>
        <v/>
      </c>
      <c r="Y452" s="194">
        <f t="array" ref="Y452:Y452">IFERROR(AE452+(AL452-_DFactor)*AE452,"")</f>
        <v/>
      </c>
      <c r="Z452" s="157">
        <f>IFERROR(AF452+(AI452-_DFactor)*AF452,"")</f>
        <v/>
      </c>
      <c r="AC452" s="194">
        <f>VLOOKUP(M452&amp;N452,Schedule!A:F,6,0)</f>
        <v/>
      </c>
      <c r="AD452" s="194">
        <f>VLOOKUP(M452&amp;P452,Schedule!A:F,6,0)</f>
        <v/>
      </c>
      <c r="AE452" s="156">
        <f>VLOOKUP(N452,ProjPVT!B:I,8,0)*_Mag/VLOOKUP(P452,Standings!A:O,15,0)*H452*K452</f>
        <v/>
      </c>
      <c r="AF452" s="156">
        <f>VLOOKUP(P452,ProjPVT!B:I,8,0)*_Mag/VLOOKUP(N452,Standings!A:O,15,0)*J452*I452</f>
        <v/>
      </c>
      <c r="AG452" s="195">
        <f>VLOOKUP(N452,Matrix!AA:AC,3,0)</f>
        <v/>
      </c>
      <c r="AH452" s="195">
        <f>SUMIFS(Def!C:C,Def!F:F,AG452)</f>
        <v/>
      </c>
      <c r="AI452" s="156">
        <f>IFERROR(SUMIFS(Def!B:B,Def!F:F,AG452)/AH452,"")</f>
        <v/>
      </c>
      <c r="AJ452" s="195">
        <f>VLOOKUP(P452,Matrix!AA:AC,3,0)</f>
        <v/>
      </c>
      <c r="AK452" s="195">
        <f>SUMIFS(Def!C:C,Def!F:F,AJ452)</f>
        <v/>
      </c>
      <c r="AL452" s="156">
        <f>IFERROR(SUMIFS(Def!B:B,Def!F:F,AJ452)/AK452,"")</f>
        <v/>
      </c>
    </row>
    <row r="453" ht="14.4" customHeight="1" s="152">
      <c r="A453" s="157">
        <f>IF(F453="Yes",IFERROR(IF(AA453&gt;1,AA453/100,100/-AA453),""),-1)</f>
        <v/>
      </c>
      <c r="B453" s="157">
        <f>B452+1</f>
        <v/>
      </c>
      <c r="C453" s="157">
        <f>IF(Y453&gt;Z453,1,0)</f>
        <v/>
      </c>
      <c r="D453" s="157">
        <f>IF(AND(C453=1,F453="Yes"),"Yes",IF(AND(C453=0,F453="No"),"Yes","No"))</f>
        <v/>
      </c>
      <c r="E453" s="192">
        <f>IF((AC453+AB453)=AD453,"Push",IF((AC453+AB453)&gt;AD453,"Yes","No"))</f>
        <v/>
      </c>
      <c r="F453" s="192">
        <f>IF(AC453&gt;AD453,"Yes","No")</f>
        <v/>
      </c>
      <c r="G453" s="192">
        <f>IF((Y453+AB453)&gt;Z453,"Yes",IF((Y453+AB453)=Z453,"Push","No"))</f>
        <v/>
      </c>
      <c r="H453" s="157">
        <f>IF(O453="Home",VLOOKUP(N453,Matrix!A:S,19,0),1)</f>
        <v/>
      </c>
      <c r="I453" s="157">
        <f>IF(O453="Away",VLOOKUP(N453,Matrix!A:Z,20,0),1)</f>
        <v/>
      </c>
      <c r="J453" s="157">
        <f>IF(O453="Away",VLOOKUP(P453,Matrix!A:S,19,0),1)</f>
        <v/>
      </c>
      <c r="K453" s="157">
        <f>IF(O453="Home",VLOOKUP(P453,Matrix!A:Z,20,0),1)</f>
        <v/>
      </c>
      <c r="L453" s="156" t="n">
        <v>-0.377240053022389</v>
      </c>
      <c r="M453" s="179">
        <f>Schedule!B453</f>
        <v/>
      </c>
      <c r="N453" s="156">
        <f>Schedule!E453</f>
        <v/>
      </c>
      <c r="O453" s="156" t="inlineStr">
        <is>
          <t>Away</t>
        </is>
      </c>
      <c r="P453" s="157">
        <f>Schedule!H453</f>
        <v/>
      </c>
      <c r="Q453" s="157">
        <f>Schedule!C453</f>
        <v/>
      </c>
      <c r="R453" s="180">
        <f>Schedule!D453</f>
        <v/>
      </c>
      <c r="S453" s="181">
        <f>Schedule!J453</f>
        <v/>
      </c>
      <c r="T453" s="193">
        <f>Y453-Z453</f>
        <v/>
      </c>
      <c r="U453" s="182">
        <f>T453/Picks!$K$2</f>
        <v/>
      </c>
      <c r="V453" s="193">
        <f>INDEX(Standings!$T$3:$T$34, MATCH(N453, Standings!$A$3:$A$34, 0)) - INDEX(Standings!$T$3:$T$34, MATCH(P453, Standings!$A$3:$A$34, 0))</f>
        <v/>
      </c>
      <c r="W453" s="157">
        <f>INDEX(Standings!$L$3:$L$34, MATCH(N453, Standings!$A$3:$A$34, 0)) - INDEX(Standings!$L$3:$L$34, MATCH(P453, Standings!$A$3:$A$34, 0))</f>
        <v/>
      </c>
      <c r="X453" s="157">
        <f>INDEX(Standings!$M$3:$M$34, MATCH(N453, Standings!$A$3:$A$34, 0)) - INDEX(Standings!$M$3:$M$34, MATCH(P453, Standings!$A$3:$A$34, 0))</f>
        <v/>
      </c>
      <c r="Y453" s="194">
        <f t="array" ref="Y453:Y453">IFERROR(AE453+(AL453-_DFactor)*AE453,"")</f>
        <v/>
      </c>
      <c r="Z453" s="157">
        <f>IFERROR(AF453+(AI453-_DFactor)*AF453,"")</f>
        <v/>
      </c>
      <c r="AC453" s="194">
        <f>VLOOKUP(M453&amp;N453,Schedule!A:F,6,0)</f>
        <v/>
      </c>
      <c r="AD453" s="194">
        <f>VLOOKUP(M453&amp;P453,Schedule!A:F,6,0)</f>
        <v/>
      </c>
      <c r="AE453" s="156">
        <f>VLOOKUP(N453,ProjPVT!B:I,8,0)*_Mag/VLOOKUP(P453,Standings!A:O,15,0)*H453*K453</f>
        <v/>
      </c>
      <c r="AF453" s="156">
        <f>VLOOKUP(P453,ProjPVT!B:I,8,0)*_Mag/VLOOKUP(N453,Standings!A:O,15,0)*J453*I453</f>
        <v/>
      </c>
      <c r="AG453" s="195">
        <f>VLOOKUP(N453,Matrix!AA:AC,3,0)</f>
        <v/>
      </c>
      <c r="AH453" s="195">
        <f>SUMIFS(Def!C:C,Def!F:F,AG453)</f>
        <v/>
      </c>
      <c r="AI453" s="156">
        <f>IFERROR(SUMIFS(Def!B:B,Def!F:F,AG453)/AH453,"")</f>
        <v/>
      </c>
      <c r="AJ453" s="195">
        <f>VLOOKUP(P453,Matrix!AA:AC,3,0)</f>
        <v/>
      </c>
      <c r="AK453" s="195">
        <f>SUMIFS(Def!C:C,Def!F:F,AJ453)</f>
        <v/>
      </c>
      <c r="AL453" s="156">
        <f>IFERROR(SUMIFS(Def!B:B,Def!F:F,AJ453)/AK453,"")</f>
        <v/>
      </c>
    </row>
    <row r="454" ht="14.4" customHeight="1" s="152">
      <c r="A454" s="157">
        <f>IF(F454="Yes",IFERROR(IF(AA454&gt;1,AA454/100,100/-AA454),""),-1)</f>
        <v/>
      </c>
      <c r="B454" s="157">
        <f>B453+1</f>
        <v/>
      </c>
      <c r="C454" s="157">
        <f>IF(Y454&gt;Z454,1,0)</f>
        <v/>
      </c>
      <c r="D454" s="157">
        <f>IF(AND(C454=1,F454="Yes"),"Yes",IF(AND(C454=0,F454="No"),"Yes","No"))</f>
        <v/>
      </c>
      <c r="E454" s="192">
        <f>IF((AC454+AB454)=AD454,"Push",IF((AC454+AB454)&gt;AD454,"Yes","No"))</f>
        <v/>
      </c>
      <c r="F454" s="192">
        <f>IF(AC454&gt;AD454,"Yes","No")</f>
        <v/>
      </c>
      <c r="G454" s="192">
        <f>IF((Y454+AB454)&gt;Z454,"Yes",IF((Y454+AB454)=Z454,"Push","No"))</f>
        <v/>
      </c>
      <c r="H454" s="157">
        <f>IF(O454="Home",VLOOKUP(N454,Matrix!A:S,19,0),1)</f>
        <v/>
      </c>
      <c r="I454" s="157">
        <f>IF(O454="Away",VLOOKUP(N454,Matrix!A:Z,20,0),1)</f>
        <v/>
      </c>
      <c r="J454" s="157">
        <f>IF(O454="Away",VLOOKUP(P454,Matrix!A:S,19,0),1)</f>
        <v/>
      </c>
      <c r="K454" s="157">
        <f>IF(O454="Home",VLOOKUP(P454,Matrix!A:Z,20,0),1)</f>
        <v/>
      </c>
      <c r="L454" s="156" t="n">
        <v>-0.311111673081762</v>
      </c>
      <c r="M454" s="179">
        <f>Schedule!B454</f>
        <v/>
      </c>
      <c r="N454" s="156">
        <f>Schedule!E454</f>
        <v/>
      </c>
      <c r="O454" s="156" t="inlineStr">
        <is>
          <t>Away</t>
        </is>
      </c>
      <c r="P454" s="157">
        <f>Schedule!H454</f>
        <v/>
      </c>
      <c r="Q454" s="157">
        <f>Schedule!C454</f>
        <v/>
      </c>
      <c r="R454" s="180">
        <f>Schedule!D454</f>
        <v/>
      </c>
      <c r="S454" s="181">
        <f>Schedule!J454</f>
        <v/>
      </c>
      <c r="T454" s="193">
        <f>Y454-Z454</f>
        <v/>
      </c>
      <c r="U454" s="182">
        <f>T454/Picks!$K$2</f>
        <v/>
      </c>
      <c r="V454" s="193">
        <f>INDEX(Standings!$T$3:$T$34, MATCH(N454, Standings!$A$3:$A$34, 0)) - INDEX(Standings!$T$3:$T$34, MATCH(P454, Standings!$A$3:$A$34, 0))</f>
        <v/>
      </c>
      <c r="W454" s="157">
        <f>INDEX(Standings!$L$3:$L$34, MATCH(N454, Standings!$A$3:$A$34, 0)) - INDEX(Standings!$L$3:$L$34, MATCH(P454, Standings!$A$3:$A$34, 0))</f>
        <v/>
      </c>
      <c r="X454" s="157">
        <f>INDEX(Standings!$M$3:$M$34, MATCH(N454, Standings!$A$3:$A$34, 0)) - INDEX(Standings!$M$3:$M$34, MATCH(P454, Standings!$A$3:$A$34, 0))</f>
        <v/>
      </c>
      <c r="Y454" s="194">
        <f t="array" ref="Y454:Y454">IFERROR(AE454+(AL454-_DFactor)*AE454,"")</f>
        <v/>
      </c>
      <c r="Z454" s="157">
        <f>IFERROR(AF454+(AI454-_DFactor)*AF454,"")</f>
        <v/>
      </c>
      <c r="AC454" s="194">
        <f>VLOOKUP(M454&amp;N454,Schedule!A:F,6,0)</f>
        <v/>
      </c>
      <c r="AD454" s="194">
        <f>VLOOKUP(M454&amp;P454,Schedule!A:F,6,0)</f>
        <v/>
      </c>
      <c r="AE454" s="156">
        <f>VLOOKUP(N454,ProjPVT!B:I,8,0)*_Mag/VLOOKUP(P454,Standings!A:O,15,0)*H454*K454</f>
        <v/>
      </c>
      <c r="AF454" s="156">
        <f>VLOOKUP(P454,ProjPVT!B:I,8,0)*_Mag/VLOOKUP(N454,Standings!A:O,15,0)*J454*I454</f>
        <v/>
      </c>
      <c r="AG454" s="195">
        <f>VLOOKUP(N454,Matrix!AA:AC,3,0)</f>
        <v/>
      </c>
      <c r="AH454" s="195">
        <f>SUMIFS(Def!C:C,Def!F:F,AG454)</f>
        <v/>
      </c>
      <c r="AI454" s="156">
        <f>IFERROR(SUMIFS(Def!B:B,Def!F:F,AG454)/AH454,"")</f>
        <v/>
      </c>
      <c r="AJ454" s="195">
        <f>VLOOKUP(P454,Matrix!AA:AC,3,0)</f>
        <v/>
      </c>
      <c r="AK454" s="195">
        <f>SUMIFS(Def!C:C,Def!F:F,AJ454)</f>
        <v/>
      </c>
      <c r="AL454" s="156">
        <f>IFERROR(SUMIFS(Def!B:B,Def!F:F,AJ454)/AK454,"")</f>
        <v/>
      </c>
    </row>
    <row r="455" ht="14.4" customHeight="1" s="152">
      <c r="A455" s="157">
        <f>IF(F455="Yes",IFERROR(IF(AA455&gt;1,AA455/100,100/-AA455),""),-1)</f>
        <v/>
      </c>
      <c r="B455" s="157">
        <f>B454+1</f>
        <v/>
      </c>
      <c r="C455" s="157">
        <f>IF(Y455&gt;Z455,1,0)</f>
        <v/>
      </c>
      <c r="D455" s="157">
        <f>IF(AND(C455=1,F455="Yes"),"Yes",IF(AND(C455=0,F455="No"),"Yes","No"))</f>
        <v/>
      </c>
      <c r="E455" s="192">
        <f>IF((AC455+AB455)=AD455,"Push",IF((AC455+AB455)&gt;AD455,"Yes","No"))</f>
        <v/>
      </c>
      <c r="F455" s="192">
        <f>IF(AC455&gt;AD455,"Yes","No")</f>
        <v/>
      </c>
      <c r="G455" s="192">
        <f>IF((Y455+AB455)&gt;Z455,"Yes",IF((Y455+AB455)=Z455,"Push","No"))</f>
        <v/>
      </c>
      <c r="H455" s="157">
        <f>IF(O455="Home",VLOOKUP(N455,Matrix!A:S,19,0),1)</f>
        <v/>
      </c>
      <c r="I455" s="157">
        <f>IF(O455="Away",VLOOKUP(N455,Matrix!A:Z,20,0),1)</f>
        <v/>
      </c>
      <c r="J455" s="157">
        <f>IF(O455="Away",VLOOKUP(P455,Matrix!A:S,19,0),1)</f>
        <v/>
      </c>
      <c r="K455" s="157">
        <f>IF(O455="Home",VLOOKUP(P455,Matrix!A:Z,20,0),1)</f>
        <v/>
      </c>
      <c r="L455" s="156" t="n">
        <v>-0.279696583547767</v>
      </c>
      <c r="M455" s="179">
        <f>Schedule!B455</f>
        <v/>
      </c>
      <c r="N455" s="156">
        <f>Schedule!E455</f>
        <v/>
      </c>
      <c r="O455" s="156" t="inlineStr">
        <is>
          <t>Away</t>
        </is>
      </c>
      <c r="P455" s="157">
        <f>Schedule!H455</f>
        <v/>
      </c>
      <c r="Q455" s="157">
        <f>Schedule!C455</f>
        <v/>
      </c>
      <c r="R455" s="180">
        <f>Schedule!D455</f>
        <v/>
      </c>
      <c r="S455" s="181">
        <f>Schedule!J455</f>
        <v/>
      </c>
      <c r="T455" s="193">
        <f>Y455-Z455</f>
        <v/>
      </c>
      <c r="U455" s="182">
        <f>T455/Picks!$K$2</f>
        <v/>
      </c>
      <c r="V455" s="193">
        <f>INDEX(Standings!$T$3:$T$34, MATCH(N455, Standings!$A$3:$A$34, 0)) - INDEX(Standings!$T$3:$T$34, MATCH(P455, Standings!$A$3:$A$34, 0))</f>
        <v/>
      </c>
      <c r="W455" s="157">
        <f>INDEX(Standings!$L$3:$L$34, MATCH(N455, Standings!$A$3:$A$34, 0)) - INDEX(Standings!$L$3:$L$34, MATCH(P455, Standings!$A$3:$A$34, 0))</f>
        <v/>
      </c>
      <c r="X455" s="157">
        <f>INDEX(Standings!$M$3:$M$34, MATCH(N455, Standings!$A$3:$A$34, 0)) - INDEX(Standings!$M$3:$M$34, MATCH(P455, Standings!$A$3:$A$34, 0))</f>
        <v/>
      </c>
      <c r="Y455" s="194">
        <f t="array" ref="Y455:Y455">IFERROR(AE455+(AL455-_DFactor)*AE455,"")</f>
        <v/>
      </c>
      <c r="Z455" s="157">
        <f>IFERROR(AF455+(AI455-_DFactor)*AF455,"")</f>
        <v/>
      </c>
      <c r="AC455" s="194">
        <f>VLOOKUP(M455&amp;N455,Schedule!A:F,6,0)</f>
        <v/>
      </c>
      <c r="AD455" s="194">
        <f>VLOOKUP(M455&amp;P455,Schedule!A:F,6,0)</f>
        <v/>
      </c>
      <c r="AE455" s="156">
        <f>VLOOKUP(N455,ProjPVT!B:I,8,0)*_Mag/VLOOKUP(P455,Standings!A:O,15,0)*H455*K455</f>
        <v/>
      </c>
      <c r="AF455" s="156">
        <f>VLOOKUP(P455,ProjPVT!B:I,8,0)*_Mag/VLOOKUP(N455,Standings!A:O,15,0)*J455*I455</f>
        <v/>
      </c>
      <c r="AG455" s="195">
        <f>VLOOKUP(N455,Matrix!AA:AC,3,0)</f>
        <v/>
      </c>
      <c r="AH455" s="195">
        <f>SUMIFS(Def!C:C,Def!F:F,AG455)</f>
        <v/>
      </c>
      <c r="AI455" s="156">
        <f>IFERROR(SUMIFS(Def!B:B,Def!F:F,AG455)/AH455,"")</f>
        <v/>
      </c>
      <c r="AJ455" s="195">
        <f>VLOOKUP(P455,Matrix!AA:AC,3,0)</f>
        <v/>
      </c>
      <c r="AK455" s="195">
        <f>SUMIFS(Def!C:C,Def!F:F,AJ455)</f>
        <v/>
      </c>
      <c r="AL455" s="156">
        <f>IFERROR(SUMIFS(Def!B:B,Def!F:F,AJ455)/AK455,"")</f>
        <v/>
      </c>
    </row>
    <row r="456" ht="14.4" customHeight="1" s="152">
      <c r="A456" s="157">
        <f>IF(F456="Yes",IFERROR(IF(AA456&gt;1,AA456/100,100/-AA456),""),-1)</f>
        <v/>
      </c>
      <c r="B456" s="157">
        <f>B455+1</f>
        <v/>
      </c>
      <c r="C456" s="157">
        <f>IF(Y456&gt;Z456,1,0)</f>
        <v/>
      </c>
      <c r="D456" s="157">
        <f>IF(AND(C456=1,F456="Yes"),"Yes",IF(AND(C456=0,F456="No"),"Yes","No"))</f>
        <v/>
      </c>
      <c r="E456" s="192">
        <f>IF((AC456+AB456)=AD456,"Push",IF((AC456+AB456)&gt;AD456,"Yes","No"))</f>
        <v/>
      </c>
      <c r="F456" s="192">
        <f>IF(AC456&gt;AD456,"Yes","No")</f>
        <v/>
      </c>
      <c r="G456" s="192">
        <f>IF((Y456+AB456)&gt;Z456,"Yes",IF((Y456+AB456)=Z456,"Push","No"))</f>
        <v/>
      </c>
      <c r="H456" s="157">
        <f>IF(O456="Home",VLOOKUP(N456,Matrix!A:S,19,0),1)</f>
        <v/>
      </c>
      <c r="I456" s="157">
        <f>IF(O456="Away",VLOOKUP(N456,Matrix!A:Z,20,0),1)</f>
        <v/>
      </c>
      <c r="J456" s="157">
        <f>IF(O456="Away",VLOOKUP(P456,Matrix!A:S,19,0),1)</f>
        <v/>
      </c>
      <c r="K456" s="157">
        <f>IF(O456="Home",VLOOKUP(P456,Matrix!A:Z,20,0),1)</f>
        <v/>
      </c>
      <c r="L456" s="156" t="n">
        <v>-0.239372600984493</v>
      </c>
      <c r="M456" s="179">
        <f>Schedule!B456</f>
        <v/>
      </c>
      <c r="N456" s="156">
        <f>Schedule!E456</f>
        <v/>
      </c>
      <c r="O456" s="156" t="inlineStr">
        <is>
          <t>Home</t>
        </is>
      </c>
      <c r="P456" s="157">
        <f>Schedule!H456</f>
        <v/>
      </c>
      <c r="Q456" s="157">
        <f>Schedule!C456</f>
        <v/>
      </c>
      <c r="R456" s="180">
        <f>Schedule!D456</f>
        <v/>
      </c>
      <c r="S456" s="181">
        <f>Schedule!J456</f>
        <v/>
      </c>
      <c r="T456" s="193">
        <f>Y456-Z456</f>
        <v/>
      </c>
      <c r="U456" s="182">
        <f>T456/Picks!$K$2</f>
        <v/>
      </c>
      <c r="V456" s="193">
        <f>INDEX(Standings!$T$3:$T$34, MATCH(N456, Standings!$A$3:$A$34, 0)) - INDEX(Standings!$T$3:$T$34, MATCH(P456, Standings!$A$3:$A$34, 0))</f>
        <v/>
      </c>
      <c r="W456" s="157">
        <f>INDEX(Standings!$L$3:$L$34, MATCH(N456, Standings!$A$3:$A$34, 0)) - INDEX(Standings!$L$3:$L$34, MATCH(P456, Standings!$A$3:$A$34, 0))</f>
        <v/>
      </c>
      <c r="X456" s="157">
        <f>INDEX(Standings!$M$3:$M$34, MATCH(N456, Standings!$A$3:$A$34, 0)) - INDEX(Standings!$M$3:$M$34, MATCH(P456, Standings!$A$3:$A$34, 0))</f>
        <v/>
      </c>
      <c r="Y456" s="194">
        <f t="array" ref="Y456:Y456">IFERROR(AE456+(AL456-_DFactor)*AE456,"")</f>
        <v/>
      </c>
      <c r="Z456" s="157">
        <f>IFERROR(AF456+(AI456-_DFactor)*AF456,"")</f>
        <v/>
      </c>
      <c r="AC456" s="194">
        <f>VLOOKUP(M456&amp;N456,Schedule!A:F,6,0)</f>
        <v/>
      </c>
      <c r="AD456" s="194">
        <f>VLOOKUP(M456&amp;P456,Schedule!A:F,6,0)</f>
        <v/>
      </c>
      <c r="AE456" s="156">
        <f>VLOOKUP(N456,ProjPVT!B:I,8,0)*_Mag/VLOOKUP(P456,Standings!A:O,15,0)*H456*K456</f>
        <v/>
      </c>
      <c r="AF456" s="156">
        <f>VLOOKUP(P456,ProjPVT!B:I,8,0)*_Mag/VLOOKUP(N456,Standings!A:O,15,0)*J456*I456</f>
        <v/>
      </c>
      <c r="AG456" s="195">
        <f>VLOOKUP(N456,Matrix!AA:AC,3,0)</f>
        <v/>
      </c>
      <c r="AH456" s="195">
        <f>SUMIFS(Def!C:C,Def!F:F,AG456)</f>
        <v/>
      </c>
      <c r="AI456" s="156">
        <f>IFERROR(SUMIFS(Def!B:B,Def!F:F,AG456)/AH456,"")</f>
        <v/>
      </c>
      <c r="AJ456" s="195">
        <f>VLOOKUP(P456,Matrix!AA:AC,3,0)</f>
        <v/>
      </c>
      <c r="AK456" s="195">
        <f>SUMIFS(Def!C:C,Def!F:F,AJ456)</f>
        <v/>
      </c>
      <c r="AL456" s="156">
        <f>IFERROR(SUMIFS(Def!B:B,Def!F:F,AJ456)/AK456,"")</f>
        <v/>
      </c>
    </row>
    <row r="457" ht="14.4" customHeight="1" s="152">
      <c r="A457" s="157">
        <f>IF(F457="Yes",IFERROR(IF(AA457&gt;1,AA457/100,100/-AA457),""),-1)</f>
        <v/>
      </c>
      <c r="B457" s="157">
        <f>B456+1</f>
        <v/>
      </c>
      <c r="C457" s="157">
        <f>IF(Y457&gt;Z457,1,0)</f>
        <v/>
      </c>
      <c r="D457" s="157">
        <f>IF(AND(C457=1,F457="Yes"),"Yes",IF(AND(C457=0,F457="No"),"Yes","No"))</f>
        <v/>
      </c>
      <c r="E457" s="192">
        <f>IF((AC457+AB457)=AD457,"Push",IF((AC457+AB457)&gt;AD457,"Yes","No"))</f>
        <v/>
      </c>
      <c r="F457" s="192">
        <f>IF(AC457&gt;AD457,"Yes","No")</f>
        <v/>
      </c>
      <c r="G457" s="192">
        <f>IF((Y457+AB457)&gt;Z457,"Yes",IF((Y457+AB457)=Z457,"Push","No"))</f>
        <v/>
      </c>
      <c r="H457" s="157">
        <f>IF(O457="Home",VLOOKUP(N457,Matrix!A:S,19,0),1)</f>
        <v/>
      </c>
      <c r="I457" s="157">
        <f>IF(O457="Away",VLOOKUP(N457,Matrix!A:Z,20,0),1)</f>
        <v/>
      </c>
      <c r="J457" s="157">
        <f>IF(O457="Away",VLOOKUP(P457,Matrix!A:S,19,0),1)</f>
        <v/>
      </c>
      <c r="K457" s="157">
        <f>IF(O457="Home",VLOOKUP(P457,Matrix!A:Z,20,0),1)</f>
        <v/>
      </c>
      <c r="L457" s="156" t="n">
        <v>-0.18241975857736</v>
      </c>
      <c r="M457" s="179">
        <f>Schedule!B457</f>
        <v/>
      </c>
      <c r="N457" s="156">
        <f>Schedule!E457</f>
        <v/>
      </c>
      <c r="O457" s="156" t="inlineStr">
        <is>
          <t>Away</t>
        </is>
      </c>
      <c r="P457" s="157">
        <f>Schedule!H457</f>
        <v/>
      </c>
      <c r="Q457" s="157">
        <f>Schedule!C457</f>
        <v/>
      </c>
      <c r="R457" s="180">
        <f>Schedule!D457</f>
        <v/>
      </c>
      <c r="S457" s="181">
        <f>Schedule!J457</f>
        <v/>
      </c>
      <c r="T457" s="193">
        <f>Y457-Z457</f>
        <v/>
      </c>
      <c r="U457" s="182">
        <f>T457/Picks!$K$2</f>
        <v/>
      </c>
      <c r="V457" s="193">
        <f>INDEX(Standings!$T$3:$T$34, MATCH(N457, Standings!$A$3:$A$34, 0)) - INDEX(Standings!$T$3:$T$34, MATCH(P457, Standings!$A$3:$A$34, 0))</f>
        <v/>
      </c>
      <c r="W457" s="157">
        <f>INDEX(Standings!$L$3:$L$34, MATCH(N457, Standings!$A$3:$A$34, 0)) - INDEX(Standings!$L$3:$L$34, MATCH(P457, Standings!$A$3:$A$34, 0))</f>
        <v/>
      </c>
      <c r="X457" s="157">
        <f>INDEX(Standings!$M$3:$M$34, MATCH(N457, Standings!$A$3:$A$34, 0)) - INDEX(Standings!$M$3:$M$34, MATCH(P457, Standings!$A$3:$A$34, 0))</f>
        <v/>
      </c>
      <c r="Y457" s="194">
        <f t="array" ref="Y457:Y457">IFERROR(AE457+(AL457-_DFactor)*AE457,"")</f>
        <v/>
      </c>
      <c r="Z457" s="157">
        <f>IFERROR(AF457+(AI457-_DFactor)*AF457,"")</f>
        <v/>
      </c>
      <c r="AC457" s="194">
        <f>VLOOKUP(M457&amp;N457,Schedule!A:F,6,0)</f>
        <v/>
      </c>
      <c r="AD457" s="194">
        <f>VLOOKUP(M457&amp;P457,Schedule!A:F,6,0)</f>
        <v/>
      </c>
      <c r="AE457" s="156">
        <f>VLOOKUP(N457,ProjPVT!B:I,8,0)*_Mag/VLOOKUP(P457,Standings!A:O,15,0)*H457*K457</f>
        <v/>
      </c>
      <c r="AF457" s="156">
        <f>VLOOKUP(P457,ProjPVT!B:I,8,0)*_Mag/VLOOKUP(N457,Standings!A:O,15,0)*J457*I457</f>
        <v/>
      </c>
      <c r="AG457" s="195">
        <f>VLOOKUP(N457,Matrix!AA:AC,3,0)</f>
        <v/>
      </c>
      <c r="AH457" s="195">
        <f>SUMIFS(Def!C:C,Def!F:F,AG457)</f>
        <v/>
      </c>
      <c r="AI457" s="156">
        <f>IFERROR(SUMIFS(Def!B:B,Def!F:F,AG457)/AH457,"")</f>
        <v/>
      </c>
      <c r="AJ457" s="195">
        <f>VLOOKUP(P457,Matrix!AA:AC,3,0)</f>
        <v/>
      </c>
      <c r="AK457" s="195">
        <f>SUMIFS(Def!C:C,Def!F:F,AJ457)</f>
        <v/>
      </c>
      <c r="AL457" s="156">
        <f>IFERROR(SUMIFS(Def!B:B,Def!F:F,AJ457)/AK457,"")</f>
        <v/>
      </c>
    </row>
    <row r="458" ht="14.4" customHeight="1" s="152">
      <c r="A458" s="157">
        <f>IF(F458="Yes",IFERROR(IF(AA458&gt;1,AA458/100,100/-AA458),""),-1)</f>
        <v/>
      </c>
      <c r="B458" s="157">
        <f>B457+1</f>
        <v/>
      </c>
      <c r="C458" s="157">
        <f>IF(Y458&gt;Z458,1,0)</f>
        <v/>
      </c>
      <c r="D458" s="157">
        <f>IF(AND(C458=1,F458="Yes"),"Yes",IF(AND(C458=0,F458="No"),"Yes","No"))</f>
        <v/>
      </c>
      <c r="E458" s="192">
        <f>IF((AC458+AB458)=AD458,"Push",IF((AC458+AB458)&gt;AD458,"Yes","No"))</f>
        <v/>
      </c>
      <c r="F458" s="192">
        <f>IF(AC458&gt;AD458,"Yes","No")</f>
        <v/>
      </c>
      <c r="G458" s="192">
        <f>IF((Y458+AB458)&gt;Z458,"Yes",IF((Y458+AB458)=Z458,"Push","No"))</f>
        <v/>
      </c>
      <c r="H458" s="157">
        <f>IF(O458="Home",VLOOKUP(N458,Matrix!A:S,19,0),1)</f>
        <v/>
      </c>
      <c r="I458" s="157">
        <f>IF(O458="Away",VLOOKUP(N458,Matrix!A:Z,20,0),1)</f>
        <v/>
      </c>
      <c r="J458" s="157">
        <f>IF(O458="Away",VLOOKUP(P458,Matrix!A:S,19,0),1)</f>
        <v/>
      </c>
      <c r="K458" s="157">
        <f>IF(O458="Home",VLOOKUP(P458,Matrix!A:Z,20,0),1)</f>
        <v/>
      </c>
      <c r="L458" s="156" t="n">
        <v>-0.175418916926129</v>
      </c>
      <c r="M458" s="179">
        <f>Schedule!B458</f>
        <v/>
      </c>
      <c r="N458" s="156">
        <f>Schedule!E458</f>
        <v/>
      </c>
      <c r="O458" s="156" t="inlineStr">
        <is>
          <t>Away</t>
        </is>
      </c>
      <c r="P458" s="157">
        <f>Schedule!H458</f>
        <v/>
      </c>
      <c r="Q458" s="157">
        <f>Schedule!C458</f>
        <v/>
      </c>
      <c r="R458" s="180">
        <f>Schedule!D458</f>
        <v/>
      </c>
      <c r="S458" s="181">
        <f>Schedule!J458</f>
        <v/>
      </c>
      <c r="T458" s="193">
        <f>Y458-Z458</f>
        <v/>
      </c>
      <c r="U458" s="182">
        <f>T458/Picks!$K$2</f>
        <v/>
      </c>
      <c r="V458" s="193">
        <f>INDEX(Standings!$T$3:$T$34, MATCH(N458, Standings!$A$3:$A$34, 0)) - INDEX(Standings!$T$3:$T$34, MATCH(P458, Standings!$A$3:$A$34, 0))</f>
        <v/>
      </c>
      <c r="W458" s="157">
        <f>INDEX(Standings!$L$3:$L$34, MATCH(N458, Standings!$A$3:$A$34, 0)) - INDEX(Standings!$L$3:$L$34, MATCH(P458, Standings!$A$3:$A$34, 0))</f>
        <v/>
      </c>
      <c r="X458" s="157">
        <f>INDEX(Standings!$M$3:$M$34, MATCH(N458, Standings!$A$3:$A$34, 0)) - INDEX(Standings!$M$3:$M$34, MATCH(P458, Standings!$A$3:$A$34, 0))</f>
        <v/>
      </c>
      <c r="Y458" s="194">
        <f t="array" ref="Y458:Y458">IFERROR(AE458+(AL458-_DFactor)*AE458,"")</f>
        <v/>
      </c>
      <c r="Z458" s="157">
        <f>IFERROR(AF458+(AI458-_DFactor)*AF458,"")</f>
        <v/>
      </c>
      <c r="AC458" s="194">
        <f>VLOOKUP(M458&amp;N458,Schedule!A:F,6,0)</f>
        <v/>
      </c>
      <c r="AD458" s="194">
        <f>VLOOKUP(M458&amp;P458,Schedule!A:F,6,0)</f>
        <v/>
      </c>
      <c r="AE458" s="156">
        <f>VLOOKUP(N458,ProjPVT!B:I,8,0)*_Mag/VLOOKUP(P458,Standings!A:O,15,0)*H458*K458</f>
        <v/>
      </c>
      <c r="AF458" s="156">
        <f>VLOOKUP(P458,ProjPVT!B:I,8,0)*_Mag/VLOOKUP(N458,Standings!A:O,15,0)*J458*I458</f>
        <v/>
      </c>
      <c r="AG458" s="195">
        <f>VLOOKUP(N458,Matrix!AA:AC,3,0)</f>
        <v/>
      </c>
      <c r="AH458" s="195">
        <f>SUMIFS(Def!C:C,Def!F:F,AG458)</f>
        <v/>
      </c>
      <c r="AI458" s="156">
        <f>IFERROR(SUMIFS(Def!B:B,Def!F:F,AG458)/AH458,"")</f>
        <v/>
      </c>
      <c r="AJ458" s="195">
        <f>VLOOKUP(P458,Matrix!AA:AC,3,0)</f>
        <v/>
      </c>
      <c r="AK458" s="195">
        <f>SUMIFS(Def!C:C,Def!F:F,AJ458)</f>
        <v/>
      </c>
      <c r="AL458" s="156">
        <f>IFERROR(SUMIFS(Def!B:B,Def!F:F,AJ458)/AK458,"")</f>
        <v/>
      </c>
    </row>
    <row r="459" ht="14.4" customHeight="1" s="152">
      <c r="A459" s="157">
        <f>IF(F459="Yes",IFERROR(IF(AA459&gt;1,AA459/100,100/-AA459),""),-1)</f>
        <v/>
      </c>
      <c r="B459" s="157">
        <f>B458+1</f>
        <v/>
      </c>
      <c r="C459" s="157">
        <f>IF(Y459&gt;Z459,1,0)</f>
        <v/>
      </c>
      <c r="D459" s="157">
        <f>IF(AND(C459=1,F459="Yes"),"Yes",IF(AND(C459=0,F459="No"),"Yes","No"))</f>
        <v/>
      </c>
      <c r="E459" s="192">
        <f>IF((AC459+AB459)=AD459,"Push",IF((AC459+AB459)&gt;AD459,"Yes","No"))</f>
        <v/>
      </c>
      <c r="F459" s="192">
        <f>IF(AC459&gt;AD459,"Yes","No")</f>
        <v/>
      </c>
      <c r="G459" s="192">
        <f>IF((Y459+AB459)&gt;Z459,"Yes",IF((Y459+AB459)=Z459,"Push","No"))</f>
        <v/>
      </c>
      <c r="H459" s="157">
        <f>IF(O459="Home",VLOOKUP(N459,Matrix!A:S,19,0),1)</f>
        <v/>
      </c>
      <c r="I459" s="157">
        <f>IF(O459="Away",VLOOKUP(N459,Matrix!A:Z,20,0),1)</f>
        <v/>
      </c>
      <c r="J459" s="157">
        <f>IF(O459="Away",VLOOKUP(P459,Matrix!A:S,19,0),1)</f>
        <v/>
      </c>
      <c r="K459" s="157">
        <f>IF(O459="Home",VLOOKUP(P459,Matrix!A:Z,20,0),1)</f>
        <v/>
      </c>
      <c r="L459" s="156" t="n">
        <v>-0.12873224039438</v>
      </c>
      <c r="M459" s="179">
        <f>Schedule!B459</f>
        <v/>
      </c>
      <c r="N459" s="156">
        <f>Schedule!E459</f>
        <v/>
      </c>
      <c r="O459" s="156" t="inlineStr">
        <is>
          <t>Home</t>
        </is>
      </c>
      <c r="P459" s="157">
        <f>Schedule!H459</f>
        <v/>
      </c>
      <c r="Q459" s="157">
        <f>Schedule!C459</f>
        <v/>
      </c>
      <c r="R459" s="180">
        <f>Schedule!D459</f>
        <v/>
      </c>
      <c r="S459" s="181">
        <f>Schedule!J459</f>
        <v/>
      </c>
      <c r="T459" s="193">
        <f>Y459-Z459</f>
        <v/>
      </c>
      <c r="U459" s="182">
        <f>T459/Picks!$K$2</f>
        <v/>
      </c>
      <c r="V459" s="193">
        <f>INDEX(Standings!$T$3:$T$34, MATCH(N459, Standings!$A$3:$A$34, 0)) - INDEX(Standings!$T$3:$T$34, MATCH(P459, Standings!$A$3:$A$34, 0))</f>
        <v/>
      </c>
      <c r="W459" s="157">
        <f>INDEX(Standings!$L$3:$L$34, MATCH(N459, Standings!$A$3:$A$34, 0)) - INDEX(Standings!$L$3:$L$34, MATCH(P459, Standings!$A$3:$A$34, 0))</f>
        <v/>
      </c>
      <c r="X459" s="157">
        <f>INDEX(Standings!$M$3:$M$34, MATCH(N459, Standings!$A$3:$A$34, 0)) - INDEX(Standings!$M$3:$M$34, MATCH(P459, Standings!$A$3:$A$34, 0))</f>
        <v/>
      </c>
      <c r="Y459" s="194">
        <f t="array" ref="Y459:Y459">IFERROR(AE459+(AL459-_DFactor)*AE459,"")</f>
        <v/>
      </c>
      <c r="Z459" s="157">
        <f>IFERROR(AF459+(AI459-_DFactor)*AF459,"")</f>
        <v/>
      </c>
      <c r="AC459" s="194">
        <f>VLOOKUP(M459&amp;N459,Schedule!A:F,6,0)</f>
        <v/>
      </c>
      <c r="AD459" s="194">
        <f>VLOOKUP(M459&amp;P459,Schedule!A:F,6,0)</f>
        <v/>
      </c>
      <c r="AE459" s="156">
        <f>VLOOKUP(N459,ProjPVT!B:I,8,0)*_Mag/VLOOKUP(P459,Standings!A:O,15,0)*H459*K459</f>
        <v/>
      </c>
      <c r="AF459" s="156">
        <f>VLOOKUP(P459,ProjPVT!B:I,8,0)*_Mag/VLOOKUP(N459,Standings!A:O,15,0)*J459*I459</f>
        <v/>
      </c>
      <c r="AG459" s="195">
        <f>VLOOKUP(N459,Matrix!AA:AC,3,0)</f>
        <v/>
      </c>
      <c r="AH459" s="195">
        <f>SUMIFS(Def!C:C,Def!F:F,AG459)</f>
        <v/>
      </c>
      <c r="AI459" s="156">
        <f>IFERROR(SUMIFS(Def!B:B,Def!F:F,AG459)/AH459,"")</f>
        <v/>
      </c>
      <c r="AJ459" s="195">
        <f>VLOOKUP(P459,Matrix!AA:AC,3,0)</f>
        <v/>
      </c>
      <c r="AK459" s="195">
        <f>SUMIFS(Def!C:C,Def!F:F,AJ459)</f>
        <v/>
      </c>
      <c r="AL459" s="156">
        <f>IFERROR(SUMIFS(Def!B:B,Def!F:F,AJ459)/AK459,"")</f>
        <v/>
      </c>
    </row>
    <row r="460" ht="14.4" customHeight="1" s="152">
      <c r="A460" s="157">
        <f>IF(F460="Yes",IFERROR(IF(AA460&gt;1,AA460/100,100/-AA460),""),-1)</f>
        <v/>
      </c>
      <c r="B460" s="157">
        <f>B459+1</f>
        <v/>
      </c>
      <c r="C460" s="157">
        <f>IF(Y460&gt;Z460,1,0)</f>
        <v/>
      </c>
      <c r="D460" s="157">
        <f>IF(AND(C460=1,F460="Yes"),"Yes",IF(AND(C460=0,F460="No"),"Yes","No"))</f>
        <v/>
      </c>
      <c r="E460" s="192">
        <f>IF((AC460+AB460)=AD460,"Push",IF((AC460+AB460)&gt;AD460,"Yes","No"))</f>
        <v/>
      </c>
      <c r="F460" s="192">
        <f>IF(AC460&gt;AD460,"Yes","No")</f>
        <v/>
      </c>
      <c r="G460" s="192">
        <f>IF((Y460+AB460)&gt;Z460,"Yes",IF((Y460+AB460)=Z460,"Push","No"))</f>
        <v/>
      </c>
      <c r="H460" s="157">
        <f>IF(O460="Home",VLOOKUP(N460,Matrix!A:S,19,0),1)</f>
        <v/>
      </c>
      <c r="I460" s="157">
        <f>IF(O460="Away",VLOOKUP(N460,Matrix!A:Z,20,0),1)</f>
        <v/>
      </c>
      <c r="J460" s="157">
        <f>IF(O460="Away",VLOOKUP(P460,Matrix!A:S,19,0),1)</f>
        <v/>
      </c>
      <c r="K460" s="157">
        <f>IF(O460="Home",VLOOKUP(P460,Matrix!A:Z,20,0),1)</f>
        <v/>
      </c>
      <c r="L460" s="156" t="n">
        <v>-0.118652963511697</v>
      </c>
      <c r="M460" s="179">
        <f>Schedule!B460</f>
        <v/>
      </c>
      <c r="N460" s="156">
        <f>Schedule!E460</f>
        <v/>
      </c>
      <c r="O460" s="156" t="inlineStr">
        <is>
          <t>Away</t>
        </is>
      </c>
      <c r="P460" s="157">
        <f>Schedule!H460</f>
        <v/>
      </c>
      <c r="Q460" s="157">
        <f>Schedule!C460</f>
        <v/>
      </c>
      <c r="R460" s="180">
        <f>Schedule!D460</f>
        <v/>
      </c>
      <c r="S460" s="181">
        <f>Schedule!J460</f>
        <v/>
      </c>
      <c r="T460" s="193">
        <f>Y460-Z460</f>
        <v/>
      </c>
      <c r="U460" s="182">
        <f>T460/Picks!$K$2</f>
        <v/>
      </c>
      <c r="V460" s="193">
        <f>INDEX(Standings!$T$3:$T$34, MATCH(N460, Standings!$A$3:$A$34, 0)) - INDEX(Standings!$T$3:$T$34, MATCH(P460, Standings!$A$3:$A$34, 0))</f>
        <v/>
      </c>
      <c r="W460" s="157">
        <f>INDEX(Standings!$L$3:$L$34, MATCH(N460, Standings!$A$3:$A$34, 0)) - INDEX(Standings!$L$3:$L$34, MATCH(P460, Standings!$A$3:$A$34, 0))</f>
        <v/>
      </c>
      <c r="X460" s="157">
        <f>INDEX(Standings!$M$3:$M$34, MATCH(N460, Standings!$A$3:$A$34, 0)) - INDEX(Standings!$M$3:$M$34, MATCH(P460, Standings!$A$3:$A$34, 0))</f>
        <v/>
      </c>
      <c r="Y460" s="194">
        <f t="array" ref="Y460:Y460">IFERROR(AE460+(AL460-_DFactor)*AE460,"")</f>
        <v/>
      </c>
      <c r="Z460" s="157">
        <f>IFERROR(AF460+(AI460-_DFactor)*AF460,"")</f>
        <v/>
      </c>
      <c r="AC460" s="194">
        <f>VLOOKUP(M460&amp;N460,Schedule!A:F,6,0)</f>
        <v/>
      </c>
      <c r="AD460" s="194">
        <f>VLOOKUP(M460&amp;P460,Schedule!A:F,6,0)</f>
        <v/>
      </c>
      <c r="AE460" s="156">
        <f>VLOOKUP(N460,ProjPVT!B:I,8,0)*_Mag/VLOOKUP(P460,Standings!A:O,15,0)*H460*K460</f>
        <v/>
      </c>
      <c r="AF460" s="156">
        <f>VLOOKUP(P460,ProjPVT!B:I,8,0)*_Mag/VLOOKUP(N460,Standings!A:O,15,0)*J460*I460</f>
        <v/>
      </c>
      <c r="AG460" s="195">
        <f>VLOOKUP(N460,Matrix!AA:AC,3,0)</f>
        <v/>
      </c>
      <c r="AH460" s="195">
        <f>SUMIFS(Def!C:C,Def!F:F,AG460)</f>
        <v/>
      </c>
      <c r="AI460" s="156">
        <f>IFERROR(SUMIFS(Def!B:B,Def!F:F,AG460)/AH460,"")</f>
        <v/>
      </c>
      <c r="AJ460" s="195">
        <f>VLOOKUP(P460,Matrix!AA:AC,3,0)</f>
        <v/>
      </c>
      <c r="AK460" s="195">
        <f>SUMIFS(Def!C:C,Def!F:F,AJ460)</f>
        <v/>
      </c>
      <c r="AL460" s="156">
        <f>IFERROR(SUMIFS(Def!B:B,Def!F:F,AJ460)/AK460,"")</f>
        <v/>
      </c>
    </row>
    <row r="461" ht="14.4" customHeight="1" s="152">
      <c r="A461" s="157">
        <f>IF(F461="Yes",IFERROR(IF(AA461&gt;1,AA461/100,100/-AA461),""),-1)</f>
        <v/>
      </c>
      <c r="B461" s="157">
        <f>B460+1</f>
        <v/>
      </c>
      <c r="C461" s="157">
        <f>IF(Y461&gt;Z461,1,0)</f>
        <v/>
      </c>
      <c r="D461" s="157">
        <f>IF(AND(C461=1,F461="Yes"),"Yes",IF(AND(C461=0,F461="No"),"Yes","No"))</f>
        <v/>
      </c>
      <c r="E461" s="192">
        <f>IF((AC461+AB461)=AD461,"Push",IF((AC461+AB461)&gt;AD461,"Yes","No"))</f>
        <v/>
      </c>
      <c r="F461" s="192">
        <f>IF(AC461&gt;AD461,"Yes","No")</f>
        <v/>
      </c>
      <c r="G461" s="192">
        <f>IF((Y461+AB461)&gt;Z461,"Yes",IF((Y461+AB461)=Z461,"Push","No"))</f>
        <v/>
      </c>
      <c r="H461" s="157">
        <f>IF(O461="Home",VLOOKUP(N461,Matrix!A:S,19,0),1)</f>
        <v/>
      </c>
      <c r="I461" s="157">
        <f>IF(O461="Away",VLOOKUP(N461,Matrix!A:Z,20,0),1)</f>
        <v/>
      </c>
      <c r="J461" s="157">
        <f>IF(O461="Away",VLOOKUP(P461,Matrix!A:S,19,0),1)</f>
        <v/>
      </c>
      <c r="K461" s="157">
        <f>IF(O461="Home",VLOOKUP(P461,Matrix!A:Z,20,0),1)</f>
        <v/>
      </c>
      <c r="L461" s="156" t="n">
        <v>-0.11348989363116</v>
      </c>
      <c r="M461" s="179">
        <f>Schedule!B461</f>
        <v/>
      </c>
      <c r="N461" s="156">
        <f>Schedule!E461</f>
        <v/>
      </c>
      <c r="O461" s="156" t="inlineStr">
        <is>
          <t>Away</t>
        </is>
      </c>
      <c r="P461" s="157">
        <f>Schedule!H461</f>
        <v/>
      </c>
      <c r="Q461" s="157">
        <f>Schedule!C461</f>
        <v/>
      </c>
      <c r="R461" s="180">
        <f>Schedule!D461</f>
        <v/>
      </c>
      <c r="S461" s="181">
        <f>Schedule!J461</f>
        <v/>
      </c>
      <c r="T461" s="193">
        <f>Y461-Z461</f>
        <v/>
      </c>
      <c r="U461" s="182">
        <f>T461/Picks!$K$2</f>
        <v/>
      </c>
      <c r="V461" s="193">
        <f>INDEX(Standings!$T$3:$T$34, MATCH(N461, Standings!$A$3:$A$34, 0)) - INDEX(Standings!$T$3:$T$34, MATCH(P461, Standings!$A$3:$A$34, 0))</f>
        <v/>
      </c>
      <c r="W461" s="157">
        <f>INDEX(Standings!$L$3:$L$34, MATCH(N461, Standings!$A$3:$A$34, 0)) - INDEX(Standings!$L$3:$L$34, MATCH(P461, Standings!$A$3:$A$34, 0))</f>
        <v/>
      </c>
      <c r="X461" s="157">
        <f>INDEX(Standings!$M$3:$M$34, MATCH(N461, Standings!$A$3:$A$34, 0)) - INDEX(Standings!$M$3:$M$34, MATCH(P461, Standings!$A$3:$A$34, 0))</f>
        <v/>
      </c>
      <c r="Y461" s="194">
        <f t="array" ref="Y461:Y461">IFERROR(AE461+(AL461-_DFactor)*AE461,"")</f>
        <v/>
      </c>
      <c r="Z461" s="157">
        <f>IFERROR(AF461+(AI461-_DFactor)*AF461,"")</f>
        <v/>
      </c>
      <c r="AC461" s="194">
        <f>VLOOKUP(M461&amp;N461,Schedule!A:F,6,0)</f>
        <v/>
      </c>
      <c r="AD461" s="194">
        <f>VLOOKUP(M461&amp;P461,Schedule!A:F,6,0)</f>
        <v/>
      </c>
      <c r="AE461" s="156">
        <f>VLOOKUP(N461,ProjPVT!B:I,8,0)*_Mag/VLOOKUP(P461,Standings!A:O,15,0)*H461*K461</f>
        <v/>
      </c>
      <c r="AF461" s="156">
        <f>VLOOKUP(P461,ProjPVT!B:I,8,0)*_Mag/VLOOKUP(N461,Standings!A:O,15,0)*J461*I461</f>
        <v/>
      </c>
      <c r="AG461" s="195">
        <f>VLOOKUP(N461,Matrix!AA:AC,3,0)</f>
        <v/>
      </c>
      <c r="AH461" s="195">
        <f>SUMIFS(Def!C:C,Def!F:F,AG461)</f>
        <v/>
      </c>
      <c r="AI461" s="156">
        <f>IFERROR(SUMIFS(Def!B:B,Def!F:F,AG461)/AH461,"")</f>
        <v/>
      </c>
      <c r="AJ461" s="195">
        <f>VLOOKUP(P461,Matrix!AA:AC,3,0)</f>
        <v/>
      </c>
      <c r="AK461" s="195">
        <f>SUMIFS(Def!C:C,Def!F:F,AJ461)</f>
        <v/>
      </c>
      <c r="AL461" s="156">
        <f>IFERROR(SUMIFS(Def!B:B,Def!F:F,AJ461)/AK461,"")</f>
        <v/>
      </c>
    </row>
    <row r="462" ht="14.4" customHeight="1" s="152">
      <c r="A462" s="157">
        <f>IF(F462="Yes",IFERROR(IF(AA462&gt;1,AA462/100,100/-AA462),""),-1)</f>
        <v/>
      </c>
      <c r="B462" s="157">
        <f>B461+1</f>
        <v/>
      </c>
      <c r="C462" s="157">
        <f>IF(Y462&gt;Z462,1,0)</f>
        <v/>
      </c>
      <c r="D462" s="157">
        <f>IF(AND(C462=1,F462="Yes"),"Yes",IF(AND(C462=0,F462="No"),"Yes","No"))</f>
        <v/>
      </c>
      <c r="E462" s="192">
        <f>IF((AC462+AB462)=AD462,"Push",IF((AC462+AB462)&gt;AD462,"Yes","No"))</f>
        <v/>
      </c>
      <c r="F462" s="192">
        <f>IF(AC462&gt;AD462,"Yes","No")</f>
        <v/>
      </c>
      <c r="G462" s="192">
        <f>IF((Y462+AB462)&gt;Z462,"Yes",IF((Y462+AB462)=Z462,"Push","No"))</f>
        <v/>
      </c>
      <c r="H462" s="157">
        <f>IF(O462="Home",VLOOKUP(N462,Matrix!A:S,19,0),1)</f>
        <v/>
      </c>
      <c r="I462" s="157">
        <f>IF(O462="Away",VLOOKUP(N462,Matrix!A:Z,20,0),1)</f>
        <v/>
      </c>
      <c r="J462" s="157">
        <f>IF(O462="Away",VLOOKUP(P462,Matrix!A:S,19,0),1)</f>
        <v/>
      </c>
      <c r="K462" s="157">
        <f>IF(O462="Home",VLOOKUP(P462,Matrix!A:Z,20,0),1)</f>
        <v/>
      </c>
      <c r="L462" s="156" t="n">
        <v>-0.10964094626868</v>
      </c>
      <c r="M462" s="179">
        <f>Schedule!B462</f>
        <v/>
      </c>
      <c r="N462" s="156">
        <f>Schedule!E462</f>
        <v/>
      </c>
      <c r="O462" s="156" t="inlineStr">
        <is>
          <t>Away</t>
        </is>
      </c>
      <c r="P462" s="157">
        <f>Schedule!H462</f>
        <v/>
      </c>
      <c r="Q462" s="157">
        <f>Schedule!C462</f>
        <v/>
      </c>
      <c r="R462" s="180">
        <f>Schedule!D462</f>
        <v/>
      </c>
      <c r="S462" s="181">
        <f>Schedule!J462</f>
        <v/>
      </c>
      <c r="T462" s="193">
        <f>Y462-Z462</f>
        <v/>
      </c>
      <c r="U462" s="182">
        <f>T462/Picks!$K$2</f>
        <v/>
      </c>
      <c r="V462" s="193">
        <f>INDEX(Standings!$T$3:$T$34, MATCH(N462, Standings!$A$3:$A$34, 0)) - INDEX(Standings!$T$3:$T$34, MATCH(P462, Standings!$A$3:$A$34, 0))</f>
        <v/>
      </c>
      <c r="W462" s="157">
        <f>INDEX(Standings!$L$3:$L$34, MATCH(N462, Standings!$A$3:$A$34, 0)) - INDEX(Standings!$L$3:$L$34, MATCH(P462, Standings!$A$3:$A$34, 0))</f>
        <v/>
      </c>
      <c r="X462" s="157">
        <f>INDEX(Standings!$M$3:$M$34, MATCH(N462, Standings!$A$3:$A$34, 0)) - INDEX(Standings!$M$3:$M$34, MATCH(P462, Standings!$A$3:$A$34, 0))</f>
        <v/>
      </c>
      <c r="Y462" s="194">
        <f t="array" ref="Y462:Y462">IFERROR(AE462+(AL462-_DFactor)*AE462,"")</f>
        <v/>
      </c>
      <c r="Z462" s="157">
        <f>IFERROR(AF462+(AI462-_DFactor)*AF462,"")</f>
        <v/>
      </c>
      <c r="AC462" s="194">
        <f>VLOOKUP(M462&amp;N462,Schedule!A:F,6,0)</f>
        <v/>
      </c>
      <c r="AD462" s="194">
        <f>VLOOKUP(M462&amp;P462,Schedule!A:F,6,0)</f>
        <v/>
      </c>
      <c r="AE462" s="156">
        <f>VLOOKUP(N462,ProjPVT!B:I,8,0)*_Mag/VLOOKUP(P462,Standings!A:O,15,0)*H462*K462</f>
        <v/>
      </c>
      <c r="AF462" s="156">
        <f>VLOOKUP(P462,ProjPVT!B:I,8,0)*_Mag/VLOOKUP(N462,Standings!A:O,15,0)*J462*I462</f>
        <v/>
      </c>
      <c r="AG462" s="195">
        <f>VLOOKUP(N462,Matrix!AA:AC,3,0)</f>
        <v/>
      </c>
      <c r="AH462" s="195">
        <f>SUMIFS(Def!C:C,Def!F:F,AG462)</f>
        <v/>
      </c>
      <c r="AI462" s="156">
        <f>IFERROR(SUMIFS(Def!B:B,Def!F:F,AG462)/AH462,"")</f>
        <v/>
      </c>
      <c r="AJ462" s="195">
        <f>VLOOKUP(P462,Matrix!AA:AC,3,0)</f>
        <v/>
      </c>
      <c r="AK462" s="195">
        <f>SUMIFS(Def!C:C,Def!F:F,AJ462)</f>
        <v/>
      </c>
      <c r="AL462" s="156">
        <f>IFERROR(SUMIFS(Def!B:B,Def!F:F,AJ462)/AK462,"")</f>
        <v/>
      </c>
    </row>
    <row r="463" ht="14.4" customHeight="1" s="152">
      <c r="A463" s="157">
        <f>IF(F463="Yes",IFERROR(IF(AA463&gt;1,AA463/100,100/-AA463),""),-1)</f>
        <v/>
      </c>
      <c r="B463" s="157">
        <f>B462+1</f>
        <v/>
      </c>
      <c r="C463" s="157">
        <f>IF(Y463&gt;Z463,1,0)</f>
        <v/>
      </c>
      <c r="D463" s="157">
        <f>IF(AND(C463=1,F463="Yes"),"Yes",IF(AND(C463=0,F463="No"),"Yes","No"))</f>
        <v/>
      </c>
      <c r="E463" s="192">
        <f>IF((AC463+AB463)=AD463,"Push",IF((AC463+AB463)&gt;AD463,"Yes","No"))</f>
        <v/>
      </c>
      <c r="F463" s="192">
        <f>IF(AC463&gt;AD463,"Yes","No")</f>
        <v/>
      </c>
      <c r="G463" s="192">
        <f>IF((Y463+AB463)&gt;Z463,"Yes",IF((Y463+AB463)=Z463,"Push","No"))</f>
        <v/>
      </c>
      <c r="H463" s="157">
        <f>IF(O463="Home",VLOOKUP(N463,Matrix!A:S,19,0),1)</f>
        <v/>
      </c>
      <c r="I463" s="157">
        <f>IF(O463="Away",VLOOKUP(N463,Matrix!A:Z,20,0),1)</f>
        <v/>
      </c>
      <c r="J463" s="157">
        <f>IF(O463="Away",VLOOKUP(P463,Matrix!A:S,19,0),1)</f>
        <v/>
      </c>
      <c r="K463" s="157">
        <f>IF(O463="Home",VLOOKUP(P463,Matrix!A:Z,20,0),1)</f>
        <v/>
      </c>
      <c r="L463" s="156" t="n">
        <v>-0.0983371571450054</v>
      </c>
      <c r="M463" s="179">
        <f>Schedule!B463</f>
        <v/>
      </c>
      <c r="N463" s="156">
        <f>Schedule!E463</f>
        <v/>
      </c>
      <c r="O463" s="156" t="inlineStr">
        <is>
          <t>Home</t>
        </is>
      </c>
      <c r="P463" s="157">
        <f>Schedule!H463</f>
        <v/>
      </c>
      <c r="Q463" s="157">
        <f>Schedule!C463</f>
        <v/>
      </c>
      <c r="R463" s="180">
        <f>Schedule!D463</f>
        <v/>
      </c>
      <c r="S463" s="181">
        <f>Schedule!J463</f>
        <v/>
      </c>
      <c r="T463" s="193">
        <f>Y463-Z463</f>
        <v/>
      </c>
      <c r="U463" s="182">
        <f>T463/Picks!$K$2</f>
        <v/>
      </c>
      <c r="V463" s="193">
        <f>INDEX(Standings!$T$3:$T$34, MATCH(N463, Standings!$A$3:$A$34, 0)) - INDEX(Standings!$T$3:$T$34, MATCH(P463, Standings!$A$3:$A$34, 0))</f>
        <v/>
      </c>
      <c r="W463" s="157">
        <f>INDEX(Standings!$L$3:$L$34, MATCH(N463, Standings!$A$3:$A$34, 0)) - INDEX(Standings!$L$3:$L$34, MATCH(P463, Standings!$A$3:$A$34, 0))</f>
        <v/>
      </c>
      <c r="X463" s="157">
        <f>INDEX(Standings!$M$3:$M$34, MATCH(N463, Standings!$A$3:$A$34, 0)) - INDEX(Standings!$M$3:$M$34, MATCH(P463, Standings!$A$3:$A$34, 0))</f>
        <v/>
      </c>
      <c r="Y463" s="194">
        <f t="array" ref="Y463:Y463">IFERROR(AE463+(AL463-_DFactor)*AE463,"")</f>
        <v/>
      </c>
      <c r="Z463" s="157">
        <f>IFERROR(AF463+(AI463-_DFactor)*AF463,"")</f>
        <v/>
      </c>
      <c r="AC463" s="194">
        <f>VLOOKUP(M463&amp;N463,Schedule!A:F,6,0)</f>
        <v/>
      </c>
      <c r="AD463" s="194">
        <f>VLOOKUP(M463&amp;P463,Schedule!A:F,6,0)</f>
        <v/>
      </c>
      <c r="AE463" s="156">
        <f>VLOOKUP(N463,ProjPVT!B:I,8,0)*_Mag/VLOOKUP(P463,Standings!A:O,15,0)*H463*K463</f>
        <v/>
      </c>
      <c r="AF463" s="156">
        <f>VLOOKUP(P463,ProjPVT!B:I,8,0)*_Mag/VLOOKUP(N463,Standings!A:O,15,0)*J463*I463</f>
        <v/>
      </c>
      <c r="AG463" s="195">
        <f>VLOOKUP(N463,Matrix!AA:AC,3,0)</f>
        <v/>
      </c>
      <c r="AH463" s="195">
        <f>SUMIFS(Def!C:C,Def!F:F,AG463)</f>
        <v/>
      </c>
      <c r="AI463" s="156">
        <f>IFERROR(SUMIFS(Def!B:B,Def!F:F,AG463)/AH463,"")</f>
        <v/>
      </c>
      <c r="AJ463" s="195">
        <f>VLOOKUP(P463,Matrix!AA:AC,3,0)</f>
        <v/>
      </c>
      <c r="AK463" s="195">
        <f>SUMIFS(Def!C:C,Def!F:F,AJ463)</f>
        <v/>
      </c>
      <c r="AL463" s="156">
        <f>IFERROR(SUMIFS(Def!B:B,Def!F:F,AJ463)/AK463,"")</f>
        <v/>
      </c>
    </row>
    <row r="464" ht="14.4" customHeight="1" s="152">
      <c r="A464" s="157">
        <f>IF(F464="Yes",IFERROR(IF(AA464&gt;1,AA464/100,100/-AA464),""),-1)</f>
        <v/>
      </c>
      <c r="B464" s="157">
        <f>B463+1</f>
        <v/>
      </c>
      <c r="C464" s="157">
        <f>IF(Y464&gt;Z464,1,0)</f>
        <v/>
      </c>
      <c r="D464" s="157">
        <f>IF(AND(C464=1,F464="Yes"),"Yes",IF(AND(C464=0,F464="No"),"Yes","No"))</f>
        <v/>
      </c>
      <c r="E464" s="192">
        <f>IF((AC464+AB464)=AD464,"Push",IF((AC464+AB464)&gt;AD464,"Yes","No"))</f>
        <v/>
      </c>
      <c r="F464" s="192">
        <f>IF(AC464&gt;AD464,"Yes","No")</f>
        <v/>
      </c>
      <c r="G464" s="192">
        <f>IF((Y464+AB464)&gt;Z464,"Yes",IF((Y464+AB464)=Z464,"Push","No"))</f>
        <v/>
      </c>
      <c r="H464" s="157">
        <f>IF(O464="Home",VLOOKUP(N464,Matrix!A:S,19,0),1)</f>
        <v/>
      </c>
      <c r="I464" s="157">
        <f>IF(O464="Away",VLOOKUP(N464,Matrix!A:Z,20,0),1)</f>
        <v/>
      </c>
      <c r="J464" s="157">
        <f>IF(O464="Away",VLOOKUP(P464,Matrix!A:S,19,0),1)</f>
        <v/>
      </c>
      <c r="K464" s="157">
        <f>IF(O464="Home",VLOOKUP(P464,Matrix!A:Z,20,0),1)</f>
        <v/>
      </c>
      <c r="L464" s="156" t="n">
        <v>-0.0935291495699624</v>
      </c>
      <c r="M464" s="179">
        <f>Schedule!B464</f>
        <v/>
      </c>
      <c r="N464" s="156">
        <f>Schedule!E464</f>
        <v/>
      </c>
      <c r="O464" s="156" t="inlineStr">
        <is>
          <t>Away</t>
        </is>
      </c>
      <c r="P464" s="157">
        <f>Schedule!H464</f>
        <v/>
      </c>
      <c r="Q464" s="157">
        <f>Schedule!C464</f>
        <v/>
      </c>
      <c r="R464" s="180">
        <f>Schedule!D464</f>
        <v/>
      </c>
      <c r="S464" s="181">
        <f>Schedule!J464</f>
        <v/>
      </c>
      <c r="T464" s="193">
        <f>Y464-Z464</f>
        <v/>
      </c>
      <c r="U464" s="182">
        <f>T464/Picks!$K$2</f>
        <v/>
      </c>
      <c r="V464" s="193">
        <f>INDEX(Standings!$T$3:$T$34, MATCH(N464, Standings!$A$3:$A$34, 0)) - INDEX(Standings!$T$3:$T$34, MATCH(P464, Standings!$A$3:$A$34, 0))</f>
        <v/>
      </c>
      <c r="W464" s="157">
        <f>INDEX(Standings!$L$3:$L$34, MATCH(N464, Standings!$A$3:$A$34, 0)) - INDEX(Standings!$L$3:$L$34, MATCH(P464, Standings!$A$3:$A$34, 0))</f>
        <v/>
      </c>
      <c r="X464" s="157">
        <f>INDEX(Standings!$M$3:$M$34, MATCH(N464, Standings!$A$3:$A$34, 0)) - INDEX(Standings!$M$3:$M$34, MATCH(P464, Standings!$A$3:$A$34, 0))</f>
        <v/>
      </c>
      <c r="Y464" s="194">
        <f t="array" ref="Y464:Y464">IFERROR(AE464+(AL464-_DFactor)*AE464,"")</f>
        <v/>
      </c>
      <c r="Z464" s="157">
        <f>IFERROR(AF464+(AI464-_DFactor)*AF464,"")</f>
        <v/>
      </c>
      <c r="AC464" s="194">
        <f>VLOOKUP(M464&amp;N464,Schedule!A:F,6,0)</f>
        <v/>
      </c>
      <c r="AD464" s="194">
        <f>VLOOKUP(M464&amp;P464,Schedule!A:F,6,0)</f>
        <v/>
      </c>
      <c r="AE464" s="156">
        <f>VLOOKUP(N464,ProjPVT!B:I,8,0)*_Mag/VLOOKUP(P464,Standings!A:O,15,0)*H464*K464</f>
        <v/>
      </c>
      <c r="AF464" s="156">
        <f>VLOOKUP(P464,ProjPVT!B:I,8,0)*_Mag/VLOOKUP(N464,Standings!A:O,15,0)*J464*I464</f>
        <v/>
      </c>
      <c r="AG464" s="195">
        <f>VLOOKUP(N464,Matrix!AA:AC,3,0)</f>
        <v/>
      </c>
      <c r="AH464" s="195">
        <f>SUMIFS(Def!C:C,Def!F:F,AG464)</f>
        <v/>
      </c>
      <c r="AI464" s="156">
        <f>IFERROR(SUMIFS(Def!B:B,Def!F:F,AG464)/AH464,"")</f>
        <v/>
      </c>
      <c r="AJ464" s="195">
        <f>VLOOKUP(P464,Matrix!AA:AC,3,0)</f>
        <v/>
      </c>
      <c r="AK464" s="195">
        <f>SUMIFS(Def!C:C,Def!F:F,AJ464)</f>
        <v/>
      </c>
      <c r="AL464" s="156">
        <f>IFERROR(SUMIFS(Def!B:B,Def!F:F,AJ464)/AK464,"")</f>
        <v/>
      </c>
    </row>
    <row r="465" ht="14.4" customHeight="1" s="152">
      <c r="A465" s="157">
        <f>IF(F465="Yes",IFERROR(IF(AA465&gt;1,AA465/100,100/-AA465),""),-1)</f>
        <v/>
      </c>
      <c r="B465" s="157">
        <f>B464+1</f>
        <v/>
      </c>
      <c r="C465" s="157">
        <f>IF(Y465&gt;Z465,1,0)</f>
        <v/>
      </c>
      <c r="D465" s="157">
        <f>IF(AND(C465=1,F465="Yes"),"Yes",IF(AND(C465=0,F465="No"),"Yes","No"))</f>
        <v/>
      </c>
      <c r="E465" s="192">
        <f>IF((AC465+AB465)=AD465,"Push",IF((AC465+AB465)&gt;AD465,"Yes","No"))</f>
        <v/>
      </c>
      <c r="F465" s="192">
        <f>IF(AC465&gt;AD465,"Yes","No")</f>
        <v/>
      </c>
      <c r="G465" s="192">
        <f>IF((Y465+AB465)&gt;Z465,"Yes",IF((Y465+AB465)=Z465,"Push","No"))</f>
        <v/>
      </c>
      <c r="H465" s="157">
        <f>IF(O465="Home",VLOOKUP(N465,Matrix!A:S,19,0),1)</f>
        <v/>
      </c>
      <c r="I465" s="157">
        <f>IF(O465="Away",VLOOKUP(N465,Matrix!A:Z,20,0),1)</f>
        <v/>
      </c>
      <c r="J465" s="157">
        <f>IF(O465="Away",VLOOKUP(P465,Matrix!A:S,19,0),1)</f>
        <v/>
      </c>
      <c r="K465" s="157">
        <f>IF(O465="Home",VLOOKUP(P465,Matrix!A:Z,20,0),1)</f>
        <v/>
      </c>
      <c r="L465" s="156" t="n">
        <v>-0.080593650676325</v>
      </c>
      <c r="M465" s="179">
        <f>Schedule!B465</f>
        <v/>
      </c>
      <c r="N465" s="156">
        <f>Schedule!E465</f>
        <v/>
      </c>
      <c r="O465" s="156" t="inlineStr">
        <is>
          <t>Home</t>
        </is>
      </c>
      <c r="P465" s="157">
        <f>Schedule!H465</f>
        <v/>
      </c>
      <c r="Q465" s="157">
        <f>Schedule!C465</f>
        <v/>
      </c>
      <c r="R465" s="180">
        <f>Schedule!D465</f>
        <v/>
      </c>
      <c r="S465" s="181">
        <f>Schedule!J465</f>
        <v/>
      </c>
      <c r="T465" s="193">
        <f>Y465-Z465</f>
        <v/>
      </c>
      <c r="U465" s="182">
        <f>T465/Picks!$K$2</f>
        <v/>
      </c>
      <c r="V465" s="193">
        <f>INDEX(Standings!$T$3:$T$34, MATCH(N465, Standings!$A$3:$A$34, 0)) - INDEX(Standings!$T$3:$T$34, MATCH(P465, Standings!$A$3:$A$34, 0))</f>
        <v/>
      </c>
      <c r="W465" s="157">
        <f>INDEX(Standings!$L$3:$L$34, MATCH(N465, Standings!$A$3:$A$34, 0)) - INDEX(Standings!$L$3:$L$34, MATCH(P465, Standings!$A$3:$A$34, 0))</f>
        <v/>
      </c>
      <c r="X465" s="157">
        <f>INDEX(Standings!$M$3:$M$34, MATCH(N465, Standings!$A$3:$A$34, 0)) - INDEX(Standings!$M$3:$M$34, MATCH(P465, Standings!$A$3:$A$34, 0))</f>
        <v/>
      </c>
      <c r="Y465" s="194">
        <f t="array" ref="Y465:Y465">IFERROR(AE465+(AL465-_DFactor)*AE465,"")</f>
        <v/>
      </c>
      <c r="Z465" s="157">
        <f>IFERROR(AF465+(AI465-_DFactor)*AF465,"")</f>
        <v/>
      </c>
      <c r="AC465" s="194">
        <f>VLOOKUP(M465&amp;N465,Schedule!A:F,6,0)</f>
        <v/>
      </c>
      <c r="AD465" s="194">
        <f>VLOOKUP(M465&amp;P465,Schedule!A:F,6,0)</f>
        <v/>
      </c>
      <c r="AE465" s="156">
        <f>VLOOKUP(N465,ProjPVT!B:I,8,0)*_Mag/VLOOKUP(P465,Standings!A:O,15,0)*H465*K465</f>
        <v/>
      </c>
      <c r="AF465" s="156">
        <f>VLOOKUP(P465,ProjPVT!B:I,8,0)*_Mag/VLOOKUP(N465,Standings!A:O,15,0)*J465*I465</f>
        <v/>
      </c>
      <c r="AG465" s="195">
        <f>VLOOKUP(N465,Matrix!AA:AC,3,0)</f>
        <v/>
      </c>
      <c r="AH465" s="195">
        <f>SUMIFS(Def!C:C,Def!F:F,AG465)</f>
        <v/>
      </c>
      <c r="AI465" s="156">
        <f>IFERROR(SUMIFS(Def!B:B,Def!F:F,AG465)/AH465,"")</f>
        <v/>
      </c>
      <c r="AJ465" s="195">
        <f>VLOOKUP(P465,Matrix!AA:AC,3,0)</f>
        <v/>
      </c>
      <c r="AK465" s="195">
        <f>SUMIFS(Def!C:C,Def!F:F,AJ465)</f>
        <v/>
      </c>
      <c r="AL465" s="156">
        <f>IFERROR(SUMIFS(Def!B:B,Def!F:F,AJ465)/AK465,"")</f>
        <v/>
      </c>
    </row>
    <row r="466" ht="14.4" customHeight="1" s="152">
      <c r="A466" s="157">
        <f>IF(F466="Yes",IFERROR(IF(AA466&gt;1,AA466/100,100/-AA466),""),-1)</f>
        <v/>
      </c>
      <c r="B466" s="157">
        <f>B465+1</f>
        <v/>
      </c>
      <c r="C466" s="157">
        <f>IF(Y466&gt;Z466,1,0)</f>
        <v/>
      </c>
      <c r="D466" s="157">
        <f>IF(AND(C466=1,F466="Yes"),"Yes",IF(AND(C466=0,F466="No"),"Yes","No"))</f>
        <v/>
      </c>
      <c r="E466" s="192">
        <f>IF((AC466+AB466)=AD466,"Push",IF((AC466+AB466)&gt;AD466,"Yes","No"))</f>
        <v/>
      </c>
      <c r="F466" s="192">
        <f>IF(AC466&gt;AD466,"Yes","No")</f>
        <v/>
      </c>
      <c r="G466" s="192">
        <f>IF((Y466+AB466)&gt;Z466,"Yes",IF((Y466+AB466)=Z466,"Push","No"))</f>
        <v/>
      </c>
      <c r="H466" s="157">
        <f>IF(O466="Home",VLOOKUP(N466,Matrix!A:S,19,0),1)</f>
        <v/>
      </c>
      <c r="I466" s="157">
        <f>IF(O466="Away",VLOOKUP(N466,Matrix!A:Z,20,0),1)</f>
        <v/>
      </c>
      <c r="J466" s="157">
        <f>IF(O466="Away",VLOOKUP(P466,Matrix!A:S,19,0),1)</f>
        <v/>
      </c>
      <c r="K466" s="157">
        <f>IF(O466="Home",VLOOKUP(P466,Matrix!A:Z,20,0),1)</f>
        <v/>
      </c>
      <c r="L466" s="156" t="n">
        <v>-0.0357149360232189</v>
      </c>
      <c r="M466" s="179">
        <f>Schedule!B466</f>
        <v/>
      </c>
      <c r="N466" s="156">
        <f>Schedule!E466</f>
        <v/>
      </c>
      <c r="O466" s="156" t="inlineStr">
        <is>
          <t>Away</t>
        </is>
      </c>
      <c r="P466" s="157">
        <f>Schedule!H466</f>
        <v/>
      </c>
      <c r="Q466" s="157">
        <f>Schedule!C466</f>
        <v/>
      </c>
      <c r="R466" s="180">
        <f>Schedule!D466</f>
        <v/>
      </c>
      <c r="S466" s="181">
        <f>Schedule!J466</f>
        <v/>
      </c>
      <c r="T466" s="193">
        <f>Y466-Z466</f>
        <v/>
      </c>
      <c r="U466" s="182">
        <f>T466/Picks!$K$2</f>
        <v/>
      </c>
      <c r="V466" s="193">
        <f>INDEX(Standings!$T$3:$T$34, MATCH(N466, Standings!$A$3:$A$34, 0)) - INDEX(Standings!$T$3:$T$34, MATCH(P466, Standings!$A$3:$A$34, 0))</f>
        <v/>
      </c>
      <c r="W466" s="157">
        <f>INDEX(Standings!$L$3:$L$34, MATCH(N466, Standings!$A$3:$A$34, 0)) - INDEX(Standings!$L$3:$L$34, MATCH(P466, Standings!$A$3:$A$34, 0))</f>
        <v/>
      </c>
      <c r="X466" s="157">
        <f>INDEX(Standings!$M$3:$M$34, MATCH(N466, Standings!$A$3:$A$34, 0)) - INDEX(Standings!$M$3:$M$34, MATCH(P466, Standings!$A$3:$A$34, 0))</f>
        <v/>
      </c>
      <c r="Y466" s="194">
        <f t="array" ref="Y466:Y466">IFERROR(AE466+(AL466-_DFactor)*AE466,"")</f>
        <v/>
      </c>
      <c r="Z466" s="157">
        <f>IFERROR(AF466+(AI466-_DFactor)*AF466,"")</f>
        <v/>
      </c>
      <c r="AC466" s="194">
        <f>VLOOKUP(M466&amp;N466,Schedule!A:F,6,0)</f>
        <v/>
      </c>
      <c r="AD466" s="194">
        <f>VLOOKUP(M466&amp;P466,Schedule!A:F,6,0)</f>
        <v/>
      </c>
      <c r="AE466" s="156">
        <f>VLOOKUP(N466,ProjPVT!B:I,8,0)*_Mag/VLOOKUP(P466,Standings!A:O,15,0)*H466*K466</f>
        <v/>
      </c>
      <c r="AF466" s="156">
        <f>VLOOKUP(P466,ProjPVT!B:I,8,0)*_Mag/VLOOKUP(N466,Standings!A:O,15,0)*J466*I466</f>
        <v/>
      </c>
      <c r="AG466" s="195">
        <f>VLOOKUP(N466,Matrix!AA:AC,3,0)</f>
        <v/>
      </c>
      <c r="AH466" s="195">
        <f>SUMIFS(Def!C:C,Def!F:F,AG466)</f>
        <v/>
      </c>
      <c r="AI466" s="156">
        <f>IFERROR(SUMIFS(Def!B:B,Def!F:F,AG466)/AH466,"")</f>
        <v/>
      </c>
      <c r="AJ466" s="195">
        <f>VLOOKUP(P466,Matrix!AA:AC,3,0)</f>
        <v/>
      </c>
      <c r="AK466" s="195">
        <f>SUMIFS(Def!C:C,Def!F:F,AJ466)</f>
        <v/>
      </c>
      <c r="AL466" s="156">
        <f>IFERROR(SUMIFS(Def!B:B,Def!F:F,AJ466)/AK466,"")</f>
        <v/>
      </c>
    </row>
    <row r="467" ht="14.4" customHeight="1" s="152">
      <c r="A467" s="157">
        <f>IF(F467="Yes",IFERROR(IF(AA467&gt;1,AA467/100,100/-AA467),""),-1)</f>
        <v/>
      </c>
      <c r="B467" s="157">
        <f>B466+1</f>
        <v/>
      </c>
      <c r="C467" s="157">
        <f>IF(Y467&gt;Z467,1,0)</f>
        <v/>
      </c>
      <c r="D467" s="157">
        <f>IF(AND(C467=1,F467="Yes"),"Yes",IF(AND(C467=0,F467="No"),"Yes","No"))</f>
        <v/>
      </c>
      <c r="E467" s="192">
        <f>IF((AC467+AB467)=AD467,"Push",IF((AC467+AB467)&gt;AD467,"Yes","No"))</f>
        <v/>
      </c>
      <c r="F467" s="192">
        <f>IF(AC467&gt;AD467,"Yes","No")</f>
        <v/>
      </c>
      <c r="G467" s="192">
        <f>IF((Y467+AB467)&gt;Z467,"Yes",IF((Y467+AB467)=Z467,"Push","No"))</f>
        <v/>
      </c>
      <c r="H467" s="157">
        <f>IF(O467="Home",VLOOKUP(N467,Matrix!A:S,19,0),1)</f>
        <v/>
      </c>
      <c r="I467" s="157">
        <f>IF(O467="Away",VLOOKUP(N467,Matrix!A:Z,20,0),1)</f>
        <v/>
      </c>
      <c r="J467" s="157">
        <f>IF(O467="Away",VLOOKUP(P467,Matrix!A:S,19,0),1)</f>
        <v/>
      </c>
      <c r="K467" s="157">
        <f>IF(O467="Home",VLOOKUP(P467,Matrix!A:Z,20,0),1)</f>
        <v/>
      </c>
      <c r="L467" s="156" t="n">
        <v>0.0306340442916457</v>
      </c>
      <c r="M467" s="179">
        <f>Schedule!B467</f>
        <v/>
      </c>
      <c r="N467" s="156">
        <f>Schedule!E467</f>
        <v/>
      </c>
      <c r="O467" s="156" t="inlineStr">
        <is>
          <t>Away</t>
        </is>
      </c>
      <c r="P467" s="157">
        <f>Schedule!H467</f>
        <v/>
      </c>
      <c r="Q467" s="157">
        <f>Schedule!C467</f>
        <v/>
      </c>
      <c r="R467" s="180">
        <f>Schedule!D467</f>
        <v/>
      </c>
      <c r="S467" s="181">
        <f>Schedule!J467</f>
        <v/>
      </c>
      <c r="T467" s="193">
        <f>Y467-Z467</f>
        <v/>
      </c>
      <c r="U467" s="182">
        <f>T467/Picks!$K$2</f>
        <v/>
      </c>
      <c r="V467" s="193">
        <f>INDEX(Standings!$T$3:$T$34, MATCH(N467, Standings!$A$3:$A$34, 0)) - INDEX(Standings!$T$3:$T$34, MATCH(P467, Standings!$A$3:$A$34, 0))</f>
        <v/>
      </c>
      <c r="W467" s="157">
        <f>INDEX(Standings!$L$3:$L$34, MATCH(N467, Standings!$A$3:$A$34, 0)) - INDEX(Standings!$L$3:$L$34, MATCH(P467, Standings!$A$3:$A$34, 0))</f>
        <v/>
      </c>
      <c r="X467" s="157">
        <f>INDEX(Standings!$M$3:$M$34, MATCH(N467, Standings!$A$3:$A$34, 0)) - INDEX(Standings!$M$3:$M$34, MATCH(P467, Standings!$A$3:$A$34, 0))</f>
        <v/>
      </c>
      <c r="Y467" s="194">
        <f t="array" ref="Y467:Y467">IFERROR(AE467+(AL467-_DFactor)*AE467,"")</f>
        <v/>
      </c>
      <c r="Z467" s="157">
        <f>IFERROR(AF467+(AI467-_DFactor)*AF467,"")</f>
        <v/>
      </c>
      <c r="AC467" s="194">
        <f>VLOOKUP(M467&amp;N467,Schedule!A:F,6,0)</f>
        <v/>
      </c>
      <c r="AD467" s="194">
        <f>VLOOKUP(M467&amp;P467,Schedule!A:F,6,0)</f>
        <v/>
      </c>
      <c r="AE467" s="156">
        <f>VLOOKUP(N467,ProjPVT!B:I,8,0)*_Mag/VLOOKUP(P467,Standings!A:O,15,0)*H467*K467</f>
        <v/>
      </c>
      <c r="AF467" s="156">
        <f>VLOOKUP(P467,ProjPVT!B:I,8,0)*_Mag/VLOOKUP(N467,Standings!A:O,15,0)*J467*I467</f>
        <v/>
      </c>
      <c r="AG467" s="195">
        <f>VLOOKUP(N467,Matrix!AA:AC,3,0)</f>
        <v/>
      </c>
      <c r="AH467" s="195">
        <f>SUMIFS(Def!C:C,Def!F:F,AG467)</f>
        <v/>
      </c>
      <c r="AI467" s="156">
        <f>IFERROR(SUMIFS(Def!B:B,Def!F:F,AG467)/AH467,"")</f>
        <v/>
      </c>
      <c r="AJ467" s="195">
        <f>VLOOKUP(P467,Matrix!AA:AC,3,0)</f>
        <v/>
      </c>
      <c r="AK467" s="195">
        <f>SUMIFS(Def!C:C,Def!F:F,AJ467)</f>
        <v/>
      </c>
      <c r="AL467" s="156">
        <f>IFERROR(SUMIFS(Def!B:B,Def!F:F,AJ467)/AK467,"")</f>
        <v/>
      </c>
    </row>
    <row r="468" ht="14.4" customHeight="1" s="152">
      <c r="A468" s="157">
        <f>IF(F468="Yes",IFERROR(IF(AA468&gt;1,AA468/100,100/-AA468),""),-1)</f>
        <v/>
      </c>
      <c r="B468" s="157">
        <f>B467+1</f>
        <v/>
      </c>
      <c r="C468" s="157">
        <f>IF(Y468&gt;Z468,1,0)</f>
        <v/>
      </c>
      <c r="D468" s="157">
        <f>IF(AND(C468=1,F468="Yes"),"Yes",IF(AND(C468=0,F468="No"),"Yes","No"))</f>
        <v/>
      </c>
      <c r="E468" s="192">
        <f>IF((AC468+AB468)=AD468,"Push",IF((AC468+AB468)&gt;AD468,"Yes","No"))</f>
        <v/>
      </c>
      <c r="F468" s="192">
        <f>IF(AC468&gt;AD468,"Yes","No")</f>
        <v/>
      </c>
      <c r="G468" s="192">
        <f>IF((Y468+AB468)&gt;Z468,"Yes",IF((Y468+AB468)=Z468,"Push","No"))</f>
        <v/>
      </c>
      <c r="H468" s="157">
        <f>IF(O468="Home",VLOOKUP(N468,Matrix!A:S,19,0),1)</f>
        <v/>
      </c>
      <c r="I468" s="157">
        <f>IF(O468="Away",VLOOKUP(N468,Matrix!A:Z,20,0),1)</f>
        <v/>
      </c>
      <c r="J468" s="157">
        <f>IF(O468="Away",VLOOKUP(P468,Matrix!A:S,19,0),1)</f>
        <v/>
      </c>
      <c r="K468" s="157">
        <f>IF(O468="Home",VLOOKUP(P468,Matrix!A:Z,20,0),1)</f>
        <v/>
      </c>
      <c r="L468" s="156" t="n">
        <v>0.080593650676325</v>
      </c>
      <c r="M468" s="179">
        <f>Schedule!B468</f>
        <v/>
      </c>
      <c r="N468" s="156">
        <f>Schedule!E468</f>
        <v/>
      </c>
      <c r="O468" s="156" t="inlineStr">
        <is>
          <t>Away</t>
        </is>
      </c>
      <c r="P468" s="157">
        <f>Schedule!H468</f>
        <v/>
      </c>
      <c r="Q468" s="157">
        <f>Schedule!C468</f>
        <v/>
      </c>
      <c r="R468" s="180">
        <f>Schedule!D468</f>
        <v/>
      </c>
      <c r="S468" s="181">
        <f>Schedule!J468</f>
        <v/>
      </c>
      <c r="T468" s="193">
        <f>Y468-Z468</f>
        <v/>
      </c>
      <c r="U468" s="182">
        <f>T468/Picks!$K$2</f>
        <v/>
      </c>
      <c r="V468" s="193">
        <f>INDEX(Standings!$T$3:$T$34, MATCH(N468, Standings!$A$3:$A$34, 0)) - INDEX(Standings!$T$3:$T$34, MATCH(P468, Standings!$A$3:$A$34, 0))</f>
        <v/>
      </c>
      <c r="W468" s="157">
        <f>INDEX(Standings!$L$3:$L$34, MATCH(N468, Standings!$A$3:$A$34, 0)) - INDEX(Standings!$L$3:$L$34, MATCH(P468, Standings!$A$3:$A$34, 0))</f>
        <v/>
      </c>
      <c r="X468" s="157">
        <f>INDEX(Standings!$M$3:$M$34, MATCH(N468, Standings!$A$3:$A$34, 0)) - INDEX(Standings!$M$3:$M$34, MATCH(P468, Standings!$A$3:$A$34, 0))</f>
        <v/>
      </c>
      <c r="Y468" s="194">
        <f t="array" ref="Y468:Y468">IFERROR(AE468+(AL468-_DFactor)*AE468,"")</f>
        <v/>
      </c>
      <c r="Z468" s="157">
        <f>IFERROR(AF468+(AI468-_DFactor)*AF468,"")</f>
        <v/>
      </c>
      <c r="AC468" s="194">
        <f>VLOOKUP(M468&amp;N468,Schedule!A:F,6,0)</f>
        <v/>
      </c>
      <c r="AD468" s="194">
        <f>VLOOKUP(M468&amp;P468,Schedule!A:F,6,0)</f>
        <v/>
      </c>
      <c r="AE468" s="156">
        <f>VLOOKUP(N468,ProjPVT!B:I,8,0)*_Mag/VLOOKUP(P468,Standings!A:O,15,0)*H468*K468</f>
        <v/>
      </c>
      <c r="AF468" s="156">
        <f>VLOOKUP(P468,ProjPVT!B:I,8,0)*_Mag/VLOOKUP(N468,Standings!A:O,15,0)*J468*I468</f>
        <v/>
      </c>
      <c r="AG468" s="195">
        <f>VLOOKUP(N468,Matrix!AA:AC,3,0)</f>
        <v/>
      </c>
      <c r="AH468" s="195">
        <f>SUMIFS(Def!C:C,Def!F:F,AG468)</f>
        <v/>
      </c>
      <c r="AI468" s="156">
        <f>IFERROR(SUMIFS(Def!B:B,Def!F:F,AG468)/AH468,"")</f>
        <v/>
      </c>
      <c r="AJ468" s="195">
        <f>VLOOKUP(P468,Matrix!AA:AC,3,0)</f>
        <v/>
      </c>
      <c r="AK468" s="195">
        <f>SUMIFS(Def!C:C,Def!F:F,AJ468)</f>
        <v/>
      </c>
      <c r="AL468" s="156">
        <f>IFERROR(SUMIFS(Def!B:B,Def!F:F,AJ468)/AK468,"")</f>
        <v/>
      </c>
    </row>
    <row r="469" ht="14.4" customHeight="1" s="152">
      <c r="A469" s="157">
        <f>IF(F469="Yes",IFERROR(IF(AA469&gt;1,AA469/100,100/-AA469),""),-1)</f>
        <v/>
      </c>
      <c r="B469" s="157">
        <f>B468+1</f>
        <v/>
      </c>
      <c r="C469" s="157">
        <f>IF(Y469&gt;Z469,1,0)</f>
        <v/>
      </c>
      <c r="D469" s="157">
        <f>IF(AND(C469=1,F469="Yes"),"Yes",IF(AND(C469=0,F469="No"),"Yes","No"))</f>
        <v/>
      </c>
      <c r="E469" s="192">
        <f>IF((AC469+AB469)=AD469,"Push",IF((AC469+AB469)&gt;AD469,"Yes","No"))</f>
        <v/>
      </c>
      <c r="F469" s="192">
        <f>IF(AC469&gt;AD469,"Yes","No")</f>
        <v/>
      </c>
      <c r="G469" s="192">
        <f>IF((Y469+AB469)&gt;Z469,"Yes",IF((Y469+AB469)=Z469,"Push","No"))</f>
        <v/>
      </c>
      <c r="H469" s="157">
        <f>IF(O469="Home",VLOOKUP(N469,Matrix!A:S,19,0),1)</f>
        <v/>
      </c>
      <c r="I469" s="157">
        <f>IF(O469="Away",VLOOKUP(N469,Matrix!A:Z,20,0),1)</f>
        <v/>
      </c>
      <c r="J469" s="157">
        <f>IF(O469="Away",VLOOKUP(P469,Matrix!A:S,19,0),1)</f>
        <v/>
      </c>
      <c r="K469" s="157">
        <f>IF(O469="Home",VLOOKUP(P469,Matrix!A:Z,20,0),1)</f>
        <v/>
      </c>
      <c r="L469" s="156" t="n">
        <v>0.0935291495699624</v>
      </c>
      <c r="M469" s="179">
        <f>Schedule!B469</f>
        <v/>
      </c>
      <c r="N469" s="156">
        <f>Schedule!E469</f>
        <v/>
      </c>
      <c r="O469" s="156" t="inlineStr">
        <is>
          <t>Home</t>
        </is>
      </c>
      <c r="P469" s="157">
        <f>Schedule!H469</f>
        <v/>
      </c>
      <c r="Q469" s="157">
        <f>Schedule!C469</f>
        <v/>
      </c>
      <c r="R469" s="180">
        <f>Schedule!D469</f>
        <v/>
      </c>
      <c r="S469" s="181">
        <f>Schedule!J469</f>
        <v/>
      </c>
      <c r="T469" s="193">
        <f>Y469-Z469</f>
        <v/>
      </c>
      <c r="U469" s="182">
        <f>T469/Picks!$K$2</f>
        <v/>
      </c>
      <c r="V469" s="193">
        <f>INDEX(Standings!$T$3:$T$34, MATCH(N469, Standings!$A$3:$A$34, 0)) - INDEX(Standings!$T$3:$T$34, MATCH(P469, Standings!$A$3:$A$34, 0))</f>
        <v/>
      </c>
      <c r="W469" s="157">
        <f>INDEX(Standings!$L$3:$L$34, MATCH(N469, Standings!$A$3:$A$34, 0)) - INDEX(Standings!$L$3:$L$34, MATCH(P469, Standings!$A$3:$A$34, 0))</f>
        <v/>
      </c>
      <c r="X469" s="157">
        <f>INDEX(Standings!$M$3:$M$34, MATCH(N469, Standings!$A$3:$A$34, 0)) - INDEX(Standings!$M$3:$M$34, MATCH(P469, Standings!$A$3:$A$34, 0))</f>
        <v/>
      </c>
      <c r="Y469" s="194">
        <f t="array" ref="Y469:Y469">IFERROR(AE469+(AL469-_DFactor)*AE469,"")</f>
        <v/>
      </c>
      <c r="Z469" s="157">
        <f>IFERROR(AF469+(AI469-_DFactor)*AF469,"")</f>
        <v/>
      </c>
      <c r="AC469" s="194">
        <f>VLOOKUP(M469&amp;N469,Schedule!A:F,6,0)</f>
        <v/>
      </c>
      <c r="AD469" s="194">
        <f>VLOOKUP(M469&amp;P469,Schedule!A:F,6,0)</f>
        <v/>
      </c>
      <c r="AE469" s="156">
        <f>VLOOKUP(N469,ProjPVT!B:I,8,0)*_Mag/VLOOKUP(P469,Standings!A:O,15,0)*H469*K469</f>
        <v/>
      </c>
      <c r="AF469" s="156">
        <f>VLOOKUP(P469,ProjPVT!B:I,8,0)*_Mag/VLOOKUP(N469,Standings!A:O,15,0)*J469*I469</f>
        <v/>
      </c>
      <c r="AG469" s="195">
        <f>VLOOKUP(N469,Matrix!AA:AC,3,0)</f>
        <v/>
      </c>
      <c r="AH469" s="195">
        <f>SUMIFS(Def!C:C,Def!F:F,AG469)</f>
        <v/>
      </c>
      <c r="AI469" s="156">
        <f>IFERROR(SUMIFS(Def!B:B,Def!F:F,AG469)/AH469,"")</f>
        <v/>
      </c>
      <c r="AJ469" s="195">
        <f>VLOOKUP(P469,Matrix!AA:AC,3,0)</f>
        <v/>
      </c>
      <c r="AK469" s="195">
        <f>SUMIFS(Def!C:C,Def!F:F,AJ469)</f>
        <v/>
      </c>
      <c r="AL469" s="156">
        <f>IFERROR(SUMIFS(Def!B:B,Def!F:F,AJ469)/AK469,"")</f>
        <v/>
      </c>
    </row>
    <row r="470" ht="14.4" customHeight="1" s="152">
      <c r="A470" s="157">
        <f>IF(F470="Yes",IFERROR(IF(AA470&gt;1,AA470/100,100/-AA470),""),-1)</f>
        <v/>
      </c>
      <c r="B470" s="157">
        <f>B469+1</f>
        <v/>
      </c>
      <c r="C470" s="157">
        <f>IF(Y470&gt;Z470,1,0)</f>
        <v/>
      </c>
      <c r="D470" s="157">
        <f>IF(AND(C470=1,F470="Yes"),"Yes",IF(AND(C470=0,F470="No"),"Yes","No"))</f>
        <v/>
      </c>
      <c r="E470" s="192">
        <f>IF((AC470+AB470)=AD470,"Push",IF((AC470+AB470)&gt;AD470,"Yes","No"))</f>
        <v/>
      </c>
      <c r="F470" s="192">
        <f>IF(AC470&gt;AD470,"Yes","No")</f>
        <v/>
      </c>
      <c r="G470" s="192">
        <f>IF((Y470+AB470)&gt;Z470,"Yes",IF((Y470+AB470)=Z470,"Push","No"))</f>
        <v/>
      </c>
      <c r="H470" s="157">
        <f>IF(O470="Home",VLOOKUP(N470,Matrix!A:S,19,0),1)</f>
        <v/>
      </c>
      <c r="I470" s="157">
        <f>IF(O470="Away",VLOOKUP(N470,Matrix!A:Z,20,0),1)</f>
        <v/>
      </c>
      <c r="J470" s="157">
        <f>IF(O470="Away",VLOOKUP(P470,Matrix!A:S,19,0),1)</f>
        <v/>
      </c>
      <c r="K470" s="157">
        <f>IF(O470="Home",VLOOKUP(P470,Matrix!A:Z,20,0),1)</f>
        <v/>
      </c>
      <c r="L470" s="156" t="n">
        <v>0.0950617740689859</v>
      </c>
      <c r="M470" s="179">
        <f>Schedule!B470</f>
        <v/>
      </c>
      <c r="N470" s="156">
        <f>Schedule!E470</f>
        <v/>
      </c>
      <c r="O470" s="156" t="inlineStr">
        <is>
          <t>Away</t>
        </is>
      </c>
      <c r="P470" s="157">
        <f>Schedule!H470</f>
        <v/>
      </c>
      <c r="Q470" s="157">
        <f>Schedule!C470</f>
        <v/>
      </c>
      <c r="R470" s="180">
        <f>Schedule!D470</f>
        <v/>
      </c>
      <c r="S470" s="181">
        <f>Schedule!J470</f>
        <v/>
      </c>
      <c r="T470" s="193">
        <f>Y470-Z470</f>
        <v/>
      </c>
      <c r="U470" s="182">
        <f>T470/Picks!$K$2</f>
        <v/>
      </c>
      <c r="V470" s="193">
        <f>INDEX(Standings!$T$3:$T$34, MATCH(N470, Standings!$A$3:$A$34, 0)) - INDEX(Standings!$T$3:$T$34, MATCH(P470, Standings!$A$3:$A$34, 0))</f>
        <v/>
      </c>
      <c r="W470" s="157">
        <f>INDEX(Standings!$L$3:$L$34, MATCH(N470, Standings!$A$3:$A$34, 0)) - INDEX(Standings!$L$3:$L$34, MATCH(P470, Standings!$A$3:$A$34, 0))</f>
        <v/>
      </c>
      <c r="X470" s="157">
        <f>INDEX(Standings!$M$3:$M$34, MATCH(N470, Standings!$A$3:$A$34, 0)) - INDEX(Standings!$M$3:$M$34, MATCH(P470, Standings!$A$3:$A$34, 0))</f>
        <v/>
      </c>
      <c r="Y470" s="194">
        <f t="array" ref="Y470:Y470">IFERROR(AE470+(AL470-_DFactor)*AE470,"")</f>
        <v/>
      </c>
      <c r="Z470" s="157">
        <f>IFERROR(AF470+(AI470-_DFactor)*AF470,"")</f>
        <v/>
      </c>
      <c r="AC470" s="194">
        <f>VLOOKUP(M470&amp;N470,Schedule!A:F,6,0)</f>
        <v/>
      </c>
      <c r="AD470" s="194">
        <f>VLOOKUP(M470&amp;P470,Schedule!A:F,6,0)</f>
        <v/>
      </c>
      <c r="AE470" s="156">
        <f>VLOOKUP(N470,ProjPVT!B:I,8,0)*_Mag/VLOOKUP(P470,Standings!A:O,15,0)*H470*K470</f>
        <v/>
      </c>
      <c r="AF470" s="156">
        <f>VLOOKUP(P470,ProjPVT!B:I,8,0)*_Mag/VLOOKUP(N470,Standings!A:O,15,0)*J470*I470</f>
        <v/>
      </c>
      <c r="AG470" s="195">
        <f>VLOOKUP(N470,Matrix!AA:AC,3,0)</f>
        <v/>
      </c>
      <c r="AH470" s="195">
        <f>SUMIFS(Def!C:C,Def!F:F,AG470)</f>
        <v/>
      </c>
      <c r="AI470" s="156">
        <f>IFERROR(SUMIFS(Def!B:B,Def!F:F,AG470)/AH470,"")</f>
        <v/>
      </c>
      <c r="AJ470" s="195">
        <f>VLOOKUP(P470,Matrix!AA:AC,3,0)</f>
        <v/>
      </c>
      <c r="AK470" s="195">
        <f>SUMIFS(Def!C:C,Def!F:F,AJ470)</f>
        <v/>
      </c>
      <c r="AL470" s="156">
        <f>IFERROR(SUMIFS(Def!B:B,Def!F:F,AJ470)/AK470,"")</f>
        <v/>
      </c>
    </row>
    <row r="471" ht="14.4" customHeight="1" s="152">
      <c r="A471" s="157">
        <f>IF(F471="Yes",IFERROR(IF(AA471&gt;1,AA471/100,100/-AA471),""),-1)</f>
        <v/>
      </c>
      <c r="B471" s="157">
        <f>B470+1</f>
        <v/>
      </c>
      <c r="C471" s="157">
        <f>IF(Y471&gt;Z471,1,0)</f>
        <v/>
      </c>
      <c r="D471" s="157">
        <f>IF(AND(C471=1,F471="Yes"),"Yes",IF(AND(C471=0,F471="No"),"Yes","No"))</f>
        <v/>
      </c>
      <c r="E471" s="192">
        <f>IF((AC471+AB471)=AD471,"Push",IF((AC471+AB471)&gt;AD471,"Yes","No"))</f>
        <v/>
      </c>
      <c r="F471" s="192">
        <f>IF(AC471&gt;AD471,"Yes","No")</f>
        <v/>
      </c>
      <c r="G471" s="192">
        <f>IF((Y471+AB471)&gt;Z471,"Yes",IF((Y471+AB471)=Z471,"Push","No"))</f>
        <v/>
      </c>
      <c r="H471" s="157">
        <f>IF(O471="Home",VLOOKUP(N471,Matrix!A:S,19,0),1)</f>
        <v/>
      </c>
      <c r="I471" s="157">
        <f>IF(O471="Away",VLOOKUP(N471,Matrix!A:Z,20,0),1)</f>
        <v/>
      </c>
      <c r="J471" s="157">
        <f>IF(O471="Away",VLOOKUP(P471,Matrix!A:S,19,0),1)</f>
        <v/>
      </c>
      <c r="K471" s="157">
        <f>IF(O471="Home",VLOOKUP(P471,Matrix!A:Z,20,0),1)</f>
        <v/>
      </c>
      <c r="L471" s="156" t="n">
        <v>0.0983371571450054</v>
      </c>
      <c r="M471" s="179">
        <f>Schedule!B471</f>
        <v/>
      </c>
      <c r="N471" s="156">
        <f>Schedule!E471</f>
        <v/>
      </c>
      <c r="O471" s="156" t="inlineStr">
        <is>
          <t>Away</t>
        </is>
      </c>
      <c r="P471" s="157">
        <f>Schedule!H471</f>
        <v/>
      </c>
      <c r="Q471" s="157">
        <f>Schedule!C471</f>
        <v/>
      </c>
      <c r="R471" s="180">
        <f>Schedule!D471</f>
        <v/>
      </c>
      <c r="S471" s="181">
        <f>Schedule!J471</f>
        <v/>
      </c>
      <c r="T471" s="193">
        <f>Y471-Z471</f>
        <v/>
      </c>
      <c r="U471" s="182">
        <f>T471/Picks!$K$2</f>
        <v/>
      </c>
      <c r="V471" s="193">
        <f>INDEX(Standings!$T$3:$T$34, MATCH(N471, Standings!$A$3:$A$34, 0)) - INDEX(Standings!$T$3:$T$34, MATCH(P471, Standings!$A$3:$A$34, 0))</f>
        <v/>
      </c>
      <c r="W471" s="157">
        <f>INDEX(Standings!$L$3:$L$34, MATCH(N471, Standings!$A$3:$A$34, 0)) - INDEX(Standings!$L$3:$L$34, MATCH(P471, Standings!$A$3:$A$34, 0))</f>
        <v/>
      </c>
      <c r="X471" s="157">
        <f>INDEX(Standings!$M$3:$M$34, MATCH(N471, Standings!$A$3:$A$34, 0)) - INDEX(Standings!$M$3:$M$34, MATCH(P471, Standings!$A$3:$A$34, 0))</f>
        <v/>
      </c>
      <c r="Y471" s="194">
        <f t="array" ref="Y471:Y471">IFERROR(AE471+(AL471-_DFactor)*AE471,"")</f>
        <v/>
      </c>
      <c r="Z471" s="157">
        <f>IFERROR(AF471+(AI471-_DFactor)*AF471,"")</f>
        <v/>
      </c>
      <c r="AC471" s="194">
        <f>VLOOKUP(M471&amp;N471,Schedule!A:F,6,0)</f>
        <v/>
      </c>
      <c r="AD471" s="194">
        <f>VLOOKUP(M471&amp;P471,Schedule!A:F,6,0)</f>
        <v/>
      </c>
      <c r="AE471" s="156">
        <f>VLOOKUP(N471,ProjPVT!B:I,8,0)*_Mag/VLOOKUP(P471,Standings!A:O,15,0)*H471*K471</f>
        <v/>
      </c>
      <c r="AF471" s="156">
        <f>VLOOKUP(P471,ProjPVT!B:I,8,0)*_Mag/VLOOKUP(N471,Standings!A:O,15,0)*J471*I471</f>
        <v/>
      </c>
      <c r="AG471" s="195">
        <f>VLOOKUP(N471,Matrix!AA:AC,3,0)</f>
        <v/>
      </c>
      <c r="AH471" s="195">
        <f>SUMIFS(Def!C:C,Def!F:F,AG471)</f>
        <v/>
      </c>
      <c r="AI471" s="156">
        <f>IFERROR(SUMIFS(Def!B:B,Def!F:F,AG471)/AH471,"")</f>
        <v/>
      </c>
      <c r="AJ471" s="195">
        <f>VLOOKUP(P471,Matrix!AA:AC,3,0)</f>
        <v/>
      </c>
      <c r="AK471" s="195">
        <f>SUMIFS(Def!C:C,Def!F:F,AJ471)</f>
        <v/>
      </c>
      <c r="AL471" s="156">
        <f>IFERROR(SUMIFS(Def!B:B,Def!F:F,AJ471)/AK471,"")</f>
        <v/>
      </c>
    </row>
    <row r="472" ht="14.4" customHeight="1" s="152">
      <c r="A472" s="157">
        <f>IF(F472="Yes",IFERROR(IF(AA472&gt;1,AA472/100,100/-AA472),""),-1)</f>
        <v/>
      </c>
      <c r="B472" s="157">
        <f>B471+1</f>
        <v/>
      </c>
      <c r="C472" s="157">
        <f>IF(Y472&gt;Z472,1,0)</f>
        <v/>
      </c>
      <c r="D472" s="157">
        <f>IF(AND(C472=1,F472="Yes"),"Yes",IF(AND(C472=0,F472="No"),"Yes","No"))</f>
        <v/>
      </c>
      <c r="E472" s="192">
        <f>IF((AC472+AB472)=AD472,"Push",IF((AC472+AB472)&gt;AD472,"Yes","No"))</f>
        <v/>
      </c>
      <c r="F472" s="192">
        <f>IF(AC472&gt;AD472,"Yes","No")</f>
        <v/>
      </c>
      <c r="G472" s="192">
        <f>IF((Y472+AB472)&gt;Z472,"Yes",IF((Y472+AB472)=Z472,"Push","No"))</f>
        <v/>
      </c>
      <c r="H472" s="157">
        <f>IF(O472="Home",VLOOKUP(N472,Matrix!A:S,19,0),1)</f>
        <v/>
      </c>
      <c r="I472" s="157">
        <f>IF(O472="Away",VLOOKUP(N472,Matrix!A:Z,20,0),1)</f>
        <v/>
      </c>
      <c r="J472" s="157">
        <f>IF(O472="Away",VLOOKUP(P472,Matrix!A:S,19,0),1)</f>
        <v/>
      </c>
      <c r="K472" s="157">
        <f>IF(O472="Home",VLOOKUP(P472,Matrix!A:Z,20,0),1)</f>
        <v/>
      </c>
      <c r="L472" s="156" t="n">
        <v>0.10964094626868</v>
      </c>
      <c r="M472" s="179">
        <f>Schedule!B472</f>
        <v/>
      </c>
      <c r="N472" s="156">
        <f>Schedule!E472</f>
        <v/>
      </c>
      <c r="O472" s="156" t="inlineStr">
        <is>
          <t>Home</t>
        </is>
      </c>
      <c r="P472" s="157">
        <f>Schedule!H472</f>
        <v/>
      </c>
      <c r="Q472" s="157">
        <f>Schedule!C472</f>
        <v/>
      </c>
      <c r="R472" s="180">
        <f>Schedule!D472</f>
        <v/>
      </c>
      <c r="S472" s="181">
        <f>Schedule!J472</f>
        <v/>
      </c>
      <c r="T472" s="193">
        <f>Y472-Z472</f>
        <v/>
      </c>
      <c r="U472" s="182">
        <f>T472/Picks!$K$2</f>
        <v/>
      </c>
      <c r="V472" s="193">
        <f>INDEX(Standings!$T$3:$T$34, MATCH(N472, Standings!$A$3:$A$34, 0)) - INDEX(Standings!$T$3:$T$34, MATCH(P472, Standings!$A$3:$A$34, 0))</f>
        <v/>
      </c>
      <c r="W472" s="157">
        <f>INDEX(Standings!$L$3:$L$34, MATCH(N472, Standings!$A$3:$A$34, 0)) - INDEX(Standings!$L$3:$L$34, MATCH(P472, Standings!$A$3:$A$34, 0))</f>
        <v/>
      </c>
      <c r="X472" s="157">
        <f>INDEX(Standings!$M$3:$M$34, MATCH(N472, Standings!$A$3:$A$34, 0)) - INDEX(Standings!$M$3:$M$34, MATCH(P472, Standings!$A$3:$A$34, 0))</f>
        <v/>
      </c>
      <c r="Y472" s="194">
        <f t="array" ref="Y472:Y472">IFERROR(AE472+(AL472-_DFactor)*AE472,"")</f>
        <v/>
      </c>
      <c r="Z472" s="157">
        <f>IFERROR(AF472+(AI472-_DFactor)*AF472,"")</f>
        <v/>
      </c>
      <c r="AC472" s="194">
        <f>VLOOKUP(M472&amp;N472,Schedule!A:F,6,0)</f>
        <v/>
      </c>
      <c r="AD472" s="194">
        <f>VLOOKUP(M472&amp;P472,Schedule!A:F,6,0)</f>
        <v/>
      </c>
      <c r="AE472" s="156">
        <f>VLOOKUP(N472,ProjPVT!B:I,8,0)*_Mag/VLOOKUP(P472,Standings!A:O,15,0)*H472*K472</f>
        <v/>
      </c>
      <c r="AF472" s="156">
        <f>VLOOKUP(P472,ProjPVT!B:I,8,0)*_Mag/VLOOKUP(N472,Standings!A:O,15,0)*J472*I472</f>
        <v/>
      </c>
      <c r="AG472" s="195">
        <f>VLOOKUP(N472,Matrix!AA:AC,3,0)</f>
        <v/>
      </c>
      <c r="AH472" s="195">
        <f>SUMIFS(Def!C:C,Def!F:F,AG472)</f>
        <v/>
      </c>
      <c r="AI472" s="156">
        <f>IFERROR(SUMIFS(Def!B:B,Def!F:F,AG472)/AH472,"")</f>
        <v/>
      </c>
      <c r="AJ472" s="195">
        <f>VLOOKUP(P472,Matrix!AA:AC,3,0)</f>
        <v/>
      </c>
      <c r="AK472" s="195">
        <f>SUMIFS(Def!C:C,Def!F:F,AJ472)</f>
        <v/>
      </c>
      <c r="AL472" s="156">
        <f>IFERROR(SUMIFS(Def!B:B,Def!F:F,AJ472)/AK472,"")</f>
        <v/>
      </c>
    </row>
    <row r="473" ht="14.4" customHeight="1" s="152">
      <c r="A473" s="157">
        <f>IF(F473="Yes",IFERROR(IF(AA473&gt;1,AA473/100,100/-AA473),""),-1)</f>
        <v/>
      </c>
      <c r="B473" s="157">
        <f>B472+1</f>
        <v/>
      </c>
      <c r="C473" s="157">
        <f>IF(Y473&gt;Z473,1,0)</f>
        <v/>
      </c>
      <c r="D473" s="157">
        <f>IF(AND(C473=1,F473="Yes"),"Yes",IF(AND(C473=0,F473="No"),"Yes","No"))</f>
        <v/>
      </c>
      <c r="E473" s="192">
        <f>IF((AC473+AB473)=AD473,"Push",IF((AC473+AB473)&gt;AD473,"Yes","No"))</f>
        <v/>
      </c>
      <c r="F473" s="192">
        <f>IF(AC473&gt;AD473,"Yes","No")</f>
        <v/>
      </c>
      <c r="G473" s="192">
        <f>IF((Y473+AB473)&gt;Z473,"Yes",IF((Y473+AB473)=Z473,"Push","No"))</f>
        <v/>
      </c>
      <c r="H473" s="157">
        <f>IF(O473="Home",VLOOKUP(N473,Matrix!A:S,19,0),1)</f>
        <v/>
      </c>
      <c r="I473" s="157">
        <f>IF(O473="Away",VLOOKUP(N473,Matrix!A:Z,20,0),1)</f>
        <v/>
      </c>
      <c r="J473" s="157">
        <f>IF(O473="Away",VLOOKUP(P473,Matrix!A:S,19,0),1)</f>
        <v/>
      </c>
      <c r="K473" s="157">
        <f>IF(O473="Home",VLOOKUP(P473,Matrix!A:Z,20,0),1)</f>
        <v/>
      </c>
      <c r="L473" s="156" t="n">
        <v>0.116072078880362</v>
      </c>
      <c r="M473" s="179">
        <f>Schedule!B473</f>
        <v/>
      </c>
      <c r="N473" s="156">
        <f>Schedule!E473</f>
        <v/>
      </c>
      <c r="O473" s="156" t="inlineStr">
        <is>
          <t>Away</t>
        </is>
      </c>
      <c r="P473" s="157">
        <f>Schedule!H473</f>
        <v/>
      </c>
      <c r="Q473" s="157">
        <f>Schedule!C473</f>
        <v/>
      </c>
      <c r="R473" s="180">
        <f>Schedule!D473</f>
        <v/>
      </c>
      <c r="S473" s="181">
        <f>Schedule!J473</f>
        <v/>
      </c>
      <c r="T473" s="193">
        <f>Y473-Z473</f>
        <v/>
      </c>
      <c r="U473" s="182">
        <f>T473/Picks!$K$2</f>
        <v/>
      </c>
      <c r="V473" s="193">
        <f>INDEX(Standings!$T$3:$T$34, MATCH(N473, Standings!$A$3:$A$34, 0)) - INDEX(Standings!$T$3:$T$34, MATCH(P473, Standings!$A$3:$A$34, 0))</f>
        <v/>
      </c>
      <c r="W473" s="157">
        <f>INDEX(Standings!$L$3:$L$34, MATCH(N473, Standings!$A$3:$A$34, 0)) - INDEX(Standings!$L$3:$L$34, MATCH(P473, Standings!$A$3:$A$34, 0))</f>
        <v/>
      </c>
      <c r="X473" s="157">
        <f>INDEX(Standings!$M$3:$M$34, MATCH(N473, Standings!$A$3:$A$34, 0)) - INDEX(Standings!$M$3:$M$34, MATCH(P473, Standings!$A$3:$A$34, 0))</f>
        <v/>
      </c>
      <c r="Y473" s="194">
        <f t="array" ref="Y473:Y473">IFERROR(AE473+(AL473-_DFactor)*AE473,"")</f>
        <v/>
      </c>
      <c r="Z473" s="157">
        <f>IFERROR(AF473+(AI473-_DFactor)*AF473,"")</f>
        <v/>
      </c>
      <c r="AC473" s="194">
        <f>VLOOKUP(M473&amp;N473,Schedule!A:F,6,0)</f>
        <v/>
      </c>
      <c r="AD473" s="194">
        <f>VLOOKUP(M473&amp;P473,Schedule!A:F,6,0)</f>
        <v/>
      </c>
      <c r="AE473" s="156">
        <f>VLOOKUP(N473,ProjPVT!B:I,8,0)*_Mag/VLOOKUP(P473,Standings!A:O,15,0)*H473*K473</f>
        <v/>
      </c>
      <c r="AF473" s="156">
        <f>VLOOKUP(P473,ProjPVT!B:I,8,0)*_Mag/VLOOKUP(N473,Standings!A:O,15,0)*J473*I473</f>
        <v/>
      </c>
      <c r="AG473" s="195">
        <f>VLOOKUP(N473,Matrix!AA:AC,3,0)</f>
        <v/>
      </c>
      <c r="AH473" s="195">
        <f>SUMIFS(Def!C:C,Def!F:F,AG473)</f>
        <v/>
      </c>
      <c r="AI473" s="156">
        <f>IFERROR(SUMIFS(Def!B:B,Def!F:F,AG473)/AH473,"")</f>
        <v/>
      </c>
      <c r="AJ473" s="195">
        <f>VLOOKUP(P473,Matrix!AA:AC,3,0)</f>
        <v/>
      </c>
      <c r="AK473" s="195">
        <f>SUMIFS(Def!C:C,Def!F:F,AJ473)</f>
        <v/>
      </c>
      <c r="AL473" s="156">
        <f>IFERROR(SUMIFS(Def!B:B,Def!F:F,AJ473)/AK473,"")</f>
        <v/>
      </c>
    </row>
    <row r="474" ht="14.4" customHeight="1" s="152">
      <c r="A474" s="157">
        <f>IF(F474="Yes",IFERROR(IF(AA474&gt;1,AA474/100,100/-AA474),""),-1)</f>
        <v/>
      </c>
      <c r="B474" s="157">
        <f>B473+1</f>
        <v/>
      </c>
      <c r="C474" s="157">
        <f>IF(Y474&gt;Z474,1,0)</f>
        <v/>
      </c>
      <c r="D474" s="157">
        <f>IF(AND(C474=1,F474="Yes"),"Yes",IF(AND(C474=0,F474="No"),"Yes","No"))</f>
        <v/>
      </c>
      <c r="E474" s="192">
        <f>IF((AC474+AB474)=AD474,"Push",IF((AC474+AB474)&gt;AD474,"Yes","No"))</f>
        <v/>
      </c>
      <c r="F474" s="192">
        <f>IF(AC474&gt;AD474,"Yes","No")</f>
        <v/>
      </c>
      <c r="G474" s="192">
        <f>IF((Y474+AB474)&gt;Z474,"Yes",IF((Y474+AB474)=Z474,"Push","No"))</f>
        <v/>
      </c>
      <c r="H474" s="157">
        <f>IF(O474="Home",VLOOKUP(N474,Matrix!A:S,19,0),1)</f>
        <v/>
      </c>
      <c r="I474" s="157">
        <f>IF(O474="Away",VLOOKUP(N474,Matrix!A:Z,20,0),1)</f>
        <v/>
      </c>
      <c r="J474" s="157">
        <f>IF(O474="Away",VLOOKUP(P474,Matrix!A:S,19,0),1)</f>
        <v/>
      </c>
      <c r="K474" s="157">
        <f>IF(O474="Home",VLOOKUP(P474,Matrix!A:Z,20,0),1)</f>
        <v/>
      </c>
      <c r="L474" s="156" t="n">
        <v>0.12873224039438</v>
      </c>
      <c r="M474" s="179">
        <f>Schedule!B474</f>
        <v/>
      </c>
      <c r="N474" s="156">
        <f>Schedule!E474</f>
        <v/>
      </c>
      <c r="O474" s="156" t="inlineStr">
        <is>
          <t>Away</t>
        </is>
      </c>
      <c r="P474" s="157">
        <f>Schedule!H474</f>
        <v/>
      </c>
      <c r="Q474" s="157">
        <f>Schedule!C474</f>
        <v/>
      </c>
      <c r="R474" s="180">
        <f>Schedule!D474</f>
        <v/>
      </c>
      <c r="S474" s="181">
        <f>Schedule!J474</f>
        <v/>
      </c>
      <c r="T474" s="193">
        <f>Y474-Z474</f>
        <v/>
      </c>
      <c r="U474" s="182">
        <f>T474/Picks!$K$2</f>
        <v/>
      </c>
      <c r="V474" s="193">
        <f>INDEX(Standings!$T$3:$T$34, MATCH(N474, Standings!$A$3:$A$34, 0)) - INDEX(Standings!$T$3:$T$34, MATCH(P474, Standings!$A$3:$A$34, 0))</f>
        <v/>
      </c>
      <c r="W474" s="157">
        <f>INDEX(Standings!$L$3:$L$34, MATCH(N474, Standings!$A$3:$A$34, 0)) - INDEX(Standings!$L$3:$L$34, MATCH(P474, Standings!$A$3:$A$34, 0))</f>
        <v/>
      </c>
      <c r="X474" s="157">
        <f>INDEX(Standings!$M$3:$M$34, MATCH(N474, Standings!$A$3:$A$34, 0)) - INDEX(Standings!$M$3:$M$34, MATCH(P474, Standings!$A$3:$A$34, 0))</f>
        <v/>
      </c>
      <c r="Y474" s="194">
        <f t="array" ref="Y474:Y474">IFERROR(AE474+(AL474-_DFactor)*AE474,"")</f>
        <v/>
      </c>
      <c r="Z474" s="157">
        <f>IFERROR(AF474+(AI474-_DFactor)*AF474,"")</f>
        <v/>
      </c>
      <c r="AC474" s="194">
        <f>VLOOKUP(M474&amp;N474,Schedule!A:F,6,0)</f>
        <v/>
      </c>
      <c r="AD474" s="194">
        <f>VLOOKUP(M474&amp;P474,Schedule!A:F,6,0)</f>
        <v/>
      </c>
      <c r="AE474" s="156">
        <f>VLOOKUP(N474,ProjPVT!B:I,8,0)*_Mag/VLOOKUP(P474,Standings!A:O,15,0)*H474*K474</f>
        <v/>
      </c>
      <c r="AF474" s="156">
        <f>VLOOKUP(P474,ProjPVT!B:I,8,0)*_Mag/VLOOKUP(N474,Standings!A:O,15,0)*J474*I474</f>
        <v/>
      </c>
      <c r="AG474" s="195">
        <f>VLOOKUP(N474,Matrix!AA:AC,3,0)</f>
        <v/>
      </c>
      <c r="AH474" s="195">
        <f>SUMIFS(Def!C:C,Def!F:F,AG474)</f>
        <v/>
      </c>
      <c r="AI474" s="156">
        <f>IFERROR(SUMIFS(Def!B:B,Def!F:F,AG474)/AH474,"")</f>
        <v/>
      </c>
      <c r="AJ474" s="195">
        <f>VLOOKUP(P474,Matrix!AA:AC,3,0)</f>
        <v/>
      </c>
      <c r="AK474" s="195">
        <f>SUMIFS(Def!C:C,Def!F:F,AJ474)</f>
        <v/>
      </c>
      <c r="AL474" s="156">
        <f>IFERROR(SUMIFS(Def!B:B,Def!F:F,AJ474)/AK474,"")</f>
        <v/>
      </c>
    </row>
    <row r="475" ht="14.4" customHeight="1" s="152">
      <c r="A475" s="157">
        <f>IF(F475="Yes",IFERROR(IF(AA475&gt;1,AA475/100,100/-AA475),""),-1)</f>
        <v/>
      </c>
      <c r="B475" s="157">
        <f>B474+1</f>
        <v/>
      </c>
      <c r="C475" s="157">
        <f>IF(Y475&gt;Z475,1,0)</f>
        <v/>
      </c>
      <c r="D475" s="157">
        <f>IF(AND(C475=1,F475="Yes"),"Yes",IF(AND(C475=0,F475="No"),"Yes","No"))</f>
        <v/>
      </c>
      <c r="E475" s="192">
        <f>IF((AC475+AB475)=AD475,"Push",IF((AC475+AB475)&gt;AD475,"Yes","No"))</f>
        <v/>
      </c>
      <c r="F475" s="192">
        <f>IF(AC475&gt;AD475,"Yes","No")</f>
        <v/>
      </c>
      <c r="G475" s="192">
        <f>IF((Y475+AB475)&gt;Z475,"Yes",IF((Y475+AB475)=Z475,"Push","No"))</f>
        <v/>
      </c>
      <c r="H475" s="157">
        <f>IF(O475="Home",VLOOKUP(N475,Matrix!A:S,19,0),1)</f>
        <v/>
      </c>
      <c r="I475" s="157">
        <f>IF(O475="Away",VLOOKUP(N475,Matrix!A:Z,20,0),1)</f>
        <v/>
      </c>
      <c r="J475" s="157">
        <f>IF(O475="Away",VLOOKUP(P475,Matrix!A:S,19,0),1)</f>
        <v/>
      </c>
      <c r="K475" s="157">
        <f>IF(O475="Home",VLOOKUP(P475,Matrix!A:Z,20,0),1)</f>
        <v/>
      </c>
      <c r="L475" s="156" t="n">
        <v>0.132083350780498</v>
      </c>
      <c r="M475" s="179">
        <f>Schedule!B475</f>
        <v/>
      </c>
      <c r="N475" s="156">
        <f>Schedule!E475</f>
        <v/>
      </c>
      <c r="O475" s="156" t="inlineStr">
        <is>
          <t>Away</t>
        </is>
      </c>
      <c r="P475" s="157">
        <f>Schedule!H475</f>
        <v/>
      </c>
      <c r="Q475" s="157">
        <f>Schedule!C475</f>
        <v/>
      </c>
      <c r="R475" s="180">
        <f>Schedule!D475</f>
        <v/>
      </c>
      <c r="S475" s="181">
        <f>Schedule!J475</f>
        <v/>
      </c>
      <c r="T475" s="193">
        <f>Y475-Z475</f>
        <v/>
      </c>
      <c r="U475" s="182">
        <f>T475/Picks!$K$2</f>
        <v/>
      </c>
      <c r="V475" s="193">
        <f>INDEX(Standings!$T$3:$T$34, MATCH(N475, Standings!$A$3:$A$34, 0)) - INDEX(Standings!$T$3:$T$34, MATCH(P475, Standings!$A$3:$A$34, 0))</f>
        <v/>
      </c>
      <c r="W475" s="157">
        <f>INDEX(Standings!$L$3:$L$34, MATCH(N475, Standings!$A$3:$A$34, 0)) - INDEX(Standings!$L$3:$L$34, MATCH(P475, Standings!$A$3:$A$34, 0))</f>
        <v/>
      </c>
      <c r="X475" s="157">
        <f>INDEX(Standings!$M$3:$M$34, MATCH(N475, Standings!$A$3:$A$34, 0)) - INDEX(Standings!$M$3:$M$34, MATCH(P475, Standings!$A$3:$A$34, 0))</f>
        <v/>
      </c>
      <c r="Y475" s="194">
        <f t="array" ref="Y475:Y475">IFERROR(AE475+(AL475-_DFactor)*AE475,"")</f>
        <v/>
      </c>
      <c r="Z475" s="157">
        <f>IFERROR(AF475+(AI475-_DFactor)*AF475,"")</f>
        <v/>
      </c>
      <c r="AC475" s="194">
        <f>VLOOKUP(M475&amp;N475,Schedule!A:F,6,0)</f>
        <v/>
      </c>
      <c r="AD475" s="194">
        <f>VLOOKUP(M475&amp;P475,Schedule!A:F,6,0)</f>
        <v/>
      </c>
      <c r="AE475" s="156">
        <f>VLOOKUP(N475,ProjPVT!B:I,8,0)*_Mag/VLOOKUP(P475,Standings!A:O,15,0)*H475*K475</f>
        <v/>
      </c>
      <c r="AF475" s="156">
        <f>VLOOKUP(P475,ProjPVT!B:I,8,0)*_Mag/VLOOKUP(N475,Standings!A:O,15,0)*J475*I475</f>
        <v/>
      </c>
      <c r="AG475" s="195">
        <f>VLOOKUP(N475,Matrix!AA:AC,3,0)</f>
        <v/>
      </c>
      <c r="AH475" s="195">
        <f>SUMIFS(Def!C:C,Def!F:F,AG475)</f>
        <v/>
      </c>
      <c r="AI475" s="156">
        <f>IFERROR(SUMIFS(Def!B:B,Def!F:F,AG475)/AH475,"")</f>
        <v/>
      </c>
      <c r="AJ475" s="195">
        <f>VLOOKUP(P475,Matrix!AA:AC,3,0)</f>
        <v/>
      </c>
      <c r="AK475" s="195">
        <f>SUMIFS(Def!C:C,Def!F:F,AJ475)</f>
        <v/>
      </c>
      <c r="AL475" s="156">
        <f>IFERROR(SUMIFS(Def!B:B,Def!F:F,AJ475)/AK475,"")</f>
        <v/>
      </c>
    </row>
    <row r="476" ht="14.4" customHeight="1" s="152">
      <c r="A476" s="157">
        <f>IF(F476="Yes",IFERROR(IF(AA476&gt;1,AA476/100,100/-AA476),""),-1)</f>
        <v/>
      </c>
      <c r="B476" s="157">
        <f>B475+1</f>
        <v/>
      </c>
      <c r="C476" s="157">
        <f>IF(Y476&gt;Z476,1,0)</f>
        <v/>
      </c>
      <c r="D476" s="157">
        <f>IF(AND(C476=1,F476="Yes"),"Yes",IF(AND(C476=0,F476="No"),"Yes","No"))</f>
        <v/>
      </c>
      <c r="E476" s="192">
        <f>IF((AC476+AB476)=AD476,"Push",IF((AC476+AB476)&gt;AD476,"Yes","No"))</f>
        <v/>
      </c>
      <c r="F476" s="192">
        <f>IF(AC476&gt;AD476,"Yes","No")</f>
        <v/>
      </c>
      <c r="G476" s="192">
        <f>IF((Y476+AB476)&gt;Z476,"Yes",IF((Y476+AB476)=Z476,"Push","No"))</f>
        <v/>
      </c>
      <c r="H476" s="157">
        <f>IF(O476="Home",VLOOKUP(N476,Matrix!A:S,19,0),1)</f>
        <v/>
      </c>
      <c r="I476" s="157">
        <f>IF(O476="Away",VLOOKUP(N476,Matrix!A:Z,20,0),1)</f>
        <v/>
      </c>
      <c r="J476" s="157">
        <f>IF(O476="Away",VLOOKUP(P476,Matrix!A:S,19,0),1)</f>
        <v/>
      </c>
      <c r="K476" s="157">
        <f>IF(O476="Home",VLOOKUP(P476,Matrix!A:Z,20,0),1)</f>
        <v/>
      </c>
      <c r="L476" s="156" t="n">
        <v>0.239372600984493</v>
      </c>
      <c r="M476" s="179">
        <f>Schedule!B476</f>
        <v/>
      </c>
      <c r="N476" s="156">
        <f>Schedule!E476</f>
        <v/>
      </c>
      <c r="O476" s="156" t="inlineStr">
        <is>
          <t>Away</t>
        </is>
      </c>
      <c r="P476" s="157">
        <f>Schedule!H476</f>
        <v/>
      </c>
      <c r="Q476" s="157">
        <f>Schedule!C476</f>
        <v/>
      </c>
      <c r="R476" s="180">
        <f>Schedule!D476</f>
        <v/>
      </c>
      <c r="S476" s="181">
        <f>Schedule!J476</f>
        <v/>
      </c>
      <c r="T476" s="193">
        <f>Y476-Z476</f>
        <v/>
      </c>
      <c r="U476" s="182">
        <f>T476/Picks!$K$2</f>
        <v/>
      </c>
      <c r="V476" s="193">
        <f>INDEX(Standings!$T$3:$T$34, MATCH(N476, Standings!$A$3:$A$34, 0)) - INDEX(Standings!$T$3:$T$34, MATCH(P476, Standings!$A$3:$A$34, 0))</f>
        <v/>
      </c>
      <c r="W476" s="157">
        <f>INDEX(Standings!$L$3:$L$34, MATCH(N476, Standings!$A$3:$A$34, 0)) - INDEX(Standings!$L$3:$L$34, MATCH(P476, Standings!$A$3:$A$34, 0))</f>
        <v/>
      </c>
      <c r="X476" s="157">
        <f>INDEX(Standings!$M$3:$M$34, MATCH(N476, Standings!$A$3:$A$34, 0)) - INDEX(Standings!$M$3:$M$34, MATCH(P476, Standings!$A$3:$A$34, 0))</f>
        <v/>
      </c>
      <c r="Y476" s="194">
        <f t="array" ref="Y476:Y476">IFERROR(AE476+(AL476-_DFactor)*AE476,"")</f>
        <v/>
      </c>
      <c r="Z476" s="157">
        <f>IFERROR(AF476+(AI476-_DFactor)*AF476,"")</f>
        <v/>
      </c>
      <c r="AC476" s="194">
        <f>VLOOKUP(M476&amp;N476,Schedule!A:F,6,0)</f>
        <v/>
      </c>
      <c r="AD476" s="194">
        <f>VLOOKUP(M476&amp;P476,Schedule!A:F,6,0)</f>
        <v/>
      </c>
      <c r="AE476" s="156">
        <f>VLOOKUP(N476,ProjPVT!B:I,8,0)*_Mag/VLOOKUP(P476,Standings!A:O,15,0)*H476*K476</f>
        <v/>
      </c>
      <c r="AF476" s="156">
        <f>VLOOKUP(P476,ProjPVT!B:I,8,0)*_Mag/VLOOKUP(N476,Standings!A:O,15,0)*J476*I476</f>
        <v/>
      </c>
      <c r="AG476" s="195">
        <f>VLOOKUP(N476,Matrix!AA:AC,3,0)</f>
        <v/>
      </c>
      <c r="AH476" s="195">
        <f>SUMIFS(Def!C:C,Def!F:F,AG476)</f>
        <v/>
      </c>
      <c r="AI476" s="156">
        <f>IFERROR(SUMIFS(Def!B:B,Def!F:F,AG476)/AH476,"")</f>
        <v/>
      </c>
      <c r="AJ476" s="195">
        <f>VLOOKUP(P476,Matrix!AA:AC,3,0)</f>
        <v/>
      </c>
      <c r="AK476" s="195">
        <f>SUMIFS(Def!C:C,Def!F:F,AJ476)</f>
        <v/>
      </c>
      <c r="AL476" s="156">
        <f>IFERROR(SUMIFS(Def!B:B,Def!F:F,AJ476)/AK476,"")</f>
        <v/>
      </c>
    </row>
    <row r="477" ht="14.4" customHeight="1" s="152">
      <c r="A477" s="157">
        <f>IF(F477="Yes",IFERROR(IF(AA477&gt;1,AA477/100,100/-AA477),""),-1)</f>
        <v/>
      </c>
      <c r="B477" s="157">
        <f>B476+1</f>
        <v/>
      </c>
      <c r="C477" s="157">
        <f>IF(Y477&gt;Z477,1,0)</f>
        <v/>
      </c>
      <c r="D477" s="157">
        <f>IF(AND(C477=1,F477="Yes"),"Yes",IF(AND(C477=0,F477="No"),"Yes","No"))</f>
        <v/>
      </c>
      <c r="E477" s="192">
        <f>IF((AC477+AB477)=AD477,"Push",IF((AC477+AB477)&gt;AD477,"Yes","No"))</f>
        <v/>
      </c>
      <c r="F477" s="192">
        <f>IF(AC477&gt;AD477,"Yes","No")</f>
        <v/>
      </c>
      <c r="G477" s="192">
        <f>IF((Y477+AB477)&gt;Z477,"Yes",IF((Y477+AB477)=Z477,"Push","No"))</f>
        <v/>
      </c>
      <c r="H477" s="157">
        <f>IF(O477="Home",VLOOKUP(N477,Matrix!A:S,19,0),1)</f>
        <v/>
      </c>
      <c r="I477" s="157">
        <f>IF(O477="Away",VLOOKUP(N477,Matrix!A:Z,20,0),1)</f>
        <v/>
      </c>
      <c r="J477" s="157">
        <f>IF(O477="Away",VLOOKUP(P477,Matrix!A:S,19,0),1)</f>
        <v/>
      </c>
      <c r="K477" s="157">
        <f>IF(O477="Home",VLOOKUP(P477,Matrix!A:Z,20,0),1)</f>
        <v/>
      </c>
      <c r="L477" s="156" t="n">
        <v>0.279696583547767</v>
      </c>
      <c r="M477" s="179">
        <f>Schedule!B477</f>
        <v/>
      </c>
      <c r="N477" s="156">
        <f>Schedule!E477</f>
        <v/>
      </c>
      <c r="O477" s="156" t="inlineStr">
        <is>
          <t>Home</t>
        </is>
      </c>
      <c r="P477" s="157">
        <f>Schedule!H477</f>
        <v/>
      </c>
      <c r="Q477" s="157">
        <f>Schedule!C477</f>
        <v/>
      </c>
      <c r="R477" s="180">
        <f>Schedule!D477</f>
        <v/>
      </c>
      <c r="S477" s="181">
        <f>Schedule!J477</f>
        <v/>
      </c>
      <c r="T477" s="193">
        <f>Y477-Z477</f>
        <v/>
      </c>
      <c r="U477" s="182">
        <f>T477/Picks!$K$2</f>
        <v/>
      </c>
      <c r="V477" s="193">
        <f>INDEX(Standings!$T$3:$T$34, MATCH(N477, Standings!$A$3:$A$34, 0)) - INDEX(Standings!$T$3:$T$34, MATCH(P477, Standings!$A$3:$A$34, 0))</f>
        <v/>
      </c>
      <c r="W477" s="157">
        <f>INDEX(Standings!$L$3:$L$34, MATCH(N477, Standings!$A$3:$A$34, 0)) - INDEX(Standings!$L$3:$L$34, MATCH(P477, Standings!$A$3:$A$34, 0))</f>
        <v/>
      </c>
      <c r="X477" s="157">
        <f>INDEX(Standings!$M$3:$M$34, MATCH(N477, Standings!$A$3:$A$34, 0)) - INDEX(Standings!$M$3:$M$34, MATCH(P477, Standings!$A$3:$A$34, 0))</f>
        <v/>
      </c>
      <c r="Y477" s="194">
        <f t="array" ref="Y477:Y477">IFERROR(AE477+(AL477-_DFactor)*AE477,"")</f>
        <v/>
      </c>
      <c r="Z477" s="157">
        <f>IFERROR(AF477+(AI477-_DFactor)*AF477,"")</f>
        <v/>
      </c>
      <c r="AC477" s="194">
        <f>VLOOKUP(M477&amp;N477,Schedule!A:F,6,0)</f>
        <v/>
      </c>
      <c r="AD477" s="194">
        <f>VLOOKUP(M477&amp;P477,Schedule!A:F,6,0)</f>
        <v/>
      </c>
      <c r="AE477" s="156">
        <f>VLOOKUP(N477,ProjPVT!B:I,8,0)*_Mag/VLOOKUP(P477,Standings!A:O,15,0)*H477*K477</f>
        <v/>
      </c>
      <c r="AF477" s="156">
        <f>VLOOKUP(P477,ProjPVT!B:I,8,0)*_Mag/VLOOKUP(N477,Standings!A:O,15,0)*J477*I477</f>
        <v/>
      </c>
      <c r="AG477" s="195">
        <f>VLOOKUP(N477,Matrix!AA:AC,3,0)</f>
        <v/>
      </c>
      <c r="AH477" s="195">
        <f>SUMIFS(Def!C:C,Def!F:F,AG477)</f>
        <v/>
      </c>
      <c r="AI477" s="156">
        <f>IFERROR(SUMIFS(Def!B:B,Def!F:F,AG477)/AH477,"")</f>
        <v/>
      </c>
      <c r="AJ477" s="195">
        <f>VLOOKUP(P477,Matrix!AA:AC,3,0)</f>
        <v/>
      </c>
      <c r="AK477" s="195">
        <f>SUMIFS(Def!C:C,Def!F:F,AJ477)</f>
        <v/>
      </c>
      <c r="AL477" s="156">
        <f>IFERROR(SUMIFS(Def!B:B,Def!F:F,AJ477)/AK477,"")</f>
        <v/>
      </c>
    </row>
    <row r="478" ht="14.4" customHeight="1" s="152">
      <c r="A478" s="157">
        <f>IF(F478="Yes",IFERROR(IF(AA478&gt;1,AA478/100,100/-AA478),""),-1)</f>
        <v/>
      </c>
      <c r="B478" s="157">
        <f>B477+1</f>
        <v/>
      </c>
      <c r="C478" s="157">
        <f>IF(Y478&gt;Z478,1,0)</f>
        <v/>
      </c>
      <c r="D478" s="157">
        <f>IF(AND(C478=1,F478="Yes"),"Yes",IF(AND(C478=0,F478="No"),"Yes","No"))</f>
        <v/>
      </c>
      <c r="E478" s="192">
        <f>IF((AC478+AB478)=AD478,"Push",IF((AC478+AB478)&gt;AD478,"Yes","No"))</f>
        <v/>
      </c>
      <c r="F478" s="192">
        <f>IF(AC478&gt;AD478,"Yes","No")</f>
        <v/>
      </c>
      <c r="G478" s="192">
        <f>IF((Y478+AB478)&gt;Z478,"Yes",IF((Y478+AB478)=Z478,"Push","No"))</f>
        <v/>
      </c>
      <c r="H478" s="157">
        <f>IF(O478="Home",VLOOKUP(N478,Matrix!A:S,19,0),1)</f>
        <v/>
      </c>
      <c r="I478" s="157">
        <f>IF(O478="Away",VLOOKUP(N478,Matrix!A:Z,20,0),1)</f>
        <v/>
      </c>
      <c r="J478" s="157">
        <f>IF(O478="Away",VLOOKUP(P478,Matrix!A:S,19,0),1)</f>
        <v/>
      </c>
      <c r="K478" s="157">
        <f>IF(O478="Home",VLOOKUP(P478,Matrix!A:Z,20,0),1)</f>
        <v/>
      </c>
      <c r="L478" s="156" t="n">
        <v>0.311111673081762</v>
      </c>
      <c r="M478" s="179">
        <f>Schedule!B478</f>
        <v/>
      </c>
      <c r="N478" s="156">
        <f>Schedule!E478</f>
        <v/>
      </c>
      <c r="O478" s="156" t="inlineStr">
        <is>
          <t>Home</t>
        </is>
      </c>
      <c r="P478" s="157">
        <f>Schedule!H478</f>
        <v/>
      </c>
      <c r="Q478" s="157">
        <f>Schedule!C478</f>
        <v/>
      </c>
      <c r="R478" s="180">
        <f>Schedule!D478</f>
        <v/>
      </c>
      <c r="S478" s="181">
        <f>Schedule!J478</f>
        <v/>
      </c>
      <c r="T478" s="193">
        <f>Y478-Z478</f>
        <v/>
      </c>
      <c r="U478" s="182">
        <f>T478/Picks!$K$2</f>
        <v/>
      </c>
      <c r="V478" s="193">
        <f>INDEX(Standings!$T$3:$T$34, MATCH(N478, Standings!$A$3:$A$34, 0)) - INDEX(Standings!$T$3:$T$34, MATCH(P478, Standings!$A$3:$A$34, 0))</f>
        <v/>
      </c>
      <c r="W478" s="157">
        <f>INDEX(Standings!$L$3:$L$34, MATCH(N478, Standings!$A$3:$A$34, 0)) - INDEX(Standings!$L$3:$L$34, MATCH(P478, Standings!$A$3:$A$34, 0))</f>
        <v/>
      </c>
      <c r="X478" s="157">
        <f>INDEX(Standings!$M$3:$M$34, MATCH(N478, Standings!$A$3:$A$34, 0)) - INDEX(Standings!$M$3:$M$34, MATCH(P478, Standings!$A$3:$A$34, 0))</f>
        <v/>
      </c>
      <c r="Y478" s="194">
        <f t="array" ref="Y478:Y478">IFERROR(AE478+(AL478-_DFactor)*AE478,"")</f>
        <v/>
      </c>
      <c r="Z478" s="157">
        <f>IFERROR(AF478+(AI478-_DFactor)*AF478,"")</f>
        <v/>
      </c>
      <c r="AC478" s="194">
        <f>VLOOKUP(M478&amp;N478,Schedule!A:F,6,0)</f>
        <v/>
      </c>
      <c r="AD478" s="194">
        <f>VLOOKUP(M478&amp;P478,Schedule!A:F,6,0)</f>
        <v/>
      </c>
      <c r="AE478" s="156">
        <f>VLOOKUP(N478,ProjPVT!B:I,8,0)*_Mag/VLOOKUP(P478,Standings!A:O,15,0)*H478*K478</f>
        <v/>
      </c>
      <c r="AF478" s="156">
        <f>VLOOKUP(P478,ProjPVT!B:I,8,0)*_Mag/VLOOKUP(N478,Standings!A:O,15,0)*J478*I478</f>
        <v/>
      </c>
      <c r="AG478" s="195">
        <f>VLOOKUP(N478,Matrix!AA:AC,3,0)</f>
        <v/>
      </c>
      <c r="AH478" s="195">
        <f>SUMIFS(Def!C:C,Def!F:F,AG478)</f>
        <v/>
      </c>
      <c r="AI478" s="156">
        <f>IFERROR(SUMIFS(Def!B:B,Def!F:F,AG478)/AH478,"")</f>
        <v/>
      </c>
      <c r="AJ478" s="195">
        <f>VLOOKUP(P478,Matrix!AA:AC,3,0)</f>
        <v/>
      </c>
      <c r="AK478" s="195">
        <f>SUMIFS(Def!C:C,Def!F:F,AJ478)</f>
        <v/>
      </c>
      <c r="AL478" s="156">
        <f>IFERROR(SUMIFS(Def!B:B,Def!F:F,AJ478)/AK478,"")</f>
        <v/>
      </c>
    </row>
    <row r="479" ht="14.4" customHeight="1" s="152">
      <c r="A479" s="157">
        <f>IF(F479="Yes",IFERROR(IF(AA479&gt;1,AA479/100,100/-AA479),""),-1)</f>
        <v/>
      </c>
      <c r="B479" s="157">
        <f>B478+1</f>
        <v/>
      </c>
      <c r="C479" s="157">
        <f>IF(Y479&gt;Z479,1,0)</f>
        <v/>
      </c>
      <c r="D479" s="157">
        <f>IF(AND(C479=1,F479="Yes"),"Yes",IF(AND(C479=0,F479="No"),"Yes","No"))</f>
        <v/>
      </c>
      <c r="E479" s="192">
        <f>IF((AC479+AB479)=AD479,"Push",IF((AC479+AB479)&gt;AD479,"Yes","No"))</f>
        <v/>
      </c>
      <c r="F479" s="192">
        <f>IF(AC479&gt;AD479,"Yes","No")</f>
        <v/>
      </c>
      <c r="G479" s="192">
        <f>IF((Y479+AB479)&gt;Z479,"Yes",IF((Y479+AB479)=Z479,"Push","No"))</f>
        <v/>
      </c>
      <c r="H479" s="157">
        <f>IF(O479="Home",VLOOKUP(N479,Matrix!A:S,19,0),1)</f>
        <v/>
      </c>
      <c r="I479" s="157">
        <f>IF(O479="Away",VLOOKUP(N479,Matrix!A:Z,20,0),1)</f>
        <v/>
      </c>
      <c r="J479" s="157">
        <f>IF(O479="Away",VLOOKUP(P479,Matrix!A:S,19,0),1)</f>
        <v/>
      </c>
      <c r="K479" s="157">
        <f>IF(O479="Home",VLOOKUP(P479,Matrix!A:Z,20,0),1)</f>
        <v/>
      </c>
      <c r="L479" s="156" t="n">
        <v>0.377240053022389</v>
      </c>
      <c r="M479" s="179">
        <f>Schedule!B479</f>
        <v/>
      </c>
      <c r="N479" s="156">
        <f>Schedule!E479</f>
        <v/>
      </c>
      <c r="O479" s="156" t="inlineStr">
        <is>
          <t>Home</t>
        </is>
      </c>
      <c r="P479" s="157">
        <f>Schedule!H479</f>
        <v/>
      </c>
      <c r="Q479" s="157">
        <f>Schedule!C479</f>
        <v/>
      </c>
      <c r="R479" s="180">
        <f>Schedule!D479</f>
        <v/>
      </c>
      <c r="S479" s="181">
        <f>Schedule!J479</f>
        <v/>
      </c>
      <c r="T479" s="193">
        <f>Y479-Z479</f>
        <v/>
      </c>
      <c r="U479" s="182">
        <f>T479/Picks!$K$2</f>
        <v/>
      </c>
      <c r="V479" s="193">
        <f>INDEX(Standings!$T$3:$T$34, MATCH(N479, Standings!$A$3:$A$34, 0)) - INDEX(Standings!$T$3:$T$34, MATCH(P479, Standings!$A$3:$A$34, 0))</f>
        <v/>
      </c>
      <c r="W479" s="157">
        <f>INDEX(Standings!$L$3:$L$34, MATCH(N479, Standings!$A$3:$A$34, 0)) - INDEX(Standings!$L$3:$L$34, MATCH(P479, Standings!$A$3:$A$34, 0))</f>
        <v/>
      </c>
      <c r="X479" s="157">
        <f>INDEX(Standings!$M$3:$M$34, MATCH(N479, Standings!$A$3:$A$34, 0)) - INDEX(Standings!$M$3:$M$34, MATCH(P479, Standings!$A$3:$A$34, 0))</f>
        <v/>
      </c>
      <c r="Y479" s="194">
        <f t="array" ref="Y479:Y479">IFERROR(AE479+(AL479-_DFactor)*AE479,"")</f>
        <v/>
      </c>
      <c r="Z479" s="157">
        <f>IFERROR(AF479+(AI479-_DFactor)*AF479,"")</f>
        <v/>
      </c>
      <c r="AC479" s="194">
        <f>VLOOKUP(M479&amp;N479,Schedule!A:F,6,0)</f>
        <v/>
      </c>
      <c r="AD479" s="194">
        <f>VLOOKUP(M479&amp;P479,Schedule!A:F,6,0)</f>
        <v/>
      </c>
      <c r="AE479" s="156">
        <f>VLOOKUP(N479,ProjPVT!B:I,8,0)*_Mag/VLOOKUP(P479,Standings!A:O,15,0)*H479*K479</f>
        <v/>
      </c>
      <c r="AF479" s="156">
        <f>VLOOKUP(P479,ProjPVT!B:I,8,0)*_Mag/VLOOKUP(N479,Standings!A:O,15,0)*J479*I479</f>
        <v/>
      </c>
      <c r="AG479" s="195">
        <f>VLOOKUP(N479,Matrix!AA:AC,3,0)</f>
        <v/>
      </c>
      <c r="AH479" s="195">
        <f>SUMIFS(Def!C:C,Def!F:F,AG479)</f>
        <v/>
      </c>
      <c r="AI479" s="156">
        <f>IFERROR(SUMIFS(Def!B:B,Def!F:F,AG479)/AH479,"")</f>
        <v/>
      </c>
      <c r="AJ479" s="195">
        <f>VLOOKUP(P479,Matrix!AA:AC,3,0)</f>
        <v/>
      </c>
      <c r="AK479" s="195">
        <f>SUMIFS(Def!C:C,Def!F:F,AJ479)</f>
        <v/>
      </c>
      <c r="AL479" s="156">
        <f>IFERROR(SUMIFS(Def!B:B,Def!F:F,AJ479)/AK479,"")</f>
        <v/>
      </c>
    </row>
    <row r="480" ht="14.4" customHeight="1" s="152">
      <c r="A480" s="157">
        <f>IF(F480="Yes",IFERROR(IF(AA480&gt;1,AA480/100,100/-AA480),""),-1)</f>
        <v/>
      </c>
      <c r="B480" s="157">
        <f>B479+1</f>
        <v/>
      </c>
      <c r="C480" s="157">
        <f>IF(Y480&gt;Z480,1,0)</f>
        <v/>
      </c>
      <c r="D480" s="157">
        <f>IF(AND(C480=1,F480="Yes"),"Yes",IF(AND(C480=0,F480="No"),"Yes","No"))</f>
        <v/>
      </c>
      <c r="E480" s="192">
        <f>IF((AC480+AB480)=AD480,"Push",IF((AC480+AB480)&gt;AD480,"Yes","No"))</f>
        <v/>
      </c>
      <c r="F480" s="192">
        <f>IF(AC480&gt;AD480,"Yes","No")</f>
        <v/>
      </c>
      <c r="G480" s="192">
        <f>IF((Y480+AB480)&gt;Z480,"Yes",IF((Y480+AB480)=Z480,"Push","No"))</f>
        <v/>
      </c>
      <c r="H480" s="157">
        <f>IF(O480="Home",VLOOKUP(N480,Matrix!A:S,19,0),1)</f>
        <v/>
      </c>
      <c r="I480" s="157">
        <f>IF(O480="Away",VLOOKUP(N480,Matrix!A:Z,20,0),1)</f>
        <v/>
      </c>
      <c r="J480" s="157">
        <f>IF(O480="Away",VLOOKUP(P480,Matrix!A:S,19,0),1)</f>
        <v/>
      </c>
      <c r="K480" s="157">
        <f>IF(O480="Home",VLOOKUP(P480,Matrix!A:Z,20,0),1)</f>
        <v/>
      </c>
      <c r="L480" s="156" t="n">
        <v>0.479496079758607</v>
      </c>
      <c r="M480" s="179">
        <f>Schedule!B480</f>
        <v/>
      </c>
      <c r="N480" s="156">
        <f>Schedule!E480</f>
        <v/>
      </c>
      <c r="O480" s="156" t="inlineStr">
        <is>
          <t>Away</t>
        </is>
      </c>
      <c r="P480" s="157">
        <f>Schedule!H480</f>
        <v/>
      </c>
      <c r="Q480" s="157">
        <f>Schedule!C480</f>
        <v/>
      </c>
      <c r="R480" s="180">
        <f>Schedule!D480</f>
        <v/>
      </c>
      <c r="S480" s="181">
        <f>Schedule!J480</f>
        <v/>
      </c>
      <c r="T480" s="193">
        <f>Y480-Z480</f>
        <v/>
      </c>
      <c r="U480" s="182">
        <f>T480/Picks!$K$2</f>
        <v/>
      </c>
      <c r="V480" s="193">
        <f>INDEX(Standings!$T$3:$T$34, MATCH(N480, Standings!$A$3:$A$34, 0)) - INDEX(Standings!$T$3:$T$34, MATCH(P480, Standings!$A$3:$A$34, 0))</f>
        <v/>
      </c>
      <c r="W480" s="157">
        <f>INDEX(Standings!$L$3:$L$34, MATCH(N480, Standings!$A$3:$A$34, 0)) - INDEX(Standings!$L$3:$L$34, MATCH(P480, Standings!$A$3:$A$34, 0))</f>
        <v/>
      </c>
      <c r="X480" s="157">
        <f>INDEX(Standings!$M$3:$M$34, MATCH(N480, Standings!$A$3:$A$34, 0)) - INDEX(Standings!$M$3:$M$34, MATCH(P480, Standings!$A$3:$A$34, 0))</f>
        <v/>
      </c>
      <c r="Y480" s="194">
        <f t="array" ref="Y480:Y480">IFERROR(AE480+(AL480-_DFactor)*AE480,"")</f>
        <v/>
      </c>
      <c r="Z480" s="157">
        <f>IFERROR(AF480+(AI480-_DFactor)*AF480,"")</f>
        <v/>
      </c>
      <c r="AC480" s="194">
        <f>VLOOKUP(M480&amp;N480,Schedule!A:F,6,0)</f>
        <v/>
      </c>
      <c r="AD480" s="194">
        <f>VLOOKUP(M480&amp;P480,Schedule!A:F,6,0)</f>
        <v/>
      </c>
      <c r="AE480" s="156">
        <f>VLOOKUP(N480,ProjPVT!B:I,8,0)*_Mag/VLOOKUP(P480,Standings!A:O,15,0)*H480*K480</f>
        <v/>
      </c>
      <c r="AF480" s="156">
        <f>VLOOKUP(P480,ProjPVT!B:I,8,0)*_Mag/VLOOKUP(N480,Standings!A:O,15,0)*J480*I480</f>
        <v/>
      </c>
      <c r="AG480" s="195">
        <f>VLOOKUP(N480,Matrix!AA:AC,3,0)</f>
        <v/>
      </c>
      <c r="AH480" s="195">
        <f>SUMIFS(Def!C:C,Def!F:F,AG480)</f>
        <v/>
      </c>
      <c r="AI480" s="156">
        <f>IFERROR(SUMIFS(Def!B:B,Def!F:F,AG480)/AH480,"")</f>
        <v/>
      </c>
      <c r="AJ480" s="195">
        <f>VLOOKUP(P480,Matrix!AA:AC,3,0)</f>
        <v/>
      </c>
      <c r="AK480" s="195">
        <f>SUMIFS(Def!C:C,Def!F:F,AJ480)</f>
        <v/>
      </c>
      <c r="AL480" s="156">
        <f>IFERROR(SUMIFS(Def!B:B,Def!F:F,AJ480)/AK480,"")</f>
        <v/>
      </c>
    </row>
    <row r="481" ht="14.4" customHeight="1" s="152">
      <c r="A481" s="157">
        <f>IF(F481="Yes",IFERROR(IF(AA481&gt;1,AA481/100,100/-AA481),""),-1)</f>
        <v/>
      </c>
      <c r="B481" s="157">
        <f>B480+1</f>
        <v/>
      </c>
      <c r="C481" s="157">
        <f>IF(Y481&gt;Z481,1,0)</f>
        <v/>
      </c>
      <c r="D481" s="157">
        <f>IF(AND(C481=1,F481="Yes"),"Yes",IF(AND(C481=0,F481="No"),"Yes","No"))</f>
        <v/>
      </c>
      <c r="E481" s="192">
        <f>IF((AC481+AB481)=AD481,"Push",IF((AC481+AB481)&gt;AD481,"Yes","No"))</f>
        <v/>
      </c>
      <c r="F481" s="192">
        <f>IF(AC481&gt;AD481,"Yes","No")</f>
        <v/>
      </c>
      <c r="G481" s="192">
        <f>IF((Y481+AB481)&gt;Z481,"Yes",IF((Y481+AB481)=Z481,"Push","No"))</f>
        <v/>
      </c>
      <c r="H481" s="157">
        <f>IF(O481="Home",VLOOKUP(N481,Matrix!A:S,19,0),1)</f>
        <v/>
      </c>
      <c r="I481" s="157">
        <f>IF(O481="Away",VLOOKUP(N481,Matrix!A:Z,20,0),1)</f>
        <v/>
      </c>
      <c r="J481" s="157">
        <f>IF(O481="Away",VLOOKUP(P481,Matrix!A:S,19,0),1)</f>
        <v/>
      </c>
      <c r="K481" s="157">
        <f>IF(O481="Home",VLOOKUP(P481,Matrix!A:Z,20,0),1)</f>
        <v/>
      </c>
      <c r="L481" s="156" t="n">
        <v>0.527531766098514</v>
      </c>
      <c r="M481" s="179">
        <f>Schedule!B481</f>
        <v/>
      </c>
      <c r="N481" s="156">
        <f>Schedule!E481</f>
        <v/>
      </c>
      <c r="O481" s="156" t="inlineStr">
        <is>
          <t>Home</t>
        </is>
      </c>
      <c r="P481" s="157">
        <f>Schedule!H481</f>
        <v/>
      </c>
      <c r="Q481" s="157">
        <f>Schedule!C481</f>
        <v/>
      </c>
      <c r="R481" s="180">
        <f>Schedule!D481</f>
        <v/>
      </c>
      <c r="S481" s="181">
        <f>Schedule!J481</f>
        <v/>
      </c>
      <c r="T481" s="193">
        <f>Y481-Z481</f>
        <v/>
      </c>
      <c r="U481" s="182">
        <f>T481/Picks!$K$2</f>
        <v/>
      </c>
      <c r="V481" s="193">
        <f>INDEX(Standings!$T$3:$T$34, MATCH(N481, Standings!$A$3:$A$34, 0)) - INDEX(Standings!$T$3:$T$34, MATCH(P481, Standings!$A$3:$A$34, 0))</f>
        <v/>
      </c>
      <c r="W481" s="157">
        <f>INDEX(Standings!$L$3:$L$34, MATCH(N481, Standings!$A$3:$A$34, 0)) - INDEX(Standings!$L$3:$L$34, MATCH(P481, Standings!$A$3:$A$34, 0))</f>
        <v/>
      </c>
      <c r="X481" s="157">
        <f>INDEX(Standings!$M$3:$M$34, MATCH(N481, Standings!$A$3:$A$34, 0)) - INDEX(Standings!$M$3:$M$34, MATCH(P481, Standings!$A$3:$A$34, 0))</f>
        <v/>
      </c>
      <c r="Y481" s="194">
        <f t="array" ref="Y481:Y481">IFERROR(AE481+(AL481-_DFactor)*AE481,"")</f>
        <v/>
      </c>
      <c r="Z481" s="157">
        <f>IFERROR(AF481+(AI481-_DFactor)*AF481,"")</f>
        <v/>
      </c>
      <c r="AC481" s="194">
        <f>VLOOKUP(M481&amp;N481,Schedule!A:F,6,0)</f>
        <v/>
      </c>
      <c r="AD481" s="194">
        <f>VLOOKUP(M481&amp;P481,Schedule!A:F,6,0)</f>
        <v/>
      </c>
      <c r="AE481" s="156">
        <f>VLOOKUP(N481,ProjPVT!B:I,8,0)*_Mag/VLOOKUP(P481,Standings!A:O,15,0)*H481*K481</f>
        <v/>
      </c>
      <c r="AF481" s="156">
        <f>VLOOKUP(P481,ProjPVT!B:I,8,0)*_Mag/VLOOKUP(N481,Standings!A:O,15,0)*J481*I481</f>
        <v/>
      </c>
      <c r="AG481" s="195">
        <f>VLOOKUP(N481,Matrix!AA:AC,3,0)</f>
        <v/>
      </c>
      <c r="AH481" s="195">
        <f>SUMIFS(Def!C:C,Def!F:F,AG481)</f>
        <v/>
      </c>
      <c r="AI481" s="156">
        <f>IFERROR(SUMIFS(Def!B:B,Def!F:F,AG481)/AH481,"")</f>
        <v/>
      </c>
      <c r="AJ481" s="195">
        <f>VLOOKUP(P481,Matrix!AA:AC,3,0)</f>
        <v/>
      </c>
      <c r="AK481" s="195">
        <f>SUMIFS(Def!C:C,Def!F:F,AJ481)</f>
        <v/>
      </c>
      <c r="AL481" s="156">
        <f>IFERROR(SUMIFS(Def!B:B,Def!F:F,AJ481)/AK481,"")</f>
        <v/>
      </c>
    </row>
    <row r="482" ht="14.4" customHeight="1" s="152">
      <c r="A482" s="157">
        <f>IF(F482="Yes",IFERROR(IF(AA482&gt;1,AA482/100,100/-AA482),""),-1)</f>
        <v/>
      </c>
      <c r="B482" s="157">
        <f>B481+1</f>
        <v/>
      </c>
      <c r="C482" s="157">
        <f>IF(Y482&gt;Z482,1,0)</f>
        <v/>
      </c>
      <c r="D482" s="157">
        <f>IF(AND(C482=1,F482="Yes"),"Yes",IF(AND(C482=0,F482="No"),"Yes","No"))</f>
        <v/>
      </c>
      <c r="E482" s="192">
        <f>IF((AC482+AB482)=AD482,"Push",IF((AC482+AB482)&gt;AD482,"Yes","No"))</f>
        <v/>
      </c>
      <c r="F482" s="192">
        <f>IF(AC482&gt;AD482,"Yes","No")</f>
        <v/>
      </c>
      <c r="G482" s="192">
        <f>IF((Y482+AB482)&gt;Z482,"Yes",IF((Y482+AB482)=Z482,"Push","No"))</f>
        <v/>
      </c>
      <c r="H482" s="157">
        <f>IF(O482="Home",VLOOKUP(N482,Matrix!A:S,19,0),1)</f>
        <v/>
      </c>
      <c r="I482" s="157">
        <f>IF(O482="Away",VLOOKUP(N482,Matrix!A:Z,20,0),1)</f>
        <v/>
      </c>
      <c r="J482" s="157">
        <f>IF(O482="Away",VLOOKUP(P482,Matrix!A:S,19,0),1)</f>
        <v/>
      </c>
      <c r="K482" s="157">
        <f>IF(O482="Home",VLOOKUP(P482,Matrix!A:Z,20,0),1)</f>
        <v/>
      </c>
      <c r="L482" s="156" t="n">
        <v>-0.519127070948122</v>
      </c>
      <c r="M482" s="179">
        <f>Schedule!B482</f>
        <v/>
      </c>
      <c r="N482" s="156">
        <f>Schedule!E482</f>
        <v/>
      </c>
      <c r="O482" s="156" t="inlineStr">
        <is>
          <t>Away</t>
        </is>
      </c>
      <c r="P482" s="157">
        <f>Schedule!H482</f>
        <v/>
      </c>
      <c r="Q482" s="157">
        <f>Schedule!C482</f>
        <v/>
      </c>
      <c r="R482" s="180">
        <f>Schedule!D482</f>
        <v/>
      </c>
      <c r="S482" s="181">
        <f>Schedule!J482</f>
        <v/>
      </c>
      <c r="T482" s="193">
        <f>Y482-Z482</f>
        <v/>
      </c>
      <c r="U482" s="182">
        <f>T482/Picks!$K$2</f>
        <v/>
      </c>
      <c r="V482" s="193">
        <f>INDEX(Standings!$T$3:$T$34, MATCH(N482, Standings!$A$3:$A$34, 0)) - INDEX(Standings!$T$3:$T$34, MATCH(P482, Standings!$A$3:$A$34, 0))</f>
        <v/>
      </c>
      <c r="W482" s="157">
        <f>INDEX(Standings!$L$3:$L$34, MATCH(N482, Standings!$A$3:$A$34, 0)) - INDEX(Standings!$L$3:$L$34, MATCH(P482, Standings!$A$3:$A$34, 0))</f>
        <v/>
      </c>
      <c r="X482" s="157">
        <f>INDEX(Standings!$M$3:$M$34, MATCH(N482, Standings!$A$3:$A$34, 0)) - INDEX(Standings!$M$3:$M$34, MATCH(P482, Standings!$A$3:$A$34, 0))</f>
        <v/>
      </c>
      <c r="Y482" s="194">
        <f t="array" ref="Y482:Y482">IFERROR(AE482+(AL482-_DFactor)*AE482,"")</f>
        <v/>
      </c>
      <c r="Z482" s="157">
        <f>IFERROR(AF482+(AI482-_DFactor)*AF482,"")</f>
        <v/>
      </c>
      <c r="AC482" s="194">
        <f>VLOOKUP(M482&amp;N482,Schedule!A:F,6,0)</f>
        <v/>
      </c>
      <c r="AD482" s="194">
        <f>VLOOKUP(M482&amp;P482,Schedule!A:F,6,0)</f>
        <v/>
      </c>
      <c r="AE482" s="156">
        <f>VLOOKUP(N482,ProjPVT!B:I,8,0)*_Mag/VLOOKUP(P482,Standings!A:O,15,0)*H482*K482</f>
        <v/>
      </c>
      <c r="AF482" s="156">
        <f>VLOOKUP(P482,ProjPVT!B:I,8,0)*_Mag/VLOOKUP(N482,Standings!A:O,15,0)*J482*I482</f>
        <v/>
      </c>
      <c r="AG482" s="195">
        <f>VLOOKUP(N482,Matrix!AA:AC,3,0)</f>
        <v/>
      </c>
      <c r="AH482" s="195">
        <f>SUMIFS(Def!C:C,Def!F:F,AG482)</f>
        <v/>
      </c>
      <c r="AI482" s="156">
        <f>IFERROR(SUMIFS(Def!B:B,Def!F:F,AG482)/AH482,"")</f>
        <v/>
      </c>
      <c r="AJ482" s="195">
        <f>VLOOKUP(P482,Matrix!AA:AC,3,0)</f>
        <v/>
      </c>
      <c r="AK482" s="195">
        <f>SUMIFS(Def!C:C,Def!F:F,AJ482)</f>
        <v/>
      </c>
      <c r="AL482" s="156">
        <f>IFERROR(SUMIFS(Def!B:B,Def!F:F,AJ482)/AK482,"")</f>
        <v/>
      </c>
    </row>
    <row r="483" ht="14.4" customHeight="1" s="152">
      <c r="A483" s="157">
        <f>IF(F483="Yes",IFERROR(IF(AA483&gt;1,AA483/100,100/-AA483),""),-1)</f>
        <v/>
      </c>
      <c r="B483" s="157">
        <f>B482+1</f>
        <v/>
      </c>
      <c r="C483" s="157">
        <f>IF(Y483&gt;Z483,1,0)</f>
        <v/>
      </c>
      <c r="D483" s="157">
        <f>IF(AND(C483=1,F483="Yes"),"Yes",IF(AND(C483=0,F483="No"),"Yes","No"))</f>
        <v/>
      </c>
      <c r="E483" s="192">
        <f>IF((AC483+AB483)=AD483,"Push",IF((AC483+AB483)&gt;AD483,"Yes","No"))</f>
        <v/>
      </c>
      <c r="F483" s="192">
        <f>IF(AC483&gt;AD483,"Yes","No")</f>
        <v/>
      </c>
      <c r="G483" s="192">
        <f>IF((Y483+AB483)&gt;Z483,"Yes",IF((Y483+AB483)=Z483,"Push","No"))</f>
        <v/>
      </c>
      <c r="H483" s="157">
        <f>IF(O483="Home",VLOOKUP(N483,Matrix!A:S,19,0),1)</f>
        <v/>
      </c>
      <c r="I483" s="157">
        <f>IF(O483="Away",VLOOKUP(N483,Matrix!A:Z,20,0),1)</f>
        <v/>
      </c>
      <c r="J483" s="157">
        <f>IF(O483="Away",VLOOKUP(P483,Matrix!A:S,19,0),1)</f>
        <v/>
      </c>
      <c r="K483" s="157">
        <f>IF(O483="Home",VLOOKUP(P483,Matrix!A:Z,20,0),1)</f>
        <v/>
      </c>
      <c r="L483" s="156" t="n">
        <v>-0.5112430784517989</v>
      </c>
      <c r="M483" s="179">
        <f>Schedule!B483</f>
        <v/>
      </c>
      <c r="N483" s="156">
        <f>Schedule!E483</f>
        <v/>
      </c>
      <c r="O483" s="156" t="inlineStr">
        <is>
          <t>Away</t>
        </is>
      </c>
      <c r="P483" s="157">
        <f>Schedule!H483</f>
        <v/>
      </c>
      <c r="Q483" s="157">
        <f>Schedule!C483</f>
        <v/>
      </c>
      <c r="R483" s="180">
        <f>Schedule!D483</f>
        <v/>
      </c>
      <c r="S483" s="181">
        <f>Schedule!J483</f>
        <v/>
      </c>
      <c r="T483" s="193">
        <f>Y483-Z483</f>
        <v/>
      </c>
      <c r="U483" s="182">
        <f>T483/Picks!$K$2</f>
        <v/>
      </c>
      <c r="V483" s="193">
        <f>INDEX(Standings!$T$3:$T$34, MATCH(N483, Standings!$A$3:$A$34, 0)) - INDEX(Standings!$T$3:$T$34, MATCH(P483, Standings!$A$3:$A$34, 0))</f>
        <v/>
      </c>
      <c r="W483" s="157">
        <f>INDEX(Standings!$L$3:$L$34, MATCH(N483, Standings!$A$3:$A$34, 0)) - INDEX(Standings!$L$3:$L$34, MATCH(P483, Standings!$A$3:$A$34, 0))</f>
        <v/>
      </c>
      <c r="X483" s="157">
        <f>INDEX(Standings!$M$3:$M$34, MATCH(N483, Standings!$A$3:$A$34, 0)) - INDEX(Standings!$M$3:$M$34, MATCH(P483, Standings!$A$3:$A$34, 0))</f>
        <v/>
      </c>
      <c r="Y483" s="194">
        <f t="array" ref="Y483:Y483">IFERROR(AE483+(AL483-_DFactor)*AE483,"")</f>
        <v/>
      </c>
      <c r="Z483" s="157">
        <f>IFERROR(AF483+(AI483-_DFactor)*AF483,"")</f>
        <v/>
      </c>
      <c r="AC483" s="194">
        <f>VLOOKUP(M483&amp;N483,Schedule!A:F,6,0)</f>
        <v/>
      </c>
      <c r="AD483" s="194">
        <f>VLOOKUP(M483&amp;P483,Schedule!A:F,6,0)</f>
        <v/>
      </c>
      <c r="AE483" s="156">
        <f>VLOOKUP(N483,ProjPVT!B:I,8,0)*_Mag/VLOOKUP(P483,Standings!A:O,15,0)*H483*K483</f>
        <v/>
      </c>
      <c r="AF483" s="156">
        <f>VLOOKUP(P483,ProjPVT!B:I,8,0)*_Mag/VLOOKUP(N483,Standings!A:O,15,0)*J483*I483</f>
        <v/>
      </c>
      <c r="AG483" s="195">
        <f>VLOOKUP(N483,Matrix!AA:AC,3,0)</f>
        <v/>
      </c>
      <c r="AH483" s="195">
        <f>SUMIFS(Def!C:C,Def!F:F,AG483)</f>
        <v/>
      </c>
      <c r="AI483" s="156">
        <f>IFERROR(SUMIFS(Def!B:B,Def!F:F,AG483)/AH483,"")</f>
        <v/>
      </c>
      <c r="AJ483" s="195">
        <f>VLOOKUP(P483,Matrix!AA:AC,3,0)</f>
        <v/>
      </c>
      <c r="AK483" s="195">
        <f>SUMIFS(Def!C:C,Def!F:F,AJ483)</f>
        <v/>
      </c>
      <c r="AL483" s="156">
        <f>IFERROR(SUMIFS(Def!B:B,Def!F:F,AJ483)/AK483,"")</f>
        <v/>
      </c>
    </row>
    <row r="484" ht="14.4" customHeight="1" s="152">
      <c r="A484" s="157">
        <f>IF(F484="Yes",IFERROR(IF(AA484&gt;1,AA484/100,100/-AA484),""),-1)</f>
        <v/>
      </c>
      <c r="B484" s="157">
        <f>B483+1</f>
        <v/>
      </c>
      <c r="C484" s="157">
        <f>IF(Y484&gt;Z484,1,0)</f>
        <v/>
      </c>
      <c r="D484" s="157">
        <f>IF(AND(C484=1,F484="Yes"),"Yes",IF(AND(C484=0,F484="No"),"Yes","No"))</f>
        <v/>
      </c>
      <c r="E484" s="192">
        <f>IF((AC484+AB484)=AD484,"Push",IF((AC484+AB484)&gt;AD484,"Yes","No"))</f>
        <v/>
      </c>
      <c r="F484" s="192">
        <f>IF(AC484&gt;AD484,"Yes","No")</f>
        <v/>
      </c>
      <c r="G484" s="192">
        <f>IF((Y484+AB484)&gt;Z484,"Yes",IF((Y484+AB484)=Z484,"Push","No"))</f>
        <v/>
      </c>
      <c r="H484" s="157">
        <f>IF(O484="Home",VLOOKUP(N484,Matrix!A:S,19,0),1)</f>
        <v/>
      </c>
      <c r="I484" s="157">
        <f>IF(O484="Away",VLOOKUP(N484,Matrix!A:Z,20,0),1)</f>
        <v/>
      </c>
      <c r="J484" s="157">
        <f>IF(O484="Away",VLOOKUP(P484,Matrix!A:S,19,0),1)</f>
        <v/>
      </c>
      <c r="K484" s="157">
        <f>IF(O484="Home",VLOOKUP(P484,Matrix!A:Z,20,0),1)</f>
        <v/>
      </c>
      <c r="L484" s="156" t="n">
        <v>-0.420079493530955</v>
      </c>
      <c r="M484" s="179">
        <f>Schedule!B484</f>
        <v/>
      </c>
      <c r="N484" s="156">
        <f>Schedule!E484</f>
        <v/>
      </c>
      <c r="O484" s="156" t="inlineStr">
        <is>
          <t>Away</t>
        </is>
      </c>
      <c r="P484" s="157">
        <f>Schedule!H484</f>
        <v/>
      </c>
      <c r="Q484" s="157">
        <f>Schedule!C484</f>
        <v/>
      </c>
      <c r="R484" s="180">
        <f>Schedule!D484</f>
        <v/>
      </c>
      <c r="S484" s="181">
        <f>Schedule!J484</f>
        <v/>
      </c>
      <c r="T484" s="193">
        <f>Y484-Z484</f>
        <v/>
      </c>
      <c r="U484" s="182">
        <f>T484/Picks!$K$2</f>
        <v/>
      </c>
      <c r="V484" s="193">
        <f>INDEX(Standings!$T$3:$T$34, MATCH(N484, Standings!$A$3:$A$34, 0)) - INDEX(Standings!$T$3:$T$34, MATCH(P484, Standings!$A$3:$A$34, 0))</f>
        <v/>
      </c>
      <c r="W484" s="157">
        <f>INDEX(Standings!$L$3:$L$34, MATCH(N484, Standings!$A$3:$A$34, 0)) - INDEX(Standings!$L$3:$L$34, MATCH(P484, Standings!$A$3:$A$34, 0))</f>
        <v/>
      </c>
      <c r="X484" s="157">
        <f>INDEX(Standings!$M$3:$M$34, MATCH(N484, Standings!$A$3:$A$34, 0)) - INDEX(Standings!$M$3:$M$34, MATCH(P484, Standings!$A$3:$A$34, 0))</f>
        <v/>
      </c>
      <c r="Y484" s="194">
        <f t="array" ref="Y484:Y484">IFERROR(AE484+(AL484-_DFactor)*AE484,"")</f>
        <v/>
      </c>
      <c r="Z484" s="157">
        <f>IFERROR(AF484+(AI484-_DFactor)*AF484,"")</f>
        <v/>
      </c>
      <c r="AC484" s="194">
        <f>VLOOKUP(M484&amp;N484,Schedule!A:F,6,0)</f>
        <v/>
      </c>
      <c r="AD484" s="194">
        <f>VLOOKUP(M484&amp;P484,Schedule!A:F,6,0)</f>
        <v/>
      </c>
      <c r="AE484" s="156">
        <f>VLOOKUP(N484,ProjPVT!B:I,8,0)*_Mag/VLOOKUP(P484,Standings!A:O,15,0)*H484*K484</f>
        <v/>
      </c>
      <c r="AF484" s="156">
        <f>VLOOKUP(P484,ProjPVT!B:I,8,0)*_Mag/VLOOKUP(N484,Standings!A:O,15,0)*J484*I484</f>
        <v/>
      </c>
      <c r="AG484" s="195">
        <f>VLOOKUP(N484,Matrix!AA:AC,3,0)</f>
        <v/>
      </c>
      <c r="AH484" s="195">
        <f>SUMIFS(Def!C:C,Def!F:F,AG484)</f>
        <v/>
      </c>
      <c r="AI484" s="156">
        <f>IFERROR(SUMIFS(Def!B:B,Def!F:F,AG484)/AH484,"")</f>
        <v/>
      </c>
      <c r="AJ484" s="195">
        <f>VLOOKUP(P484,Matrix!AA:AC,3,0)</f>
        <v/>
      </c>
      <c r="AK484" s="195">
        <f>SUMIFS(Def!C:C,Def!F:F,AJ484)</f>
        <v/>
      </c>
      <c r="AL484" s="156">
        <f>IFERROR(SUMIFS(Def!B:B,Def!F:F,AJ484)/AK484,"")</f>
        <v/>
      </c>
    </row>
    <row r="485" ht="14.4" customHeight="1" s="152">
      <c r="A485" s="157">
        <f>IF(F485="Yes",IFERROR(IF(AA485&gt;1,AA485/100,100/-AA485),""),-1)</f>
        <v/>
      </c>
      <c r="B485" s="157">
        <f>B484+1</f>
        <v/>
      </c>
      <c r="C485" s="157">
        <f>IF(Y485&gt;Z485,1,0)</f>
        <v/>
      </c>
      <c r="D485" s="157">
        <f>IF(AND(C485=1,F485="Yes"),"Yes",IF(AND(C485=0,F485="No"),"Yes","No"))</f>
        <v/>
      </c>
      <c r="E485" s="192">
        <f>IF((AC485+AB485)=AD485,"Push",IF((AC485+AB485)&gt;AD485,"Yes","No"))</f>
        <v/>
      </c>
      <c r="F485" s="192">
        <f>IF(AC485&gt;AD485,"Yes","No")</f>
        <v/>
      </c>
      <c r="G485" s="192">
        <f>IF((Y485+AB485)&gt;Z485,"Yes",IF((Y485+AB485)=Z485,"Push","No"))</f>
        <v/>
      </c>
      <c r="H485" s="157">
        <f>IF(O485="Home",VLOOKUP(N485,Matrix!A:S,19,0),1)</f>
        <v/>
      </c>
      <c r="I485" s="157">
        <f>IF(O485="Away",VLOOKUP(N485,Matrix!A:Z,20,0),1)</f>
        <v/>
      </c>
      <c r="J485" s="157">
        <f>IF(O485="Away",VLOOKUP(P485,Matrix!A:S,19,0),1)</f>
        <v/>
      </c>
      <c r="K485" s="157">
        <f>IF(O485="Home",VLOOKUP(P485,Matrix!A:Z,20,0),1)</f>
        <v/>
      </c>
      <c r="L485" s="156" t="n">
        <v>-0.388423469270718</v>
      </c>
      <c r="M485" s="179">
        <f>Schedule!B485</f>
        <v/>
      </c>
      <c r="N485" s="156">
        <f>Schedule!E485</f>
        <v/>
      </c>
      <c r="O485" s="156" t="inlineStr">
        <is>
          <t>Away</t>
        </is>
      </c>
      <c r="P485" s="157">
        <f>Schedule!H485</f>
        <v/>
      </c>
      <c r="Q485" s="157">
        <f>Schedule!C485</f>
        <v/>
      </c>
      <c r="R485" s="180">
        <f>Schedule!D485</f>
        <v/>
      </c>
      <c r="S485" s="181">
        <f>Schedule!J485</f>
        <v/>
      </c>
      <c r="T485" s="193">
        <f>Y485-Z485</f>
        <v/>
      </c>
      <c r="U485" s="182">
        <f>T485/Picks!$K$2</f>
        <v/>
      </c>
      <c r="V485" s="193">
        <f>INDEX(Standings!$T$3:$T$34, MATCH(N485, Standings!$A$3:$A$34, 0)) - INDEX(Standings!$T$3:$T$34, MATCH(P485, Standings!$A$3:$A$34, 0))</f>
        <v/>
      </c>
      <c r="W485" s="157">
        <f>INDEX(Standings!$L$3:$L$34, MATCH(N485, Standings!$A$3:$A$34, 0)) - INDEX(Standings!$L$3:$L$34, MATCH(P485, Standings!$A$3:$A$34, 0))</f>
        <v/>
      </c>
      <c r="X485" s="157">
        <f>INDEX(Standings!$M$3:$M$34, MATCH(N485, Standings!$A$3:$A$34, 0)) - INDEX(Standings!$M$3:$M$34, MATCH(P485, Standings!$A$3:$A$34, 0))</f>
        <v/>
      </c>
      <c r="Y485" s="194">
        <f t="array" ref="Y485:Y485">IFERROR(AE485+(AL485-_DFactor)*AE485,"")</f>
        <v/>
      </c>
      <c r="Z485" s="157">
        <f>IFERROR(AF485+(AI485-_DFactor)*AF485,"")</f>
        <v/>
      </c>
      <c r="AC485" s="194">
        <f>VLOOKUP(M485&amp;N485,Schedule!A:F,6,0)</f>
        <v/>
      </c>
      <c r="AD485" s="194">
        <f>VLOOKUP(M485&amp;P485,Schedule!A:F,6,0)</f>
        <v/>
      </c>
      <c r="AE485" s="156">
        <f>VLOOKUP(N485,ProjPVT!B:I,8,0)*_Mag/VLOOKUP(P485,Standings!A:O,15,0)*H485*K485</f>
        <v/>
      </c>
      <c r="AF485" s="156">
        <f>VLOOKUP(P485,ProjPVT!B:I,8,0)*_Mag/VLOOKUP(N485,Standings!A:O,15,0)*J485*I485</f>
        <v/>
      </c>
      <c r="AG485" s="195">
        <f>VLOOKUP(N485,Matrix!AA:AC,3,0)</f>
        <v/>
      </c>
      <c r="AH485" s="195">
        <f>SUMIFS(Def!C:C,Def!F:F,AG485)</f>
        <v/>
      </c>
      <c r="AI485" s="156">
        <f>IFERROR(SUMIFS(Def!B:B,Def!F:F,AG485)/AH485,"")</f>
        <v/>
      </c>
      <c r="AJ485" s="195">
        <f>VLOOKUP(P485,Matrix!AA:AC,3,0)</f>
        <v/>
      </c>
      <c r="AK485" s="195">
        <f>SUMIFS(Def!C:C,Def!F:F,AJ485)</f>
        <v/>
      </c>
      <c r="AL485" s="156">
        <f>IFERROR(SUMIFS(Def!B:B,Def!F:F,AJ485)/AK485,"")</f>
        <v/>
      </c>
    </row>
    <row r="486" ht="14.4" customHeight="1" s="152">
      <c r="A486" s="157">
        <f>IF(F486="Yes",IFERROR(IF(AA486&gt;1,AA486/100,100/-AA486),""),-1)</f>
        <v/>
      </c>
      <c r="B486" s="157">
        <f>B485+1</f>
        <v/>
      </c>
      <c r="C486" s="157">
        <f>IF(Y486&gt;Z486,1,0)</f>
        <v/>
      </c>
      <c r="D486" s="157">
        <f>IF(AND(C486=1,F486="Yes"),"Yes",IF(AND(C486=0,F486="No"),"Yes","No"))</f>
        <v/>
      </c>
      <c r="E486" s="192">
        <f>IF((AC486+AB486)=AD486,"Push",IF((AC486+AB486)&gt;AD486,"Yes","No"))</f>
        <v/>
      </c>
      <c r="F486" s="192">
        <f>IF(AC486&gt;AD486,"Yes","No")</f>
        <v/>
      </c>
      <c r="G486" s="192">
        <f>IF((Y486+AB486)&gt;Z486,"Yes",IF((Y486+AB486)=Z486,"Push","No"))</f>
        <v/>
      </c>
      <c r="H486" s="157">
        <f>IF(O486="Home",VLOOKUP(N486,Matrix!A:S,19,0),1)</f>
        <v/>
      </c>
      <c r="I486" s="157">
        <f>IF(O486="Away",VLOOKUP(N486,Matrix!A:Z,20,0),1)</f>
        <v/>
      </c>
      <c r="J486" s="157">
        <f>IF(O486="Away",VLOOKUP(P486,Matrix!A:S,19,0),1)</f>
        <v/>
      </c>
      <c r="K486" s="157">
        <f>IF(O486="Home",VLOOKUP(P486,Matrix!A:Z,20,0),1)</f>
        <v/>
      </c>
      <c r="L486" s="156" t="n">
        <v>-0.345249955304915</v>
      </c>
      <c r="M486" s="179">
        <f>Schedule!B486</f>
        <v/>
      </c>
      <c r="N486" s="156">
        <f>Schedule!E486</f>
        <v/>
      </c>
      <c r="O486" s="156" t="inlineStr">
        <is>
          <t>Away</t>
        </is>
      </c>
      <c r="P486" s="157">
        <f>Schedule!H486</f>
        <v/>
      </c>
      <c r="Q486" s="157">
        <f>Schedule!C486</f>
        <v/>
      </c>
      <c r="R486" s="180">
        <f>Schedule!D486</f>
        <v/>
      </c>
      <c r="S486" s="181">
        <f>Schedule!J486</f>
        <v/>
      </c>
      <c r="T486" s="193">
        <f>Y486-Z486</f>
        <v/>
      </c>
      <c r="U486" s="182">
        <f>T486/Picks!$K$2</f>
        <v/>
      </c>
      <c r="V486" s="193">
        <f>INDEX(Standings!$T$3:$T$34, MATCH(N486, Standings!$A$3:$A$34, 0)) - INDEX(Standings!$T$3:$T$34, MATCH(P486, Standings!$A$3:$A$34, 0))</f>
        <v/>
      </c>
      <c r="W486" s="157">
        <f>INDEX(Standings!$L$3:$L$34, MATCH(N486, Standings!$A$3:$A$34, 0)) - INDEX(Standings!$L$3:$L$34, MATCH(P486, Standings!$A$3:$A$34, 0))</f>
        <v/>
      </c>
      <c r="X486" s="157">
        <f>INDEX(Standings!$M$3:$M$34, MATCH(N486, Standings!$A$3:$A$34, 0)) - INDEX(Standings!$M$3:$M$34, MATCH(P486, Standings!$A$3:$A$34, 0))</f>
        <v/>
      </c>
      <c r="Y486" s="194">
        <f t="array" ref="Y486:Y486">IFERROR(AE486+(AL486-_DFactor)*AE486,"")</f>
        <v/>
      </c>
      <c r="Z486" s="157">
        <f>IFERROR(AF486+(AI486-_DFactor)*AF486,"")</f>
        <v/>
      </c>
      <c r="AC486" s="194">
        <f>VLOOKUP(M486&amp;N486,Schedule!A:F,6,0)</f>
        <v/>
      </c>
      <c r="AD486" s="194">
        <f>VLOOKUP(M486&amp;P486,Schedule!A:F,6,0)</f>
        <v/>
      </c>
      <c r="AE486" s="156">
        <f>VLOOKUP(N486,ProjPVT!B:I,8,0)*_Mag/VLOOKUP(P486,Standings!A:O,15,0)*H486*K486</f>
        <v/>
      </c>
      <c r="AF486" s="156">
        <f>VLOOKUP(P486,ProjPVT!B:I,8,0)*_Mag/VLOOKUP(N486,Standings!A:O,15,0)*J486*I486</f>
        <v/>
      </c>
      <c r="AG486" s="195">
        <f>VLOOKUP(N486,Matrix!AA:AC,3,0)</f>
        <v/>
      </c>
      <c r="AH486" s="195">
        <f>SUMIFS(Def!C:C,Def!F:F,AG486)</f>
        <v/>
      </c>
      <c r="AI486" s="156">
        <f>IFERROR(SUMIFS(Def!B:B,Def!F:F,AG486)/AH486,"")</f>
        <v/>
      </c>
      <c r="AJ486" s="195">
        <f>VLOOKUP(P486,Matrix!AA:AC,3,0)</f>
        <v/>
      </c>
      <c r="AK486" s="195">
        <f>SUMIFS(Def!C:C,Def!F:F,AJ486)</f>
        <v/>
      </c>
      <c r="AL486" s="156">
        <f>IFERROR(SUMIFS(Def!B:B,Def!F:F,AJ486)/AK486,"")</f>
        <v/>
      </c>
    </row>
    <row r="487" ht="14.4" customHeight="1" s="152">
      <c r="A487" s="157">
        <f>IF(F487="Yes",IFERROR(IF(AA487&gt;1,AA487/100,100/-AA487),""),-1)</f>
        <v/>
      </c>
      <c r="B487" s="157">
        <f>B486+1</f>
        <v/>
      </c>
      <c r="C487" s="157">
        <f>IF(Y487&gt;Z487,1,0)</f>
        <v/>
      </c>
      <c r="D487" s="157">
        <f>IF(AND(C487=1,F487="Yes"),"Yes",IF(AND(C487=0,F487="No"),"Yes","No"))</f>
        <v/>
      </c>
      <c r="E487" s="192">
        <f>IF((AC487+AB487)=AD487,"Push",IF((AC487+AB487)&gt;AD487,"Yes","No"))</f>
        <v/>
      </c>
      <c r="F487" s="192">
        <f>IF(AC487&gt;AD487,"Yes","No")</f>
        <v/>
      </c>
      <c r="G487" s="192">
        <f>IF((Y487+AB487)&gt;Z487,"Yes",IF((Y487+AB487)=Z487,"Push","No"))</f>
        <v/>
      </c>
      <c r="H487" s="157">
        <f>IF(O487="Home",VLOOKUP(N487,Matrix!A:S,19,0),1)</f>
        <v/>
      </c>
      <c r="I487" s="157">
        <f>IF(O487="Away",VLOOKUP(N487,Matrix!A:Z,20,0),1)</f>
        <v/>
      </c>
      <c r="J487" s="157">
        <f>IF(O487="Away",VLOOKUP(P487,Matrix!A:S,19,0),1)</f>
        <v/>
      </c>
      <c r="K487" s="157">
        <f>IF(O487="Home",VLOOKUP(P487,Matrix!A:Z,20,0),1)</f>
        <v/>
      </c>
      <c r="L487" s="156" t="n">
        <v>-0.321291176917164</v>
      </c>
      <c r="M487" s="179">
        <f>Schedule!B487</f>
        <v/>
      </c>
      <c r="N487" s="156">
        <f>Schedule!E487</f>
        <v/>
      </c>
      <c r="O487" s="156" t="inlineStr">
        <is>
          <t>Away</t>
        </is>
      </c>
      <c r="P487" s="157">
        <f>Schedule!H487</f>
        <v/>
      </c>
      <c r="Q487" s="157">
        <f>Schedule!C487</f>
        <v/>
      </c>
      <c r="R487" s="180">
        <f>Schedule!D487</f>
        <v/>
      </c>
      <c r="S487" s="181">
        <f>Schedule!J487</f>
        <v/>
      </c>
      <c r="T487" s="193">
        <f>Y487-Z487</f>
        <v/>
      </c>
      <c r="U487" s="182">
        <f>T487/Picks!$K$2</f>
        <v/>
      </c>
      <c r="V487" s="193">
        <f>INDEX(Standings!$T$3:$T$34, MATCH(N487, Standings!$A$3:$A$34, 0)) - INDEX(Standings!$T$3:$T$34, MATCH(P487, Standings!$A$3:$A$34, 0))</f>
        <v/>
      </c>
      <c r="W487" s="157">
        <f>INDEX(Standings!$L$3:$L$34, MATCH(N487, Standings!$A$3:$A$34, 0)) - INDEX(Standings!$L$3:$L$34, MATCH(P487, Standings!$A$3:$A$34, 0))</f>
        <v/>
      </c>
      <c r="X487" s="157">
        <f>INDEX(Standings!$M$3:$M$34, MATCH(N487, Standings!$A$3:$A$34, 0)) - INDEX(Standings!$M$3:$M$34, MATCH(P487, Standings!$A$3:$A$34, 0))</f>
        <v/>
      </c>
      <c r="Y487" s="194">
        <f t="array" ref="Y487:Y487">IFERROR(AE487+(AL487-_DFactor)*AE487,"")</f>
        <v/>
      </c>
      <c r="Z487" s="157">
        <f>IFERROR(AF487+(AI487-_DFactor)*AF487,"")</f>
        <v/>
      </c>
      <c r="AC487" s="194">
        <f>VLOOKUP(M487&amp;N487,Schedule!A:F,6,0)</f>
        <v/>
      </c>
      <c r="AD487" s="194">
        <f>VLOOKUP(M487&amp;P487,Schedule!A:F,6,0)</f>
        <v/>
      </c>
      <c r="AE487" s="156">
        <f>VLOOKUP(N487,ProjPVT!B:I,8,0)*_Mag/VLOOKUP(P487,Standings!A:O,15,0)*H487*K487</f>
        <v/>
      </c>
      <c r="AF487" s="156">
        <f>VLOOKUP(P487,ProjPVT!B:I,8,0)*_Mag/VLOOKUP(N487,Standings!A:O,15,0)*J487*I487</f>
        <v/>
      </c>
      <c r="AG487" s="195">
        <f>VLOOKUP(N487,Matrix!AA:AC,3,0)</f>
        <v/>
      </c>
      <c r="AH487" s="195">
        <f>SUMIFS(Def!C:C,Def!F:F,AG487)</f>
        <v/>
      </c>
      <c r="AI487" s="156">
        <f>IFERROR(SUMIFS(Def!B:B,Def!F:F,AG487)/AH487,"")</f>
        <v/>
      </c>
      <c r="AJ487" s="195">
        <f>VLOOKUP(P487,Matrix!AA:AC,3,0)</f>
        <v/>
      </c>
      <c r="AK487" s="195">
        <f>SUMIFS(Def!C:C,Def!F:F,AJ487)</f>
        <v/>
      </c>
      <c r="AL487" s="156">
        <f>IFERROR(SUMIFS(Def!B:B,Def!F:F,AJ487)/AK487,"")</f>
        <v/>
      </c>
    </row>
    <row r="488" ht="14.4" customHeight="1" s="152">
      <c r="A488" s="157">
        <f>IF(F488="Yes",IFERROR(IF(AA488&gt;1,AA488/100,100/-AA488),""),-1)</f>
        <v/>
      </c>
      <c r="B488" s="157">
        <f>B487+1</f>
        <v/>
      </c>
      <c r="C488" s="157">
        <f>IF(Y488&gt;Z488,1,0)</f>
        <v/>
      </c>
      <c r="D488" s="157">
        <f>IF(AND(C488=1,F488="Yes"),"Yes",IF(AND(C488=0,F488="No"),"Yes","No"))</f>
        <v/>
      </c>
      <c r="E488" s="192">
        <f>IF((AC488+AB488)=AD488,"Push",IF((AC488+AB488)&gt;AD488,"Yes","No"))</f>
        <v/>
      </c>
      <c r="F488" s="192">
        <f>IF(AC488&gt;AD488,"Yes","No")</f>
        <v/>
      </c>
      <c r="G488" s="192">
        <f>IF((Y488+AB488)&gt;Z488,"Yes",IF((Y488+AB488)=Z488,"Push","No"))</f>
        <v/>
      </c>
      <c r="H488" s="157">
        <f>IF(O488="Home",VLOOKUP(N488,Matrix!A:S,19,0),1)</f>
        <v/>
      </c>
      <c r="I488" s="157">
        <f>IF(O488="Away",VLOOKUP(N488,Matrix!A:Z,20,0),1)</f>
        <v/>
      </c>
      <c r="J488" s="157">
        <f>IF(O488="Away",VLOOKUP(P488,Matrix!A:S,19,0),1)</f>
        <v/>
      </c>
      <c r="K488" s="157">
        <f>IF(O488="Home",VLOOKUP(P488,Matrix!A:Z,20,0),1)</f>
        <v/>
      </c>
      <c r="L488" s="156" t="n">
        <v>-0.311977563613577</v>
      </c>
      <c r="M488" s="179">
        <f>Schedule!B488</f>
        <v/>
      </c>
      <c r="N488" s="156">
        <f>Schedule!E488</f>
        <v/>
      </c>
      <c r="O488" s="156" t="inlineStr">
        <is>
          <t>Away</t>
        </is>
      </c>
      <c r="P488" s="157">
        <f>Schedule!H488</f>
        <v/>
      </c>
      <c r="Q488" s="157">
        <f>Schedule!C488</f>
        <v/>
      </c>
      <c r="R488" s="180">
        <f>Schedule!D488</f>
        <v/>
      </c>
      <c r="S488" s="181">
        <f>Schedule!J488</f>
        <v/>
      </c>
      <c r="T488" s="193">
        <f>Y488-Z488</f>
        <v/>
      </c>
      <c r="U488" s="182">
        <f>T488/Picks!$K$2</f>
        <v/>
      </c>
      <c r="V488" s="193">
        <f>INDEX(Standings!$T$3:$T$34, MATCH(N488, Standings!$A$3:$A$34, 0)) - INDEX(Standings!$T$3:$T$34, MATCH(P488, Standings!$A$3:$A$34, 0))</f>
        <v/>
      </c>
      <c r="W488" s="157">
        <f>INDEX(Standings!$L$3:$L$34, MATCH(N488, Standings!$A$3:$A$34, 0)) - INDEX(Standings!$L$3:$L$34, MATCH(P488, Standings!$A$3:$A$34, 0))</f>
        <v/>
      </c>
      <c r="X488" s="157">
        <f>INDEX(Standings!$M$3:$M$34, MATCH(N488, Standings!$A$3:$A$34, 0)) - INDEX(Standings!$M$3:$M$34, MATCH(P488, Standings!$A$3:$A$34, 0))</f>
        <v/>
      </c>
      <c r="Y488" s="194">
        <f t="array" ref="Y488:Y488">IFERROR(AE488+(AL488-_DFactor)*AE488,"")</f>
        <v/>
      </c>
      <c r="Z488" s="157">
        <f>IFERROR(AF488+(AI488-_DFactor)*AF488,"")</f>
        <v/>
      </c>
      <c r="AC488" s="194">
        <f>VLOOKUP(M488&amp;N488,Schedule!A:F,6,0)</f>
        <v/>
      </c>
      <c r="AD488" s="194">
        <f>VLOOKUP(M488&amp;P488,Schedule!A:F,6,0)</f>
        <v/>
      </c>
      <c r="AE488" s="156">
        <f>VLOOKUP(N488,ProjPVT!B:I,8,0)*_Mag/VLOOKUP(P488,Standings!A:O,15,0)*H488*K488</f>
        <v/>
      </c>
      <c r="AF488" s="156">
        <f>VLOOKUP(P488,ProjPVT!B:I,8,0)*_Mag/VLOOKUP(N488,Standings!A:O,15,0)*J488*I488</f>
        <v/>
      </c>
      <c r="AG488" s="195">
        <f>VLOOKUP(N488,Matrix!AA:AC,3,0)</f>
        <v/>
      </c>
      <c r="AH488" s="195">
        <f>SUMIFS(Def!C:C,Def!F:F,AG488)</f>
        <v/>
      </c>
      <c r="AI488" s="156">
        <f>IFERROR(SUMIFS(Def!B:B,Def!F:F,AG488)/AH488,"")</f>
        <v/>
      </c>
      <c r="AJ488" s="195">
        <f>VLOOKUP(P488,Matrix!AA:AC,3,0)</f>
        <v/>
      </c>
      <c r="AK488" s="195">
        <f>SUMIFS(Def!C:C,Def!F:F,AJ488)</f>
        <v/>
      </c>
      <c r="AL488" s="156">
        <f>IFERROR(SUMIFS(Def!B:B,Def!F:F,AJ488)/AK488,"")</f>
        <v/>
      </c>
    </row>
    <row r="489" ht="14.4" customHeight="1" s="152">
      <c r="A489" s="157">
        <f>IF(F489="Yes",IFERROR(IF(AA489&gt;1,AA489/100,100/-AA489),""),-1)</f>
        <v/>
      </c>
      <c r="B489" s="157">
        <f>B488+1</f>
        <v/>
      </c>
      <c r="C489" s="157">
        <f>IF(Y489&gt;Z489,1,0)</f>
        <v/>
      </c>
      <c r="D489" s="157">
        <f>IF(AND(C489=1,F489="Yes"),"Yes",IF(AND(C489=0,F489="No"),"Yes","No"))</f>
        <v/>
      </c>
      <c r="E489" s="192">
        <f>IF((AC489+AB489)=AD489,"Push",IF((AC489+AB489)&gt;AD489,"Yes","No"))</f>
        <v/>
      </c>
      <c r="F489" s="192">
        <f>IF(AC489&gt;AD489,"Yes","No")</f>
        <v/>
      </c>
      <c r="G489" s="192">
        <f>IF((Y489+AB489)&gt;Z489,"Yes",IF((Y489+AB489)=Z489,"Push","No"))</f>
        <v/>
      </c>
      <c r="H489" s="157">
        <f>IF(O489="Home",VLOOKUP(N489,Matrix!A:S,19,0),1)</f>
        <v/>
      </c>
      <c r="I489" s="157">
        <f>IF(O489="Away",VLOOKUP(N489,Matrix!A:Z,20,0),1)</f>
        <v/>
      </c>
      <c r="J489" s="157">
        <f>IF(O489="Away",VLOOKUP(P489,Matrix!A:S,19,0),1)</f>
        <v/>
      </c>
      <c r="K489" s="157">
        <f>IF(O489="Home",VLOOKUP(P489,Matrix!A:Z,20,0),1)</f>
        <v/>
      </c>
      <c r="L489" s="156" t="n">
        <v>-0.30797296047498</v>
      </c>
      <c r="M489" s="179">
        <f>Schedule!B489</f>
        <v/>
      </c>
      <c r="N489" s="156">
        <f>Schedule!E489</f>
        <v/>
      </c>
      <c r="O489" s="156" t="inlineStr">
        <is>
          <t>Away</t>
        </is>
      </c>
      <c r="P489" s="157">
        <f>Schedule!H489</f>
        <v/>
      </c>
      <c r="Q489" s="157">
        <f>Schedule!C489</f>
        <v/>
      </c>
      <c r="R489" s="180">
        <f>Schedule!D489</f>
        <v/>
      </c>
      <c r="S489" s="181">
        <f>Schedule!J489</f>
        <v/>
      </c>
      <c r="T489" s="193">
        <f>Y489-Z489</f>
        <v/>
      </c>
      <c r="U489" s="182">
        <f>T489/Picks!$K$2</f>
        <v/>
      </c>
      <c r="V489" s="193">
        <f>INDEX(Standings!$T$3:$T$34, MATCH(N489, Standings!$A$3:$A$34, 0)) - INDEX(Standings!$T$3:$T$34, MATCH(P489, Standings!$A$3:$A$34, 0))</f>
        <v/>
      </c>
      <c r="W489" s="157">
        <f>INDEX(Standings!$L$3:$L$34, MATCH(N489, Standings!$A$3:$A$34, 0)) - INDEX(Standings!$L$3:$L$34, MATCH(P489, Standings!$A$3:$A$34, 0))</f>
        <v/>
      </c>
      <c r="X489" s="157">
        <f>INDEX(Standings!$M$3:$M$34, MATCH(N489, Standings!$A$3:$A$34, 0)) - INDEX(Standings!$M$3:$M$34, MATCH(P489, Standings!$A$3:$A$34, 0))</f>
        <v/>
      </c>
      <c r="Y489" s="194">
        <f t="array" ref="Y489:Y489">IFERROR(AE489+(AL489-_DFactor)*AE489,"")</f>
        <v/>
      </c>
      <c r="Z489" s="157">
        <f>IFERROR(AF489+(AI489-_DFactor)*AF489,"")</f>
        <v/>
      </c>
      <c r="AC489" s="194">
        <f>VLOOKUP(M489&amp;N489,Schedule!A:F,6,0)</f>
        <v/>
      </c>
      <c r="AD489" s="194">
        <f>VLOOKUP(M489&amp;P489,Schedule!A:F,6,0)</f>
        <v/>
      </c>
      <c r="AE489" s="156">
        <f>VLOOKUP(N489,ProjPVT!B:I,8,0)*_Mag/VLOOKUP(P489,Standings!A:O,15,0)*H489*K489</f>
        <v/>
      </c>
      <c r="AF489" s="156">
        <f>VLOOKUP(P489,ProjPVT!B:I,8,0)*_Mag/VLOOKUP(N489,Standings!A:O,15,0)*J489*I489</f>
        <v/>
      </c>
      <c r="AG489" s="195">
        <f>VLOOKUP(N489,Matrix!AA:AC,3,0)</f>
        <v/>
      </c>
      <c r="AH489" s="195">
        <f>SUMIFS(Def!C:C,Def!F:F,AG489)</f>
        <v/>
      </c>
      <c r="AI489" s="156">
        <f>IFERROR(SUMIFS(Def!B:B,Def!F:F,AG489)/AH489,"")</f>
        <v/>
      </c>
      <c r="AJ489" s="195">
        <f>VLOOKUP(P489,Matrix!AA:AC,3,0)</f>
        <v/>
      </c>
      <c r="AK489" s="195">
        <f>SUMIFS(Def!C:C,Def!F:F,AJ489)</f>
        <v/>
      </c>
      <c r="AL489" s="156">
        <f>IFERROR(SUMIFS(Def!B:B,Def!F:F,AJ489)/AK489,"")</f>
        <v/>
      </c>
    </row>
    <row r="490" ht="14.4" customHeight="1" s="152">
      <c r="A490" s="157">
        <f>IF(F490="Yes",IFERROR(IF(AA490&gt;1,AA490/100,100/-AA490),""),-1)</f>
        <v/>
      </c>
      <c r="B490" s="157">
        <f>B489+1</f>
        <v/>
      </c>
      <c r="C490" s="157">
        <f>IF(Y490&gt;Z490,1,0)</f>
        <v/>
      </c>
      <c r="D490" s="157">
        <f>IF(AND(C490=1,F490="Yes"),"Yes",IF(AND(C490=0,F490="No"),"Yes","No"))</f>
        <v/>
      </c>
      <c r="E490" s="192">
        <f>IF((AC490+AB490)=AD490,"Push",IF((AC490+AB490)&gt;AD490,"Yes","No"))</f>
        <v/>
      </c>
      <c r="F490" s="192">
        <f>IF(AC490&gt;AD490,"Yes","No")</f>
        <v/>
      </c>
      <c r="G490" s="192">
        <f>IF((Y490+AB490)&gt;Z490,"Yes",IF((Y490+AB490)=Z490,"Push","No"))</f>
        <v/>
      </c>
      <c r="H490" s="157">
        <f>IF(O490="Home",VLOOKUP(N490,Matrix!A:S,19,0),1)</f>
        <v/>
      </c>
      <c r="I490" s="157">
        <f>IF(O490="Away",VLOOKUP(N490,Matrix!A:Z,20,0),1)</f>
        <v/>
      </c>
      <c r="J490" s="157">
        <f>IF(O490="Away",VLOOKUP(P490,Matrix!A:S,19,0),1)</f>
        <v/>
      </c>
      <c r="K490" s="157">
        <f>IF(O490="Home",VLOOKUP(P490,Matrix!A:Z,20,0),1)</f>
        <v/>
      </c>
      <c r="L490" s="156" t="n">
        <v>-0.298125147147871</v>
      </c>
      <c r="M490" s="179">
        <f>Schedule!B490</f>
        <v/>
      </c>
      <c r="N490" s="156">
        <f>Schedule!E490</f>
        <v/>
      </c>
      <c r="O490" s="156" t="inlineStr">
        <is>
          <t>Away</t>
        </is>
      </c>
      <c r="P490" s="157">
        <f>Schedule!H490</f>
        <v/>
      </c>
      <c r="Q490" s="157">
        <f>Schedule!C490</f>
        <v/>
      </c>
      <c r="R490" s="180">
        <f>Schedule!D490</f>
        <v/>
      </c>
      <c r="S490" s="181">
        <f>Schedule!J490</f>
        <v/>
      </c>
      <c r="T490" s="193">
        <f>Y490-Z490</f>
        <v/>
      </c>
      <c r="U490" s="182">
        <f>T490/Picks!$K$2</f>
        <v/>
      </c>
      <c r="V490" s="193">
        <f>INDEX(Standings!$T$3:$T$34, MATCH(N490, Standings!$A$3:$A$34, 0)) - INDEX(Standings!$T$3:$T$34, MATCH(P490, Standings!$A$3:$A$34, 0))</f>
        <v/>
      </c>
      <c r="W490" s="157">
        <f>INDEX(Standings!$L$3:$L$34, MATCH(N490, Standings!$A$3:$A$34, 0)) - INDEX(Standings!$L$3:$L$34, MATCH(P490, Standings!$A$3:$A$34, 0))</f>
        <v/>
      </c>
      <c r="X490" s="157">
        <f>INDEX(Standings!$M$3:$M$34, MATCH(N490, Standings!$A$3:$A$34, 0)) - INDEX(Standings!$M$3:$M$34, MATCH(P490, Standings!$A$3:$A$34, 0))</f>
        <v/>
      </c>
      <c r="Y490" s="194">
        <f t="array" ref="Y490:Y490">IFERROR(AE490+(AL490-_DFactor)*AE490,"")</f>
        <v/>
      </c>
      <c r="Z490" s="157">
        <f>IFERROR(AF490+(AI490-_DFactor)*AF490,"")</f>
        <v/>
      </c>
      <c r="AC490" s="194">
        <f>VLOOKUP(M490&amp;N490,Schedule!A:F,6,0)</f>
        <v/>
      </c>
      <c r="AD490" s="194">
        <f>VLOOKUP(M490&amp;P490,Schedule!A:F,6,0)</f>
        <v/>
      </c>
      <c r="AE490" s="156">
        <f>VLOOKUP(N490,ProjPVT!B:I,8,0)*_Mag/VLOOKUP(P490,Standings!A:O,15,0)*H490*K490</f>
        <v/>
      </c>
      <c r="AF490" s="156">
        <f>VLOOKUP(P490,ProjPVT!B:I,8,0)*_Mag/VLOOKUP(N490,Standings!A:O,15,0)*J490*I490</f>
        <v/>
      </c>
      <c r="AG490" s="195">
        <f>VLOOKUP(N490,Matrix!AA:AC,3,0)</f>
        <v/>
      </c>
      <c r="AH490" s="195">
        <f>SUMIFS(Def!C:C,Def!F:F,AG490)</f>
        <v/>
      </c>
      <c r="AI490" s="156">
        <f>IFERROR(SUMIFS(Def!B:B,Def!F:F,AG490)/AH490,"")</f>
        <v/>
      </c>
      <c r="AJ490" s="195">
        <f>VLOOKUP(P490,Matrix!AA:AC,3,0)</f>
        <v/>
      </c>
      <c r="AK490" s="195">
        <f>SUMIFS(Def!C:C,Def!F:F,AJ490)</f>
        <v/>
      </c>
      <c r="AL490" s="156">
        <f>IFERROR(SUMIFS(Def!B:B,Def!F:F,AJ490)/AK490,"")</f>
        <v/>
      </c>
    </row>
    <row r="491" ht="14.4" customHeight="1" s="152">
      <c r="A491" s="157">
        <f>IF(F491="Yes",IFERROR(IF(AA491&gt;1,AA491/100,100/-AA491),""),-1)</f>
        <v/>
      </c>
      <c r="B491" s="157">
        <f>B490+1</f>
        <v/>
      </c>
      <c r="C491" s="157">
        <f>IF(Y491&gt;Z491,1,0)</f>
        <v/>
      </c>
      <c r="D491" s="157">
        <f>IF(AND(C491=1,F491="Yes"),"Yes",IF(AND(C491=0,F491="No"),"Yes","No"))</f>
        <v/>
      </c>
      <c r="E491" s="192">
        <f>IF((AC491+AB491)=AD491,"Push",IF((AC491+AB491)&gt;AD491,"Yes","No"))</f>
        <v/>
      </c>
      <c r="F491" s="192">
        <f>IF(AC491&gt;AD491,"Yes","No")</f>
        <v/>
      </c>
      <c r="G491" s="192">
        <f>IF((Y491+AB491)&gt;Z491,"Yes",IF((Y491+AB491)=Z491,"Push","No"))</f>
        <v/>
      </c>
      <c r="H491" s="157">
        <f>IF(O491="Home",VLOOKUP(N491,Matrix!A:S,19,0),1)</f>
        <v/>
      </c>
      <c r="I491" s="157">
        <f>IF(O491="Away",VLOOKUP(N491,Matrix!A:Z,20,0),1)</f>
        <v/>
      </c>
      <c r="J491" s="157">
        <f>IF(O491="Away",VLOOKUP(P491,Matrix!A:S,19,0),1)</f>
        <v/>
      </c>
      <c r="K491" s="157">
        <f>IF(O491="Home",VLOOKUP(P491,Matrix!A:Z,20,0),1)</f>
        <v/>
      </c>
      <c r="L491" s="156" t="n">
        <v>-0.289192435916715</v>
      </c>
      <c r="M491" s="179">
        <f>Schedule!B491</f>
        <v/>
      </c>
      <c r="N491" s="156">
        <f>Schedule!E491</f>
        <v/>
      </c>
      <c r="O491" s="156" t="inlineStr">
        <is>
          <t>Away</t>
        </is>
      </c>
      <c r="P491" s="157">
        <f>Schedule!H491</f>
        <v/>
      </c>
      <c r="Q491" s="157">
        <f>Schedule!C491</f>
        <v/>
      </c>
      <c r="R491" s="180">
        <f>Schedule!D491</f>
        <v/>
      </c>
      <c r="S491" s="181">
        <f>Schedule!J491</f>
        <v/>
      </c>
      <c r="T491" s="193">
        <f>Y491-Z491</f>
        <v/>
      </c>
      <c r="U491" s="182">
        <f>T491/Picks!$K$2</f>
        <v/>
      </c>
      <c r="V491" s="193">
        <f>INDEX(Standings!$T$3:$T$34, MATCH(N491, Standings!$A$3:$A$34, 0)) - INDEX(Standings!$T$3:$T$34, MATCH(P491, Standings!$A$3:$A$34, 0))</f>
        <v/>
      </c>
      <c r="W491" s="157">
        <f>INDEX(Standings!$L$3:$L$34, MATCH(N491, Standings!$A$3:$A$34, 0)) - INDEX(Standings!$L$3:$L$34, MATCH(P491, Standings!$A$3:$A$34, 0))</f>
        <v/>
      </c>
      <c r="X491" s="157">
        <f>INDEX(Standings!$M$3:$M$34, MATCH(N491, Standings!$A$3:$A$34, 0)) - INDEX(Standings!$M$3:$M$34, MATCH(P491, Standings!$A$3:$A$34, 0))</f>
        <v/>
      </c>
      <c r="Y491" s="194">
        <f t="array" ref="Y491:Y491">IFERROR(AE491+(AL491-_DFactor)*AE491,"")</f>
        <v/>
      </c>
      <c r="Z491" s="157">
        <f>IFERROR(AF491+(AI491-_DFactor)*AF491,"")</f>
        <v/>
      </c>
      <c r="AC491" s="194">
        <f>VLOOKUP(M491&amp;N491,Schedule!A:F,6,0)</f>
        <v/>
      </c>
      <c r="AD491" s="194">
        <f>VLOOKUP(M491&amp;P491,Schedule!A:F,6,0)</f>
        <v/>
      </c>
      <c r="AE491" s="156">
        <f>VLOOKUP(N491,ProjPVT!B:I,8,0)*_Mag/VLOOKUP(P491,Standings!A:O,15,0)*H491*K491</f>
        <v/>
      </c>
      <c r="AF491" s="156">
        <f>VLOOKUP(P491,ProjPVT!B:I,8,0)*_Mag/VLOOKUP(N491,Standings!A:O,15,0)*J491*I491</f>
        <v/>
      </c>
      <c r="AG491" s="195">
        <f>VLOOKUP(N491,Matrix!AA:AC,3,0)</f>
        <v/>
      </c>
      <c r="AH491" s="195">
        <f>SUMIFS(Def!C:C,Def!F:F,AG491)</f>
        <v/>
      </c>
      <c r="AI491" s="156">
        <f>IFERROR(SUMIFS(Def!B:B,Def!F:F,AG491)/AH491,"")</f>
        <v/>
      </c>
      <c r="AJ491" s="195">
        <f>VLOOKUP(P491,Matrix!AA:AC,3,0)</f>
        <v/>
      </c>
      <c r="AK491" s="195">
        <f>SUMIFS(Def!C:C,Def!F:F,AJ491)</f>
        <v/>
      </c>
      <c r="AL491" s="156">
        <f>IFERROR(SUMIFS(Def!B:B,Def!F:F,AJ491)/AK491,"")</f>
        <v/>
      </c>
    </row>
    <row r="492" ht="14.4" customHeight="1" s="152">
      <c r="A492" s="157">
        <f>IF(F492="Yes",IFERROR(IF(AA492&gt;1,AA492/100,100/-AA492),""),-1)</f>
        <v/>
      </c>
      <c r="B492" s="157">
        <f>B491+1</f>
        <v/>
      </c>
      <c r="C492" s="157">
        <f>IF(Y492&gt;Z492,1,0)</f>
        <v/>
      </c>
      <c r="D492" s="157">
        <f>IF(AND(C492=1,F492="Yes"),"Yes",IF(AND(C492=0,F492="No"),"Yes","No"))</f>
        <v/>
      </c>
      <c r="E492" s="192">
        <f>IF((AC492+AB492)=AD492,"Push",IF((AC492+AB492)&gt;AD492,"Yes","No"))</f>
        <v/>
      </c>
      <c r="F492" s="192">
        <f>IF(AC492&gt;AD492,"Yes","No")</f>
        <v/>
      </c>
      <c r="G492" s="192">
        <f>IF((Y492+AB492)&gt;Z492,"Yes",IF((Y492+AB492)=Z492,"Push","No"))</f>
        <v/>
      </c>
      <c r="H492" s="157">
        <f>IF(O492="Home",VLOOKUP(N492,Matrix!A:S,19,0),1)</f>
        <v/>
      </c>
      <c r="I492" s="157">
        <f>IF(O492="Away",VLOOKUP(N492,Matrix!A:Z,20,0),1)</f>
        <v/>
      </c>
      <c r="J492" s="157">
        <f>IF(O492="Away",VLOOKUP(P492,Matrix!A:S,19,0),1)</f>
        <v/>
      </c>
      <c r="K492" s="157">
        <f>IF(O492="Home",VLOOKUP(P492,Matrix!A:Z,20,0),1)</f>
        <v/>
      </c>
      <c r="L492" s="156" t="n">
        <v>-0.253235695843303</v>
      </c>
      <c r="M492" s="179">
        <f>Schedule!B492</f>
        <v/>
      </c>
      <c r="N492" s="156">
        <f>Schedule!E492</f>
        <v/>
      </c>
      <c r="O492" s="156" t="inlineStr">
        <is>
          <t>Away</t>
        </is>
      </c>
      <c r="P492" s="157">
        <f>Schedule!H492</f>
        <v/>
      </c>
      <c r="Q492" s="157">
        <f>Schedule!C492</f>
        <v/>
      </c>
      <c r="R492" s="180">
        <f>Schedule!D492</f>
        <v/>
      </c>
      <c r="S492" s="181">
        <f>Schedule!J492</f>
        <v/>
      </c>
      <c r="T492" s="193">
        <f>Y492-Z492</f>
        <v/>
      </c>
      <c r="U492" s="182">
        <f>T492/Picks!$K$2</f>
        <v/>
      </c>
      <c r="V492" s="193">
        <f>INDEX(Standings!$T$3:$T$34, MATCH(N492, Standings!$A$3:$A$34, 0)) - INDEX(Standings!$T$3:$T$34, MATCH(P492, Standings!$A$3:$A$34, 0))</f>
        <v/>
      </c>
      <c r="W492" s="157">
        <f>INDEX(Standings!$L$3:$L$34, MATCH(N492, Standings!$A$3:$A$34, 0)) - INDEX(Standings!$L$3:$L$34, MATCH(P492, Standings!$A$3:$A$34, 0))</f>
        <v/>
      </c>
      <c r="X492" s="157">
        <f>INDEX(Standings!$M$3:$M$34, MATCH(N492, Standings!$A$3:$A$34, 0)) - INDEX(Standings!$M$3:$M$34, MATCH(P492, Standings!$A$3:$A$34, 0))</f>
        <v/>
      </c>
      <c r="Y492" s="194">
        <f t="array" ref="Y492:Y492">IFERROR(AE492+(AL492-_DFactor)*AE492,"")</f>
        <v/>
      </c>
      <c r="Z492" s="157">
        <f>IFERROR(AF492+(AI492-_DFactor)*AF492,"")</f>
        <v/>
      </c>
      <c r="AC492" s="194">
        <f>VLOOKUP(M492&amp;N492,Schedule!A:F,6,0)</f>
        <v/>
      </c>
      <c r="AD492" s="194">
        <f>VLOOKUP(M492&amp;P492,Schedule!A:F,6,0)</f>
        <v/>
      </c>
      <c r="AE492" s="156">
        <f>VLOOKUP(N492,ProjPVT!B:I,8,0)*_Mag/VLOOKUP(P492,Standings!A:O,15,0)*H492*K492</f>
        <v/>
      </c>
      <c r="AF492" s="156">
        <f>VLOOKUP(P492,ProjPVT!B:I,8,0)*_Mag/VLOOKUP(N492,Standings!A:O,15,0)*J492*I492</f>
        <v/>
      </c>
      <c r="AG492" s="195">
        <f>VLOOKUP(N492,Matrix!AA:AC,3,0)</f>
        <v/>
      </c>
      <c r="AH492" s="195">
        <f>SUMIFS(Def!C:C,Def!F:F,AG492)</f>
        <v/>
      </c>
      <c r="AI492" s="156">
        <f>IFERROR(SUMIFS(Def!B:B,Def!F:F,AG492)/AH492,"")</f>
        <v/>
      </c>
      <c r="AJ492" s="195">
        <f>VLOOKUP(P492,Matrix!AA:AC,3,0)</f>
        <v/>
      </c>
      <c r="AK492" s="195">
        <f>SUMIFS(Def!C:C,Def!F:F,AJ492)</f>
        <v/>
      </c>
      <c r="AL492" s="156">
        <f>IFERROR(SUMIFS(Def!B:B,Def!F:F,AJ492)/AK492,"")</f>
        <v/>
      </c>
    </row>
    <row r="493" ht="14.4" customHeight="1" s="152">
      <c r="A493" s="157">
        <f>IF(F493="Yes",IFERROR(IF(AA493&gt;1,AA493/100,100/-AA493),""),-1)</f>
        <v/>
      </c>
      <c r="B493" s="157">
        <f>B492+1</f>
        <v/>
      </c>
      <c r="C493" s="157">
        <f>IF(Y493&gt;Z493,1,0)</f>
        <v/>
      </c>
      <c r="D493" s="157">
        <f>IF(AND(C493=1,F493="Yes"),"Yes",IF(AND(C493=0,F493="No"),"Yes","No"))</f>
        <v/>
      </c>
      <c r="E493" s="192">
        <f>IF((AC493+AB493)=AD493,"Push",IF((AC493+AB493)&gt;AD493,"Yes","No"))</f>
        <v/>
      </c>
      <c r="F493" s="192">
        <f>IF(AC493&gt;AD493,"Yes","No")</f>
        <v/>
      </c>
      <c r="G493" s="192">
        <f>IF((Y493+AB493)&gt;Z493,"Yes",IF((Y493+AB493)=Z493,"Push","No"))</f>
        <v/>
      </c>
      <c r="H493" s="157">
        <f>IF(O493="Home",VLOOKUP(N493,Matrix!A:S,19,0),1)</f>
        <v/>
      </c>
      <c r="I493" s="157">
        <f>IF(O493="Away",VLOOKUP(N493,Matrix!A:Z,20,0),1)</f>
        <v/>
      </c>
      <c r="J493" s="157">
        <f>IF(O493="Away",VLOOKUP(P493,Matrix!A:S,19,0),1)</f>
        <v/>
      </c>
      <c r="K493" s="157">
        <f>IF(O493="Home",VLOOKUP(P493,Matrix!A:Z,20,0),1)</f>
        <v/>
      </c>
      <c r="L493" s="156" t="n">
        <v>-0.219038349293089</v>
      </c>
      <c r="M493" s="179">
        <f>Schedule!B493</f>
        <v/>
      </c>
      <c r="N493" s="156">
        <f>Schedule!E493</f>
        <v/>
      </c>
      <c r="O493" s="156" t="inlineStr">
        <is>
          <t>Away</t>
        </is>
      </c>
      <c r="P493" s="157">
        <f>Schedule!H493</f>
        <v/>
      </c>
      <c r="Q493" s="157">
        <f>Schedule!C493</f>
        <v/>
      </c>
      <c r="R493" s="180">
        <f>Schedule!D493</f>
        <v/>
      </c>
      <c r="S493" s="181">
        <f>Schedule!J493</f>
        <v/>
      </c>
      <c r="T493" s="193">
        <f>Y493-Z493</f>
        <v/>
      </c>
      <c r="U493" s="182">
        <f>T493/Picks!$K$2</f>
        <v/>
      </c>
      <c r="V493" s="193">
        <f>INDEX(Standings!$T$3:$T$34, MATCH(N493, Standings!$A$3:$A$34, 0)) - INDEX(Standings!$T$3:$T$34, MATCH(P493, Standings!$A$3:$A$34, 0))</f>
        <v/>
      </c>
      <c r="W493" s="157">
        <f>INDEX(Standings!$L$3:$L$34, MATCH(N493, Standings!$A$3:$A$34, 0)) - INDEX(Standings!$L$3:$L$34, MATCH(P493, Standings!$A$3:$A$34, 0))</f>
        <v/>
      </c>
      <c r="X493" s="157">
        <f>INDEX(Standings!$M$3:$M$34, MATCH(N493, Standings!$A$3:$A$34, 0)) - INDEX(Standings!$M$3:$M$34, MATCH(P493, Standings!$A$3:$A$34, 0))</f>
        <v/>
      </c>
      <c r="Y493" s="194">
        <f t="array" ref="Y493:Y493">IFERROR(AE493+(AL493-_DFactor)*AE493,"")</f>
        <v/>
      </c>
      <c r="Z493" s="157">
        <f>IFERROR(AF493+(AI493-_DFactor)*AF493,"")</f>
        <v/>
      </c>
      <c r="AC493" s="194">
        <f>VLOOKUP(M493&amp;N493,Schedule!A:F,6,0)</f>
        <v/>
      </c>
      <c r="AD493" s="194">
        <f>VLOOKUP(M493&amp;P493,Schedule!A:F,6,0)</f>
        <v/>
      </c>
      <c r="AE493" s="156">
        <f>VLOOKUP(N493,ProjPVT!B:I,8,0)*_Mag/VLOOKUP(P493,Standings!A:O,15,0)*H493*K493</f>
        <v/>
      </c>
      <c r="AF493" s="156">
        <f>VLOOKUP(P493,ProjPVT!B:I,8,0)*_Mag/VLOOKUP(N493,Standings!A:O,15,0)*J493*I493</f>
        <v/>
      </c>
      <c r="AG493" s="195">
        <f>VLOOKUP(N493,Matrix!AA:AC,3,0)</f>
        <v/>
      </c>
      <c r="AH493" s="195">
        <f>SUMIFS(Def!C:C,Def!F:F,AG493)</f>
        <v/>
      </c>
      <c r="AI493" s="156">
        <f>IFERROR(SUMIFS(Def!B:B,Def!F:F,AG493)/AH493,"")</f>
        <v/>
      </c>
      <c r="AJ493" s="195">
        <f>VLOOKUP(P493,Matrix!AA:AC,3,0)</f>
        <v/>
      </c>
      <c r="AK493" s="195">
        <f>SUMIFS(Def!C:C,Def!F:F,AJ493)</f>
        <v/>
      </c>
      <c r="AL493" s="156">
        <f>IFERROR(SUMIFS(Def!B:B,Def!F:F,AJ493)/AK493,"")</f>
        <v/>
      </c>
    </row>
    <row r="494" ht="14.4" customHeight="1" s="152">
      <c r="A494" s="157">
        <f>IF(F494="Yes",IFERROR(IF(AA494&gt;1,AA494/100,100/-AA494),""),-1)</f>
        <v/>
      </c>
      <c r="B494" s="157">
        <f>B493+1</f>
        <v/>
      </c>
      <c r="C494" s="157">
        <f>IF(Y494&gt;Z494,1,0)</f>
        <v/>
      </c>
      <c r="D494" s="157">
        <f>IF(AND(C494=1,F494="Yes"),"Yes",IF(AND(C494=0,F494="No"),"Yes","No"))</f>
        <v/>
      </c>
      <c r="E494" s="192">
        <f>IF((AC494+AB494)=AD494,"Push",IF((AC494+AB494)&gt;AD494,"Yes","No"))</f>
        <v/>
      </c>
      <c r="F494" s="192">
        <f>IF(AC494&gt;AD494,"Yes","No")</f>
        <v/>
      </c>
      <c r="G494" s="192">
        <f>IF((Y494+AB494)&gt;Z494,"Yes",IF((Y494+AB494)=Z494,"Push","No"))</f>
        <v/>
      </c>
      <c r="H494" s="157">
        <f>IF(O494="Home",VLOOKUP(N494,Matrix!A:S,19,0),1)</f>
        <v/>
      </c>
      <c r="I494" s="157">
        <f>IF(O494="Away",VLOOKUP(N494,Matrix!A:Z,20,0),1)</f>
        <v/>
      </c>
      <c r="J494" s="157">
        <f>IF(O494="Away",VLOOKUP(P494,Matrix!A:S,19,0),1)</f>
        <v/>
      </c>
      <c r="K494" s="157">
        <f>IF(O494="Home",VLOOKUP(P494,Matrix!A:Z,20,0),1)</f>
        <v/>
      </c>
      <c r="L494" s="156" t="n">
        <v>-0.187637394511407</v>
      </c>
      <c r="M494" s="179">
        <f>Schedule!B494</f>
        <v/>
      </c>
      <c r="N494" s="156">
        <f>Schedule!E494</f>
        <v/>
      </c>
      <c r="O494" s="156" t="inlineStr">
        <is>
          <t>Away</t>
        </is>
      </c>
      <c r="P494" s="157">
        <f>Schedule!H494</f>
        <v/>
      </c>
      <c r="Q494" s="157">
        <f>Schedule!C494</f>
        <v/>
      </c>
      <c r="R494" s="180">
        <f>Schedule!D494</f>
        <v/>
      </c>
      <c r="S494" s="181">
        <f>Schedule!J494</f>
        <v/>
      </c>
      <c r="T494" s="193">
        <f>Y494-Z494</f>
        <v/>
      </c>
      <c r="U494" s="182">
        <f>T494/Picks!$K$2</f>
        <v/>
      </c>
      <c r="V494" s="193">
        <f>INDEX(Standings!$T$3:$T$34, MATCH(N494, Standings!$A$3:$A$34, 0)) - INDEX(Standings!$T$3:$T$34, MATCH(P494, Standings!$A$3:$A$34, 0))</f>
        <v/>
      </c>
      <c r="W494" s="157">
        <f>INDEX(Standings!$L$3:$L$34, MATCH(N494, Standings!$A$3:$A$34, 0)) - INDEX(Standings!$L$3:$L$34, MATCH(P494, Standings!$A$3:$A$34, 0))</f>
        <v/>
      </c>
      <c r="X494" s="157">
        <f>INDEX(Standings!$M$3:$M$34, MATCH(N494, Standings!$A$3:$A$34, 0)) - INDEX(Standings!$M$3:$M$34, MATCH(P494, Standings!$A$3:$A$34, 0))</f>
        <v/>
      </c>
      <c r="Y494" s="194">
        <f t="array" ref="Y494:Y494">IFERROR(AE494+(AL494-_DFactor)*AE494,"")</f>
        <v/>
      </c>
      <c r="Z494" s="157">
        <f>IFERROR(AF494+(AI494-_DFactor)*AF494,"")</f>
        <v/>
      </c>
      <c r="AC494" s="194">
        <f>VLOOKUP(M494&amp;N494,Schedule!A:F,6,0)</f>
        <v/>
      </c>
      <c r="AD494" s="194">
        <f>VLOOKUP(M494&amp;P494,Schedule!A:F,6,0)</f>
        <v/>
      </c>
      <c r="AE494" s="156">
        <f>VLOOKUP(N494,ProjPVT!B:I,8,0)*_Mag/VLOOKUP(P494,Standings!A:O,15,0)*H494*K494</f>
        <v/>
      </c>
      <c r="AF494" s="156">
        <f>VLOOKUP(P494,ProjPVT!B:I,8,0)*_Mag/VLOOKUP(N494,Standings!A:O,15,0)*J494*I494</f>
        <v/>
      </c>
      <c r="AG494" s="195">
        <f>VLOOKUP(N494,Matrix!AA:AC,3,0)</f>
        <v/>
      </c>
      <c r="AH494" s="195">
        <f>SUMIFS(Def!C:C,Def!F:F,AG494)</f>
        <v/>
      </c>
      <c r="AI494" s="156">
        <f>IFERROR(SUMIFS(Def!B:B,Def!F:F,AG494)/AH494,"")</f>
        <v/>
      </c>
      <c r="AJ494" s="195">
        <f>VLOOKUP(P494,Matrix!AA:AC,3,0)</f>
        <v/>
      </c>
      <c r="AK494" s="195">
        <f>SUMIFS(Def!C:C,Def!F:F,AJ494)</f>
        <v/>
      </c>
      <c r="AL494" s="156">
        <f>IFERROR(SUMIFS(Def!B:B,Def!F:F,AJ494)/AK494,"")</f>
        <v/>
      </c>
    </row>
    <row r="495" ht="14.4" customHeight="1" s="152">
      <c r="A495" s="157">
        <f>IF(F495="Yes",IFERROR(IF(AA495&gt;1,AA495/100,100/-AA495),""),-1)</f>
        <v/>
      </c>
      <c r="B495" s="157">
        <f>B494+1</f>
        <v/>
      </c>
      <c r="C495" s="157">
        <f>IF(Y495&gt;Z495,1,0)</f>
        <v/>
      </c>
      <c r="D495" s="157">
        <f>IF(AND(C495=1,F495="Yes"),"Yes",IF(AND(C495=0,F495="No"),"Yes","No"))</f>
        <v/>
      </c>
      <c r="E495" s="192">
        <f>IF((AC495+AB495)=AD495,"Push",IF((AC495+AB495)&gt;AD495,"Yes","No"))</f>
        <v/>
      </c>
      <c r="F495" s="192">
        <f>IF(AC495&gt;AD495,"Yes","No")</f>
        <v/>
      </c>
      <c r="G495" s="192">
        <f>IF((Y495+AB495)&gt;Z495,"Yes",IF((Y495+AB495)=Z495,"Push","No"))</f>
        <v/>
      </c>
      <c r="H495" s="157">
        <f>IF(O495="Home",VLOOKUP(N495,Matrix!A:S,19,0),1)</f>
        <v/>
      </c>
      <c r="I495" s="157">
        <f>IF(O495="Away",VLOOKUP(N495,Matrix!A:Z,20,0),1)</f>
        <v/>
      </c>
      <c r="J495" s="157">
        <f>IF(O495="Away",VLOOKUP(P495,Matrix!A:S,19,0),1)</f>
        <v/>
      </c>
      <c r="K495" s="157">
        <f>IF(O495="Home",VLOOKUP(P495,Matrix!A:Z,20,0),1)</f>
        <v/>
      </c>
      <c r="L495" s="156" t="n">
        <v>-0.121764304156697</v>
      </c>
      <c r="M495" s="179">
        <f>Schedule!B495</f>
        <v/>
      </c>
      <c r="N495" s="156">
        <f>Schedule!E495</f>
        <v/>
      </c>
      <c r="O495" s="156" t="inlineStr">
        <is>
          <t>Away</t>
        </is>
      </c>
      <c r="P495" s="157">
        <f>Schedule!H495</f>
        <v/>
      </c>
      <c r="Q495" s="157">
        <f>Schedule!C495</f>
        <v/>
      </c>
      <c r="R495" s="180">
        <f>Schedule!D495</f>
        <v/>
      </c>
      <c r="S495" s="181">
        <f>Schedule!J495</f>
        <v/>
      </c>
      <c r="T495" s="193">
        <f>Y495-Z495</f>
        <v/>
      </c>
      <c r="U495" s="182">
        <f>T495/Picks!$K$2</f>
        <v/>
      </c>
      <c r="V495" s="193">
        <f>INDEX(Standings!$T$3:$T$34, MATCH(N495, Standings!$A$3:$A$34, 0)) - INDEX(Standings!$T$3:$T$34, MATCH(P495, Standings!$A$3:$A$34, 0))</f>
        <v/>
      </c>
      <c r="W495" s="157">
        <f>INDEX(Standings!$L$3:$L$34, MATCH(N495, Standings!$A$3:$A$34, 0)) - INDEX(Standings!$L$3:$L$34, MATCH(P495, Standings!$A$3:$A$34, 0))</f>
        <v/>
      </c>
      <c r="X495" s="157">
        <f>INDEX(Standings!$M$3:$M$34, MATCH(N495, Standings!$A$3:$A$34, 0)) - INDEX(Standings!$M$3:$M$34, MATCH(P495, Standings!$A$3:$A$34, 0))</f>
        <v/>
      </c>
      <c r="Y495" s="194">
        <f t="array" ref="Y495:Y495">IFERROR(AE495+(AL495-_DFactor)*AE495,"")</f>
        <v/>
      </c>
      <c r="Z495" s="157">
        <f>IFERROR(AF495+(AI495-_DFactor)*AF495,"")</f>
        <v/>
      </c>
      <c r="AC495" s="194">
        <f>VLOOKUP(M495&amp;N495,Schedule!A:F,6,0)</f>
        <v/>
      </c>
      <c r="AD495" s="194">
        <f>VLOOKUP(M495&amp;P495,Schedule!A:F,6,0)</f>
        <v/>
      </c>
      <c r="AE495" s="156">
        <f>VLOOKUP(N495,ProjPVT!B:I,8,0)*_Mag/VLOOKUP(P495,Standings!A:O,15,0)*H495*K495</f>
        <v/>
      </c>
      <c r="AF495" s="156">
        <f>VLOOKUP(P495,ProjPVT!B:I,8,0)*_Mag/VLOOKUP(N495,Standings!A:O,15,0)*J495*I495</f>
        <v/>
      </c>
      <c r="AG495" s="195">
        <f>VLOOKUP(N495,Matrix!AA:AC,3,0)</f>
        <v/>
      </c>
      <c r="AH495" s="195">
        <f>SUMIFS(Def!C:C,Def!F:F,AG495)</f>
        <v/>
      </c>
      <c r="AI495" s="156">
        <f>IFERROR(SUMIFS(Def!B:B,Def!F:F,AG495)/AH495,"")</f>
        <v/>
      </c>
      <c r="AJ495" s="195">
        <f>VLOOKUP(P495,Matrix!AA:AC,3,0)</f>
        <v/>
      </c>
      <c r="AK495" s="195">
        <f>SUMIFS(Def!C:C,Def!F:F,AJ495)</f>
        <v/>
      </c>
      <c r="AL495" s="156">
        <f>IFERROR(SUMIFS(Def!B:B,Def!F:F,AJ495)/AK495,"")</f>
        <v/>
      </c>
    </row>
    <row r="496" ht="14.4" customHeight="1" s="152">
      <c r="A496" s="157">
        <f>IF(F496="Yes",IFERROR(IF(AA496&gt;1,AA496/100,100/-AA496),""),-1)</f>
        <v/>
      </c>
      <c r="B496" s="157">
        <f>B495+1</f>
        <v/>
      </c>
      <c r="C496" s="157">
        <f>IF(Y496&gt;Z496,1,0)</f>
        <v/>
      </c>
      <c r="D496" s="157">
        <f>IF(AND(C496=1,F496="Yes"),"Yes",IF(AND(C496=0,F496="No"),"Yes","No"))</f>
        <v/>
      </c>
      <c r="E496" s="192">
        <f>IF((AC496+AB496)=AD496,"Push",IF((AC496+AB496)&gt;AD496,"Yes","No"))</f>
        <v/>
      </c>
      <c r="F496" s="192">
        <f>IF(AC496&gt;AD496,"Yes","No")</f>
        <v/>
      </c>
      <c r="G496" s="192">
        <f>IF((Y496+AB496)&gt;Z496,"Yes",IF((Y496+AB496)=Z496,"Push","No"))</f>
        <v/>
      </c>
      <c r="H496" s="157">
        <f>IF(O496="Home",VLOOKUP(N496,Matrix!A:S,19,0),1)</f>
        <v/>
      </c>
      <c r="I496" s="157">
        <f>IF(O496="Away",VLOOKUP(N496,Matrix!A:Z,20,0),1)</f>
        <v/>
      </c>
      <c r="J496" s="157">
        <f>IF(O496="Away",VLOOKUP(P496,Matrix!A:S,19,0),1)</f>
        <v/>
      </c>
      <c r="K496" s="157">
        <f>IF(O496="Home",VLOOKUP(P496,Matrix!A:Z,20,0),1)</f>
        <v/>
      </c>
      <c r="L496" s="156" t="n">
        <v>-0.111422581558972</v>
      </c>
      <c r="M496" s="179">
        <f>Schedule!B496</f>
        <v/>
      </c>
      <c r="N496" s="156">
        <f>Schedule!E496</f>
        <v/>
      </c>
      <c r="O496" s="156" t="inlineStr">
        <is>
          <t>Away</t>
        </is>
      </c>
      <c r="P496" s="157">
        <f>Schedule!H496</f>
        <v/>
      </c>
      <c r="Q496" s="157">
        <f>Schedule!C496</f>
        <v/>
      </c>
      <c r="R496" s="180">
        <f>Schedule!D496</f>
        <v/>
      </c>
      <c r="S496" s="181">
        <f>Schedule!J496</f>
        <v/>
      </c>
      <c r="T496" s="193">
        <f>Y496-Z496</f>
        <v/>
      </c>
      <c r="U496" s="182">
        <f>T496/Picks!$K$2</f>
        <v/>
      </c>
      <c r="V496" s="193">
        <f>INDEX(Standings!$T$3:$T$34, MATCH(N496, Standings!$A$3:$A$34, 0)) - INDEX(Standings!$T$3:$T$34, MATCH(P496, Standings!$A$3:$A$34, 0))</f>
        <v/>
      </c>
      <c r="W496" s="157">
        <f>INDEX(Standings!$L$3:$L$34, MATCH(N496, Standings!$A$3:$A$34, 0)) - INDEX(Standings!$L$3:$L$34, MATCH(P496, Standings!$A$3:$A$34, 0))</f>
        <v/>
      </c>
      <c r="X496" s="157">
        <f>INDEX(Standings!$M$3:$M$34, MATCH(N496, Standings!$A$3:$A$34, 0)) - INDEX(Standings!$M$3:$M$34, MATCH(P496, Standings!$A$3:$A$34, 0))</f>
        <v/>
      </c>
      <c r="Y496" s="194">
        <f t="array" ref="Y496:Y496">IFERROR(AE496+(AL496-_DFactor)*AE496,"")</f>
        <v/>
      </c>
      <c r="Z496" s="157">
        <f>IFERROR(AF496+(AI496-_DFactor)*AF496,"")</f>
        <v/>
      </c>
      <c r="AC496" s="194">
        <f>VLOOKUP(M496&amp;N496,Schedule!A:F,6,0)</f>
        <v/>
      </c>
      <c r="AD496" s="194">
        <f>VLOOKUP(M496&amp;P496,Schedule!A:F,6,0)</f>
        <v/>
      </c>
      <c r="AE496" s="156">
        <f>VLOOKUP(N496,ProjPVT!B:I,8,0)*_Mag/VLOOKUP(P496,Standings!A:O,15,0)*H496*K496</f>
        <v/>
      </c>
      <c r="AF496" s="156">
        <f>VLOOKUP(P496,ProjPVT!B:I,8,0)*_Mag/VLOOKUP(N496,Standings!A:O,15,0)*J496*I496</f>
        <v/>
      </c>
      <c r="AG496" s="195">
        <f>VLOOKUP(N496,Matrix!AA:AC,3,0)</f>
        <v/>
      </c>
      <c r="AH496" s="195">
        <f>SUMIFS(Def!C:C,Def!F:F,AG496)</f>
        <v/>
      </c>
      <c r="AI496" s="156">
        <f>IFERROR(SUMIFS(Def!B:B,Def!F:F,AG496)/AH496,"")</f>
        <v/>
      </c>
      <c r="AJ496" s="195">
        <f>VLOOKUP(P496,Matrix!AA:AC,3,0)</f>
        <v/>
      </c>
      <c r="AK496" s="195">
        <f>SUMIFS(Def!C:C,Def!F:F,AJ496)</f>
        <v/>
      </c>
      <c r="AL496" s="156">
        <f>IFERROR(SUMIFS(Def!B:B,Def!F:F,AJ496)/AK496,"")</f>
        <v/>
      </c>
    </row>
    <row r="497" ht="14.4" customHeight="1" s="152">
      <c r="A497" s="157">
        <f>IF(F497="Yes",IFERROR(IF(AA497&gt;1,AA497/100,100/-AA497),""),-1)</f>
        <v/>
      </c>
      <c r="B497" s="157">
        <f>B496+1</f>
        <v/>
      </c>
      <c r="C497" s="157">
        <f>IF(Y497&gt;Z497,1,0)</f>
        <v/>
      </c>
      <c r="D497" s="157">
        <f>IF(AND(C497=1,F497="Yes"),"Yes",IF(AND(C497=0,F497="No"),"Yes","No"))</f>
        <v/>
      </c>
      <c r="E497" s="192">
        <f>IF((AC497+AB497)=AD497,"Push",IF((AC497+AB497)&gt;AD497,"Yes","No"))</f>
        <v/>
      </c>
      <c r="F497" s="192">
        <f>IF(AC497&gt;AD497,"Yes","No")</f>
        <v/>
      </c>
      <c r="G497" s="192">
        <f>IF((Y497+AB497)&gt;Z497,"Yes",IF((Y497+AB497)=Z497,"Push","No"))</f>
        <v/>
      </c>
      <c r="H497" s="157">
        <f>IF(O497="Home",VLOOKUP(N497,Matrix!A:S,19,0),1)</f>
        <v/>
      </c>
      <c r="I497" s="157">
        <f>IF(O497="Away",VLOOKUP(N497,Matrix!A:Z,20,0),1)</f>
        <v/>
      </c>
      <c r="J497" s="157">
        <f>IF(O497="Away",VLOOKUP(P497,Matrix!A:S,19,0),1)</f>
        <v/>
      </c>
      <c r="K497" s="157">
        <f>IF(O497="Home",VLOOKUP(P497,Matrix!A:Z,20,0),1)</f>
        <v/>
      </c>
      <c r="L497" s="156" t="n">
        <v>-0.08580342428070049</v>
      </c>
      <c r="M497" s="179">
        <f>Schedule!B497</f>
        <v/>
      </c>
      <c r="N497" s="156">
        <f>Schedule!E497</f>
        <v/>
      </c>
      <c r="O497" s="156" t="inlineStr">
        <is>
          <t>Away</t>
        </is>
      </c>
      <c r="P497" s="157">
        <f>Schedule!H497</f>
        <v/>
      </c>
      <c r="Q497" s="157">
        <f>Schedule!C497</f>
        <v/>
      </c>
      <c r="R497" s="180">
        <f>Schedule!D497</f>
        <v/>
      </c>
      <c r="S497" s="181">
        <f>Schedule!J497</f>
        <v/>
      </c>
      <c r="T497" s="193">
        <f>Y497-Z497</f>
        <v/>
      </c>
      <c r="U497" s="182">
        <f>T497/Picks!$K$2</f>
        <v/>
      </c>
      <c r="V497" s="193">
        <f>INDEX(Standings!$T$3:$T$34, MATCH(N497, Standings!$A$3:$A$34, 0)) - INDEX(Standings!$T$3:$T$34, MATCH(P497, Standings!$A$3:$A$34, 0))</f>
        <v/>
      </c>
      <c r="W497" s="157">
        <f>INDEX(Standings!$L$3:$L$34, MATCH(N497, Standings!$A$3:$A$34, 0)) - INDEX(Standings!$L$3:$L$34, MATCH(P497, Standings!$A$3:$A$34, 0))</f>
        <v/>
      </c>
      <c r="X497" s="157">
        <f>INDEX(Standings!$M$3:$M$34, MATCH(N497, Standings!$A$3:$A$34, 0)) - INDEX(Standings!$M$3:$M$34, MATCH(P497, Standings!$A$3:$A$34, 0))</f>
        <v/>
      </c>
      <c r="Y497" s="194">
        <f t="array" ref="Y497:Y497">IFERROR(AE497+(AL497-_DFactor)*AE497,"")</f>
        <v/>
      </c>
      <c r="Z497" s="157">
        <f>IFERROR(AF497+(AI497-_DFactor)*AF497,"")</f>
        <v/>
      </c>
      <c r="AC497" s="194">
        <f>VLOOKUP(M497&amp;N497,Schedule!A:F,6,0)</f>
        <v/>
      </c>
      <c r="AD497" s="194">
        <f>VLOOKUP(M497&amp;P497,Schedule!A:F,6,0)</f>
        <v/>
      </c>
      <c r="AE497" s="156">
        <f>VLOOKUP(N497,ProjPVT!B:I,8,0)*_Mag/VLOOKUP(P497,Standings!A:O,15,0)*H497*K497</f>
        <v/>
      </c>
      <c r="AF497" s="156">
        <f>VLOOKUP(P497,ProjPVT!B:I,8,0)*_Mag/VLOOKUP(N497,Standings!A:O,15,0)*J497*I497</f>
        <v/>
      </c>
      <c r="AG497" s="195">
        <f>VLOOKUP(N497,Matrix!AA:AC,3,0)</f>
        <v/>
      </c>
      <c r="AH497" s="195">
        <f>SUMIFS(Def!C:C,Def!F:F,AG497)</f>
        <v/>
      </c>
      <c r="AI497" s="156">
        <f>IFERROR(SUMIFS(Def!B:B,Def!F:F,AG497)/AH497,"")</f>
        <v/>
      </c>
      <c r="AJ497" s="195">
        <f>VLOOKUP(P497,Matrix!AA:AC,3,0)</f>
        <v/>
      </c>
      <c r="AK497" s="195">
        <f>SUMIFS(Def!C:C,Def!F:F,AJ497)</f>
        <v/>
      </c>
      <c r="AL497" s="156">
        <f>IFERROR(SUMIFS(Def!B:B,Def!F:F,AJ497)/AK497,"")</f>
        <v/>
      </c>
    </row>
    <row r="498" ht="14.4" customHeight="1" s="152">
      <c r="A498" s="157">
        <f>IF(F498="Yes",IFERROR(IF(AA498&gt;1,AA498/100,100/-AA498),""),-1)</f>
        <v/>
      </c>
      <c r="B498" s="157">
        <f>B497+1</f>
        <v/>
      </c>
      <c r="C498" s="157">
        <f>IF(Y498&gt;Z498,1,0)</f>
        <v/>
      </c>
      <c r="D498" s="157">
        <f>IF(AND(C498=1,F498="Yes"),"Yes",IF(AND(C498=0,F498="No"),"Yes","No"))</f>
        <v/>
      </c>
      <c r="E498" s="192">
        <f>IF((AC498+AB498)=AD498,"Push",IF((AC498+AB498)&gt;AD498,"Yes","No"))</f>
        <v/>
      </c>
      <c r="F498" s="192">
        <f>IF(AC498&gt;AD498,"Yes","No")</f>
        <v/>
      </c>
      <c r="G498" s="192">
        <f>IF((Y498+AB498)&gt;Z498,"Yes",IF((Y498+AB498)=Z498,"Push","No"))</f>
        <v/>
      </c>
      <c r="H498" s="157">
        <f>IF(O498="Home",VLOOKUP(N498,Matrix!A:S,19,0),1)</f>
        <v/>
      </c>
      <c r="I498" s="157">
        <f>IF(O498="Away",VLOOKUP(N498,Matrix!A:Z,20,0),1)</f>
        <v/>
      </c>
      <c r="J498" s="157">
        <f>IF(O498="Away",VLOOKUP(P498,Matrix!A:S,19,0),1)</f>
        <v/>
      </c>
      <c r="K498" s="157">
        <f>IF(O498="Home",VLOOKUP(P498,Matrix!A:Z,20,0),1)</f>
        <v/>
      </c>
      <c r="L498" s="156" t="n">
        <v>-0.0845330792783392</v>
      </c>
      <c r="M498" s="179">
        <f>Schedule!B498</f>
        <v/>
      </c>
      <c r="N498" s="156">
        <f>Schedule!E498</f>
        <v/>
      </c>
      <c r="O498" s="156" t="inlineStr">
        <is>
          <t>Away</t>
        </is>
      </c>
      <c r="P498" s="157">
        <f>Schedule!H498</f>
        <v/>
      </c>
      <c r="Q498" s="157">
        <f>Schedule!C498</f>
        <v/>
      </c>
      <c r="R498" s="180">
        <f>Schedule!D498</f>
        <v/>
      </c>
      <c r="S498" s="181">
        <f>Schedule!J498</f>
        <v/>
      </c>
      <c r="T498" s="193">
        <f>Y498-Z498</f>
        <v/>
      </c>
      <c r="U498" s="182">
        <f>T498/Picks!$K$2</f>
        <v/>
      </c>
      <c r="V498" s="193">
        <f>INDEX(Standings!$T$3:$T$34, MATCH(N498, Standings!$A$3:$A$34, 0)) - INDEX(Standings!$T$3:$T$34, MATCH(P498, Standings!$A$3:$A$34, 0))</f>
        <v/>
      </c>
      <c r="W498" s="157">
        <f>INDEX(Standings!$L$3:$L$34, MATCH(N498, Standings!$A$3:$A$34, 0)) - INDEX(Standings!$L$3:$L$34, MATCH(P498, Standings!$A$3:$A$34, 0))</f>
        <v/>
      </c>
      <c r="X498" s="157">
        <f>INDEX(Standings!$M$3:$M$34, MATCH(N498, Standings!$A$3:$A$34, 0)) - INDEX(Standings!$M$3:$M$34, MATCH(P498, Standings!$A$3:$A$34, 0))</f>
        <v/>
      </c>
      <c r="Y498" s="194">
        <f t="array" ref="Y498:Y498">IFERROR(AE498+(AL498-_DFactor)*AE498,"")</f>
        <v/>
      </c>
      <c r="Z498" s="157">
        <f>IFERROR(AF498+(AI498-_DFactor)*AF498,"")</f>
        <v/>
      </c>
      <c r="AC498" s="194">
        <f>VLOOKUP(M498&amp;N498,Schedule!A:F,6,0)</f>
        <v/>
      </c>
      <c r="AD498" s="194">
        <f>VLOOKUP(M498&amp;P498,Schedule!A:F,6,0)</f>
        <v/>
      </c>
      <c r="AE498" s="156">
        <f>VLOOKUP(N498,ProjPVT!B:I,8,0)*_Mag/VLOOKUP(P498,Standings!A:O,15,0)*H498*K498</f>
        <v/>
      </c>
      <c r="AF498" s="156">
        <f>VLOOKUP(P498,ProjPVT!B:I,8,0)*_Mag/VLOOKUP(N498,Standings!A:O,15,0)*J498*I498</f>
        <v/>
      </c>
      <c r="AG498" s="195">
        <f>VLOOKUP(N498,Matrix!AA:AC,3,0)</f>
        <v/>
      </c>
      <c r="AH498" s="195">
        <f>SUMIFS(Def!C:C,Def!F:F,AG498)</f>
        <v/>
      </c>
      <c r="AI498" s="156">
        <f>IFERROR(SUMIFS(Def!B:B,Def!F:F,AG498)/AH498,"")</f>
        <v/>
      </c>
      <c r="AJ498" s="195">
        <f>VLOOKUP(P498,Matrix!AA:AC,3,0)</f>
        <v/>
      </c>
      <c r="AK498" s="195">
        <f>SUMIFS(Def!C:C,Def!F:F,AJ498)</f>
        <v/>
      </c>
      <c r="AL498" s="156">
        <f>IFERROR(SUMIFS(Def!B:B,Def!F:F,AJ498)/AK498,"")</f>
        <v/>
      </c>
    </row>
    <row r="499" ht="14.4" customHeight="1" s="152">
      <c r="A499" s="157">
        <f>IF(F499="Yes",IFERROR(IF(AA499&gt;1,AA499/100,100/-AA499),""),-1)</f>
        <v/>
      </c>
      <c r="B499" s="157">
        <f>B498+1</f>
        <v/>
      </c>
      <c r="C499" s="157">
        <f>IF(Y499&gt;Z499,1,0)</f>
        <v/>
      </c>
      <c r="D499" s="157">
        <f>IF(AND(C499=1,F499="Yes"),"Yes",IF(AND(C499=0,F499="No"),"Yes","No"))</f>
        <v/>
      </c>
      <c r="E499" s="192">
        <f>IF((AC499+AB499)=AD499,"Push",IF((AC499+AB499)&gt;AD499,"Yes","No"))</f>
        <v/>
      </c>
      <c r="F499" s="192">
        <f>IF(AC499&gt;AD499,"Yes","No")</f>
        <v/>
      </c>
      <c r="G499" s="192">
        <f>IF((Y499+AB499)&gt;Z499,"Yes",IF((Y499+AB499)=Z499,"Push","No"))</f>
        <v/>
      </c>
      <c r="H499" s="157">
        <f>IF(O499="Home",VLOOKUP(N499,Matrix!A:S,19,0),1)</f>
        <v/>
      </c>
      <c r="I499" s="157">
        <f>IF(O499="Away",VLOOKUP(N499,Matrix!A:Z,20,0),1)</f>
        <v/>
      </c>
      <c r="J499" s="157">
        <f>IF(O499="Away",VLOOKUP(P499,Matrix!A:S,19,0),1)</f>
        <v/>
      </c>
      <c r="K499" s="157">
        <f>IF(O499="Home",VLOOKUP(P499,Matrix!A:Z,20,0),1)</f>
        <v/>
      </c>
      <c r="L499" s="156" t="n">
        <v>-0.0804006940755254</v>
      </c>
      <c r="M499" s="179">
        <f>Schedule!B499</f>
        <v/>
      </c>
      <c r="N499" s="156">
        <f>Schedule!E499</f>
        <v/>
      </c>
      <c r="O499" s="156" t="inlineStr">
        <is>
          <t>Away</t>
        </is>
      </c>
      <c r="P499" s="157">
        <f>Schedule!H499</f>
        <v/>
      </c>
      <c r="Q499" s="157">
        <f>Schedule!C499</f>
        <v/>
      </c>
      <c r="R499" s="180">
        <f>Schedule!D499</f>
        <v/>
      </c>
      <c r="S499" s="181">
        <f>Schedule!J499</f>
        <v/>
      </c>
      <c r="T499" s="193">
        <f>Y499-Z499</f>
        <v/>
      </c>
      <c r="U499" s="182">
        <f>T499/Picks!$K$2</f>
        <v/>
      </c>
      <c r="V499" s="193">
        <f>INDEX(Standings!$T$3:$T$34, MATCH(N499, Standings!$A$3:$A$34, 0)) - INDEX(Standings!$T$3:$T$34, MATCH(P499, Standings!$A$3:$A$34, 0))</f>
        <v/>
      </c>
      <c r="W499" s="157">
        <f>INDEX(Standings!$L$3:$L$34, MATCH(N499, Standings!$A$3:$A$34, 0)) - INDEX(Standings!$L$3:$L$34, MATCH(P499, Standings!$A$3:$A$34, 0))</f>
        <v/>
      </c>
      <c r="X499" s="157">
        <f>INDEX(Standings!$M$3:$M$34, MATCH(N499, Standings!$A$3:$A$34, 0)) - INDEX(Standings!$M$3:$M$34, MATCH(P499, Standings!$A$3:$A$34, 0))</f>
        <v/>
      </c>
      <c r="Y499" s="194">
        <f t="array" ref="Y499:Y499">IFERROR(AE499+(AL499-_DFactor)*AE499,"")</f>
        <v/>
      </c>
      <c r="Z499" s="157">
        <f>IFERROR(AF499+(AI499-_DFactor)*AF499,"")</f>
        <v/>
      </c>
      <c r="AC499" s="194">
        <f>VLOOKUP(M499&amp;N499,Schedule!A:F,6,0)</f>
        <v/>
      </c>
      <c r="AD499" s="194">
        <f>VLOOKUP(M499&amp;P499,Schedule!A:F,6,0)</f>
        <v/>
      </c>
      <c r="AE499" s="156">
        <f>VLOOKUP(N499,ProjPVT!B:I,8,0)*_Mag/VLOOKUP(P499,Standings!A:O,15,0)*H499*K499</f>
        <v/>
      </c>
      <c r="AF499" s="156">
        <f>VLOOKUP(P499,ProjPVT!B:I,8,0)*_Mag/VLOOKUP(N499,Standings!A:O,15,0)*J499*I499</f>
        <v/>
      </c>
      <c r="AG499" s="195">
        <f>VLOOKUP(N499,Matrix!AA:AC,3,0)</f>
        <v/>
      </c>
      <c r="AH499" s="195">
        <f>SUMIFS(Def!C:C,Def!F:F,AG499)</f>
        <v/>
      </c>
      <c r="AI499" s="156">
        <f>IFERROR(SUMIFS(Def!B:B,Def!F:F,AG499)/AH499,"")</f>
        <v/>
      </c>
      <c r="AJ499" s="195">
        <f>VLOOKUP(P499,Matrix!AA:AC,3,0)</f>
        <v/>
      </c>
      <c r="AK499" s="195">
        <f>SUMIFS(Def!C:C,Def!F:F,AJ499)</f>
        <v/>
      </c>
      <c r="AL499" s="156">
        <f>IFERROR(SUMIFS(Def!B:B,Def!F:F,AJ499)/AK499,"")</f>
        <v/>
      </c>
    </row>
    <row r="500" ht="14.4" customHeight="1" s="152">
      <c r="A500" s="157">
        <f>IF(F500="Yes",IFERROR(IF(AA500&gt;1,AA500/100,100/-AA500),""),-1)</f>
        <v/>
      </c>
      <c r="B500" s="157">
        <f>B499+1</f>
        <v/>
      </c>
      <c r="C500" s="157">
        <f>IF(Y500&gt;Z500,1,0)</f>
        <v/>
      </c>
      <c r="D500" s="157">
        <f>IF(AND(C500=1,F500="Yes"),"Yes",IF(AND(C500=0,F500="No"),"Yes","No"))</f>
        <v/>
      </c>
      <c r="E500" s="192">
        <f>IF((AC500+AB500)=AD500,"Push",IF((AC500+AB500)&gt;AD500,"Yes","No"))</f>
        <v/>
      </c>
      <c r="F500" s="192">
        <f>IF(AC500&gt;AD500,"Yes","No")</f>
        <v/>
      </c>
      <c r="G500" s="192">
        <f>IF((Y500+AB500)&gt;Z500,"Yes",IF((Y500+AB500)=Z500,"Push","No"))</f>
        <v/>
      </c>
      <c r="H500" s="157">
        <f>IF(O500="Home",VLOOKUP(N500,Matrix!A:S,19,0),1)</f>
        <v/>
      </c>
      <c r="I500" s="157">
        <f>IF(O500="Away",VLOOKUP(N500,Matrix!A:Z,20,0),1)</f>
        <v/>
      </c>
      <c r="J500" s="157">
        <f>IF(O500="Away",VLOOKUP(P500,Matrix!A:S,19,0),1)</f>
        <v/>
      </c>
      <c r="K500" s="157">
        <f>IF(O500="Home",VLOOKUP(P500,Matrix!A:Z,20,0),1)</f>
        <v/>
      </c>
      <c r="L500" s="156" t="n">
        <v>-0.0620633636119018</v>
      </c>
      <c r="M500" s="179">
        <f>Schedule!B500</f>
        <v/>
      </c>
      <c r="N500" s="156">
        <f>Schedule!E500</f>
        <v/>
      </c>
      <c r="O500" s="156" t="inlineStr">
        <is>
          <t>Away</t>
        </is>
      </c>
      <c r="P500" s="157">
        <f>Schedule!H500</f>
        <v/>
      </c>
      <c r="Q500" s="157">
        <f>Schedule!C500</f>
        <v/>
      </c>
      <c r="R500" s="180">
        <f>Schedule!D500</f>
        <v/>
      </c>
      <c r="S500" s="181">
        <f>Schedule!J500</f>
        <v/>
      </c>
      <c r="T500" s="193">
        <f>Y500-Z500</f>
        <v/>
      </c>
      <c r="U500" s="182">
        <f>T500/Picks!$K$2</f>
        <v/>
      </c>
      <c r="V500" s="193">
        <f>INDEX(Standings!$T$3:$T$34, MATCH(N500, Standings!$A$3:$A$34, 0)) - INDEX(Standings!$T$3:$T$34, MATCH(P500, Standings!$A$3:$A$34, 0))</f>
        <v/>
      </c>
      <c r="W500" s="157">
        <f>INDEX(Standings!$L$3:$L$34, MATCH(N500, Standings!$A$3:$A$34, 0)) - INDEX(Standings!$L$3:$L$34, MATCH(P500, Standings!$A$3:$A$34, 0))</f>
        <v/>
      </c>
      <c r="X500" s="157">
        <f>INDEX(Standings!$M$3:$M$34, MATCH(N500, Standings!$A$3:$A$34, 0)) - INDEX(Standings!$M$3:$M$34, MATCH(P500, Standings!$A$3:$A$34, 0))</f>
        <v/>
      </c>
      <c r="Y500" s="194">
        <f t="array" ref="Y500:Y500">IFERROR(AE500+(AL500-_DFactor)*AE500,"")</f>
        <v/>
      </c>
      <c r="Z500" s="157">
        <f>IFERROR(AF500+(AI500-_DFactor)*AF500,"")</f>
        <v/>
      </c>
      <c r="AC500" s="194">
        <f>VLOOKUP(M500&amp;N500,Schedule!A:F,6,0)</f>
        <v/>
      </c>
      <c r="AD500" s="194">
        <f>VLOOKUP(M500&amp;P500,Schedule!A:F,6,0)</f>
        <v/>
      </c>
      <c r="AE500" s="156">
        <f>VLOOKUP(N500,ProjPVT!B:I,8,0)*_Mag/VLOOKUP(P500,Standings!A:O,15,0)*H500*K500</f>
        <v/>
      </c>
      <c r="AF500" s="156">
        <f>VLOOKUP(P500,ProjPVT!B:I,8,0)*_Mag/VLOOKUP(N500,Standings!A:O,15,0)*J500*I500</f>
        <v/>
      </c>
      <c r="AG500" s="195">
        <f>VLOOKUP(N500,Matrix!AA:AC,3,0)</f>
        <v/>
      </c>
      <c r="AH500" s="195">
        <f>SUMIFS(Def!C:C,Def!F:F,AG500)</f>
        <v/>
      </c>
      <c r="AI500" s="156">
        <f>IFERROR(SUMIFS(Def!B:B,Def!F:F,AG500)/AH500,"")</f>
        <v/>
      </c>
      <c r="AJ500" s="195">
        <f>VLOOKUP(P500,Matrix!AA:AC,3,0)</f>
        <v/>
      </c>
      <c r="AK500" s="195">
        <f>SUMIFS(Def!C:C,Def!F:F,AJ500)</f>
        <v/>
      </c>
      <c r="AL500" s="156">
        <f>IFERROR(SUMIFS(Def!B:B,Def!F:F,AJ500)/AK500,"")</f>
        <v/>
      </c>
    </row>
    <row r="501" ht="14.4" customHeight="1" s="152">
      <c r="A501" s="157">
        <f>IF(F501="Yes",IFERROR(IF(AA501&gt;1,AA501/100,100/-AA501),""),-1)</f>
        <v/>
      </c>
      <c r="B501" s="157">
        <f>B500+1</f>
        <v/>
      </c>
      <c r="C501" s="157">
        <f>IF(Y501&gt;Z501,1,0)</f>
        <v/>
      </c>
      <c r="D501" s="157">
        <f>IF(AND(C501=1,F501="Yes"),"Yes",IF(AND(C501=0,F501="No"),"Yes","No"))</f>
        <v/>
      </c>
      <c r="E501" s="192">
        <f>IF((AC501+AB501)=AD501,"Push",IF((AC501+AB501)&gt;AD501,"Yes","No"))</f>
        <v/>
      </c>
      <c r="F501" s="192">
        <f>IF(AC501&gt;AD501,"Yes","No")</f>
        <v/>
      </c>
      <c r="G501" s="192">
        <f>IF((Y501+AB501)&gt;Z501,"Yes",IF((Y501+AB501)=Z501,"Push","No"))</f>
        <v/>
      </c>
      <c r="H501" s="157">
        <f>IF(O501="Home",VLOOKUP(N501,Matrix!A:S,19,0),1)</f>
        <v/>
      </c>
      <c r="I501" s="157">
        <f>IF(O501="Away",VLOOKUP(N501,Matrix!A:Z,20,0),1)</f>
        <v/>
      </c>
      <c r="J501" s="157">
        <f>IF(O501="Away",VLOOKUP(P501,Matrix!A:S,19,0),1)</f>
        <v/>
      </c>
      <c r="K501" s="157">
        <f>IF(O501="Home",VLOOKUP(P501,Matrix!A:Z,20,0),1)</f>
        <v/>
      </c>
      <c r="L501" s="156" t="n">
        <v>-0.0593908673468088</v>
      </c>
      <c r="M501" s="179">
        <f>Schedule!B501</f>
        <v/>
      </c>
      <c r="N501" s="156">
        <f>Schedule!E501</f>
        <v/>
      </c>
      <c r="O501" s="156" t="inlineStr">
        <is>
          <t>Away</t>
        </is>
      </c>
      <c r="P501" s="157">
        <f>Schedule!H501</f>
        <v/>
      </c>
      <c r="Q501" s="157">
        <f>Schedule!C501</f>
        <v/>
      </c>
      <c r="R501" s="180">
        <f>Schedule!D501</f>
        <v/>
      </c>
      <c r="S501" s="181">
        <f>Schedule!J501</f>
        <v/>
      </c>
      <c r="T501" s="193">
        <f>Y501-Z501</f>
        <v/>
      </c>
      <c r="U501" s="182">
        <f>T501/Picks!$K$2</f>
        <v/>
      </c>
      <c r="V501" s="193">
        <f>INDEX(Standings!$T$3:$T$34, MATCH(N501, Standings!$A$3:$A$34, 0)) - INDEX(Standings!$T$3:$T$34, MATCH(P501, Standings!$A$3:$A$34, 0))</f>
        <v/>
      </c>
      <c r="W501" s="157">
        <f>INDEX(Standings!$L$3:$L$34, MATCH(N501, Standings!$A$3:$A$34, 0)) - INDEX(Standings!$L$3:$L$34, MATCH(P501, Standings!$A$3:$A$34, 0))</f>
        <v/>
      </c>
      <c r="X501" s="157">
        <f>INDEX(Standings!$M$3:$M$34, MATCH(N501, Standings!$A$3:$A$34, 0)) - INDEX(Standings!$M$3:$M$34, MATCH(P501, Standings!$A$3:$A$34, 0))</f>
        <v/>
      </c>
      <c r="Y501" s="194">
        <f t="array" ref="Y501:Y501">IFERROR(AE501+(AL501-_DFactor)*AE501,"")</f>
        <v/>
      </c>
      <c r="Z501" s="157">
        <f>IFERROR(AF501+(AI501-_DFactor)*AF501,"")</f>
        <v/>
      </c>
      <c r="AC501" s="194">
        <f>VLOOKUP(M501&amp;N501,Schedule!A:F,6,0)</f>
        <v/>
      </c>
      <c r="AD501" s="194">
        <f>VLOOKUP(M501&amp;P501,Schedule!A:F,6,0)</f>
        <v/>
      </c>
      <c r="AE501" s="156">
        <f>VLOOKUP(N501,ProjPVT!B:I,8,0)*_Mag/VLOOKUP(P501,Standings!A:O,15,0)*H501*K501</f>
        <v/>
      </c>
      <c r="AF501" s="156">
        <f>VLOOKUP(P501,ProjPVT!B:I,8,0)*_Mag/VLOOKUP(N501,Standings!A:O,15,0)*J501*I501</f>
        <v/>
      </c>
      <c r="AG501" s="195">
        <f>VLOOKUP(N501,Matrix!AA:AC,3,0)</f>
        <v/>
      </c>
      <c r="AH501" s="195">
        <f>SUMIFS(Def!C:C,Def!F:F,AG501)</f>
        <v/>
      </c>
      <c r="AI501" s="156">
        <f>IFERROR(SUMIFS(Def!B:B,Def!F:F,AG501)/AH501,"")</f>
        <v/>
      </c>
      <c r="AJ501" s="195">
        <f>VLOOKUP(P501,Matrix!AA:AC,3,0)</f>
        <v/>
      </c>
      <c r="AK501" s="195">
        <f>SUMIFS(Def!C:C,Def!F:F,AJ501)</f>
        <v/>
      </c>
      <c r="AL501" s="156">
        <f>IFERROR(SUMIFS(Def!B:B,Def!F:F,AJ501)/AK501,"")</f>
        <v/>
      </c>
    </row>
    <row r="502" ht="14.4" customHeight="1" s="152">
      <c r="A502" s="157">
        <f>IF(F502="Yes",IFERROR(IF(AA502&gt;1,AA502/100,100/-AA502),""),-1)</f>
        <v/>
      </c>
      <c r="B502" s="157">
        <f>B501+1</f>
        <v/>
      </c>
      <c r="C502" s="157">
        <f>IF(Y502&gt;Z502,1,0)</f>
        <v/>
      </c>
      <c r="D502" s="157">
        <f>IF(AND(C502=1,F502="Yes"),"Yes",IF(AND(C502=0,F502="No"),"Yes","No"))</f>
        <v/>
      </c>
      <c r="E502" s="192">
        <f>IF((AC502+AB502)=AD502,"Push",IF((AC502+AB502)&gt;AD502,"Yes","No"))</f>
        <v/>
      </c>
      <c r="F502" s="192">
        <f>IF(AC502&gt;AD502,"Yes","No")</f>
        <v/>
      </c>
      <c r="G502" s="192">
        <f>IF((Y502+AB502)&gt;Z502,"Yes",IF((Y502+AB502)=Z502,"Push","No"))</f>
        <v/>
      </c>
      <c r="H502" s="157">
        <f>IF(O502="Home",VLOOKUP(N502,Matrix!A:S,19,0),1)</f>
        <v/>
      </c>
      <c r="I502" s="157">
        <f>IF(O502="Away",VLOOKUP(N502,Matrix!A:Z,20,0),1)</f>
        <v/>
      </c>
      <c r="J502" s="157">
        <f>IF(O502="Away",VLOOKUP(P502,Matrix!A:S,19,0),1)</f>
        <v/>
      </c>
      <c r="K502" s="157">
        <f>IF(O502="Home",VLOOKUP(P502,Matrix!A:Z,20,0),1)</f>
        <v/>
      </c>
      <c r="L502" s="156" t="n">
        <v>0.00145923462352538</v>
      </c>
      <c r="M502" s="179">
        <f>Schedule!B502</f>
        <v/>
      </c>
      <c r="N502" s="156">
        <f>Schedule!E502</f>
        <v/>
      </c>
      <c r="O502" s="156" t="inlineStr">
        <is>
          <t>Away</t>
        </is>
      </c>
      <c r="P502" s="157">
        <f>Schedule!H502</f>
        <v/>
      </c>
      <c r="Q502" s="157">
        <f>Schedule!C502</f>
        <v/>
      </c>
      <c r="R502" s="180">
        <f>Schedule!D502</f>
        <v/>
      </c>
      <c r="S502" s="181">
        <f>Schedule!J502</f>
        <v/>
      </c>
      <c r="T502" s="193">
        <f>Y502-Z502</f>
        <v/>
      </c>
      <c r="U502" s="182">
        <f>T502/Picks!$K$2</f>
        <v/>
      </c>
      <c r="V502" s="193">
        <f>INDEX(Standings!$T$3:$T$34, MATCH(N502, Standings!$A$3:$A$34, 0)) - INDEX(Standings!$T$3:$T$34, MATCH(P502, Standings!$A$3:$A$34, 0))</f>
        <v/>
      </c>
      <c r="W502" s="157">
        <f>INDEX(Standings!$L$3:$L$34, MATCH(N502, Standings!$A$3:$A$34, 0)) - INDEX(Standings!$L$3:$L$34, MATCH(P502, Standings!$A$3:$A$34, 0))</f>
        <v/>
      </c>
      <c r="X502" s="157">
        <f>INDEX(Standings!$M$3:$M$34, MATCH(N502, Standings!$A$3:$A$34, 0)) - INDEX(Standings!$M$3:$M$34, MATCH(P502, Standings!$A$3:$A$34, 0))</f>
        <v/>
      </c>
      <c r="Y502" s="194">
        <f t="array" ref="Y502:Y502">IFERROR(AE502+(AL502-_DFactor)*AE502,"")</f>
        <v/>
      </c>
      <c r="Z502" s="157">
        <f>IFERROR(AF502+(AI502-_DFactor)*AF502,"")</f>
        <v/>
      </c>
      <c r="AC502" s="194">
        <f>VLOOKUP(M502&amp;N502,Schedule!A:F,6,0)</f>
        <v/>
      </c>
      <c r="AD502" s="194">
        <f>VLOOKUP(M502&amp;P502,Schedule!A:F,6,0)</f>
        <v/>
      </c>
      <c r="AE502" s="156">
        <f>VLOOKUP(N502,ProjPVT!B:I,8,0)*_Mag/VLOOKUP(P502,Standings!A:O,15,0)*H502*K502</f>
        <v/>
      </c>
      <c r="AF502" s="156">
        <f>VLOOKUP(P502,ProjPVT!B:I,8,0)*_Mag/VLOOKUP(N502,Standings!A:O,15,0)*J502*I502</f>
        <v/>
      </c>
      <c r="AG502" s="195">
        <f>VLOOKUP(N502,Matrix!AA:AC,3,0)</f>
        <v/>
      </c>
      <c r="AH502" s="195">
        <f>SUMIFS(Def!C:C,Def!F:F,AG502)</f>
        <v/>
      </c>
      <c r="AI502" s="156">
        <f>IFERROR(SUMIFS(Def!B:B,Def!F:F,AG502)/AH502,"")</f>
        <v/>
      </c>
      <c r="AJ502" s="195">
        <f>VLOOKUP(P502,Matrix!AA:AC,3,0)</f>
        <v/>
      </c>
      <c r="AK502" s="195">
        <f>SUMIFS(Def!C:C,Def!F:F,AJ502)</f>
        <v/>
      </c>
      <c r="AL502" s="156">
        <f>IFERROR(SUMIFS(Def!B:B,Def!F:F,AJ502)/AK502,"")</f>
        <v/>
      </c>
    </row>
    <row r="503" ht="14.4" customHeight="1" s="152">
      <c r="A503" s="157">
        <f>IF(F503="Yes",IFERROR(IF(AA503&gt;1,AA503/100,100/-AA503),""),-1)</f>
        <v/>
      </c>
      <c r="B503" s="157">
        <f>B502+1</f>
        <v/>
      </c>
      <c r="C503" s="157">
        <f>IF(Y503&gt;Z503,1,0)</f>
        <v/>
      </c>
      <c r="D503" s="157">
        <f>IF(AND(C503=1,F503="Yes"),"Yes",IF(AND(C503=0,F503="No"),"Yes","No"))</f>
        <v/>
      </c>
      <c r="E503" s="192">
        <f>IF((AC503+AB503)=AD503,"Push",IF((AC503+AB503)&gt;AD503,"Yes","No"))</f>
        <v/>
      </c>
      <c r="F503" s="192">
        <f>IF(AC503&gt;AD503,"Yes","No")</f>
        <v/>
      </c>
      <c r="G503" s="192">
        <f>IF((Y503+AB503)&gt;Z503,"Yes",IF((Y503+AB503)=Z503,"Push","No"))</f>
        <v/>
      </c>
      <c r="H503" s="157">
        <f>IF(O503="Home",VLOOKUP(N503,Matrix!A:S,19,0),1)</f>
        <v/>
      </c>
      <c r="I503" s="157">
        <f>IF(O503="Away",VLOOKUP(N503,Matrix!A:Z,20,0),1)</f>
        <v/>
      </c>
      <c r="J503" s="157">
        <f>IF(O503="Away",VLOOKUP(P503,Matrix!A:S,19,0),1)</f>
        <v/>
      </c>
      <c r="K503" s="157">
        <f>IF(O503="Home",VLOOKUP(P503,Matrix!A:Z,20,0),1)</f>
        <v/>
      </c>
      <c r="L503" s="156" t="n">
        <v>0.151263277899291</v>
      </c>
      <c r="M503" s="179">
        <f>Schedule!B503</f>
        <v/>
      </c>
      <c r="N503" s="156">
        <f>Schedule!E503</f>
        <v/>
      </c>
      <c r="O503" s="156" t="inlineStr">
        <is>
          <t>Away</t>
        </is>
      </c>
      <c r="P503" s="157">
        <f>Schedule!H503</f>
        <v/>
      </c>
      <c r="Q503" s="157">
        <f>Schedule!C503</f>
        <v/>
      </c>
      <c r="R503" s="180">
        <f>Schedule!D503</f>
        <v/>
      </c>
      <c r="S503" s="181">
        <f>Schedule!J503</f>
        <v/>
      </c>
      <c r="T503" s="193">
        <f>Y503-Z503</f>
        <v/>
      </c>
      <c r="U503" s="182">
        <f>T503/Picks!$K$2</f>
        <v/>
      </c>
      <c r="V503" s="193">
        <f>INDEX(Standings!$T$3:$T$34, MATCH(N503, Standings!$A$3:$A$34, 0)) - INDEX(Standings!$T$3:$T$34, MATCH(P503, Standings!$A$3:$A$34, 0))</f>
        <v/>
      </c>
      <c r="W503" s="157">
        <f>INDEX(Standings!$L$3:$L$34, MATCH(N503, Standings!$A$3:$A$34, 0)) - INDEX(Standings!$L$3:$L$34, MATCH(P503, Standings!$A$3:$A$34, 0))</f>
        <v/>
      </c>
      <c r="X503" s="157">
        <f>INDEX(Standings!$M$3:$M$34, MATCH(N503, Standings!$A$3:$A$34, 0)) - INDEX(Standings!$M$3:$M$34, MATCH(P503, Standings!$A$3:$A$34, 0))</f>
        <v/>
      </c>
      <c r="Y503" s="194">
        <f t="array" ref="Y503:Y503">IFERROR(AE503+(AL503-_DFactor)*AE503,"")</f>
        <v/>
      </c>
      <c r="Z503" s="157">
        <f>IFERROR(AF503+(AI503-_DFactor)*AF503,"")</f>
        <v/>
      </c>
      <c r="AC503" s="194">
        <f>VLOOKUP(M503&amp;N503,Schedule!A:F,6,0)</f>
        <v/>
      </c>
      <c r="AD503" s="194">
        <f>VLOOKUP(M503&amp;P503,Schedule!A:F,6,0)</f>
        <v/>
      </c>
      <c r="AE503" s="156">
        <f>VLOOKUP(N503,ProjPVT!B:I,8,0)*_Mag/VLOOKUP(P503,Standings!A:O,15,0)*H503*K503</f>
        <v/>
      </c>
      <c r="AF503" s="156">
        <f>VLOOKUP(P503,ProjPVT!B:I,8,0)*_Mag/VLOOKUP(N503,Standings!A:O,15,0)*J503*I503</f>
        <v/>
      </c>
      <c r="AG503" s="195">
        <f>VLOOKUP(N503,Matrix!AA:AC,3,0)</f>
        <v/>
      </c>
      <c r="AH503" s="195">
        <f>SUMIFS(Def!C:C,Def!F:F,AG503)</f>
        <v/>
      </c>
      <c r="AI503" s="156">
        <f>IFERROR(SUMIFS(Def!B:B,Def!F:F,AG503)/AH503,"")</f>
        <v/>
      </c>
      <c r="AJ503" s="195">
        <f>VLOOKUP(P503,Matrix!AA:AC,3,0)</f>
        <v/>
      </c>
      <c r="AK503" s="195">
        <f>SUMIFS(Def!C:C,Def!F:F,AJ503)</f>
        <v/>
      </c>
      <c r="AL503" s="156">
        <f>IFERROR(SUMIFS(Def!B:B,Def!F:F,AJ503)/AK503,"")</f>
        <v/>
      </c>
    </row>
    <row r="504" ht="14.4" customHeight="1" s="152">
      <c r="A504" s="157">
        <f>IF(F504="Yes",IFERROR(IF(AA504&gt;1,AA504/100,100/-AA504),""),-1)</f>
        <v/>
      </c>
      <c r="B504" s="157">
        <f>B503+1</f>
        <v/>
      </c>
      <c r="C504" s="157">
        <f>IF(Y504&gt;Z504,1,0)</f>
        <v/>
      </c>
      <c r="D504" s="157">
        <f>IF(AND(C504=1,F504="Yes"),"Yes",IF(AND(C504=0,F504="No"),"Yes","No"))</f>
        <v/>
      </c>
      <c r="E504" s="192">
        <f>IF((AC504+AB504)=AD504,"Push",IF((AC504+AB504)&gt;AD504,"Yes","No"))</f>
        <v/>
      </c>
      <c r="F504" s="192">
        <f>IF(AC504&gt;AD504,"Yes","No")</f>
        <v/>
      </c>
      <c r="G504" s="192">
        <f>IF((Y504+AB504)&gt;Z504,"Yes",IF((Y504+AB504)=Z504,"Push","No"))</f>
        <v/>
      </c>
      <c r="H504" s="157">
        <f>IF(O504="Home",VLOOKUP(N504,Matrix!A:S,19,0),1)</f>
        <v/>
      </c>
      <c r="I504" s="157">
        <f>IF(O504="Away",VLOOKUP(N504,Matrix!A:Z,20,0),1)</f>
        <v/>
      </c>
      <c r="J504" s="157">
        <f>IF(O504="Away",VLOOKUP(P504,Matrix!A:S,19,0),1)</f>
        <v/>
      </c>
      <c r="K504" s="157">
        <f>IF(O504="Home",VLOOKUP(P504,Matrix!A:Z,20,0),1)</f>
        <v/>
      </c>
      <c r="L504" s="156" t="n">
        <v>0.156065438701829</v>
      </c>
      <c r="M504" s="179">
        <f>Schedule!B504</f>
        <v/>
      </c>
      <c r="N504" s="156">
        <f>Schedule!E504</f>
        <v/>
      </c>
      <c r="O504" s="156" t="inlineStr">
        <is>
          <t>Away</t>
        </is>
      </c>
      <c r="P504" s="157">
        <f>Schedule!H504</f>
        <v/>
      </c>
      <c r="Q504" s="157">
        <f>Schedule!C504</f>
        <v/>
      </c>
      <c r="R504" s="180">
        <f>Schedule!D504</f>
        <v/>
      </c>
      <c r="S504" s="181">
        <f>Schedule!J504</f>
        <v/>
      </c>
      <c r="T504" s="193">
        <f>Y504-Z504</f>
        <v/>
      </c>
      <c r="U504" s="182">
        <f>T504/Picks!$K$2</f>
        <v/>
      </c>
      <c r="V504" s="193">
        <f>INDEX(Standings!$T$3:$T$34, MATCH(N504, Standings!$A$3:$A$34, 0)) - INDEX(Standings!$T$3:$T$34, MATCH(P504, Standings!$A$3:$A$34, 0))</f>
        <v/>
      </c>
      <c r="W504" s="157">
        <f>INDEX(Standings!$L$3:$L$34, MATCH(N504, Standings!$A$3:$A$34, 0)) - INDEX(Standings!$L$3:$L$34, MATCH(P504, Standings!$A$3:$A$34, 0))</f>
        <v/>
      </c>
      <c r="X504" s="157">
        <f>INDEX(Standings!$M$3:$M$34, MATCH(N504, Standings!$A$3:$A$34, 0)) - INDEX(Standings!$M$3:$M$34, MATCH(P504, Standings!$A$3:$A$34, 0))</f>
        <v/>
      </c>
      <c r="Y504" s="194">
        <f t="array" ref="Y504:Y504">IFERROR(AE504+(AL504-_DFactor)*AE504,"")</f>
        <v/>
      </c>
      <c r="Z504" s="157">
        <f>IFERROR(AF504+(AI504-_DFactor)*AF504,"")</f>
        <v/>
      </c>
      <c r="AC504" s="194">
        <f>VLOOKUP(M504&amp;N504,Schedule!A:F,6,0)</f>
        <v/>
      </c>
      <c r="AD504" s="194">
        <f>VLOOKUP(M504&amp;P504,Schedule!A:F,6,0)</f>
        <v/>
      </c>
      <c r="AE504" s="156">
        <f>VLOOKUP(N504,ProjPVT!B:I,8,0)*_Mag/VLOOKUP(P504,Standings!A:O,15,0)*H504*K504</f>
        <v/>
      </c>
      <c r="AF504" s="156">
        <f>VLOOKUP(P504,ProjPVT!B:I,8,0)*_Mag/VLOOKUP(N504,Standings!A:O,15,0)*J504*I504</f>
        <v/>
      </c>
      <c r="AG504" s="195">
        <f>VLOOKUP(N504,Matrix!AA:AC,3,0)</f>
        <v/>
      </c>
      <c r="AH504" s="195">
        <f>SUMIFS(Def!C:C,Def!F:F,AG504)</f>
        <v/>
      </c>
      <c r="AI504" s="156">
        <f>IFERROR(SUMIFS(Def!B:B,Def!F:F,AG504)/AH504,"")</f>
        <v/>
      </c>
      <c r="AJ504" s="195">
        <f>VLOOKUP(P504,Matrix!AA:AC,3,0)</f>
        <v/>
      </c>
      <c r="AK504" s="195">
        <f>SUMIFS(Def!C:C,Def!F:F,AJ504)</f>
        <v/>
      </c>
      <c r="AL504" s="156">
        <f>IFERROR(SUMIFS(Def!B:B,Def!F:F,AJ504)/AK504,"")</f>
        <v/>
      </c>
    </row>
    <row r="505" ht="14.4" customHeight="1" s="152">
      <c r="A505" s="157">
        <f>IF(F505="Yes",IFERROR(IF(AA505&gt;1,AA505/100,100/-AA505),""),-1)</f>
        <v/>
      </c>
      <c r="B505" s="157">
        <f>B504+1</f>
        <v/>
      </c>
      <c r="C505" s="157">
        <f>IF(Y505&gt;Z505,1,0)</f>
        <v/>
      </c>
      <c r="D505" s="157">
        <f>IF(AND(C505=1,F505="Yes"),"Yes",IF(AND(C505=0,F505="No"),"Yes","No"))</f>
        <v/>
      </c>
      <c r="E505" s="192">
        <f>IF((AC505+AB505)=AD505,"Push",IF((AC505+AB505)&gt;AD505,"Yes","No"))</f>
        <v/>
      </c>
      <c r="F505" s="192">
        <f>IF(AC505&gt;AD505,"Yes","No")</f>
        <v/>
      </c>
      <c r="G505" s="192">
        <f>IF((Y505+AB505)&gt;Z505,"Yes",IF((Y505+AB505)=Z505,"Push","No"))</f>
        <v/>
      </c>
      <c r="H505" s="157">
        <f>IF(O505="Home",VLOOKUP(N505,Matrix!A:S,19,0),1)</f>
        <v/>
      </c>
      <c r="I505" s="157">
        <f>IF(O505="Away",VLOOKUP(N505,Matrix!A:Z,20,0),1)</f>
        <v/>
      </c>
      <c r="J505" s="157">
        <f>IF(O505="Away",VLOOKUP(P505,Matrix!A:S,19,0),1)</f>
        <v/>
      </c>
      <c r="K505" s="157">
        <f>IF(O505="Home",VLOOKUP(P505,Matrix!A:Z,20,0),1)</f>
        <v/>
      </c>
      <c r="L505" s="156" t="n">
        <v>0.160757836932668</v>
      </c>
      <c r="M505" s="179">
        <f>Schedule!B505</f>
        <v/>
      </c>
      <c r="N505" s="156">
        <f>Schedule!E505</f>
        <v/>
      </c>
      <c r="O505" s="156" t="inlineStr">
        <is>
          <t>Away</t>
        </is>
      </c>
      <c r="P505" s="157">
        <f>Schedule!H505</f>
        <v/>
      </c>
      <c r="Q505" s="157">
        <f>Schedule!C505</f>
        <v/>
      </c>
      <c r="R505" s="180">
        <f>Schedule!D505</f>
        <v/>
      </c>
      <c r="S505" s="181">
        <f>Schedule!J505</f>
        <v/>
      </c>
      <c r="T505" s="193">
        <f>Y505-Z505</f>
        <v/>
      </c>
      <c r="U505" s="182">
        <f>T505/Picks!$K$2</f>
        <v/>
      </c>
      <c r="V505" s="193">
        <f>INDEX(Standings!$T$3:$T$34, MATCH(N505, Standings!$A$3:$A$34, 0)) - INDEX(Standings!$T$3:$T$34, MATCH(P505, Standings!$A$3:$A$34, 0))</f>
        <v/>
      </c>
      <c r="W505" s="157">
        <f>INDEX(Standings!$L$3:$L$34, MATCH(N505, Standings!$A$3:$A$34, 0)) - INDEX(Standings!$L$3:$L$34, MATCH(P505, Standings!$A$3:$A$34, 0))</f>
        <v/>
      </c>
      <c r="X505" s="157">
        <f>INDEX(Standings!$M$3:$M$34, MATCH(N505, Standings!$A$3:$A$34, 0)) - INDEX(Standings!$M$3:$M$34, MATCH(P505, Standings!$A$3:$A$34, 0))</f>
        <v/>
      </c>
      <c r="Y505" s="194">
        <f t="array" ref="Y505:Y505">IFERROR(AE505+(AL505-_DFactor)*AE505,"")</f>
        <v/>
      </c>
      <c r="Z505" s="157">
        <f>IFERROR(AF505+(AI505-_DFactor)*AF505,"")</f>
        <v/>
      </c>
      <c r="AC505" s="194">
        <f>VLOOKUP(M505&amp;N505,Schedule!A:F,6,0)</f>
        <v/>
      </c>
      <c r="AD505" s="194">
        <f>VLOOKUP(M505&amp;P505,Schedule!A:F,6,0)</f>
        <v/>
      </c>
      <c r="AE505" s="156">
        <f>VLOOKUP(N505,ProjPVT!B:I,8,0)*_Mag/VLOOKUP(P505,Standings!A:O,15,0)*H505*K505</f>
        <v/>
      </c>
      <c r="AF505" s="156">
        <f>VLOOKUP(P505,ProjPVT!B:I,8,0)*_Mag/VLOOKUP(N505,Standings!A:O,15,0)*J505*I505</f>
        <v/>
      </c>
      <c r="AG505" s="195">
        <f>VLOOKUP(N505,Matrix!AA:AC,3,0)</f>
        <v/>
      </c>
      <c r="AH505" s="195">
        <f>SUMIFS(Def!C:C,Def!F:F,AG505)</f>
        <v/>
      </c>
      <c r="AI505" s="156">
        <f>IFERROR(SUMIFS(Def!B:B,Def!F:F,AG505)/AH505,"")</f>
        <v/>
      </c>
      <c r="AJ505" s="195">
        <f>VLOOKUP(P505,Matrix!AA:AC,3,0)</f>
        <v/>
      </c>
      <c r="AK505" s="195">
        <f>SUMIFS(Def!C:C,Def!F:F,AJ505)</f>
        <v/>
      </c>
      <c r="AL505" s="156">
        <f>IFERROR(SUMIFS(Def!B:B,Def!F:F,AJ505)/AK505,"")</f>
        <v/>
      </c>
    </row>
    <row r="506" ht="14.4" customHeight="1" s="152">
      <c r="A506" s="157">
        <f>IF(F506="Yes",IFERROR(IF(AA506&gt;1,AA506/100,100/-AA506),""),-1)</f>
        <v/>
      </c>
      <c r="B506" s="157">
        <f>B505+1</f>
        <v/>
      </c>
      <c r="C506" s="157">
        <f>IF(Y506&gt;Z506,1,0)</f>
        <v/>
      </c>
      <c r="D506" s="157">
        <f>IF(AND(C506=1,F506="Yes"),"Yes",IF(AND(C506=0,F506="No"),"Yes","No"))</f>
        <v/>
      </c>
      <c r="E506" s="192">
        <f>IF((AC506+AB506)=AD506,"Push",IF((AC506+AB506)&gt;AD506,"Yes","No"))</f>
        <v/>
      </c>
      <c r="F506" s="192">
        <f>IF(AC506&gt;AD506,"Yes","No")</f>
        <v/>
      </c>
      <c r="G506" s="192">
        <f>IF((Y506+AB506)&gt;Z506,"Yes",IF((Y506+AB506)=Z506,"Push","No"))</f>
        <v/>
      </c>
      <c r="H506" s="157">
        <f>IF(O506="Home",VLOOKUP(N506,Matrix!A:S,19,0),1)</f>
        <v/>
      </c>
      <c r="I506" s="157">
        <f>IF(O506="Away",VLOOKUP(N506,Matrix!A:Z,20,0),1)</f>
        <v/>
      </c>
      <c r="J506" s="157">
        <f>IF(O506="Away",VLOOKUP(P506,Matrix!A:S,19,0),1)</f>
        <v/>
      </c>
      <c r="K506" s="157">
        <f>IF(O506="Home",VLOOKUP(P506,Matrix!A:Z,20,0),1)</f>
        <v/>
      </c>
      <c r="L506" s="156" t="n">
        <v>0.164192435916715</v>
      </c>
      <c r="M506" s="179">
        <f>Schedule!B506</f>
        <v/>
      </c>
      <c r="N506" s="156">
        <f>Schedule!E506</f>
        <v/>
      </c>
      <c r="O506" s="156" t="inlineStr">
        <is>
          <t>Away</t>
        </is>
      </c>
      <c r="P506" s="157">
        <f>Schedule!H506</f>
        <v/>
      </c>
      <c r="Q506" s="157">
        <f>Schedule!C506</f>
        <v/>
      </c>
      <c r="R506" s="180">
        <f>Schedule!D506</f>
        <v/>
      </c>
      <c r="S506" s="181">
        <f>Schedule!J506</f>
        <v/>
      </c>
      <c r="T506" s="193">
        <f>Y506-Z506</f>
        <v/>
      </c>
      <c r="U506" s="182">
        <f>T506/Picks!$K$2</f>
        <v/>
      </c>
      <c r="V506" s="193">
        <f>INDEX(Standings!$T$3:$T$34, MATCH(N506, Standings!$A$3:$A$34, 0)) - INDEX(Standings!$T$3:$T$34, MATCH(P506, Standings!$A$3:$A$34, 0))</f>
        <v/>
      </c>
      <c r="W506" s="157">
        <f>INDEX(Standings!$L$3:$L$34, MATCH(N506, Standings!$A$3:$A$34, 0)) - INDEX(Standings!$L$3:$L$34, MATCH(P506, Standings!$A$3:$A$34, 0))</f>
        <v/>
      </c>
      <c r="X506" s="157">
        <f>INDEX(Standings!$M$3:$M$34, MATCH(N506, Standings!$A$3:$A$34, 0)) - INDEX(Standings!$M$3:$M$34, MATCH(P506, Standings!$A$3:$A$34, 0))</f>
        <v/>
      </c>
      <c r="Y506" s="194">
        <f t="array" ref="Y506:Y506">IFERROR(AE506+(AL506-_DFactor)*AE506,"")</f>
        <v/>
      </c>
      <c r="Z506" s="157">
        <f>IFERROR(AF506+(AI506-_DFactor)*AF506,"")</f>
        <v/>
      </c>
      <c r="AC506" s="194">
        <f>VLOOKUP(M506&amp;N506,Schedule!A:F,6,0)</f>
        <v/>
      </c>
      <c r="AD506" s="194">
        <f>VLOOKUP(M506&amp;P506,Schedule!A:F,6,0)</f>
        <v/>
      </c>
      <c r="AE506" s="156">
        <f>VLOOKUP(N506,ProjPVT!B:I,8,0)*_Mag/VLOOKUP(P506,Standings!A:O,15,0)*H506*K506</f>
        <v/>
      </c>
      <c r="AF506" s="156">
        <f>VLOOKUP(P506,ProjPVT!B:I,8,0)*_Mag/VLOOKUP(N506,Standings!A:O,15,0)*J506*I506</f>
        <v/>
      </c>
      <c r="AG506" s="195">
        <f>VLOOKUP(N506,Matrix!AA:AC,3,0)</f>
        <v/>
      </c>
      <c r="AH506" s="195">
        <f>SUMIFS(Def!C:C,Def!F:F,AG506)</f>
        <v/>
      </c>
      <c r="AI506" s="156">
        <f>IFERROR(SUMIFS(Def!B:B,Def!F:F,AG506)/AH506,"")</f>
        <v/>
      </c>
      <c r="AJ506" s="195">
        <f>VLOOKUP(P506,Matrix!AA:AC,3,0)</f>
        <v/>
      </c>
      <c r="AK506" s="195">
        <f>SUMIFS(Def!C:C,Def!F:F,AJ506)</f>
        <v/>
      </c>
      <c r="AL506" s="156">
        <f>IFERROR(SUMIFS(Def!B:B,Def!F:F,AJ506)/AK506,"")</f>
        <v/>
      </c>
    </row>
    <row r="507" ht="14.4" customHeight="1" s="152">
      <c r="A507" s="157">
        <f>IF(F507="Yes",IFERROR(IF(AA507&gt;1,AA507/100,100/-AA507),""),-1)</f>
        <v/>
      </c>
      <c r="B507" s="157">
        <f>B506+1</f>
        <v/>
      </c>
      <c r="C507" s="157">
        <f>IF(Y507&gt;Z507,1,0)</f>
        <v/>
      </c>
      <c r="D507" s="157">
        <f>IF(AND(C507=1,F507="Yes"),"Yes",IF(AND(C507=0,F507="No"),"Yes","No"))</f>
        <v/>
      </c>
      <c r="E507" s="192">
        <f>IF((AC507+AB507)=AD507,"Push",IF((AC507+AB507)&gt;AD507,"Yes","No"))</f>
        <v/>
      </c>
      <c r="F507" s="192">
        <f>IF(AC507&gt;AD507,"Yes","No")</f>
        <v/>
      </c>
      <c r="G507" s="192">
        <f>IF((Y507+AB507)&gt;Z507,"Yes",IF((Y507+AB507)=Z507,"Push","No"))</f>
        <v/>
      </c>
      <c r="H507" s="157">
        <f>IF(O507="Home",VLOOKUP(N507,Matrix!A:S,19,0),1)</f>
        <v/>
      </c>
      <c r="I507" s="157">
        <f>IF(O507="Away",VLOOKUP(N507,Matrix!A:Z,20,0),1)</f>
        <v/>
      </c>
      <c r="J507" s="157">
        <f>IF(O507="Away",VLOOKUP(P507,Matrix!A:S,19,0),1)</f>
        <v/>
      </c>
      <c r="K507" s="157">
        <f>IF(O507="Home",VLOOKUP(P507,Matrix!A:Z,20,0),1)</f>
        <v/>
      </c>
      <c r="L507" s="156" t="n">
        <v>0.229033724489666</v>
      </c>
      <c r="M507" s="179">
        <f>Schedule!B507</f>
        <v/>
      </c>
      <c r="N507" s="156">
        <f>Schedule!E507</f>
        <v/>
      </c>
      <c r="O507" s="156" t="inlineStr">
        <is>
          <t>Away</t>
        </is>
      </c>
      <c r="P507" s="157">
        <f>Schedule!H507</f>
        <v/>
      </c>
      <c r="Q507" s="157">
        <f>Schedule!C507</f>
        <v/>
      </c>
      <c r="R507" s="180">
        <f>Schedule!D507</f>
        <v/>
      </c>
      <c r="S507" s="181">
        <f>Schedule!J507</f>
        <v/>
      </c>
      <c r="T507" s="193">
        <f>Y507-Z507</f>
        <v/>
      </c>
      <c r="U507" s="182">
        <f>T507/Picks!$K$2</f>
        <v/>
      </c>
      <c r="V507" s="193">
        <f>INDEX(Standings!$T$3:$T$34, MATCH(N507, Standings!$A$3:$A$34, 0)) - INDEX(Standings!$T$3:$T$34, MATCH(P507, Standings!$A$3:$A$34, 0))</f>
        <v/>
      </c>
      <c r="W507" s="157">
        <f>INDEX(Standings!$L$3:$L$34, MATCH(N507, Standings!$A$3:$A$34, 0)) - INDEX(Standings!$L$3:$L$34, MATCH(P507, Standings!$A$3:$A$34, 0))</f>
        <v/>
      </c>
      <c r="X507" s="157">
        <f>INDEX(Standings!$M$3:$M$34, MATCH(N507, Standings!$A$3:$A$34, 0)) - INDEX(Standings!$M$3:$M$34, MATCH(P507, Standings!$A$3:$A$34, 0))</f>
        <v/>
      </c>
      <c r="Y507" s="194">
        <f t="array" ref="Y507:Y507">IFERROR(AE507+(AL507-_DFactor)*AE507,"")</f>
        <v/>
      </c>
      <c r="Z507" s="157">
        <f>IFERROR(AF507+(AI507-_DFactor)*AF507,"")</f>
        <v/>
      </c>
      <c r="AC507" s="194">
        <f>VLOOKUP(M507&amp;N507,Schedule!A:F,6,0)</f>
        <v/>
      </c>
      <c r="AD507" s="194">
        <f>VLOOKUP(M507&amp;P507,Schedule!A:F,6,0)</f>
        <v/>
      </c>
      <c r="AE507" s="156">
        <f>VLOOKUP(N507,ProjPVT!B:I,8,0)*_Mag/VLOOKUP(P507,Standings!A:O,15,0)*H507*K507</f>
        <v/>
      </c>
      <c r="AF507" s="156">
        <f>VLOOKUP(P507,ProjPVT!B:I,8,0)*_Mag/VLOOKUP(N507,Standings!A:O,15,0)*J507*I507</f>
        <v/>
      </c>
      <c r="AG507" s="195">
        <f>VLOOKUP(N507,Matrix!AA:AC,3,0)</f>
        <v/>
      </c>
      <c r="AH507" s="195">
        <f>SUMIFS(Def!C:C,Def!F:F,AG507)</f>
        <v/>
      </c>
      <c r="AI507" s="156">
        <f>IFERROR(SUMIFS(Def!B:B,Def!F:F,AG507)/AH507,"")</f>
        <v/>
      </c>
      <c r="AJ507" s="195">
        <f>VLOOKUP(P507,Matrix!AA:AC,3,0)</f>
        <v/>
      </c>
      <c r="AK507" s="195">
        <f>SUMIFS(Def!C:C,Def!F:F,AJ507)</f>
        <v/>
      </c>
      <c r="AL507" s="156">
        <f>IFERROR(SUMIFS(Def!B:B,Def!F:F,AJ507)/AK507,"")</f>
        <v/>
      </c>
    </row>
    <row r="508" ht="14.4" customHeight="1" s="152">
      <c r="A508" s="157">
        <f>IF(F508="Yes",IFERROR(IF(AA508&gt;1,AA508/100,100/-AA508),""),-1)</f>
        <v/>
      </c>
      <c r="B508" s="157">
        <f>B507+1</f>
        <v/>
      </c>
      <c r="C508" s="157">
        <f>IF(Y508&gt;Z508,1,0)</f>
        <v/>
      </c>
      <c r="D508" s="157">
        <f>IF(AND(C508=1,F508="Yes"),"Yes",IF(AND(C508=0,F508="No"),"Yes","No"))</f>
        <v/>
      </c>
      <c r="E508" s="192">
        <f>IF((AC508+AB508)=AD508,"Push",IF((AC508+AB508)&gt;AD508,"Yes","No"))</f>
        <v/>
      </c>
      <c r="F508" s="192">
        <f>IF(AC508&gt;AD508,"Yes","No")</f>
        <v/>
      </c>
      <c r="G508" s="192">
        <f>IF((Y508+AB508)&gt;Z508,"Yes",IF((Y508+AB508)=Z508,"Push","No"))</f>
        <v/>
      </c>
      <c r="H508" s="157">
        <f>IF(O508="Home",VLOOKUP(N508,Matrix!A:S,19,0),1)</f>
        <v/>
      </c>
      <c r="I508" s="157">
        <f>IF(O508="Away",VLOOKUP(N508,Matrix!A:Z,20,0),1)</f>
        <v/>
      </c>
      <c r="J508" s="157">
        <f>IF(O508="Away",VLOOKUP(P508,Matrix!A:S,19,0),1)</f>
        <v/>
      </c>
      <c r="K508" s="157">
        <f>IF(O508="Home",VLOOKUP(P508,Matrix!A:Z,20,0),1)</f>
        <v/>
      </c>
      <c r="L508" s="156" t="n">
        <v>0.24547296047498</v>
      </c>
      <c r="M508" s="179">
        <f>Schedule!B508</f>
        <v/>
      </c>
      <c r="N508" s="156">
        <f>Schedule!E508</f>
        <v/>
      </c>
      <c r="O508" s="156" t="inlineStr">
        <is>
          <t>Away</t>
        </is>
      </c>
      <c r="P508" s="157">
        <f>Schedule!H508</f>
        <v/>
      </c>
      <c r="Q508" s="157">
        <f>Schedule!C508</f>
        <v/>
      </c>
      <c r="R508" s="180">
        <f>Schedule!D508</f>
        <v/>
      </c>
      <c r="S508" s="181">
        <f>Schedule!J508</f>
        <v/>
      </c>
      <c r="T508" s="193">
        <f>Y508-Z508</f>
        <v/>
      </c>
      <c r="U508" s="182">
        <f>T508/Picks!$K$2</f>
        <v/>
      </c>
      <c r="V508" s="193">
        <f>INDEX(Standings!$T$3:$T$34, MATCH(N508, Standings!$A$3:$A$34, 0)) - INDEX(Standings!$T$3:$T$34, MATCH(P508, Standings!$A$3:$A$34, 0))</f>
        <v/>
      </c>
      <c r="W508" s="157">
        <f>INDEX(Standings!$L$3:$L$34, MATCH(N508, Standings!$A$3:$A$34, 0)) - INDEX(Standings!$L$3:$L$34, MATCH(P508, Standings!$A$3:$A$34, 0))</f>
        <v/>
      </c>
      <c r="X508" s="157">
        <f>INDEX(Standings!$M$3:$M$34, MATCH(N508, Standings!$A$3:$A$34, 0)) - INDEX(Standings!$M$3:$M$34, MATCH(P508, Standings!$A$3:$A$34, 0))</f>
        <v/>
      </c>
      <c r="Y508" s="194">
        <f t="array" ref="Y508:Y508">IFERROR(AE508+(AL508-_DFactor)*AE508,"")</f>
        <v/>
      </c>
      <c r="Z508" s="157">
        <f>IFERROR(AF508+(AI508-_DFactor)*AF508,"")</f>
        <v/>
      </c>
      <c r="AC508" s="194">
        <f>VLOOKUP(M508&amp;N508,Schedule!A:F,6,0)</f>
        <v/>
      </c>
      <c r="AD508" s="194">
        <f>VLOOKUP(M508&amp;P508,Schedule!A:F,6,0)</f>
        <v/>
      </c>
      <c r="AE508" s="156">
        <f>VLOOKUP(N508,ProjPVT!B:I,8,0)*_Mag/VLOOKUP(P508,Standings!A:O,15,0)*H508*K508</f>
        <v/>
      </c>
      <c r="AF508" s="156">
        <f>VLOOKUP(P508,ProjPVT!B:I,8,0)*_Mag/VLOOKUP(N508,Standings!A:O,15,0)*J508*I508</f>
        <v/>
      </c>
      <c r="AG508" s="195">
        <f>VLOOKUP(N508,Matrix!AA:AC,3,0)</f>
        <v/>
      </c>
      <c r="AH508" s="195">
        <f>SUMIFS(Def!C:C,Def!F:F,AG508)</f>
        <v/>
      </c>
      <c r="AI508" s="156">
        <f>IFERROR(SUMIFS(Def!B:B,Def!F:F,AG508)/AH508,"")</f>
        <v/>
      </c>
      <c r="AJ508" s="195">
        <f>VLOOKUP(P508,Matrix!AA:AC,3,0)</f>
        <v/>
      </c>
      <c r="AK508" s="195">
        <f>SUMIFS(Def!C:C,Def!F:F,AJ508)</f>
        <v/>
      </c>
      <c r="AL508" s="156">
        <f>IFERROR(SUMIFS(Def!B:B,Def!F:F,AJ508)/AK508,"")</f>
        <v/>
      </c>
    </row>
    <row r="509" ht="14.4" customHeight="1" s="152">
      <c r="A509" s="157">
        <f>IF(F509="Yes",IFERROR(IF(AA509&gt;1,AA509/100,100/-AA509),""),-1)</f>
        <v/>
      </c>
      <c r="B509" s="157">
        <f>B508+1</f>
        <v/>
      </c>
      <c r="C509" s="157">
        <f>IF(Y509&gt;Z509,1,0)</f>
        <v/>
      </c>
      <c r="D509" s="157">
        <f>IF(AND(C509=1,F509="Yes"),"Yes",IF(AND(C509=0,F509="No"),"Yes","No"))</f>
        <v/>
      </c>
      <c r="E509" s="192">
        <f>IF((AC509+AB509)=AD509,"Push",IF((AC509+AB509)&gt;AD509,"Yes","No"))</f>
        <v/>
      </c>
      <c r="F509" s="192">
        <f>IF(AC509&gt;AD509,"Yes","No")</f>
        <v/>
      </c>
      <c r="G509" s="192">
        <f>IF((Y509+AB509)&gt;Z509,"Yes",IF((Y509+AB509)=Z509,"Push","No"))</f>
        <v/>
      </c>
      <c r="H509" s="157">
        <f>IF(O509="Home",VLOOKUP(N509,Matrix!A:S,19,0),1)</f>
        <v/>
      </c>
      <c r="I509" s="157">
        <f>IF(O509="Away",VLOOKUP(N509,Matrix!A:Z,20,0),1)</f>
        <v/>
      </c>
      <c r="J509" s="157">
        <f>IF(O509="Away",VLOOKUP(P509,Matrix!A:S,19,0),1)</f>
        <v/>
      </c>
      <c r="K509" s="157">
        <f>IF(O509="Home",VLOOKUP(P509,Matrix!A:Z,20,0),1)</f>
        <v/>
      </c>
      <c r="L509" s="156" t="n">
        <v>0.266397908233617</v>
      </c>
      <c r="M509" s="179">
        <f>Schedule!B509</f>
        <v/>
      </c>
      <c r="N509" s="156">
        <f>Schedule!E509</f>
        <v/>
      </c>
      <c r="O509" s="156" t="inlineStr">
        <is>
          <t>Away</t>
        </is>
      </c>
      <c r="P509" s="157">
        <f>Schedule!H509</f>
        <v/>
      </c>
      <c r="Q509" s="157">
        <f>Schedule!C509</f>
        <v/>
      </c>
      <c r="R509" s="180">
        <f>Schedule!D509</f>
        <v/>
      </c>
      <c r="S509" s="181">
        <f>Schedule!J509</f>
        <v/>
      </c>
      <c r="T509" s="193">
        <f>Y509-Z509</f>
        <v/>
      </c>
      <c r="U509" s="182">
        <f>T509/Picks!$K$2</f>
        <v/>
      </c>
      <c r="V509" s="193">
        <f>INDEX(Standings!$T$3:$T$34, MATCH(N509, Standings!$A$3:$A$34, 0)) - INDEX(Standings!$T$3:$T$34, MATCH(P509, Standings!$A$3:$A$34, 0))</f>
        <v/>
      </c>
      <c r="W509" s="157">
        <f>INDEX(Standings!$L$3:$L$34, MATCH(N509, Standings!$A$3:$A$34, 0)) - INDEX(Standings!$L$3:$L$34, MATCH(P509, Standings!$A$3:$A$34, 0))</f>
        <v/>
      </c>
      <c r="X509" s="157">
        <f>INDEX(Standings!$M$3:$M$34, MATCH(N509, Standings!$A$3:$A$34, 0)) - INDEX(Standings!$M$3:$M$34, MATCH(P509, Standings!$A$3:$A$34, 0))</f>
        <v/>
      </c>
      <c r="Y509" s="194">
        <f t="array" ref="Y509:Y509">IFERROR(AE509+(AL509-_DFactor)*AE509,"")</f>
        <v/>
      </c>
      <c r="Z509" s="157">
        <f>IFERROR(AF509+(AI509-_DFactor)*AF509,"")</f>
        <v/>
      </c>
      <c r="AC509" s="194">
        <f>VLOOKUP(M509&amp;N509,Schedule!A:F,6,0)</f>
        <v/>
      </c>
      <c r="AD509" s="194">
        <f>VLOOKUP(M509&amp;P509,Schedule!A:F,6,0)</f>
        <v/>
      </c>
      <c r="AE509" s="156">
        <f>VLOOKUP(N509,ProjPVT!B:I,8,0)*_Mag/VLOOKUP(P509,Standings!A:O,15,0)*H509*K509</f>
        <v/>
      </c>
      <c r="AF509" s="156">
        <f>VLOOKUP(P509,ProjPVT!B:I,8,0)*_Mag/VLOOKUP(N509,Standings!A:O,15,0)*J509*I509</f>
        <v/>
      </c>
      <c r="AG509" s="195">
        <f>VLOOKUP(N509,Matrix!AA:AC,3,0)</f>
        <v/>
      </c>
      <c r="AH509" s="195">
        <f>SUMIFS(Def!C:C,Def!F:F,AG509)</f>
        <v/>
      </c>
      <c r="AI509" s="156">
        <f>IFERROR(SUMIFS(Def!B:B,Def!F:F,AG509)/AH509,"")</f>
        <v/>
      </c>
      <c r="AJ509" s="195">
        <f>VLOOKUP(P509,Matrix!AA:AC,3,0)</f>
        <v/>
      </c>
      <c r="AK509" s="195">
        <f>SUMIFS(Def!C:C,Def!F:F,AJ509)</f>
        <v/>
      </c>
      <c r="AL509" s="156">
        <f>IFERROR(SUMIFS(Def!B:B,Def!F:F,AJ509)/AK509,"")</f>
        <v/>
      </c>
    </row>
    <row r="510" ht="14.4" customHeight="1" s="152">
      <c r="A510" s="157">
        <f>IF(F510="Yes",IFERROR(IF(AA510&gt;1,AA510/100,100/-AA510),""),-1)</f>
        <v/>
      </c>
      <c r="B510" s="157">
        <f>B509+1</f>
        <v/>
      </c>
      <c r="C510" s="157">
        <f>IF(Y510&gt;Z510,1,0)</f>
        <v/>
      </c>
      <c r="D510" s="157">
        <f>IF(AND(C510=1,F510="Yes"),"Yes",IF(AND(C510=0,F510="No"),"Yes","No"))</f>
        <v/>
      </c>
      <c r="E510" s="192">
        <f>IF((AC510+AB510)=AD510,"Push",IF((AC510+AB510)&gt;AD510,"Yes","No"))</f>
        <v/>
      </c>
      <c r="F510" s="192">
        <f>IF(AC510&gt;AD510,"Yes","No")</f>
        <v/>
      </c>
      <c r="G510" s="192">
        <f>IF((Y510+AB510)&gt;Z510,"Yes",IF((Y510+AB510)=Z510,"Push","No"))</f>
        <v/>
      </c>
      <c r="H510" s="157">
        <f>IF(O510="Home",VLOOKUP(N510,Matrix!A:S,19,0),1)</f>
        <v/>
      </c>
      <c r="I510" s="157">
        <f>IF(O510="Away",VLOOKUP(N510,Matrix!A:Z,20,0),1)</f>
        <v/>
      </c>
      <c r="J510" s="157">
        <f>IF(O510="Away",VLOOKUP(P510,Matrix!A:S,19,0),1)</f>
        <v/>
      </c>
      <c r="K510" s="157">
        <f>IF(O510="Home",VLOOKUP(P510,Matrix!A:Z,20,0),1)</f>
        <v/>
      </c>
      <c r="L510" s="156" t="n">
        <v>0.288028792737513</v>
      </c>
      <c r="M510" s="179">
        <f>Schedule!B510</f>
        <v/>
      </c>
      <c r="N510" s="156">
        <f>Schedule!E510</f>
        <v/>
      </c>
      <c r="O510" s="156" t="inlineStr">
        <is>
          <t>Away</t>
        </is>
      </c>
      <c r="P510" s="157">
        <f>Schedule!H510</f>
        <v/>
      </c>
      <c r="Q510" s="157">
        <f>Schedule!C510</f>
        <v/>
      </c>
      <c r="R510" s="180">
        <f>Schedule!D510</f>
        <v/>
      </c>
      <c r="S510" s="181">
        <f>Schedule!J510</f>
        <v/>
      </c>
      <c r="T510" s="193">
        <f>Y510-Z510</f>
        <v/>
      </c>
      <c r="U510" s="182">
        <f>T510/Picks!$K$2</f>
        <v/>
      </c>
      <c r="V510" s="193">
        <f>INDEX(Standings!$T$3:$T$34, MATCH(N510, Standings!$A$3:$A$34, 0)) - INDEX(Standings!$T$3:$T$34, MATCH(P510, Standings!$A$3:$A$34, 0))</f>
        <v/>
      </c>
      <c r="W510" s="157">
        <f>INDEX(Standings!$L$3:$L$34, MATCH(N510, Standings!$A$3:$A$34, 0)) - INDEX(Standings!$L$3:$L$34, MATCH(P510, Standings!$A$3:$A$34, 0))</f>
        <v/>
      </c>
      <c r="X510" s="157">
        <f>INDEX(Standings!$M$3:$M$34, MATCH(N510, Standings!$A$3:$A$34, 0)) - INDEX(Standings!$M$3:$M$34, MATCH(P510, Standings!$A$3:$A$34, 0))</f>
        <v/>
      </c>
      <c r="Y510" s="194">
        <f t="array" ref="Y510:Y510">IFERROR(AE510+(AL510-_DFactor)*AE510,"")</f>
        <v/>
      </c>
      <c r="Z510" s="157">
        <f>IFERROR(AF510+(AI510-_DFactor)*AF510,"")</f>
        <v/>
      </c>
      <c r="AC510" s="194">
        <f>VLOOKUP(M510&amp;N510,Schedule!A:F,6,0)</f>
        <v/>
      </c>
      <c r="AD510" s="194">
        <f>VLOOKUP(M510&amp;P510,Schedule!A:F,6,0)</f>
        <v/>
      </c>
      <c r="AE510" s="156">
        <f>VLOOKUP(N510,ProjPVT!B:I,8,0)*_Mag/VLOOKUP(P510,Standings!A:O,15,0)*H510*K510</f>
        <v/>
      </c>
      <c r="AF510" s="156">
        <f>VLOOKUP(P510,ProjPVT!B:I,8,0)*_Mag/VLOOKUP(N510,Standings!A:O,15,0)*J510*I510</f>
        <v/>
      </c>
      <c r="AG510" s="195">
        <f>VLOOKUP(N510,Matrix!AA:AC,3,0)</f>
        <v/>
      </c>
      <c r="AH510" s="195">
        <f>SUMIFS(Def!C:C,Def!F:F,AG510)</f>
        <v/>
      </c>
      <c r="AI510" s="156">
        <f>IFERROR(SUMIFS(Def!B:B,Def!F:F,AG510)/AH510,"")</f>
        <v/>
      </c>
      <c r="AJ510" s="195">
        <f>VLOOKUP(P510,Matrix!AA:AC,3,0)</f>
        <v/>
      </c>
      <c r="AK510" s="195">
        <f>SUMIFS(Def!C:C,Def!F:F,AJ510)</f>
        <v/>
      </c>
      <c r="AL510" s="156">
        <f>IFERROR(SUMIFS(Def!B:B,Def!F:F,AJ510)/AK510,"")</f>
        <v/>
      </c>
    </row>
    <row r="511" ht="14.4" customHeight="1" s="152">
      <c r="A511" s="157">
        <f>IF(F511="Yes",IFERROR(IF(AA511&gt;1,AA511/100,100/-AA511),""),-1)</f>
        <v/>
      </c>
      <c r="B511" s="157">
        <f>B510+1</f>
        <v/>
      </c>
      <c r="C511" s="157">
        <f>IF(Y511&gt;Z511,1,0)</f>
        <v/>
      </c>
      <c r="D511" s="157">
        <f>IF(AND(C511=1,F511="Yes"),"Yes",IF(AND(C511=0,F511="No"),"Yes","No"))</f>
        <v/>
      </c>
      <c r="E511" s="192">
        <f>IF((AC511+AB511)=AD511,"Push",IF((AC511+AB511)&gt;AD511,"Yes","No"))</f>
        <v/>
      </c>
      <c r="F511" s="192">
        <f>IF(AC511&gt;AD511,"Yes","No")</f>
        <v/>
      </c>
      <c r="G511" s="192">
        <f>IF((Y511+AB511)&gt;Z511,"Yes",IF((Y511+AB511)=Z511,"Push","No"))</f>
        <v/>
      </c>
      <c r="H511" s="157">
        <f>IF(O511="Home",VLOOKUP(N511,Matrix!A:S,19,0),1)</f>
        <v/>
      </c>
      <c r="I511" s="157">
        <f>IF(O511="Away",VLOOKUP(N511,Matrix!A:Z,20,0),1)</f>
        <v/>
      </c>
      <c r="J511" s="157">
        <f>IF(O511="Away",VLOOKUP(P511,Matrix!A:S,19,0),1)</f>
        <v/>
      </c>
      <c r="K511" s="157">
        <f>IF(O511="Home",VLOOKUP(P511,Matrix!A:Z,20,0),1)</f>
        <v/>
      </c>
      <c r="L511" s="156" t="n">
        <v>0.343780612127861</v>
      </c>
      <c r="M511" s="179">
        <f>Schedule!B511</f>
        <v/>
      </c>
      <c r="N511" s="156">
        <f>Schedule!E511</f>
        <v/>
      </c>
      <c r="O511" s="156" t="inlineStr">
        <is>
          <t>Away</t>
        </is>
      </c>
      <c r="P511" s="157">
        <f>Schedule!H511</f>
        <v/>
      </c>
      <c r="Q511" s="157">
        <f>Schedule!C511</f>
        <v/>
      </c>
      <c r="R511" s="180">
        <f>Schedule!D511</f>
        <v/>
      </c>
      <c r="S511" s="181">
        <f>Schedule!J511</f>
        <v/>
      </c>
      <c r="T511" s="193">
        <f>Y511-Z511</f>
        <v/>
      </c>
      <c r="U511" s="182">
        <f>T511/Picks!$K$2</f>
        <v/>
      </c>
      <c r="V511" s="193">
        <f>INDEX(Standings!$T$3:$T$34, MATCH(N511, Standings!$A$3:$A$34, 0)) - INDEX(Standings!$T$3:$T$34, MATCH(P511, Standings!$A$3:$A$34, 0))</f>
        <v/>
      </c>
      <c r="W511" s="157">
        <f>INDEX(Standings!$L$3:$L$34, MATCH(N511, Standings!$A$3:$A$34, 0)) - INDEX(Standings!$L$3:$L$34, MATCH(P511, Standings!$A$3:$A$34, 0))</f>
        <v/>
      </c>
      <c r="X511" s="157">
        <f>INDEX(Standings!$M$3:$M$34, MATCH(N511, Standings!$A$3:$A$34, 0)) - INDEX(Standings!$M$3:$M$34, MATCH(P511, Standings!$A$3:$A$34, 0))</f>
        <v/>
      </c>
      <c r="Y511" s="194">
        <f t="array" ref="Y511:Y511">IFERROR(AE511+(AL511-_DFactor)*AE511,"")</f>
        <v/>
      </c>
      <c r="Z511" s="157">
        <f>IFERROR(AF511+(AI511-_DFactor)*AF511,"")</f>
        <v/>
      </c>
      <c r="AC511" s="194">
        <f>VLOOKUP(M511&amp;N511,Schedule!A:F,6,0)</f>
        <v/>
      </c>
      <c r="AD511" s="194">
        <f>VLOOKUP(M511&amp;P511,Schedule!A:F,6,0)</f>
        <v/>
      </c>
      <c r="AE511" s="156">
        <f>VLOOKUP(N511,ProjPVT!B:I,8,0)*_Mag/VLOOKUP(P511,Standings!A:O,15,0)*H511*K511</f>
        <v/>
      </c>
      <c r="AF511" s="156">
        <f>VLOOKUP(P511,ProjPVT!B:I,8,0)*_Mag/VLOOKUP(N511,Standings!A:O,15,0)*J511*I511</f>
        <v/>
      </c>
      <c r="AG511" s="195">
        <f>VLOOKUP(N511,Matrix!AA:AC,3,0)</f>
        <v/>
      </c>
      <c r="AH511" s="195">
        <f>SUMIFS(Def!C:C,Def!F:F,AG511)</f>
        <v/>
      </c>
      <c r="AI511" s="156">
        <f>IFERROR(SUMIFS(Def!B:B,Def!F:F,AG511)/AH511,"")</f>
        <v/>
      </c>
      <c r="AJ511" s="195">
        <f>VLOOKUP(P511,Matrix!AA:AC,3,0)</f>
        <v/>
      </c>
      <c r="AK511" s="195">
        <f>SUMIFS(Def!C:C,Def!F:F,AJ511)</f>
        <v/>
      </c>
      <c r="AL511" s="156">
        <f>IFERROR(SUMIFS(Def!B:B,Def!F:F,AJ511)/AK511,"")</f>
        <v/>
      </c>
    </row>
    <row r="512" ht="14.4" customHeight="1" s="152">
      <c r="A512" s="157">
        <f>IF(F512="Yes",IFERROR(IF(AA512&gt;1,AA512/100,100/-AA512),""),-1)</f>
        <v/>
      </c>
      <c r="B512" s="157">
        <f>B511+1</f>
        <v/>
      </c>
      <c r="C512" s="157">
        <f>IF(Y512&gt;Z512,1,0)</f>
        <v/>
      </c>
      <c r="D512" s="157">
        <f>IF(AND(C512=1,F512="Yes"),"Yes",IF(AND(C512=0,F512="No"),"Yes","No"))</f>
        <v/>
      </c>
      <c r="E512" s="192">
        <f>IF((AC512+AB512)=AD512,"Push",IF((AC512+AB512)&gt;AD512,"Yes","No"))</f>
        <v/>
      </c>
      <c r="F512" s="192">
        <f>IF(AC512&gt;AD512,"Yes","No")</f>
        <v/>
      </c>
      <c r="G512" s="192">
        <f>IF((Y512+AB512)&gt;Z512,"Yes",IF((Y512+AB512)=Z512,"Push","No"))</f>
        <v/>
      </c>
      <c r="H512" s="157">
        <f>IF(O512="Home",VLOOKUP(N512,Matrix!A:S,19,0),1)</f>
        <v/>
      </c>
      <c r="I512" s="157">
        <f>IF(O512="Away",VLOOKUP(N512,Matrix!A:Z,20,0),1)</f>
        <v/>
      </c>
      <c r="J512" s="157">
        <f>IF(O512="Away",VLOOKUP(P512,Matrix!A:S,19,0),1)</f>
        <v/>
      </c>
      <c r="K512" s="157">
        <f>IF(O512="Home",VLOOKUP(P512,Matrix!A:Z,20,0),1)</f>
        <v/>
      </c>
      <c r="L512" s="156" t="n">
        <v>0.372035669590629</v>
      </c>
      <c r="M512" s="179">
        <f>Schedule!B512</f>
        <v/>
      </c>
      <c r="N512" s="156">
        <f>Schedule!E512</f>
        <v/>
      </c>
      <c r="O512" s="156" t="inlineStr">
        <is>
          <t>Away</t>
        </is>
      </c>
      <c r="P512" s="157">
        <f>Schedule!H512</f>
        <v/>
      </c>
      <c r="Q512" s="157">
        <f>Schedule!C512</f>
        <v/>
      </c>
      <c r="R512" s="180">
        <f>Schedule!D512</f>
        <v/>
      </c>
      <c r="S512" s="181">
        <f>Schedule!J512</f>
        <v/>
      </c>
      <c r="T512" s="193">
        <f>Y512-Z512</f>
        <v/>
      </c>
      <c r="U512" s="182">
        <f>T512/Picks!$K$2</f>
        <v/>
      </c>
      <c r="V512" s="193">
        <f>INDEX(Standings!$T$3:$T$34, MATCH(N512, Standings!$A$3:$A$34, 0)) - INDEX(Standings!$T$3:$T$34, MATCH(P512, Standings!$A$3:$A$34, 0))</f>
        <v/>
      </c>
      <c r="W512" s="157">
        <f>INDEX(Standings!$L$3:$L$34, MATCH(N512, Standings!$A$3:$A$34, 0)) - INDEX(Standings!$L$3:$L$34, MATCH(P512, Standings!$A$3:$A$34, 0))</f>
        <v/>
      </c>
      <c r="X512" s="157">
        <f>INDEX(Standings!$M$3:$M$34, MATCH(N512, Standings!$A$3:$A$34, 0)) - INDEX(Standings!$M$3:$M$34, MATCH(P512, Standings!$A$3:$A$34, 0))</f>
        <v/>
      </c>
      <c r="Y512" s="194">
        <f t="array" ref="Y512:Y512">IFERROR(AE512+(AL512-_DFactor)*AE512,"")</f>
        <v/>
      </c>
      <c r="Z512" s="157">
        <f>IFERROR(AF512+(AI512-_DFactor)*AF512,"")</f>
        <v/>
      </c>
      <c r="AC512" s="194">
        <f>VLOOKUP(M512&amp;N512,Schedule!A:F,6,0)</f>
        <v/>
      </c>
      <c r="AD512" s="194">
        <f>VLOOKUP(M512&amp;P512,Schedule!A:F,6,0)</f>
        <v/>
      </c>
      <c r="AE512" s="156">
        <f>VLOOKUP(N512,ProjPVT!B:I,8,0)*_Mag/VLOOKUP(P512,Standings!A:O,15,0)*H512*K512</f>
        <v/>
      </c>
      <c r="AF512" s="156">
        <f>VLOOKUP(P512,ProjPVT!B:I,8,0)*_Mag/VLOOKUP(N512,Standings!A:O,15,0)*J512*I512</f>
        <v/>
      </c>
      <c r="AG512" s="195">
        <f>VLOOKUP(N512,Matrix!AA:AC,3,0)</f>
        <v/>
      </c>
      <c r="AH512" s="195">
        <f>SUMIFS(Def!C:C,Def!F:F,AG512)</f>
        <v/>
      </c>
      <c r="AI512" s="156">
        <f>IFERROR(SUMIFS(Def!B:B,Def!F:F,AG512)/AH512,"")</f>
        <v/>
      </c>
      <c r="AJ512" s="195">
        <f>VLOOKUP(P512,Matrix!AA:AC,3,0)</f>
        <v/>
      </c>
      <c r="AK512" s="195">
        <f>SUMIFS(Def!C:C,Def!F:F,AJ512)</f>
        <v/>
      </c>
      <c r="AL512" s="156">
        <f>IFERROR(SUMIFS(Def!B:B,Def!F:F,AJ512)/AK512,"")</f>
        <v/>
      </c>
    </row>
    <row r="513" ht="14.4" customHeight="1" s="152">
      <c r="A513" s="157">
        <f>IF(F513="Yes",IFERROR(IF(AA513&gt;1,AA513/100,100/-AA513),""),-1)</f>
        <v/>
      </c>
      <c r="B513" s="157">
        <f>B512+1</f>
        <v/>
      </c>
      <c r="C513" s="157">
        <f>IF(Y513&gt;Z513,1,0)</f>
        <v/>
      </c>
      <c r="D513" s="157">
        <f>IF(AND(C513=1,F513="Yes"),"Yes",IF(AND(C513=0,F513="No"),"Yes","No"))</f>
        <v/>
      </c>
      <c r="E513" s="192">
        <f>IF((AC513+AB513)=AD513,"Push",IF((AC513+AB513)&gt;AD513,"Yes","No"))</f>
        <v/>
      </c>
      <c r="F513" s="192">
        <f>IF(AC513&gt;AD513,"Yes","No")</f>
        <v/>
      </c>
      <c r="G513" s="192">
        <f>IF((Y513+AB513)&gt;Z513,"Yes",IF((Y513+AB513)=Z513,"Push","No"))</f>
        <v/>
      </c>
      <c r="H513" s="157">
        <f>IF(O513="Home",VLOOKUP(N513,Matrix!A:S,19,0),1)</f>
        <v/>
      </c>
      <c r="I513" s="157">
        <f>IF(O513="Away",VLOOKUP(N513,Matrix!A:Z,20,0),1)</f>
        <v/>
      </c>
      <c r="J513" s="157">
        <f>IF(O513="Away",VLOOKUP(P513,Matrix!A:S,19,0),1)</f>
        <v/>
      </c>
      <c r="K513" s="157">
        <f>IF(O513="Home",VLOOKUP(P513,Matrix!A:Z,20,0),1)</f>
        <v/>
      </c>
      <c r="L513" s="156" t="n">
        <v>0.394127070948122</v>
      </c>
      <c r="M513" s="179">
        <f>Schedule!B513</f>
        <v/>
      </c>
      <c r="N513" s="156">
        <f>Schedule!E513</f>
        <v/>
      </c>
      <c r="O513" s="156" t="inlineStr">
        <is>
          <t>Away</t>
        </is>
      </c>
      <c r="P513" s="157">
        <f>Schedule!H513</f>
        <v/>
      </c>
      <c r="Q513" s="157">
        <f>Schedule!C513</f>
        <v/>
      </c>
      <c r="R513" s="180">
        <f>Schedule!D513</f>
        <v/>
      </c>
      <c r="S513" s="181">
        <f>Schedule!J513</f>
        <v/>
      </c>
      <c r="T513" s="193">
        <f>Y513-Z513</f>
        <v/>
      </c>
      <c r="U513" s="182">
        <f>T513/Picks!$K$2</f>
        <v/>
      </c>
      <c r="V513" s="193">
        <f>INDEX(Standings!$T$3:$T$34, MATCH(N513, Standings!$A$3:$A$34, 0)) - INDEX(Standings!$T$3:$T$34, MATCH(P513, Standings!$A$3:$A$34, 0))</f>
        <v/>
      </c>
      <c r="W513" s="157">
        <f>INDEX(Standings!$L$3:$L$34, MATCH(N513, Standings!$A$3:$A$34, 0)) - INDEX(Standings!$L$3:$L$34, MATCH(P513, Standings!$A$3:$A$34, 0))</f>
        <v/>
      </c>
      <c r="X513" s="157">
        <f>INDEX(Standings!$M$3:$M$34, MATCH(N513, Standings!$A$3:$A$34, 0)) - INDEX(Standings!$M$3:$M$34, MATCH(P513, Standings!$A$3:$A$34, 0))</f>
        <v/>
      </c>
      <c r="Y513" s="194">
        <f t="array" ref="Y513:Y513">IFERROR(AE513+(AL513-_DFactor)*AE513,"")</f>
        <v/>
      </c>
      <c r="Z513" s="157">
        <f>IFERROR(AF513+(AI513-_DFactor)*AF513,"")</f>
        <v/>
      </c>
      <c r="AC513" s="194">
        <f>VLOOKUP(M513&amp;N513,Schedule!A:F,6,0)</f>
        <v/>
      </c>
      <c r="AD513" s="194">
        <f>VLOOKUP(M513&amp;P513,Schedule!A:F,6,0)</f>
        <v/>
      </c>
      <c r="AE513" s="156">
        <f>VLOOKUP(N513,ProjPVT!B:I,8,0)*_Mag/VLOOKUP(P513,Standings!A:O,15,0)*H513*K513</f>
        <v/>
      </c>
      <c r="AF513" s="156">
        <f>VLOOKUP(P513,ProjPVT!B:I,8,0)*_Mag/VLOOKUP(N513,Standings!A:O,15,0)*J513*I513</f>
        <v/>
      </c>
      <c r="AG513" s="195">
        <f>VLOOKUP(N513,Matrix!AA:AC,3,0)</f>
        <v/>
      </c>
      <c r="AH513" s="195">
        <f>SUMIFS(Def!C:C,Def!F:F,AG513)</f>
        <v/>
      </c>
      <c r="AI513" s="156">
        <f>IFERROR(SUMIFS(Def!B:B,Def!F:F,AG513)/AH513,"")</f>
        <v/>
      </c>
      <c r="AJ513" s="195">
        <f>VLOOKUP(P513,Matrix!AA:AC,3,0)</f>
        <v/>
      </c>
      <c r="AK513" s="195">
        <f>SUMIFS(Def!C:C,Def!F:F,AJ513)</f>
        <v/>
      </c>
      <c r="AL513" s="156">
        <f>IFERROR(SUMIFS(Def!B:B,Def!F:F,AJ513)/AK513,"")</f>
        <v/>
      </c>
    </row>
    <row r="514" ht="14.4" customHeight="1" s="152">
      <c r="A514" s="157">
        <f>IF(F514="Yes",IFERROR(IF(AA514&gt;1,AA514/100,100/-AA514),""),-1)</f>
        <v/>
      </c>
      <c r="B514" s="157">
        <f>B513+1</f>
        <v/>
      </c>
      <c r="C514" s="157">
        <f>IF(Y514&gt;Z514,1,0)</f>
        <v/>
      </c>
      <c r="D514" s="157">
        <f>IF(AND(C514=1,F514="Yes"),"Yes",IF(AND(C514=0,F514="No"),"Yes","No"))</f>
        <v/>
      </c>
      <c r="E514" s="192">
        <f>IF((AC514+AB514)=AD514,"Push",IF((AC514+AB514)&gt;AD514,"Yes","No"))</f>
        <v/>
      </c>
      <c r="F514" s="192">
        <f>IF(AC514&gt;AD514,"Yes","No")</f>
        <v/>
      </c>
      <c r="G514" s="192">
        <f>IF((Y514+AB514)&gt;Z514,"Yes",IF((Y514+AB514)=Z514,"Push","No"))</f>
        <v/>
      </c>
      <c r="H514" s="157">
        <f>IF(O514="Home",VLOOKUP(N514,Matrix!A:S,19,0),1)</f>
        <v/>
      </c>
      <c r="I514" s="157">
        <f>IF(O514="Away",VLOOKUP(N514,Matrix!A:Z,20,0),1)</f>
        <v/>
      </c>
      <c r="J514" s="157">
        <f>IF(O514="Away",VLOOKUP(P514,Matrix!A:S,19,0),1)</f>
        <v/>
      </c>
      <c r="K514" s="157">
        <f>IF(O514="Home",VLOOKUP(P514,Matrix!A:Z,20,0),1)</f>
        <v/>
      </c>
      <c r="L514" s="156" t="n">
        <v>-0.765647001860991</v>
      </c>
      <c r="M514" s="179">
        <f>Schedule!B514</f>
        <v/>
      </c>
      <c r="N514" s="156">
        <f>Schedule!E514</f>
        <v/>
      </c>
      <c r="O514" s="156" t="inlineStr">
        <is>
          <t>Away</t>
        </is>
      </c>
      <c r="P514" s="157">
        <f>Schedule!H514</f>
        <v/>
      </c>
      <c r="Q514" s="157">
        <f>Schedule!C514</f>
        <v/>
      </c>
      <c r="R514" s="180">
        <f>Schedule!D514</f>
        <v/>
      </c>
      <c r="S514" s="181">
        <f>Schedule!J514</f>
        <v/>
      </c>
      <c r="T514" s="193">
        <f>Y514-Z514</f>
        <v/>
      </c>
      <c r="U514" s="182">
        <f>T514/Picks!$K$2</f>
        <v/>
      </c>
      <c r="V514" s="193">
        <f>INDEX(Standings!$T$3:$T$34, MATCH(N514, Standings!$A$3:$A$34, 0)) - INDEX(Standings!$T$3:$T$34, MATCH(P514, Standings!$A$3:$A$34, 0))</f>
        <v/>
      </c>
      <c r="W514" s="157">
        <f>INDEX(Standings!$L$3:$L$34, MATCH(N514, Standings!$A$3:$A$34, 0)) - INDEX(Standings!$L$3:$L$34, MATCH(P514, Standings!$A$3:$A$34, 0))</f>
        <v/>
      </c>
      <c r="X514" s="157">
        <f>INDEX(Standings!$M$3:$M$34, MATCH(N514, Standings!$A$3:$A$34, 0)) - INDEX(Standings!$M$3:$M$34, MATCH(P514, Standings!$A$3:$A$34, 0))</f>
        <v/>
      </c>
      <c r="Y514" s="194">
        <f t="array" ref="Y514:Y514">IFERROR(AE514+(AL514-_DFactor)*AE514,"")</f>
        <v/>
      </c>
      <c r="Z514" s="157">
        <f>IFERROR(AF514+(AI514-_DFactor)*AF514,"")</f>
        <v/>
      </c>
      <c r="AC514" s="194">
        <f>VLOOKUP(M514&amp;N514,Schedule!A:F,6,0)</f>
        <v/>
      </c>
      <c r="AD514" s="194">
        <f>VLOOKUP(M514&amp;P514,Schedule!A:F,6,0)</f>
        <v/>
      </c>
      <c r="AE514" s="156">
        <f>VLOOKUP(N514,ProjPVT!B:I,8,0)*_Mag/VLOOKUP(P514,Standings!A:O,15,0)*H514*K514</f>
        <v/>
      </c>
      <c r="AF514" s="156">
        <f>VLOOKUP(P514,ProjPVT!B:I,8,0)*_Mag/VLOOKUP(N514,Standings!A:O,15,0)*J514*I514</f>
        <v/>
      </c>
      <c r="AG514" s="195">
        <f>VLOOKUP(N514,Matrix!AA:AC,3,0)</f>
        <v/>
      </c>
      <c r="AH514" s="195">
        <f>SUMIFS(Def!C:C,Def!F:F,AG514)</f>
        <v/>
      </c>
      <c r="AI514" s="156">
        <f>IFERROR(SUMIFS(Def!B:B,Def!F:F,AG514)/AH514,"")</f>
        <v/>
      </c>
      <c r="AJ514" s="195">
        <f>VLOOKUP(P514,Matrix!AA:AC,3,0)</f>
        <v/>
      </c>
      <c r="AK514" s="195">
        <f>SUMIFS(Def!C:C,Def!F:F,AJ514)</f>
        <v/>
      </c>
      <c r="AL514" s="156">
        <f>IFERROR(SUMIFS(Def!B:B,Def!F:F,AJ514)/AK514,"")</f>
        <v/>
      </c>
    </row>
    <row r="515" ht="14.4" customHeight="1" s="152">
      <c r="A515" s="157">
        <f>IF(F515="Yes",IFERROR(IF(AA515&gt;1,AA515/100,100/-AA515),""),-1)</f>
        <v/>
      </c>
      <c r="B515" s="157">
        <f>B514+1</f>
        <v/>
      </c>
      <c r="C515" s="157">
        <f>IF(Y515&gt;Z515,1,0)</f>
        <v/>
      </c>
      <c r="D515" s="157">
        <f>IF(AND(C515=1,F515="Yes"),"Yes",IF(AND(C515=0,F515="No"),"Yes","No"))</f>
        <v/>
      </c>
      <c r="E515" s="192">
        <f>IF((AC515+AB515)=AD515,"Push",IF((AC515+AB515)&gt;AD515,"Yes","No"))</f>
        <v/>
      </c>
      <c r="F515" s="192">
        <f>IF(AC515&gt;AD515,"Yes","No")</f>
        <v/>
      </c>
      <c r="G515" s="192">
        <f>IF((Y515+AB515)&gt;Z515,"Yes",IF((Y515+AB515)=Z515,"Push","No"))</f>
        <v/>
      </c>
      <c r="H515" s="157">
        <f>IF(O515="Home",VLOOKUP(N515,Matrix!A:S,19,0),1)</f>
        <v/>
      </c>
      <c r="I515" s="157">
        <f>IF(O515="Away",VLOOKUP(N515,Matrix!A:Z,20,0),1)</f>
        <v/>
      </c>
      <c r="J515" s="157">
        <f>IF(O515="Away",VLOOKUP(P515,Matrix!A:S,19,0),1)</f>
        <v/>
      </c>
      <c r="K515" s="157">
        <f>IF(O515="Home",VLOOKUP(P515,Matrix!A:Z,20,0),1)</f>
        <v/>
      </c>
      <c r="L515" s="156" t="n">
        <v>-0.567890457171549</v>
      </c>
      <c r="M515" s="179">
        <f>Schedule!B515</f>
        <v/>
      </c>
      <c r="N515" s="156">
        <f>Schedule!E515</f>
        <v/>
      </c>
      <c r="O515" s="156" t="inlineStr">
        <is>
          <t>Away</t>
        </is>
      </c>
      <c r="P515" s="157">
        <f>Schedule!H515</f>
        <v/>
      </c>
      <c r="Q515" s="157">
        <f>Schedule!C515</f>
        <v/>
      </c>
      <c r="R515" s="180">
        <f>Schedule!D515</f>
        <v/>
      </c>
      <c r="S515" s="181">
        <f>Schedule!J515</f>
        <v/>
      </c>
      <c r="T515" s="193">
        <f>Y515-Z515</f>
        <v/>
      </c>
      <c r="U515" s="182">
        <f>T515/Picks!$K$2</f>
        <v/>
      </c>
      <c r="V515" s="193">
        <f>INDEX(Standings!$T$3:$T$34, MATCH(N515, Standings!$A$3:$A$34, 0)) - INDEX(Standings!$T$3:$T$34, MATCH(P515, Standings!$A$3:$A$34, 0))</f>
        <v/>
      </c>
      <c r="W515" s="157">
        <f>INDEX(Standings!$L$3:$L$34, MATCH(N515, Standings!$A$3:$A$34, 0)) - INDEX(Standings!$L$3:$L$34, MATCH(P515, Standings!$A$3:$A$34, 0))</f>
        <v/>
      </c>
      <c r="X515" s="157">
        <f>INDEX(Standings!$M$3:$M$34, MATCH(N515, Standings!$A$3:$A$34, 0)) - INDEX(Standings!$M$3:$M$34, MATCH(P515, Standings!$A$3:$A$34, 0))</f>
        <v/>
      </c>
      <c r="Y515" s="194">
        <f t="array" ref="Y515:Y515">IFERROR(AE515+(AL515-_DFactor)*AE515,"")</f>
        <v/>
      </c>
      <c r="Z515" s="157">
        <f>IFERROR(AF515+(AI515-_DFactor)*AF515,"")</f>
        <v/>
      </c>
      <c r="AC515" s="194">
        <f>VLOOKUP(M515&amp;N515,Schedule!A:F,6,0)</f>
        <v/>
      </c>
      <c r="AD515" s="194">
        <f>VLOOKUP(M515&amp;P515,Schedule!A:F,6,0)</f>
        <v/>
      </c>
      <c r="AE515" s="156">
        <f>VLOOKUP(N515,ProjPVT!B:I,8,0)*_Mag/VLOOKUP(P515,Standings!A:O,15,0)*H515*K515</f>
        <v/>
      </c>
      <c r="AF515" s="156">
        <f>VLOOKUP(P515,ProjPVT!B:I,8,0)*_Mag/VLOOKUP(N515,Standings!A:O,15,0)*J515*I515</f>
        <v/>
      </c>
      <c r="AG515" s="195">
        <f>VLOOKUP(N515,Matrix!AA:AC,3,0)</f>
        <v/>
      </c>
      <c r="AH515" s="195">
        <f>SUMIFS(Def!C:C,Def!F:F,AG515)</f>
        <v/>
      </c>
      <c r="AI515" s="156">
        <f>IFERROR(SUMIFS(Def!B:B,Def!F:F,AG515)/AH515,"")</f>
        <v/>
      </c>
      <c r="AJ515" s="195">
        <f>VLOOKUP(P515,Matrix!AA:AC,3,0)</f>
        <v/>
      </c>
      <c r="AK515" s="195">
        <f>SUMIFS(Def!C:C,Def!F:F,AJ515)</f>
        <v/>
      </c>
      <c r="AL515" s="156">
        <f>IFERROR(SUMIFS(Def!B:B,Def!F:F,AJ515)/AK515,"")</f>
        <v/>
      </c>
    </row>
    <row r="516" ht="14.4" customHeight="1" s="152">
      <c r="A516" s="157">
        <f>IF(F516="Yes",IFERROR(IF(AA516&gt;1,AA516/100,100/-AA516),""),-1)</f>
        <v/>
      </c>
      <c r="B516" s="157">
        <f>B515+1</f>
        <v/>
      </c>
      <c r="C516" s="157">
        <f>IF(Y516&gt;Z516,1,0)</f>
        <v/>
      </c>
      <c r="D516" s="157">
        <f>IF(AND(C516=1,F516="Yes"),"Yes",IF(AND(C516=0,F516="No"),"Yes","No"))</f>
        <v/>
      </c>
      <c r="E516" s="192">
        <f>IF((AC516+AB516)=AD516,"Push",IF((AC516+AB516)&gt;AD516,"Yes","No"))</f>
        <v/>
      </c>
      <c r="F516" s="192">
        <f>IF(AC516&gt;AD516,"Yes","No")</f>
        <v/>
      </c>
      <c r="G516" s="192">
        <f>IF((Y516+AB516)&gt;Z516,"Yes",IF((Y516+AB516)=Z516,"Push","No"))</f>
        <v/>
      </c>
      <c r="H516" s="157">
        <f>IF(O516="Home",VLOOKUP(N516,Matrix!A:S,19,0),1)</f>
        <v/>
      </c>
      <c r="I516" s="157">
        <f>IF(O516="Away",VLOOKUP(N516,Matrix!A:Z,20,0),1)</f>
        <v/>
      </c>
      <c r="J516" s="157">
        <f>IF(O516="Away",VLOOKUP(P516,Matrix!A:S,19,0),1)</f>
        <v/>
      </c>
      <c r="K516" s="157">
        <f>IF(O516="Home",VLOOKUP(P516,Matrix!A:Z,20,0),1)</f>
        <v/>
      </c>
      <c r="L516" s="156" t="n">
        <v>-0.558615125435709</v>
      </c>
      <c r="M516" s="179">
        <f>Schedule!B516</f>
        <v/>
      </c>
      <c r="N516" s="156">
        <f>Schedule!E516</f>
        <v/>
      </c>
      <c r="O516" s="156" t="inlineStr">
        <is>
          <t>Away</t>
        </is>
      </c>
      <c r="P516" s="157">
        <f>Schedule!H516</f>
        <v/>
      </c>
      <c r="Q516" s="157">
        <f>Schedule!C516</f>
        <v/>
      </c>
      <c r="R516" s="180">
        <f>Schedule!D516</f>
        <v/>
      </c>
      <c r="S516" s="181">
        <f>Schedule!J516</f>
        <v/>
      </c>
      <c r="T516" s="193">
        <f>Y516-Z516</f>
        <v/>
      </c>
      <c r="U516" s="182">
        <f>T516/Picks!$K$2</f>
        <v/>
      </c>
      <c r="V516" s="193">
        <f>INDEX(Standings!$T$3:$T$34, MATCH(N516, Standings!$A$3:$A$34, 0)) - INDEX(Standings!$T$3:$T$34, MATCH(P516, Standings!$A$3:$A$34, 0))</f>
        <v/>
      </c>
      <c r="W516" s="157">
        <f>INDEX(Standings!$L$3:$L$34, MATCH(N516, Standings!$A$3:$A$34, 0)) - INDEX(Standings!$L$3:$L$34, MATCH(P516, Standings!$A$3:$A$34, 0))</f>
        <v/>
      </c>
      <c r="X516" s="157">
        <f>INDEX(Standings!$M$3:$M$34, MATCH(N516, Standings!$A$3:$A$34, 0)) - INDEX(Standings!$M$3:$M$34, MATCH(P516, Standings!$A$3:$A$34, 0))</f>
        <v/>
      </c>
      <c r="Y516" s="194">
        <f t="array" ref="Y516:Y516">IFERROR(AE516+(AL516-_DFactor)*AE516,"")</f>
        <v/>
      </c>
      <c r="Z516" s="157">
        <f>IFERROR(AF516+(AI516-_DFactor)*AF516,"")</f>
        <v/>
      </c>
      <c r="AC516" s="194">
        <f>VLOOKUP(M516&amp;N516,Schedule!A:F,6,0)</f>
        <v/>
      </c>
      <c r="AD516" s="194">
        <f>VLOOKUP(M516&amp;P516,Schedule!A:F,6,0)</f>
        <v/>
      </c>
      <c r="AE516" s="156">
        <f>VLOOKUP(N516,ProjPVT!B:I,8,0)*_Mag/VLOOKUP(P516,Standings!A:O,15,0)*H516*K516</f>
        <v/>
      </c>
      <c r="AF516" s="156">
        <f>VLOOKUP(P516,ProjPVT!B:I,8,0)*_Mag/VLOOKUP(N516,Standings!A:O,15,0)*J516*I516</f>
        <v/>
      </c>
      <c r="AG516" s="195">
        <f>VLOOKUP(N516,Matrix!AA:AC,3,0)</f>
        <v/>
      </c>
      <c r="AH516" s="195">
        <f>SUMIFS(Def!C:C,Def!F:F,AG516)</f>
        <v/>
      </c>
      <c r="AI516" s="156">
        <f>IFERROR(SUMIFS(Def!B:B,Def!F:F,AG516)/AH516,"")</f>
        <v/>
      </c>
      <c r="AJ516" s="195">
        <f>VLOOKUP(P516,Matrix!AA:AC,3,0)</f>
        <v/>
      </c>
      <c r="AK516" s="195">
        <f>SUMIFS(Def!C:C,Def!F:F,AJ516)</f>
        <v/>
      </c>
      <c r="AL516" s="156">
        <f>IFERROR(SUMIFS(Def!B:B,Def!F:F,AJ516)/AK516,"")</f>
        <v/>
      </c>
    </row>
    <row r="517" ht="14.4" customHeight="1" s="152">
      <c r="A517" s="157">
        <f>IF(F517="Yes",IFERROR(IF(AA517&gt;1,AA517/100,100/-AA517),""),-1)</f>
        <v/>
      </c>
      <c r="B517" s="157">
        <f>B516+1</f>
        <v/>
      </c>
      <c r="C517" s="157">
        <f>IF(Y517&gt;Z517,1,0)</f>
        <v/>
      </c>
      <c r="D517" s="157">
        <f>IF(AND(C517=1,F517="Yes"),"Yes",IF(AND(C517=0,F517="No"),"Yes","No"))</f>
        <v/>
      </c>
      <c r="E517" s="192">
        <f>IF((AC517+AB517)=AD517,"Push",IF((AC517+AB517)&gt;AD517,"Yes","No"))</f>
        <v/>
      </c>
      <c r="F517" s="192">
        <f>IF(AC517&gt;AD517,"Yes","No")</f>
        <v/>
      </c>
      <c r="G517" s="192">
        <f>IF((Y517+AB517)&gt;Z517,"Yes",IF((Y517+AB517)=Z517,"Push","No"))</f>
        <v/>
      </c>
      <c r="H517" s="157">
        <f>IF(O517="Home",VLOOKUP(N517,Matrix!A:S,19,0),1)</f>
        <v/>
      </c>
      <c r="I517" s="157">
        <f>IF(O517="Away",VLOOKUP(N517,Matrix!A:Z,20,0),1)</f>
        <v/>
      </c>
      <c r="J517" s="157">
        <f>IF(O517="Away",VLOOKUP(P517,Matrix!A:S,19,0),1)</f>
        <v/>
      </c>
      <c r="K517" s="157">
        <f>IF(O517="Home",VLOOKUP(P517,Matrix!A:Z,20,0),1)</f>
        <v/>
      </c>
      <c r="L517" s="156" t="n">
        <v>-0.531898712927202</v>
      </c>
      <c r="M517" s="179">
        <f>Schedule!B517</f>
        <v/>
      </c>
      <c r="N517" s="156">
        <f>Schedule!E517</f>
        <v/>
      </c>
      <c r="O517" s="156" t="inlineStr">
        <is>
          <t>Away</t>
        </is>
      </c>
      <c r="P517" s="157">
        <f>Schedule!H517</f>
        <v/>
      </c>
      <c r="Q517" s="157">
        <f>Schedule!C517</f>
        <v/>
      </c>
      <c r="R517" s="180">
        <f>Schedule!D517</f>
        <v/>
      </c>
      <c r="S517" s="181">
        <f>Schedule!J517</f>
        <v/>
      </c>
      <c r="T517" s="193">
        <f>Y517-Z517</f>
        <v/>
      </c>
      <c r="U517" s="182">
        <f>T517/Picks!$K$2</f>
        <v/>
      </c>
      <c r="V517" s="193">
        <f>INDEX(Standings!$T$3:$T$34, MATCH(N517, Standings!$A$3:$A$34, 0)) - INDEX(Standings!$T$3:$T$34, MATCH(P517, Standings!$A$3:$A$34, 0))</f>
        <v/>
      </c>
      <c r="W517" s="157">
        <f>INDEX(Standings!$L$3:$L$34, MATCH(N517, Standings!$A$3:$A$34, 0)) - INDEX(Standings!$L$3:$L$34, MATCH(P517, Standings!$A$3:$A$34, 0))</f>
        <v/>
      </c>
      <c r="X517" s="157">
        <f>INDEX(Standings!$M$3:$M$34, MATCH(N517, Standings!$A$3:$A$34, 0)) - INDEX(Standings!$M$3:$M$34, MATCH(P517, Standings!$A$3:$A$34, 0))</f>
        <v/>
      </c>
      <c r="Y517" s="194">
        <f t="array" ref="Y517:Y517">IFERROR(AE517+(AL517-_DFactor)*AE517,"")</f>
        <v/>
      </c>
      <c r="Z517" s="157">
        <f>IFERROR(AF517+(AI517-_DFactor)*AF517,"")</f>
        <v/>
      </c>
      <c r="AC517" s="194">
        <f>VLOOKUP(M517&amp;N517,Schedule!A:F,6,0)</f>
        <v/>
      </c>
      <c r="AD517" s="194">
        <f>VLOOKUP(M517&amp;P517,Schedule!A:F,6,0)</f>
        <v/>
      </c>
      <c r="AE517" s="156">
        <f>VLOOKUP(N517,ProjPVT!B:I,8,0)*_Mag/VLOOKUP(P517,Standings!A:O,15,0)*H517*K517</f>
        <v/>
      </c>
      <c r="AF517" s="156">
        <f>VLOOKUP(P517,ProjPVT!B:I,8,0)*_Mag/VLOOKUP(N517,Standings!A:O,15,0)*J517*I517</f>
        <v/>
      </c>
      <c r="AG517" s="195">
        <f>VLOOKUP(N517,Matrix!AA:AC,3,0)</f>
        <v/>
      </c>
      <c r="AH517" s="195">
        <f>SUMIFS(Def!C:C,Def!F:F,AG517)</f>
        <v/>
      </c>
      <c r="AI517" s="156">
        <f>IFERROR(SUMIFS(Def!B:B,Def!F:F,AG517)/AH517,"")</f>
        <v/>
      </c>
      <c r="AJ517" s="195">
        <f>VLOOKUP(P517,Matrix!AA:AC,3,0)</f>
        <v/>
      </c>
      <c r="AK517" s="195">
        <f>SUMIFS(Def!C:C,Def!F:F,AJ517)</f>
        <v/>
      </c>
      <c r="AL517" s="156">
        <f>IFERROR(SUMIFS(Def!B:B,Def!F:F,AJ517)/AK517,"")</f>
        <v/>
      </c>
    </row>
    <row r="518" ht="14.4" customHeight="1" s="152">
      <c r="A518" s="157">
        <f>IF(F518="Yes",IFERROR(IF(AA518&gt;1,AA518/100,100/-AA518),""),-1)</f>
        <v/>
      </c>
      <c r="B518" s="157">
        <f>B517+1</f>
        <v/>
      </c>
      <c r="C518" s="157">
        <f>IF(Y518&gt;Z518,1,0)</f>
        <v/>
      </c>
      <c r="D518" s="157">
        <f>IF(AND(C518=1,F518="Yes"),"Yes",IF(AND(C518=0,F518="No"),"Yes","No"))</f>
        <v/>
      </c>
      <c r="E518" s="192">
        <f>IF((AC518+AB518)=AD518,"Push",IF((AC518+AB518)&gt;AD518,"Yes","No"))</f>
        <v/>
      </c>
      <c r="F518" s="192">
        <f>IF(AC518&gt;AD518,"Yes","No")</f>
        <v/>
      </c>
      <c r="G518" s="192">
        <f>IF((Y518+AB518)&gt;Z518,"Yes",IF((Y518+AB518)=Z518,"Push","No"))</f>
        <v/>
      </c>
      <c r="H518" s="157">
        <f>IF(O518="Home",VLOOKUP(N518,Matrix!A:S,19,0),1)</f>
        <v/>
      </c>
      <c r="I518" s="157">
        <f>IF(O518="Away",VLOOKUP(N518,Matrix!A:Z,20,0),1)</f>
        <v/>
      </c>
      <c r="J518" s="157">
        <f>IF(O518="Away",VLOOKUP(P518,Matrix!A:S,19,0),1)</f>
        <v/>
      </c>
      <c r="K518" s="157">
        <f>IF(O518="Home",VLOOKUP(P518,Matrix!A:Z,20,0),1)</f>
        <v/>
      </c>
      <c r="L518" s="156" t="n">
        <v>-0.527531766098514</v>
      </c>
      <c r="M518" s="179">
        <f>Schedule!B518</f>
        <v/>
      </c>
      <c r="N518" s="156">
        <f>Schedule!E518</f>
        <v/>
      </c>
      <c r="O518" s="156" t="inlineStr">
        <is>
          <t>Away</t>
        </is>
      </c>
      <c r="P518" s="157">
        <f>Schedule!H518</f>
        <v/>
      </c>
      <c r="Q518" s="157">
        <f>Schedule!C518</f>
        <v/>
      </c>
      <c r="R518" s="180">
        <f>Schedule!D518</f>
        <v/>
      </c>
      <c r="S518" s="181">
        <f>Schedule!J518</f>
        <v/>
      </c>
      <c r="T518" s="193">
        <f>Y518-Z518</f>
        <v/>
      </c>
      <c r="U518" s="182">
        <f>T518/Picks!$K$2</f>
        <v/>
      </c>
      <c r="V518" s="193">
        <f>INDEX(Standings!$T$3:$T$34, MATCH(N518, Standings!$A$3:$A$34, 0)) - INDEX(Standings!$T$3:$T$34, MATCH(P518, Standings!$A$3:$A$34, 0))</f>
        <v/>
      </c>
      <c r="W518" s="157">
        <f>INDEX(Standings!$L$3:$L$34, MATCH(N518, Standings!$A$3:$A$34, 0)) - INDEX(Standings!$L$3:$L$34, MATCH(P518, Standings!$A$3:$A$34, 0))</f>
        <v/>
      </c>
      <c r="X518" s="157">
        <f>INDEX(Standings!$M$3:$M$34, MATCH(N518, Standings!$A$3:$A$34, 0)) - INDEX(Standings!$M$3:$M$34, MATCH(P518, Standings!$A$3:$A$34, 0))</f>
        <v/>
      </c>
      <c r="Y518" s="194">
        <f t="array" ref="Y518:Y518">IFERROR(AE518+(AL518-_DFactor)*AE518,"")</f>
        <v/>
      </c>
      <c r="Z518" s="157">
        <f>IFERROR(AF518+(AI518-_DFactor)*AF518,"")</f>
        <v/>
      </c>
      <c r="AC518" s="194">
        <f>VLOOKUP(M518&amp;N518,Schedule!A:F,6,0)</f>
        <v/>
      </c>
      <c r="AD518" s="194">
        <f>VLOOKUP(M518&amp;P518,Schedule!A:F,6,0)</f>
        <v/>
      </c>
      <c r="AE518" s="156">
        <f>VLOOKUP(N518,ProjPVT!B:I,8,0)*_Mag/VLOOKUP(P518,Standings!A:O,15,0)*H518*K518</f>
        <v/>
      </c>
      <c r="AF518" s="156">
        <f>VLOOKUP(P518,ProjPVT!B:I,8,0)*_Mag/VLOOKUP(N518,Standings!A:O,15,0)*J518*I518</f>
        <v/>
      </c>
      <c r="AG518" s="195">
        <f>VLOOKUP(N518,Matrix!AA:AC,3,0)</f>
        <v/>
      </c>
      <c r="AH518" s="195">
        <f>SUMIFS(Def!C:C,Def!F:F,AG518)</f>
        <v/>
      </c>
      <c r="AI518" s="156">
        <f>IFERROR(SUMIFS(Def!B:B,Def!F:F,AG518)/AH518,"")</f>
        <v/>
      </c>
      <c r="AJ518" s="195">
        <f>VLOOKUP(P518,Matrix!AA:AC,3,0)</f>
        <v/>
      </c>
      <c r="AK518" s="195">
        <f>SUMIFS(Def!C:C,Def!F:F,AJ518)</f>
        <v/>
      </c>
      <c r="AL518" s="156">
        <f>IFERROR(SUMIFS(Def!B:B,Def!F:F,AJ518)/AK518,"")</f>
        <v/>
      </c>
    </row>
    <row r="519" ht="14.4" customHeight="1" s="152">
      <c r="A519" s="157">
        <f>IF(F519="Yes",IFERROR(IF(AA519&gt;1,AA519/100,100/-AA519),""),-1)</f>
        <v/>
      </c>
      <c r="B519" s="157">
        <f>B518+1</f>
        <v/>
      </c>
      <c r="C519" s="157">
        <f>IF(Y519&gt;Z519,1,0)</f>
        <v/>
      </c>
      <c r="D519" s="157">
        <f>IF(AND(C519=1,F519="Yes"),"Yes",IF(AND(C519=0,F519="No"),"Yes","No"))</f>
        <v/>
      </c>
      <c r="E519" s="192">
        <f>IF((AC519+AB519)=AD519,"Push",IF((AC519+AB519)&gt;AD519,"Yes","No"))</f>
        <v/>
      </c>
      <c r="F519" s="192">
        <f>IF(AC519&gt;AD519,"Yes","No")</f>
        <v/>
      </c>
      <c r="G519" s="192">
        <f>IF((Y519+AB519)&gt;Z519,"Yes",IF((Y519+AB519)=Z519,"Push","No"))</f>
        <v/>
      </c>
      <c r="H519" s="157">
        <f>IF(O519="Home",VLOOKUP(N519,Matrix!A:S,19,0),1)</f>
        <v/>
      </c>
      <c r="I519" s="157">
        <f>IF(O519="Away",VLOOKUP(N519,Matrix!A:Z,20,0),1)</f>
        <v/>
      </c>
      <c r="J519" s="157">
        <f>IF(O519="Away",VLOOKUP(P519,Matrix!A:S,19,0),1)</f>
        <v/>
      </c>
      <c r="K519" s="157">
        <f>IF(O519="Home",VLOOKUP(P519,Matrix!A:Z,20,0),1)</f>
        <v/>
      </c>
      <c r="L519" s="156" t="n">
        <v>-0.511277814816339</v>
      </c>
      <c r="M519" s="179">
        <f>Schedule!B519</f>
        <v/>
      </c>
      <c r="N519" s="156">
        <f>Schedule!E519</f>
        <v/>
      </c>
      <c r="O519" s="156" t="inlineStr">
        <is>
          <t>Away</t>
        </is>
      </c>
      <c r="P519" s="157">
        <f>Schedule!H519</f>
        <v/>
      </c>
      <c r="Q519" s="157">
        <f>Schedule!C519</f>
        <v/>
      </c>
      <c r="R519" s="180">
        <f>Schedule!D519</f>
        <v/>
      </c>
      <c r="S519" s="181">
        <f>Schedule!J519</f>
        <v/>
      </c>
      <c r="T519" s="193">
        <f>Y519-Z519</f>
        <v/>
      </c>
      <c r="U519" s="182">
        <f>T519/Picks!$K$2</f>
        <v/>
      </c>
      <c r="V519" s="193">
        <f>INDEX(Standings!$T$3:$T$34, MATCH(N519, Standings!$A$3:$A$34, 0)) - INDEX(Standings!$T$3:$T$34, MATCH(P519, Standings!$A$3:$A$34, 0))</f>
        <v/>
      </c>
      <c r="W519" s="157">
        <f>INDEX(Standings!$L$3:$L$34, MATCH(N519, Standings!$A$3:$A$34, 0)) - INDEX(Standings!$L$3:$L$34, MATCH(P519, Standings!$A$3:$A$34, 0))</f>
        <v/>
      </c>
      <c r="X519" s="157">
        <f>INDEX(Standings!$M$3:$M$34, MATCH(N519, Standings!$A$3:$A$34, 0)) - INDEX(Standings!$M$3:$M$34, MATCH(P519, Standings!$A$3:$A$34, 0))</f>
        <v/>
      </c>
      <c r="Y519" s="194">
        <f t="array" ref="Y519:Y519">IFERROR(AE519+(AL519-_DFactor)*AE519,"")</f>
        <v/>
      </c>
      <c r="Z519" s="157">
        <f>IFERROR(AF519+(AI519-_DFactor)*AF519,"")</f>
        <v/>
      </c>
      <c r="AC519" s="194">
        <f>VLOOKUP(M519&amp;N519,Schedule!A:F,6,0)</f>
        <v/>
      </c>
      <c r="AD519" s="194">
        <f>VLOOKUP(M519&amp;P519,Schedule!A:F,6,0)</f>
        <v/>
      </c>
      <c r="AE519" s="156">
        <f>VLOOKUP(N519,ProjPVT!B:I,8,0)*_Mag/VLOOKUP(P519,Standings!A:O,15,0)*H519*K519</f>
        <v/>
      </c>
      <c r="AF519" s="156">
        <f>VLOOKUP(P519,ProjPVT!B:I,8,0)*_Mag/VLOOKUP(N519,Standings!A:O,15,0)*J519*I519</f>
        <v/>
      </c>
      <c r="AG519" s="195">
        <f>VLOOKUP(N519,Matrix!AA:AC,3,0)</f>
        <v/>
      </c>
      <c r="AH519" s="195">
        <f>SUMIFS(Def!C:C,Def!F:F,AG519)</f>
        <v/>
      </c>
      <c r="AI519" s="156">
        <f>IFERROR(SUMIFS(Def!B:B,Def!F:F,AG519)/AH519,"")</f>
        <v/>
      </c>
      <c r="AJ519" s="195">
        <f>VLOOKUP(P519,Matrix!AA:AC,3,0)</f>
        <v/>
      </c>
      <c r="AK519" s="195">
        <f>SUMIFS(Def!C:C,Def!F:F,AJ519)</f>
        <v/>
      </c>
      <c r="AL519" s="156">
        <f>IFERROR(SUMIFS(Def!B:B,Def!F:F,AJ519)/AK519,"")</f>
        <v/>
      </c>
    </row>
    <row r="520" ht="14.4" customHeight="1" s="152">
      <c r="A520" s="157">
        <f>IF(F520="Yes",IFERROR(IF(AA520&gt;1,AA520/100,100/-AA520),""),-1)</f>
        <v/>
      </c>
      <c r="B520" s="157">
        <f>B519+1</f>
        <v/>
      </c>
      <c r="C520" s="157">
        <f>IF(Y520&gt;Z520,1,0)</f>
        <v/>
      </c>
      <c r="D520" s="157">
        <f>IF(AND(C520=1,F520="Yes"),"Yes",IF(AND(C520=0,F520="No"),"Yes","No"))</f>
        <v/>
      </c>
      <c r="E520" s="192">
        <f>IF((AC520+AB520)=AD520,"Push",IF((AC520+AB520)&gt;AD520,"Yes","No"))</f>
        <v/>
      </c>
      <c r="F520" s="192">
        <f>IF(AC520&gt;AD520,"Yes","No")</f>
        <v/>
      </c>
      <c r="G520" s="192">
        <f>IF((Y520+AB520)&gt;Z520,"Yes",IF((Y520+AB520)=Z520,"Push","No"))</f>
        <v/>
      </c>
      <c r="H520" s="157">
        <f>IF(O520="Home",VLOOKUP(N520,Matrix!A:S,19,0),1)</f>
        <v/>
      </c>
      <c r="I520" s="157">
        <f>IF(O520="Away",VLOOKUP(N520,Matrix!A:Z,20,0),1)</f>
        <v/>
      </c>
      <c r="J520" s="157">
        <f>IF(O520="Away",VLOOKUP(P520,Matrix!A:S,19,0),1)</f>
        <v/>
      </c>
      <c r="K520" s="157">
        <f>IF(O520="Home",VLOOKUP(P520,Matrix!A:Z,20,0),1)</f>
        <v/>
      </c>
      <c r="L520" s="156" t="n">
        <v>-0.439457136958484</v>
      </c>
      <c r="M520" s="179">
        <f>Schedule!B520</f>
        <v/>
      </c>
      <c r="N520" s="156">
        <f>Schedule!E520</f>
        <v/>
      </c>
      <c r="O520" s="156" t="inlineStr">
        <is>
          <t>Away</t>
        </is>
      </c>
      <c r="P520" s="157">
        <f>Schedule!H520</f>
        <v/>
      </c>
      <c r="Q520" s="157">
        <f>Schedule!C520</f>
        <v/>
      </c>
      <c r="R520" s="180">
        <f>Schedule!D520</f>
        <v/>
      </c>
      <c r="S520" s="181">
        <f>Schedule!J520</f>
        <v/>
      </c>
      <c r="T520" s="193">
        <f>Y520-Z520</f>
        <v/>
      </c>
      <c r="U520" s="182">
        <f>T520/Picks!$K$2</f>
        <v/>
      </c>
      <c r="V520" s="193">
        <f>INDEX(Standings!$T$3:$T$34, MATCH(N520, Standings!$A$3:$A$34, 0)) - INDEX(Standings!$T$3:$T$34, MATCH(P520, Standings!$A$3:$A$34, 0))</f>
        <v/>
      </c>
      <c r="W520" s="157">
        <f>INDEX(Standings!$L$3:$L$34, MATCH(N520, Standings!$A$3:$A$34, 0)) - INDEX(Standings!$L$3:$L$34, MATCH(P520, Standings!$A$3:$A$34, 0))</f>
        <v/>
      </c>
      <c r="X520" s="157">
        <f>INDEX(Standings!$M$3:$M$34, MATCH(N520, Standings!$A$3:$A$34, 0)) - INDEX(Standings!$M$3:$M$34, MATCH(P520, Standings!$A$3:$A$34, 0))</f>
        <v/>
      </c>
      <c r="Y520" s="194">
        <f t="array" ref="Y520:Y520">IFERROR(AE520+(AL520-_DFactor)*AE520,"")</f>
        <v/>
      </c>
      <c r="Z520" s="157">
        <f>IFERROR(AF520+(AI520-_DFactor)*AF520,"")</f>
        <v/>
      </c>
      <c r="AC520" s="194">
        <f>VLOOKUP(M520&amp;N520,Schedule!A:F,6,0)</f>
        <v/>
      </c>
      <c r="AD520" s="194">
        <f>VLOOKUP(M520&amp;P520,Schedule!A:F,6,0)</f>
        <v/>
      </c>
      <c r="AE520" s="156">
        <f>VLOOKUP(N520,ProjPVT!B:I,8,0)*_Mag/VLOOKUP(P520,Standings!A:O,15,0)*H520*K520</f>
        <v/>
      </c>
      <c r="AF520" s="156">
        <f>VLOOKUP(P520,ProjPVT!B:I,8,0)*_Mag/VLOOKUP(N520,Standings!A:O,15,0)*J520*I520</f>
        <v/>
      </c>
      <c r="AG520" s="195">
        <f>VLOOKUP(N520,Matrix!AA:AC,3,0)</f>
        <v/>
      </c>
      <c r="AH520" s="195">
        <f>SUMIFS(Def!C:C,Def!F:F,AG520)</f>
        <v/>
      </c>
      <c r="AI520" s="156">
        <f>IFERROR(SUMIFS(Def!B:B,Def!F:F,AG520)/AH520,"")</f>
        <v/>
      </c>
      <c r="AJ520" s="195">
        <f>VLOOKUP(P520,Matrix!AA:AC,3,0)</f>
        <v/>
      </c>
      <c r="AK520" s="195">
        <f>SUMIFS(Def!C:C,Def!F:F,AJ520)</f>
        <v/>
      </c>
      <c r="AL520" s="156">
        <f>IFERROR(SUMIFS(Def!B:B,Def!F:F,AJ520)/AK520,"")</f>
        <v/>
      </c>
    </row>
    <row r="521" ht="14.4" customHeight="1" s="152">
      <c r="A521" s="157">
        <f>IF(F521="Yes",IFERROR(IF(AA521&gt;1,AA521/100,100/-AA521),""),-1)</f>
        <v/>
      </c>
      <c r="B521" s="157">
        <f>B520+1</f>
        <v/>
      </c>
      <c r="C521" s="157">
        <f>IF(Y521&gt;Z521,1,0)</f>
        <v/>
      </c>
      <c r="D521" s="157">
        <f>IF(AND(C521=1,F521="Yes"),"Yes",IF(AND(C521=0,F521="No"),"Yes","No"))</f>
        <v/>
      </c>
      <c r="E521" s="192">
        <f>IF((AC521+AB521)=AD521,"Push",IF((AC521+AB521)&gt;AD521,"Yes","No"))</f>
        <v/>
      </c>
      <c r="F521" s="192">
        <f>IF(AC521&gt;AD521,"Yes","No")</f>
        <v/>
      </c>
      <c r="G521" s="192">
        <f>IF((Y521+AB521)&gt;Z521,"Yes",IF((Y521+AB521)=Z521,"Push","No"))</f>
        <v/>
      </c>
      <c r="H521" s="157">
        <f>IF(O521="Home",VLOOKUP(N521,Matrix!A:S,19,0),1)</f>
        <v/>
      </c>
      <c r="I521" s="157">
        <f>IF(O521="Away",VLOOKUP(N521,Matrix!A:Z,20,0),1)</f>
        <v/>
      </c>
      <c r="J521" s="157">
        <f>IF(O521="Away",VLOOKUP(P521,Matrix!A:S,19,0),1)</f>
        <v/>
      </c>
      <c r="K521" s="157">
        <f>IF(O521="Home",VLOOKUP(P521,Matrix!A:Z,20,0),1)</f>
        <v/>
      </c>
      <c r="L521" s="156" t="n">
        <v>-0.369439543662273</v>
      </c>
      <c r="M521" s="179">
        <f>Schedule!B521</f>
        <v/>
      </c>
      <c r="N521" s="156">
        <f>Schedule!E521</f>
        <v/>
      </c>
      <c r="O521" s="156" t="inlineStr">
        <is>
          <t>Away</t>
        </is>
      </c>
      <c r="P521" s="157">
        <f>Schedule!H521</f>
        <v/>
      </c>
      <c r="Q521" s="157">
        <f>Schedule!C521</f>
        <v/>
      </c>
      <c r="R521" s="180">
        <f>Schedule!D521</f>
        <v/>
      </c>
      <c r="S521" s="181">
        <f>Schedule!J521</f>
        <v/>
      </c>
      <c r="T521" s="193">
        <f>Y521-Z521</f>
        <v/>
      </c>
      <c r="U521" s="182">
        <f>T521/Picks!$K$2</f>
        <v/>
      </c>
      <c r="V521" s="193">
        <f>INDEX(Standings!$T$3:$T$34, MATCH(N521, Standings!$A$3:$A$34, 0)) - INDEX(Standings!$T$3:$T$34, MATCH(P521, Standings!$A$3:$A$34, 0))</f>
        <v/>
      </c>
      <c r="W521" s="157">
        <f>INDEX(Standings!$L$3:$L$34, MATCH(N521, Standings!$A$3:$A$34, 0)) - INDEX(Standings!$L$3:$L$34, MATCH(P521, Standings!$A$3:$A$34, 0))</f>
        <v/>
      </c>
      <c r="X521" s="157">
        <f>INDEX(Standings!$M$3:$M$34, MATCH(N521, Standings!$A$3:$A$34, 0)) - INDEX(Standings!$M$3:$M$34, MATCH(P521, Standings!$A$3:$A$34, 0))</f>
        <v/>
      </c>
      <c r="Y521" s="194">
        <f t="array" ref="Y521:Y521">IFERROR(AE521+(AL521-_DFactor)*AE521,"")</f>
        <v/>
      </c>
      <c r="Z521" s="157">
        <f>IFERROR(AF521+(AI521-_DFactor)*AF521,"")</f>
        <v/>
      </c>
      <c r="AC521" s="194">
        <f>VLOOKUP(M521&amp;N521,Schedule!A:F,6,0)</f>
        <v/>
      </c>
      <c r="AD521" s="194">
        <f>VLOOKUP(M521&amp;P521,Schedule!A:F,6,0)</f>
        <v/>
      </c>
      <c r="AE521" s="156">
        <f>VLOOKUP(N521,ProjPVT!B:I,8,0)*_Mag/VLOOKUP(P521,Standings!A:O,15,0)*H521*K521</f>
        <v/>
      </c>
      <c r="AF521" s="156">
        <f>VLOOKUP(P521,ProjPVT!B:I,8,0)*_Mag/VLOOKUP(N521,Standings!A:O,15,0)*J521*I521</f>
        <v/>
      </c>
      <c r="AG521" s="195">
        <f>VLOOKUP(N521,Matrix!AA:AC,3,0)</f>
        <v/>
      </c>
      <c r="AH521" s="195">
        <f>SUMIFS(Def!C:C,Def!F:F,AG521)</f>
        <v/>
      </c>
      <c r="AI521" s="156">
        <f>IFERROR(SUMIFS(Def!B:B,Def!F:F,AG521)/AH521,"")</f>
        <v/>
      </c>
      <c r="AJ521" s="195">
        <f>VLOOKUP(P521,Matrix!AA:AC,3,0)</f>
        <v/>
      </c>
      <c r="AK521" s="195">
        <f>SUMIFS(Def!C:C,Def!F:F,AJ521)</f>
        <v/>
      </c>
      <c r="AL521" s="156">
        <f>IFERROR(SUMIFS(Def!B:B,Def!F:F,AJ521)/AK521,"")</f>
        <v/>
      </c>
    </row>
    <row r="522" ht="14.4" customHeight="1" s="152">
      <c r="A522" s="157">
        <f>IF(F522="Yes",IFERROR(IF(AA522&gt;1,AA522/100,100/-AA522),""),-1)</f>
        <v/>
      </c>
      <c r="B522" s="157">
        <f>B521+1</f>
        <v/>
      </c>
      <c r="C522" s="157">
        <f>IF(Y522&gt;Z522,1,0)</f>
        <v/>
      </c>
      <c r="D522" s="157">
        <f>IF(AND(C522=1,F522="Yes"),"Yes",IF(AND(C522=0,F522="No"),"Yes","No"))</f>
        <v/>
      </c>
      <c r="E522" s="192">
        <f>IF((AC522+AB522)=AD522,"Push",IF((AC522+AB522)&gt;AD522,"Yes","No"))</f>
        <v/>
      </c>
      <c r="F522" s="192">
        <f>IF(AC522&gt;AD522,"Yes","No")</f>
        <v/>
      </c>
      <c r="G522" s="192">
        <f>IF((Y522+AB522)&gt;Z522,"Yes",IF((Y522+AB522)=Z522,"Push","No"))</f>
        <v/>
      </c>
      <c r="H522" s="157">
        <f>IF(O522="Home",VLOOKUP(N522,Matrix!A:S,19,0),1)</f>
        <v/>
      </c>
      <c r="I522" s="157">
        <f>IF(O522="Away",VLOOKUP(N522,Matrix!A:Z,20,0),1)</f>
        <v/>
      </c>
      <c r="J522" s="157">
        <f>IF(O522="Away",VLOOKUP(P522,Matrix!A:S,19,0),1)</f>
        <v/>
      </c>
      <c r="K522" s="157">
        <f>IF(O522="Home",VLOOKUP(P522,Matrix!A:Z,20,0),1)</f>
        <v/>
      </c>
      <c r="L522" s="156" t="n">
        <v>-0.297921453895609</v>
      </c>
      <c r="M522" s="179">
        <f>Schedule!B522</f>
        <v/>
      </c>
      <c r="N522" s="156">
        <f>Schedule!E522</f>
        <v/>
      </c>
      <c r="O522" s="156" t="inlineStr">
        <is>
          <t>Away</t>
        </is>
      </c>
      <c r="P522" s="157">
        <f>Schedule!H522</f>
        <v/>
      </c>
      <c r="Q522" s="157">
        <f>Schedule!C522</f>
        <v/>
      </c>
      <c r="R522" s="180">
        <f>Schedule!D522</f>
        <v/>
      </c>
      <c r="S522" s="181">
        <f>Schedule!J522</f>
        <v/>
      </c>
      <c r="T522" s="193">
        <f>Y522-Z522</f>
        <v/>
      </c>
      <c r="U522" s="182">
        <f>T522/Picks!$K$2</f>
        <v/>
      </c>
      <c r="V522" s="193">
        <f>INDEX(Standings!$T$3:$T$34, MATCH(N522, Standings!$A$3:$A$34, 0)) - INDEX(Standings!$T$3:$T$34, MATCH(P522, Standings!$A$3:$A$34, 0))</f>
        <v/>
      </c>
      <c r="W522" s="157">
        <f>INDEX(Standings!$L$3:$L$34, MATCH(N522, Standings!$A$3:$A$34, 0)) - INDEX(Standings!$L$3:$L$34, MATCH(P522, Standings!$A$3:$A$34, 0))</f>
        <v/>
      </c>
      <c r="X522" s="157">
        <f>INDEX(Standings!$M$3:$M$34, MATCH(N522, Standings!$A$3:$A$34, 0)) - INDEX(Standings!$M$3:$M$34, MATCH(P522, Standings!$A$3:$A$34, 0))</f>
        <v/>
      </c>
      <c r="Y522" s="194">
        <f t="array" ref="Y522:Y522">IFERROR(AE522+(AL522-_DFactor)*AE522,"")</f>
        <v/>
      </c>
      <c r="Z522" s="157">
        <f>IFERROR(AF522+(AI522-_DFactor)*AF522,"")</f>
        <v/>
      </c>
      <c r="AC522" s="194">
        <f>VLOOKUP(M522&amp;N522,Schedule!A:F,6,0)</f>
        <v/>
      </c>
      <c r="AD522" s="194">
        <f>VLOOKUP(M522&amp;P522,Schedule!A:F,6,0)</f>
        <v/>
      </c>
      <c r="AE522" s="156">
        <f>VLOOKUP(N522,ProjPVT!B:I,8,0)*_Mag/VLOOKUP(P522,Standings!A:O,15,0)*H522*K522</f>
        <v/>
      </c>
      <c r="AF522" s="156">
        <f>VLOOKUP(P522,ProjPVT!B:I,8,0)*_Mag/VLOOKUP(N522,Standings!A:O,15,0)*J522*I522</f>
        <v/>
      </c>
      <c r="AG522" s="195">
        <f>VLOOKUP(N522,Matrix!AA:AC,3,0)</f>
        <v/>
      </c>
      <c r="AH522" s="195">
        <f>SUMIFS(Def!C:C,Def!F:F,AG522)</f>
        <v/>
      </c>
      <c r="AI522" s="156">
        <f>IFERROR(SUMIFS(Def!B:B,Def!F:F,AG522)/AH522,"")</f>
        <v/>
      </c>
      <c r="AJ522" s="195">
        <f>VLOOKUP(P522,Matrix!AA:AC,3,0)</f>
        <v/>
      </c>
      <c r="AK522" s="195">
        <f>SUMIFS(Def!C:C,Def!F:F,AJ522)</f>
        <v/>
      </c>
      <c r="AL522" s="156">
        <f>IFERROR(SUMIFS(Def!B:B,Def!F:F,AJ522)/AK522,"")</f>
        <v/>
      </c>
    </row>
    <row r="523" ht="14.4" customHeight="1" s="152">
      <c r="A523" s="157">
        <f>IF(F523="Yes",IFERROR(IF(AA523&gt;1,AA523/100,100/-AA523),""),-1)</f>
        <v/>
      </c>
      <c r="B523" s="157">
        <f>B522+1</f>
        <v/>
      </c>
      <c r="C523" s="157">
        <f>IF(Y523&gt;Z523,1,0)</f>
        <v/>
      </c>
      <c r="D523" s="157">
        <f>IF(AND(C523=1,F523="Yes"),"Yes",IF(AND(C523=0,F523="No"),"Yes","No"))</f>
        <v/>
      </c>
      <c r="E523" s="192">
        <f>IF((AC523+AB523)=AD523,"Push",IF((AC523+AB523)&gt;AD523,"Yes","No"))</f>
        <v/>
      </c>
      <c r="F523" s="192">
        <f>IF(AC523&gt;AD523,"Yes","No")</f>
        <v/>
      </c>
      <c r="G523" s="192">
        <f>IF((Y523+AB523)&gt;Z523,"Yes",IF((Y523+AB523)=Z523,"Push","No"))</f>
        <v/>
      </c>
      <c r="H523" s="157">
        <f>IF(O523="Home",VLOOKUP(N523,Matrix!A:S,19,0),1)</f>
        <v/>
      </c>
      <c r="I523" s="157">
        <f>IF(O523="Away",VLOOKUP(N523,Matrix!A:Z,20,0),1)</f>
        <v/>
      </c>
      <c r="J523" s="157">
        <f>IF(O523="Away",VLOOKUP(P523,Matrix!A:S,19,0),1)</f>
        <v/>
      </c>
      <c r="K523" s="157">
        <f>IF(O523="Home",VLOOKUP(P523,Matrix!A:Z,20,0),1)</f>
        <v/>
      </c>
      <c r="L523" s="156" t="n">
        <v>-0.22711614095173</v>
      </c>
      <c r="M523" s="179">
        <f>Schedule!B523</f>
        <v/>
      </c>
      <c r="N523" s="156">
        <f>Schedule!E523</f>
        <v/>
      </c>
      <c r="O523" s="156" t="inlineStr">
        <is>
          <t>Away</t>
        </is>
      </c>
      <c r="P523" s="157">
        <f>Schedule!H523</f>
        <v/>
      </c>
      <c r="Q523" s="157">
        <f>Schedule!C523</f>
        <v/>
      </c>
      <c r="R523" s="180">
        <f>Schedule!D523</f>
        <v/>
      </c>
      <c r="S523" s="181">
        <f>Schedule!J523</f>
        <v/>
      </c>
      <c r="T523" s="193">
        <f>Y523-Z523</f>
        <v/>
      </c>
      <c r="U523" s="182">
        <f>T523/Picks!$K$2</f>
        <v/>
      </c>
      <c r="V523" s="193">
        <f>INDEX(Standings!$T$3:$T$34, MATCH(N523, Standings!$A$3:$A$34, 0)) - INDEX(Standings!$T$3:$T$34, MATCH(P523, Standings!$A$3:$A$34, 0))</f>
        <v/>
      </c>
      <c r="W523" s="157">
        <f>INDEX(Standings!$L$3:$L$34, MATCH(N523, Standings!$A$3:$A$34, 0)) - INDEX(Standings!$L$3:$L$34, MATCH(P523, Standings!$A$3:$A$34, 0))</f>
        <v/>
      </c>
      <c r="X523" s="157">
        <f>INDEX(Standings!$M$3:$M$34, MATCH(N523, Standings!$A$3:$A$34, 0)) - INDEX(Standings!$M$3:$M$34, MATCH(P523, Standings!$A$3:$A$34, 0))</f>
        <v/>
      </c>
      <c r="Y523" s="194">
        <f t="array" ref="Y523:Y523">IFERROR(AE523+(AL523-_DFactor)*AE523,"")</f>
        <v/>
      </c>
      <c r="Z523" s="157">
        <f>IFERROR(AF523+(AI523-_DFactor)*AF523,"")</f>
        <v/>
      </c>
      <c r="AC523" s="194">
        <f>VLOOKUP(M523&amp;N523,Schedule!A:F,6,0)</f>
        <v/>
      </c>
      <c r="AD523" s="194">
        <f>VLOOKUP(M523&amp;P523,Schedule!A:F,6,0)</f>
        <v/>
      </c>
      <c r="AE523" s="156">
        <f>VLOOKUP(N523,ProjPVT!B:I,8,0)*_Mag/VLOOKUP(P523,Standings!A:O,15,0)*H523*K523</f>
        <v/>
      </c>
      <c r="AF523" s="156">
        <f>VLOOKUP(P523,ProjPVT!B:I,8,0)*_Mag/VLOOKUP(N523,Standings!A:O,15,0)*J523*I523</f>
        <v/>
      </c>
      <c r="AG523" s="195">
        <f>VLOOKUP(N523,Matrix!AA:AC,3,0)</f>
        <v/>
      </c>
      <c r="AH523" s="195">
        <f>SUMIFS(Def!C:C,Def!F:F,AG523)</f>
        <v/>
      </c>
      <c r="AI523" s="156">
        <f>IFERROR(SUMIFS(Def!B:B,Def!F:F,AG523)/AH523,"")</f>
        <v/>
      </c>
      <c r="AJ523" s="195">
        <f>VLOOKUP(P523,Matrix!AA:AC,3,0)</f>
        <v/>
      </c>
      <c r="AK523" s="195">
        <f>SUMIFS(Def!C:C,Def!F:F,AJ523)</f>
        <v/>
      </c>
      <c r="AL523" s="156">
        <f>IFERROR(SUMIFS(Def!B:B,Def!F:F,AJ523)/AK523,"")</f>
        <v/>
      </c>
    </row>
    <row r="524" ht="14.4" customHeight="1" s="152">
      <c r="A524" s="157">
        <f>IF(F524="Yes",IFERROR(IF(AA524&gt;1,AA524/100,100/-AA524),""),-1)</f>
        <v/>
      </c>
      <c r="B524" s="157">
        <f>B523+1</f>
        <v/>
      </c>
      <c r="C524" s="157">
        <f>IF(Y524&gt;Z524,1,0)</f>
        <v/>
      </c>
      <c r="D524" s="157">
        <f>IF(AND(C524=1,F524="Yes"),"Yes",IF(AND(C524=0,F524="No"),"Yes","No"))</f>
        <v/>
      </c>
      <c r="E524" s="192">
        <f>IF((AC524+AB524)=AD524,"Push",IF((AC524+AB524)&gt;AD524,"Yes","No"))</f>
        <v/>
      </c>
      <c r="F524" s="192">
        <f>IF(AC524&gt;AD524,"Yes","No")</f>
        <v/>
      </c>
      <c r="G524" s="192">
        <f>IF((Y524+AB524)&gt;Z524,"Yes",IF((Y524+AB524)=Z524,"Push","No"))</f>
        <v/>
      </c>
      <c r="H524" s="157">
        <f>IF(O524="Home",VLOOKUP(N524,Matrix!A:S,19,0),1)</f>
        <v/>
      </c>
      <c r="I524" s="157">
        <f>IF(O524="Away",VLOOKUP(N524,Matrix!A:Z,20,0),1)</f>
        <v/>
      </c>
      <c r="J524" s="157">
        <f>IF(O524="Away",VLOOKUP(P524,Matrix!A:S,19,0),1)</f>
        <v/>
      </c>
      <c r="K524" s="157">
        <f>IF(O524="Home",VLOOKUP(P524,Matrix!A:Z,20,0),1)</f>
        <v/>
      </c>
      <c r="L524" s="156" t="n">
        <v>-0.223711480574296</v>
      </c>
      <c r="M524" s="179">
        <f>Schedule!B524</f>
        <v/>
      </c>
      <c r="N524" s="156">
        <f>Schedule!E524</f>
        <v/>
      </c>
      <c r="O524" s="156" t="inlineStr">
        <is>
          <t>Away</t>
        </is>
      </c>
      <c r="P524" s="157">
        <f>Schedule!H524</f>
        <v/>
      </c>
      <c r="Q524" s="157">
        <f>Schedule!C524</f>
        <v/>
      </c>
      <c r="R524" s="180">
        <f>Schedule!D524</f>
        <v/>
      </c>
      <c r="S524" s="181">
        <f>Schedule!J524</f>
        <v/>
      </c>
      <c r="T524" s="193">
        <f>Y524-Z524</f>
        <v/>
      </c>
      <c r="U524" s="182">
        <f>T524/Picks!$K$2</f>
        <v/>
      </c>
      <c r="V524" s="193">
        <f>INDEX(Standings!$T$3:$T$34, MATCH(N524, Standings!$A$3:$A$34, 0)) - INDEX(Standings!$T$3:$T$34, MATCH(P524, Standings!$A$3:$A$34, 0))</f>
        <v/>
      </c>
      <c r="W524" s="157">
        <f>INDEX(Standings!$L$3:$L$34, MATCH(N524, Standings!$A$3:$A$34, 0)) - INDEX(Standings!$L$3:$L$34, MATCH(P524, Standings!$A$3:$A$34, 0))</f>
        <v/>
      </c>
      <c r="X524" s="157">
        <f>INDEX(Standings!$M$3:$M$34, MATCH(N524, Standings!$A$3:$A$34, 0)) - INDEX(Standings!$M$3:$M$34, MATCH(P524, Standings!$A$3:$A$34, 0))</f>
        <v/>
      </c>
      <c r="Y524" s="194">
        <f t="array" ref="Y524:Y524">IFERROR(AE524+(AL524-_DFactor)*AE524,"")</f>
        <v/>
      </c>
      <c r="Z524" s="157">
        <f>IFERROR(AF524+(AI524-_DFactor)*AF524,"")</f>
        <v/>
      </c>
      <c r="AC524" s="194">
        <f>VLOOKUP(M524&amp;N524,Schedule!A:F,6,0)</f>
        <v/>
      </c>
      <c r="AD524" s="194">
        <f>VLOOKUP(M524&amp;P524,Schedule!A:F,6,0)</f>
        <v/>
      </c>
      <c r="AE524" s="156">
        <f>VLOOKUP(N524,ProjPVT!B:I,8,0)*_Mag/VLOOKUP(P524,Standings!A:O,15,0)*H524*K524</f>
        <v/>
      </c>
      <c r="AF524" s="156">
        <f>VLOOKUP(P524,ProjPVT!B:I,8,0)*_Mag/VLOOKUP(N524,Standings!A:O,15,0)*J524*I524</f>
        <v/>
      </c>
      <c r="AG524" s="195">
        <f>VLOOKUP(N524,Matrix!AA:AC,3,0)</f>
        <v/>
      </c>
      <c r="AH524" s="195">
        <f>SUMIFS(Def!C:C,Def!F:F,AG524)</f>
        <v/>
      </c>
      <c r="AI524" s="156">
        <f>IFERROR(SUMIFS(Def!B:B,Def!F:F,AG524)/AH524,"")</f>
        <v/>
      </c>
      <c r="AJ524" s="195">
        <f>VLOOKUP(P524,Matrix!AA:AC,3,0)</f>
        <v/>
      </c>
      <c r="AK524" s="195">
        <f>SUMIFS(Def!C:C,Def!F:F,AJ524)</f>
        <v/>
      </c>
      <c r="AL524" s="156">
        <f>IFERROR(SUMIFS(Def!B:B,Def!F:F,AJ524)/AK524,"")</f>
        <v/>
      </c>
    </row>
    <row r="525" ht="14.4" customHeight="1" s="152">
      <c r="A525" s="157">
        <f>IF(F525="Yes",IFERROR(IF(AA525&gt;1,AA525/100,100/-AA525),""),-1)</f>
        <v/>
      </c>
      <c r="B525" s="157">
        <f>B524+1</f>
        <v/>
      </c>
      <c r="C525" s="157">
        <f>IF(Y525&gt;Z525,1,0)</f>
        <v/>
      </c>
      <c r="D525" s="157">
        <f>IF(AND(C525=1,F525="Yes"),"Yes",IF(AND(C525=0,F525="No"),"Yes","No"))</f>
        <v/>
      </c>
      <c r="E525" s="192">
        <f>IF((AC525+AB525)=AD525,"Push",IF((AC525+AB525)&gt;AD525,"Yes","No"))</f>
        <v/>
      </c>
      <c r="F525" s="192">
        <f>IF(AC525&gt;AD525,"Yes","No")</f>
        <v/>
      </c>
      <c r="G525" s="192">
        <f>IF((Y525+AB525)&gt;Z525,"Yes",IF((Y525+AB525)=Z525,"Push","No"))</f>
        <v/>
      </c>
      <c r="H525" s="157">
        <f>IF(O525="Home",VLOOKUP(N525,Matrix!A:S,19,0),1)</f>
        <v/>
      </c>
      <c r="I525" s="157">
        <f>IF(O525="Away",VLOOKUP(N525,Matrix!A:Z,20,0),1)</f>
        <v/>
      </c>
      <c r="J525" s="157">
        <f>IF(O525="Away",VLOOKUP(P525,Matrix!A:S,19,0),1)</f>
        <v/>
      </c>
      <c r="K525" s="157">
        <f>IF(O525="Home",VLOOKUP(P525,Matrix!A:Z,20,0),1)</f>
        <v/>
      </c>
      <c r="L525" s="156" t="n">
        <v>-0.19881053089022</v>
      </c>
      <c r="M525" s="179">
        <f>Schedule!B525</f>
        <v/>
      </c>
      <c r="N525" s="156">
        <f>Schedule!E525</f>
        <v/>
      </c>
      <c r="O525" s="156" t="inlineStr">
        <is>
          <t>Away</t>
        </is>
      </c>
      <c r="P525" s="157">
        <f>Schedule!H525</f>
        <v/>
      </c>
      <c r="Q525" s="157">
        <f>Schedule!C525</f>
        <v/>
      </c>
      <c r="R525" s="180">
        <f>Schedule!D525</f>
        <v/>
      </c>
      <c r="S525" s="181">
        <f>Schedule!J525</f>
        <v/>
      </c>
      <c r="T525" s="193">
        <f>Y525-Z525</f>
        <v/>
      </c>
      <c r="U525" s="182">
        <f>T525/Picks!$K$2</f>
        <v/>
      </c>
      <c r="V525" s="193">
        <f>INDEX(Standings!$T$3:$T$34, MATCH(N525, Standings!$A$3:$A$34, 0)) - INDEX(Standings!$T$3:$T$34, MATCH(P525, Standings!$A$3:$A$34, 0))</f>
        <v/>
      </c>
      <c r="W525" s="157">
        <f>INDEX(Standings!$L$3:$L$34, MATCH(N525, Standings!$A$3:$A$34, 0)) - INDEX(Standings!$L$3:$L$34, MATCH(P525, Standings!$A$3:$A$34, 0))</f>
        <v/>
      </c>
      <c r="X525" s="157">
        <f>INDEX(Standings!$M$3:$M$34, MATCH(N525, Standings!$A$3:$A$34, 0)) - INDEX(Standings!$M$3:$M$34, MATCH(P525, Standings!$A$3:$A$34, 0))</f>
        <v/>
      </c>
      <c r="Y525" s="194">
        <f t="array" ref="Y525:Y525">IFERROR(AE525+(AL525-_DFactor)*AE525,"")</f>
        <v/>
      </c>
      <c r="Z525" s="157">
        <f>IFERROR(AF525+(AI525-_DFactor)*AF525,"")</f>
        <v/>
      </c>
      <c r="AC525" s="194">
        <f>VLOOKUP(M525&amp;N525,Schedule!A:F,6,0)</f>
        <v/>
      </c>
      <c r="AD525" s="194">
        <f>VLOOKUP(M525&amp;P525,Schedule!A:F,6,0)</f>
        <v/>
      </c>
      <c r="AE525" s="156">
        <f>VLOOKUP(N525,ProjPVT!B:I,8,0)*_Mag/VLOOKUP(P525,Standings!A:O,15,0)*H525*K525</f>
        <v/>
      </c>
      <c r="AF525" s="156">
        <f>VLOOKUP(P525,ProjPVT!B:I,8,0)*_Mag/VLOOKUP(N525,Standings!A:O,15,0)*J525*I525</f>
        <v/>
      </c>
      <c r="AG525" s="195">
        <f>VLOOKUP(N525,Matrix!AA:AC,3,0)</f>
        <v/>
      </c>
      <c r="AH525" s="195">
        <f>SUMIFS(Def!C:C,Def!F:F,AG525)</f>
        <v/>
      </c>
      <c r="AI525" s="156">
        <f>IFERROR(SUMIFS(Def!B:B,Def!F:F,AG525)/AH525,"")</f>
        <v/>
      </c>
      <c r="AJ525" s="195">
        <f>VLOOKUP(P525,Matrix!AA:AC,3,0)</f>
        <v/>
      </c>
      <c r="AK525" s="195">
        <f>SUMIFS(Def!C:C,Def!F:F,AJ525)</f>
        <v/>
      </c>
      <c r="AL525" s="156">
        <f>IFERROR(SUMIFS(Def!B:B,Def!F:F,AJ525)/AK525,"")</f>
        <v/>
      </c>
    </row>
    <row r="526" ht="14.4" customHeight="1" s="152">
      <c r="A526" s="157">
        <f>IF(F526="Yes",IFERROR(IF(AA526&gt;1,AA526/100,100/-AA526),""),-1)</f>
        <v/>
      </c>
      <c r="B526" s="157">
        <f>B525+1</f>
        <v/>
      </c>
      <c r="C526" s="157">
        <f>IF(Y526&gt;Z526,1,0)</f>
        <v/>
      </c>
      <c r="D526" s="157">
        <f>IF(AND(C526=1,F526="Yes"),"Yes",IF(AND(C526=0,F526="No"),"Yes","No"))</f>
        <v/>
      </c>
      <c r="E526" s="192">
        <f>IF((AC526+AB526)=AD526,"Push",IF((AC526+AB526)&gt;AD526,"Yes","No"))</f>
        <v/>
      </c>
      <c r="F526" s="192">
        <f>IF(AC526&gt;AD526,"Yes","No")</f>
        <v/>
      </c>
      <c r="G526" s="192">
        <f>IF((Y526+AB526)&gt;Z526,"Yes",IF((Y526+AB526)=Z526,"Push","No"))</f>
        <v/>
      </c>
      <c r="H526" s="157">
        <f>IF(O526="Home",VLOOKUP(N526,Matrix!A:S,19,0),1)</f>
        <v/>
      </c>
      <c r="I526" s="157">
        <f>IF(O526="Away",VLOOKUP(N526,Matrix!A:Z,20,0),1)</f>
        <v/>
      </c>
      <c r="J526" s="157">
        <f>IF(O526="Away",VLOOKUP(P526,Matrix!A:S,19,0),1)</f>
        <v/>
      </c>
      <c r="K526" s="157">
        <f>IF(O526="Home",VLOOKUP(P526,Matrix!A:Z,20,0),1)</f>
        <v/>
      </c>
      <c r="L526" s="156" t="n">
        <v>-0.182452138209218</v>
      </c>
      <c r="M526" s="179">
        <f>Schedule!B526</f>
        <v/>
      </c>
      <c r="N526" s="156">
        <f>Schedule!E526</f>
        <v/>
      </c>
      <c r="O526" s="156" t="inlineStr">
        <is>
          <t>Away</t>
        </is>
      </c>
      <c r="P526" s="157">
        <f>Schedule!H526</f>
        <v/>
      </c>
      <c r="Q526" s="157">
        <f>Schedule!C526</f>
        <v/>
      </c>
      <c r="R526" s="180">
        <f>Schedule!D526</f>
        <v/>
      </c>
      <c r="S526" s="181">
        <f>Schedule!J526</f>
        <v/>
      </c>
      <c r="T526" s="193">
        <f>Y526-Z526</f>
        <v/>
      </c>
      <c r="U526" s="182">
        <f>T526/Picks!$K$2</f>
        <v/>
      </c>
      <c r="V526" s="193">
        <f>INDEX(Standings!$T$3:$T$34, MATCH(N526, Standings!$A$3:$A$34, 0)) - INDEX(Standings!$T$3:$T$34, MATCH(P526, Standings!$A$3:$A$34, 0))</f>
        <v/>
      </c>
      <c r="W526" s="157">
        <f>INDEX(Standings!$L$3:$L$34, MATCH(N526, Standings!$A$3:$A$34, 0)) - INDEX(Standings!$L$3:$L$34, MATCH(P526, Standings!$A$3:$A$34, 0))</f>
        <v/>
      </c>
      <c r="X526" s="157">
        <f>INDEX(Standings!$M$3:$M$34, MATCH(N526, Standings!$A$3:$A$34, 0)) - INDEX(Standings!$M$3:$M$34, MATCH(P526, Standings!$A$3:$A$34, 0))</f>
        <v/>
      </c>
      <c r="Y526" s="194">
        <f t="array" ref="Y526:Y526">IFERROR(AE526+(AL526-_DFactor)*AE526,"")</f>
        <v/>
      </c>
      <c r="Z526" s="157">
        <f>IFERROR(AF526+(AI526-_DFactor)*AF526,"")</f>
        <v/>
      </c>
      <c r="AC526" s="194">
        <f>VLOOKUP(M526&amp;N526,Schedule!A:F,6,0)</f>
        <v/>
      </c>
      <c r="AD526" s="194">
        <f>VLOOKUP(M526&amp;P526,Schedule!A:F,6,0)</f>
        <v/>
      </c>
      <c r="AE526" s="156">
        <f>VLOOKUP(N526,ProjPVT!B:I,8,0)*_Mag/VLOOKUP(P526,Standings!A:O,15,0)*H526*K526</f>
        <v/>
      </c>
      <c r="AF526" s="156">
        <f>VLOOKUP(P526,ProjPVT!B:I,8,0)*_Mag/VLOOKUP(N526,Standings!A:O,15,0)*J526*I526</f>
        <v/>
      </c>
      <c r="AG526" s="195">
        <f>VLOOKUP(N526,Matrix!AA:AC,3,0)</f>
        <v/>
      </c>
      <c r="AH526" s="195">
        <f>SUMIFS(Def!C:C,Def!F:F,AG526)</f>
        <v/>
      </c>
      <c r="AI526" s="156">
        <f>IFERROR(SUMIFS(Def!B:B,Def!F:F,AG526)/AH526,"")</f>
        <v/>
      </c>
      <c r="AJ526" s="195">
        <f>VLOOKUP(P526,Matrix!AA:AC,3,0)</f>
        <v/>
      </c>
      <c r="AK526" s="195">
        <f>SUMIFS(Def!C:C,Def!F:F,AJ526)</f>
        <v/>
      </c>
      <c r="AL526" s="156">
        <f>IFERROR(SUMIFS(Def!B:B,Def!F:F,AJ526)/AK526,"")</f>
        <v/>
      </c>
    </row>
    <row r="527" ht="14.4" customHeight="1" s="152">
      <c r="A527" s="157">
        <f>IF(F527="Yes",IFERROR(IF(AA527&gt;1,AA527/100,100/-AA527),""),-1)</f>
        <v/>
      </c>
      <c r="B527" s="157">
        <f>B526+1</f>
        <v/>
      </c>
      <c r="C527" s="157">
        <f>IF(Y527&gt;Z527,1,0)</f>
        <v/>
      </c>
      <c r="D527" s="157">
        <f>IF(AND(C527=1,F527="Yes"),"Yes",IF(AND(C527=0,F527="No"),"Yes","No"))</f>
        <v/>
      </c>
      <c r="E527" s="192">
        <f>IF((AC527+AB527)=AD527,"Push",IF((AC527+AB527)&gt;AD527,"Yes","No"))</f>
        <v/>
      </c>
      <c r="F527" s="192">
        <f>IF(AC527&gt;AD527,"Yes","No")</f>
        <v/>
      </c>
      <c r="G527" s="192">
        <f>IF((Y527+AB527)&gt;Z527,"Yes",IF((Y527+AB527)=Z527,"Push","No"))</f>
        <v/>
      </c>
      <c r="H527" s="157">
        <f>IF(O527="Home",VLOOKUP(N527,Matrix!A:S,19,0),1)</f>
        <v/>
      </c>
      <c r="I527" s="157">
        <f>IF(O527="Away",VLOOKUP(N527,Matrix!A:Z,20,0),1)</f>
        <v/>
      </c>
      <c r="J527" s="157">
        <f>IF(O527="Away",VLOOKUP(P527,Matrix!A:S,19,0),1)</f>
        <v/>
      </c>
      <c r="K527" s="157">
        <f>IF(O527="Home",VLOOKUP(P527,Matrix!A:Z,20,0),1)</f>
        <v/>
      </c>
      <c r="L527" s="156" t="n">
        <v>-0.0915440671689751</v>
      </c>
      <c r="M527" s="179">
        <f>Schedule!B527</f>
        <v/>
      </c>
      <c r="N527" s="156">
        <f>Schedule!E527</f>
        <v/>
      </c>
      <c r="O527" s="156" t="inlineStr">
        <is>
          <t>Away</t>
        </is>
      </c>
      <c r="P527" s="157">
        <f>Schedule!H527</f>
        <v/>
      </c>
      <c r="Q527" s="157">
        <f>Schedule!C527</f>
        <v/>
      </c>
      <c r="R527" s="180">
        <f>Schedule!D527</f>
        <v/>
      </c>
      <c r="S527" s="181">
        <f>Schedule!J527</f>
        <v/>
      </c>
      <c r="T527" s="193">
        <f>Y527-Z527</f>
        <v/>
      </c>
      <c r="U527" s="182">
        <f>T527/Picks!$K$2</f>
        <v/>
      </c>
      <c r="V527" s="193">
        <f>INDEX(Standings!$T$3:$T$34, MATCH(N527, Standings!$A$3:$A$34, 0)) - INDEX(Standings!$T$3:$T$34, MATCH(P527, Standings!$A$3:$A$34, 0))</f>
        <v/>
      </c>
      <c r="W527" s="157">
        <f>INDEX(Standings!$L$3:$L$34, MATCH(N527, Standings!$A$3:$A$34, 0)) - INDEX(Standings!$L$3:$L$34, MATCH(P527, Standings!$A$3:$A$34, 0))</f>
        <v/>
      </c>
      <c r="X527" s="157">
        <f>INDEX(Standings!$M$3:$M$34, MATCH(N527, Standings!$A$3:$A$34, 0)) - INDEX(Standings!$M$3:$M$34, MATCH(P527, Standings!$A$3:$A$34, 0))</f>
        <v/>
      </c>
      <c r="Y527" s="194">
        <f t="array" ref="Y527:Y527">IFERROR(AE527+(AL527-_DFactor)*AE527,"")</f>
        <v/>
      </c>
      <c r="Z527" s="157">
        <f>IFERROR(AF527+(AI527-_DFactor)*AF527,"")</f>
        <v/>
      </c>
      <c r="AC527" s="194">
        <f>VLOOKUP(M527&amp;N527,Schedule!A:F,6,0)</f>
        <v/>
      </c>
      <c r="AD527" s="194">
        <f>VLOOKUP(M527&amp;P527,Schedule!A:F,6,0)</f>
        <v/>
      </c>
      <c r="AE527" s="156">
        <f>VLOOKUP(N527,ProjPVT!B:I,8,0)*_Mag/VLOOKUP(P527,Standings!A:O,15,0)*H527*K527</f>
        <v/>
      </c>
      <c r="AF527" s="156">
        <f>VLOOKUP(P527,ProjPVT!B:I,8,0)*_Mag/VLOOKUP(N527,Standings!A:O,15,0)*J527*I527</f>
        <v/>
      </c>
      <c r="AG527" s="195">
        <f>VLOOKUP(N527,Matrix!AA:AC,3,0)</f>
        <v/>
      </c>
      <c r="AH527" s="195">
        <f>SUMIFS(Def!C:C,Def!F:F,AG527)</f>
        <v/>
      </c>
      <c r="AI527" s="156">
        <f>IFERROR(SUMIFS(Def!B:B,Def!F:F,AG527)/AH527,"")</f>
        <v/>
      </c>
      <c r="AJ527" s="195">
        <f>VLOOKUP(P527,Matrix!AA:AC,3,0)</f>
        <v/>
      </c>
      <c r="AK527" s="195">
        <f>SUMIFS(Def!C:C,Def!F:F,AJ527)</f>
        <v/>
      </c>
      <c r="AL527" s="156">
        <f>IFERROR(SUMIFS(Def!B:B,Def!F:F,AJ527)/AK527,"")</f>
        <v/>
      </c>
    </row>
    <row r="528" ht="14.4" customHeight="1" s="152">
      <c r="A528" s="157">
        <f>IF(F528="Yes",IFERROR(IF(AA528&gt;1,AA528/100,100/-AA528),""),-1)</f>
        <v/>
      </c>
      <c r="B528" s="157">
        <f>B527+1</f>
        <v/>
      </c>
      <c r="C528" s="157">
        <f>IF(Y528&gt;Z528,1,0)</f>
        <v/>
      </c>
      <c r="D528" s="157">
        <f>IF(AND(C528=1,F528="Yes"),"Yes",IF(AND(C528=0,F528="No"),"Yes","No"))</f>
        <v/>
      </c>
      <c r="E528" s="192">
        <f>IF((AC528+AB528)=AD528,"Push",IF((AC528+AB528)&gt;AD528,"Yes","No"))</f>
        <v/>
      </c>
      <c r="F528" s="192">
        <f>IF(AC528&gt;AD528,"Yes","No")</f>
        <v/>
      </c>
      <c r="G528" s="192">
        <f>IF((Y528+AB528)&gt;Z528,"Yes",IF((Y528+AB528)=Z528,"Push","No"))</f>
        <v/>
      </c>
      <c r="H528" s="157">
        <f>IF(O528="Home",VLOOKUP(N528,Matrix!A:S,19,0),1)</f>
        <v/>
      </c>
      <c r="I528" s="157">
        <f>IF(O528="Away",VLOOKUP(N528,Matrix!A:Z,20,0),1)</f>
        <v/>
      </c>
      <c r="J528" s="157">
        <f>IF(O528="Away",VLOOKUP(P528,Matrix!A:S,19,0),1)</f>
        <v/>
      </c>
      <c r="K528" s="157">
        <f>IF(O528="Home",VLOOKUP(P528,Matrix!A:Z,20,0),1)</f>
        <v/>
      </c>
      <c r="L528" s="156" t="n">
        <v>-0.0770785461043909</v>
      </c>
      <c r="M528" s="179">
        <f>Schedule!B528</f>
        <v/>
      </c>
      <c r="N528" s="156">
        <f>Schedule!E528</f>
        <v/>
      </c>
      <c r="O528" s="156" t="inlineStr">
        <is>
          <t>Away</t>
        </is>
      </c>
      <c r="P528" s="157">
        <f>Schedule!H528</f>
        <v/>
      </c>
      <c r="Q528" s="157">
        <f>Schedule!C528</f>
        <v/>
      </c>
      <c r="R528" s="180">
        <f>Schedule!D528</f>
        <v/>
      </c>
      <c r="S528" s="181">
        <f>Schedule!J528</f>
        <v/>
      </c>
      <c r="T528" s="193">
        <f>Y528-Z528</f>
        <v/>
      </c>
      <c r="U528" s="182">
        <f>T528/Picks!$K$2</f>
        <v/>
      </c>
      <c r="V528" s="193">
        <f>INDEX(Standings!$T$3:$T$34, MATCH(N528, Standings!$A$3:$A$34, 0)) - INDEX(Standings!$T$3:$T$34, MATCH(P528, Standings!$A$3:$A$34, 0))</f>
        <v/>
      </c>
      <c r="W528" s="157">
        <f>INDEX(Standings!$L$3:$L$34, MATCH(N528, Standings!$A$3:$A$34, 0)) - INDEX(Standings!$L$3:$L$34, MATCH(P528, Standings!$A$3:$A$34, 0))</f>
        <v/>
      </c>
      <c r="X528" s="157">
        <f>INDEX(Standings!$M$3:$M$34, MATCH(N528, Standings!$A$3:$A$34, 0)) - INDEX(Standings!$M$3:$M$34, MATCH(P528, Standings!$A$3:$A$34, 0))</f>
        <v/>
      </c>
      <c r="Y528" s="194">
        <f t="array" ref="Y528:Y528">IFERROR(AE528+(AL528-_DFactor)*AE528,"")</f>
        <v/>
      </c>
      <c r="Z528" s="157">
        <f>IFERROR(AF528+(AI528-_DFactor)*AF528,"")</f>
        <v/>
      </c>
      <c r="AC528" s="194">
        <f>VLOOKUP(M528&amp;N528,Schedule!A:F,6,0)</f>
        <v/>
      </c>
      <c r="AD528" s="194">
        <f>VLOOKUP(M528&amp;P528,Schedule!A:F,6,0)</f>
        <v/>
      </c>
      <c r="AE528" s="156">
        <f>VLOOKUP(N528,ProjPVT!B:I,8,0)*_Mag/VLOOKUP(P528,Standings!A:O,15,0)*H528*K528</f>
        <v/>
      </c>
      <c r="AF528" s="156">
        <f>VLOOKUP(P528,ProjPVT!B:I,8,0)*_Mag/VLOOKUP(N528,Standings!A:O,15,0)*J528*I528</f>
        <v/>
      </c>
      <c r="AG528" s="195">
        <f>VLOOKUP(N528,Matrix!AA:AC,3,0)</f>
        <v/>
      </c>
      <c r="AH528" s="195">
        <f>SUMIFS(Def!C:C,Def!F:F,AG528)</f>
        <v/>
      </c>
      <c r="AI528" s="156">
        <f>IFERROR(SUMIFS(Def!B:B,Def!F:F,AG528)/AH528,"")</f>
        <v/>
      </c>
      <c r="AJ528" s="195">
        <f>VLOOKUP(P528,Matrix!AA:AC,3,0)</f>
        <v/>
      </c>
      <c r="AK528" s="195">
        <f>SUMIFS(Def!C:C,Def!F:F,AJ528)</f>
        <v/>
      </c>
      <c r="AL528" s="156">
        <f>IFERROR(SUMIFS(Def!B:B,Def!F:F,AJ528)/AK528,"")</f>
        <v/>
      </c>
    </row>
    <row r="529" ht="14.4" customHeight="1" s="152">
      <c r="A529" s="157">
        <f>IF(F529="Yes",IFERROR(IF(AA529&gt;1,AA529/100,100/-AA529),""),-1)</f>
        <v/>
      </c>
      <c r="B529" s="157">
        <f>B528+1</f>
        <v/>
      </c>
      <c r="C529" s="157">
        <f>IF(Y529&gt;Z529,1,0)</f>
        <v/>
      </c>
      <c r="D529" s="157">
        <f>IF(AND(C529=1,F529="Yes"),"Yes",IF(AND(C529=0,F529="No"),"Yes","No"))</f>
        <v/>
      </c>
      <c r="E529" s="192">
        <f>IF((AC529+AB529)=AD529,"Push",IF((AC529+AB529)&gt;AD529,"Yes","No"))</f>
        <v/>
      </c>
      <c r="F529" s="192">
        <f>IF(AC529&gt;AD529,"Yes","No")</f>
        <v/>
      </c>
      <c r="G529" s="192">
        <f>IF((Y529+AB529)&gt;Z529,"Yes",IF((Y529+AB529)=Z529,"Push","No"))</f>
        <v/>
      </c>
      <c r="H529" s="157">
        <f>IF(O529="Home",VLOOKUP(N529,Matrix!A:S,19,0),1)</f>
        <v/>
      </c>
      <c r="I529" s="157">
        <f>IF(O529="Away",VLOOKUP(N529,Matrix!A:Z,20,0),1)</f>
        <v/>
      </c>
      <c r="J529" s="157">
        <f>IF(O529="Away",VLOOKUP(P529,Matrix!A:S,19,0),1)</f>
        <v/>
      </c>
      <c r="K529" s="157">
        <f>IF(O529="Home",VLOOKUP(P529,Matrix!A:Z,20,0),1)</f>
        <v/>
      </c>
      <c r="L529" s="156" t="n">
        <v>-0.0557766323537069</v>
      </c>
      <c r="M529" s="179">
        <f>Schedule!B529</f>
        <v/>
      </c>
      <c r="N529" s="156">
        <f>Schedule!E529</f>
        <v/>
      </c>
      <c r="O529" s="156" t="inlineStr">
        <is>
          <t>Away</t>
        </is>
      </c>
      <c r="P529" s="157">
        <f>Schedule!H529</f>
        <v/>
      </c>
      <c r="Q529" s="157">
        <f>Schedule!C529</f>
        <v/>
      </c>
      <c r="R529" s="180">
        <f>Schedule!D529</f>
        <v/>
      </c>
      <c r="S529" s="181">
        <f>Schedule!J529</f>
        <v/>
      </c>
      <c r="T529" s="193">
        <f>Y529-Z529</f>
        <v/>
      </c>
      <c r="U529" s="182">
        <f>T529/Picks!$K$2</f>
        <v/>
      </c>
      <c r="V529" s="193">
        <f>INDEX(Standings!$T$3:$T$34, MATCH(N529, Standings!$A$3:$A$34, 0)) - INDEX(Standings!$T$3:$T$34, MATCH(P529, Standings!$A$3:$A$34, 0))</f>
        <v/>
      </c>
      <c r="W529" s="157">
        <f>INDEX(Standings!$L$3:$L$34, MATCH(N529, Standings!$A$3:$A$34, 0)) - INDEX(Standings!$L$3:$L$34, MATCH(P529, Standings!$A$3:$A$34, 0))</f>
        <v/>
      </c>
      <c r="X529" s="157">
        <f>INDEX(Standings!$M$3:$M$34, MATCH(N529, Standings!$A$3:$A$34, 0)) - INDEX(Standings!$M$3:$M$34, MATCH(P529, Standings!$A$3:$A$34, 0))</f>
        <v/>
      </c>
      <c r="Y529" s="194">
        <f t="array" ref="Y529:Y529">IFERROR(AE529+(AL529-_DFactor)*AE529,"")</f>
        <v/>
      </c>
      <c r="Z529" s="157">
        <f>IFERROR(AF529+(AI529-_DFactor)*AF529,"")</f>
        <v/>
      </c>
      <c r="AC529" s="194">
        <f>VLOOKUP(M529&amp;N529,Schedule!A:F,6,0)</f>
        <v/>
      </c>
      <c r="AD529" s="194">
        <f>VLOOKUP(M529&amp;P529,Schedule!A:F,6,0)</f>
        <v/>
      </c>
      <c r="AE529" s="156">
        <f>VLOOKUP(N529,ProjPVT!B:I,8,0)*_Mag/VLOOKUP(P529,Standings!A:O,15,0)*H529*K529</f>
        <v/>
      </c>
      <c r="AF529" s="156">
        <f>VLOOKUP(P529,ProjPVT!B:I,8,0)*_Mag/VLOOKUP(N529,Standings!A:O,15,0)*J529*I529</f>
        <v/>
      </c>
      <c r="AG529" s="195">
        <f>VLOOKUP(N529,Matrix!AA:AC,3,0)</f>
        <v/>
      </c>
      <c r="AH529" s="195">
        <f>SUMIFS(Def!C:C,Def!F:F,AG529)</f>
        <v/>
      </c>
      <c r="AI529" s="156">
        <f>IFERROR(SUMIFS(Def!B:B,Def!F:F,AG529)/AH529,"")</f>
        <v/>
      </c>
      <c r="AJ529" s="195">
        <f>VLOOKUP(P529,Matrix!AA:AC,3,0)</f>
        <v/>
      </c>
      <c r="AK529" s="195">
        <f>SUMIFS(Def!C:C,Def!F:F,AJ529)</f>
        <v/>
      </c>
      <c r="AL529" s="156">
        <f>IFERROR(SUMIFS(Def!B:B,Def!F:F,AJ529)/AK529,"")</f>
        <v/>
      </c>
    </row>
    <row r="530" ht="14.4" customHeight="1" s="152">
      <c r="A530" s="157">
        <f>IF(F530="Yes",IFERROR(IF(AA530&gt;1,AA530/100,100/-AA530),""),-1)</f>
        <v/>
      </c>
      <c r="B530" s="157">
        <f>B529+1</f>
        <v/>
      </c>
      <c r="C530" s="157">
        <f>IF(Y530&gt;Z530,1,0)</f>
        <v/>
      </c>
      <c r="D530" s="157">
        <f>IF(AND(C530=1,F530="Yes"),"Yes",IF(AND(C530=0,F530="No"),"Yes","No"))</f>
        <v/>
      </c>
      <c r="E530" s="192">
        <f>IF((AC530+AB530)=AD530,"Push",IF((AC530+AB530)&gt;AD530,"Yes","No"))</f>
        <v/>
      </c>
      <c r="F530" s="192">
        <f>IF(AC530&gt;AD530,"Yes","No")</f>
        <v/>
      </c>
      <c r="G530" s="192">
        <f>IF((Y530+AB530)&gt;Z530,"Yes",IF((Y530+AB530)=Z530,"Push","No"))</f>
        <v/>
      </c>
      <c r="H530" s="157">
        <f>IF(O530="Home",VLOOKUP(N530,Matrix!A:S,19,0),1)</f>
        <v/>
      </c>
      <c r="I530" s="157">
        <f>IF(O530="Away",VLOOKUP(N530,Matrix!A:Z,20,0),1)</f>
        <v/>
      </c>
      <c r="J530" s="157">
        <f>IF(O530="Away",VLOOKUP(P530,Matrix!A:S,19,0),1)</f>
        <v/>
      </c>
      <c r="K530" s="157">
        <f>IF(O530="Home",VLOOKUP(P530,Matrix!A:Z,20,0),1)</f>
        <v/>
      </c>
      <c r="L530" s="156" t="n">
        <v>-0.0513130756881678</v>
      </c>
      <c r="M530" s="179">
        <f>Schedule!B530</f>
        <v/>
      </c>
      <c r="N530" s="156">
        <f>Schedule!E530</f>
        <v/>
      </c>
      <c r="O530" s="156" t="inlineStr">
        <is>
          <t>Away</t>
        </is>
      </c>
      <c r="P530" s="157">
        <f>Schedule!H530</f>
        <v/>
      </c>
      <c r="Q530" s="157">
        <f>Schedule!C530</f>
        <v/>
      </c>
      <c r="R530" s="180">
        <f>Schedule!D530</f>
        <v/>
      </c>
      <c r="S530" s="181">
        <f>Schedule!J530</f>
        <v/>
      </c>
      <c r="T530" s="193">
        <f>Y530-Z530</f>
        <v/>
      </c>
      <c r="U530" s="182">
        <f>T530/Picks!$K$2</f>
        <v/>
      </c>
      <c r="V530" s="193">
        <f>INDEX(Standings!$T$3:$T$34, MATCH(N530, Standings!$A$3:$A$34, 0)) - INDEX(Standings!$T$3:$T$34, MATCH(P530, Standings!$A$3:$A$34, 0))</f>
        <v/>
      </c>
      <c r="W530" s="157">
        <f>INDEX(Standings!$L$3:$L$34, MATCH(N530, Standings!$A$3:$A$34, 0)) - INDEX(Standings!$L$3:$L$34, MATCH(P530, Standings!$A$3:$A$34, 0))</f>
        <v/>
      </c>
      <c r="X530" s="157">
        <f>INDEX(Standings!$M$3:$M$34, MATCH(N530, Standings!$A$3:$A$34, 0)) - INDEX(Standings!$M$3:$M$34, MATCH(P530, Standings!$A$3:$A$34, 0))</f>
        <v/>
      </c>
      <c r="Y530" s="194">
        <f t="array" ref="Y530:Y530">IFERROR(AE530+(AL530-_DFactor)*AE530,"")</f>
        <v/>
      </c>
      <c r="Z530" s="157">
        <f>IFERROR(AF530+(AI530-_DFactor)*AF530,"")</f>
        <v/>
      </c>
      <c r="AC530" s="194">
        <f>VLOOKUP(M530&amp;N530,Schedule!A:F,6,0)</f>
        <v/>
      </c>
      <c r="AD530" s="194">
        <f>VLOOKUP(M530&amp;P530,Schedule!A:F,6,0)</f>
        <v/>
      </c>
      <c r="AE530" s="156">
        <f>VLOOKUP(N530,ProjPVT!B:I,8,0)*_Mag/VLOOKUP(P530,Standings!A:O,15,0)*H530*K530</f>
        <v/>
      </c>
      <c r="AF530" s="156">
        <f>VLOOKUP(P530,ProjPVT!B:I,8,0)*_Mag/VLOOKUP(N530,Standings!A:O,15,0)*J530*I530</f>
        <v/>
      </c>
      <c r="AG530" s="195">
        <f>VLOOKUP(N530,Matrix!AA:AC,3,0)</f>
        <v/>
      </c>
      <c r="AH530" s="195">
        <f>SUMIFS(Def!C:C,Def!F:F,AG530)</f>
        <v/>
      </c>
      <c r="AI530" s="156">
        <f>IFERROR(SUMIFS(Def!B:B,Def!F:F,AG530)/AH530,"")</f>
        <v/>
      </c>
      <c r="AJ530" s="195">
        <f>VLOOKUP(P530,Matrix!AA:AC,3,0)</f>
        <v/>
      </c>
      <c r="AK530" s="195">
        <f>SUMIFS(Def!C:C,Def!F:F,AJ530)</f>
        <v/>
      </c>
      <c r="AL530" s="156">
        <f>IFERROR(SUMIFS(Def!B:B,Def!F:F,AJ530)/AK530,"")</f>
        <v/>
      </c>
    </row>
    <row r="531" ht="14.4" customHeight="1" s="152">
      <c r="A531" s="157">
        <f>IF(F531="Yes",IFERROR(IF(AA531&gt;1,AA531/100,100/-AA531),""),-1)</f>
        <v/>
      </c>
      <c r="B531" s="157">
        <f>B530+1</f>
        <v/>
      </c>
      <c r="C531" s="157">
        <f>IF(Y531&gt;Z531,1,0)</f>
        <v/>
      </c>
      <c r="D531" s="157">
        <f>IF(AND(C531=1,F531="Yes"),"Yes",IF(AND(C531=0,F531="No"),"Yes","No"))</f>
        <v/>
      </c>
      <c r="E531" s="192">
        <f>IF((AC531+AB531)=AD531,"Push",IF((AC531+AB531)&gt;AD531,"Yes","No"))</f>
        <v/>
      </c>
      <c r="F531" s="192">
        <f>IF(AC531&gt;AD531,"Yes","No")</f>
        <v/>
      </c>
      <c r="G531" s="192">
        <f>IF((Y531+AB531)&gt;Z531,"Yes",IF((Y531+AB531)=Z531,"Push","No"))</f>
        <v/>
      </c>
      <c r="H531" s="157">
        <f>IF(O531="Home",VLOOKUP(N531,Matrix!A:S,19,0),1)</f>
        <v/>
      </c>
      <c r="I531" s="157">
        <f>IF(O531="Away",VLOOKUP(N531,Matrix!A:Z,20,0),1)</f>
        <v/>
      </c>
      <c r="J531" s="157">
        <f>IF(O531="Away",VLOOKUP(P531,Matrix!A:S,19,0),1)</f>
        <v/>
      </c>
      <c r="K531" s="157">
        <f>IF(O531="Home",VLOOKUP(P531,Matrix!A:Z,20,0),1)</f>
        <v/>
      </c>
      <c r="L531" s="156" t="n">
        <v>-0.024580510503436</v>
      </c>
      <c r="M531" s="179">
        <f>Schedule!B531</f>
        <v/>
      </c>
      <c r="N531" s="156">
        <f>Schedule!E531</f>
        <v/>
      </c>
      <c r="O531" s="156" t="inlineStr">
        <is>
          <t>Away</t>
        </is>
      </c>
      <c r="P531" s="157">
        <f>Schedule!H531</f>
        <v/>
      </c>
      <c r="Q531" s="157">
        <f>Schedule!C531</f>
        <v/>
      </c>
      <c r="R531" s="180">
        <f>Schedule!D531</f>
        <v/>
      </c>
      <c r="S531" s="181">
        <f>Schedule!J531</f>
        <v/>
      </c>
      <c r="T531" s="193">
        <f>Y531-Z531</f>
        <v/>
      </c>
      <c r="U531" s="182">
        <f>T531/Picks!$K$2</f>
        <v/>
      </c>
      <c r="V531" s="193">
        <f>INDEX(Standings!$T$3:$T$34, MATCH(N531, Standings!$A$3:$A$34, 0)) - INDEX(Standings!$T$3:$T$34, MATCH(P531, Standings!$A$3:$A$34, 0))</f>
        <v/>
      </c>
      <c r="W531" s="157">
        <f>INDEX(Standings!$L$3:$L$34, MATCH(N531, Standings!$A$3:$A$34, 0)) - INDEX(Standings!$L$3:$L$34, MATCH(P531, Standings!$A$3:$A$34, 0))</f>
        <v/>
      </c>
      <c r="X531" s="157">
        <f>INDEX(Standings!$M$3:$M$34, MATCH(N531, Standings!$A$3:$A$34, 0)) - INDEX(Standings!$M$3:$M$34, MATCH(P531, Standings!$A$3:$A$34, 0))</f>
        <v/>
      </c>
      <c r="Y531" s="194">
        <f t="array" ref="Y531:Y531">IFERROR(AE531+(AL531-_DFactor)*AE531,"")</f>
        <v/>
      </c>
      <c r="Z531" s="157">
        <f>IFERROR(AF531+(AI531-_DFactor)*AF531,"")</f>
        <v/>
      </c>
      <c r="AC531" s="194">
        <f>VLOOKUP(M531&amp;N531,Schedule!A:F,6,0)</f>
        <v/>
      </c>
      <c r="AD531" s="194">
        <f>VLOOKUP(M531&amp;P531,Schedule!A:F,6,0)</f>
        <v/>
      </c>
      <c r="AE531" s="156">
        <f>VLOOKUP(N531,ProjPVT!B:I,8,0)*_Mag/VLOOKUP(P531,Standings!A:O,15,0)*H531*K531</f>
        <v/>
      </c>
      <c r="AF531" s="156">
        <f>VLOOKUP(P531,ProjPVT!B:I,8,0)*_Mag/VLOOKUP(N531,Standings!A:O,15,0)*J531*I531</f>
        <v/>
      </c>
      <c r="AG531" s="195">
        <f>VLOOKUP(N531,Matrix!AA:AC,3,0)</f>
        <v/>
      </c>
      <c r="AH531" s="195">
        <f>SUMIFS(Def!C:C,Def!F:F,AG531)</f>
        <v/>
      </c>
      <c r="AI531" s="156">
        <f>IFERROR(SUMIFS(Def!B:B,Def!F:F,AG531)/AH531,"")</f>
        <v/>
      </c>
      <c r="AJ531" s="195">
        <f>VLOOKUP(P531,Matrix!AA:AC,3,0)</f>
        <v/>
      </c>
      <c r="AK531" s="195">
        <f>SUMIFS(Def!C:C,Def!F:F,AJ531)</f>
        <v/>
      </c>
      <c r="AL531" s="156">
        <f>IFERROR(SUMIFS(Def!B:B,Def!F:F,AJ531)/AK531,"")</f>
        <v/>
      </c>
    </row>
    <row r="532" ht="14.4" customHeight="1" s="152">
      <c r="A532" s="157">
        <f>IF(F532="Yes",IFERROR(IF(AA532&gt;1,AA532/100,100/-AA532),""),-1)</f>
        <v/>
      </c>
      <c r="B532" s="157">
        <f>B531+1</f>
        <v/>
      </c>
      <c r="C532" s="157">
        <f>IF(Y532&gt;Z532,1,0)</f>
        <v/>
      </c>
      <c r="D532" s="157">
        <f>IF(AND(C532=1,F532="Yes"),"Yes",IF(AND(C532=0,F532="No"),"Yes","No"))</f>
        <v/>
      </c>
      <c r="E532" s="192">
        <f>IF((AC532+AB532)=AD532,"Push",IF((AC532+AB532)&gt;AD532,"Yes","No"))</f>
        <v/>
      </c>
      <c r="F532" s="192">
        <f>IF(AC532&gt;AD532,"Yes","No")</f>
        <v/>
      </c>
      <c r="G532" s="192">
        <f>IF((Y532+AB532)&gt;Z532,"Yes",IF((Y532+AB532)=Z532,"Push","No"))</f>
        <v/>
      </c>
      <c r="H532" s="157">
        <f>IF(O532="Home",VLOOKUP(N532,Matrix!A:S,19,0),1)</f>
        <v/>
      </c>
      <c r="I532" s="157">
        <f>IF(O532="Away",VLOOKUP(N532,Matrix!A:Z,20,0),1)</f>
        <v/>
      </c>
      <c r="J532" s="157">
        <f>IF(O532="Away",VLOOKUP(P532,Matrix!A:S,19,0),1)</f>
        <v/>
      </c>
      <c r="K532" s="157">
        <f>IF(O532="Home",VLOOKUP(P532,Matrix!A:Z,20,0),1)</f>
        <v/>
      </c>
      <c r="L532" s="156" t="n">
        <v>0.0217378524949324</v>
      </c>
      <c r="M532" s="179">
        <f>Schedule!B532</f>
        <v/>
      </c>
      <c r="N532" s="156">
        <f>Schedule!E532</f>
        <v/>
      </c>
      <c r="O532" s="156" t="inlineStr">
        <is>
          <t>Away</t>
        </is>
      </c>
      <c r="P532" s="157">
        <f>Schedule!H532</f>
        <v/>
      </c>
      <c r="Q532" s="157">
        <f>Schedule!C532</f>
        <v/>
      </c>
      <c r="R532" s="180">
        <f>Schedule!D532</f>
        <v/>
      </c>
      <c r="S532" s="181">
        <f>Schedule!J532</f>
        <v/>
      </c>
      <c r="T532" s="193">
        <f>Y532-Z532</f>
        <v/>
      </c>
      <c r="U532" s="182">
        <f>T532/Picks!$K$2</f>
        <v/>
      </c>
      <c r="V532" s="193">
        <f>INDEX(Standings!$T$3:$T$34, MATCH(N532, Standings!$A$3:$A$34, 0)) - INDEX(Standings!$T$3:$T$34, MATCH(P532, Standings!$A$3:$A$34, 0))</f>
        <v/>
      </c>
      <c r="W532" s="157">
        <f>INDEX(Standings!$L$3:$L$34, MATCH(N532, Standings!$A$3:$A$34, 0)) - INDEX(Standings!$L$3:$L$34, MATCH(P532, Standings!$A$3:$A$34, 0))</f>
        <v/>
      </c>
      <c r="X532" s="157">
        <f>INDEX(Standings!$M$3:$M$34, MATCH(N532, Standings!$A$3:$A$34, 0)) - INDEX(Standings!$M$3:$M$34, MATCH(P532, Standings!$A$3:$A$34, 0))</f>
        <v/>
      </c>
      <c r="Y532" s="194">
        <f t="array" ref="Y532:Y532">IFERROR(AE532+(AL532-_DFactor)*AE532,"")</f>
        <v/>
      </c>
      <c r="Z532" s="157">
        <f>IFERROR(AF532+(AI532-_DFactor)*AF532,"")</f>
        <v/>
      </c>
      <c r="AC532" s="194">
        <f>VLOOKUP(M532&amp;N532,Schedule!A:F,6,0)</f>
        <v/>
      </c>
      <c r="AD532" s="194">
        <f>VLOOKUP(M532&amp;P532,Schedule!A:F,6,0)</f>
        <v/>
      </c>
      <c r="AE532" s="156">
        <f>VLOOKUP(N532,ProjPVT!B:I,8,0)*_Mag/VLOOKUP(P532,Standings!A:O,15,0)*H532*K532</f>
        <v/>
      </c>
      <c r="AF532" s="156">
        <f>VLOOKUP(P532,ProjPVT!B:I,8,0)*_Mag/VLOOKUP(N532,Standings!A:O,15,0)*J532*I532</f>
        <v/>
      </c>
      <c r="AG532" s="195">
        <f>VLOOKUP(N532,Matrix!AA:AC,3,0)</f>
        <v/>
      </c>
      <c r="AH532" s="195">
        <f>SUMIFS(Def!C:C,Def!F:F,AG532)</f>
        <v/>
      </c>
      <c r="AI532" s="156">
        <f>IFERROR(SUMIFS(Def!B:B,Def!F:F,AG532)/AH532,"")</f>
        <v/>
      </c>
      <c r="AJ532" s="195">
        <f>VLOOKUP(P532,Matrix!AA:AC,3,0)</f>
        <v/>
      </c>
      <c r="AK532" s="195">
        <f>SUMIFS(Def!C:C,Def!F:F,AJ532)</f>
        <v/>
      </c>
      <c r="AL532" s="156">
        <f>IFERROR(SUMIFS(Def!B:B,Def!F:F,AJ532)/AK532,"")</f>
        <v/>
      </c>
    </row>
    <row r="533" ht="14.4" customHeight="1" s="152">
      <c r="A533" s="157">
        <f>IF(F533="Yes",IFERROR(IF(AA533&gt;1,AA533/100,100/-AA533),""),-1)</f>
        <v/>
      </c>
      <c r="B533" s="157">
        <f>B532+1</f>
        <v/>
      </c>
      <c r="C533" s="157">
        <f>IF(Y533&gt;Z533,1,0)</f>
        <v/>
      </c>
      <c r="D533" s="157">
        <f>IF(AND(C533=1,F533="Yes"),"Yes",IF(AND(C533=0,F533="No"),"Yes","No"))</f>
        <v/>
      </c>
      <c r="E533" s="192">
        <f>IF((AC533+AB533)=AD533,"Push",IF((AC533+AB533)&gt;AD533,"Yes","No"))</f>
        <v/>
      </c>
      <c r="F533" s="192">
        <f>IF(AC533&gt;AD533,"Yes","No")</f>
        <v/>
      </c>
      <c r="G533" s="192">
        <f>IF((Y533+AB533)&gt;Z533,"Yes",IF((Y533+AB533)=Z533,"Push","No"))</f>
        <v/>
      </c>
      <c r="H533" s="157">
        <f>IF(O533="Home",VLOOKUP(N533,Matrix!A:S,19,0),1)</f>
        <v/>
      </c>
      <c r="I533" s="157">
        <f>IF(O533="Away",VLOOKUP(N533,Matrix!A:Z,20,0),1)</f>
        <v/>
      </c>
      <c r="J533" s="157">
        <f>IF(O533="Away",VLOOKUP(P533,Matrix!A:S,19,0),1)</f>
        <v/>
      </c>
      <c r="K533" s="157">
        <f>IF(O533="Home",VLOOKUP(P533,Matrix!A:Z,20,0),1)</f>
        <v/>
      </c>
      <c r="L533" s="156" t="n">
        <v>0.0291676737473633</v>
      </c>
      <c r="M533" s="179">
        <f>Schedule!B533</f>
        <v/>
      </c>
      <c r="N533" s="156">
        <f>Schedule!E533</f>
        <v/>
      </c>
      <c r="O533" s="156" t="inlineStr">
        <is>
          <t>Away</t>
        </is>
      </c>
      <c r="P533" s="157">
        <f>Schedule!H533</f>
        <v/>
      </c>
      <c r="Q533" s="157">
        <f>Schedule!C533</f>
        <v/>
      </c>
      <c r="R533" s="180">
        <f>Schedule!D533</f>
        <v/>
      </c>
      <c r="S533" s="181">
        <f>Schedule!J533</f>
        <v/>
      </c>
      <c r="T533" s="193">
        <f>Y533-Z533</f>
        <v/>
      </c>
      <c r="U533" s="182">
        <f>T533/Picks!$K$2</f>
        <v/>
      </c>
      <c r="V533" s="193">
        <f>INDEX(Standings!$T$3:$T$34, MATCH(N533, Standings!$A$3:$A$34, 0)) - INDEX(Standings!$T$3:$T$34, MATCH(P533, Standings!$A$3:$A$34, 0))</f>
        <v/>
      </c>
      <c r="W533" s="157">
        <f>INDEX(Standings!$L$3:$L$34, MATCH(N533, Standings!$A$3:$A$34, 0)) - INDEX(Standings!$L$3:$L$34, MATCH(P533, Standings!$A$3:$A$34, 0))</f>
        <v/>
      </c>
      <c r="X533" s="157">
        <f>INDEX(Standings!$M$3:$M$34, MATCH(N533, Standings!$A$3:$A$34, 0)) - INDEX(Standings!$M$3:$M$34, MATCH(P533, Standings!$A$3:$A$34, 0))</f>
        <v/>
      </c>
      <c r="Y533" s="194">
        <f t="array" ref="Y533:Y533">IFERROR(AE533+(AL533-_DFactor)*AE533,"")</f>
        <v/>
      </c>
      <c r="Z533" s="157">
        <f>IFERROR(AF533+(AI533-_DFactor)*AF533,"")</f>
        <v/>
      </c>
      <c r="AC533" s="194">
        <f>VLOOKUP(M533&amp;N533,Schedule!A:F,6,0)</f>
        <v/>
      </c>
      <c r="AD533" s="194">
        <f>VLOOKUP(M533&amp;P533,Schedule!A:F,6,0)</f>
        <v/>
      </c>
      <c r="AE533" s="156">
        <f>VLOOKUP(N533,ProjPVT!B:I,8,0)*_Mag/VLOOKUP(P533,Standings!A:O,15,0)*H533*K533</f>
        <v/>
      </c>
      <c r="AF533" s="156">
        <f>VLOOKUP(P533,ProjPVT!B:I,8,0)*_Mag/VLOOKUP(N533,Standings!A:O,15,0)*J533*I533</f>
        <v/>
      </c>
      <c r="AG533" s="195">
        <f>VLOOKUP(N533,Matrix!AA:AC,3,0)</f>
        <v/>
      </c>
      <c r="AH533" s="195">
        <f>SUMIFS(Def!C:C,Def!F:F,AG533)</f>
        <v/>
      </c>
      <c r="AI533" s="156">
        <f>IFERROR(SUMIFS(Def!B:B,Def!F:F,AG533)/AH533,"")</f>
        <v/>
      </c>
      <c r="AJ533" s="195">
        <f>VLOOKUP(P533,Matrix!AA:AC,3,0)</f>
        <v/>
      </c>
      <c r="AK533" s="195">
        <f>SUMIFS(Def!C:C,Def!F:F,AJ533)</f>
        <v/>
      </c>
      <c r="AL533" s="156">
        <f>IFERROR(SUMIFS(Def!B:B,Def!F:F,AJ533)/AK533,"")</f>
        <v/>
      </c>
    </row>
    <row r="534" ht="14.4" customHeight="1" s="152">
      <c r="A534" s="157">
        <f>IF(F534="Yes",IFERROR(IF(AA534&gt;1,AA534/100,100/-AA534),""),-1)</f>
        <v/>
      </c>
      <c r="B534" s="157">
        <f>B533+1</f>
        <v/>
      </c>
      <c r="C534" s="157">
        <f>IF(Y534&gt;Z534,1,0)</f>
        <v/>
      </c>
      <c r="D534" s="157">
        <f>IF(AND(C534=1,F534="Yes"),"Yes",IF(AND(C534=0,F534="No"),"Yes","No"))</f>
        <v/>
      </c>
      <c r="E534" s="192">
        <f>IF((AC534+AB534)=AD534,"Push",IF((AC534+AB534)&gt;AD534,"Yes","No"))</f>
        <v/>
      </c>
      <c r="F534" s="192">
        <f>IF(AC534&gt;AD534,"Yes","No")</f>
        <v/>
      </c>
      <c r="G534" s="192">
        <f>IF((Y534+AB534)&gt;Z534,"Yes",IF((Y534+AB534)=Z534,"Push","No"))</f>
        <v/>
      </c>
      <c r="H534" s="157">
        <f>IF(O534="Home",VLOOKUP(N534,Matrix!A:S,19,0),1)</f>
        <v/>
      </c>
      <c r="I534" s="157">
        <f>IF(O534="Away",VLOOKUP(N534,Matrix!A:Z,20,0),1)</f>
        <v/>
      </c>
      <c r="J534" s="157">
        <f>IF(O534="Away",VLOOKUP(P534,Matrix!A:S,19,0),1)</f>
        <v/>
      </c>
      <c r="K534" s="157">
        <f>IF(O534="Home",VLOOKUP(P534,Matrix!A:Z,20,0),1)</f>
        <v/>
      </c>
      <c r="L534" s="156" t="n">
        <v>0.0555285655299126</v>
      </c>
      <c r="M534" s="179">
        <f>Schedule!B534</f>
        <v/>
      </c>
      <c r="N534" s="156">
        <f>Schedule!E534</f>
        <v/>
      </c>
      <c r="O534" s="156" t="inlineStr">
        <is>
          <t>Away</t>
        </is>
      </c>
      <c r="P534" s="157">
        <f>Schedule!H534</f>
        <v/>
      </c>
      <c r="Q534" s="157">
        <f>Schedule!C534</f>
        <v/>
      </c>
      <c r="R534" s="180">
        <f>Schedule!D534</f>
        <v/>
      </c>
      <c r="S534" s="181">
        <f>Schedule!J534</f>
        <v/>
      </c>
      <c r="T534" s="193">
        <f>Y534-Z534</f>
        <v/>
      </c>
      <c r="U534" s="182">
        <f>T534/Picks!$K$2</f>
        <v/>
      </c>
      <c r="V534" s="193">
        <f>INDEX(Standings!$T$3:$T$34, MATCH(N534, Standings!$A$3:$A$34, 0)) - INDEX(Standings!$T$3:$T$34, MATCH(P534, Standings!$A$3:$A$34, 0))</f>
        <v/>
      </c>
      <c r="W534" s="157">
        <f>INDEX(Standings!$L$3:$L$34, MATCH(N534, Standings!$A$3:$A$34, 0)) - INDEX(Standings!$L$3:$L$34, MATCH(P534, Standings!$A$3:$A$34, 0))</f>
        <v/>
      </c>
      <c r="X534" s="157">
        <f>INDEX(Standings!$M$3:$M$34, MATCH(N534, Standings!$A$3:$A$34, 0)) - INDEX(Standings!$M$3:$M$34, MATCH(P534, Standings!$A$3:$A$34, 0))</f>
        <v/>
      </c>
      <c r="Y534" s="194">
        <f t="array" ref="Y534:Y534">IFERROR(AE534+(AL534-_DFactor)*AE534,"")</f>
        <v/>
      </c>
      <c r="Z534" s="157">
        <f>IFERROR(AF534+(AI534-_DFactor)*AF534,"")</f>
        <v/>
      </c>
      <c r="AC534" s="194">
        <f>VLOOKUP(M534&amp;N534,Schedule!A:F,6,0)</f>
        <v/>
      </c>
      <c r="AD534" s="194">
        <f>VLOOKUP(M534&amp;P534,Schedule!A:F,6,0)</f>
        <v/>
      </c>
      <c r="AE534" s="156">
        <f>VLOOKUP(N534,ProjPVT!B:I,8,0)*_Mag/VLOOKUP(P534,Standings!A:O,15,0)*H534*K534</f>
        <v/>
      </c>
      <c r="AF534" s="156">
        <f>VLOOKUP(P534,ProjPVT!B:I,8,0)*_Mag/VLOOKUP(N534,Standings!A:O,15,0)*J534*I534</f>
        <v/>
      </c>
      <c r="AG534" s="195">
        <f>VLOOKUP(N534,Matrix!AA:AC,3,0)</f>
        <v/>
      </c>
      <c r="AH534" s="195">
        <f>SUMIFS(Def!C:C,Def!F:F,AG534)</f>
        <v/>
      </c>
      <c r="AI534" s="156">
        <f>IFERROR(SUMIFS(Def!B:B,Def!F:F,AG534)/AH534,"")</f>
        <v/>
      </c>
      <c r="AJ534" s="195">
        <f>VLOOKUP(P534,Matrix!AA:AC,3,0)</f>
        <v/>
      </c>
      <c r="AK534" s="195">
        <f>SUMIFS(Def!C:C,Def!F:F,AJ534)</f>
        <v/>
      </c>
      <c r="AL534" s="156">
        <f>IFERROR(SUMIFS(Def!B:B,Def!F:F,AJ534)/AK534,"")</f>
        <v/>
      </c>
    </row>
    <row r="535" ht="14.4" customHeight="1" s="152">
      <c r="A535" s="157">
        <f>IF(F535="Yes",IFERROR(IF(AA535&gt;1,AA535/100,100/-AA535),""),-1)</f>
        <v/>
      </c>
      <c r="B535" s="157">
        <f>B534+1</f>
        <v/>
      </c>
      <c r="C535" s="157">
        <f>IF(Y535&gt;Z535,1,0)</f>
        <v/>
      </c>
      <c r="D535" s="157">
        <f>IF(AND(C535=1,F535="Yes"),"Yes",IF(AND(C535=0,F535="No"),"Yes","No"))</f>
        <v/>
      </c>
      <c r="E535" s="192">
        <f>IF((AC535+AB535)=AD535,"Push",IF((AC535+AB535)&gt;AD535,"Yes","No"))</f>
        <v/>
      </c>
      <c r="F535" s="192">
        <f>IF(AC535&gt;AD535,"Yes","No")</f>
        <v/>
      </c>
      <c r="G535" s="192">
        <f>IF((Y535+AB535)&gt;Z535,"Yes",IF((Y535+AB535)=Z535,"Push","No"))</f>
        <v/>
      </c>
      <c r="H535" s="157">
        <f>IF(O535="Home",VLOOKUP(N535,Matrix!A:S,19,0),1)</f>
        <v/>
      </c>
      <c r="I535" s="157">
        <f>IF(O535="Away",VLOOKUP(N535,Matrix!A:Z,20,0),1)</f>
        <v/>
      </c>
      <c r="J535" s="157">
        <f>IF(O535="Away",VLOOKUP(P535,Matrix!A:S,19,0),1)</f>
        <v/>
      </c>
      <c r="K535" s="157">
        <f>IF(O535="Home",VLOOKUP(P535,Matrix!A:Z,20,0),1)</f>
        <v/>
      </c>
      <c r="L535" s="156" t="n">
        <v>0.0837904485056185</v>
      </c>
      <c r="M535" s="179">
        <f>Schedule!B535</f>
        <v/>
      </c>
      <c r="N535" s="156">
        <f>Schedule!E535</f>
        <v/>
      </c>
      <c r="O535" s="156" t="inlineStr">
        <is>
          <t>Away</t>
        </is>
      </c>
      <c r="P535" s="157">
        <f>Schedule!H535</f>
        <v/>
      </c>
      <c r="Q535" s="157">
        <f>Schedule!C535</f>
        <v/>
      </c>
      <c r="R535" s="180">
        <f>Schedule!D535</f>
        <v/>
      </c>
      <c r="S535" s="181">
        <f>Schedule!J535</f>
        <v/>
      </c>
      <c r="T535" s="193">
        <f>Y535-Z535</f>
        <v/>
      </c>
      <c r="U535" s="182">
        <f>T535/Picks!$K$2</f>
        <v/>
      </c>
      <c r="V535" s="193">
        <f>INDEX(Standings!$T$3:$T$34, MATCH(N535, Standings!$A$3:$A$34, 0)) - INDEX(Standings!$T$3:$T$34, MATCH(P535, Standings!$A$3:$A$34, 0))</f>
        <v/>
      </c>
      <c r="W535" s="157">
        <f>INDEX(Standings!$L$3:$L$34, MATCH(N535, Standings!$A$3:$A$34, 0)) - INDEX(Standings!$L$3:$L$34, MATCH(P535, Standings!$A$3:$A$34, 0))</f>
        <v/>
      </c>
      <c r="X535" s="157">
        <f>INDEX(Standings!$M$3:$M$34, MATCH(N535, Standings!$A$3:$A$34, 0)) - INDEX(Standings!$M$3:$M$34, MATCH(P535, Standings!$A$3:$A$34, 0))</f>
        <v/>
      </c>
      <c r="Y535" s="194">
        <f t="array" ref="Y535:Y535">IFERROR(AE535+(AL535-_DFactor)*AE535,"")</f>
        <v/>
      </c>
      <c r="Z535" s="157">
        <f>IFERROR(AF535+(AI535-_DFactor)*AF535,"")</f>
        <v/>
      </c>
      <c r="AC535" s="194">
        <f>VLOOKUP(M535&amp;N535,Schedule!A:F,6,0)</f>
        <v/>
      </c>
      <c r="AD535" s="194">
        <f>VLOOKUP(M535&amp;P535,Schedule!A:F,6,0)</f>
        <v/>
      </c>
      <c r="AE535" s="156">
        <f>VLOOKUP(N535,ProjPVT!B:I,8,0)*_Mag/VLOOKUP(P535,Standings!A:O,15,0)*H535*K535</f>
        <v/>
      </c>
      <c r="AF535" s="156">
        <f>VLOOKUP(P535,ProjPVT!B:I,8,0)*_Mag/VLOOKUP(N535,Standings!A:O,15,0)*J535*I535</f>
        <v/>
      </c>
      <c r="AG535" s="195">
        <f>VLOOKUP(N535,Matrix!AA:AC,3,0)</f>
        <v/>
      </c>
      <c r="AH535" s="195">
        <f>SUMIFS(Def!C:C,Def!F:F,AG535)</f>
        <v/>
      </c>
      <c r="AI535" s="156">
        <f>IFERROR(SUMIFS(Def!B:B,Def!F:F,AG535)/AH535,"")</f>
        <v/>
      </c>
      <c r="AJ535" s="195">
        <f>VLOOKUP(P535,Matrix!AA:AC,3,0)</f>
        <v/>
      </c>
      <c r="AK535" s="195">
        <f>SUMIFS(Def!C:C,Def!F:F,AJ535)</f>
        <v/>
      </c>
      <c r="AL535" s="156">
        <f>IFERROR(SUMIFS(Def!B:B,Def!F:F,AJ535)/AK535,"")</f>
        <v/>
      </c>
    </row>
    <row r="536" ht="14.4" customHeight="1" s="152">
      <c r="A536" s="157">
        <f>IF(F536="Yes",IFERROR(IF(AA536&gt;1,AA536/100,100/-AA536),""),-1)</f>
        <v/>
      </c>
      <c r="B536" s="157">
        <f>B535+1</f>
        <v/>
      </c>
      <c r="C536" s="157">
        <f>IF(Y536&gt;Z536,1,0)</f>
        <v/>
      </c>
      <c r="D536" s="157">
        <f>IF(AND(C536=1,F536="Yes"),"Yes",IF(AND(C536=0,F536="No"),"Yes","No"))</f>
        <v/>
      </c>
      <c r="E536" s="192">
        <f>IF((AC536+AB536)=AD536,"Push",IF((AC536+AB536)&gt;AD536,"Yes","No"))</f>
        <v/>
      </c>
      <c r="F536" s="192">
        <f>IF(AC536&gt;AD536,"Yes","No")</f>
        <v/>
      </c>
      <c r="G536" s="192">
        <f>IF((Y536+AB536)&gt;Z536,"Yes",IF((Y536+AB536)=Z536,"Push","No"))</f>
        <v/>
      </c>
      <c r="H536" s="157">
        <f>IF(O536="Home",VLOOKUP(N536,Matrix!A:S,19,0),1)</f>
        <v/>
      </c>
      <c r="I536" s="157">
        <f>IF(O536="Away",VLOOKUP(N536,Matrix!A:Z,20,0),1)</f>
        <v/>
      </c>
      <c r="J536" s="157">
        <f>IF(O536="Away",VLOOKUP(P536,Matrix!A:S,19,0),1)</f>
        <v/>
      </c>
      <c r="K536" s="157">
        <f>IF(O536="Home",VLOOKUP(P536,Matrix!A:Z,20,0),1)</f>
        <v/>
      </c>
      <c r="L536" s="156" t="n">
        <v>0.112255855784345</v>
      </c>
      <c r="M536" s="179">
        <f>Schedule!B536</f>
        <v/>
      </c>
      <c r="N536" s="156">
        <f>Schedule!E536</f>
        <v/>
      </c>
      <c r="O536" s="156" t="inlineStr">
        <is>
          <t>Away</t>
        </is>
      </c>
      <c r="P536" s="157">
        <f>Schedule!H536</f>
        <v/>
      </c>
      <c r="Q536" s="157">
        <f>Schedule!C536</f>
        <v/>
      </c>
      <c r="R536" s="180">
        <f>Schedule!D536</f>
        <v/>
      </c>
      <c r="S536" s="181">
        <f>Schedule!J536</f>
        <v/>
      </c>
      <c r="T536" s="193">
        <f>Y536-Z536</f>
        <v/>
      </c>
      <c r="U536" s="182">
        <f>T536/Picks!$K$2</f>
        <v/>
      </c>
      <c r="V536" s="193">
        <f>INDEX(Standings!$T$3:$T$34, MATCH(N536, Standings!$A$3:$A$34, 0)) - INDEX(Standings!$T$3:$T$34, MATCH(P536, Standings!$A$3:$A$34, 0))</f>
        <v/>
      </c>
      <c r="W536" s="157">
        <f>INDEX(Standings!$L$3:$L$34, MATCH(N536, Standings!$A$3:$A$34, 0)) - INDEX(Standings!$L$3:$L$34, MATCH(P536, Standings!$A$3:$A$34, 0))</f>
        <v/>
      </c>
      <c r="X536" s="157">
        <f>INDEX(Standings!$M$3:$M$34, MATCH(N536, Standings!$A$3:$A$34, 0)) - INDEX(Standings!$M$3:$M$34, MATCH(P536, Standings!$A$3:$A$34, 0))</f>
        <v/>
      </c>
      <c r="Y536" s="194">
        <f t="array" ref="Y536:Y536">IFERROR(AE536+(AL536-_DFactor)*AE536,"")</f>
        <v/>
      </c>
      <c r="Z536" s="157">
        <f>IFERROR(AF536+(AI536-_DFactor)*AF536,"")</f>
        <v/>
      </c>
      <c r="AC536" s="194">
        <f>VLOOKUP(M536&amp;N536,Schedule!A:F,6,0)</f>
        <v/>
      </c>
      <c r="AD536" s="194">
        <f>VLOOKUP(M536&amp;P536,Schedule!A:F,6,0)</f>
        <v/>
      </c>
      <c r="AE536" s="156">
        <f>VLOOKUP(N536,ProjPVT!B:I,8,0)*_Mag/VLOOKUP(P536,Standings!A:O,15,0)*H536*K536</f>
        <v/>
      </c>
      <c r="AF536" s="156">
        <f>VLOOKUP(P536,ProjPVT!B:I,8,0)*_Mag/VLOOKUP(N536,Standings!A:O,15,0)*J536*I536</f>
        <v/>
      </c>
      <c r="AG536" s="195">
        <f>VLOOKUP(N536,Matrix!AA:AC,3,0)</f>
        <v/>
      </c>
      <c r="AH536" s="195">
        <f>SUMIFS(Def!C:C,Def!F:F,AG536)</f>
        <v/>
      </c>
      <c r="AI536" s="156">
        <f>IFERROR(SUMIFS(Def!B:B,Def!F:F,AG536)/AH536,"")</f>
        <v/>
      </c>
      <c r="AJ536" s="195">
        <f>VLOOKUP(P536,Matrix!AA:AC,3,0)</f>
        <v/>
      </c>
      <c r="AK536" s="195">
        <f>SUMIFS(Def!C:C,Def!F:F,AJ536)</f>
        <v/>
      </c>
      <c r="AL536" s="156">
        <f>IFERROR(SUMIFS(Def!B:B,Def!F:F,AJ536)/AK536,"")</f>
        <v/>
      </c>
    </row>
    <row r="537" ht="14.4" customHeight="1" s="152">
      <c r="A537" s="157">
        <f>IF(F537="Yes",IFERROR(IF(AA537&gt;1,AA537/100,100/-AA537),""),-1)</f>
        <v/>
      </c>
      <c r="B537" s="157">
        <f>B536+1</f>
        <v/>
      </c>
      <c r="C537" s="157">
        <f>IF(Y537&gt;Z537,1,0)</f>
        <v/>
      </c>
      <c r="D537" s="157">
        <f>IF(AND(C537=1,F537="Yes"),"Yes",IF(AND(C537=0,F537="No"),"Yes","No"))</f>
        <v/>
      </c>
      <c r="E537" s="192">
        <f>IF((AC537+AB537)=AD537,"Push",IF((AC537+AB537)&gt;AD537,"Yes","No"))</f>
        <v/>
      </c>
      <c r="F537" s="192">
        <f>IF(AC537&gt;AD537,"Yes","No")</f>
        <v/>
      </c>
      <c r="G537" s="192">
        <f>IF((Y537+AB537)&gt;Z537,"Yes",IF((Y537+AB537)=Z537,"Push","No"))</f>
        <v/>
      </c>
      <c r="H537" s="157">
        <f>IF(O537="Home",VLOOKUP(N537,Matrix!A:S,19,0),1)</f>
        <v/>
      </c>
      <c r="I537" s="157">
        <f>IF(O537="Away",VLOOKUP(N537,Matrix!A:Z,20,0),1)</f>
        <v/>
      </c>
      <c r="J537" s="157">
        <f>IF(O537="Away",VLOOKUP(P537,Matrix!A:S,19,0),1)</f>
        <v/>
      </c>
      <c r="K537" s="157">
        <f>IF(O537="Home",VLOOKUP(P537,Matrix!A:Z,20,0),1)</f>
        <v/>
      </c>
      <c r="L537" s="156" t="n">
        <v>0.148352408637239</v>
      </c>
      <c r="M537" s="179">
        <f>Schedule!B537</f>
        <v/>
      </c>
      <c r="N537" s="156">
        <f>Schedule!E537</f>
        <v/>
      </c>
      <c r="O537" s="156" t="inlineStr">
        <is>
          <t>Away</t>
        </is>
      </c>
      <c r="P537" s="157">
        <f>Schedule!H537</f>
        <v/>
      </c>
      <c r="Q537" s="157">
        <f>Schedule!C537</f>
        <v/>
      </c>
      <c r="R537" s="180">
        <f>Schedule!D537</f>
        <v/>
      </c>
      <c r="S537" s="181">
        <f>Schedule!J537</f>
        <v/>
      </c>
      <c r="T537" s="193">
        <f>Y537-Z537</f>
        <v/>
      </c>
      <c r="U537" s="182">
        <f>T537/Picks!$K$2</f>
        <v/>
      </c>
      <c r="V537" s="193">
        <f>INDEX(Standings!$T$3:$T$34, MATCH(N537, Standings!$A$3:$A$34, 0)) - INDEX(Standings!$T$3:$T$34, MATCH(P537, Standings!$A$3:$A$34, 0))</f>
        <v/>
      </c>
      <c r="W537" s="157">
        <f>INDEX(Standings!$L$3:$L$34, MATCH(N537, Standings!$A$3:$A$34, 0)) - INDEX(Standings!$L$3:$L$34, MATCH(P537, Standings!$A$3:$A$34, 0))</f>
        <v/>
      </c>
      <c r="X537" s="157">
        <f>INDEX(Standings!$M$3:$M$34, MATCH(N537, Standings!$A$3:$A$34, 0)) - INDEX(Standings!$M$3:$M$34, MATCH(P537, Standings!$A$3:$A$34, 0))</f>
        <v/>
      </c>
      <c r="Y537" s="194">
        <f t="array" ref="Y537:Y537">IFERROR(AE537+(AL537-_DFactor)*AE537,"")</f>
        <v/>
      </c>
      <c r="Z537" s="157">
        <f>IFERROR(AF537+(AI537-_DFactor)*AF537,"")</f>
        <v/>
      </c>
      <c r="AC537" s="194">
        <f>VLOOKUP(M537&amp;N537,Schedule!A:F,6,0)</f>
        <v/>
      </c>
      <c r="AD537" s="194">
        <f>VLOOKUP(M537&amp;P537,Schedule!A:F,6,0)</f>
        <v/>
      </c>
      <c r="AE537" s="156">
        <f>VLOOKUP(N537,ProjPVT!B:I,8,0)*_Mag/VLOOKUP(P537,Standings!A:O,15,0)*H537*K537</f>
        <v/>
      </c>
      <c r="AF537" s="156">
        <f>VLOOKUP(P537,ProjPVT!B:I,8,0)*_Mag/VLOOKUP(N537,Standings!A:O,15,0)*J537*I537</f>
        <v/>
      </c>
      <c r="AG537" s="195">
        <f>VLOOKUP(N537,Matrix!AA:AC,3,0)</f>
        <v/>
      </c>
      <c r="AH537" s="195">
        <f>SUMIFS(Def!C:C,Def!F:F,AG537)</f>
        <v/>
      </c>
      <c r="AI537" s="156">
        <f>IFERROR(SUMIFS(Def!B:B,Def!F:F,AG537)/AH537,"")</f>
        <v/>
      </c>
      <c r="AJ537" s="195">
        <f>VLOOKUP(P537,Matrix!AA:AC,3,0)</f>
        <v/>
      </c>
      <c r="AK537" s="195">
        <f>SUMIFS(Def!C:C,Def!F:F,AJ537)</f>
        <v/>
      </c>
      <c r="AL537" s="156">
        <f>IFERROR(SUMIFS(Def!B:B,Def!F:F,AJ537)/AK537,"")</f>
        <v/>
      </c>
    </row>
    <row r="538" ht="14.4" customHeight="1" s="152">
      <c r="A538" s="157">
        <f>IF(F538="Yes",IFERROR(IF(AA538&gt;1,AA538/100,100/-AA538),""),-1)</f>
        <v/>
      </c>
      <c r="B538" s="157">
        <f>B537+1</f>
        <v/>
      </c>
      <c r="C538" s="157">
        <f>IF(Y538&gt;Z538,1,0)</f>
        <v/>
      </c>
      <c r="D538" s="157">
        <f>IF(AND(C538=1,F538="Yes"),"Yes",IF(AND(C538=0,F538="No"),"Yes","No"))</f>
        <v/>
      </c>
      <c r="E538" s="192">
        <f>IF((AC538+AB538)=AD538,"Push",IF((AC538+AB538)&gt;AD538,"Yes","No"))</f>
        <v/>
      </c>
      <c r="F538" s="192">
        <f>IF(AC538&gt;AD538,"Yes","No")</f>
        <v/>
      </c>
      <c r="G538" s="192">
        <f>IF((Y538+AB538)&gt;Z538,"Yes",IF((Y538+AB538)=Z538,"Push","No"))</f>
        <v/>
      </c>
      <c r="H538" s="157">
        <f>IF(O538="Home",VLOOKUP(N538,Matrix!A:S,19,0),1)</f>
        <v/>
      </c>
      <c r="I538" s="157">
        <f>IF(O538="Away",VLOOKUP(N538,Matrix!A:Z,20,0),1)</f>
        <v/>
      </c>
      <c r="J538" s="157">
        <f>IF(O538="Away",VLOOKUP(P538,Matrix!A:S,19,0),1)</f>
        <v/>
      </c>
      <c r="K538" s="157">
        <f>IF(O538="Home",VLOOKUP(P538,Matrix!A:Z,20,0),1)</f>
        <v/>
      </c>
      <c r="L538" s="156" t="n">
        <v>0.173010972233702</v>
      </c>
      <c r="M538" s="179">
        <f>Schedule!B538</f>
        <v/>
      </c>
      <c r="N538" s="156">
        <f>Schedule!E538</f>
        <v/>
      </c>
      <c r="O538" s="156" t="inlineStr">
        <is>
          <t>Away</t>
        </is>
      </c>
      <c r="P538" s="157">
        <f>Schedule!H538</f>
        <v/>
      </c>
      <c r="Q538" s="157">
        <f>Schedule!C538</f>
        <v/>
      </c>
      <c r="R538" s="180">
        <f>Schedule!D538</f>
        <v/>
      </c>
      <c r="S538" s="181">
        <f>Schedule!J538</f>
        <v/>
      </c>
      <c r="T538" s="193">
        <f>Y538-Z538</f>
        <v/>
      </c>
      <c r="U538" s="182">
        <f>T538/Picks!$K$2</f>
        <v/>
      </c>
      <c r="V538" s="193">
        <f>INDEX(Standings!$T$3:$T$34, MATCH(N538, Standings!$A$3:$A$34, 0)) - INDEX(Standings!$T$3:$T$34, MATCH(P538, Standings!$A$3:$A$34, 0))</f>
        <v/>
      </c>
      <c r="W538" s="157">
        <f>INDEX(Standings!$L$3:$L$34, MATCH(N538, Standings!$A$3:$A$34, 0)) - INDEX(Standings!$L$3:$L$34, MATCH(P538, Standings!$A$3:$A$34, 0))</f>
        <v/>
      </c>
      <c r="X538" s="157">
        <f>INDEX(Standings!$M$3:$M$34, MATCH(N538, Standings!$A$3:$A$34, 0)) - INDEX(Standings!$M$3:$M$34, MATCH(P538, Standings!$A$3:$A$34, 0))</f>
        <v/>
      </c>
      <c r="Y538" s="194">
        <f t="array" ref="Y538:Y538">IFERROR(AE538+(AL538-_DFactor)*AE538,"")</f>
        <v/>
      </c>
      <c r="Z538" s="157">
        <f>IFERROR(AF538+(AI538-_DFactor)*AF538,"")</f>
        <v/>
      </c>
      <c r="AC538" s="194">
        <f>VLOOKUP(M538&amp;N538,Schedule!A:F,6,0)</f>
        <v/>
      </c>
      <c r="AD538" s="194">
        <f>VLOOKUP(M538&amp;P538,Schedule!A:F,6,0)</f>
        <v/>
      </c>
      <c r="AE538" s="156">
        <f>VLOOKUP(N538,ProjPVT!B:I,8,0)*_Mag/VLOOKUP(P538,Standings!A:O,15,0)*H538*K538</f>
        <v/>
      </c>
      <c r="AF538" s="156">
        <f>VLOOKUP(P538,ProjPVT!B:I,8,0)*_Mag/VLOOKUP(N538,Standings!A:O,15,0)*J538*I538</f>
        <v/>
      </c>
      <c r="AG538" s="195">
        <f>VLOOKUP(N538,Matrix!AA:AC,3,0)</f>
        <v/>
      </c>
      <c r="AH538" s="195">
        <f>SUMIFS(Def!C:C,Def!F:F,AG538)</f>
        <v/>
      </c>
      <c r="AI538" s="156">
        <f>IFERROR(SUMIFS(Def!B:B,Def!F:F,AG538)/AH538,"")</f>
        <v/>
      </c>
      <c r="AJ538" s="195">
        <f>VLOOKUP(P538,Matrix!AA:AC,3,0)</f>
        <v/>
      </c>
      <c r="AK538" s="195">
        <f>SUMIFS(Def!C:C,Def!F:F,AJ538)</f>
        <v/>
      </c>
      <c r="AL538" s="156">
        <f>IFERROR(SUMIFS(Def!B:B,Def!F:F,AJ538)/AK538,"")</f>
        <v/>
      </c>
    </row>
    <row r="539" ht="14.4" customHeight="1" s="152">
      <c r="A539" s="157">
        <f>IF(F539="Yes",IFERROR(IF(AA539&gt;1,AA539/100,100/-AA539),""),-1)</f>
        <v/>
      </c>
      <c r="B539" s="157">
        <f>B538+1</f>
        <v/>
      </c>
      <c r="C539" s="157">
        <f>IF(Y539&gt;Z539,1,0)</f>
        <v/>
      </c>
      <c r="D539" s="157">
        <f>IF(AND(C539=1,F539="Yes"),"Yes",IF(AND(C539=0,F539="No"),"Yes","No"))</f>
        <v/>
      </c>
      <c r="E539" s="192">
        <f>IF((AC539+AB539)=AD539,"Push",IF((AC539+AB539)&gt;AD539,"Yes","No"))</f>
        <v/>
      </c>
      <c r="F539" s="192">
        <f>IF(AC539&gt;AD539,"Yes","No")</f>
        <v/>
      </c>
      <c r="G539" s="192">
        <f>IF((Y539+AB539)&gt;Z539,"Yes",IF((Y539+AB539)=Z539,"Push","No"))</f>
        <v/>
      </c>
      <c r="H539" s="157">
        <f>IF(O539="Home",VLOOKUP(N539,Matrix!A:S,19,0),1)</f>
        <v/>
      </c>
      <c r="I539" s="157">
        <f>IF(O539="Away",VLOOKUP(N539,Matrix!A:Z,20,0),1)</f>
        <v/>
      </c>
      <c r="J539" s="157">
        <f>IF(O539="Away",VLOOKUP(P539,Matrix!A:S,19,0),1)</f>
        <v/>
      </c>
      <c r="K539" s="157">
        <f>IF(O539="Home",VLOOKUP(P539,Matrix!A:Z,20,0),1)</f>
        <v/>
      </c>
      <c r="L539" s="156" t="n">
        <v>0.236044712380302</v>
      </c>
      <c r="M539" s="179">
        <f>Schedule!B539</f>
        <v/>
      </c>
      <c r="N539" s="156">
        <f>Schedule!E539</f>
        <v/>
      </c>
      <c r="O539" s="156" t="inlineStr">
        <is>
          <t>Away</t>
        </is>
      </c>
      <c r="P539" s="157">
        <f>Schedule!H539</f>
        <v/>
      </c>
      <c r="Q539" s="157">
        <f>Schedule!C539</f>
        <v/>
      </c>
      <c r="R539" s="180">
        <f>Schedule!D539</f>
        <v/>
      </c>
      <c r="S539" s="181">
        <f>Schedule!J539</f>
        <v/>
      </c>
      <c r="T539" s="193">
        <f>Y539-Z539</f>
        <v/>
      </c>
      <c r="U539" s="182">
        <f>T539/Picks!$K$2</f>
        <v/>
      </c>
      <c r="V539" s="193">
        <f>INDEX(Standings!$T$3:$T$34, MATCH(N539, Standings!$A$3:$A$34, 0)) - INDEX(Standings!$T$3:$T$34, MATCH(P539, Standings!$A$3:$A$34, 0))</f>
        <v/>
      </c>
      <c r="W539" s="157">
        <f>INDEX(Standings!$L$3:$L$34, MATCH(N539, Standings!$A$3:$A$34, 0)) - INDEX(Standings!$L$3:$L$34, MATCH(P539, Standings!$A$3:$A$34, 0))</f>
        <v/>
      </c>
      <c r="X539" s="157">
        <f>INDEX(Standings!$M$3:$M$34, MATCH(N539, Standings!$A$3:$A$34, 0)) - INDEX(Standings!$M$3:$M$34, MATCH(P539, Standings!$A$3:$A$34, 0))</f>
        <v/>
      </c>
      <c r="Y539" s="194">
        <f t="array" ref="Y539:Y539">IFERROR(AE539+(AL539-_DFactor)*AE539,"")</f>
        <v/>
      </c>
      <c r="Z539" s="157">
        <f>IFERROR(AF539+(AI539-_DFactor)*AF539,"")</f>
        <v/>
      </c>
      <c r="AC539" s="194">
        <f>VLOOKUP(M539&amp;N539,Schedule!A:F,6,0)</f>
        <v/>
      </c>
      <c r="AD539" s="194">
        <f>VLOOKUP(M539&amp;P539,Schedule!A:F,6,0)</f>
        <v/>
      </c>
      <c r="AE539" s="156">
        <f>VLOOKUP(N539,ProjPVT!B:I,8,0)*_Mag/VLOOKUP(P539,Standings!A:O,15,0)*H539*K539</f>
        <v/>
      </c>
      <c r="AF539" s="156">
        <f>VLOOKUP(P539,ProjPVT!B:I,8,0)*_Mag/VLOOKUP(N539,Standings!A:O,15,0)*J539*I539</f>
        <v/>
      </c>
      <c r="AG539" s="195">
        <f>VLOOKUP(N539,Matrix!AA:AC,3,0)</f>
        <v/>
      </c>
      <c r="AH539" s="195">
        <f>SUMIFS(Def!C:C,Def!F:F,AG539)</f>
        <v/>
      </c>
      <c r="AI539" s="156">
        <f>IFERROR(SUMIFS(Def!B:B,Def!F:F,AG539)/AH539,"")</f>
        <v/>
      </c>
      <c r="AJ539" s="195">
        <f>VLOOKUP(P539,Matrix!AA:AC,3,0)</f>
        <v/>
      </c>
      <c r="AK539" s="195">
        <f>SUMIFS(Def!C:C,Def!F:F,AJ539)</f>
        <v/>
      </c>
      <c r="AL539" s="156">
        <f>IFERROR(SUMIFS(Def!B:B,Def!F:F,AJ539)/AK539,"")</f>
        <v/>
      </c>
    </row>
    <row r="540" ht="14.4" customHeight="1" s="152">
      <c r="A540" s="157">
        <f>IF(F540="Yes",IFERROR(IF(AA540&gt;1,AA540/100,100/-AA540),""),-1)</f>
        <v/>
      </c>
      <c r="B540" s="157">
        <f>B539+1</f>
        <v/>
      </c>
      <c r="C540" s="157">
        <f>IF(Y540&gt;Z540,1,0)</f>
        <v/>
      </c>
      <c r="D540" s="157">
        <f>IF(AND(C540=1,F540="Yes"),"Yes",IF(AND(C540=0,F540="No"),"Yes","No"))</f>
        <v/>
      </c>
      <c r="E540" s="192">
        <f>IF((AC540+AB540)=AD540,"Push",IF((AC540+AB540)&gt;AD540,"Yes","No"))</f>
        <v/>
      </c>
      <c r="F540" s="192">
        <f>IF(AC540&gt;AD540,"Yes","No")</f>
        <v/>
      </c>
      <c r="G540" s="192">
        <f>IF((Y540+AB540)&gt;Z540,"Yes",IF((Y540+AB540)=Z540,"Push","No"))</f>
        <v/>
      </c>
      <c r="H540" s="157">
        <f>IF(O540="Home",VLOOKUP(N540,Matrix!A:S,19,0),1)</f>
        <v/>
      </c>
      <c r="I540" s="157">
        <f>IF(O540="Away",VLOOKUP(N540,Matrix!A:Z,20,0),1)</f>
        <v/>
      </c>
      <c r="J540" s="157">
        <f>IF(O540="Away",VLOOKUP(P540,Matrix!A:S,19,0),1)</f>
        <v/>
      </c>
      <c r="K540" s="157">
        <f>IF(O540="Home",VLOOKUP(P540,Matrix!A:Z,20,0),1)</f>
        <v/>
      </c>
      <c r="L540" s="156" t="n">
        <v>0.25504369686428</v>
      </c>
      <c r="M540" s="179">
        <f>Schedule!B540</f>
        <v/>
      </c>
      <c r="N540" s="156">
        <f>Schedule!E540</f>
        <v/>
      </c>
      <c r="O540" s="156" t="inlineStr">
        <is>
          <t>Away</t>
        </is>
      </c>
      <c r="P540" s="157">
        <f>Schedule!H540</f>
        <v/>
      </c>
      <c r="Q540" s="157">
        <f>Schedule!C540</f>
        <v/>
      </c>
      <c r="R540" s="180">
        <f>Schedule!D540</f>
        <v/>
      </c>
      <c r="S540" s="181">
        <f>Schedule!J540</f>
        <v/>
      </c>
      <c r="T540" s="193">
        <f>Y540-Z540</f>
        <v/>
      </c>
      <c r="U540" s="182">
        <f>T540/Picks!$K$2</f>
        <v/>
      </c>
      <c r="V540" s="193">
        <f>INDEX(Standings!$T$3:$T$34, MATCH(N540, Standings!$A$3:$A$34, 0)) - INDEX(Standings!$T$3:$T$34, MATCH(P540, Standings!$A$3:$A$34, 0))</f>
        <v/>
      </c>
      <c r="W540" s="157">
        <f>INDEX(Standings!$L$3:$L$34, MATCH(N540, Standings!$A$3:$A$34, 0)) - INDEX(Standings!$L$3:$L$34, MATCH(P540, Standings!$A$3:$A$34, 0))</f>
        <v/>
      </c>
      <c r="X540" s="157">
        <f>INDEX(Standings!$M$3:$M$34, MATCH(N540, Standings!$A$3:$A$34, 0)) - INDEX(Standings!$M$3:$M$34, MATCH(P540, Standings!$A$3:$A$34, 0))</f>
        <v/>
      </c>
      <c r="Y540" s="194">
        <f t="array" ref="Y540:Y540">IFERROR(AE540+(AL540-_DFactor)*AE540,"")</f>
        <v/>
      </c>
      <c r="Z540" s="157">
        <f>IFERROR(AF540+(AI540-_DFactor)*AF540,"")</f>
        <v/>
      </c>
      <c r="AC540" s="194">
        <f>VLOOKUP(M540&amp;N540,Schedule!A:F,6,0)</f>
        <v/>
      </c>
      <c r="AD540" s="194">
        <f>VLOOKUP(M540&amp;P540,Schedule!A:F,6,0)</f>
        <v/>
      </c>
      <c r="AE540" s="156">
        <f>VLOOKUP(N540,ProjPVT!B:I,8,0)*_Mag/VLOOKUP(P540,Standings!A:O,15,0)*H540*K540</f>
        <v/>
      </c>
      <c r="AF540" s="156">
        <f>VLOOKUP(P540,ProjPVT!B:I,8,0)*_Mag/VLOOKUP(N540,Standings!A:O,15,0)*J540*I540</f>
        <v/>
      </c>
      <c r="AG540" s="195">
        <f>VLOOKUP(N540,Matrix!AA:AC,3,0)</f>
        <v/>
      </c>
      <c r="AH540" s="195">
        <f>SUMIFS(Def!C:C,Def!F:F,AG540)</f>
        <v/>
      </c>
      <c r="AI540" s="156">
        <f>IFERROR(SUMIFS(Def!B:B,Def!F:F,AG540)/AH540,"")</f>
        <v/>
      </c>
      <c r="AJ540" s="195">
        <f>VLOOKUP(P540,Matrix!AA:AC,3,0)</f>
        <v/>
      </c>
      <c r="AK540" s="195">
        <f>SUMIFS(Def!C:C,Def!F:F,AJ540)</f>
        <v/>
      </c>
      <c r="AL540" s="156">
        <f>IFERROR(SUMIFS(Def!B:B,Def!F:F,AJ540)/AK540,"")</f>
        <v/>
      </c>
    </row>
    <row r="541" ht="14.4" customHeight="1" s="152">
      <c r="A541" s="157">
        <f>IF(F541="Yes",IFERROR(IF(AA541&gt;1,AA541/100,100/-AA541),""),-1)</f>
        <v/>
      </c>
      <c r="B541" s="157">
        <f>B540+1</f>
        <v/>
      </c>
      <c r="C541" s="157">
        <f>IF(Y541&gt;Z541,1,0)</f>
        <v/>
      </c>
      <c r="D541" s="157">
        <f>IF(AND(C541=1,F541="Yes"),"Yes",IF(AND(C541=0,F541="No"),"Yes","No"))</f>
        <v/>
      </c>
      <c r="E541" s="192">
        <f>IF((AC541+AB541)=AD541,"Push",IF((AC541+AB541)&gt;AD541,"Yes","No"))</f>
        <v/>
      </c>
      <c r="F541" s="192">
        <f>IF(AC541&gt;AD541,"Yes","No")</f>
        <v/>
      </c>
      <c r="G541" s="192">
        <f>IF((Y541+AB541)&gt;Z541,"Yes",IF((Y541+AB541)=Z541,"Push","No"))</f>
        <v/>
      </c>
      <c r="H541" s="157">
        <f>IF(O541="Home",VLOOKUP(N541,Matrix!A:S,19,0),1)</f>
        <v/>
      </c>
      <c r="I541" s="157">
        <f>IF(O541="Away",VLOOKUP(N541,Matrix!A:Z,20,0),1)</f>
        <v/>
      </c>
      <c r="J541" s="157">
        <f>IF(O541="Away",VLOOKUP(P541,Matrix!A:S,19,0),1)</f>
        <v/>
      </c>
      <c r="K541" s="157">
        <f>IF(O541="Home",VLOOKUP(P541,Matrix!A:Z,20,0),1)</f>
        <v/>
      </c>
      <c r="L541" s="156" t="n">
        <v>0.288063529102053</v>
      </c>
      <c r="M541" s="179">
        <f>Schedule!B541</f>
        <v/>
      </c>
      <c r="N541" s="156">
        <f>Schedule!E541</f>
        <v/>
      </c>
      <c r="O541" s="156" t="inlineStr">
        <is>
          <t>Away</t>
        </is>
      </c>
      <c r="P541" s="157">
        <f>Schedule!H541</f>
        <v/>
      </c>
      <c r="Q541" s="157">
        <f>Schedule!C541</f>
        <v/>
      </c>
      <c r="R541" s="180">
        <f>Schedule!D541</f>
        <v/>
      </c>
      <c r="S541" s="181">
        <f>Schedule!J541</f>
        <v/>
      </c>
      <c r="T541" s="193">
        <f>Y541-Z541</f>
        <v/>
      </c>
      <c r="U541" s="182">
        <f>T541/Picks!$K$2</f>
        <v/>
      </c>
      <c r="V541" s="193">
        <f>INDEX(Standings!$T$3:$T$34, MATCH(N541, Standings!$A$3:$A$34, 0)) - INDEX(Standings!$T$3:$T$34, MATCH(P541, Standings!$A$3:$A$34, 0))</f>
        <v/>
      </c>
      <c r="W541" s="157">
        <f>INDEX(Standings!$L$3:$L$34, MATCH(N541, Standings!$A$3:$A$34, 0)) - INDEX(Standings!$L$3:$L$34, MATCH(P541, Standings!$A$3:$A$34, 0))</f>
        <v/>
      </c>
      <c r="X541" s="157">
        <f>INDEX(Standings!$M$3:$M$34, MATCH(N541, Standings!$A$3:$A$34, 0)) - INDEX(Standings!$M$3:$M$34, MATCH(P541, Standings!$A$3:$A$34, 0))</f>
        <v/>
      </c>
      <c r="Y541" s="194">
        <f t="array" ref="Y541:Y541">IFERROR(AE541+(AL541-_DFactor)*AE541,"")</f>
        <v/>
      </c>
      <c r="Z541" s="157">
        <f>IFERROR(AF541+(AI541-_DFactor)*AF541,"")</f>
        <v/>
      </c>
      <c r="AC541" s="194">
        <f>VLOOKUP(M541&amp;N541,Schedule!A:F,6,0)</f>
        <v/>
      </c>
      <c r="AD541" s="194">
        <f>VLOOKUP(M541&amp;P541,Schedule!A:F,6,0)</f>
        <v/>
      </c>
      <c r="AE541" s="156">
        <f>VLOOKUP(N541,ProjPVT!B:I,8,0)*_Mag/VLOOKUP(P541,Standings!A:O,15,0)*H541*K541</f>
        <v/>
      </c>
      <c r="AF541" s="156">
        <f>VLOOKUP(P541,ProjPVT!B:I,8,0)*_Mag/VLOOKUP(N541,Standings!A:O,15,0)*J541*I541</f>
        <v/>
      </c>
      <c r="AG541" s="195">
        <f>VLOOKUP(N541,Matrix!AA:AC,3,0)</f>
        <v/>
      </c>
      <c r="AH541" s="195">
        <f>SUMIFS(Def!C:C,Def!F:F,AG541)</f>
        <v/>
      </c>
      <c r="AI541" s="156">
        <f>IFERROR(SUMIFS(Def!B:B,Def!F:F,AG541)/AH541,"")</f>
        <v/>
      </c>
      <c r="AJ541" s="195">
        <f>VLOOKUP(P541,Matrix!AA:AC,3,0)</f>
        <v/>
      </c>
      <c r="AK541" s="195">
        <f>SUMIFS(Def!C:C,Def!F:F,AJ541)</f>
        <v/>
      </c>
      <c r="AL541" s="156">
        <f>IFERROR(SUMIFS(Def!B:B,Def!F:F,AJ541)/AK541,"")</f>
        <v/>
      </c>
    </row>
    <row r="542" ht="14.4" customHeight="1" s="152">
      <c r="A542" s="157">
        <f>IF(F542="Yes",IFERROR(IF(AA542&gt;1,AA542/100,100/-AA542),""),-1)</f>
        <v/>
      </c>
      <c r="B542" s="157">
        <f>B541+1</f>
        <v/>
      </c>
      <c r="C542" s="157">
        <f>IF(Y542&gt;Z542,1,0)</f>
        <v/>
      </c>
      <c r="D542" s="157">
        <f>IF(AND(C542=1,F542="Yes"),"Yes",IF(AND(C542=0,F542="No"),"Yes","No"))</f>
        <v/>
      </c>
      <c r="E542" s="192">
        <f>IF((AC542+AB542)=AD542,"Push",IF((AC542+AB542)&gt;AD542,"Yes","No"))</f>
        <v/>
      </c>
      <c r="F542" s="192">
        <f>IF(AC542&gt;AD542,"Yes","No")</f>
        <v/>
      </c>
      <c r="G542" s="192">
        <f>IF((Y542+AB542)&gt;Z542,"Yes",IF((Y542+AB542)=Z542,"Push","No"))</f>
        <v/>
      </c>
      <c r="H542" s="157">
        <f>IF(O542="Home",VLOOKUP(N542,Matrix!A:S,19,0),1)</f>
        <v/>
      </c>
      <c r="I542" s="157">
        <f>IF(O542="Away",VLOOKUP(N542,Matrix!A:Z,20,0),1)</f>
        <v/>
      </c>
      <c r="J542" s="157">
        <f>IF(O542="Away",VLOOKUP(P542,Matrix!A:S,19,0),1)</f>
        <v/>
      </c>
      <c r="K542" s="157">
        <f>IF(O542="Home",VLOOKUP(P542,Matrix!A:Z,20,0),1)</f>
        <v/>
      </c>
      <c r="L542" s="156" t="n">
        <v>0.366568623431439</v>
      </c>
      <c r="M542" s="179">
        <f>Schedule!B542</f>
        <v/>
      </c>
      <c r="N542" s="156">
        <f>Schedule!E542</f>
        <v/>
      </c>
      <c r="O542" s="156" t="inlineStr">
        <is>
          <t>Away</t>
        </is>
      </c>
      <c r="P542" s="157">
        <f>Schedule!H542</f>
        <v/>
      </c>
      <c r="Q542" s="157">
        <f>Schedule!C542</f>
        <v/>
      </c>
      <c r="R542" s="180">
        <f>Schedule!D542</f>
        <v/>
      </c>
      <c r="S542" s="181">
        <f>Schedule!J542</f>
        <v/>
      </c>
      <c r="T542" s="193">
        <f>Y542-Z542</f>
        <v/>
      </c>
      <c r="U542" s="182">
        <f>T542/Picks!$K$2</f>
        <v/>
      </c>
      <c r="V542" s="193">
        <f>INDEX(Standings!$T$3:$T$34, MATCH(N542, Standings!$A$3:$A$34, 0)) - INDEX(Standings!$T$3:$T$34, MATCH(P542, Standings!$A$3:$A$34, 0))</f>
        <v/>
      </c>
      <c r="W542" s="157">
        <f>INDEX(Standings!$L$3:$L$34, MATCH(N542, Standings!$A$3:$A$34, 0)) - INDEX(Standings!$L$3:$L$34, MATCH(P542, Standings!$A$3:$A$34, 0))</f>
        <v/>
      </c>
      <c r="X542" s="157">
        <f>INDEX(Standings!$M$3:$M$34, MATCH(N542, Standings!$A$3:$A$34, 0)) - INDEX(Standings!$M$3:$M$34, MATCH(P542, Standings!$A$3:$A$34, 0))</f>
        <v/>
      </c>
      <c r="Y542" s="194">
        <f t="array" ref="Y542:Y542">IFERROR(AE542+(AL542-_DFactor)*AE542,"")</f>
        <v/>
      </c>
      <c r="Z542" s="157">
        <f>IFERROR(AF542+(AI542-_DFactor)*AF542,"")</f>
        <v/>
      </c>
      <c r="AC542" s="194">
        <f>VLOOKUP(M542&amp;N542,Schedule!A:F,6,0)</f>
        <v/>
      </c>
      <c r="AD542" s="194">
        <f>VLOOKUP(M542&amp;P542,Schedule!A:F,6,0)</f>
        <v/>
      </c>
      <c r="AE542" s="156">
        <f>VLOOKUP(N542,ProjPVT!B:I,8,0)*_Mag/VLOOKUP(P542,Standings!A:O,15,0)*H542*K542</f>
        <v/>
      </c>
      <c r="AF542" s="156">
        <f>VLOOKUP(P542,ProjPVT!B:I,8,0)*_Mag/VLOOKUP(N542,Standings!A:O,15,0)*J542*I542</f>
        <v/>
      </c>
      <c r="AG542" s="195">
        <f>VLOOKUP(N542,Matrix!AA:AC,3,0)</f>
        <v/>
      </c>
      <c r="AH542" s="195">
        <f>SUMIFS(Def!C:C,Def!F:F,AG542)</f>
        <v/>
      </c>
      <c r="AI542" s="156">
        <f>IFERROR(SUMIFS(Def!B:B,Def!F:F,AG542)/AH542,"")</f>
        <v/>
      </c>
      <c r="AJ542" s="195">
        <f>VLOOKUP(P542,Matrix!AA:AC,3,0)</f>
        <v/>
      </c>
      <c r="AK542" s="195">
        <f>SUMIFS(Def!C:C,Def!F:F,AJ542)</f>
        <v/>
      </c>
      <c r="AL542" s="156">
        <f>IFERROR(SUMIFS(Def!B:B,Def!F:F,AJ542)/AK542,"")</f>
        <v/>
      </c>
    </row>
    <row r="543" ht="14.4" customHeight="1" s="152">
      <c r="A543" s="157">
        <f>IF(F543="Yes",IFERROR(IF(AA543&gt;1,AA543/100,100/-AA543),""),-1)</f>
        <v/>
      </c>
      <c r="B543" s="157">
        <f>B542+1</f>
        <v/>
      </c>
      <c r="C543" s="157">
        <f>IF(Y543&gt;Z543,1,0)</f>
        <v/>
      </c>
      <c r="D543" s="157">
        <f>IF(AND(C543=1,F543="Yes"),"Yes",IF(AND(C543=0,F543="No"),"Yes","No"))</f>
        <v/>
      </c>
      <c r="E543" s="192">
        <f>IF((AC543+AB543)=AD543,"Push",IF((AC543+AB543)&gt;AD543,"Yes","No"))</f>
        <v/>
      </c>
      <c r="F543" s="192">
        <f>IF(AC543&gt;AD543,"Yes","No")</f>
        <v/>
      </c>
      <c r="G543" s="192">
        <f>IF((Y543+AB543)&gt;Z543,"Yes",IF((Y543+AB543)=Z543,"Push","No"))</f>
        <v/>
      </c>
      <c r="H543" s="157">
        <f>IF(O543="Home",VLOOKUP(N543,Matrix!A:S,19,0),1)</f>
        <v/>
      </c>
      <c r="I543" s="157">
        <f>IF(O543="Away",VLOOKUP(N543,Matrix!A:Z,20,0),1)</f>
        <v/>
      </c>
      <c r="J543" s="157">
        <f>IF(O543="Away",VLOOKUP(P543,Matrix!A:S,19,0),1)</f>
        <v/>
      </c>
      <c r="K543" s="157">
        <f>IF(O543="Home",VLOOKUP(P543,Matrix!A:Z,20,0),1)</f>
        <v/>
      </c>
      <c r="L543" s="156" t="n">
        <v>0.518603194669943</v>
      </c>
      <c r="M543" s="179">
        <f>Schedule!B543</f>
        <v/>
      </c>
      <c r="N543" s="156">
        <f>Schedule!E543</f>
        <v/>
      </c>
      <c r="O543" s="156" t="inlineStr">
        <is>
          <t>Away</t>
        </is>
      </c>
      <c r="P543" s="157">
        <f>Schedule!H543</f>
        <v/>
      </c>
      <c r="Q543" s="157">
        <f>Schedule!C543</f>
        <v/>
      </c>
      <c r="R543" s="180">
        <f>Schedule!D543</f>
        <v/>
      </c>
      <c r="S543" s="181">
        <f>Schedule!J543</f>
        <v/>
      </c>
      <c r="T543" s="193">
        <f>Y543-Z543</f>
        <v/>
      </c>
      <c r="U543" s="182">
        <f>T543/Picks!$K$2</f>
        <v/>
      </c>
      <c r="V543" s="193">
        <f>INDEX(Standings!$T$3:$T$34, MATCH(N543, Standings!$A$3:$A$34, 0)) - INDEX(Standings!$T$3:$T$34, MATCH(P543, Standings!$A$3:$A$34, 0))</f>
        <v/>
      </c>
      <c r="W543" s="157">
        <f>INDEX(Standings!$L$3:$L$34, MATCH(N543, Standings!$A$3:$A$34, 0)) - INDEX(Standings!$L$3:$L$34, MATCH(P543, Standings!$A$3:$A$34, 0))</f>
        <v/>
      </c>
      <c r="X543" s="157">
        <f>INDEX(Standings!$M$3:$M$34, MATCH(N543, Standings!$A$3:$A$34, 0)) - INDEX(Standings!$M$3:$M$34, MATCH(P543, Standings!$A$3:$A$34, 0))</f>
        <v/>
      </c>
      <c r="Y543" s="194">
        <f t="array" ref="Y543:Y543">IFERROR(AE543+(AL543-_DFactor)*AE543,"")</f>
        <v/>
      </c>
      <c r="Z543" s="157">
        <f>IFERROR(AF543+(AI543-_DFactor)*AF543,"")</f>
        <v/>
      </c>
      <c r="AC543" s="194">
        <f>VLOOKUP(M543&amp;N543,Schedule!A:F,6,0)</f>
        <v/>
      </c>
      <c r="AD543" s="194">
        <f>VLOOKUP(M543&amp;P543,Schedule!A:F,6,0)</f>
        <v/>
      </c>
      <c r="AE543" s="156">
        <f>VLOOKUP(N543,ProjPVT!B:I,8,0)*_Mag/VLOOKUP(P543,Standings!A:O,15,0)*H543*K543</f>
        <v/>
      </c>
      <c r="AF543" s="156">
        <f>VLOOKUP(P543,ProjPVT!B:I,8,0)*_Mag/VLOOKUP(N543,Standings!A:O,15,0)*J543*I543</f>
        <v/>
      </c>
      <c r="AG543" s="195">
        <f>VLOOKUP(N543,Matrix!AA:AC,3,0)</f>
        <v/>
      </c>
      <c r="AH543" s="195">
        <f>SUMIFS(Def!C:C,Def!F:F,AG543)</f>
        <v/>
      </c>
      <c r="AI543" s="156">
        <f>IFERROR(SUMIFS(Def!B:B,Def!F:F,AG543)/AH543,"")</f>
        <v/>
      </c>
      <c r="AJ543" s="195">
        <f>VLOOKUP(P543,Matrix!AA:AC,3,0)</f>
        <v/>
      </c>
      <c r="AK543" s="195">
        <f>SUMIFS(Def!C:C,Def!F:F,AJ543)</f>
        <v/>
      </c>
      <c r="AL543" s="156">
        <f>IFERROR(SUMIFS(Def!B:B,Def!F:F,AJ543)/AK543,"")</f>
        <v/>
      </c>
    </row>
    <row r="544" ht="14.4" customHeight="1" s="152">
      <c r="A544" s="157">
        <f>IF(F544="Yes",IFERROR(IF(AA544&gt;1,AA544/100,100/-AA544),""),-1)</f>
        <v/>
      </c>
      <c r="B544" s="157">
        <f>B543+1</f>
        <v/>
      </c>
      <c r="C544" s="157">
        <f>IF(Y544&gt;Z544,1,0)</f>
        <v/>
      </c>
      <c r="D544" s="157">
        <f>IF(AND(C544=1,F544="Yes"),"Yes",IF(AND(C544=0,F544="No"),"Yes","No"))</f>
        <v/>
      </c>
      <c r="E544" s="192">
        <f>IF((AC544+AB544)=AD544,"Push",IF((AC544+AB544)&gt;AD544,"Yes","No"))</f>
        <v/>
      </c>
      <c r="F544" s="192">
        <f>IF(AC544&gt;AD544,"Yes","No")</f>
        <v/>
      </c>
      <c r="G544" s="192">
        <f>IF((Y544+AB544)&gt;Z544,"Yes",IF((Y544+AB544)=Z544,"Push","No"))</f>
        <v/>
      </c>
      <c r="H544" s="157">
        <f>IF(O544="Home",VLOOKUP(N544,Matrix!A:S,19,0),1)</f>
        <v/>
      </c>
      <c r="I544" s="157">
        <f>IF(O544="Away",VLOOKUP(N544,Matrix!A:Z,20,0),1)</f>
        <v/>
      </c>
      <c r="J544" s="157">
        <f>IF(O544="Away",VLOOKUP(P544,Matrix!A:S,19,0),1)</f>
        <v/>
      </c>
      <c r="K544" s="157">
        <f>IF(O544="Home",VLOOKUP(P544,Matrix!A:Z,20,0),1)</f>
        <v/>
      </c>
      <c r="L544" s="156" t="n">
        <v>0.542432716146705</v>
      </c>
      <c r="M544" s="179">
        <f>Schedule!B544</f>
        <v/>
      </c>
      <c r="N544" s="156">
        <f>Schedule!E544</f>
        <v/>
      </c>
      <c r="O544" s="156" t="inlineStr">
        <is>
          <t>Away</t>
        </is>
      </c>
      <c r="P544" s="157">
        <f>Schedule!H544</f>
        <v/>
      </c>
      <c r="Q544" s="157">
        <f>Schedule!C544</f>
        <v/>
      </c>
      <c r="R544" s="180">
        <f>Schedule!D544</f>
        <v/>
      </c>
      <c r="S544" s="181">
        <f>Schedule!J544</f>
        <v/>
      </c>
      <c r="T544" s="193">
        <f>Y544-Z544</f>
        <v/>
      </c>
      <c r="U544" s="182">
        <f>T544/Picks!$K$2</f>
        <v/>
      </c>
      <c r="V544" s="193">
        <f>INDEX(Standings!$T$3:$T$34, MATCH(N544, Standings!$A$3:$A$34, 0)) - INDEX(Standings!$T$3:$T$34, MATCH(P544, Standings!$A$3:$A$34, 0))</f>
        <v/>
      </c>
      <c r="W544" s="157">
        <f>INDEX(Standings!$L$3:$L$34, MATCH(N544, Standings!$A$3:$A$34, 0)) - INDEX(Standings!$L$3:$L$34, MATCH(P544, Standings!$A$3:$A$34, 0))</f>
        <v/>
      </c>
      <c r="X544" s="157">
        <f>INDEX(Standings!$M$3:$M$34, MATCH(N544, Standings!$A$3:$A$34, 0)) - INDEX(Standings!$M$3:$M$34, MATCH(P544, Standings!$A$3:$A$34, 0))</f>
        <v/>
      </c>
      <c r="Y544" s="194">
        <f t="array" ref="Y544:Y544">IFERROR(AE544+(AL544-_DFactor)*AE544,"")</f>
        <v/>
      </c>
      <c r="Z544" s="157">
        <f>IFERROR(AF544+(AI544-_DFactor)*AF544,"")</f>
        <v/>
      </c>
      <c r="AC544" s="194">
        <f>VLOOKUP(M544&amp;N544,Schedule!A:F,6,0)</f>
        <v/>
      </c>
      <c r="AD544" s="194">
        <f>VLOOKUP(M544&amp;P544,Schedule!A:F,6,0)</f>
        <v/>
      </c>
      <c r="AE544" s="156">
        <f>VLOOKUP(N544,ProjPVT!B:I,8,0)*_Mag/VLOOKUP(P544,Standings!A:O,15,0)*H544*K544</f>
        <v/>
      </c>
      <c r="AF544" s="156">
        <f>VLOOKUP(P544,ProjPVT!B:I,8,0)*_Mag/VLOOKUP(N544,Standings!A:O,15,0)*J544*I544</f>
        <v/>
      </c>
      <c r="AG544" s="195">
        <f>VLOOKUP(N544,Matrix!AA:AC,3,0)</f>
        <v/>
      </c>
      <c r="AH544" s="195">
        <f>SUMIFS(Def!C:C,Def!F:F,AG544)</f>
        <v/>
      </c>
      <c r="AI544" s="156">
        <f>IFERROR(SUMIFS(Def!B:B,Def!F:F,AG544)/AH544,"")</f>
        <v/>
      </c>
      <c r="AJ544" s="195">
        <f>VLOOKUP(P544,Matrix!AA:AC,3,0)</f>
        <v/>
      </c>
      <c r="AK544" s="195">
        <f>SUMIFS(Def!C:C,Def!F:F,AJ544)</f>
        <v/>
      </c>
      <c r="AL544" s="156">
        <f>IFERROR(SUMIFS(Def!B:B,Def!F:F,AJ544)/AK544,"")</f>
        <v/>
      </c>
    </row>
    <row r="545" ht="14.4" customHeight="1" s="152">
      <c r="A545" s="157">
        <f>IF(F545="Yes",IFERROR(IF(AA545&gt;1,AA545/100,100/-AA545),""),-1)</f>
        <v/>
      </c>
      <c r="B545" s="157">
        <f>B544+1</f>
        <v/>
      </c>
      <c r="C545" s="157">
        <f>IF(Y545&gt;Z545,1,0)</f>
        <v/>
      </c>
      <c r="D545" s="157">
        <f>IF(AND(C545=1,F545="Yes"),"Yes",IF(AND(C545=0,F545="No"),"Yes","No"))</f>
        <v/>
      </c>
      <c r="E545" s="192">
        <f>IF((AC545+AB545)=AD545,"Push",IF((AC545+AB545)&gt;AD545,"Yes","No"))</f>
        <v/>
      </c>
      <c r="F545" s="192">
        <f>IF(AC545&gt;AD545,"Yes","No")</f>
        <v/>
      </c>
      <c r="G545" s="192">
        <f>IF((Y545+AB545)&gt;Z545,"Yes",IF((Y545+AB545)=Z545,"Push","No"))</f>
        <v/>
      </c>
      <c r="H545" s="157">
        <f>IF(O545="Home",VLOOKUP(N545,Matrix!A:S,19,0),1)</f>
        <v/>
      </c>
      <c r="I545" s="157">
        <f>IF(O545="Away",VLOOKUP(N545,Matrix!A:Z,20,0),1)</f>
        <v/>
      </c>
      <c r="J545" s="157">
        <f>IF(O545="Away",VLOOKUP(P545,Matrix!A:S,19,0),1)</f>
        <v/>
      </c>
      <c r="K545" s="157">
        <f>IF(O545="Home",VLOOKUP(P545,Matrix!A:Z,20,0),1)</f>
        <v/>
      </c>
      <c r="L545" s="156" t="n">
        <v>0.666104742885835</v>
      </c>
      <c r="M545" s="179">
        <f>Schedule!B545</f>
        <v/>
      </c>
      <c r="N545" s="156">
        <f>Schedule!E545</f>
        <v/>
      </c>
      <c r="O545" s="156" t="inlineStr">
        <is>
          <t>Away</t>
        </is>
      </c>
      <c r="P545" s="157">
        <f>Schedule!H545</f>
        <v/>
      </c>
      <c r="Q545" s="157">
        <f>Schedule!C545</f>
        <v/>
      </c>
      <c r="R545" s="180">
        <f>Schedule!D545</f>
        <v/>
      </c>
      <c r="S545" s="181">
        <f>Schedule!J545</f>
        <v/>
      </c>
      <c r="T545" s="193">
        <f>Y545-Z545</f>
        <v/>
      </c>
      <c r="U545" s="182">
        <f>T545/Picks!$K$2</f>
        <v/>
      </c>
      <c r="V545" s="193">
        <f>INDEX(Standings!$T$3:$T$34, MATCH(N545, Standings!$A$3:$A$34, 0)) - INDEX(Standings!$T$3:$T$34, MATCH(P545, Standings!$A$3:$A$34, 0))</f>
        <v/>
      </c>
      <c r="W545" s="157">
        <f>INDEX(Standings!$L$3:$L$34, MATCH(N545, Standings!$A$3:$A$34, 0)) - INDEX(Standings!$L$3:$L$34, MATCH(P545, Standings!$A$3:$A$34, 0))</f>
        <v/>
      </c>
      <c r="X545" s="157">
        <f>INDEX(Standings!$M$3:$M$34, MATCH(N545, Standings!$A$3:$A$34, 0)) - INDEX(Standings!$M$3:$M$34, MATCH(P545, Standings!$A$3:$A$34, 0))</f>
        <v/>
      </c>
      <c r="Y545" s="194">
        <f t="array" ref="Y545:Y545">IFERROR(AE545+(AL545-_DFactor)*AE545,"")</f>
        <v/>
      </c>
      <c r="Z545" s="157">
        <f>IFERROR(AF545+(AI545-_DFactor)*AF545,"")</f>
        <v/>
      </c>
      <c r="AC545" s="194">
        <f>VLOOKUP(M545&amp;N545,Schedule!A:F,6,0)</f>
        <v/>
      </c>
      <c r="AD545" s="194">
        <f>VLOOKUP(M545&amp;P545,Schedule!A:F,6,0)</f>
        <v/>
      </c>
      <c r="AE545" s="156">
        <f>VLOOKUP(N545,ProjPVT!B:I,8,0)*_Mag/VLOOKUP(P545,Standings!A:O,15,0)*H545*K545</f>
        <v/>
      </c>
      <c r="AF545" s="156">
        <f>VLOOKUP(P545,ProjPVT!B:I,8,0)*_Mag/VLOOKUP(N545,Standings!A:O,15,0)*J545*I545</f>
        <v/>
      </c>
      <c r="AG545" s="195">
        <f>VLOOKUP(N545,Matrix!AA:AC,3,0)</f>
        <v/>
      </c>
      <c r="AH545" s="195">
        <f>SUMIFS(Def!C:C,Def!F:F,AG545)</f>
        <v/>
      </c>
      <c r="AI545" s="156">
        <f>IFERROR(SUMIFS(Def!B:B,Def!F:F,AG545)/AH545,"")</f>
        <v/>
      </c>
      <c r="AJ545" s="195">
        <f>VLOOKUP(P545,Matrix!AA:AC,3,0)</f>
        <v/>
      </c>
      <c r="AK545" s="195">
        <f>SUMIFS(Def!C:C,Def!F:F,AJ545)</f>
        <v/>
      </c>
      <c r="AL545" s="156">
        <f>IFERROR(SUMIFS(Def!B:B,Def!F:F,AJ545)/AK545,"")</f>
        <v/>
      </c>
    </row>
    <row r="546" ht="14.4" customHeight="1" s="152"/>
  </sheetData>
  <autoFilter ref="A1:AL1">
    <sortState ref="A2:AL1">
      <sortCondition ref="A2:A1" customList=""/>
    </sortState>
  </autoFilter>
  <conditionalFormatting sqref="P2:Q1048576 S2:T1048576">
    <cfRule type="containsText" rank="0" priority="2" equalAverage="0" operator="containsText" aboveAverage="0" dxfId="0" text="Yes" percent="0" bottom="0">
      <formula>NOT(ISERROR(SEARCH("Yes",P2)))</formula>
    </cfRule>
    <cfRule type="containsText" rank="0" priority="3" equalAverage="0" operator="containsText" aboveAverage="0" dxfId="1" text="No" percent="0" bottom="0">
      <formula>NOT(ISERROR(SEARCH("No",P2)))</formula>
    </cfRule>
  </conditionalFormatting>
  <conditionalFormatting sqref="U2:U1048576">
    <cfRule type="dataBar" priority="4">
      <dataBar minLength="10" maxLength="90" showValue="1">
        <cfvo type="min" val="0"/>
        <cfvo type="max" val="0"/>
        <color rgb="FFC5E0B4"/>
      </dataBar>
    </cfRule>
  </conditionalFormatting>
  <conditionalFormatting sqref="Y2:Z545">
    <cfRule type="colorScale" priority="5">
      <colorScale>
        <cfvo type="min" val="0"/>
        <cfvo type="percentile" val="50"/>
        <cfvo type="max" val="0"/>
        <color rgb="FFF8696B"/>
        <color rgb="FFFFEB84"/>
        <color rgb="FF63BE7B"/>
      </colorScale>
    </cfRule>
  </conditionalFormatting>
  <conditionalFormatting sqref="S546:T1048576 T2:T545 Y546:Z1048576">
    <cfRule type="dataBar" priority="6">
      <dataBar minLength="10" maxLength="90" showValue="1">
        <cfvo type="min" val="0"/>
        <cfvo type="max" val="0"/>
        <color rgb="FF63C384"/>
      </dataBar>
    </cfRule>
  </conditionalFormatting>
  <conditionalFormatting sqref="AA2:AA4 AA6:AA546">
    <cfRule type="dataBar" priority="7">
      <dataBar minLength="10" maxLength="90" showValue="1">
        <cfvo type="min" val="0"/>
        <cfvo type="max" val="0"/>
        <color rgb="FF63C384"/>
      </dataBar>
    </cfRule>
  </conditionalFormatting>
  <conditionalFormatting sqref="AA547:AB1048576">
    <cfRule type="colorScale" priority="8">
      <colorScale>
        <cfvo type="min" val="0"/>
        <cfvo type="percentile" val="50"/>
        <cfvo type="max" val="0"/>
        <color rgb="FFF8696B"/>
        <color rgb="FFFFEB84"/>
        <color rgb="FF63BE7B"/>
      </colorScale>
    </cfRule>
  </conditionalFormatting>
  <conditionalFormatting sqref="AB2:AB4 AB6:AB546">
    <cfRule type="colorScale" priority="9">
      <colorScale>
        <cfvo type="min" val="0"/>
        <cfvo type="percentile" val="50"/>
        <cfvo type="max" val="0"/>
        <color rgb="FFF8696B"/>
        <color rgb="FFFFEB84"/>
        <color rgb="FF63BE7B"/>
      </colorScale>
    </cfRule>
  </conditionalFormatting>
  <conditionalFormatting sqref="AC2:AC545">
    <cfRule type="colorScale" priority="10">
      <colorScale>
        <cfvo type="min" val="0"/>
        <cfvo type="percentile" val="50"/>
        <cfvo type="max" val="0"/>
        <color rgb="FFF8696B"/>
        <color rgb="FFFFEB84"/>
        <color rgb="FF63BE7B"/>
      </colorScale>
    </cfRule>
  </conditionalFormatting>
  <conditionalFormatting sqref="AC546:AC1048576">
    <cfRule type="colorScale" priority="11">
      <colorScale>
        <cfvo type="min" val="0"/>
        <cfvo type="percentile" val="50"/>
        <cfvo type="max" val="0"/>
        <color rgb="FFF8696B"/>
        <color rgb="FFFFEB84"/>
        <color rgb="FF63BE7B"/>
      </colorScale>
    </cfRule>
  </conditionalFormatting>
  <conditionalFormatting sqref="AD2:AD545">
    <cfRule type="colorScale" priority="12">
      <colorScale>
        <cfvo type="min" val="0"/>
        <cfvo type="percentile" val="50"/>
        <cfvo type="max" val="0"/>
        <color rgb="FFF8696B"/>
        <color rgb="FFFFEB84"/>
        <color rgb="FF63BE7B"/>
      </colorScale>
    </cfRule>
  </conditionalFormatting>
  <conditionalFormatting sqref="AE1:AF1048576">
    <cfRule type="colorScale" priority="13">
      <colorScale>
        <cfvo type="min" val="0"/>
        <cfvo type="percentile" val="50"/>
        <cfvo type="max" val="0"/>
        <color rgb="FFF8696B"/>
        <color rgb="FFFFEB84"/>
        <color rgb="FF63BE7B"/>
      </colorScale>
    </cfRule>
  </conditionalFormatting>
  <conditionalFormatting sqref="AI1:AI1048576">
    <cfRule type="colorScale" priority="14">
      <colorScale>
        <cfvo type="min" val="0"/>
        <cfvo type="percentile" val="50"/>
        <cfvo type="max" val="0"/>
        <color rgb="FF63BE7B"/>
        <color rgb="FFFFEB84"/>
        <color rgb="FFF8696B"/>
      </colorScale>
    </cfRule>
  </conditionalFormatting>
  <conditionalFormatting sqref="AL1:AL1048576">
    <cfRule type="colorScale" priority="15">
      <colorScale>
        <cfvo type="min" val="0"/>
        <cfvo type="percentile" val="50"/>
        <cfvo type="max" val="0"/>
        <color rgb="FF63BE7B"/>
        <color rgb="FFFFEB84"/>
        <color rgb="FFF8696B"/>
      </colorScale>
    </cfRule>
  </conditionalFormatting>
  <conditionalFormatting sqref="S2:S18 S68:S545 AB2:AB4 AB6:AB33">
    <cfRule type="dataBar" priority="16">
      <dataBar minLength="10" maxLength="90" showValue="1">
        <cfvo type="min" val="0"/>
        <cfvo type="max" val="0"/>
        <color rgb="FF63C384"/>
      </dataBar>
    </cfRule>
  </conditionalFormatting>
  <conditionalFormatting sqref="S35:S67">
    <cfRule type="dataBar" priority="17">
      <dataBar minLength="10" maxLength="90" showValue="1">
        <cfvo type="min" val="0"/>
        <cfvo type="max" val="0"/>
        <color rgb="FF63C384"/>
      </dataBar>
    </cfRule>
  </conditionalFormatting>
  <conditionalFormatting sqref="S19:S34">
    <cfRule type="dataBar" priority="18">
      <dataBar minLength="10" maxLength="90" showValue="1">
        <cfvo type="min" val="0"/>
        <cfvo type="max" val="0"/>
        <color rgb="FF63C384"/>
      </dataBar>
    </cfRule>
  </conditionalFormatting>
  <conditionalFormatting sqref="AB2:AB33">
    <cfRule type="colorScale" priority="19">
      <colorScale>
        <cfvo type="min" val="0"/>
        <cfvo type="percentile" val="50"/>
        <cfvo type="max" val="0"/>
        <color rgb="FFF8696B"/>
        <color rgb="FFFFEB84"/>
        <color rgb="FF63BE7B"/>
      </colorScale>
    </cfRule>
  </conditionalFormatting>
  <conditionalFormatting sqref="AA2:AA33">
    <cfRule type="dataBar" priority="20">
      <dataBar minLength="10" maxLength="90" showValue="1">
        <cfvo type="percentile" val="10"/>
        <cfvo type="percentile" val="90"/>
        <color rgb="FF63C384"/>
      </dataBar>
    </cfRule>
  </conditionalFormatting>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tabColor rgb="FFA9D18E"/>
    <outlinePr summaryBelow="1" summaryRight="1"/>
    <pageSetUpPr fitToPage="0"/>
  </sheetPr>
  <dimension ref="A1:W102"/>
  <sheetViews>
    <sheetView showFormulas="0" showGridLines="0" showRowColHeaders="1" showZeros="1" rightToLeft="0" tabSelected="0" showOutlineSymbols="1" defaultGridColor="1" view="normal" topLeftCell="O1" colorId="64" zoomScale="95" zoomScaleNormal="95" zoomScalePageLayoutView="100" workbookViewId="0">
      <selection pane="topLeft" activeCell="Q6" activeCellId="0" sqref="Q6"/>
    </sheetView>
  </sheetViews>
  <sheetFormatPr baseColWidth="8" defaultColWidth="8.796875" defaultRowHeight="13.8" zeroHeight="0" outlineLevelRow="0"/>
  <cols>
    <col width="29.66" customWidth="1" style="156" min="1" max="1"/>
    <col width="13.66" customWidth="1" style="156" min="2" max="2"/>
    <col width="26.13" customWidth="1" style="156" min="3" max="3"/>
    <col width="10.99" customWidth="1" style="157" min="4" max="4"/>
    <col width="9.130000000000001" customWidth="1" style="157" min="5" max="5"/>
    <col width="19.72" customWidth="1" style="157" min="6" max="6"/>
    <col width="13.74" customWidth="1" style="196" min="7" max="7"/>
    <col width="26.66" customWidth="1" style="156" min="8" max="8"/>
    <col width="12.1" customWidth="1" style="157" min="9" max="9"/>
    <col width="10.45" customWidth="1" style="157" min="10" max="10"/>
    <col width="9.66" customWidth="1" style="157" min="11" max="11"/>
    <col width="9.130000000000001" customWidth="1" style="157" min="12" max="12"/>
    <col width="9.130000000000001" customWidth="1" style="156" min="13" max="13"/>
    <col width="9.44" customWidth="1" style="156" min="15" max="16"/>
    <col width="7.56" customWidth="1" style="156" min="17" max="17"/>
    <col width="7.11" customWidth="1" style="156" min="18" max="18"/>
    <col width="9" customWidth="1" style="156" min="19" max="19"/>
    <col width="9.130000000000001" customWidth="1" style="156" min="20" max="24"/>
  </cols>
  <sheetData>
    <row r="1" ht="19.5" customHeight="1" s="152">
      <c r="B1" s="197">
        <f>NOW()</f>
        <v/>
      </c>
      <c r="C1" s="180">
        <f>TODAY()</f>
        <v/>
      </c>
      <c r="E1" s="198">
        <f>COUNTIF(E4:E1000,"Yes")</f>
        <v/>
      </c>
      <c r="F1" s="198">
        <f>COUNTIF(F4:F1000,"Yes")</f>
        <v/>
      </c>
      <c r="G1" s="198">
        <f>COUNTIF(G4:G1000,"Yes")</f>
        <v/>
      </c>
      <c r="H1" s="199" t="inlineStr">
        <is>
          <t>Wins</t>
        </is>
      </c>
      <c r="I1" s="200" t="inlineStr">
        <is>
          <t>Magnifier</t>
        </is>
      </c>
      <c r="J1" s="201" t="inlineStr">
        <is>
          <t>D-Factor</t>
        </is>
      </c>
      <c r="K1" s="157" t="inlineStr">
        <is>
          <t>AVG MOV</t>
        </is>
      </c>
      <c r="L1" s="156" t="n"/>
      <c r="U1" s="202">
        <f>COUNTIF(T:T,"Yes")</f>
        <v/>
      </c>
      <c r="V1" s="156">
        <f>U1/U3</f>
        <v/>
      </c>
      <c r="W1" s="156" t="inlineStr">
        <is>
          <t>Over Under Wins</t>
        </is>
      </c>
    </row>
    <row r="2" ht="18.75" customHeight="1" s="152">
      <c r="B2" s="156" t="inlineStr">
        <is>
          <t>Week</t>
        </is>
      </c>
      <c r="C2" s="203" t="inlineStr">
        <is>
          <t>1</t>
        </is>
      </c>
      <c r="D2" s="156" t="n"/>
      <c r="E2" s="156" t="n"/>
      <c r="F2" s="156" t="n"/>
      <c r="G2" s="156" t="n"/>
      <c r="I2" s="156" t="n">
        <v>5</v>
      </c>
      <c r="J2" s="156" t="n">
        <v>0.1</v>
      </c>
      <c r="K2" s="156" t="n">
        <v>13</v>
      </c>
      <c r="L2" s="204" t="inlineStr">
        <is>
          <t>&lt;- Avg Margin of Victory</t>
        </is>
      </c>
      <c r="U2" s="202">
        <f>COUNTIF(T:T,"No")</f>
        <v/>
      </c>
      <c r="V2" s="156">
        <f>U2/U3</f>
        <v/>
      </c>
      <c r="W2" s="156" t="inlineStr">
        <is>
          <t>Over Under Losses</t>
        </is>
      </c>
    </row>
    <row r="3" ht="14.4" customHeight="1" s="152">
      <c r="D3" s="156" t="n"/>
      <c r="E3" s="156" t="n"/>
      <c r="F3" s="156" t="n"/>
      <c r="G3" s="156" t="n"/>
      <c r="I3" s="156" t="n"/>
      <c r="J3" s="156" t="n"/>
      <c r="K3" s="156" t="n"/>
      <c r="L3" s="156" t="n"/>
      <c r="U3" s="205">
        <f>U2+U1</f>
        <v/>
      </c>
      <c r="V3" s="206">
        <f>V2+V1</f>
        <v/>
      </c>
      <c r="W3" s="156" t="inlineStr">
        <is>
          <t>Total O/U Games</t>
        </is>
      </c>
    </row>
    <row r="4" ht="43.2" customFormat="1" customHeight="1" s="163">
      <c r="A4" s="207" t="n"/>
      <c r="B4" s="156" t="n"/>
      <c r="C4" s="156" t="n"/>
      <c r="D4" s="156" t="n"/>
      <c r="E4" s="156" t="n"/>
      <c r="F4" s="156" t="n"/>
      <c r="G4" s="156" t="n"/>
      <c r="H4" s="156" t="n"/>
      <c r="I4" s="156" t="inlineStr">
        <is>
          <t>Data</t>
        </is>
      </c>
      <c r="J4" s="156" t="n"/>
      <c r="K4" s="156" t="n"/>
      <c r="L4" s="156" t="n"/>
      <c r="M4" s="156" t="n"/>
      <c r="N4" s="156" t="n"/>
      <c r="O4" s="156" t="n"/>
      <c r="P4" s="156" t="n"/>
      <c r="Q4" s="156" t="n"/>
      <c r="R4" s="156" t="n"/>
      <c r="S4" s="156" t="n"/>
      <c r="T4" s="156" t="n"/>
      <c r="U4" s="205" t="n"/>
      <c r="V4" s="206" t="n"/>
    </row>
    <row r="5" ht="35.05" customHeight="1" s="152">
      <c r="A5" s="182" t="n"/>
      <c r="B5" s="156" t="inlineStr">
        <is>
          <t>Game ID</t>
        </is>
      </c>
      <c r="C5" s="156" t="inlineStr">
        <is>
          <t>Team of Reference</t>
        </is>
      </c>
      <c r="D5" s="156" t="inlineStr">
        <is>
          <t>Home or Away</t>
        </is>
      </c>
      <c r="E5" s="156" t="inlineStr">
        <is>
          <t>Did Team of Ref Win?</t>
        </is>
      </c>
      <c r="F5" s="156" t="inlineStr">
        <is>
          <t>Did Proj Score Fav Win</t>
        </is>
      </c>
      <c r="G5" s="156" t="inlineStr">
        <is>
          <t>Did Tor Cover Spread</t>
        </is>
      </c>
      <c r="H5" s="156" t="inlineStr">
        <is>
          <t>Opposing Team</t>
        </is>
      </c>
      <c r="I5" s="204" t="inlineStr">
        <is>
          <t>Win Score %</t>
        </is>
      </c>
      <c r="J5" s="204" t="inlineStr">
        <is>
          <t>Proj Score</t>
        </is>
      </c>
      <c r="K5" s="204" t="inlineStr">
        <is>
          <t>Opp Proj</t>
        </is>
      </c>
      <c r="L5" s="204" t="inlineStr">
        <is>
          <t>Final Score</t>
        </is>
      </c>
      <c r="M5" s="204" t="inlineStr">
        <is>
          <t>Opp Final Score</t>
        </is>
      </c>
      <c r="N5" s="204" t="inlineStr">
        <is>
          <t>Money Line</t>
        </is>
      </c>
      <c r="O5" s="204" t="inlineStr">
        <is>
          <t>+- Spread</t>
        </is>
      </c>
      <c r="Q5" s="163" t="inlineStr">
        <is>
          <t>Proj Total Score</t>
        </is>
      </c>
      <c r="R5" s="208" t="inlineStr">
        <is>
          <t>Actual Total Score</t>
        </is>
      </c>
      <c r="S5" s="184" t="inlineStr">
        <is>
          <t>OV UN Total</t>
        </is>
      </c>
      <c r="T5" s="184" t="inlineStr">
        <is>
          <t>O/U Correct?</t>
        </is>
      </c>
      <c r="U5" s="184" t="inlineStr">
        <is>
          <t>Proj Tot Score</t>
        </is>
      </c>
      <c r="V5" s="184" t="inlineStr">
        <is>
          <t>Actual Total Was</t>
        </is>
      </c>
    </row>
    <row r="6" ht="14.4" customHeight="1" s="152">
      <c r="A6" s="156">
        <f>#REF!</f>
        <v/>
      </c>
      <c r="B6" s="204" t="n">
        <v>543</v>
      </c>
      <c r="C6" s="204">
        <f>Cube!N2</f>
        <v/>
      </c>
      <c r="D6" s="204" t="inlineStr">
        <is>
          <t>Away</t>
        </is>
      </c>
      <c r="E6" s="204">
        <f>IF(L6=M6,"NA",IF(L6&gt;M6,"Yes","No"))</f>
        <v/>
      </c>
      <c r="F6" s="204" t="inlineStr">
        <is>
          <t>Yes</t>
        </is>
      </c>
      <c r="G6" s="204" t="inlineStr">
        <is>
          <t>No</t>
        </is>
      </c>
      <c r="H6" s="204">
        <f>Cube!P2</f>
        <v/>
      </c>
      <c r="I6" s="209">
        <f>Cube!U2</f>
        <v/>
      </c>
      <c r="J6" s="210">
        <f>Cube!Y2</f>
        <v/>
      </c>
      <c r="K6" s="210">
        <f>Cube!Z2</f>
        <v/>
      </c>
      <c r="L6" s="179">
        <f>Cube!AC2</f>
        <v/>
      </c>
      <c r="M6" s="179">
        <f>Cube!AD2</f>
        <v/>
      </c>
      <c r="N6" s="156" t="n"/>
      <c r="Q6" s="210">
        <f>J6+K6</f>
        <v/>
      </c>
      <c r="R6" s="179">
        <f>IF(B6&lt;&gt;"",L6+M6,"")</f>
        <v/>
      </c>
      <c r="S6" s="156">
        <f>IFERROR(VLOOKUP($C$2&amp;C6,Odds!B:F,5,0),"")</f>
        <v/>
      </c>
      <c r="T6" s="156">
        <f>IF(Q6&lt;1,"",IF(U6=V6,"Yes","No"))</f>
        <v/>
      </c>
      <c r="U6" s="156">
        <f>IF(Q6&gt;S6,"Over","Under")</f>
        <v/>
      </c>
      <c r="V6" s="156">
        <f>IF(R6=0,"No Score Yet",IF(R6&gt;S6,"Over","Under"))</f>
        <v/>
      </c>
    </row>
    <row r="7" ht="14.4" customHeight="1" s="152">
      <c r="A7" s="156">
        <f>#REF!</f>
        <v/>
      </c>
      <c r="B7" s="204" t="n">
        <v>542</v>
      </c>
      <c r="C7" s="204">
        <f>Cube!N3</f>
        <v/>
      </c>
      <c r="D7" s="204" t="inlineStr">
        <is>
          <t>Away</t>
        </is>
      </c>
      <c r="E7" s="204">
        <f>IF(L7=M7,"NA",IF(L7&gt;M7,"Yes","No"))</f>
        <v/>
      </c>
      <c r="F7" s="204" t="inlineStr">
        <is>
          <t>Yes</t>
        </is>
      </c>
      <c r="G7" s="204" t="inlineStr">
        <is>
          <t>No</t>
        </is>
      </c>
      <c r="H7" s="204">
        <f>Cube!P3</f>
        <v/>
      </c>
      <c r="I7" s="209">
        <f>Cube!U3</f>
        <v/>
      </c>
      <c r="J7" s="210">
        <f>Cube!Y3</f>
        <v/>
      </c>
      <c r="K7" s="210">
        <f>Cube!Z3</f>
        <v/>
      </c>
      <c r="L7" s="179">
        <f>Cube!AC3</f>
        <v/>
      </c>
      <c r="M7" s="179">
        <f>Cube!AD3</f>
        <v/>
      </c>
      <c r="N7" s="156" t="n"/>
      <c r="Q7" s="210">
        <f>J7+K7</f>
        <v/>
      </c>
      <c r="R7" s="179">
        <f>IF(B7&lt;&gt;"",L7+M7,"")</f>
        <v/>
      </c>
      <c r="S7" s="156">
        <f>IFERROR(VLOOKUP($C$2&amp;C7,Odds!B:F,5,0),"")</f>
        <v/>
      </c>
      <c r="T7" s="156">
        <f>IF(Q7&lt;1,"",IF(U7=V7,"Yes","No"))</f>
        <v/>
      </c>
      <c r="U7" s="156">
        <f>IF(Q7&gt;S7,"Over","Under")</f>
        <v/>
      </c>
      <c r="V7" s="156">
        <f>IF(R7=0,"No Score Yet",IF(R7&gt;S7,"Over","Under"))</f>
        <v/>
      </c>
    </row>
    <row r="8" ht="14.4" customHeight="1" s="152">
      <c r="A8" s="156">
        <f>#REF!</f>
        <v/>
      </c>
      <c r="B8" s="204" t="n">
        <v>541</v>
      </c>
      <c r="C8" s="204">
        <f>Cube!N4</f>
        <v/>
      </c>
      <c r="D8" s="204" t="inlineStr">
        <is>
          <t>Away</t>
        </is>
      </c>
      <c r="E8" s="204">
        <f>IF(L8=M8,"NA",IF(L8&gt;M8,"Yes","No"))</f>
        <v/>
      </c>
      <c r="F8" s="204" t="inlineStr">
        <is>
          <t>No</t>
        </is>
      </c>
      <c r="G8" s="204" t="inlineStr">
        <is>
          <t>No</t>
        </is>
      </c>
      <c r="H8" s="204">
        <f>Cube!P4</f>
        <v/>
      </c>
      <c r="I8" s="209">
        <f>Cube!U4</f>
        <v/>
      </c>
      <c r="J8" s="210">
        <f>Cube!Y4</f>
        <v/>
      </c>
      <c r="K8" s="210">
        <f>Cube!Z4</f>
        <v/>
      </c>
      <c r="L8" s="179">
        <f>Cube!AC4</f>
        <v/>
      </c>
      <c r="M8" s="179">
        <f>Cube!AD4</f>
        <v/>
      </c>
      <c r="N8" s="156" t="n"/>
      <c r="Q8" s="210">
        <f>J8+K8</f>
        <v/>
      </c>
      <c r="R8" s="179">
        <f>IF(B8&lt;&gt;"",L8+M8,"")</f>
        <v/>
      </c>
      <c r="S8" s="156">
        <f>IFERROR(VLOOKUP($C$2&amp;C8,Odds!B:F,5,0),"")</f>
        <v/>
      </c>
      <c r="T8" s="156">
        <f>IF(Q8&lt;1,"",IF(U8=V8,"Yes","No"))</f>
        <v/>
      </c>
      <c r="U8" s="156">
        <f>IF(Q8&gt;S8,"Over","Under")</f>
        <v/>
      </c>
      <c r="V8" s="156">
        <f>IF(R8=0,"No Score Yet",IF(R8&gt;S8,"Over","Under"))</f>
        <v/>
      </c>
    </row>
    <row r="9" ht="14.4" customHeight="1" s="152">
      <c r="A9" s="156">
        <f>#REF!</f>
        <v/>
      </c>
      <c r="B9" s="204" t="n">
        <v>540</v>
      </c>
      <c r="C9" s="204">
        <f>Cube!N5</f>
        <v/>
      </c>
      <c r="D9" s="204" t="inlineStr">
        <is>
          <t>Away</t>
        </is>
      </c>
      <c r="E9" s="204">
        <f>IF(L9=M9,"NA",IF(L9&gt;M9,"Yes","No"))</f>
        <v/>
      </c>
      <c r="F9" s="204" t="inlineStr">
        <is>
          <t>No</t>
        </is>
      </c>
      <c r="G9" s="204" t="inlineStr">
        <is>
          <t>Yes</t>
        </is>
      </c>
      <c r="H9" s="204">
        <f>Cube!P5</f>
        <v/>
      </c>
      <c r="I9" s="209">
        <f>Cube!U5</f>
        <v/>
      </c>
      <c r="J9" s="210">
        <f>Cube!Y5</f>
        <v/>
      </c>
      <c r="K9" s="210">
        <f>Cube!Z5</f>
        <v/>
      </c>
      <c r="L9" s="179">
        <f>Cube!AC5</f>
        <v/>
      </c>
      <c r="M9" s="179">
        <f>Cube!AD5</f>
        <v/>
      </c>
      <c r="N9" s="156" t="n"/>
      <c r="Q9" s="210">
        <f>J9+K9</f>
        <v/>
      </c>
      <c r="R9" s="179">
        <f>IF(B9&lt;&gt;"",L9+M9,"")</f>
        <v/>
      </c>
      <c r="S9" s="156">
        <f>IFERROR(VLOOKUP($C$2&amp;C9,Odds!B:F,5,0),"")</f>
        <v/>
      </c>
      <c r="T9" s="156">
        <f>IF(Q9&lt;1,"",IF(U9=V9,"Yes","No"))</f>
        <v/>
      </c>
      <c r="U9" s="156">
        <f>IF(Q9&gt;S9,"Over","Under")</f>
        <v/>
      </c>
      <c r="V9" s="156">
        <f>IF(R9=0,"No Score Yet",IF(R9&gt;S9,"Over","Under"))</f>
        <v/>
      </c>
    </row>
    <row r="10" ht="14.4" customHeight="1" s="152">
      <c r="A10" s="156">
        <f>#REF!</f>
        <v/>
      </c>
      <c r="B10" s="204" t="n">
        <v>539</v>
      </c>
      <c r="C10" s="204">
        <f>Cube!N6</f>
        <v/>
      </c>
      <c r="D10" s="204" t="inlineStr">
        <is>
          <t>Away</t>
        </is>
      </c>
      <c r="E10" s="204">
        <f>IF(L10=M10,"NA",IF(L10&gt;M10,"Yes","No"))</f>
        <v/>
      </c>
      <c r="F10" s="204" t="inlineStr">
        <is>
          <t>No</t>
        </is>
      </c>
      <c r="G10" s="204" t="inlineStr">
        <is>
          <t>No</t>
        </is>
      </c>
      <c r="H10" s="204">
        <f>Cube!P6</f>
        <v/>
      </c>
      <c r="I10" s="209">
        <f>Cube!U6</f>
        <v/>
      </c>
      <c r="J10" s="210">
        <f>Cube!Y6</f>
        <v/>
      </c>
      <c r="K10" s="210">
        <f>Cube!Z6</f>
        <v/>
      </c>
      <c r="L10" s="179">
        <f>Cube!AC6</f>
        <v/>
      </c>
      <c r="M10" s="179">
        <f>Cube!AD6</f>
        <v/>
      </c>
      <c r="N10" s="156" t="n"/>
      <c r="Q10" s="210">
        <f>J10+K10</f>
        <v/>
      </c>
      <c r="R10" s="179">
        <f>IF(B10&lt;&gt;"",L10+M10,"")</f>
        <v/>
      </c>
      <c r="S10" s="156">
        <f>IFERROR(VLOOKUP($C$2&amp;C10,Odds!B:F,5,0),"")</f>
        <v/>
      </c>
      <c r="T10" s="156">
        <f>IF(Q10&lt;1,"",IF(U10=V10,"Yes","No"))</f>
        <v/>
      </c>
      <c r="U10" s="156">
        <f>IF(Q10&gt;S10,"Over","Under")</f>
        <v/>
      </c>
      <c r="V10" s="156">
        <f>IF(R10=0,"No Score Yet",IF(R10&gt;S10,"Over","Under"))</f>
        <v/>
      </c>
    </row>
    <row r="11" ht="14.4" customHeight="1" s="152">
      <c r="A11" s="156">
        <f>#REF!</f>
        <v/>
      </c>
      <c r="B11" s="204" t="n">
        <v>538</v>
      </c>
      <c r="C11" s="204">
        <f>Cube!N7</f>
        <v/>
      </c>
      <c r="D11" s="204" t="inlineStr">
        <is>
          <t>Away</t>
        </is>
      </c>
      <c r="E11" s="204">
        <f>IF(L11=M11,"NA",IF(L11&gt;M11,"Yes","No"))</f>
        <v/>
      </c>
      <c r="F11" s="204" t="inlineStr">
        <is>
          <t>Yes</t>
        </is>
      </c>
      <c r="G11" s="204" t="inlineStr">
        <is>
          <t>Yes</t>
        </is>
      </c>
      <c r="H11" s="204">
        <f>Cube!P7</f>
        <v/>
      </c>
      <c r="I11" s="209">
        <f>Cube!U7</f>
        <v/>
      </c>
      <c r="J11" s="210">
        <f>Cube!Y7</f>
        <v/>
      </c>
      <c r="K11" s="210">
        <f>Cube!Z7</f>
        <v/>
      </c>
      <c r="L11" s="179">
        <f>Cube!AC7</f>
        <v/>
      </c>
      <c r="M11" s="179">
        <f>Cube!AD7</f>
        <v/>
      </c>
      <c r="N11" s="156" t="n"/>
      <c r="Q11" s="210">
        <f>J11+K11</f>
        <v/>
      </c>
      <c r="R11" s="179">
        <f>IF(B11&lt;&gt;"",L11+M11,"")</f>
        <v/>
      </c>
      <c r="S11" s="156">
        <f>IFERROR(VLOOKUP($C$2&amp;C11,Odds!B:F,5,0),"")</f>
        <v/>
      </c>
      <c r="T11" s="156">
        <f>IF(Q11&lt;1,"",IF(U11=V11,"Yes","No"))</f>
        <v/>
      </c>
      <c r="U11" s="156">
        <f>IF(Q11&gt;S11,"Over","Under")</f>
        <v/>
      </c>
      <c r="V11" s="156">
        <f>IF(R11=0,"No Score Yet",IF(R11&gt;S11,"Over","Under"))</f>
        <v/>
      </c>
    </row>
    <row r="12" ht="14.4" customHeight="1" s="152">
      <c r="A12" s="156">
        <f>#REF!</f>
        <v/>
      </c>
      <c r="B12" s="204" t="n">
        <v>537</v>
      </c>
      <c r="C12" s="204">
        <f>Cube!N8</f>
        <v/>
      </c>
      <c r="D12" s="204" t="inlineStr">
        <is>
          <t>Away</t>
        </is>
      </c>
      <c r="E12" s="204">
        <f>IF(L12=M12,"NA",IF(L12&gt;M12,"Yes","No"))</f>
        <v/>
      </c>
      <c r="F12" s="204" t="inlineStr">
        <is>
          <t>Yes</t>
        </is>
      </c>
      <c r="G12" s="204" t="inlineStr">
        <is>
          <t>No</t>
        </is>
      </c>
      <c r="H12" s="204">
        <f>Cube!P8</f>
        <v/>
      </c>
      <c r="I12" s="209">
        <f>Cube!U8</f>
        <v/>
      </c>
      <c r="J12" s="210">
        <f>Cube!Y8</f>
        <v/>
      </c>
      <c r="K12" s="210">
        <f>Cube!Z8</f>
        <v/>
      </c>
      <c r="L12" s="179">
        <f>Cube!AC8</f>
        <v/>
      </c>
      <c r="M12" s="179">
        <f>Cube!AD8</f>
        <v/>
      </c>
      <c r="N12" s="156" t="n"/>
      <c r="Q12" s="210">
        <f>J12+K12</f>
        <v/>
      </c>
      <c r="R12" s="179">
        <f>IF(B12&lt;&gt;"",L12+M12,"")</f>
        <v/>
      </c>
      <c r="S12" s="156">
        <f>IFERROR(VLOOKUP($C$2&amp;C12,Odds!B:F,5,0),"")</f>
        <v/>
      </c>
      <c r="T12" s="156">
        <f>IF(Q12&lt;1,"",IF(U12=V12,"Yes","No"))</f>
        <v/>
      </c>
      <c r="U12" s="156">
        <f>IF(Q12&gt;S12,"Over","Under")</f>
        <v/>
      </c>
      <c r="V12" s="156">
        <f>IF(R12=0,"No Score Yet",IF(R12&gt;S12,"Over","Under"))</f>
        <v/>
      </c>
    </row>
    <row r="13" ht="14.4" customHeight="1" s="152">
      <c r="A13" s="156">
        <f>#REF!</f>
        <v/>
      </c>
      <c r="B13" s="204" t="n">
        <v>536</v>
      </c>
      <c r="C13" s="204">
        <f>Cube!N9</f>
        <v/>
      </c>
      <c r="D13" s="204" t="inlineStr">
        <is>
          <t>Away</t>
        </is>
      </c>
      <c r="E13" s="204">
        <f>IF(L13=M13,"NA",IF(L13&gt;M13,"Yes","No"))</f>
        <v/>
      </c>
      <c r="F13" s="204" t="inlineStr">
        <is>
          <t>Yes</t>
        </is>
      </c>
      <c r="G13" s="204" t="inlineStr">
        <is>
          <t>Yes</t>
        </is>
      </c>
      <c r="H13" s="204">
        <f>Cube!P9</f>
        <v/>
      </c>
      <c r="I13" s="209">
        <f>Cube!U9</f>
        <v/>
      </c>
      <c r="J13" s="210">
        <f>Cube!Y9</f>
        <v/>
      </c>
      <c r="K13" s="210">
        <f>Cube!Z9</f>
        <v/>
      </c>
      <c r="L13" s="179">
        <f>Cube!AC9</f>
        <v/>
      </c>
      <c r="M13" s="179">
        <f>Cube!AD9</f>
        <v/>
      </c>
      <c r="N13" s="156" t="n"/>
      <c r="Q13" s="210">
        <f>J13+K13</f>
        <v/>
      </c>
      <c r="R13" s="179">
        <f>IF(B13&lt;&gt;"",L13+M13,"")</f>
        <v/>
      </c>
      <c r="S13" s="156">
        <f>IFERROR(VLOOKUP($C$2&amp;C13,Odds!B:F,5,0),"")</f>
        <v/>
      </c>
      <c r="T13" s="156">
        <f>IF(Q13&lt;1,"",IF(U13=V13,"Yes","No"))</f>
        <v/>
      </c>
      <c r="U13" s="156">
        <f>IF(Q13&gt;S13,"Over","Under")</f>
        <v/>
      </c>
      <c r="V13" s="156">
        <f>IF(R13=0,"No Score Yet",IF(R13&gt;S13,"Over","Under"))</f>
        <v/>
      </c>
    </row>
    <row r="14" ht="14.4" customHeight="1" s="152">
      <c r="A14" s="156">
        <f>#REF!</f>
        <v/>
      </c>
      <c r="B14" s="204" t="n">
        <v>535</v>
      </c>
      <c r="C14" s="204">
        <f>Cube!N10</f>
        <v/>
      </c>
      <c r="D14" s="204" t="inlineStr">
        <is>
          <t>Away</t>
        </is>
      </c>
      <c r="E14" s="204">
        <f>IF(L14=M14,"NA",IF(L14&gt;M14,"Yes","No"))</f>
        <v/>
      </c>
      <c r="F14" s="204" t="inlineStr">
        <is>
          <t>Yes</t>
        </is>
      </c>
      <c r="G14" s="204" t="inlineStr">
        <is>
          <t>No</t>
        </is>
      </c>
      <c r="H14" s="204">
        <f>Cube!P10</f>
        <v/>
      </c>
      <c r="I14" s="209">
        <f>Cube!U10</f>
        <v/>
      </c>
      <c r="J14" s="210">
        <f>Cube!Y10</f>
        <v/>
      </c>
      <c r="K14" s="210">
        <f>Cube!Z10</f>
        <v/>
      </c>
      <c r="L14" s="179">
        <f>Cube!AC10</f>
        <v/>
      </c>
      <c r="M14" s="179">
        <f>Cube!AD10</f>
        <v/>
      </c>
      <c r="N14" s="156" t="n"/>
      <c r="Q14" s="210">
        <f>J14+K14</f>
        <v/>
      </c>
      <c r="R14" s="179">
        <f>IF(B14&lt;&gt;"",L14+M14,"")</f>
        <v/>
      </c>
      <c r="S14" s="156">
        <f>IFERROR(VLOOKUP($C$2&amp;C14,Odds!B:F,5,0),"")</f>
        <v/>
      </c>
      <c r="T14" s="156">
        <f>IF(Q14&lt;1,"",IF(U14=V14,"Yes","No"))</f>
        <v/>
      </c>
      <c r="U14" s="156">
        <f>IF(Q14&gt;S14,"Over","Under")</f>
        <v/>
      </c>
      <c r="V14" s="156">
        <f>IF(R14=0,"No Score Yet",IF(R14&gt;S14,"Over","Under"))</f>
        <v/>
      </c>
    </row>
    <row r="15" ht="14.4" customHeight="1" s="152">
      <c r="A15" s="156">
        <f>#REF!</f>
        <v/>
      </c>
      <c r="B15" s="204" t="n">
        <v>534</v>
      </c>
      <c r="C15" s="204">
        <f>Cube!N11</f>
        <v/>
      </c>
      <c r="D15" s="204" t="inlineStr">
        <is>
          <t>Away</t>
        </is>
      </c>
      <c r="E15" s="204">
        <f>IF(L15=M15,"NA",IF(L15&gt;M15,"Yes","No"))</f>
        <v/>
      </c>
      <c r="F15" s="204" t="inlineStr">
        <is>
          <t>No</t>
        </is>
      </c>
      <c r="G15" s="204" t="inlineStr">
        <is>
          <t>No</t>
        </is>
      </c>
      <c r="H15" s="204">
        <f>Cube!P11</f>
        <v/>
      </c>
      <c r="I15" s="209">
        <f>Cube!U11</f>
        <v/>
      </c>
      <c r="J15" s="210">
        <f>Cube!Y11</f>
        <v/>
      </c>
      <c r="K15" s="210">
        <f>Cube!Z11</f>
        <v/>
      </c>
      <c r="L15" s="179">
        <f>Cube!AC11</f>
        <v/>
      </c>
      <c r="M15" s="179">
        <f>Cube!AD11</f>
        <v/>
      </c>
      <c r="N15" s="156" t="n"/>
      <c r="Q15" s="210">
        <f>J15+K15</f>
        <v/>
      </c>
      <c r="R15" s="179">
        <f>IF(B15&lt;&gt;"",L15+M15,"")</f>
        <v/>
      </c>
      <c r="S15" s="156">
        <f>IFERROR(VLOOKUP($C$2&amp;C15,Odds!B:F,5,0),"")</f>
        <v/>
      </c>
      <c r="T15" s="156">
        <f>IF(Q15&lt;1,"",IF(U15=V15,"Yes","No"))</f>
        <v/>
      </c>
      <c r="U15" s="156">
        <f>IF(Q15&gt;S15,"Over","Under")</f>
        <v/>
      </c>
      <c r="V15" s="156">
        <f>IF(R15=0,"No Score Yet",IF(R15&gt;S15,"Over","Under"))</f>
        <v/>
      </c>
    </row>
    <row r="16" ht="14.4" customHeight="1" s="152">
      <c r="A16" s="156">
        <f>#REF!</f>
        <v/>
      </c>
      <c r="B16" s="204" t="n">
        <v>533</v>
      </c>
      <c r="C16" s="204">
        <f>Cube!N12</f>
        <v/>
      </c>
      <c r="D16" s="204" t="inlineStr">
        <is>
          <t>Away</t>
        </is>
      </c>
      <c r="E16" s="204">
        <f>IF(L16=M16,"NA",IF(L16&gt;M16,"Yes","No"))</f>
        <v/>
      </c>
      <c r="F16" s="204" t="inlineStr">
        <is>
          <t>No</t>
        </is>
      </c>
      <c r="G16" s="204" t="inlineStr">
        <is>
          <t>Yes</t>
        </is>
      </c>
      <c r="H16" s="204">
        <f>Cube!P12</f>
        <v/>
      </c>
      <c r="I16" s="209">
        <f>Cube!U12</f>
        <v/>
      </c>
      <c r="J16" s="210">
        <f>Cube!Y12</f>
        <v/>
      </c>
      <c r="K16" s="210">
        <f>Cube!Z12</f>
        <v/>
      </c>
      <c r="L16" s="179">
        <f>Cube!AC12</f>
        <v/>
      </c>
      <c r="M16" s="179">
        <f>Cube!AD12</f>
        <v/>
      </c>
      <c r="N16" s="156" t="n"/>
      <c r="Q16" s="210">
        <f>J16+K16</f>
        <v/>
      </c>
      <c r="R16" s="179">
        <f>IF(B16&lt;&gt;"",L16+M16,"")</f>
        <v/>
      </c>
      <c r="S16" s="156">
        <f>IFERROR(VLOOKUP($C$2&amp;C16,Odds!B:F,5,0),"")</f>
        <v/>
      </c>
      <c r="T16" s="156">
        <f>IF(Q16&lt;1,"",IF(U16=V16,"Yes","No"))</f>
        <v/>
      </c>
      <c r="U16" s="156">
        <f>IF(Q16&gt;S16,"Over","Under")</f>
        <v/>
      </c>
      <c r="V16" s="156">
        <f>IF(R16=0,"No Score Yet",IF(R16&gt;S16,"Over","Under"))</f>
        <v/>
      </c>
    </row>
    <row r="17" ht="14.4" customHeight="1" s="152">
      <c r="A17" s="156">
        <f>#REF!</f>
        <v/>
      </c>
      <c r="B17" s="204" t="n">
        <v>532</v>
      </c>
      <c r="C17" s="204">
        <f>Cube!N13</f>
        <v/>
      </c>
      <c r="D17" s="204" t="inlineStr">
        <is>
          <t>Away</t>
        </is>
      </c>
      <c r="E17" s="204">
        <f>IF(L17=M17,"NA",IF(L17&gt;M17,"Yes","No"))</f>
        <v/>
      </c>
      <c r="F17" s="204" t="inlineStr">
        <is>
          <t>Yes</t>
        </is>
      </c>
      <c r="G17" s="204" t="inlineStr">
        <is>
          <t>Yes</t>
        </is>
      </c>
      <c r="H17" s="204">
        <f>Cube!P13</f>
        <v/>
      </c>
      <c r="I17" s="209">
        <f>Cube!U13</f>
        <v/>
      </c>
      <c r="J17" s="210">
        <f>Cube!Y13</f>
        <v/>
      </c>
      <c r="K17" s="210">
        <f>Cube!Z13</f>
        <v/>
      </c>
      <c r="L17" s="179">
        <f>Cube!AC13</f>
        <v/>
      </c>
      <c r="M17" s="179">
        <f>Cube!AD13</f>
        <v/>
      </c>
      <c r="N17" s="156" t="n"/>
      <c r="Q17" s="210">
        <f>J17+K17</f>
        <v/>
      </c>
      <c r="R17" s="179">
        <f>IF(B17&lt;&gt;"",L17+M17,"")</f>
        <v/>
      </c>
      <c r="S17" s="156">
        <f>IFERROR(VLOOKUP($C$2&amp;C17,Odds!B:F,5,0),"")</f>
        <v/>
      </c>
      <c r="T17" s="156">
        <f>IF(Q17&lt;1,"",IF(U17=V17,"Yes","No"))</f>
        <v/>
      </c>
      <c r="U17" s="156">
        <f>IF(Q17&gt;S17,"Over","Under")</f>
        <v/>
      </c>
      <c r="V17" s="156">
        <f>IF(R17=0,"No Score Yet",IF(R17&gt;S17,"Over","Under"))</f>
        <v/>
      </c>
    </row>
    <row r="18" ht="14.4" customHeight="1" s="152">
      <c r="A18" s="156">
        <f>#REF!</f>
        <v/>
      </c>
      <c r="B18" s="204" t="n">
        <v>531</v>
      </c>
      <c r="C18" s="204">
        <f>Cube!N14</f>
        <v/>
      </c>
      <c r="D18" s="204" t="inlineStr">
        <is>
          <t>Away</t>
        </is>
      </c>
      <c r="E18" s="204">
        <f>IF(L18=M18,"NA",IF(L18&gt;M18,"Yes","No"))</f>
        <v/>
      </c>
      <c r="F18" s="204" t="inlineStr">
        <is>
          <t>Yes</t>
        </is>
      </c>
      <c r="G18" s="204" t="inlineStr">
        <is>
          <t>No</t>
        </is>
      </c>
      <c r="H18" s="204">
        <f>Cube!P14</f>
        <v/>
      </c>
      <c r="I18" s="209">
        <f>Cube!U14</f>
        <v/>
      </c>
      <c r="J18" s="210">
        <f>Cube!Y14</f>
        <v/>
      </c>
      <c r="K18" s="210">
        <f>Cube!Z14</f>
        <v/>
      </c>
      <c r="L18" s="179">
        <f>Cube!AC14</f>
        <v/>
      </c>
      <c r="M18" s="179">
        <f>Cube!AD14</f>
        <v/>
      </c>
      <c r="N18" s="156" t="n"/>
      <c r="Q18" s="210">
        <f>J18+K18</f>
        <v/>
      </c>
      <c r="R18" s="179">
        <f>IF(B18&lt;&gt;"",L18+M18,"")</f>
        <v/>
      </c>
      <c r="S18" s="156">
        <f>IFERROR(VLOOKUP($C$2&amp;C18,Odds!B:F,5,0),"")</f>
        <v/>
      </c>
      <c r="T18" s="156">
        <f>IF(Q18&lt;1,"",IF(U18=V18,"Yes","No"))</f>
        <v/>
      </c>
      <c r="U18" s="156">
        <f>IF(Q18&gt;S18,"Over","Under")</f>
        <v/>
      </c>
      <c r="V18" s="156">
        <f>IF(R18=0,"No Score Yet",IF(R18&gt;S18,"Over","Under"))</f>
        <v/>
      </c>
    </row>
    <row r="19" ht="14.4" customHeight="1" s="152">
      <c r="A19" s="156">
        <f>#REF!</f>
        <v/>
      </c>
      <c r="B19" s="204" t="n">
        <v>530</v>
      </c>
      <c r="C19" s="204">
        <f>Cube!N15</f>
        <v/>
      </c>
      <c r="D19" s="204" t="inlineStr">
        <is>
          <t>Away</t>
        </is>
      </c>
      <c r="E19" s="204">
        <f>IF(L19=M19,"NA",IF(L19&gt;M19,"Yes","No"))</f>
        <v/>
      </c>
      <c r="F19" s="204" t="inlineStr">
        <is>
          <t>No</t>
        </is>
      </c>
      <c r="G19" s="204" t="inlineStr">
        <is>
          <t>No</t>
        </is>
      </c>
      <c r="H19" s="204">
        <f>Cube!P15</f>
        <v/>
      </c>
      <c r="I19" s="209">
        <f>Cube!U15</f>
        <v/>
      </c>
      <c r="J19" s="210">
        <f>Cube!Y15</f>
        <v/>
      </c>
      <c r="K19" s="210">
        <f>Cube!Z15</f>
        <v/>
      </c>
      <c r="L19" s="179">
        <f>Cube!AC15</f>
        <v/>
      </c>
      <c r="M19" s="179">
        <f>Cube!AD15</f>
        <v/>
      </c>
      <c r="N19" s="156" t="n"/>
      <c r="Q19" s="210">
        <f>J19+K19</f>
        <v/>
      </c>
      <c r="R19" s="179">
        <f>IF(B19&lt;&gt;"",L19+M19,"")</f>
        <v/>
      </c>
      <c r="S19" s="156">
        <f>IFERROR(VLOOKUP($C$2&amp;C19,Odds!B:F,5,0),"")</f>
        <v/>
      </c>
      <c r="T19" s="156">
        <f>IF(Q19&lt;1,"",IF(U19=V19,"Yes","No"))</f>
        <v/>
      </c>
      <c r="U19" s="156">
        <f>IF(Q19&gt;S19,"Over","Under")</f>
        <v/>
      </c>
      <c r="V19" s="156">
        <f>IF(R19=0,"No Score Yet",IF(R19&gt;S19,"Over","Under"))</f>
        <v/>
      </c>
    </row>
    <row r="20" ht="14.4" customHeight="1" s="152">
      <c r="A20" s="156">
        <f>#REF!</f>
        <v/>
      </c>
      <c r="B20" s="204" t="n">
        <v>529</v>
      </c>
      <c r="C20" s="204">
        <f>Cube!N16</f>
        <v/>
      </c>
      <c r="D20" s="204" t="inlineStr">
        <is>
          <t>Away</t>
        </is>
      </c>
      <c r="E20" s="204">
        <f>IF(L20=M20,"NA",IF(L20&gt;M20,"Yes","No"))</f>
        <v/>
      </c>
      <c r="F20" s="204" t="inlineStr">
        <is>
          <t>Yes</t>
        </is>
      </c>
      <c r="G20" s="204" t="inlineStr">
        <is>
          <t>No</t>
        </is>
      </c>
      <c r="H20" s="204">
        <f>Cube!P16</f>
        <v/>
      </c>
      <c r="I20" s="209">
        <f>Cube!U16</f>
        <v/>
      </c>
      <c r="J20" s="210">
        <f>Cube!Y16</f>
        <v/>
      </c>
      <c r="K20" s="210">
        <f>Cube!Z16</f>
        <v/>
      </c>
      <c r="L20" s="179">
        <f>Cube!AC16</f>
        <v/>
      </c>
      <c r="M20" s="179">
        <f>Cube!AD16</f>
        <v/>
      </c>
      <c r="N20" s="156" t="n"/>
      <c r="Q20" s="210">
        <f>J20+K20</f>
        <v/>
      </c>
      <c r="R20" s="179">
        <f>IF(B20&lt;&gt;"",L20+M20,"")</f>
        <v/>
      </c>
      <c r="S20" s="156">
        <f>IFERROR(VLOOKUP($C$2&amp;C20,Odds!B:F,5,0),"")</f>
        <v/>
      </c>
      <c r="T20" s="156">
        <f>IF(Q20&lt;1,"",IF(U20=V20,"Yes","No"))</f>
        <v/>
      </c>
      <c r="U20" s="156">
        <f>IF(Q20&gt;S20,"Over","Under")</f>
        <v/>
      </c>
      <c r="V20" s="156">
        <f>IF(R20=0,"No Score Yet",IF(R20&gt;S20,"Over","Under"))</f>
        <v/>
      </c>
    </row>
    <row r="21" ht="14.4" customHeight="1" s="152">
      <c r="A21" s="156">
        <f>#REF!</f>
        <v/>
      </c>
      <c r="B21" s="204" t="n">
        <v>528</v>
      </c>
      <c r="C21" s="204">
        <f>Cube!N17</f>
        <v/>
      </c>
      <c r="D21" s="204" t="inlineStr">
        <is>
          <t>Away</t>
        </is>
      </c>
      <c r="E21" s="204">
        <f>IF(L21=M21,"NA",IF(L21&gt;M21,"Yes","No"))</f>
        <v/>
      </c>
      <c r="F21" s="204" t="inlineStr">
        <is>
          <t>No</t>
        </is>
      </c>
      <c r="G21" s="204" t="inlineStr">
        <is>
          <t>No</t>
        </is>
      </c>
      <c r="H21" s="204">
        <f>Cube!P17</f>
        <v/>
      </c>
      <c r="I21" s="209">
        <f>Cube!U17</f>
        <v/>
      </c>
      <c r="J21" s="210">
        <f>Cube!Y17</f>
        <v/>
      </c>
      <c r="K21" s="210">
        <f>Cube!Z17</f>
        <v/>
      </c>
      <c r="L21" s="179">
        <f>Cube!AC17</f>
        <v/>
      </c>
      <c r="M21" s="179">
        <f>Cube!AD17</f>
        <v/>
      </c>
      <c r="N21" s="156" t="n"/>
      <c r="Q21" s="210">
        <f>J21+K21</f>
        <v/>
      </c>
      <c r="R21" s="179">
        <f>IF(B21&lt;&gt;"",L21+M21,"")</f>
        <v/>
      </c>
      <c r="S21" s="156">
        <f>IFERROR(VLOOKUP($C$2&amp;C21,Odds!B:F,5,0),"")</f>
        <v/>
      </c>
      <c r="T21" s="156">
        <f>IF(Q21&lt;1,"",IF(U21=V21,"Yes","No"))</f>
        <v/>
      </c>
      <c r="U21" s="156">
        <f>IF(Q21&gt;S21,"Over","Under")</f>
        <v/>
      </c>
      <c r="V21" s="156">
        <f>IF(R21=0,"No Score Yet",IF(R21&gt;S21,"Over","Under"))</f>
        <v/>
      </c>
    </row>
    <row r="22" ht="14.4" customHeight="1" s="152">
      <c r="B22" s="204" t="n">
        <v>527</v>
      </c>
      <c r="C22" s="204">
        <f>Cube!N18</f>
        <v/>
      </c>
      <c r="D22" s="204" t="inlineStr">
        <is>
          <t>Away</t>
        </is>
      </c>
      <c r="E22" s="204">
        <f>IF(L22=M22,"NA",IF(L22&gt;M22,"Yes","No"))</f>
        <v/>
      </c>
      <c r="F22" s="204" t="inlineStr">
        <is>
          <t>Yes</t>
        </is>
      </c>
      <c r="G22" s="204" t="inlineStr">
        <is>
          <t>Yes</t>
        </is>
      </c>
      <c r="H22" s="204">
        <f>Cube!P18</f>
        <v/>
      </c>
      <c r="I22" s="209">
        <f>Cube!U18</f>
        <v/>
      </c>
      <c r="J22" s="210">
        <f>Cube!Y18</f>
        <v/>
      </c>
      <c r="K22" s="210">
        <f>Cube!Z18</f>
        <v/>
      </c>
      <c r="L22" s="179">
        <f>Cube!AC18</f>
        <v/>
      </c>
      <c r="M22" s="179">
        <f>Cube!AD18</f>
        <v/>
      </c>
      <c r="N22" s="156" t="n"/>
      <c r="R22" s="179">
        <f>IF(B22&lt;&gt;"",L22+M22,"")</f>
        <v/>
      </c>
      <c r="S22" s="156">
        <f>IFERROR(VLOOKUP(C21,Odds!B:F,5,0),"")</f>
        <v/>
      </c>
      <c r="T22" s="156">
        <f>IF(Q22&lt;1,"",IF(U22=V22,"Yes","No"))</f>
        <v/>
      </c>
      <c r="U22" s="156">
        <f>IF(Q22&gt;S22,"Over","Under")</f>
        <v/>
      </c>
      <c r="V22" s="156">
        <f>IF(R22=0,"No Score Yet",IF(R22&gt;S22,"Over","Under"))</f>
        <v/>
      </c>
    </row>
    <row r="23" ht="14.4" customHeight="1" s="152">
      <c r="B23" s="204" t="n">
        <v>526</v>
      </c>
      <c r="C23" s="204">
        <f>Cube!N19</f>
        <v/>
      </c>
      <c r="D23" s="204" t="inlineStr">
        <is>
          <t>Away</t>
        </is>
      </c>
      <c r="E23" s="204">
        <f>IF(L23=M23,"NA",IF(L23&gt;M23,"Yes","No"))</f>
        <v/>
      </c>
      <c r="F23" s="204" t="inlineStr">
        <is>
          <t>No</t>
        </is>
      </c>
      <c r="G23" s="204" t="inlineStr">
        <is>
          <t>No</t>
        </is>
      </c>
      <c r="H23" s="204">
        <f>Cube!P19</f>
        <v/>
      </c>
      <c r="I23" s="209">
        <f>Cube!U19</f>
        <v/>
      </c>
      <c r="J23" s="210">
        <f>Cube!Y19</f>
        <v/>
      </c>
      <c r="K23" s="210">
        <f>Cube!Z19</f>
        <v/>
      </c>
      <c r="L23" s="179">
        <f>Cube!AC19</f>
        <v/>
      </c>
      <c r="M23" s="179">
        <f>Cube!AD19</f>
        <v/>
      </c>
      <c r="N23" s="156" t="n"/>
      <c r="R23" s="179">
        <f>IF(B23&lt;&gt;"",L23+M23,"")</f>
        <v/>
      </c>
      <c r="S23" s="156">
        <f>IFERROR(VLOOKUP(C22,Odds!B:F,5,0),"")</f>
        <v/>
      </c>
      <c r="T23" s="156">
        <f>IF(Q23&lt;1,"",IF(U23=V23,"Yes","No"))</f>
        <v/>
      </c>
      <c r="U23" s="156">
        <f>IF(Q23&gt;S23,"Over","Under")</f>
        <v/>
      </c>
      <c r="V23" s="156">
        <f>IF(R23=0,"No Score Yet",IF(R23&gt;S23,"Over","Under"))</f>
        <v/>
      </c>
    </row>
    <row r="24" ht="14.4" customHeight="1" s="152">
      <c r="B24" s="204" t="n">
        <v>525</v>
      </c>
      <c r="C24" s="204">
        <f>Cube!N20</f>
        <v/>
      </c>
      <c r="D24" s="204" t="inlineStr">
        <is>
          <t>Away</t>
        </is>
      </c>
      <c r="E24" s="204">
        <f>IF(L24=M24,"NA",IF(L24&gt;M24,"Yes","No"))</f>
        <v/>
      </c>
      <c r="F24" s="204" t="inlineStr">
        <is>
          <t>No</t>
        </is>
      </c>
      <c r="G24" s="204" t="inlineStr">
        <is>
          <t>Yes</t>
        </is>
      </c>
      <c r="H24" s="204">
        <f>Cube!P20</f>
        <v/>
      </c>
      <c r="I24" s="209">
        <f>Cube!U20</f>
        <v/>
      </c>
      <c r="J24" s="210">
        <f>Cube!Y20</f>
        <v/>
      </c>
      <c r="K24" s="210">
        <f>Cube!Z20</f>
        <v/>
      </c>
      <c r="L24" s="179">
        <f>Cube!AC20</f>
        <v/>
      </c>
      <c r="M24" s="179">
        <f>Cube!AD20</f>
        <v/>
      </c>
      <c r="N24" s="156" t="n"/>
      <c r="R24" s="179">
        <f>IF(B24&lt;&gt;"",L24+M24,"")</f>
        <v/>
      </c>
      <c r="S24" s="156">
        <f>IFERROR(VLOOKUP(C23,Odds!B:F,5,0),"")</f>
        <v/>
      </c>
      <c r="T24" s="156">
        <f>IF(Q24&lt;1,"",IF(U24=V24,"Yes","No"))</f>
        <v/>
      </c>
      <c r="U24" s="156">
        <f>IF(Q24&gt;S24,"Over","Under")</f>
        <v/>
      </c>
      <c r="V24" s="156">
        <f>IF(R24=0,"No Score Yet",IF(R24&gt;S24,"Over","Under"))</f>
        <v/>
      </c>
    </row>
    <row r="25" ht="14.4" customHeight="1" s="152">
      <c r="B25" s="204" t="n">
        <v>524</v>
      </c>
      <c r="C25" s="204">
        <f>Cube!N21</f>
        <v/>
      </c>
      <c r="D25" s="204" t="inlineStr">
        <is>
          <t>Away</t>
        </is>
      </c>
      <c r="E25" s="204">
        <f>IF(L25=M25,"NA",IF(L25&gt;M25,"Yes","No"))</f>
        <v/>
      </c>
      <c r="F25" s="204" t="inlineStr">
        <is>
          <t>No</t>
        </is>
      </c>
      <c r="G25" s="204" t="inlineStr">
        <is>
          <t>Yes</t>
        </is>
      </c>
      <c r="H25" s="204">
        <f>Cube!P21</f>
        <v/>
      </c>
      <c r="I25" s="209">
        <f>Cube!U21</f>
        <v/>
      </c>
      <c r="J25" s="210">
        <f>Cube!Y21</f>
        <v/>
      </c>
      <c r="K25" s="210">
        <f>Cube!Z21</f>
        <v/>
      </c>
      <c r="L25" s="179">
        <f>Cube!AC21</f>
        <v/>
      </c>
      <c r="M25" s="179">
        <f>Cube!AD21</f>
        <v/>
      </c>
      <c r="N25" s="156" t="n"/>
      <c r="R25" s="179">
        <f>IF(B25&lt;&gt;"",L25+M25,"")</f>
        <v/>
      </c>
      <c r="S25" s="156">
        <f>IFERROR(VLOOKUP(C24,Odds!B:F,5,0),"")</f>
        <v/>
      </c>
      <c r="T25" s="156">
        <f>IF(Q25&lt;1,"",IF(U25=V25,"Yes","No"))</f>
        <v/>
      </c>
      <c r="U25" s="156">
        <f>IF(Q25&gt;S25,"Over","Under")</f>
        <v/>
      </c>
      <c r="V25" s="156">
        <f>IF(R25=0,"No Score Yet",IF(R25&gt;S25,"Over","Under"))</f>
        <v/>
      </c>
    </row>
    <row r="26" ht="14.4" customHeight="1" s="152">
      <c r="B26" s="204" t="n">
        <v>523</v>
      </c>
      <c r="C26" s="204">
        <f>Cube!N22</f>
        <v/>
      </c>
      <c r="D26" s="204" t="inlineStr">
        <is>
          <t>Away</t>
        </is>
      </c>
      <c r="E26" s="204">
        <f>IF(L26=M26,"NA",IF(L26&gt;M26,"Yes","No"))</f>
        <v/>
      </c>
      <c r="F26" s="204" t="inlineStr">
        <is>
          <t>Yes</t>
        </is>
      </c>
      <c r="G26" s="204" t="inlineStr">
        <is>
          <t>Yes</t>
        </is>
      </c>
      <c r="H26" s="204">
        <f>Cube!P22</f>
        <v/>
      </c>
      <c r="I26" s="209">
        <f>Cube!U22</f>
        <v/>
      </c>
      <c r="J26" s="210">
        <f>Cube!Y22</f>
        <v/>
      </c>
      <c r="K26" s="210">
        <f>Cube!Z22</f>
        <v/>
      </c>
      <c r="L26" s="179">
        <f>Cube!AC22</f>
        <v/>
      </c>
      <c r="M26" s="179">
        <f>Cube!AD22</f>
        <v/>
      </c>
      <c r="N26" s="156" t="n"/>
      <c r="R26" s="179">
        <f>IF(B26&lt;&gt;"",L26+M26,"")</f>
        <v/>
      </c>
      <c r="S26" s="156">
        <f>IFERROR(VLOOKUP(C25,Odds!B:F,5,0),"")</f>
        <v/>
      </c>
      <c r="T26" s="156">
        <f>IF(Q26&lt;1,"",IF(U26=V26,"Yes","No"))</f>
        <v/>
      </c>
      <c r="U26" s="156">
        <f>IF(Q26&gt;S26,"Over","Under")</f>
        <v/>
      </c>
      <c r="V26" s="156">
        <f>IF(R26=0,"No Score Yet",IF(R26&gt;S26,"Over","Under"))</f>
        <v/>
      </c>
    </row>
    <row r="27" ht="14.4" customHeight="1" s="152">
      <c r="B27" s="204" t="n">
        <v>522</v>
      </c>
      <c r="C27" s="204">
        <f>Cube!N23</f>
        <v/>
      </c>
      <c r="D27" s="204" t="inlineStr">
        <is>
          <t>Away</t>
        </is>
      </c>
      <c r="E27" s="204">
        <f>IF(L27=M27,"NA",IF(L27&gt;M27,"Yes","No"))</f>
        <v/>
      </c>
      <c r="F27" s="204" t="inlineStr">
        <is>
          <t>No</t>
        </is>
      </c>
      <c r="G27" s="204" t="inlineStr">
        <is>
          <t>No</t>
        </is>
      </c>
      <c r="H27" s="204">
        <f>Cube!P23</f>
        <v/>
      </c>
      <c r="I27" s="209">
        <f>Cube!U23</f>
        <v/>
      </c>
      <c r="J27" s="210">
        <f>Cube!Y23</f>
        <v/>
      </c>
      <c r="K27" s="210">
        <f>Cube!Z23</f>
        <v/>
      </c>
      <c r="L27" s="179">
        <f>Cube!AC23</f>
        <v/>
      </c>
      <c r="M27" s="179">
        <f>Cube!AD23</f>
        <v/>
      </c>
      <c r="N27" s="156" t="n"/>
      <c r="R27" s="179">
        <f>IF(B27&lt;&gt;"",L27+M27,"")</f>
        <v/>
      </c>
      <c r="S27" s="156">
        <f>IFERROR(VLOOKUP(C26,Odds!B:F,5,0),"")</f>
        <v/>
      </c>
      <c r="T27" s="156">
        <f>IF(Q27&lt;1,"",IF(U27=V27,"Yes","No"))</f>
        <v/>
      </c>
      <c r="U27" s="156">
        <f>IF(Q27&gt;S27,"Over","Under")</f>
        <v/>
      </c>
      <c r="V27" s="156">
        <f>IF(R27=0,"No Score Yet",IF(R27&gt;S27,"Over","Under"))</f>
        <v/>
      </c>
    </row>
    <row r="28" ht="14.4" customHeight="1" s="152">
      <c r="B28" s="204" t="n">
        <v>521</v>
      </c>
      <c r="C28" s="204">
        <f>Cube!N24</f>
        <v/>
      </c>
      <c r="D28" s="204" t="inlineStr">
        <is>
          <t>Away</t>
        </is>
      </c>
      <c r="E28" s="204">
        <f>IF(L28=M28,"NA",IF(L28&gt;M28,"Yes","No"))</f>
        <v/>
      </c>
      <c r="F28" s="204" t="inlineStr">
        <is>
          <t>No</t>
        </is>
      </c>
      <c r="G28" s="204" t="inlineStr">
        <is>
          <t>Yes</t>
        </is>
      </c>
      <c r="H28" s="204">
        <f>Cube!P24</f>
        <v/>
      </c>
      <c r="I28" s="209">
        <f>Cube!U24</f>
        <v/>
      </c>
      <c r="J28" s="210">
        <f>Cube!Y24</f>
        <v/>
      </c>
      <c r="K28" s="210">
        <f>Cube!Z24</f>
        <v/>
      </c>
      <c r="L28" s="179">
        <f>Cube!AC24</f>
        <v/>
      </c>
      <c r="M28" s="179">
        <f>Cube!AD24</f>
        <v/>
      </c>
      <c r="N28" s="156" t="n"/>
      <c r="R28" s="179">
        <f>IF(B28&lt;&gt;"",L28+M28,"")</f>
        <v/>
      </c>
      <c r="S28" s="156">
        <f>IFERROR(VLOOKUP(C27,Odds!B:F,5,0),"")</f>
        <v/>
      </c>
      <c r="T28" s="156">
        <f>IF(Q28&lt;1,"",IF(U28=V28,"Yes","No"))</f>
        <v/>
      </c>
      <c r="U28" s="156">
        <f>IF(Q28&gt;S28,"Over","Under")</f>
        <v/>
      </c>
      <c r="V28" s="156">
        <f>IF(R28=0,"No Score Yet",IF(R28&gt;S28,"Over","Under"))</f>
        <v/>
      </c>
    </row>
    <row r="29" ht="14.4" customHeight="1" s="152">
      <c r="B29" s="204" t="n">
        <v>520</v>
      </c>
      <c r="C29" s="204">
        <f>Cube!N25</f>
        <v/>
      </c>
      <c r="D29" s="204" t="inlineStr">
        <is>
          <t>Away</t>
        </is>
      </c>
      <c r="E29" s="204">
        <f>IF(L29=M29,"NA",IF(L29&gt;M29,"Yes","No"))</f>
        <v/>
      </c>
      <c r="F29" s="204" t="inlineStr">
        <is>
          <t>No</t>
        </is>
      </c>
      <c r="G29" s="204" t="inlineStr">
        <is>
          <t>Yes</t>
        </is>
      </c>
      <c r="H29" s="204">
        <f>Cube!P25</f>
        <v/>
      </c>
      <c r="I29" s="209">
        <f>Cube!U25</f>
        <v/>
      </c>
      <c r="J29" s="210">
        <f>Cube!Y25</f>
        <v/>
      </c>
      <c r="K29" s="210">
        <f>Cube!Z25</f>
        <v/>
      </c>
      <c r="L29" s="179">
        <f>Cube!AC25</f>
        <v/>
      </c>
      <c r="M29" s="179">
        <f>Cube!AD25</f>
        <v/>
      </c>
      <c r="N29" s="156" t="n"/>
      <c r="R29" s="179">
        <f>IF(B29&lt;&gt;"",L29+M29,"")</f>
        <v/>
      </c>
      <c r="S29" s="156">
        <f>IFERROR(VLOOKUP(C28,Odds!B:F,5,0),"")</f>
        <v/>
      </c>
      <c r="T29" s="156">
        <f>IF(Q29&lt;1,"",IF(U29=V29,"Yes","No"))</f>
        <v/>
      </c>
      <c r="U29" s="156">
        <f>IF(Q29&gt;S29,"Over","Under")</f>
        <v/>
      </c>
      <c r="V29" s="156">
        <f>IF(R29=0,"No Score Yet",IF(R29&gt;S29,"Over","Under"))</f>
        <v/>
      </c>
    </row>
    <row r="30" ht="14.4" customHeight="1" s="152">
      <c r="B30" s="204" t="n">
        <v>519</v>
      </c>
      <c r="C30" s="204">
        <f>Cube!N26</f>
        <v/>
      </c>
      <c r="D30" s="204" t="inlineStr">
        <is>
          <t>Away</t>
        </is>
      </c>
      <c r="E30" s="204">
        <f>IF(L30=M30,"NA",IF(L30&gt;M30,"Yes","No"))</f>
        <v/>
      </c>
      <c r="F30" s="204" t="inlineStr">
        <is>
          <t>Yes</t>
        </is>
      </c>
      <c r="G30" s="204" t="inlineStr">
        <is>
          <t>No</t>
        </is>
      </c>
      <c r="H30" s="204">
        <f>Cube!P26</f>
        <v/>
      </c>
      <c r="I30" s="209">
        <f>Cube!U26</f>
        <v/>
      </c>
      <c r="J30" s="210">
        <f>Cube!Y26</f>
        <v/>
      </c>
      <c r="K30" s="210">
        <f>Cube!Z26</f>
        <v/>
      </c>
      <c r="L30" s="179">
        <f>Cube!AC26</f>
        <v/>
      </c>
      <c r="M30" s="179">
        <f>Cube!AD26</f>
        <v/>
      </c>
      <c r="N30" s="156" t="n"/>
      <c r="R30" s="179">
        <f>IF(B30&lt;&gt;"",L30+M30,"")</f>
        <v/>
      </c>
      <c r="S30" s="156">
        <f>IFERROR(VLOOKUP(C29,Odds!B:F,5,0),"")</f>
        <v/>
      </c>
      <c r="T30" s="156">
        <f>IF(Q30&lt;1,"",IF(U30=V30,"Yes","No"))</f>
        <v/>
      </c>
      <c r="U30" s="156">
        <f>IF(Q30&gt;S30,"Over","Under")</f>
        <v/>
      </c>
      <c r="V30" s="156">
        <f>IF(R30=0,"No Score Yet",IF(R30&gt;S30,"Over","Under"))</f>
        <v/>
      </c>
    </row>
    <row r="31" ht="14.4" customHeight="1" s="152">
      <c r="B31" s="204" t="n">
        <v>518</v>
      </c>
      <c r="C31" s="204">
        <f>Cube!N27</f>
        <v/>
      </c>
      <c r="D31" s="204" t="inlineStr">
        <is>
          <t>Away</t>
        </is>
      </c>
      <c r="E31" s="204">
        <f>IF(L31=M31,"NA",IF(L31&gt;M31,"Yes","No"))</f>
        <v/>
      </c>
      <c r="F31" s="204" t="inlineStr">
        <is>
          <t>Yes</t>
        </is>
      </c>
      <c r="G31" s="204" t="inlineStr">
        <is>
          <t>No</t>
        </is>
      </c>
      <c r="H31" s="204">
        <f>Cube!P27</f>
        <v/>
      </c>
      <c r="I31" s="209">
        <f>Cube!U27</f>
        <v/>
      </c>
      <c r="J31" s="210">
        <f>Cube!Y27</f>
        <v/>
      </c>
      <c r="K31" s="210">
        <f>Cube!Z27</f>
        <v/>
      </c>
      <c r="L31" s="179">
        <f>Cube!AC27</f>
        <v/>
      </c>
      <c r="M31" s="179">
        <f>Cube!AD27</f>
        <v/>
      </c>
      <c r="N31" s="156" t="n"/>
      <c r="R31" s="179">
        <f>IF(B31&lt;&gt;"",L31+M31,"")</f>
        <v/>
      </c>
      <c r="S31" s="156">
        <f>IFERROR(VLOOKUP(C30,Odds!B:F,5,0),"")</f>
        <v/>
      </c>
      <c r="T31" s="156">
        <f>IF(Q31&lt;1,"",IF(U31=V31,"Yes","No"))</f>
        <v/>
      </c>
      <c r="U31" s="156">
        <f>IF(Q31&gt;S31,"Over","Under")</f>
        <v/>
      </c>
      <c r="V31" s="156">
        <f>IF(R31=0,"No Score Yet",IF(R31&gt;S31,"Over","Under"))</f>
        <v/>
      </c>
    </row>
    <row r="32" ht="14.4" customHeight="1" s="152">
      <c r="B32" s="204" t="n">
        <v>517</v>
      </c>
      <c r="C32" s="204">
        <f>Cube!N28</f>
        <v/>
      </c>
      <c r="D32" s="204" t="inlineStr">
        <is>
          <t>Away</t>
        </is>
      </c>
      <c r="E32" s="204">
        <f>IF(L32=M32,"NA",IF(L32&gt;M32,"Yes","No"))</f>
        <v/>
      </c>
      <c r="F32" s="204" t="inlineStr">
        <is>
          <t>No</t>
        </is>
      </c>
      <c r="G32" s="204" t="inlineStr">
        <is>
          <t>Yes</t>
        </is>
      </c>
      <c r="H32" s="204">
        <f>Cube!P28</f>
        <v/>
      </c>
      <c r="I32" s="209">
        <f>Cube!U28</f>
        <v/>
      </c>
      <c r="J32" s="210">
        <f>Cube!Y28</f>
        <v/>
      </c>
      <c r="K32" s="210">
        <f>Cube!Z28</f>
        <v/>
      </c>
      <c r="L32" s="179">
        <f>Cube!AC28</f>
        <v/>
      </c>
      <c r="M32" s="179">
        <f>Cube!AD28</f>
        <v/>
      </c>
      <c r="N32" s="156" t="n"/>
      <c r="R32" s="179">
        <f>IF(B32&lt;&gt;"",L32+M32,"")</f>
        <v/>
      </c>
      <c r="S32" s="156">
        <f>IFERROR(VLOOKUP(C31,Odds!B:F,5,0),"")</f>
        <v/>
      </c>
      <c r="T32" s="156">
        <f>IF(Q32&lt;1,"",IF(U32=V32,"Yes","No"))</f>
        <v/>
      </c>
      <c r="U32" s="156">
        <f>IF(Q32&gt;S32,"Over","Under")</f>
        <v/>
      </c>
      <c r="V32" s="156">
        <f>IF(R32=0,"No Score Yet",IF(R32&gt;S32,"Over","Under"))</f>
        <v/>
      </c>
    </row>
    <row r="33" ht="14.4" customHeight="1" s="152">
      <c r="B33" s="204" t="n">
        <v>516</v>
      </c>
      <c r="C33" s="204">
        <f>Cube!N29</f>
        <v/>
      </c>
      <c r="D33" s="204" t="inlineStr">
        <is>
          <t>Away</t>
        </is>
      </c>
      <c r="E33" s="204">
        <f>IF(L33=M33,"NA",IF(L33&gt;M33,"Yes","No"))</f>
        <v/>
      </c>
      <c r="F33" s="204" t="inlineStr">
        <is>
          <t>No</t>
        </is>
      </c>
      <c r="G33" s="204" t="inlineStr">
        <is>
          <t>Yes</t>
        </is>
      </c>
      <c r="H33" s="204">
        <f>Cube!P29</f>
        <v/>
      </c>
      <c r="I33" s="209">
        <f>Cube!U29</f>
        <v/>
      </c>
      <c r="J33" s="210">
        <f>Cube!Y29</f>
        <v/>
      </c>
      <c r="K33" s="210">
        <f>Cube!Z29</f>
        <v/>
      </c>
      <c r="L33" s="179">
        <f>Cube!AC29</f>
        <v/>
      </c>
      <c r="M33" s="179">
        <f>Cube!AD29</f>
        <v/>
      </c>
      <c r="N33" s="156" t="n"/>
      <c r="R33" s="179">
        <f>IF(B33&lt;&gt;"",L33+M33,"")</f>
        <v/>
      </c>
      <c r="S33" s="156">
        <f>IFERROR(VLOOKUP(C32,Odds!B:F,5,0),"")</f>
        <v/>
      </c>
      <c r="T33" s="156">
        <f>IF(Q33&lt;1,"",IF(U33=V33,"Yes","No"))</f>
        <v/>
      </c>
      <c r="U33" s="156">
        <f>IF(Q33&gt;S33,"Over","Under")</f>
        <v/>
      </c>
      <c r="V33" s="156">
        <f>IF(R33=0,"No Score Yet",IF(R33&gt;S33,"Over","Under"))</f>
        <v/>
      </c>
    </row>
    <row r="34" ht="14.4" customHeight="1" s="152">
      <c r="B34" s="204" t="n">
        <v>515</v>
      </c>
      <c r="C34" s="204">
        <f>Cube!N30</f>
        <v/>
      </c>
      <c r="D34" s="204" t="inlineStr">
        <is>
          <t>Away</t>
        </is>
      </c>
      <c r="E34" s="204">
        <f>IF(L34=M34,"NA",IF(L34&gt;M34,"Yes","No"))</f>
        <v/>
      </c>
      <c r="F34" s="204" t="inlineStr">
        <is>
          <t>No</t>
        </is>
      </c>
      <c r="G34" s="204" t="inlineStr">
        <is>
          <t>Yes</t>
        </is>
      </c>
      <c r="H34" s="204">
        <f>Cube!P30</f>
        <v/>
      </c>
      <c r="I34" s="209">
        <f>Cube!U30</f>
        <v/>
      </c>
      <c r="J34" s="210">
        <f>Cube!Y30</f>
        <v/>
      </c>
      <c r="K34" s="210">
        <f>Cube!Z30</f>
        <v/>
      </c>
      <c r="L34" s="179">
        <f>Cube!AC30</f>
        <v/>
      </c>
      <c r="M34" s="179">
        <f>Cube!AD30</f>
        <v/>
      </c>
      <c r="N34" s="156" t="n"/>
      <c r="R34" s="179">
        <f>IF(B34&lt;&gt;"",L34+M34,"")</f>
        <v/>
      </c>
      <c r="S34" s="156">
        <f>IFERROR(VLOOKUP(C33,Odds!B:F,5,0),"")</f>
        <v/>
      </c>
      <c r="T34" s="156">
        <f>IF(Q34&lt;1,"",IF(U34=V34,"Yes","No"))</f>
        <v/>
      </c>
      <c r="U34" s="156">
        <f>IF(Q34&gt;S34,"Over","Under")</f>
        <v/>
      </c>
      <c r="V34" s="156">
        <f>IF(R34=0,"No Score Yet",IF(R34&gt;S34,"Over","Under"))</f>
        <v/>
      </c>
    </row>
    <row r="35" ht="14.4" customHeight="1" s="152">
      <c r="B35" s="204" t="n">
        <v>514</v>
      </c>
      <c r="C35" s="204">
        <f>Cube!N31</f>
        <v/>
      </c>
      <c r="D35" s="204" t="inlineStr">
        <is>
          <t>Away</t>
        </is>
      </c>
      <c r="E35" s="204">
        <f>IF(L35=M35,"NA",IF(L35&gt;M35,"Yes","No"))</f>
        <v/>
      </c>
      <c r="F35" s="204" t="inlineStr">
        <is>
          <t>Yes</t>
        </is>
      </c>
      <c r="G35" s="204" t="inlineStr">
        <is>
          <t>No</t>
        </is>
      </c>
      <c r="H35" s="204">
        <f>Cube!P31</f>
        <v/>
      </c>
      <c r="I35" s="209">
        <f>Cube!U31</f>
        <v/>
      </c>
      <c r="J35" s="210">
        <f>Cube!Y31</f>
        <v/>
      </c>
      <c r="K35" s="210">
        <f>Cube!Z31</f>
        <v/>
      </c>
      <c r="L35" s="179">
        <f>Cube!AC31</f>
        <v/>
      </c>
      <c r="M35" s="179">
        <f>Cube!AD31</f>
        <v/>
      </c>
      <c r="N35" s="156" t="n"/>
      <c r="R35" s="179">
        <f>IF(B35&lt;&gt;"",L35+M35,"")</f>
        <v/>
      </c>
      <c r="S35" s="156">
        <f>IFERROR(VLOOKUP(C34,Odds!B:F,5,0),"")</f>
        <v/>
      </c>
      <c r="T35" s="156">
        <f>IF(Q35&lt;1,"",IF(U35=V35,"Yes","No"))</f>
        <v/>
      </c>
      <c r="U35" s="156">
        <f>IF(Q35&gt;S35,"Over","Under")</f>
        <v/>
      </c>
      <c r="V35" s="156">
        <f>IF(R35=0,"No Score Yet",IF(R35&gt;S35,"Over","Under"))</f>
        <v/>
      </c>
    </row>
    <row r="36" ht="14.4" customHeight="1" s="152">
      <c r="B36" s="204" t="n">
        <v>513</v>
      </c>
      <c r="C36" s="204">
        <f>Cube!N32</f>
        <v/>
      </c>
      <c r="D36" s="204" t="inlineStr">
        <is>
          <t>Away</t>
        </is>
      </c>
      <c r="E36" s="204">
        <f>IF(L36=M36,"NA",IF(L36&gt;M36,"Yes","No"))</f>
        <v/>
      </c>
      <c r="F36" s="204" t="inlineStr">
        <is>
          <t>No</t>
        </is>
      </c>
      <c r="G36" s="204" t="inlineStr">
        <is>
          <t>Yes</t>
        </is>
      </c>
      <c r="H36" s="204">
        <f>Cube!P32</f>
        <v/>
      </c>
      <c r="I36" s="209">
        <f>Cube!U32</f>
        <v/>
      </c>
      <c r="J36" s="210">
        <f>Cube!Y32</f>
        <v/>
      </c>
      <c r="K36" s="210">
        <f>Cube!Z32</f>
        <v/>
      </c>
      <c r="L36" s="179">
        <f>Cube!AC32</f>
        <v/>
      </c>
      <c r="M36" s="179">
        <f>Cube!AD32</f>
        <v/>
      </c>
      <c r="N36" s="156" t="n"/>
      <c r="R36" s="179">
        <f>IF(B36&lt;&gt;"",L36+M36,"")</f>
        <v/>
      </c>
      <c r="S36" s="156">
        <f>IFERROR(VLOOKUP(C35,Odds!B:F,5,0),"")</f>
        <v/>
      </c>
      <c r="T36" s="156">
        <f>IF(Q36&lt;1,"",IF(U36=V36,"Yes","No"))</f>
        <v/>
      </c>
      <c r="U36" s="156">
        <f>IF(Q36&gt;S36,"Over","Under")</f>
        <v/>
      </c>
      <c r="V36" s="156">
        <f>IF(R36=0,"No Score Yet",IF(R36&gt;S36,"Over","Under"))</f>
        <v/>
      </c>
    </row>
    <row r="37" ht="14.4" customHeight="1" s="152">
      <c r="B37" s="204" t="n">
        <v>512</v>
      </c>
      <c r="C37" s="204">
        <f>Cube!N33</f>
        <v/>
      </c>
      <c r="D37" s="204" t="inlineStr">
        <is>
          <t>Away</t>
        </is>
      </c>
      <c r="E37" s="204">
        <f>IF(L37=M37,"NA",IF(L37&gt;M37,"Yes","No"))</f>
        <v/>
      </c>
      <c r="F37" s="204" t="inlineStr">
        <is>
          <t>Yes</t>
        </is>
      </c>
      <c r="G37" s="204" t="inlineStr">
        <is>
          <t>Yes</t>
        </is>
      </c>
      <c r="H37" s="204">
        <f>Cube!P33</f>
        <v/>
      </c>
      <c r="I37" s="209">
        <f>Cube!U33</f>
        <v/>
      </c>
      <c r="J37" s="210">
        <f>Cube!Y33</f>
        <v/>
      </c>
      <c r="K37" s="210">
        <f>Cube!Z33</f>
        <v/>
      </c>
      <c r="L37" s="179">
        <f>Cube!AC33</f>
        <v/>
      </c>
      <c r="M37" s="179">
        <f>Cube!AD33</f>
        <v/>
      </c>
      <c r="N37" s="156" t="n"/>
      <c r="R37" s="179">
        <f>IF(B37&lt;&gt;"",L37+M37,"")</f>
        <v/>
      </c>
      <c r="S37" s="156">
        <f>IFERROR(VLOOKUP(C36,Odds!B:F,5,0),"")</f>
        <v/>
      </c>
      <c r="T37" s="156">
        <f>IF(Q37&lt;1,"",IF(U37=V37,"Yes","No"))</f>
        <v/>
      </c>
      <c r="U37" s="156">
        <f>IF(Q37&gt;S37,"Over","Under")</f>
        <v/>
      </c>
      <c r="V37" s="156">
        <f>IF(R37=0,"No Score Yet",IF(R37&gt;S37,"Over","Under"))</f>
        <v/>
      </c>
    </row>
    <row r="38" ht="14.4" customHeight="1" s="152">
      <c r="C38" s="204">
        <f>Cube!N34</f>
        <v/>
      </c>
      <c r="R38" s="179" t="n"/>
    </row>
    <row r="39" ht="14.4" customHeight="1" s="152">
      <c r="R39" s="179" t="n"/>
    </row>
    <row r="40" ht="14.4" customHeight="1" s="152">
      <c r="R40" s="179" t="n"/>
    </row>
    <row r="41" ht="14.4" customHeight="1" s="152">
      <c r="R41" s="179" t="n"/>
    </row>
    <row r="42" ht="14.4" customHeight="1" s="152">
      <c r="R42" s="179" t="n"/>
    </row>
    <row r="43" ht="14.4" customHeight="1" s="152">
      <c r="R43" s="179" t="n"/>
    </row>
    <row r="44" ht="14.4" customHeight="1" s="152">
      <c r="R44" s="179" t="n"/>
    </row>
    <row r="45" ht="14.4" customHeight="1" s="152">
      <c r="R45" s="179" t="n"/>
    </row>
    <row r="46" ht="14.4" customHeight="1" s="152">
      <c r="R46" s="179" t="n"/>
    </row>
    <row r="47" ht="14.4" customHeight="1" s="152">
      <c r="R47" s="179" t="n"/>
    </row>
    <row r="48" ht="14.4" customHeight="1" s="152">
      <c r="R48" s="179" t="n"/>
    </row>
    <row r="49" ht="14.4" customHeight="1" s="152">
      <c r="R49" s="179" t="n"/>
    </row>
    <row r="50" ht="14.4" customHeight="1" s="152">
      <c r="R50" s="179" t="n"/>
    </row>
    <row r="51" ht="14.4" customHeight="1" s="152">
      <c r="R51" s="179" t="n"/>
    </row>
    <row r="52" ht="14.4" customHeight="1" s="152">
      <c r="R52" s="179" t="n"/>
    </row>
    <row r="53" ht="14.4" customHeight="1" s="152">
      <c r="R53" s="179" t="n"/>
    </row>
    <row r="54" ht="14.4" customHeight="1" s="152">
      <c r="R54" s="179" t="n"/>
    </row>
    <row r="55" ht="14.4" customHeight="1" s="152">
      <c r="R55" s="179" t="n"/>
    </row>
    <row r="56" ht="14.4" customHeight="1" s="152">
      <c r="R56" s="179" t="n"/>
    </row>
    <row r="57" ht="14.4" customHeight="1" s="152">
      <c r="R57" s="179" t="n"/>
    </row>
    <row r="58" ht="14.4" customHeight="1" s="152">
      <c r="R58" s="179" t="n"/>
    </row>
    <row r="59" ht="14.4" customHeight="1" s="152">
      <c r="R59" s="179" t="n"/>
    </row>
    <row r="60" ht="14.4" customHeight="1" s="152">
      <c r="R60" s="179" t="n"/>
    </row>
    <row r="61" ht="14.4" customHeight="1" s="152">
      <c r="R61" s="179" t="n"/>
    </row>
    <row r="62" ht="14.4" customHeight="1" s="152">
      <c r="R62" s="179" t="n"/>
    </row>
    <row r="63" ht="14.4" customHeight="1" s="152">
      <c r="R63" s="179" t="n"/>
    </row>
    <row r="64" ht="14.4" customHeight="1" s="152">
      <c r="R64" s="179" t="n"/>
    </row>
    <row r="65" ht="14.4" customHeight="1" s="152">
      <c r="R65" s="179" t="n"/>
    </row>
    <row r="66" ht="14.4" customHeight="1" s="152">
      <c r="R66" s="179" t="n"/>
    </row>
    <row r="67" ht="14.4" customHeight="1" s="152">
      <c r="R67" s="179" t="n"/>
    </row>
    <row r="68" ht="14.4" customHeight="1" s="152">
      <c r="R68" s="179" t="n"/>
    </row>
    <row r="69" ht="14.4" customHeight="1" s="152">
      <c r="R69" s="179" t="n"/>
    </row>
    <row r="70" ht="14.4" customHeight="1" s="152">
      <c r="R70" s="179" t="n"/>
    </row>
    <row r="71" ht="14.4" customHeight="1" s="152">
      <c r="R71" s="179" t="n"/>
    </row>
    <row r="72" ht="14.4" customHeight="1" s="152">
      <c r="R72" s="179" t="n"/>
    </row>
    <row r="73" ht="14.4" customHeight="1" s="152">
      <c r="R73" s="179" t="n"/>
    </row>
    <row r="74" ht="14.4" customHeight="1" s="152">
      <c r="R74" s="179" t="n"/>
    </row>
    <row r="75" ht="14.4" customHeight="1" s="152">
      <c r="R75" s="179" t="n"/>
    </row>
    <row r="76" ht="14.4" customHeight="1" s="152">
      <c r="R76" s="179" t="n"/>
    </row>
    <row r="77" ht="14.4" customHeight="1" s="152">
      <c r="R77" s="179" t="n"/>
    </row>
    <row r="78" ht="14.4" customHeight="1" s="152">
      <c r="R78" s="179" t="n"/>
    </row>
    <row r="79" ht="14.4" customHeight="1" s="152">
      <c r="R79" s="179" t="n"/>
    </row>
    <row r="80" ht="14.4" customHeight="1" s="152">
      <c r="R80" s="179" t="n"/>
    </row>
    <row r="81" ht="14.4" customHeight="1" s="152">
      <c r="R81" s="179" t="n"/>
    </row>
    <row r="82" ht="14.4" customHeight="1" s="152">
      <c r="R82" s="179" t="n"/>
    </row>
    <row r="83" ht="14.4" customHeight="1" s="152">
      <c r="R83" s="179" t="n"/>
    </row>
    <row r="84" ht="14.4" customHeight="1" s="152">
      <c r="R84" s="179" t="n"/>
    </row>
    <row r="85" ht="14.4" customHeight="1" s="152">
      <c r="R85" s="179" t="n"/>
    </row>
    <row r="86" ht="14.4" customHeight="1" s="152">
      <c r="R86" s="179" t="n"/>
    </row>
    <row r="87" ht="14.4" customHeight="1" s="152">
      <c r="R87" s="179" t="n"/>
    </row>
    <row r="88" ht="14.4" customHeight="1" s="152">
      <c r="R88" s="179" t="n"/>
    </row>
    <row r="89" ht="14.4" customHeight="1" s="152">
      <c r="R89" s="179" t="n"/>
    </row>
    <row r="90" ht="14.4" customHeight="1" s="152">
      <c r="R90" s="179" t="n"/>
    </row>
    <row r="91" ht="14.4" customHeight="1" s="152">
      <c r="R91" s="179" t="n"/>
    </row>
    <row r="92" ht="14.4" customHeight="1" s="152">
      <c r="R92" s="179" t="n"/>
    </row>
    <row r="93" ht="14.4" customHeight="1" s="152">
      <c r="R93" s="179" t="n"/>
    </row>
    <row r="94" ht="14.4" customHeight="1" s="152">
      <c r="R94" s="179" t="n"/>
    </row>
    <row r="95" ht="14.4" customHeight="1" s="152">
      <c r="R95" s="179" t="n"/>
    </row>
    <row r="96" ht="14.4" customHeight="1" s="152">
      <c r="R96" s="179" t="n"/>
    </row>
    <row r="97" ht="14.4" customHeight="1" s="152">
      <c r="R97" s="179" t="n"/>
    </row>
    <row r="98" ht="14.4" customHeight="1" s="152">
      <c r="R98" s="179" t="n"/>
    </row>
    <row r="99" ht="14.4" customHeight="1" s="152">
      <c r="R99" s="179" t="n"/>
    </row>
    <row r="100" ht="14.4" customHeight="1" s="152">
      <c r="R100" s="179" t="n"/>
    </row>
    <row r="101" ht="14.4" customHeight="1" s="152">
      <c r="R101" s="179" t="n"/>
    </row>
    <row r="102" ht="13.8" customHeight="1" s="152">
      <c r="R102" s="179" t="n"/>
    </row>
  </sheetData>
  <conditionalFormatting sqref="C1 C3:C1048576">
    <cfRule type="containsText" rank="0" priority="2" equalAverage="0" operator="containsText" aboveAverage="0" dxfId="2" text="Home" percent="0" bottom="0">
      <formula>NOT(ISERROR(SEARCH("Home",C1)))</formula>
    </cfRule>
  </conditionalFormatting>
  <conditionalFormatting sqref="E1:G1">
    <cfRule type="dataBar" priority="3">
      <dataBar minLength="10" maxLength="90" showValue="1">
        <cfvo type="min" val="0"/>
        <cfvo type="max" val="0"/>
        <color rgb="FF63C384"/>
      </dataBar>
    </cfRule>
  </conditionalFormatting>
  <conditionalFormatting sqref="Q1:Q1048576">
    <cfRule type="colorScale" priority="4">
      <colorScale>
        <cfvo type="min" val="0"/>
        <cfvo type="percentile" val="50"/>
        <cfvo type="max" val="0"/>
        <color rgb="FFF8696B"/>
        <color rgb="FFFFEB84"/>
        <color rgb="FF63BE7B"/>
      </colorScale>
    </cfRule>
  </conditionalFormatting>
  <conditionalFormatting sqref="S1:S1048576">
    <cfRule type="colorScale" priority="5">
      <colorScale>
        <cfvo type="min" val="0"/>
        <cfvo type="percentile" val="50"/>
        <cfvo type="max" val="0"/>
        <color rgb="FFF8696B"/>
        <color rgb="FFFFEB84"/>
        <color rgb="FF63BE7B"/>
      </colorScale>
    </cfRule>
  </conditionalFormatting>
  <conditionalFormatting sqref="R5">
    <cfRule type="colorScale" priority="6">
      <colorScale>
        <cfvo type="min" val="0"/>
        <cfvo type="percentile" val="50"/>
        <cfvo type="max" val="0"/>
        <color rgb="FFF8696B"/>
        <color rgb="FFFFEB84"/>
        <color rgb="FF63BE7B"/>
      </colorScale>
    </cfRule>
  </conditionalFormatting>
  <conditionalFormatting sqref="R1:R1048576">
    <cfRule type="colorScale" priority="7">
      <colorScale>
        <cfvo type="min" val="0"/>
        <cfvo type="percentile" val="50"/>
        <cfvo type="max" val="0"/>
        <color rgb="FFF8696B"/>
        <color rgb="FFFFEB84"/>
        <color rgb="FF63BE7B"/>
      </colorScale>
    </cfRule>
  </conditionalFormatting>
  <conditionalFormatting sqref="T5:V5">
    <cfRule type="colorScale" priority="8">
      <colorScale>
        <cfvo type="min" val="0"/>
        <cfvo type="percentile" val="50"/>
        <cfvo type="max" val="0"/>
        <color rgb="FFF8696B"/>
        <color rgb="FFFFEB84"/>
        <color rgb="FF63BE7B"/>
      </colorScale>
    </cfRule>
  </conditionalFormatting>
  <conditionalFormatting sqref="T1:T1048576">
    <cfRule type="containsText" rank="0" priority="9" equalAverage="0" operator="containsText" aboveAverage="0" dxfId="0" text="Yes" percent="0" bottom="0">
      <formula>NOT(ISERROR(SEARCH("Yes",T1)))</formula>
    </cfRule>
    <cfRule type="containsText" rank="0" priority="10" equalAverage="0" operator="containsText" aboveAverage="0" dxfId="1" text="No" percent="0" bottom="0">
      <formula>NOT(ISERROR(SEARCH("No",T1)))</formula>
    </cfRule>
  </conditionalFormatting>
  <conditionalFormatting sqref="U1:U2">
    <cfRule type="dataBar" priority="11">
      <dataBar minLength="10" maxLength="90" showValue="1">
        <cfvo type="min" val="0"/>
        <cfvo type="max" val="0"/>
        <color rgb="FF63C384"/>
      </dataBar>
    </cfRule>
  </conditionalFormatting>
  <conditionalFormatting sqref="E1:G1 E3:G1048576">
    <cfRule type="containsText" rank="0" priority="12" equalAverage="0" operator="containsText" aboveAverage="0" dxfId="3" text="Push" percent="0" bottom="0">
      <formula>NOT(ISERROR(SEARCH("Push",E1)))</formula>
    </cfRule>
    <cfRule type="containsText" rank="0" priority="13" equalAverage="0" operator="containsText" aboveAverage="0" dxfId="1" text="No" percent="0" bottom="0">
      <formula>NOT(ISERROR(SEARCH("No",E1)))</formula>
    </cfRule>
    <cfRule type="containsText" rank="0" priority="14" equalAverage="0" operator="containsText" aboveAverage="0" dxfId="0" text="Yes" percent="0" bottom="0">
      <formula>NOT(ISERROR(SEARCH("Yes",E1)))</formula>
    </cfRule>
  </conditionalFormatting>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tabColor rgb="FF92D050"/>
    <outlinePr summaryBelow="1" summaryRight="1"/>
    <pageSetUpPr fitToPage="0"/>
  </sheetPr>
  <dimension ref="B1:L37"/>
  <sheetViews>
    <sheetView showFormulas="0" showGridLines="0" showRowColHeaders="1" showZeros="1" rightToLeft="0" tabSelected="0" showOutlineSymbols="1" defaultGridColor="1" view="normal" topLeftCell="A1" colorId="64" zoomScale="95" zoomScaleNormal="95" zoomScalePageLayoutView="100" workbookViewId="0">
      <pane xSplit="0" ySplit="4" topLeftCell="A5" activePane="bottomLeft" state="frozen"/>
      <selection pane="topLeft" activeCell="A1" activeCellId="0" sqref="A1"/>
      <selection pane="bottomLeft" activeCell="D5" activeCellId="0" sqref="D5"/>
    </sheetView>
  </sheetViews>
  <sheetFormatPr baseColWidth="8" defaultColWidth="8.796875" defaultRowHeight="14.4" zeroHeight="0" outlineLevelRow="0"/>
  <cols>
    <col width="30.1" customWidth="1" style="156" min="1" max="1"/>
    <col width="40.11" customWidth="1" style="156" min="2" max="2"/>
    <col width="8.56" customWidth="1" style="156" min="4" max="4"/>
    <col width="7.67" customWidth="1" style="156" min="5" max="6"/>
    <col width="10.45" customWidth="1" style="156" min="7" max="7"/>
    <col width="10.58" customWidth="1" style="156" min="8" max="8"/>
    <col width="16.56" customWidth="1" style="156" min="9" max="9"/>
    <col width="20.45" customWidth="1" style="156" min="10" max="10"/>
    <col width="17.67" customWidth="1" style="156" min="11" max="11"/>
  </cols>
  <sheetData>
    <row r="1" ht="51.75" customHeight="1" s="152">
      <c r="H1" s="164" t="inlineStr">
        <is>
          <t>Ref Grand Total Column</t>
        </is>
      </c>
    </row>
    <row r="3" ht="14.4" customHeight="1" s="152">
      <c r="B3" s="156" t="inlineStr">
        <is>
          <t>Contibutions Scores</t>
        </is>
      </c>
      <c r="C3" s="156" t="inlineStr">
        <is>
          <t>Pos</t>
        </is>
      </c>
    </row>
    <row r="4" ht="13.5" customHeight="1" s="152">
      <c r="B4" s="156" t="inlineStr">
        <is>
          <t>Team Streamlined Name</t>
        </is>
      </c>
      <c r="C4" s="204" t="inlineStr">
        <is>
          <t>QB</t>
        </is>
      </c>
      <c r="D4" s="204" t="inlineStr">
        <is>
          <t>RB</t>
        </is>
      </c>
      <c r="E4" s="204" t="inlineStr">
        <is>
          <t>WR</t>
        </is>
      </c>
      <c r="F4" s="204" t="inlineStr">
        <is>
          <t>TE</t>
        </is>
      </c>
      <c r="G4" s="204" t="inlineStr">
        <is>
          <t>K</t>
        </is>
      </c>
      <c r="H4" s="204" t="inlineStr">
        <is>
          <t>(empty)</t>
        </is>
      </c>
      <c r="I4" s="204" t="inlineStr">
        <is>
          <t>Total Result</t>
        </is>
      </c>
      <c r="J4" s="211" t="inlineStr">
        <is>
          <t>Player Override Name</t>
        </is>
      </c>
      <c r="K4" s="211" t="inlineStr">
        <is>
          <t>Applied C-Score</t>
        </is>
      </c>
    </row>
    <row r="5" ht="14.4" customHeight="1" s="152">
      <c r="B5" s="204" t="inlineStr">
        <is>
          <t>Washington Commanders</t>
        </is>
      </c>
      <c r="C5" s="156">
        <f>IF(    SUMIFS(AllPlayers!$C$2:$C$5000,           AllPlayers!$B$2:$B$5000,$B5,           AllPlayers!$H$2:$H$5000,"QB",           AllPlayers!$E$2:$E$5000,"1",           AllPlayers!$D$2:$D$5000,"Healthy")&gt;0,    SUMIFS(AllPlayers!$C$2:$C$5000,           AllPlayers!$B$2:$B$5000,$B5,           AllPlayers!$H$2:$H$5000,"QB",           AllPlayers!$E$2:$E$5000,"1",           AllPlayers!$D$2:$D$5000,"Healthy"),    SUMIFS(AllPlayers!$C$2:$C$5000,           AllPlayers!$B$2:$B$5000,$B5,           AllPlayers!$H$2:$H$5000,"QB",           AllPlayers!$E$2:$E$5000,"2") )</f>
        <v/>
      </c>
      <c r="D5" s="156">
        <f>IF(    SUMIFS(AllPlayers!$C$2:$C$5000,           AllPlayers!$B$2:$B$5000,$B5,           AllPlayers!$H$2:$H$5000,"RB",           AllPlayers!$E$2:$E$5000,"1",           AllPlayers!$D$2:$D$5000,"Healthy")    +    SUMIFS(AllPlayers!$C$2:$C$5000,           AllPlayers!$B$2:$B$5000,$B5,           AllPlayers!$H$2:$H$5000,"RB",           AllPlayers!$E$2:$E$5000,"2",           AllPlayers!$D$2:$D$5000,"Healthy") &gt; 0,        SUMIFS(AllPlayers!$C$2:$C$5000,           AllPlayers!$B$2:$B$5000,$B5,           AllPlayers!$H$2:$H$5000,"RB",           AllPlayers!$E$2:$E$5000,"1",           AllPlayers!$D$2:$D$5000,"Healthy")    +    SUMIFS(AllPlayers!$C$2:$C$5000,           AllPlayers!$B$2:$B$5000,$B5,           AllPlayers!$H$2:$H$5000,"RB",           AllPlayers!$E$2:$E$5000,"2",           AllPlayers!$D$2:$D$5000,"Healthy"),        IF(       SUMIFS(AllPlayers!$C$2:$C$5000,              AllPlayers!$B$2:$B$5000,$B5,              AllPlayers!$H$2:$H$5000,"RB",              AllPlayers!$E$2:$E$5000,"3",              AllPlayers!$D$2:$D$5000,"Healthy")&gt;0,       SUMIFS(AllPlayers!$C$2:$C$5000,              AllPlayers!$B$2:$B$5000,$B5,              AllPlayers!$H$2:$H$5000,"RB",              AllPlayers!$E$2:$E$5000,"3",              AllPlayers!$D$2:$D$5000,"Healthy"),       IF(          SUMIFS(AllPlayers!$C$2:$C$5000,                 AllPlayers!$B$2:$B$5000,$B5,                 AllPlayers!$H$2:$H$5000,"RB",                 AllPlayers!$E$2:$E$5000,"4",                 AllPlayers!$D$2:$D$5000,"Healthy")&gt;0,          SUMIFS(AllPlayers!$C$2:$C$5000,                 AllPlayers!$B$2:$B$5000,$B5,                 AllPlayers!$H$2:$H$5000,"RB",                 AllPlayers!$E$2:$E$5000,"4",                 AllPlayers!$D$2:$D$5000,"Healthy"),          SUMIFS(AllPlayers!$C$2:$C$5000,                 AllPlayers!$B$2:$B$5000,$B5,                 AllPlayers!$H$2:$H$5000,"RB",                 AllPlayers!$E$2:$E$5000,"5",                 AllPlayers!$D$2:$D$5000,"Healthy")       )    ) )</f>
        <v/>
      </c>
      <c r="E5" s="156">
        <f>IF(    SUMPRODUCT((AllPlayers!$B$2:$B$5000=$B5)*               (AllPlayers!$H$2:$H$5000="WR")*               (VALUE(AllPlayers!$E$2:$E$5000)&lt;=4)*               (AllPlayers!$D$2:$D$5000="Healthy")*               AllPlayers!$C$2:$C$5000) &gt; 0,    SUMPRODUCT((AllPlayers!$B$2:$B$5000=$B5)*               (AllPlayers!$H$2:$H$5000="WR")*               (VALUE(AllPlayers!$E$2:$E$5000)&lt;=4)*               (AllPlayers!$D$2:$D$5000="Healthy")*               AllPlayers!$C$2:$C$5000),    IF(       SUMPRODUCT((AllPlayers!$B$2:$B$5000=$B5)*                  (AllPlayers!$H$2:$H$5000="WR")*                  (AllPlayers!$E$2:$E$5000="5")*                  (AllPlayers!$D$2:$D$5000="Healthy")*                  AllPlayers!$C$2:$C$5000) &gt; 0,       SUMPRODUCT((AllPlayers!$B$2:$B$5000=$B5)*                  (AllPlayers!$H$2:$H$5000="WR")*                  (AllPlayers!$E$2:$E$5000="5")*                  (AllPlayers!$D$2:$D$5000="Healthy")*                  AllPlayers!$C$2:$C$5000),       IF(          SUMPRODUCT((AllPlayers!$B$2:$B$5000=$B5)*                     (AllPlayers!$H$2:$H$5000="WR")*                     (AllPlayers!$E$2:$E$5000="6")*                     (AllPlayers!$D$2:$D$5000="Healthy")*                     AllPlayers!$C$2:$C$5000) &gt; 0,          SUMPRODUCT((AllPlayers!$B$2:$B$5000=$B5)*                     (AllPlayers!$H$2:$H$5000="WR")*                     (AllPlayers!$E$2:$E$5000="6")*                     (AllPlayers!$D$2:$D$5000="Healthy")*                     AllPlayers!$C$2:$C$5000),          IF(             SUMPRODUCT((AllPlayers!$B$2:$B$5000=$B5)*                        (AllPlayers!$H$2:$H$5000="WR")*                        (AllPlayers!$E$2:$E$5000="7")*                        (AllPlayers!$D$2:$D$5000="Healthy")*                        AllPlayers!$C$2:$C$5000) &gt; 0,             SUMPRODUCT((AllPlayers!$B$2:$B$5000=$B5)*                        (AllPlayers!$H$2:$H$5000="WR")*                        (AllPlayers!$E$2:$E$5000="7")*                        (AllPlayers!$D$2:$D$5000="Healthy")*                        AllPlayers!$C$2:$C$5000),             IF(                SUMPRODUCT((AllPlayers!$B$2:$B$5000=$B5)*                           (AllPlayers!$H$2:$H$5000="WR")*                           (AllPlayers!$E$2:$E$5000="8")*                           (AllPlayers!$D$2:$D$5000="Healthy")*                           AllPlayers!$C$2:$C$5000) &gt; 0,                SUMPRODUCT((AllPlayers!$B$2:$B$5000=$B5)*                           (AllPlayers!$H$2:$H$5000="WR")*                           (AllPlayers!$E$2:$E$5000="8")*                           (AllPlayers!$D$2:$D$5000="Healthy")*                           AllPlayers!$C$2:$C$5000),                SUMPRODUCT((AllPlayers!$B$2:$B$5000=$B5)*                           (AllPlayers!$H$2:$H$5000="WR")*                           (AllPlayers!$E$2:$E$5000="9")*                           (AllPlayers!$D$2:$D$5000="Healthy")*                           AllPlayers!$C$2:$C$5000)             )          )       )    ) )</f>
        <v/>
      </c>
      <c r="F5" s="156">
        <f>IF(    SUMIFS(AllPlayers!$C$2:$C$5000,           AllPlayers!$B$2:$B$5000,$B5,           AllPlayers!$H$2:$H$5000,"TE",           AllPlayers!$E$2:$E$5000,"1",           AllPlayers!$D$2:$D$5000,"Healthy")&gt;0,    SUMIFS(AllPlayers!$C$2:$C$5000,           AllPlayers!$B$2:$B$5000,$B5,           AllPlayers!$H$2:$H$5000,"TE",           AllPlayers!$E$2:$E$5000,"1",           AllPlayers!$D$2:$D$5000,"Healthy"),    SUMIFS(AllPlayers!$C$2:$C$5000,           AllPlayers!$B$2:$B$5000,$B5,           AllPlayers!$H$2:$H$5000,"TE",           AllPlayers!$E$2:$E$5000,"2") )</f>
        <v/>
      </c>
      <c r="G5" s="156">
        <f>SUMIFS(K!$C:$C,K!$W:$W,$B5)</f>
        <v/>
      </c>
      <c r="H5" s="156">
        <f>SUMIF(AllPlayers!B:B,B5,AllPlayers!O:O)</f>
        <v/>
      </c>
      <c r="I5" s="156">
        <f>SUM(C5:H5)</f>
        <v/>
      </c>
    </row>
    <row r="6" ht="14.4" customHeight="1" s="152">
      <c r="B6" s="204" t="inlineStr">
        <is>
          <t>Kansas City Chiefs</t>
        </is>
      </c>
      <c r="C6" s="156">
        <f>IF(    SUMIFS(AllPlayers!$C$2:$C$5000,           AllPlayers!$B$2:$B$5000,$B6,           AllPlayers!$H$2:$H$5000,"QB",           AllPlayers!$E$2:$E$5000,"1",           AllPlayers!$D$2:$D$5000,"Healthy")&gt;0,    SUMIFS(AllPlayers!$C$2:$C$5000,           AllPlayers!$B$2:$B$5000,$B6,           AllPlayers!$H$2:$H$5000,"QB",           AllPlayers!$E$2:$E$5000,"1",           AllPlayers!$D$2:$D$5000,"Healthy"),    SUMIFS(AllPlayers!$C$2:$C$5000,           AllPlayers!$B$2:$B$5000,$B6,           AllPlayers!$H$2:$H$5000,"QB",           AllPlayers!$E$2:$E$5000,"2") )</f>
        <v/>
      </c>
      <c r="D6" s="156">
        <f>IF(    SUMIFS(AllPlayers!$C$2:$C$5000,           AllPlayers!$B$2:$B$5000,$B6,           AllPlayers!$H$2:$H$5000,"RB",           AllPlayers!$E$2:$E$5000,"1",           AllPlayers!$D$2:$D$5000,"Healthy")    +    SUMIFS(AllPlayers!$C$2:$C$5000,           AllPlayers!$B$2:$B$5000,$B6,           AllPlayers!$H$2:$H$5000,"RB",           AllPlayers!$E$2:$E$5000,"2",           AllPlayers!$D$2:$D$5000,"Healthy") &gt; 0,        SUMIFS(AllPlayers!$C$2:$C$5000,           AllPlayers!$B$2:$B$5000,$B6,           AllPlayers!$H$2:$H$5000,"RB",           AllPlayers!$E$2:$E$5000,"1",           AllPlayers!$D$2:$D$5000,"Healthy")    +    SUMIFS(AllPlayers!$C$2:$C$5000,           AllPlayers!$B$2:$B$5000,$B6,           AllPlayers!$H$2:$H$5000,"RB",           AllPlayers!$E$2:$E$5000,"2",           AllPlayers!$D$2:$D$5000,"Healthy"),        IF(       SUMIFS(AllPlayers!$C$2:$C$5000,              AllPlayers!$B$2:$B$5000,$B6,              AllPlayers!$H$2:$H$5000,"RB",              AllPlayers!$E$2:$E$5000,"3",              AllPlayers!$D$2:$D$5000,"Healthy")&gt;0,       SUMIFS(AllPlayers!$C$2:$C$5000,              AllPlayers!$B$2:$B$5000,$B6,              AllPlayers!$H$2:$H$5000,"RB",              AllPlayers!$E$2:$E$5000,"3",              AllPlayers!$D$2:$D$5000,"Healthy"),       IF(          SUMIFS(AllPlayers!$C$2:$C$5000,                 AllPlayers!$B$2:$B$5000,$B6,                 AllPlayers!$H$2:$H$5000,"RB",                 AllPlayers!$E$2:$E$5000,"4",                 AllPlayers!$D$2:$D$5000,"Healthy")&gt;0,          SUMIFS(AllPlayers!$C$2:$C$5000,                 AllPlayers!$B$2:$B$5000,$B6,                 AllPlayers!$H$2:$H$5000,"RB",                 AllPlayers!$E$2:$E$5000,"4",                 AllPlayers!$D$2:$D$5000,"Healthy"),          SUMIFS(AllPlayers!$C$2:$C$5000,                 AllPlayers!$B$2:$B$5000,$B6,                 AllPlayers!$H$2:$H$5000,"RB",                 AllPlayers!$E$2:$E$5000,"5",                 AllPlayers!$D$2:$D$5000,"Healthy")       )    ) )</f>
        <v/>
      </c>
      <c r="E6" s="156">
        <f>IF(    SUMPRODUCT((AllPlayers!$B$2:$B$5000=$B6)*               (AllPlayers!$H$2:$H$5000="WR")*               (VALUE(AllPlayers!$E$2:$E$5000)&lt;=4)*               (AllPlayers!$D$2:$D$5000="Healthy")*               AllPlayers!$C$2:$C$5000) &gt; 0,    SUMPRODUCT((AllPlayers!$B$2:$B$5000=$B6)*               (AllPlayers!$H$2:$H$5000="WR")*               (VALUE(AllPlayers!$E$2:$E$5000)&lt;=4)*               (AllPlayers!$D$2:$D$5000="Healthy")*               AllPlayers!$C$2:$C$5000),    IF(       SUMPRODUCT((AllPlayers!$B$2:$B$5000=$B6)*                  (AllPlayers!$H$2:$H$5000="WR")*                  (AllPlayers!$E$2:$E$5000="5")*                  (AllPlayers!$D$2:$D$5000="Healthy")*                  AllPlayers!$C$2:$C$5000) &gt; 0,       SUMPRODUCT((AllPlayers!$B$2:$B$5000=$B6)*                  (AllPlayers!$H$2:$H$5000="WR")*                  (AllPlayers!$E$2:$E$5000="5")*                  (AllPlayers!$D$2:$D$5000="Healthy")*                  AllPlayers!$C$2:$C$5000),       IF(          SUMPRODUCT((AllPlayers!$B$2:$B$5000=$B6)*                     (AllPlayers!$H$2:$H$5000="WR")*                     (AllPlayers!$E$2:$E$5000="6")*                     (AllPlayers!$D$2:$D$5000="Healthy")*                     AllPlayers!$C$2:$C$5000) &gt; 0,          SUMPRODUCT((AllPlayers!$B$2:$B$5000=$B6)*                     (AllPlayers!$H$2:$H$5000="WR")*                     (AllPlayers!$E$2:$E$5000="6")*                     (AllPlayers!$D$2:$D$5000="Healthy")*                     AllPlayers!$C$2:$C$5000),          IF(             SUMPRODUCT((AllPlayers!$B$2:$B$5000=$B6)*                        (AllPlayers!$H$2:$H$5000="WR")*                        (AllPlayers!$E$2:$E$5000="7")*                        (AllPlayers!$D$2:$D$5000="Healthy")*                        AllPlayers!$C$2:$C$5000) &gt; 0,             SUMPRODUCT((AllPlayers!$B$2:$B$5000=$B6)*                        (AllPlayers!$H$2:$H$5000="WR")*                        (AllPlayers!$E$2:$E$5000="7")*                        (AllPlayers!$D$2:$D$5000="Healthy")*                        AllPlayers!$C$2:$C$5000),             IF(                SUMPRODUCT((AllPlayers!$B$2:$B$5000=$B6)*                           (AllPlayers!$H$2:$H$5000="WR")*                           (AllPlayers!$E$2:$E$5000="8")*                           (AllPlayers!$D$2:$D$5000="Healthy")*                           AllPlayers!$C$2:$C$5000) &gt; 0,                SUMPRODUCT((AllPlayers!$B$2:$B$5000=$B6)*                           (AllPlayers!$H$2:$H$5000="WR")*                           (AllPlayers!$E$2:$E$5000="8")*                           (AllPlayers!$D$2:$D$5000="Healthy")*                           AllPlayers!$C$2:$C$5000),                SUMPRODUCT((AllPlayers!$B$2:$B$5000=$B6)*                           (AllPlayers!$H$2:$H$5000="WR")*                           (AllPlayers!$E$2:$E$5000="9")*                           (AllPlayers!$D$2:$D$5000="Healthy")*                           AllPlayers!$C$2:$C$5000)             )          )       )    ) )</f>
        <v/>
      </c>
      <c r="F6" s="156">
        <f>IF(    SUMIFS(AllPlayers!$C$2:$C$5000,           AllPlayers!$B$2:$B$5000,$B6,           AllPlayers!$H$2:$H$5000,"TE",           AllPlayers!$E$2:$E$5000,"1",           AllPlayers!$D$2:$D$5000,"Healthy")&gt;0,    SUMIFS(AllPlayers!$C$2:$C$5000,           AllPlayers!$B$2:$B$5000,$B6,           AllPlayers!$H$2:$H$5000,"TE",           AllPlayers!$E$2:$E$5000,"1",           AllPlayers!$D$2:$D$5000,"Healthy"),    SUMIFS(AllPlayers!$C$2:$C$5000,           AllPlayers!$B$2:$B$5000,$B6,           AllPlayers!$H$2:$H$5000,"TE",           AllPlayers!$E$2:$E$5000,"2") )</f>
        <v/>
      </c>
      <c r="G6" s="156">
        <f>SUMIFS(K!$C:$C,K!$W:$W,$B6)</f>
        <v/>
      </c>
      <c r="H6" s="156">
        <f>SUMIF(AllPlayers!B:B,B6,AllPlayers!O:O)</f>
        <v/>
      </c>
      <c r="I6" s="156">
        <f>SUM(C6:H6)</f>
        <v/>
      </c>
    </row>
    <row r="7" ht="14.4" customHeight="1" s="152">
      <c r="B7" s="204" t="inlineStr">
        <is>
          <t>Philadelphia Eagles</t>
        </is>
      </c>
      <c r="C7" s="156">
        <f>IF(    SUMIFS(AllPlayers!$C$2:$C$5000,           AllPlayers!$B$2:$B$5000,$B7,           AllPlayers!$H$2:$H$5000,"QB",           AllPlayers!$E$2:$E$5000,"1",           AllPlayers!$D$2:$D$5000,"Healthy")&gt;0,    SUMIFS(AllPlayers!$C$2:$C$5000,           AllPlayers!$B$2:$B$5000,$B7,           AllPlayers!$H$2:$H$5000,"QB",           AllPlayers!$E$2:$E$5000,"1",           AllPlayers!$D$2:$D$5000,"Healthy"),    SUMIFS(AllPlayers!$C$2:$C$5000,           AllPlayers!$B$2:$B$5000,$B7,           AllPlayers!$H$2:$H$5000,"QB",           AllPlayers!$E$2:$E$5000,"2") )</f>
        <v/>
      </c>
      <c r="D7" s="156">
        <f>IF(    SUMIFS(AllPlayers!$C$2:$C$5000,           AllPlayers!$B$2:$B$5000,$B7,           AllPlayers!$H$2:$H$5000,"RB",           AllPlayers!$E$2:$E$5000,"1",           AllPlayers!$D$2:$D$5000,"Healthy")    +    SUMIFS(AllPlayers!$C$2:$C$5000,           AllPlayers!$B$2:$B$5000,$B7,           AllPlayers!$H$2:$H$5000,"RB",           AllPlayers!$E$2:$E$5000,"2",           AllPlayers!$D$2:$D$5000,"Healthy") &gt; 0,        SUMIFS(AllPlayers!$C$2:$C$5000,           AllPlayers!$B$2:$B$5000,$B7,           AllPlayers!$H$2:$H$5000,"RB",           AllPlayers!$E$2:$E$5000,"1",           AllPlayers!$D$2:$D$5000,"Healthy")    +    SUMIFS(AllPlayers!$C$2:$C$5000,           AllPlayers!$B$2:$B$5000,$B7,           AllPlayers!$H$2:$H$5000,"RB",           AllPlayers!$E$2:$E$5000,"2",           AllPlayers!$D$2:$D$5000,"Healthy"),        IF(       SUMIFS(AllPlayers!$C$2:$C$5000,              AllPlayers!$B$2:$B$5000,$B7,              AllPlayers!$H$2:$H$5000,"RB",              AllPlayers!$E$2:$E$5000,"3",              AllPlayers!$D$2:$D$5000,"Healthy")&gt;0,       SUMIFS(AllPlayers!$C$2:$C$5000,              AllPlayers!$B$2:$B$5000,$B7,              AllPlayers!$H$2:$H$5000,"RB",              AllPlayers!$E$2:$E$5000,"3",              AllPlayers!$D$2:$D$5000,"Healthy"),       IF(          SUMIFS(AllPlayers!$C$2:$C$5000,                 AllPlayers!$B$2:$B$5000,$B7,                 AllPlayers!$H$2:$H$5000,"RB",                 AllPlayers!$E$2:$E$5000,"4",                 AllPlayers!$D$2:$D$5000,"Healthy")&gt;0,          SUMIFS(AllPlayers!$C$2:$C$5000,                 AllPlayers!$B$2:$B$5000,$B7,                 AllPlayers!$H$2:$H$5000,"RB",                 AllPlayers!$E$2:$E$5000,"4",                 AllPlayers!$D$2:$D$5000,"Healthy"),          SUMIFS(AllPlayers!$C$2:$C$5000,                 AllPlayers!$B$2:$B$5000,$B7,                 AllPlayers!$H$2:$H$5000,"RB",                 AllPlayers!$E$2:$E$5000,"5",                 AllPlayers!$D$2:$D$5000,"Healthy")       )    ) )</f>
        <v/>
      </c>
      <c r="E7" s="156">
        <f>IF(    SUMPRODUCT((AllPlayers!$B$2:$B$5000=$B7)*               (AllPlayers!$H$2:$H$5000="WR")*               (VALUE(AllPlayers!$E$2:$E$5000)&lt;=4)*               (AllPlayers!$D$2:$D$5000="Healthy")*               AllPlayers!$C$2:$C$5000) &gt; 0,    SUMPRODUCT((AllPlayers!$B$2:$B$5000=$B7)*               (AllPlayers!$H$2:$H$5000="WR")*               (VALUE(AllPlayers!$E$2:$E$5000)&lt;=4)*               (AllPlayers!$D$2:$D$5000="Healthy")*               AllPlayers!$C$2:$C$5000),    IF(       SUMPRODUCT((AllPlayers!$B$2:$B$5000=$B7)*                  (AllPlayers!$H$2:$H$5000="WR")*                  (AllPlayers!$E$2:$E$5000="5")*                  (AllPlayers!$D$2:$D$5000="Healthy")*                  AllPlayers!$C$2:$C$5000) &gt; 0,       SUMPRODUCT((AllPlayers!$B$2:$B$5000=$B7)*                  (AllPlayers!$H$2:$H$5000="WR")*                  (AllPlayers!$E$2:$E$5000="5")*                  (AllPlayers!$D$2:$D$5000="Healthy")*                  AllPlayers!$C$2:$C$5000),       IF(          SUMPRODUCT((AllPlayers!$B$2:$B$5000=$B7)*                     (AllPlayers!$H$2:$H$5000="WR")*                     (AllPlayers!$E$2:$E$5000="6")*                     (AllPlayers!$D$2:$D$5000="Healthy")*                     AllPlayers!$C$2:$C$5000) &gt; 0,          SUMPRODUCT((AllPlayers!$B$2:$B$5000=$B7)*                     (AllPlayers!$H$2:$H$5000="WR")*                     (AllPlayers!$E$2:$E$5000="6")*                     (AllPlayers!$D$2:$D$5000="Healthy")*                     AllPlayers!$C$2:$C$5000),          IF(             SUMPRODUCT((AllPlayers!$B$2:$B$5000=$B7)*                        (AllPlayers!$H$2:$H$5000="WR")*                        (AllPlayers!$E$2:$E$5000="7")*                        (AllPlayers!$D$2:$D$5000="Healthy")*                        AllPlayers!$C$2:$C$5000) &gt; 0,             SUMPRODUCT((AllPlayers!$B$2:$B$5000=$B7)*                        (AllPlayers!$H$2:$H$5000="WR")*                        (AllPlayers!$E$2:$E$5000="7")*                        (AllPlayers!$D$2:$D$5000="Healthy")*                        AllPlayers!$C$2:$C$5000),             IF(                SUMPRODUCT((AllPlayers!$B$2:$B$5000=$B7)*                           (AllPlayers!$H$2:$H$5000="WR")*                           (AllPlayers!$E$2:$E$5000="8")*                           (AllPlayers!$D$2:$D$5000="Healthy")*                           AllPlayers!$C$2:$C$5000) &gt; 0,                SUMPRODUCT((AllPlayers!$B$2:$B$5000=$B7)*                           (AllPlayers!$H$2:$H$5000="WR")*                           (AllPlayers!$E$2:$E$5000="8")*                           (AllPlayers!$D$2:$D$5000="Healthy")*                           AllPlayers!$C$2:$C$5000),                SUMPRODUCT((AllPlayers!$B$2:$B$5000=$B7)*                           (AllPlayers!$H$2:$H$5000="WR")*                           (AllPlayers!$E$2:$E$5000="9")*                           (AllPlayers!$D$2:$D$5000="Healthy")*                           AllPlayers!$C$2:$C$5000)             )          )       )    ) )</f>
        <v/>
      </c>
      <c r="F7" s="156">
        <f>IF(    SUMIFS(AllPlayers!$C$2:$C$5000,           AllPlayers!$B$2:$B$5000,$B7,           AllPlayers!$H$2:$H$5000,"TE",           AllPlayers!$E$2:$E$5000,"1",           AllPlayers!$D$2:$D$5000,"Healthy")&gt;0,    SUMIFS(AllPlayers!$C$2:$C$5000,           AllPlayers!$B$2:$B$5000,$B7,           AllPlayers!$H$2:$H$5000,"TE",           AllPlayers!$E$2:$E$5000,"1",           AllPlayers!$D$2:$D$5000,"Healthy"),    SUMIFS(AllPlayers!$C$2:$C$5000,           AllPlayers!$B$2:$B$5000,$B7,           AllPlayers!$H$2:$H$5000,"TE",           AllPlayers!$E$2:$E$5000,"2") )</f>
        <v/>
      </c>
      <c r="G7" s="156">
        <f>SUMIFS(K!$C:$C,K!$W:$W,$B7)</f>
        <v/>
      </c>
      <c r="H7" s="156">
        <f>SUMIF(AllPlayers!B:B,B7,AllPlayers!O:O)</f>
        <v/>
      </c>
      <c r="I7" s="156">
        <f>SUM(C7:H7)</f>
        <v/>
      </c>
      <c r="L7" s="156">
        <f>IF(    SUMIFS(AllPlayers!$C$2:$C$5000,           AllPlayers!$B$2:$B$5000,$B5,           AllPlayers!$H$2:$H$5000,"QB",           AllPlayers!$E$2:$E$5000,"1",           AllPlayers!$D$2:$D$5000,"Healthy")&gt;0,    SUMIFS(AllPlayers!$C$2:$C$5000,           AllPlayers!$B$2:$B$5000,$B5,           AllPlayers!$H$2:$H$5000,"QB",           AllPlayers!$E$2:$E$5000,"1",           AllPlayers!$D$2:$D$5000,"Healthy"),    SUMIFS(AllPlayers!$C$2:$C$5000,           AllPlayers!$B$2:$B$5000,$B5,           AllPlayers!$H$2:$H$5000,"QB",           AllPlayers!$E$2:$E$5000,"2") )</f>
        <v/>
      </c>
    </row>
    <row r="8" ht="14.4" customHeight="1" s="152">
      <c r="B8" s="204" t="inlineStr">
        <is>
          <t>New York Jets</t>
        </is>
      </c>
      <c r="C8" s="156">
        <f>IF(    SUMIFS(AllPlayers!$C$2:$C$5000,           AllPlayers!$B$2:$B$5000,$B8,           AllPlayers!$H$2:$H$5000,"QB",           AllPlayers!$E$2:$E$5000,"1",           AllPlayers!$D$2:$D$5000,"Healthy")&gt;0,    SUMIFS(AllPlayers!$C$2:$C$5000,           AllPlayers!$B$2:$B$5000,$B8,           AllPlayers!$H$2:$H$5000,"QB",           AllPlayers!$E$2:$E$5000,"1",           AllPlayers!$D$2:$D$5000,"Healthy"),    SUMIFS(AllPlayers!$C$2:$C$5000,           AllPlayers!$B$2:$B$5000,$B8,           AllPlayers!$H$2:$H$5000,"QB",           AllPlayers!$E$2:$E$5000,"2") )</f>
        <v/>
      </c>
      <c r="D8" s="156">
        <f>IF(    SUMIFS(AllPlayers!$C$2:$C$5000,           AllPlayers!$B$2:$B$5000,$B8,           AllPlayers!$H$2:$H$5000,"RB",           AllPlayers!$E$2:$E$5000,"1",           AllPlayers!$D$2:$D$5000,"Healthy")    +    SUMIFS(AllPlayers!$C$2:$C$5000,           AllPlayers!$B$2:$B$5000,$B8,           AllPlayers!$H$2:$H$5000,"RB",           AllPlayers!$E$2:$E$5000,"2",           AllPlayers!$D$2:$D$5000,"Healthy") &gt; 0,        SUMIFS(AllPlayers!$C$2:$C$5000,           AllPlayers!$B$2:$B$5000,$B8,           AllPlayers!$H$2:$H$5000,"RB",           AllPlayers!$E$2:$E$5000,"1",           AllPlayers!$D$2:$D$5000,"Healthy")    +    SUMIFS(AllPlayers!$C$2:$C$5000,           AllPlayers!$B$2:$B$5000,$B8,           AllPlayers!$H$2:$H$5000,"RB",           AllPlayers!$E$2:$E$5000,"2",           AllPlayers!$D$2:$D$5000,"Healthy"),        IF(       SUMIFS(AllPlayers!$C$2:$C$5000,              AllPlayers!$B$2:$B$5000,$B8,              AllPlayers!$H$2:$H$5000,"RB",              AllPlayers!$E$2:$E$5000,"3",              AllPlayers!$D$2:$D$5000,"Healthy")&gt;0,       SUMIFS(AllPlayers!$C$2:$C$5000,              AllPlayers!$B$2:$B$5000,$B8,              AllPlayers!$H$2:$H$5000,"RB",              AllPlayers!$E$2:$E$5000,"3",              AllPlayers!$D$2:$D$5000,"Healthy"),       IF(          SUMIFS(AllPlayers!$C$2:$C$5000,                 AllPlayers!$B$2:$B$5000,$B8,                 AllPlayers!$H$2:$H$5000,"RB",                 AllPlayers!$E$2:$E$5000,"4",                 AllPlayers!$D$2:$D$5000,"Healthy")&gt;0,          SUMIFS(AllPlayers!$C$2:$C$5000,                 AllPlayers!$B$2:$B$5000,$B8,                 AllPlayers!$H$2:$H$5000,"RB",                 AllPlayers!$E$2:$E$5000,"4",                 AllPlayers!$D$2:$D$5000,"Healthy"),          SUMIFS(AllPlayers!$C$2:$C$5000,                 AllPlayers!$B$2:$B$5000,$B8,                 AllPlayers!$H$2:$H$5000,"RB",                 AllPlayers!$E$2:$E$5000,"5",                 AllPlayers!$D$2:$D$5000,"Healthy")       )    ) )</f>
        <v/>
      </c>
      <c r="E8" s="156">
        <f>IF(    SUMPRODUCT((AllPlayers!$B$2:$B$5000=$B8)*               (AllPlayers!$H$2:$H$5000="WR")*               (VALUE(AllPlayers!$E$2:$E$5000)&lt;=4)*               (AllPlayers!$D$2:$D$5000="Healthy")*               AllPlayers!$C$2:$C$5000) &gt; 0,    SUMPRODUCT((AllPlayers!$B$2:$B$5000=$B8)*               (AllPlayers!$H$2:$H$5000="WR")*               (VALUE(AllPlayers!$E$2:$E$5000)&lt;=4)*               (AllPlayers!$D$2:$D$5000="Healthy")*               AllPlayers!$C$2:$C$5000),    IF(       SUMPRODUCT((AllPlayers!$B$2:$B$5000=$B8)*                  (AllPlayers!$H$2:$H$5000="WR")*                  (AllPlayers!$E$2:$E$5000="5")*                  (AllPlayers!$D$2:$D$5000="Healthy")*                  AllPlayers!$C$2:$C$5000) &gt; 0,       SUMPRODUCT((AllPlayers!$B$2:$B$5000=$B8)*                  (AllPlayers!$H$2:$H$5000="WR")*                  (AllPlayers!$E$2:$E$5000="5")*                  (AllPlayers!$D$2:$D$5000="Healthy")*                  AllPlayers!$C$2:$C$5000),       IF(          SUMPRODUCT((AllPlayers!$B$2:$B$5000=$B8)*                     (AllPlayers!$H$2:$H$5000="WR")*                     (AllPlayers!$E$2:$E$5000="6")*                     (AllPlayers!$D$2:$D$5000="Healthy")*                     AllPlayers!$C$2:$C$5000) &gt; 0,          SUMPRODUCT((AllPlayers!$B$2:$B$5000=$B8)*                     (AllPlayers!$H$2:$H$5000="WR")*                     (AllPlayers!$E$2:$E$5000="6")*                     (AllPlayers!$D$2:$D$5000="Healthy")*                     AllPlayers!$C$2:$C$5000),          IF(             SUMPRODUCT((AllPlayers!$B$2:$B$5000=$B8)*                        (AllPlayers!$H$2:$H$5000="WR")*                        (AllPlayers!$E$2:$E$5000="7")*                        (AllPlayers!$D$2:$D$5000="Healthy")*                        AllPlayers!$C$2:$C$5000) &gt; 0,             SUMPRODUCT((AllPlayers!$B$2:$B$5000=$B8)*                        (AllPlayers!$H$2:$H$5000="WR")*                        (AllPlayers!$E$2:$E$5000="7")*                        (AllPlayers!$D$2:$D$5000="Healthy")*                        AllPlayers!$C$2:$C$5000),             IF(                SUMPRODUCT((AllPlayers!$B$2:$B$5000=$B8)*                           (AllPlayers!$H$2:$H$5000="WR")*                           (AllPlayers!$E$2:$E$5000="8")*                           (AllPlayers!$D$2:$D$5000="Healthy")*                           AllPlayers!$C$2:$C$5000) &gt; 0,                SUMPRODUCT((AllPlayers!$B$2:$B$5000=$B8)*                           (AllPlayers!$H$2:$H$5000="WR")*                           (AllPlayers!$E$2:$E$5000="8")*                           (AllPlayers!$D$2:$D$5000="Healthy")*                           AllPlayers!$C$2:$C$5000),                SUMPRODUCT((AllPlayers!$B$2:$B$5000=$B8)*                           (AllPlayers!$H$2:$H$5000="WR")*                           (AllPlayers!$E$2:$E$5000="9")*                           (AllPlayers!$D$2:$D$5000="Healthy")*                           AllPlayers!$C$2:$C$5000)             )          )       )    ) )</f>
        <v/>
      </c>
      <c r="F8" s="156">
        <f>IF(    SUMIFS(AllPlayers!$C$2:$C$5000,           AllPlayers!$B$2:$B$5000,$B8,           AllPlayers!$H$2:$H$5000,"TE",           AllPlayers!$E$2:$E$5000,"1",           AllPlayers!$D$2:$D$5000,"Healthy")&gt;0,    SUMIFS(AllPlayers!$C$2:$C$5000,           AllPlayers!$B$2:$B$5000,$B8,           AllPlayers!$H$2:$H$5000,"TE",           AllPlayers!$E$2:$E$5000,"1",           AllPlayers!$D$2:$D$5000,"Healthy"),    SUMIFS(AllPlayers!$C$2:$C$5000,           AllPlayers!$B$2:$B$5000,$B8,           AllPlayers!$H$2:$H$5000,"TE",           AllPlayers!$E$2:$E$5000,"2") )</f>
        <v/>
      </c>
      <c r="G8" s="156">
        <f>SUMIFS(K!$C:$C,K!$W:$W,$B8)</f>
        <v/>
      </c>
      <c r="H8" s="156">
        <f>SUMIF(AllPlayers!B:B,B8,AllPlayers!O:O)</f>
        <v/>
      </c>
      <c r="I8" s="156">
        <f>SUM(C8:H8)</f>
        <v/>
      </c>
      <c r="L8" s="156">
        <f>SUMIFS(AllPlayers!$C$2:$C$5000,AllPlayers!$G$2:$G$5000,"QB")</f>
        <v/>
      </c>
    </row>
    <row r="9" ht="14.4" customHeight="1" s="152">
      <c r="B9" s="204" t="inlineStr">
        <is>
          <t>San Francisco 49ers</t>
        </is>
      </c>
      <c r="C9" s="156">
        <f>IF(    SUMIFS(AllPlayers!$C$2:$C$5000,           AllPlayers!$B$2:$B$5000,$B9,           AllPlayers!$H$2:$H$5000,"QB",           AllPlayers!$E$2:$E$5000,"1",           AllPlayers!$D$2:$D$5000,"Healthy")&gt;0,    SUMIFS(AllPlayers!$C$2:$C$5000,           AllPlayers!$B$2:$B$5000,$B9,           AllPlayers!$H$2:$H$5000,"QB",           AllPlayers!$E$2:$E$5000,"1",           AllPlayers!$D$2:$D$5000,"Healthy"),    SUMIFS(AllPlayers!$C$2:$C$5000,           AllPlayers!$B$2:$B$5000,$B9,           AllPlayers!$H$2:$H$5000,"QB",           AllPlayers!$E$2:$E$5000,"2") )</f>
        <v/>
      </c>
      <c r="D9" s="156">
        <f>IF(    SUMIFS(AllPlayers!$C$2:$C$5000,           AllPlayers!$B$2:$B$5000,$B9,           AllPlayers!$H$2:$H$5000,"RB",           AllPlayers!$E$2:$E$5000,"1",           AllPlayers!$D$2:$D$5000,"Healthy")    +    SUMIFS(AllPlayers!$C$2:$C$5000,           AllPlayers!$B$2:$B$5000,$B9,           AllPlayers!$H$2:$H$5000,"RB",           AllPlayers!$E$2:$E$5000,"2",           AllPlayers!$D$2:$D$5000,"Healthy") &gt; 0,        SUMIFS(AllPlayers!$C$2:$C$5000,           AllPlayers!$B$2:$B$5000,$B9,           AllPlayers!$H$2:$H$5000,"RB",           AllPlayers!$E$2:$E$5000,"1",           AllPlayers!$D$2:$D$5000,"Healthy")    +    SUMIFS(AllPlayers!$C$2:$C$5000,           AllPlayers!$B$2:$B$5000,$B9,           AllPlayers!$H$2:$H$5000,"RB",           AllPlayers!$E$2:$E$5000,"2",           AllPlayers!$D$2:$D$5000,"Healthy"),        IF(       SUMIFS(AllPlayers!$C$2:$C$5000,              AllPlayers!$B$2:$B$5000,$B9,              AllPlayers!$H$2:$H$5000,"RB",              AllPlayers!$E$2:$E$5000,"3",              AllPlayers!$D$2:$D$5000,"Healthy")&gt;0,       SUMIFS(AllPlayers!$C$2:$C$5000,              AllPlayers!$B$2:$B$5000,$B9,              AllPlayers!$H$2:$H$5000,"RB",              AllPlayers!$E$2:$E$5000,"3",              AllPlayers!$D$2:$D$5000,"Healthy"),       IF(          SUMIFS(AllPlayers!$C$2:$C$5000,                 AllPlayers!$B$2:$B$5000,$B9,                 AllPlayers!$H$2:$H$5000,"RB",                 AllPlayers!$E$2:$E$5000,"4",                 AllPlayers!$D$2:$D$5000,"Healthy")&gt;0,          SUMIFS(AllPlayers!$C$2:$C$5000,                 AllPlayers!$B$2:$B$5000,$B9,                 AllPlayers!$H$2:$H$5000,"RB",                 AllPlayers!$E$2:$E$5000,"4",                 AllPlayers!$D$2:$D$5000,"Healthy"),          SUMIFS(AllPlayers!$C$2:$C$5000,                 AllPlayers!$B$2:$B$5000,$B9,                 AllPlayers!$H$2:$H$5000,"RB",                 AllPlayers!$E$2:$E$5000,"5",                 AllPlayers!$D$2:$D$5000,"Healthy")       )    ) )</f>
        <v/>
      </c>
      <c r="E9" s="156">
        <f>IF(    SUMPRODUCT((AllPlayers!$B$2:$B$5000=$B9)*               (AllPlayers!$H$2:$H$5000="WR")*               (VALUE(AllPlayers!$E$2:$E$5000)&lt;=4)*               (AllPlayers!$D$2:$D$5000="Healthy")*               AllPlayers!$C$2:$C$5000) &gt; 0,    SUMPRODUCT((AllPlayers!$B$2:$B$5000=$B9)*               (AllPlayers!$H$2:$H$5000="WR")*               (VALUE(AllPlayers!$E$2:$E$5000)&lt;=4)*               (AllPlayers!$D$2:$D$5000="Healthy")*               AllPlayers!$C$2:$C$5000),    IF(       SUMPRODUCT((AllPlayers!$B$2:$B$5000=$B9)*                  (AllPlayers!$H$2:$H$5000="WR")*                  (AllPlayers!$E$2:$E$5000="5")*                  (AllPlayers!$D$2:$D$5000="Healthy")*                  AllPlayers!$C$2:$C$5000) &gt; 0,       SUMPRODUCT((AllPlayers!$B$2:$B$5000=$B9)*                  (AllPlayers!$H$2:$H$5000="WR")*                  (AllPlayers!$E$2:$E$5000="5")*                  (AllPlayers!$D$2:$D$5000="Healthy")*                  AllPlayers!$C$2:$C$5000),       IF(          SUMPRODUCT((AllPlayers!$B$2:$B$5000=$B9)*                     (AllPlayers!$H$2:$H$5000="WR")*                     (AllPlayers!$E$2:$E$5000="6")*                     (AllPlayers!$D$2:$D$5000="Healthy")*                     AllPlayers!$C$2:$C$5000) &gt; 0,          SUMPRODUCT((AllPlayers!$B$2:$B$5000=$B9)*                     (AllPlayers!$H$2:$H$5000="WR")*                     (AllPlayers!$E$2:$E$5000="6")*                     (AllPlayers!$D$2:$D$5000="Healthy")*                     AllPlayers!$C$2:$C$5000),          IF(             SUMPRODUCT((AllPlayers!$B$2:$B$5000=$B9)*                        (AllPlayers!$H$2:$H$5000="WR")*                        (AllPlayers!$E$2:$E$5000="7")*                        (AllPlayers!$D$2:$D$5000="Healthy")*                        AllPlayers!$C$2:$C$5000) &gt; 0,             SUMPRODUCT((AllPlayers!$B$2:$B$5000=$B9)*                        (AllPlayers!$H$2:$H$5000="WR")*                        (AllPlayers!$E$2:$E$5000="7")*                        (AllPlayers!$D$2:$D$5000="Healthy")*                        AllPlayers!$C$2:$C$5000),             IF(                SUMPRODUCT((AllPlayers!$B$2:$B$5000=$B9)*                           (AllPlayers!$H$2:$H$5000="WR")*                           (AllPlayers!$E$2:$E$5000="8")*                           (AllPlayers!$D$2:$D$5000="Healthy")*                           AllPlayers!$C$2:$C$5000) &gt; 0,                SUMPRODUCT((AllPlayers!$B$2:$B$5000=$B9)*                           (AllPlayers!$H$2:$H$5000="WR")*                           (AllPlayers!$E$2:$E$5000="8")*                           (AllPlayers!$D$2:$D$5000="Healthy")*                           AllPlayers!$C$2:$C$5000),                SUMPRODUCT((AllPlayers!$B$2:$B$5000=$B9)*                           (AllPlayers!$H$2:$H$5000="WR")*                           (AllPlayers!$E$2:$E$5000="9")*                           (AllPlayers!$D$2:$D$5000="Healthy")*                           AllPlayers!$C$2:$C$5000)             )          )       )    ) )</f>
        <v/>
      </c>
      <c r="F9" s="156">
        <f>IF(    SUMIFS(AllPlayers!$C$2:$C$5000,           AllPlayers!$B$2:$B$5000,$B9,           AllPlayers!$H$2:$H$5000,"TE",           AllPlayers!$E$2:$E$5000,"1",           AllPlayers!$D$2:$D$5000,"Healthy")&gt;0,    SUMIFS(AllPlayers!$C$2:$C$5000,           AllPlayers!$B$2:$B$5000,$B9,           AllPlayers!$H$2:$H$5000,"TE",           AllPlayers!$E$2:$E$5000,"1",           AllPlayers!$D$2:$D$5000,"Healthy"),    SUMIFS(AllPlayers!$C$2:$C$5000,           AllPlayers!$B$2:$B$5000,$B9,           AllPlayers!$H$2:$H$5000,"TE",           AllPlayers!$E$2:$E$5000,"2") )</f>
        <v/>
      </c>
      <c r="G9" s="156">
        <f>SUMIFS(K!$C:$C,K!$W:$W,$B9)</f>
        <v/>
      </c>
      <c r="H9" s="156">
        <f>SUMIF(AllPlayers!B:B,B9,AllPlayers!O:O)</f>
        <v/>
      </c>
      <c r="I9" s="156">
        <f>SUM(C9:H9)</f>
        <v/>
      </c>
    </row>
    <row r="10" ht="14.4" customHeight="1" s="152">
      <c r="B10" s="204" t="inlineStr">
        <is>
          <t>Detroit Lions</t>
        </is>
      </c>
      <c r="C10" s="156">
        <f>IF(    SUMIFS(AllPlayers!$C$2:$C$5000,           AllPlayers!$B$2:$B$5000,$B10,           AllPlayers!$H$2:$H$5000,"QB",           AllPlayers!$E$2:$E$5000,"1",           AllPlayers!$D$2:$D$5000,"Healthy")&gt;0,    SUMIFS(AllPlayers!$C$2:$C$5000,           AllPlayers!$B$2:$B$5000,$B10,           AllPlayers!$H$2:$H$5000,"QB",           AllPlayers!$E$2:$E$5000,"1",           AllPlayers!$D$2:$D$5000,"Healthy"),    SUMIFS(AllPlayers!$C$2:$C$5000,           AllPlayers!$B$2:$B$5000,$B10,           AllPlayers!$H$2:$H$5000,"QB",           AllPlayers!$E$2:$E$5000,"2") )</f>
        <v/>
      </c>
      <c r="D10" s="156">
        <f>IF(    SUMIFS(AllPlayers!$C$2:$C$5000,           AllPlayers!$B$2:$B$5000,$B10,           AllPlayers!$H$2:$H$5000,"RB",           AllPlayers!$E$2:$E$5000,"1",           AllPlayers!$D$2:$D$5000,"Healthy")    +    SUMIFS(AllPlayers!$C$2:$C$5000,           AllPlayers!$B$2:$B$5000,$B10,           AllPlayers!$H$2:$H$5000,"RB",           AllPlayers!$E$2:$E$5000,"2",           AllPlayers!$D$2:$D$5000,"Healthy") &gt; 0,        SUMIFS(AllPlayers!$C$2:$C$5000,           AllPlayers!$B$2:$B$5000,$B10,           AllPlayers!$H$2:$H$5000,"RB",           AllPlayers!$E$2:$E$5000,"1",           AllPlayers!$D$2:$D$5000,"Healthy")    +    SUMIFS(AllPlayers!$C$2:$C$5000,           AllPlayers!$B$2:$B$5000,$B10,           AllPlayers!$H$2:$H$5000,"RB",           AllPlayers!$E$2:$E$5000,"2",           AllPlayers!$D$2:$D$5000,"Healthy"),        IF(       SUMIFS(AllPlayers!$C$2:$C$5000,              AllPlayers!$B$2:$B$5000,$B10,              AllPlayers!$H$2:$H$5000,"RB",              AllPlayers!$E$2:$E$5000,"3",              AllPlayers!$D$2:$D$5000,"Healthy")&gt;0,       SUMIFS(AllPlayers!$C$2:$C$5000,              AllPlayers!$B$2:$B$5000,$B10,              AllPlayers!$H$2:$H$5000,"RB",              AllPlayers!$E$2:$E$5000,"3",              AllPlayers!$D$2:$D$5000,"Healthy"),       IF(          SUMIFS(AllPlayers!$C$2:$C$5000,                 AllPlayers!$B$2:$B$5000,$B10,                 AllPlayers!$H$2:$H$5000,"RB",                 AllPlayers!$E$2:$E$5000,"4",                 AllPlayers!$D$2:$D$5000,"Healthy")&gt;0,          SUMIFS(AllPlayers!$C$2:$C$5000,                 AllPlayers!$B$2:$B$5000,$B10,                 AllPlayers!$H$2:$H$5000,"RB",                 AllPlayers!$E$2:$E$5000,"4",                 AllPlayers!$D$2:$D$5000,"Healthy"),          SUMIFS(AllPlayers!$C$2:$C$5000,                 AllPlayers!$B$2:$B$5000,$B10,                 AllPlayers!$H$2:$H$5000,"RB",                 AllPlayers!$E$2:$E$5000,"5",                 AllPlayers!$D$2:$D$5000,"Healthy")       )    ) )</f>
        <v/>
      </c>
      <c r="E10" s="156">
        <f>IF(    SUMPRODUCT((AllPlayers!$B$2:$B$5000=$B10)*               (AllPlayers!$H$2:$H$5000="WR")*               (VALUE(AllPlayers!$E$2:$E$5000)&lt;=4)*               (AllPlayers!$D$2:$D$5000="Healthy")*               AllPlayers!$C$2:$C$5000) &gt; 0,    SUMPRODUCT((AllPlayers!$B$2:$B$5000=$B10)*               (AllPlayers!$H$2:$H$5000="WR")*               (VALUE(AllPlayers!$E$2:$E$5000)&lt;=4)*               (AllPlayers!$D$2:$D$5000="Healthy")*               AllPlayers!$C$2:$C$5000),    IF(       SUMPRODUCT((AllPlayers!$B$2:$B$5000=$B10)*                  (AllPlayers!$H$2:$H$5000="WR")*                  (AllPlayers!$E$2:$E$5000="5")*                  (AllPlayers!$D$2:$D$5000="Healthy")*                  AllPlayers!$C$2:$C$5000) &gt; 0,       SUMPRODUCT((AllPlayers!$B$2:$B$5000=$B10)*                  (AllPlayers!$H$2:$H$5000="WR")*                  (AllPlayers!$E$2:$E$5000="5")*                  (AllPlayers!$D$2:$D$5000="Healthy")*                  AllPlayers!$C$2:$C$5000),       IF(          SUMPRODUCT((AllPlayers!$B$2:$B$5000=$B10)*                     (AllPlayers!$H$2:$H$5000="WR")*                     (AllPlayers!$E$2:$E$5000="6")*                     (AllPlayers!$D$2:$D$5000="Healthy")*                     AllPlayers!$C$2:$C$5000) &gt; 0,          SUMPRODUCT((AllPlayers!$B$2:$B$5000=$B10)*                     (AllPlayers!$H$2:$H$5000="WR")*                     (AllPlayers!$E$2:$E$5000="6")*                     (AllPlayers!$D$2:$D$5000="Healthy")*                     AllPlayers!$C$2:$C$5000),          IF(             SUMPRODUCT((AllPlayers!$B$2:$B$5000=$B10)*                        (AllPlayers!$H$2:$H$5000="WR")*                        (AllPlayers!$E$2:$E$5000="7")*                        (AllPlayers!$D$2:$D$5000="Healthy")*                        AllPlayers!$C$2:$C$5000) &gt; 0,             SUMPRODUCT((AllPlayers!$B$2:$B$5000=$B10)*                        (AllPlayers!$H$2:$H$5000="WR")*                        (AllPlayers!$E$2:$E$5000="7")*                        (AllPlayers!$D$2:$D$5000="Healthy")*                        AllPlayers!$C$2:$C$5000),             IF(                SUMPRODUCT((AllPlayers!$B$2:$B$5000=$B10)*                           (AllPlayers!$H$2:$H$5000="WR")*                           (AllPlayers!$E$2:$E$5000="8")*                           (AllPlayers!$D$2:$D$5000="Healthy")*                           AllPlayers!$C$2:$C$5000) &gt; 0,                SUMPRODUCT((AllPlayers!$B$2:$B$5000=$B10)*                           (AllPlayers!$H$2:$H$5000="WR")*                           (AllPlayers!$E$2:$E$5000="8")*                           (AllPlayers!$D$2:$D$5000="Healthy")*                           AllPlayers!$C$2:$C$5000),                SUMPRODUCT((AllPlayers!$B$2:$B$5000=$B10)*                           (AllPlayers!$H$2:$H$5000="WR")*                           (AllPlayers!$E$2:$E$5000="9")*                           (AllPlayers!$D$2:$D$5000="Healthy")*                           AllPlayers!$C$2:$C$5000)             )          )       )    ) )</f>
        <v/>
      </c>
      <c r="F10" s="156">
        <f>IF(    SUMIFS(AllPlayers!$C$2:$C$5000,           AllPlayers!$B$2:$B$5000,$B10,           AllPlayers!$H$2:$H$5000,"TE",           AllPlayers!$E$2:$E$5000,"1",           AllPlayers!$D$2:$D$5000,"Healthy")&gt;0,    SUMIFS(AllPlayers!$C$2:$C$5000,           AllPlayers!$B$2:$B$5000,$B10,           AllPlayers!$H$2:$H$5000,"TE",           AllPlayers!$E$2:$E$5000,"1",           AllPlayers!$D$2:$D$5000,"Healthy"),    SUMIFS(AllPlayers!$C$2:$C$5000,           AllPlayers!$B$2:$B$5000,$B10,           AllPlayers!$H$2:$H$5000,"TE",           AllPlayers!$E$2:$E$5000,"2") )</f>
        <v/>
      </c>
      <c r="G10" s="156">
        <f>SUMIFS(K!$C:$C,K!$W:$W,$B10)</f>
        <v/>
      </c>
      <c r="H10" s="156">
        <f>SUMIF(AllPlayers!B:B,B10,AllPlayers!O:O)</f>
        <v/>
      </c>
      <c r="I10" s="156">
        <f>SUM(C10:H10)</f>
        <v/>
      </c>
    </row>
    <row r="11" ht="14.4" customHeight="1" s="152">
      <c r="B11" s="204" t="inlineStr">
        <is>
          <t>Los Angeles Rams</t>
        </is>
      </c>
      <c r="C11" s="156">
        <f>IF(    SUMIFS(AllPlayers!$C$2:$C$5000,           AllPlayers!$B$2:$B$5000,$B11,           AllPlayers!$H$2:$H$5000,"QB",           AllPlayers!$E$2:$E$5000,"1",           AllPlayers!$D$2:$D$5000,"Healthy")&gt;0,    SUMIFS(AllPlayers!$C$2:$C$5000,           AllPlayers!$B$2:$B$5000,$B11,           AllPlayers!$H$2:$H$5000,"QB",           AllPlayers!$E$2:$E$5000,"1",           AllPlayers!$D$2:$D$5000,"Healthy"),    SUMIFS(AllPlayers!$C$2:$C$5000,           AllPlayers!$B$2:$B$5000,$B11,           AllPlayers!$H$2:$H$5000,"QB",           AllPlayers!$E$2:$E$5000,"2") )</f>
        <v/>
      </c>
      <c r="D11" s="156">
        <f>IF(    SUMIFS(AllPlayers!$C$2:$C$5000,           AllPlayers!$B$2:$B$5000,$B11,           AllPlayers!$H$2:$H$5000,"RB",           AllPlayers!$E$2:$E$5000,"1",           AllPlayers!$D$2:$D$5000,"Healthy")    +    SUMIFS(AllPlayers!$C$2:$C$5000,           AllPlayers!$B$2:$B$5000,$B11,           AllPlayers!$H$2:$H$5000,"RB",           AllPlayers!$E$2:$E$5000,"2",           AllPlayers!$D$2:$D$5000,"Healthy") &gt; 0,        SUMIFS(AllPlayers!$C$2:$C$5000,           AllPlayers!$B$2:$B$5000,$B11,           AllPlayers!$H$2:$H$5000,"RB",           AllPlayers!$E$2:$E$5000,"1",           AllPlayers!$D$2:$D$5000,"Healthy")    +    SUMIFS(AllPlayers!$C$2:$C$5000,           AllPlayers!$B$2:$B$5000,$B11,           AllPlayers!$H$2:$H$5000,"RB",           AllPlayers!$E$2:$E$5000,"2",           AllPlayers!$D$2:$D$5000,"Healthy"),        IF(       SUMIFS(AllPlayers!$C$2:$C$5000,              AllPlayers!$B$2:$B$5000,$B11,              AllPlayers!$H$2:$H$5000,"RB",              AllPlayers!$E$2:$E$5000,"3",              AllPlayers!$D$2:$D$5000,"Healthy")&gt;0,       SUMIFS(AllPlayers!$C$2:$C$5000,              AllPlayers!$B$2:$B$5000,$B11,              AllPlayers!$H$2:$H$5000,"RB",              AllPlayers!$E$2:$E$5000,"3",              AllPlayers!$D$2:$D$5000,"Healthy"),       IF(          SUMIFS(AllPlayers!$C$2:$C$5000,                 AllPlayers!$B$2:$B$5000,$B11,                 AllPlayers!$H$2:$H$5000,"RB",                 AllPlayers!$E$2:$E$5000,"4",                 AllPlayers!$D$2:$D$5000,"Healthy")&gt;0,          SUMIFS(AllPlayers!$C$2:$C$5000,                 AllPlayers!$B$2:$B$5000,$B11,                 AllPlayers!$H$2:$H$5000,"RB",                 AllPlayers!$E$2:$E$5000,"4",                 AllPlayers!$D$2:$D$5000,"Healthy"),          SUMIFS(AllPlayers!$C$2:$C$5000,                 AllPlayers!$B$2:$B$5000,$B11,                 AllPlayers!$H$2:$H$5000,"RB",                 AllPlayers!$E$2:$E$5000,"5",                 AllPlayers!$D$2:$D$5000,"Healthy")       )    ) )</f>
        <v/>
      </c>
      <c r="E11" s="156">
        <f>IF(    SUMPRODUCT((AllPlayers!$B$2:$B$5000=$B11)*               (AllPlayers!$H$2:$H$5000="WR")*               (VALUE(AllPlayers!$E$2:$E$5000)&lt;=4)*               (AllPlayers!$D$2:$D$5000="Healthy")*               AllPlayers!$C$2:$C$5000) &gt; 0,    SUMPRODUCT((AllPlayers!$B$2:$B$5000=$B11)*               (AllPlayers!$H$2:$H$5000="WR")*               (VALUE(AllPlayers!$E$2:$E$5000)&lt;=4)*               (AllPlayers!$D$2:$D$5000="Healthy")*               AllPlayers!$C$2:$C$5000),    IF(       SUMPRODUCT((AllPlayers!$B$2:$B$5000=$B11)*                  (AllPlayers!$H$2:$H$5000="WR")*                  (AllPlayers!$E$2:$E$5000="5")*                  (AllPlayers!$D$2:$D$5000="Healthy")*                  AllPlayers!$C$2:$C$5000) &gt; 0,       SUMPRODUCT((AllPlayers!$B$2:$B$5000=$B11)*                  (AllPlayers!$H$2:$H$5000="WR")*                  (AllPlayers!$E$2:$E$5000="5")*                  (AllPlayers!$D$2:$D$5000="Healthy")*                  AllPlayers!$C$2:$C$5000),       IF(          SUMPRODUCT((AllPlayers!$B$2:$B$5000=$B11)*                     (AllPlayers!$H$2:$H$5000="WR")*                     (AllPlayers!$E$2:$E$5000="6")*                     (AllPlayers!$D$2:$D$5000="Healthy")*                     AllPlayers!$C$2:$C$5000) &gt; 0,          SUMPRODUCT((AllPlayers!$B$2:$B$5000=$B11)*                     (AllPlayers!$H$2:$H$5000="WR")*                     (AllPlayers!$E$2:$E$5000="6")*                     (AllPlayers!$D$2:$D$5000="Healthy")*                     AllPlayers!$C$2:$C$5000),          IF(             SUMPRODUCT((AllPlayers!$B$2:$B$5000=$B11)*                        (AllPlayers!$H$2:$H$5000="WR")*                        (AllPlayers!$E$2:$E$5000="7")*                        (AllPlayers!$D$2:$D$5000="Healthy")*                        AllPlayers!$C$2:$C$5000) &gt; 0,             SUMPRODUCT((AllPlayers!$B$2:$B$5000=$B11)*                        (AllPlayers!$H$2:$H$5000="WR")*                        (AllPlayers!$E$2:$E$5000="7")*                        (AllPlayers!$D$2:$D$5000="Healthy")*                        AllPlayers!$C$2:$C$5000),             IF(                SUMPRODUCT((AllPlayers!$B$2:$B$5000=$B11)*                           (AllPlayers!$H$2:$H$5000="WR")*                           (AllPlayers!$E$2:$E$5000="8")*                           (AllPlayers!$D$2:$D$5000="Healthy")*                           AllPlayers!$C$2:$C$5000) &gt; 0,                SUMPRODUCT((AllPlayers!$B$2:$B$5000=$B11)*                           (AllPlayers!$H$2:$H$5000="WR")*                           (AllPlayers!$E$2:$E$5000="8")*                           (AllPlayers!$D$2:$D$5000="Healthy")*                           AllPlayers!$C$2:$C$5000),                SUMPRODUCT((AllPlayers!$B$2:$B$5000=$B11)*                           (AllPlayers!$H$2:$H$5000="WR")*                           (AllPlayers!$E$2:$E$5000="9")*                           (AllPlayers!$D$2:$D$5000="Healthy")*                           AllPlayers!$C$2:$C$5000)             )          )       )    ) )</f>
        <v/>
      </c>
      <c r="F11" s="156">
        <f>IF(    SUMIFS(AllPlayers!$C$2:$C$5000,           AllPlayers!$B$2:$B$5000,$B11,           AllPlayers!$H$2:$H$5000,"TE",           AllPlayers!$E$2:$E$5000,"1",           AllPlayers!$D$2:$D$5000,"Healthy")&gt;0,    SUMIFS(AllPlayers!$C$2:$C$5000,           AllPlayers!$B$2:$B$5000,$B11,           AllPlayers!$H$2:$H$5000,"TE",           AllPlayers!$E$2:$E$5000,"1",           AllPlayers!$D$2:$D$5000,"Healthy"),    SUMIFS(AllPlayers!$C$2:$C$5000,           AllPlayers!$B$2:$B$5000,$B11,           AllPlayers!$H$2:$H$5000,"TE",           AllPlayers!$E$2:$E$5000,"2") )</f>
        <v/>
      </c>
      <c r="G11" s="156">
        <f>SUMIFS(K!$C:$C,K!$W:$W,$B11)</f>
        <v/>
      </c>
      <c r="H11" s="156">
        <f>SUMIF(AllPlayers!B:B,B11,AllPlayers!O:O)</f>
        <v/>
      </c>
      <c r="I11" s="156">
        <f>SUM(C11:H11)</f>
        <v/>
      </c>
    </row>
    <row r="12" ht="14.4" customHeight="1" s="152">
      <c r="B12" s="204" t="inlineStr">
        <is>
          <t>Buffalo Bills</t>
        </is>
      </c>
      <c r="C12" s="156">
        <f>IF(    SUMIFS(AllPlayers!$C$2:$C$5000,           AllPlayers!$B$2:$B$5000,$B12,           AllPlayers!$H$2:$H$5000,"QB",           AllPlayers!$E$2:$E$5000,"1",           AllPlayers!$D$2:$D$5000,"Healthy")&gt;0,    SUMIFS(AllPlayers!$C$2:$C$5000,           AllPlayers!$B$2:$B$5000,$B12,           AllPlayers!$H$2:$H$5000,"QB",           AllPlayers!$E$2:$E$5000,"1",           AllPlayers!$D$2:$D$5000,"Healthy"),    SUMIFS(AllPlayers!$C$2:$C$5000,           AllPlayers!$B$2:$B$5000,$B12,           AllPlayers!$H$2:$H$5000,"QB",           AllPlayers!$E$2:$E$5000,"2") )</f>
        <v/>
      </c>
      <c r="D12" s="156">
        <f>IF(    SUMIFS(AllPlayers!$C$2:$C$5000,           AllPlayers!$B$2:$B$5000,$B12,           AllPlayers!$H$2:$H$5000,"RB",           AllPlayers!$E$2:$E$5000,"1",           AllPlayers!$D$2:$D$5000,"Healthy")    +    SUMIFS(AllPlayers!$C$2:$C$5000,           AllPlayers!$B$2:$B$5000,$B12,           AllPlayers!$H$2:$H$5000,"RB",           AllPlayers!$E$2:$E$5000,"2",           AllPlayers!$D$2:$D$5000,"Healthy") &gt; 0,        SUMIFS(AllPlayers!$C$2:$C$5000,           AllPlayers!$B$2:$B$5000,$B12,           AllPlayers!$H$2:$H$5000,"RB",           AllPlayers!$E$2:$E$5000,"1",           AllPlayers!$D$2:$D$5000,"Healthy")    +    SUMIFS(AllPlayers!$C$2:$C$5000,           AllPlayers!$B$2:$B$5000,$B12,           AllPlayers!$H$2:$H$5000,"RB",           AllPlayers!$E$2:$E$5000,"2",           AllPlayers!$D$2:$D$5000,"Healthy"),        IF(       SUMIFS(AllPlayers!$C$2:$C$5000,              AllPlayers!$B$2:$B$5000,$B12,              AllPlayers!$H$2:$H$5000,"RB",              AllPlayers!$E$2:$E$5000,"3",              AllPlayers!$D$2:$D$5000,"Healthy")&gt;0,       SUMIFS(AllPlayers!$C$2:$C$5000,              AllPlayers!$B$2:$B$5000,$B12,              AllPlayers!$H$2:$H$5000,"RB",              AllPlayers!$E$2:$E$5000,"3",              AllPlayers!$D$2:$D$5000,"Healthy"),       IF(          SUMIFS(AllPlayers!$C$2:$C$5000,                 AllPlayers!$B$2:$B$5000,$B12,                 AllPlayers!$H$2:$H$5000,"RB",                 AllPlayers!$E$2:$E$5000,"4",                 AllPlayers!$D$2:$D$5000,"Healthy")&gt;0,          SUMIFS(AllPlayers!$C$2:$C$5000,                 AllPlayers!$B$2:$B$5000,$B12,                 AllPlayers!$H$2:$H$5000,"RB",                 AllPlayers!$E$2:$E$5000,"4",                 AllPlayers!$D$2:$D$5000,"Healthy"),          SUMIFS(AllPlayers!$C$2:$C$5000,                 AllPlayers!$B$2:$B$5000,$B12,                 AllPlayers!$H$2:$H$5000,"RB",                 AllPlayers!$E$2:$E$5000,"5",                 AllPlayers!$D$2:$D$5000,"Healthy")       )    ) )</f>
        <v/>
      </c>
      <c r="E12" s="156">
        <f>IF(    SUMPRODUCT((AllPlayers!$B$2:$B$5000=$B12)*               (AllPlayers!$H$2:$H$5000="WR")*               (VALUE(AllPlayers!$E$2:$E$5000)&lt;=4)*               (AllPlayers!$D$2:$D$5000="Healthy")*               AllPlayers!$C$2:$C$5000) &gt; 0,    SUMPRODUCT((AllPlayers!$B$2:$B$5000=$B12)*               (AllPlayers!$H$2:$H$5000="WR")*               (VALUE(AllPlayers!$E$2:$E$5000)&lt;=4)*               (AllPlayers!$D$2:$D$5000="Healthy")*               AllPlayers!$C$2:$C$5000),    IF(       SUMPRODUCT((AllPlayers!$B$2:$B$5000=$B12)*                  (AllPlayers!$H$2:$H$5000="WR")*                  (AllPlayers!$E$2:$E$5000="5")*                  (AllPlayers!$D$2:$D$5000="Healthy")*                  AllPlayers!$C$2:$C$5000) &gt; 0,       SUMPRODUCT((AllPlayers!$B$2:$B$5000=$B12)*                  (AllPlayers!$H$2:$H$5000="WR")*                  (AllPlayers!$E$2:$E$5000="5")*                  (AllPlayers!$D$2:$D$5000="Healthy")*                  AllPlayers!$C$2:$C$5000),       IF(          SUMPRODUCT((AllPlayers!$B$2:$B$5000=$B12)*                     (AllPlayers!$H$2:$H$5000="WR")*                     (AllPlayers!$E$2:$E$5000="6")*                     (AllPlayers!$D$2:$D$5000="Healthy")*                     AllPlayers!$C$2:$C$5000) &gt; 0,          SUMPRODUCT((AllPlayers!$B$2:$B$5000=$B12)*                     (AllPlayers!$H$2:$H$5000="WR")*                     (AllPlayers!$E$2:$E$5000="6")*                     (AllPlayers!$D$2:$D$5000="Healthy")*                     AllPlayers!$C$2:$C$5000),          IF(             SUMPRODUCT((AllPlayers!$B$2:$B$5000=$B12)*                        (AllPlayers!$H$2:$H$5000="WR")*                        (AllPlayers!$E$2:$E$5000="7")*                        (AllPlayers!$D$2:$D$5000="Healthy")*                        AllPlayers!$C$2:$C$5000) &gt; 0,             SUMPRODUCT((AllPlayers!$B$2:$B$5000=$B12)*                        (AllPlayers!$H$2:$H$5000="WR")*                        (AllPlayers!$E$2:$E$5000="7")*                        (AllPlayers!$D$2:$D$5000="Healthy")*                        AllPlayers!$C$2:$C$5000),             IF(                SUMPRODUCT((AllPlayers!$B$2:$B$5000=$B12)*                           (AllPlayers!$H$2:$H$5000="WR")*                           (AllPlayers!$E$2:$E$5000="8")*                           (AllPlayers!$D$2:$D$5000="Healthy")*                           AllPlayers!$C$2:$C$5000) &gt; 0,                SUMPRODUCT((AllPlayers!$B$2:$B$5000=$B12)*                           (AllPlayers!$H$2:$H$5000="WR")*                           (AllPlayers!$E$2:$E$5000="8")*                           (AllPlayers!$D$2:$D$5000="Healthy")*                           AllPlayers!$C$2:$C$5000),                SUMPRODUCT((AllPlayers!$B$2:$B$5000=$B12)*                           (AllPlayers!$H$2:$H$5000="WR")*                           (AllPlayers!$E$2:$E$5000="9")*                           (AllPlayers!$D$2:$D$5000="Healthy")*                           AllPlayers!$C$2:$C$5000)             )          )       )    ) )</f>
        <v/>
      </c>
      <c r="F12" s="156">
        <f>IF(    SUMIFS(AllPlayers!$C$2:$C$5000,           AllPlayers!$B$2:$B$5000,$B12,           AllPlayers!$H$2:$H$5000,"TE",           AllPlayers!$E$2:$E$5000,"1",           AllPlayers!$D$2:$D$5000,"Healthy")&gt;0,    SUMIFS(AllPlayers!$C$2:$C$5000,           AllPlayers!$B$2:$B$5000,$B12,           AllPlayers!$H$2:$H$5000,"TE",           AllPlayers!$E$2:$E$5000,"1",           AllPlayers!$D$2:$D$5000,"Healthy"),    SUMIFS(AllPlayers!$C$2:$C$5000,           AllPlayers!$B$2:$B$5000,$B12,           AllPlayers!$H$2:$H$5000,"TE",           AllPlayers!$E$2:$E$5000,"2") )</f>
        <v/>
      </c>
      <c r="G12" s="156">
        <f>SUMIFS(K!$C:$C,K!$W:$W,$B12)</f>
        <v/>
      </c>
      <c r="H12" s="156">
        <f>SUMIF(AllPlayers!B:B,B12,AllPlayers!O:O)</f>
        <v/>
      </c>
      <c r="I12" s="156">
        <f>SUM(C12:H12)</f>
        <v/>
      </c>
    </row>
    <row r="13" ht="14.4" customHeight="1" s="152">
      <c r="B13" s="204" t="inlineStr">
        <is>
          <t>New Orleans Saints</t>
        </is>
      </c>
      <c r="C13" s="156">
        <f>IF(    SUMIFS(AllPlayers!$C$2:$C$5000,           AllPlayers!$B$2:$B$5000,$B13,           AllPlayers!$H$2:$H$5000,"QB",           AllPlayers!$E$2:$E$5000,"1",           AllPlayers!$D$2:$D$5000,"Healthy")&gt;0,    SUMIFS(AllPlayers!$C$2:$C$5000,           AllPlayers!$B$2:$B$5000,$B13,           AllPlayers!$H$2:$H$5000,"QB",           AllPlayers!$E$2:$E$5000,"1",           AllPlayers!$D$2:$D$5000,"Healthy"),    SUMIFS(AllPlayers!$C$2:$C$5000,           AllPlayers!$B$2:$B$5000,$B13,           AllPlayers!$H$2:$H$5000,"QB",           AllPlayers!$E$2:$E$5000,"2") )</f>
        <v/>
      </c>
      <c r="D13" s="156">
        <f>IF(    SUMIFS(AllPlayers!$C$2:$C$5000,           AllPlayers!$B$2:$B$5000,$B13,           AllPlayers!$H$2:$H$5000,"RB",           AllPlayers!$E$2:$E$5000,"1",           AllPlayers!$D$2:$D$5000,"Healthy")    +    SUMIFS(AllPlayers!$C$2:$C$5000,           AllPlayers!$B$2:$B$5000,$B13,           AllPlayers!$H$2:$H$5000,"RB",           AllPlayers!$E$2:$E$5000,"2",           AllPlayers!$D$2:$D$5000,"Healthy") &gt; 0,        SUMIFS(AllPlayers!$C$2:$C$5000,           AllPlayers!$B$2:$B$5000,$B13,           AllPlayers!$H$2:$H$5000,"RB",           AllPlayers!$E$2:$E$5000,"1",           AllPlayers!$D$2:$D$5000,"Healthy")    +    SUMIFS(AllPlayers!$C$2:$C$5000,           AllPlayers!$B$2:$B$5000,$B13,           AllPlayers!$H$2:$H$5000,"RB",           AllPlayers!$E$2:$E$5000,"2",           AllPlayers!$D$2:$D$5000,"Healthy"),        IF(       SUMIFS(AllPlayers!$C$2:$C$5000,              AllPlayers!$B$2:$B$5000,$B13,              AllPlayers!$H$2:$H$5000,"RB",              AllPlayers!$E$2:$E$5000,"3",              AllPlayers!$D$2:$D$5000,"Healthy")&gt;0,       SUMIFS(AllPlayers!$C$2:$C$5000,              AllPlayers!$B$2:$B$5000,$B13,              AllPlayers!$H$2:$H$5000,"RB",              AllPlayers!$E$2:$E$5000,"3",              AllPlayers!$D$2:$D$5000,"Healthy"),       IF(          SUMIFS(AllPlayers!$C$2:$C$5000,                 AllPlayers!$B$2:$B$5000,$B13,                 AllPlayers!$H$2:$H$5000,"RB",                 AllPlayers!$E$2:$E$5000,"4",                 AllPlayers!$D$2:$D$5000,"Healthy")&gt;0,          SUMIFS(AllPlayers!$C$2:$C$5000,                 AllPlayers!$B$2:$B$5000,$B13,                 AllPlayers!$H$2:$H$5000,"RB",                 AllPlayers!$E$2:$E$5000,"4",                 AllPlayers!$D$2:$D$5000,"Healthy"),          SUMIFS(AllPlayers!$C$2:$C$5000,                 AllPlayers!$B$2:$B$5000,$B13,                 AllPlayers!$H$2:$H$5000,"RB",                 AllPlayers!$E$2:$E$5000,"5",                 AllPlayers!$D$2:$D$5000,"Healthy")       )    ) )</f>
        <v/>
      </c>
      <c r="E13" s="156">
        <f>IF(    SUMPRODUCT((AllPlayers!$B$2:$B$5000=$B13)*               (AllPlayers!$H$2:$H$5000="WR")*               (VALUE(AllPlayers!$E$2:$E$5000)&lt;=4)*               (AllPlayers!$D$2:$D$5000="Healthy")*               AllPlayers!$C$2:$C$5000) &gt; 0,    SUMPRODUCT((AllPlayers!$B$2:$B$5000=$B13)*               (AllPlayers!$H$2:$H$5000="WR")*               (VALUE(AllPlayers!$E$2:$E$5000)&lt;=4)*               (AllPlayers!$D$2:$D$5000="Healthy")*               AllPlayers!$C$2:$C$5000),    IF(       SUMPRODUCT((AllPlayers!$B$2:$B$5000=$B13)*                  (AllPlayers!$H$2:$H$5000="WR")*                  (AllPlayers!$E$2:$E$5000="5")*                  (AllPlayers!$D$2:$D$5000="Healthy")*                  AllPlayers!$C$2:$C$5000) &gt; 0,       SUMPRODUCT((AllPlayers!$B$2:$B$5000=$B13)*                  (AllPlayers!$H$2:$H$5000="WR")*                  (AllPlayers!$E$2:$E$5000="5")*                  (AllPlayers!$D$2:$D$5000="Healthy")*                  AllPlayers!$C$2:$C$5000),       IF(          SUMPRODUCT((AllPlayers!$B$2:$B$5000=$B13)*                     (AllPlayers!$H$2:$H$5000="WR")*                     (AllPlayers!$E$2:$E$5000="6")*                     (AllPlayers!$D$2:$D$5000="Healthy")*                     AllPlayers!$C$2:$C$5000) &gt; 0,          SUMPRODUCT((AllPlayers!$B$2:$B$5000=$B13)*                     (AllPlayers!$H$2:$H$5000="WR")*                     (AllPlayers!$E$2:$E$5000="6")*                     (AllPlayers!$D$2:$D$5000="Healthy")*                     AllPlayers!$C$2:$C$5000),          IF(             SUMPRODUCT((AllPlayers!$B$2:$B$5000=$B13)*                        (AllPlayers!$H$2:$H$5000="WR")*                        (AllPlayers!$E$2:$E$5000="7")*                        (AllPlayers!$D$2:$D$5000="Healthy")*                        AllPlayers!$C$2:$C$5000) &gt; 0,             SUMPRODUCT((AllPlayers!$B$2:$B$5000=$B13)*                        (AllPlayers!$H$2:$H$5000="WR")*                        (AllPlayers!$E$2:$E$5000="7")*                        (AllPlayers!$D$2:$D$5000="Healthy")*                        AllPlayers!$C$2:$C$5000),             IF(                SUMPRODUCT((AllPlayers!$B$2:$B$5000=$B13)*                           (AllPlayers!$H$2:$H$5000="WR")*                           (AllPlayers!$E$2:$E$5000="8")*                           (AllPlayers!$D$2:$D$5000="Healthy")*                           AllPlayers!$C$2:$C$5000) &gt; 0,                SUMPRODUCT((AllPlayers!$B$2:$B$5000=$B13)*                           (AllPlayers!$H$2:$H$5000="WR")*                           (AllPlayers!$E$2:$E$5000="8")*                           (AllPlayers!$D$2:$D$5000="Healthy")*                           AllPlayers!$C$2:$C$5000),                SUMPRODUCT((AllPlayers!$B$2:$B$5000=$B13)*                           (AllPlayers!$H$2:$H$5000="WR")*                           (AllPlayers!$E$2:$E$5000="9")*                           (AllPlayers!$D$2:$D$5000="Healthy")*                           AllPlayers!$C$2:$C$5000)             )          )       )    ) )</f>
        <v/>
      </c>
      <c r="F13" s="156">
        <f>IF(    SUMIFS(AllPlayers!$C$2:$C$5000,           AllPlayers!$B$2:$B$5000,$B13,           AllPlayers!$H$2:$H$5000,"TE",           AllPlayers!$E$2:$E$5000,"1",           AllPlayers!$D$2:$D$5000,"Healthy")&gt;0,    SUMIFS(AllPlayers!$C$2:$C$5000,           AllPlayers!$B$2:$B$5000,$B13,           AllPlayers!$H$2:$H$5000,"TE",           AllPlayers!$E$2:$E$5000,"1",           AllPlayers!$D$2:$D$5000,"Healthy"),    SUMIFS(AllPlayers!$C$2:$C$5000,           AllPlayers!$B$2:$B$5000,$B13,           AllPlayers!$H$2:$H$5000,"TE",           AllPlayers!$E$2:$E$5000,"2") )</f>
        <v/>
      </c>
      <c r="G13" s="156">
        <f>SUMIFS(K!$C:$C,K!$W:$W,$B13)</f>
        <v/>
      </c>
      <c r="H13" s="156">
        <f>SUMIF(AllPlayers!B:B,B13,AllPlayers!O:O)</f>
        <v/>
      </c>
      <c r="I13" s="156">
        <f>SUM(C13:H13)</f>
        <v/>
      </c>
    </row>
    <row r="14" ht="14.4" customHeight="1" s="152">
      <c r="B14" s="204" t="inlineStr">
        <is>
          <t>Green Bay Packers</t>
        </is>
      </c>
      <c r="C14" s="156">
        <f>IF(    SUMIFS(AllPlayers!$C$2:$C$5000,           AllPlayers!$B$2:$B$5000,$B14,           AllPlayers!$H$2:$H$5000,"QB",           AllPlayers!$E$2:$E$5000,"1",           AllPlayers!$D$2:$D$5000,"Healthy")&gt;0,    SUMIFS(AllPlayers!$C$2:$C$5000,           AllPlayers!$B$2:$B$5000,$B14,           AllPlayers!$H$2:$H$5000,"QB",           AllPlayers!$E$2:$E$5000,"1",           AllPlayers!$D$2:$D$5000,"Healthy"),    SUMIFS(AllPlayers!$C$2:$C$5000,           AllPlayers!$B$2:$B$5000,$B14,           AllPlayers!$H$2:$H$5000,"QB",           AllPlayers!$E$2:$E$5000,"2") )</f>
        <v/>
      </c>
      <c r="D14" s="156">
        <f>IF(    SUMIFS(AllPlayers!$C$2:$C$5000,           AllPlayers!$B$2:$B$5000,$B14,           AllPlayers!$H$2:$H$5000,"RB",           AllPlayers!$E$2:$E$5000,"1",           AllPlayers!$D$2:$D$5000,"Healthy")    +    SUMIFS(AllPlayers!$C$2:$C$5000,           AllPlayers!$B$2:$B$5000,$B14,           AllPlayers!$H$2:$H$5000,"RB",           AllPlayers!$E$2:$E$5000,"2",           AllPlayers!$D$2:$D$5000,"Healthy") &gt; 0,        SUMIFS(AllPlayers!$C$2:$C$5000,           AllPlayers!$B$2:$B$5000,$B14,           AllPlayers!$H$2:$H$5000,"RB",           AllPlayers!$E$2:$E$5000,"1",           AllPlayers!$D$2:$D$5000,"Healthy")    +    SUMIFS(AllPlayers!$C$2:$C$5000,           AllPlayers!$B$2:$B$5000,$B14,           AllPlayers!$H$2:$H$5000,"RB",           AllPlayers!$E$2:$E$5000,"2",           AllPlayers!$D$2:$D$5000,"Healthy"),        IF(       SUMIFS(AllPlayers!$C$2:$C$5000,              AllPlayers!$B$2:$B$5000,$B14,              AllPlayers!$H$2:$H$5000,"RB",              AllPlayers!$E$2:$E$5000,"3",              AllPlayers!$D$2:$D$5000,"Healthy")&gt;0,       SUMIFS(AllPlayers!$C$2:$C$5000,              AllPlayers!$B$2:$B$5000,$B14,              AllPlayers!$H$2:$H$5000,"RB",              AllPlayers!$E$2:$E$5000,"3",              AllPlayers!$D$2:$D$5000,"Healthy"),       IF(          SUMIFS(AllPlayers!$C$2:$C$5000,                 AllPlayers!$B$2:$B$5000,$B14,                 AllPlayers!$H$2:$H$5000,"RB",                 AllPlayers!$E$2:$E$5000,"4",                 AllPlayers!$D$2:$D$5000,"Healthy")&gt;0,          SUMIFS(AllPlayers!$C$2:$C$5000,                 AllPlayers!$B$2:$B$5000,$B14,                 AllPlayers!$H$2:$H$5000,"RB",                 AllPlayers!$E$2:$E$5000,"4",                 AllPlayers!$D$2:$D$5000,"Healthy"),          SUMIFS(AllPlayers!$C$2:$C$5000,                 AllPlayers!$B$2:$B$5000,$B14,                 AllPlayers!$H$2:$H$5000,"RB",                 AllPlayers!$E$2:$E$5000,"5",                 AllPlayers!$D$2:$D$5000,"Healthy")       )    ) )</f>
        <v/>
      </c>
      <c r="E14" s="156">
        <f>IF(    SUMPRODUCT((AllPlayers!$B$2:$B$5000=$B14)*               (AllPlayers!$H$2:$H$5000="WR")*               (VALUE(AllPlayers!$E$2:$E$5000)&lt;=4)*               (AllPlayers!$D$2:$D$5000="Healthy")*               AllPlayers!$C$2:$C$5000) &gt; 0,    SUMPRODUCT((AllPlayers!$B$2:$B$5000=$B14)*               (AllPlayers!$H$2:$H$5000="WR")*               (VALUE(AllPlayers!$E$2:$E$5000)&lt;=4)*               (AllPlayers!$D$2:$D$5000="Healthy")*               AllPlayers!$C$2:$C$5000),    IF(       SUMPRODUCT((AllPlayers!$B$2:$B$5000=$B14)*                  (AllPlayers!$H$2:$H$5000="WR")*                  (AllPlayers!$E$2:$E$5000="5")*                  (AllPlayers!$D$2:$D$5000="Healthy")*                  AllPlayers!$C$2:$C$5000) &gt; 0,       SUMPRODUCT((AllPlayers!$B$2:$B$5000=$B14)*                  (AllPlayers!$H$2:$H$5000="WR")*                  (AllPlayers!$E$2:$E$5000="5")*                  (AllPlayers!$D$2:$D$5000="Healthy")*                  AllPlayers!$C$2:$C$5000),       IF(          SUMPRODUCT((AllPlayers!$B$2:$B$5000=$B14)*                     (AllPlayers!$H$2:$H$5000="WR")*                     (AllPlayers!$E$2:$E$5000="6")*                     (AllPlayers!$D$2:$D$5000="Healthy")*                     AllPlayers!$C$2:$C$5000) &gt; 0,          SUMPRODUCT((AllPlayers!$B$2:$B$5000=$B14)*                     (AllPlayers!$H$2:$H$5000="WR")*                     (AllPlayers!$E$2:$E$5000="6")*                     (AllPlayers!$D$2:$D$5000="Healthy")*                     AllPlayers!$C$2:$C$5000),          IF(             SUMPRODUCT((AllPlayers!$B$2:$B$5000=$B14)*                        (AllPlayers!$H$2:$H$5000="WR")*                        (AllPlayers!$E$2:$E$5000="7")*                        (AllPlayers!$D$2:$D$5000="Healthy")*                        AllPlayers!$C$2:$C$5000) &gt; 0,             SUMPRODUCT((AllPlayers!$B$2:$B$5000=$B14)*                        (AllPlayers!$H$2:$H$5000="WR")*                        (AllPlayers!$E$2:$E$5000="7")*                        (AllPlayers!$D$2:$D$5000="Healthy")*                        AllPlayers!$C$2:$C$5000),             IF(                SUMPRODUCT((AllPlayers!$B$2:$B$5000=$B14)*                           (AllPlayers!$H$2:$H$5000="WR")*                           (AllPlayers!$E$2:$E$5000="8")*                           (AllPlayers!$D$2:$D$5000="Healthy")*                           AllPlayers!$C$2:$C$5000) &gt; 0,                SUMPRODUCT((AllPlayers!$B$2:$B$5000=$B14)*                           (AllPlayers!$H$2:$H$5000="WR")*                           (AllPlayers!$E$2:$E$5000="8")*                           (AllPlayers!$D$2:$D$5000="Healthy")*                           AllPlayers!$C$2:$C$5000),                SUMPRODUCT((AllPlayers!$B$2:$B$5000=$B14)*                           (AllPlayers!$H$2:$H$5000="WR")*                           (AllPlayers!$E$2:$E$5000="9")*                           (AllPlayers!$D$2:$D$5000="Healthy")*                           AllPlayers!$C$2:$C$5000)             )          )       )    ) )</f>
        <v/>
      </c>
      <c r="F14" s="156">
        <f>IF(    SUMIFS(AllPlayers!$C$2:$C$5000,           AllPlayers!$B$2:$B$5000,$B14,           AllPlayers!$H$2:$H$5000,"TE",           AllPlayers!$E$2:$E$5000,"1",           AllPlayers!$D$2:$D$5000,"Healthy")&gt;0,    SUMIFS(AllPlayers!$C$2:$C$5000,           AllPlayers!$B$2:$B$5000,$B14,           AllPlayers!$H$2:$H$5000,"TE",           AllPlayers!$E$2:$E$5000,"1",           AllPlayers!$D$2:$D$5000,"Healthy"),    SUMIFS(AllPlayers!$C$2:$C$5000,           AllPlayers!$B$2:$B$5000,$B14,           AllPlayers!$H$2:$H$5000,"TE",           AllPlayers!$E$2:$E$5000,"2") )</f>
        <v/>
      </c>
      <c r="G14" s="156">
        <f>SUMIFS(K!$C:$C,K!$W:$W,$B14)</f>
        <v/>
      </c>
      <c r="H14" s="156">
        <f>SUMIF(AllPlayers!B:B,B14,AllPlayers!O:O)</f>
        <v/>
      </c>
      <c r="I14" s="156">
        <f>SUM(C14:H14)</f>
        <v/>
      </c>
    </row>
    <row r="15" ht="14.4" customHeight="1" s="152">
      <c r="B15" s="204" t="inlineStr">
        <is>
          <t>Tampa Bay Buccaneers</t>
        </is>
      </c>
      <c r="C15" s="156">
        <f>IF(    SUMIFS(AllPlayers!$C$2:$C$5000,           AllPlayers!$B$2:$B$5000,$B15,           AllPlayers!$H$2:$H$5000,"QB",           AllPlayers!$E$2:$E$5000,"1",           AllPlayers!$D$2:$D$5000,"Healthy")&gt;0,    SUMIFS(AllPlayers!$C$2:$C$5000,           AllPlayers!$B$2:$B$5000,$B15,           AllPlayers!$H$2:$H$5000,"QB",           AllPlayers!$E$2:$E$5000,"1",           AllPlayers!$D$2:$D$5000,"Healthy"),    SUMIFS(AllPlayers!$C$2:$C$5000,           AllPlayers!$B$2:$B$5000,$B15,           AllPlayers!$H$2:$H$5000,"QB",           AllPlayers!$E$2:$E$5000,"2") )</f>
        <v/>
      </c>
      <c r="D15" s="156">
        <f>IF(    SUMIFS(AllPlayers!$C$2:$C$5000,           AllPlayers!$B$2:$B$5000,$B15,           AllPlayers!$H$2:$H$5000,"RB",           AllPlayers!$E$2:$E$5000,"1",           AllPlayers!$D$2:$D$5000,"Healthy")    +    SUMIFS(AllPlayers!$C$2:$C$5000,           AllPlayers!$B$2:$B$5000,$B15,           AllPlayers!$H$2:$H$5000,"RB",           AllPlayers!$E$2:$E$5000,"2",           AllPlayers!$D$2:$D$5000,"Healthy") &gt; 0,        SUMIFS(AllPlayers!$C$2:$C$5000,           AllPlayers!$B$2:$B$5000,$B15,           AllPlayers!$H$2:$H$5000,"RB",           AllPlayers!$E$2:$E$5000,"1",           AllPlayers!$D$2:$D$5000,"Healthy")    +    SUMIFS(AllPlayers!$C$2:$C$5000,           AllPlayers!$B$2:$B$5000,$B15,           AllPlayers!$H$2:$H$5000,"RB",           AllPlayers!$E$2:$E$5000,"2",           AllPlayers!$D$2:$D$5000,"Healthy"),        IF(       SUMIFS(AllPlayers!$C$2:$C$5000,              AllPlayers!$B$2:$B$5000,$B15,              AllPlayers!$H$2:$H$5000,"RB",              AllPlayers!$E$2:$E$5000,"3",              AllPlayers!$D$2:$D$5000,"Healthy")&gt;0,       SUMIFS(AllPlayers!$C$2:$C$5000,              AllPlayers!$B$2:$B$5000,$B15,              AllPlayers!$H$2:$H$5000,"RB",              AllPlayers!$E$2:$E$5000,"3",              AllPlayers!$D$2:$D$5000,"Healthy"),       IF(          SUMIFS(AllPlayers!$C$2:$C$5000,                 AllPlayers!$B$2:$B$5000,$B15,                 AllPlayers!$H$2:$H$5000,"RB",                 AllPlayers!$E$2:$E$5000,"4",                 AllPlayers!$D$2:$D$5000,"Healthy")&gt;0,          SUMIFS(AllPlayers!$C$2:$C$5000,                 AllPlayers!$B$2:$B$5000,$B15,                 AllPlayers!$H$2:$H$5000,"RB",                 AllPlayers!$E$2:$E$5000,"4",                 AllPlayers!$D$2:$D$5000,"Healthy"),          SUMIFS(AllPlayers!$C$2:$C$5000,                 AllPlayers!$B$2:$B$5000,$B15,                 AllPlayers!$H$2:$H$5000,"RB",                 AllPlayers!$E$2:$E$5000,"5",                 AllPlayers!$D$2:$D$5000,"Healthy")       )    ) )</f>
        <v/>
      </c>
      <c r="E15" s="156">
        <f>IF(    SUMPRODUCT((AllPlayers!$B$2:$B$5000=$B15)*               (AllPlayers!$H$2:$H$5000="WR")*               (VALUE(AllPlayers!$E$2:$E$5000)&lt;=4)*               (AllPlayers!$D$2:$D$5000="Healthy")*               AllPlayers!$C$2:$C$5000) &gt; 0,    SUMPRODUCT((AllPlayers!$B$2:$B$5000=$B15)*               (AllPlayers!$H$2:$H$5000="WR")*               (VALUE(AllPlayers!$E$2:$E$5000)&lt;=4)*               (AllPlayers!$D$2:$D$5000="Healthy")*               AllPlayers!$C$2:$C$5000),    IF(       SUMPRODUCT((AllPlayers!$B$2:$B$5000=$B15)*                  (AllPlayers!$H$2:$H$5000="WR")*                  (AllPlayers!$E$2:$E$5000="5")*                  (AllPlayers!$D$2:$D$5000="Healthy")*                  AllPlayers!$C$2:$C$5000) &gt; 0,       SUMPRODUCT((AllPlayers!$B$2:$B$5000=$B15)*                  (AllPlayers!$H$2:$H$5000="WR")*                  (AllPlayers!$E$2:$E$5000="5")*                  (AllPlayers!$D$2:$D$5000="Healthy")*                  AllPlayers!$C$2:$C$5000),       IF(          SUMPRODUCT((AllPlayers!$B$2:$B$5000=$B15)*                     (AllPlayers!$H$2:$H$5000="WR")*                     (AllPlayers!$E$2:$E$5000="6")*                     (AllPlayers!$D$2:$D$5000="Healthy")*                     AllPlayers!$C$2:$C$5000) &gt; 0,          SUMPRODUCT((AllPlayers!$B$2:$B$5000=$B15)*                     (AllPlayers!$H$2:$H$5000="WR")*                     (AllPlayers!$E$2:$E$5000="6")*                     (AllPlayers!$D$2:$D$5000="Healthy")*                     AllPlayers!$C$2:$C$5000),          IF(             SUMPRODUCT((AllPlayers!$B$2:$B$5000=$B15)*                        (AllPlayers!$H$2:$H$5000="WR")*                        (AllPlayers!$E$2:$E$5000="7")*                        (AllPlayers!$D$2:$D$5000="Healthy")*                        AllPlayers!$C$2:$C$5000) &gt; 0,             SUMPRODUCT((AllPlayers!$B$2:$B$5000=$B15)*                        (AllPlayers!$H$2:$H$5000="WR")*                        (AllPlayers!$E$2:$E$5000="7")*                        (AllPlayers!$D$2:$D$5000="Healthy")*                        AllPlayers!$C$2:$C$5000),             IF(                SUMPRODUCT((AllPlayers!$B$2:$B$5000=$B15)*                           (AllPlayers!$H$2:$H$5000="WR")*                           (AllPlayers!$E$2:$E$5000="8")*                           (AllPlayers!$D$2:$D$5000="Healthy")*                           AllPlayers!$C$2:$C$5000) &gt; 0,                SUMPRODUCT((AllPlayers!$B$2:$B$5000=$B15)*                           (AllPlayers!$H$2:$H$5000="WR")*                           (AllPlayers!$E$2:$E$5000="8")*                           (AllPlayers!$D$2:$D$5000="Healthy")*                           AllPlayers!$C$2:$C$5000),                SUMPRODUCT((AllPlayers!$B$2:$B$5000=$B15)*                           (AllPlayers!$H$2:$H$5000="WR")*                           (AllPlayers!$E$2:$E$5000="9")*                           (AllPlayers!$D$2:$D$5000="Healthy")*                           AllPlayers!$C$2:$C$5000)             )          )       )    ) )</f>
        <v/>
      </c>
      <c r="F15" s="156">
        <f>IF(    SUMIFS(AllPlayers!$C$2:$C$5000,           AllPlayers!$B$2:$B$5000,$B15,           AllPlayers!$H$2:$H$5000,"TE",           AllPlayers!$E$2:$E$5000,"1",           AllPlayers!$D$2:$D$5000,"Healthy")&gt;0,    SUMIFS(AllPlayers!$C$2:$C$5000,           AllPlayers!$B$2:$B$5000,$B15,           AllPlayers!$H$2:$H$5000,"TE",           AllPlayers!$E$2:$E$5000,"1",           AllPlayers!$D$2:$D$5000,"Healthy"),    SUMIFS(AllPlayers!$C$2:$C$5000,           AllPlayers!$B$2:$B$5000,$B15,           AllPlayers!$H$2:$H$5000,"TE",           AllPlayers!$E$2:$E$5000,"2") )</f>
        <v/>
      </c>
      <c r="G15" s="156">
        <f>SUMIFS(K!$C:$C,K!$W:$W,$B15)</f>
        <v/>
      </c>
      <c r="H15" s="156">
        <f>SUMIF(AllPlayers!B:B,B15,AllPlayers!O:O)</f>
        <v/>
      </c>
      <c r="I15" s="156">
        <f>SUM(C15:H15)</f>
        <v/>
      </c>
    </row>
    <row r="16" ht="14.4" customHeight="1" s="152">
      <c r="B16" s="204" t="inlineStr">
        <is>
          <t>Baltimore Ravens</t>
        </is>
      </c>
      <c r="C16" s="156">
        <f>IF(    SUMIFS(AllPlayers!$C$2:$C$5000,           AllPlayers!$B$2:$B$5000,$B16,           AllPlayers!$H$2:$H$5000,"QB",           AllPlayers!$E$2:$E$5000,"1",           AllPlayers!$D$2:$D$5000,"Healthy")&gt;0,    SUMIFS(AllPlayers!$C$2:$C$5000,           AllPlayers!$B$2:$B$5000,$B16,           AllPlayers!$H$2:$H$5000,"QB",           AllPlayers!$E$2:$E$5000,"1",           AllPlayers!$D$2:$D$5000,"Healthy"),    SUMIFS(AllPlayers!$C$2:$C$5000,           AllPlayers!$B$2:$B$5000,$B16,           AllPlayers!$H$2:$H$5000,"QB",           AllPlayers!$E$2:$E$5000,"2") )</f>
        <v/>
      </c>
      <c r="D16" s="156">
        <f>IF(    SUMIFS(AllPlayers!$C$2:$C$5000,           AllPlayers!$B$2:$B$5000,$B16,           AllPlayers!$H$2:$H$5000,"RB",           AllPlayers!$E$2:$E$5000,"1",           AllPlayers!$D$2:$D$5000,"Healthy")    +    SUMIFS(AllPlayers!$C$2:$C$5000,           AllPlayers!$B$2:$B$5000,$B16,           AllPlayers!$H$2:$H$5000,"RB",           AllPlayers!$E$2:$E$5000,"2",           AllPlayers!$D$2:$D$5000,"Healthy") &gt; 0,        SUMIFS(AllPlayers!$C$2:$C$5000,           AllPlayers!$B$2:$B$5000,$B16,           AllPlayers!$H$2:$H$5000,"RB",           AllPlayers!$E$2:$E$5000,"1",           AllPlayers!$D$2:$D$5000,"Healthy")    +    SUMIFS(AllPlayers!$C$2:$C$5000,           AllPlayers!$B$2:$B$5000,$B16,           AllPlayers!$H$2:$H$5000,"RB",           AllPlayers!$E$2:$E$5000,"2",           AllPlayers!$D$2:$D$5000,"Healthy"),        IF(       SUMIFS(AllPlayers!$C$2:$C$5000,              AllPlayers!$B$2:$B$5000,$B16,              AllPlayers!$H$2:$H$5000,"RB",              AllPlayers!$E$2:$E$5000,"3",              AllPlayers!$D$2:$D$5000,"Healthy")&gt;0,       SUMIFS(AllPlayers!$C$2:$C$5000,              AllPlayers!$B$2:$B$5000,$B16,              AllPlayers!$H$2:$H$5000,"RB",              AllPlayers!$E$2:$E$5000,"3",              AllPlayers!$D$2:$D$5000,"Healthy"),       IF(          SUMIFS(AllPlayers!$C$2:$C$5000,                 AllPlayers!$B$2:$B$5000,$B16,                 AllPlayers!$H$2:$H$5000,"RB",                 AllPlayers!$E$2:$E$5000,"4",                 AllPlayers!$D$2:$D$5000,"Healthy")&gt;0,          SUMIFS(AllPlayers!$C$2:$C$5000,                 AllPlayers!$B$2:$B$5000,$B16,                 AllPlayers!$H$2:$H$5000,"RB",                 AllPlayers!$E$2:$E$5000,"4",                 AllPlayers!$D$2:$D$5000,"Healthy"),          SUMIFS(AllPlayers!$C$2:$C$5000,                 AllPlayers!$B$2:$B$5000,$B16,                 AllPlayers!$H$2:$H$5000,"RB",                 AllPlayers!$E$2:$E$5000,"5",                 AllPlayers!$D$2:$D$5000,"Healthy")       )    ) )</f>
        <v/>
      </c>
      <c r="E16" s="156">
        <f>IF(    SUMPRODUCT((AllPlayers!$B$2:$B$5000=$B16)*               (AllPlayers!$H$2:$H$5000="WR")*               (VALUE(AllPlayers!$E$2:$E$5000)&lt;=4)*               (AllPlayers!$D$2:$D$5000="Healthy")*               AllPlayers!$C$2:$C$5000) &gt; 0,    SUMPRODUCT((AllPlayers!$B$2:$B$5000=$B16)*               (AllPlayers!$H$2:$H$5000="WR")*               (VALUE(AllPlayers!$E$2:$E$5000)&lt;=4)*               (AllPlayers!$D$2:$D$5000="Healthy")*               AllPlayers!$C$2:$C$5000),    IF(       SUMPRODUCT((AllPlayers!$B$2:$B$5000=$B16)*                  (AllPlayers!$H$2:$H$5000="WR")*                  (AllPlayers!$E$2:$E$5000="5")*                  (AllPlayers!$D$2:$D$5000="Healthy")*                  AllPlayers!$C$2:$C$5000) &gt; 0,       SUMPRODUCT((AllPlayers!$B$2:$B$5000=$B16)*                  (AllPlayers!$H$2:$H$5000="WR")*                  (AllPlayers!$E$2:$E$5000="5")*                  (AllPlayers!$D$2:$D$5000="Healthy")*                  AllPlayers!$C$2:$C$5000),       IF(          SUMPRODUCT((AllPlayers!$B$2:$B$5000=$B16)*                     (AllPlayers!$H$2:$H$5000="WR")*                     (AllPlayers!$E$2:$E$5000="6")*                     (AllPlayers!$D$2:$D$5000="Healthy")*                     AllPlayers!$C$2:$C$5000) &gt; 0,          SUMPRODUCT((AllPlayers!$B$2:$B$5000=$B16)*                     (AllPlayers!$H$2:$H$5000="WR")*                     (AllPlayers!$E$2:$E$5000="6")*                     (AllPlayers!$D$2:$D$5000="Healthy")*                     AllPlayers!$C$2:$C$5000),          IF(             SUMPRODUCT((AllPlayers!$B$2:$B$5000=$B16)*                        (AllPlayers!$H$2:$H$5000="WR")*                        (AllPlayers!$E$2:$E$5000="7")*                        (AllPlayers!$D$2:$D$5000="Healthy")*                        AllPlayers!$C$2:$C$5000) &gt; 0,             SUMPRODUCT((AllPlayers!$B$2:$B$5000=$B16)*                        (AllPlayers!$H$2:$H$5000="WR")*                        (AllPlayers!$E$2:$E$5000="7")*                        (AllPlayers!$D$2:$D$5000="Healthy")*                        AllPlayers!$C$2:$C$5000),             IF(                SUMPRODUCT((AllPlayers!$B$2:$B$5000=$B16)*                           (AllPlayers!$H$2:$H$5000="WR")*                           (AllPlayers!$E$2:$E$5000="8")*                           (AllPlayers!$D$2:$D$5000="Healthy")*                           AllPlayers!$C$2:$C$5000) &gt; 0,                SUMPRODUCT((AllPlayers!$B$2:$B$5000=$B16)*                           (AllPlayers!$H$2:$H$5000="WR")*                           (AllPlayers!$E$2:$E$5000="8")*                           (AllPlayers!$D$2:$D$5000="Healthy")*                           AllPlayers!$C$2:$C$5000),                SUMPRODUCT((AllPlayers!$B$2:$B$5000=$B16)*                           (AllPlayers!$H$2:$H$5000="WR")*                           (AllPlayers!$E$2:$E$5000="9")*                           (AllPlayers!$D$2:$D$5000="Healthy")*                           AllPlayers!$C$2:$C$5000)             )          )       )    ) )</f>
        <v/>
      </c>
      <c r="F16" s="156">
        <f>IF(    SUMIFS(AllPlayers!$C$2:$C$5000,           AllPlayers!$B$2:$B$5000,$B16,           AllPlayers!$H$2:$H$5000,"TE",           AllPlayers!$E$2:$E$5000,"1",           AllPlayers!$D$2:$D$5000,"Healthy")&gt;0,    SUMIFS(AllPlayers!$C$2:$C$5000,           AllPlayers!$B$2:$B$5000,$B16,           AllPlayers!$H$2:$H$5000,"TE",           AllPlayers!$E$2:$E$5000,"1",           AllPlayers!$D$2:$D$5000,"Healthy"),    SUMIFS(AllPlayers!$C$2:$C$5000,           AllPlayers!$B$2:$B$5000,$B16,           AllPlayers!$H$2:$H$5000,"TE",           AllPlayers!$E$2:$E$5000,"2") )</f>
        <v/>
      </c>
      <c r="G16" s="156">
        <f>SUMIFS(K!$C:$C,K!$W:$W,$B16)</f>
        <v/>
      </c>
      <c r="H16" s="156">
        <f>SUMIF(AllPlayers!B:B,B16,AllPlayers!O:O)</f>
        <v/>
      </c>
      <c r="I16" s="156">
        <f>SUM(C16:H16)</f>
        <v/>
      </c>
    </row>
    <row r="17" ht="14.4" customHeight="1" s="152">
      <c r="B17" s="204" t="inlineStr">
        <is>
          <t>Houston Texans</t>
        </is>
      </c>
      <c r="C17" s="156">
        <f>IF(    SUMIFS(AllPlayers!$C$2:$C$5000,           AllPlayers!$B$2:$B$5000,$B17,           AllPlayers!$H$2:$H$5000,"QB",           AllPlayers!$E$2:$E$5000,"1",           AllPlayers!$D$2:$D$5000,"Healthy")&gt;0,    SUMIFS(AllPlayers!$C$2:$C$5000,           AllPlayers!$B$2:$B$5000,$B17,           AllPlayers!$H$2:$H$5000,"QB",           AllPlayers!$E$2:$E$5000,"1",           AllPlayers!$D$2:$D$5000,"Healthy"),    SUMIFS(AllPlayers!$C$2:$C$5000,           AllPlayers!$B$2:$B$5000,$B17,           AllPlayers!$H$2:$H$5000,"QB",           AllPlayers!$E$2:$E$5000,"2") )</f>
        <v/>
      </c>
      <c r="D17" s="156">
        <f>IF(    SUMIFS(AllPlayers!$C$2:$C$5000,           AllPlayers!$B$2:$B$5000,$B17,           AllPlayers!$H$2:$H$5000,"RB",           AllPlayers!$E$2:$E$5000,"1",           AllPlayers!$D$2:$D$5000,"Healthy")    +    SUMIFS(AllPlayers!$C$2:$C$5000,           AllPlayers!$B$2:$B$5000,$B17,           AllPlayers!$H$2:$H$5000,"RB",           AllPlayers!$E$2:$E$5000,"2",           AllPlayers!$D$2:$D$5000,"Healthy") &gt; 0,        SUMIFS(AllPlayers!$C$2:$C$5000,           AllPlayers!$B$2:$B$5000,$B17,           AllPlayers!$H$2:$H$5000,"RB",           AllPlayers!$E$2:$E$5000,"1",           AllPlayers!$D$2:$D$5000,"Healthy")    +    SUMIFS(AllPlayers!$C$2:$C$5000,           AllPlayers!$B$2:$B$5000,$B17,           AllPlayers!$H$2:$H$5000,"RB",           AllPlayers!$E$2:$E$5000,"2",           AllPlayers!$D$2:$D$5000,"Healthy"),        IF(       SUMIFS(AllPlayers!$C$2:$C$5000,              AllPlayers!$B$2:$B$5000,$B17,              AllPlayers!$H$2:$H$5000,"RB",              AllPlayers!$E$2:$E$5000,"3",              AllPlayers!$D$2:$D$5000,"Healthy")&gt;0,       SUMIFS(AllPlayers!$C$2:$C$5000,              AllPlayers!$B$2:$B$5000,$B17,              AllPlayers!$H$2:$H$5000,"RB",              AllPlayers!$E$2:$E$5000,"3",              AllPlayers!$D$2:$D$5000,"Healthy"),       IF(          SUMIFS(AllPlayers!$C$2:$C$5000,                 AllPlayers!$B$2:$B$5000,$B17,                 AllPlayers!$H$2:$H$5000,"RB",                 AllPlayers!$E$2:$E$5000,"4",                 AllPlayers!$D$2:$D$5000,"Healthy")&gt;0,          SUMIFS(AllPlayers!$C$2:$C$5000,                 AllPlayers!$B$2:$B$5000,$B17,                 AllPlayers!$H$2:$H$5000,"RB",                 AllPlayers!$E$2:$E$5000,"4",                 AllPlayers!$D$2:$D$5000,"Healthy"),          SUMIFS(AllPlayers!$C$2:$C$5000,                 AllPlayers!$B$2:$B$5000,$B17,                 AllPlayers!$H$2:$H$5000,"RB",                 AllPlayers!$E$2:$E$5000,"5",                 AllPlayers!$D$2:$D$5000,"Healthy")       )    ) )</f>
        <v/>
      </c>
      <c r="E17" s="156">
        <f>IF(    SUMPRODUCT((AllPlayers!$B$2:$B$5000=$B17)*               (AllPlayers!$H$2:$H$5000="WR")*               (VALUE(AllPlayers!$E$2:$E$5000)&lt;=4)*               (AllPlayers!$D$2:$D$5000="Healthy")*               AllPlayers!$C$2:$C$5000) &gt; 0,    SUMPRODUCT((AllPlayers!$B$2:$B$5000=$B17)*               (AllPlayers!$H$2:$H$5000="WR")*               (VALUE(AllPlayers!$E$2:$E$5000)&lt;=4)*               (AllPlayers!$D$2:$D$5000="Healthy")*               AllPlayers!$C$2:$C$5000),    IF(       SUMPRODUCT((AllPlayers!$B$2:$B$5000=$B17)*                  (AllPlayers!$H$2:$H$5000="WR")*                  (AllPlayers!$E$2:$E$5000="5")*                  (AllPlayers!$D$2:$D$5000="Healthy")*                  AllPlayers!$C$2:$C$5000) &gt; 0,       SUMPRODUCT((AllPlayers!$B$2:$B$5000=$B17)*                  (AllPlayers!$H$2:$H$5000="WR")*                  (AllPlayers!$E$2:$E$5000="5")*                  (AllPlayers!$D$2:$D$5000="Healthy")*                  AllPlayers!$C$2:$C$5000),       IF(          SUMPRODUCT((AllPlayers!$B$2:$B$5000=$B17)*                     (AllPlayers!$H$2:$H$5000="WR")*                     (AllPlayers!$E$2:$E$5000="6")*                     (AllPlayers!$D$2:$D$5000="Healthy")*                     AllPlayers!$C$2:$C$5000) &gt; 0,          SUMPRODUCT((AllPlayers!$B$2:$B$5000=$B17)*                     (AllPlayers!$H$2:$H$5000="WR")*                     (AllPlayers!$E$2:$E$5000="6")*                     (AllPlayers!$D$2:$D$5000="Healthy")*                     AllPlayers!$C$2:$C$5000),          IF(             SUMPRODUCT((AllPlayers!$B$2:$B$5000=$B17)*                        (AllPlayers!$H$2:$H$5000="WR")*                        (AllPlayers!$E$2:$E$5000="7")*                        (AllPlayers!$D$2:$D$5000="Healthy")*                        AllPlayers!$C$2:$C$5000) &gt; 0,             SUMPRODUCT((AllPlayers!$B$2:$B$5000=$B17)*                        (AllPlayers!$H$2:$H$5000="WR")*                        (AllPlayers!$E$2:$E$5000="7")*                        (AllPlayers!$D$2:$D$5000="Healthy")*                        AllPlayers!$C$2:$C$5000),             IF(                SUMPRODUCT((AllPlayers!$B$2:$B$5000=$B17)*                           (AllPlayers!$H$2:$H$5000="WR")*                           (AllPlayers!$E$2:$E$5000="8")*                           (AllPlayers!$D$2:$D$5000="Healthy")*                           AllPlayers!$C$2:$C$5000) &gt; 0,                SUMPRODUCT((AllPlayers!$B$2:$B$5000=$B17)*                           (AllPlayers!$H$2:$H$5000="WR")*                           (AllPlayers!$E$2:$E$5000="8")*                           (AllPlayers!$D$2:$D$5000="Healthy")*                           AllPlayers!$C$2:$C$5000),                SUMPRODUCT((AllPlayers!$B$2:$B$5000=$B17)*                           (AllPlayers!$H$2:$H$5000="WR")*                           (AllPlayers!$E$2:$E$5000="9")*                           (AllPlayers!$D$2:$D$5000="Healthy")*                           AllPlayers!$C$2:$C$5000)             )          )       )    ) )</f>
        <v/>
      </c>
      <c r="F17" s="156">
        <f>IF(    SUMIFS(AllPlayers!$C$2:$C$5000,           AllPlayers!$B$2:$B$5000,$B17,           AllPlayers!$H$2:$H$5000,"TE",           AllPlayers!$E$2:$E$5000,"1",           AllPlayers!$D$2:$D$5000,"Healthy")&gt;0,    SUMIFS(AllPlayers!$C$2:$C$5000,           AllPlayers!$B$2:$B$5000,$B17,           AllPlayers!$H$2:$H$5000,"TE",           AllPlayers!$E$2:$E$5000,"1",           AllPlayers!$D$2:$D$5000,"Healthy"),    SUMIFS(AllPlayers!$C$2:$C$5000,           AllPlayers!$B$2:$B$5000,$B17,           AllPlayers!$H$2:$H$5000,"TE",           AllPlayers!$E$2:$E$5000,"2") )</f>
        <v/>
      </c>
      <c r="G17" s="156">
        <f>SUMIFS(K!$C:$C,K!$W:$W,$B17)</f>
        <v/>
      </c>
      <c r="H17" s="156">
        <f>SUMIF(AllPlayers!B:B,B17,AllPlayers!O:O)</f>
        <v/>
      </c>
      <c r="I17" s="156">
        <f>SUM(C17:H17)</f>
        <v/>
      </c>
    </row>
    <row r="18" ht="14.4" customHeight="1" s="152">
      <c r="B18" s="204" t="inlineStr">
        <is>
          <t>Arizona Cardinals</t>
        </is>
      </c>
      <c r="C18" s="156">
        <f>IF(    SUMIFS(AllPlayers!$C$2:$C$5000,           AllPlayers!$B$2:$B$5000,$B18,           AllPlayers!$H$2:$H$5000,"QB",           AllPlayers!$E$2:$E$5000,"1",           AllPlayers!$D$2:$D$5000,"Healthy")&gt;0,    SUMIFS(AllPlayers!$C$2:$C$5000,           AllPlayers!$B$2:$B$5000,$B18,           AllPlayers!$H$2:$H$5000,"QB",           AllPlayers!$E$2:$E$5000,"1",           AllPlayers!$D$2:$D$5000,"Healthy"),    SUMIFS(AllPlayers!$C$2:$C$5000,           AllPlayers!$B$2:$B$5000,$B18,           AllPlayers!$H$2:$H$5000,"QB",           AllPlayers!$E$2:$E$5000,"2") )</f>
        <v/>
      </c>
      <c r="D18" s="156">
        <f>IF(    SUMIFS(AllPlayers!$C$2:$C$5000,           AllPlayers!$B$2:$B$5000,$B18,           AllPlayers!$H$2:$H$5000,"RB",           AllPlayers!$E$2:$E$5000,"1",           AllPlayers!$D$2:$D$5000,"Healthy")    +    SUMIFS(AllPlayers!$C$2:$C$5000,           AllPlayers!$B$2:$B$5000,$B18,           AllPlayers!$H$2:$H$5000,"RB",           AllPlayers!$E$2:$E$5000,"2",           AllPlayers!$D$2:$D$5000,"Healthy") &gt; 0,        SUMIFS(AllPlayers!$C$2:$C$5000,           AllPlayers!$B$2:$B$5000,$B18,           AllPlayers!$H$2:$H$5000,"RB",           AllPlayers!$E$2:$E$5000,"1",           AllPlayers!$D$2:$D$5000,"Healthy")    +    SUMIFS(AllPlayers!$C$2:$C$5000,           AllPlayers!$B$2:$B$5000,$B18,           AllPlayers!$H$2:$H$5000,"RB",           AllPlayers!$E$2:$E$5000,"2",           AllPlayers!$D$2:$D$5000,"Healthy"),        IF(       SUMIFS(AllPlayers!$C$2:$C$5000,              AllPlayers!$B$2:$B$5000,$B18,              AllPlayers!$H$2:$H$5000,"RB",              AllPlayers!$E$2:$E$5000,"3",              AllPlayers!$D$2:$D$5000,"Healthy")&gt;0,       SUMIFS(AllPlayers!$C$2:$C$5000,              AllPlayers!$B$2:$B$5000,$B18,              AllPlayers!$H$2:$H$5000,"RB",              AllPlayers!$E$2:$E$5000,"3",              AllPlayers!$D$2:$D$5000,"Healthy"),       IF(          SUMIFS(AllPlayers!$C$2:$C$5000,                 AllPlayers!$B$2:$B$5000,$B18,                 AllPlayers!$H$2:$H$5000,"RB",                 AllPlayers!$E$2:$E$5000,"4",                 AllPlayers!$D$2:$D$5000,"Healthy")&gt;0,          SUMIFS(AllPlayers!$C$2:$C$5000,                 AllPlayers!$B$2:$B$5000,$B18,                 AllPlayers!$H$2:$H$5000,"RB",                 AllPlayers!$E$2:$E$5000,"4",                 AllPlayers!$D$2:$D$5000,"Healthy"),          SUMIFS(AllPlayers!$C$2:$C$5000,                 AllPlayers!$B$2:$B$5000,$B18,                 AllPlayers!$H$2:$H$5000,"RB",                 AllPlayers!$E$2:$E$5000,"5",                 AllPlayers!$D$2:$D$5000,"Healthy")       )    ) )</f>
        <v/>
      </c>
      <c r="E18" s="156">
        <f>IF(    SUMPRODUCT((AllPlayers!$B$2:$B$5000=$B18)*               (AllPlayers!$H$2:$H$5000="WR")*               (VALUE(AllPlayers!$E$2:$E$5000)&lt;=4)*               (AllPlayers!$D$2:$D$5000="Healthy")*               AllPlayers!$C$2:$C$5000) &gt; 0,    SUMPRODUCT((AllPlayers!$B$2:$B$5000=$B18)*               (AllPlayers!$H$2:$H$5000="WR")*               (VALUE(AllPlayers!$E$2:$E$5000)&lt;=4)*               (AllPlayers!$D$2:$D$5000="Healthy")*               AllPlayers!$C$2:$C$5000),    IF(       SUMPRODUCT((AllPlayers!$B$2:$B$5000=$B18)*                  (AllPlayers!$H$2:$H$5000="WR")*                  (AllPlayers!$E$2:$E$5000="5")*                  (AllPlayers!$D$2:$D$5000="Healthy")*                  AllPlayers!$C$2:$C$5000) &gt; 0,       SUMPRODUCT((AllPlayers!$B$2:$B$5000=$B18)*                  (AllPlayers!$H$2:$H$5000="WR")*                  (AllPlayers!$E$2:$E$5000="5")*                  (AllPlayers!$D$2:$D$5000="Healthy")*                  AllPlayers!$C$2:$C$5000),       IF(          SUMPRODUCT((AllPlayers!$B$2:$B$5000=$B18)*                     (AllPlayers!$H$2:$H$5000="WR")*                     (AllPlayers!$E$2:$E$5000="6")*                     (AllPlayers!$D$2:$D$5000="Healthy")*                     AllPlayers!$C$2:$C$5000) &gt; 0,          SUMPRODUCT((AllPlayers!$B$2:$B$5000=$B18)*                     (AllPlayers!$H$2:$H$5000="WR")*                     (AllPlayers!$E$2:$E$5000="6")*                     (AllPlayers!$D$2:$D$5000="Healthy")*                     AllPlayers!$C$2:$C$5000),          IF(             SUMPRODUCT((AllPlayers!$B$2:$B$5000=$B18)*                        (AllPlayers!$H$2:$H$5000="WR")*                        (AllPlayers!$E$2:$E$5000="7")*                        (AllPlayers!$D$2:$D$5000="Healthy")*                        AllPlayers!$C$2:$C$5000) &gt; 0,             SUMPRODUCT((AllPlayers!$B$2:$B$5000=$B18)*                        (AllPlayers!$H$2:$H$5000="WR")*                        (AllPlayers!$E$2:$E$5000="7")*                        (AllPlayers!$D$2:$D$5000="Healthy")*                        AllPlayers!$C$2:$C$5000),             IF(                SUMPRODUCT((AllPlayers!$B$2:$B$5000=$B18)*                           (AllPlayers!$H$2:$H$5000="WR")*                           (AllPlayers!$E$2:$E$5000="8")*                           (AllPlayers!$D$2:$D$5000="Healthy")*                           AllPlayers!$C$2:$C$5000) &gt; 0,                SUMPRODUCT((AllPlayers!$B$2:$B$5000=$B18)*                           (AllPlayers!$H$2:$H$5000="WR")*                           (AllPlayers!$E$2:$E$5000="8")*                           (AllPlayers!$D$2:$D$5000="Healthy")*                           AllPlayers!$C$2:$C$5000),                SUMPRODUCT((AllPlayers!$B$2:$B$5000=$B18)*                           (AllPlayers!$H$2:$H$5000="WR")*                           (AllPlayers!$E$2:$E$5000="9")*                           (AllPlayers!$D$2:$D$5000="Healthy")*                           AllPlayers!$C$2:$C$5000)             )          )       )    ) )</f>
        <v/>
      </c>
      <c r="F18" s="156">
        <f>IF(    SUMIFS(AllPlayers!$C$2:$C$5000,           AllPlayers!$B$2:$B$5000,$B18,           AllPlayers!$H$2:$H$5000,"TE",           AllPlayers!$E$2:$E$5000,"1",           AllPlayers!$D$2:$D$5000,"Healthy")&gt;0,    SUMIFS(AllPlayers!$C$2:$C$5000,           AllPlayers!$B$2:$B$5000,$B18,           AllPlayers!$H$2:$H$5000,"TE",           AllPlayers!$E$2:$E$5000,"1",           AllPlayers!$D$2:$D$5000,"Healthy"),    SUMIFS(AllPlayers!$C$2:$C$5000,           AllPlayers!$B$2:$B$5000,$B18,           AllPlayers!$H$2:$H$5000,"TE",           AllPlayers!$E$2:$E$5000,"2") )</f>
        <v/>
      </c>
      <c r="G18" s="156">
        <f>SUMIFS(K!$C:$C,K!$W:$W,$B18)</f>
        <v/>
      </c>
      <c r="H18" s="156">
        <f>SUMIF(AllPlayers!B:B,B18,AllPlayers!O:O)</f>
        <v/>
      </c>
      <c r="I18" s="156">
        <f>SUM(C18:H18)</f>
        <v/>
      </c>
    </row>
    <row r="19" ht="14.4" customHeight="1" s="152">
      <c r="B19" s="204" t="inlineStr">
        <is>
          <t>Cincinnati Bengals</t>
        </is>
      </c>
      <c r="C19" s="156">
        <f>IF(    SUMIFS(AllPlayers!$C$2:$C$5000,           AllPlayers!$B$2:$B$5000,$B19,           AllPlayers!$H$2:$H$5000,"QB",           AllPlayers!$E$2:$E$5000,"1",           AllPlayers!$D$2:$D$5000,"Healthy")&gt;0,    SUMIFS(AllPlayers!$C$2:$C$5000,           AllPlayers!$B$2:$B$5000,$B19,           AllPlayers!$H$2:$H$5000,"QB",           AllPlayers!$E$2:$E$5000,"1",           AllPlayers!$D$2:$D$5000,"Healthy"),    SUMIFS(AllPlayers!$C$2:$C$5000,           AllPlayers!$B$2:$B$5000,$B19,           AllPlayers!$H$2:$H$5000,"QB",           AllPlayers!$E$2:$E$5000,"2") )</f>
        <v/>
      </c>
      <c r="D19" s="156">
        <f>IF(    SUMIFS(AllPlayers!$C$2:$C$5000,           AllPlayers!$B$2:$B$5000,$B19,           AllPlayers!$H$2:$H$5000,"RB",           AllPlayers!$E$2:$E$5000,"1",           AllPlayers!$D$2:$D$5000,"Healthy")    +    SUMIFS(AllPlayers!$C$2:$C$5000,           AllPlayers!$B$2:$B$5000,$B19,           AllPlayers!$H$2:$H$5000,"RB",           AllPlayers!$E$2:$E$5000,"2",           AllPlayers!$D$2:$D$5000,"Healthy") &gt; 0,        SUMIFS(AllPlayers!$C$2:$C$5000,           AllPlayers!$B$2:$B$5000,$B19,           AllPlayers!$H$2:$H$5000,"RB",           AllPlayers!$E$2:$E$5000,"1",           AllPlayers!$D$2:$D$5000,"Healthy")    +    SUMIFS(AllPlayers!$C$2:$C$5000,           AllPlayers!$B$2:$B$5000,$B19,           AllPlayers!$H$2:$H$5000,"RB",           AllPlayers!$E$2:$E$5000,"2",           AllPlayers!$D$2:$D$5000,"Healthy"),        IF(       SUMIFS(AllPlayers!$C$2:$C$5000,              AllPlayers!$B$2:$B$5000,$B19,              AllPlayers!$H$2:$H$5000,"RB",              AllPlayers!$E$2:$E$5000,"3",              AllPlayers!$D$2:$D$5000,"Healthy")&gt;0,       SUMIFS(AllPlayers!$C$2:$C$5000,              AllPlayers!$B$2:$B$5000,$B19,              AllPlayers!$H$2:$H$5000,"RB",              AllPlayers!$E$2:$E$5000,"3",              AllPlayers!$D$2:$D$5000,"Healthy"),       IF(          SUMIFS(AllPlayers!$C$2:$C$5000,                 AllPlayers!$B$2:$B$5000,$B19,                 AllPlayers!$H$2:$H$5000,"RB",                 AllPlayers!$E$2:$E$5000,"4",                 AllPlayers!$D$2:$D$5000,"Healthy")&gt;0,          SUMIFS(AllPlayers!$C$2:$C$5000,                 AllPlayers!$B$2:$B$5000,$B19,                 AllPlayers!$H$2:$H$5000,"RB",                 AllPlayers!$E$2:$E$5000,"4",                 AllPlayers!$D$2:$D$5000,"Healthy"),          SUMIFS(AllPlayers!$C$2:$C$5000,                 AllPlayers!$B$2:$B$5000,$B19,                 AllPlayers!$H$2:$H$5000,"RB",                 AllPlayers!$E$2:$E$5000,"5",                 AllPlayers!$D$2:$D$5000,"Healthy")       )    ) )</f>
        <v/>
      </c>
      <c r="E19" s="156">
        <f>IF(    SUMPRODUCT((AllPlayers!$B$2:$B$5000=$B19)*               (AllPlayers!$H$2:$H$5000="WR")*               (VALUE(AllPlayers!$E$2:$E$5000)&lt;=4)*               (AllPlayers!$D$2:$D$5000="Healthy")*               AllPlayers!$C$2:$C$5000) &gt; 0,    SUMPRODUCT((AllPlayers!$B$2:$B$5000=$B19)*               (AllPlayers!$H$2:$H$5000="WR")*               (VALUE(AllPlayers!$E$2:$E$5000)&lt;=4)*               (AllPlayers!$D$2:$D$5000="Healthy")*               AllPlayers!$C$2:$C$5000),    IF(       SUMPRODUCT((AllPlayers!$B$2:$B$5000=$B19)*                  (AllPlayers!$H$2:$H$5000="WR")*                  (AllPlayers!$E$2:$E$5000="5")*                  (AllPlayers!$D$2:$D$5000="Healthy")*                  AllPlayers!$C$2:$C$5000) &gt; 0,       SUMPRODUCT((AllPlayers!$B$2:$B$5000=$B19)*                  (AllPlayers!$H$2:$H$5000="WR")*                  (AllPlayers!$E$2:$E$5000="5")*                  (AllPlayers!$D$2:$D$5000="Healthy")*                  AllPlayers!$C$2:$C$5000),       IF(          SUMPRODUCT((AllPlayers!$B$2:$B$5000=$B19)*                     (AllPlayers!$H$2:$H$5000="WR")*                     (AllPlayers!$E$2:$E$5000="6")*                     (AllPlayers!$D$2:$D$5000="Healthy")*                     AllPlayers!$C$2:$C$5000) &gt; 0,          SUMPRODUCT((AllPlayers!$B$2:$B$5000=$B19)*                     (AllPlayers!$H$2:$H$5000="WR")*                     (AllPlayers!$E$2:$E$5000="6")*                     (AllPlayers!$D$2:$D$5000="Healthy")*                     AllPlayers!$C$2:$C$5000),          IF(             SUMPRODUCT((AllPlayers!$B$2:$B$5000=$B19)*                        (AllPlayers!$H$2:$H$5000="WR")*                        (AllPlayers!$E$2:$E$5000="7")*                        (AllPlayers!$D$2:$D$5000="Healthy")*                        AllPlayers!$C$2:$C$5000) &gt; 0,             SUMPRODUCT((AllPlayers!$B$2:$B$5000=$B19)*                        (AllPlayers!$H$2:$H$5000="WR")*                        (AllPlayers!$E$2:$E$5000="7")*                        (AllPlayers!$D$2:$D$5000="Healthy")*                        AllPlayers!$C$2:$C$5000),             IF(                SUMPRODUCT((AllPlayers!$B$2:$B$5000=$B19)*                           (AllPlayers!$H$2:$H$5000="WR")*                           (AllPlayers!$E$2:$E$5000="8")*                           (AllPlayers!$D$2:$D$5000="Healthy")*                           AllPlayers!$C$2:$C$5000) &gt; 0,                SUMPRODUCT((AllPlayers!$B$2:$B$5000=$B19)*                           (AllPlayers!$H$2:$H$5000="WR")*                           (AllPlayers!$E$2:$E$5000="8")*                           (AllPlayers!$D$2:$D$5000="Healthy")*                           AllPlayers!$C$2:$C$5000),                SUMPRODUCT((AllPlayers!$B$2:$B$5000=$B19)*                           (AllPlayers!$H$2:$H$5000="WR")*                           (AllPlayers!$E$2:$E$5000="9")*                           (AllPlayers!$D$2:$D$5000="Healthy")*                           AllPlayers!$C$2:$C$5000)             )          )       )    ) )</f>
        <v/>
      </c>
      <c r="F19" s="156">
        <f>IF(    SUMIFS(AllPlayers!$C$2:$C$5000,           AllPlayers!$B$2:$B$5000,$B19,           AllPlayers!$H$2:$H$5000,"TE",           AllPlayers!$E$2:$E$5000,"1",           AllPlayers!$D$2:$D$5000,"Healthy")&gt;0,    SUMIFS(AllPlayers!$C$2:$C$5000,           AllPlayers!$B$2:$B$5000,$B19,           AllPlayers!$H$2:$H$5000,"TE",           AllPlayers!$E$2:$E$5000,"1",           AllPlayers!$D$2:$D$5000,"Healthy"),    SUMIFS(AllPlayers!$C$2:$C$5000,           AllPlayers!$B$2:$B$5000,$B19,           AllPlayers!$H$2:$H$5000,"TE",           AllPlayers!$E$2:$E$5000,"2") )</f>
        <v/>
      </c>
      <c r="G19" s="156">
        <f>SUMIFS(K!$C:$C,K!$W:$W,$B19)</f>
        <v/>
      </c>
      <c r="H19" s="156">
        <f>SUMIF(AllPlayers!B:B,B19,AllPlayers!O:O)</f>
        <v/>
      </c>
      <c r="I19" s="156">
        <f>SUM(C19:H19)</f>
        <v/>
      </c>
    </row>
    <row r="20" ht="14.4" customHeight="1" s="152">
      <c r="B20" s="204" t="inlineStr">
        <is>
          <t>New England Patriots</t>
        </is>
      </c>
      <c r="C20" s="156">
        <f>IF(    SUMIFS(AllPlayers!$C$2:$C$5000,           AllPlayers!$B$2:$B$5000,$B20,           AllPlayers!$H$2:$H$5000,"QB",           AllPlayers!$E$2:$E$5000,"1",           AllPlayers!$D$2:$D$5000,"Healthy")&gt;0,    SUMIFS(AllPlayers!$C$2:$C$5000,           AllPlayers!$B$2:$B$5000,$B20,           AllPlayers!$H$2:$H$5000,"QB",           AllPlayers!$E$2:$E$5000,"1",           AllPlayers!$D$2:$D$5000,"Healthy"),    SUMIFS(AllPlayers!$C$2:$C$5000,           AllPlayers!$B$2:$B$5000,$B20,           AllPlayers!$H$2:$H$5000,"QB",           AllPlayers!$E$2:$E$5000,"2") )</f>
        <v/>
      </c>
      <c r="D20" s="156">
        <f>IF(    SUMIFS(AllPlayers!$C$2:$C$5000,           AllPlayers!$B$2:$B$5000,$B20,           AllPlayers!$H$2:$H$5000,"RB",           AllPlayers!$E$2:$E$5000,"1",           AllPlayers!$D$2:$D$5000,"Healthy")    +    SUMIFS(AllPlayers!$C$2:$C$5000,           AllPlayers!$B$2:$B$5000,$B20,           AllPlayers!$H$2:$H$5000,"RB",           AllPlayers!$E$2:$E$5000,"2",           AllPlayers!$D$2:$D$5000,"Healthy") &gt; 0,        SUMIFS(AllPlayers!$C$2:$C$5000,           AllPlayers!$B$2:$B$5000,$B20,           AllPlayers!$H$2:$H$5000,"RB",           AllPlayers!$E$2:$E$5000,"1",           AllPlayers!$D$2:$D$5000,"Healthy")    +    SUMIFS(AllPlayers!$C$2:$C$5000,           AllPlayers!$B$2:$B$5000,$B20,           AllPlayers!$H$2:$H$5000,"RB",           AllPlayers!$E$2:$E$5000,"2",           AllPlayers!$D$2:$D$5000,"Healthy"),        IF(       SUMIFS(AllPlayers!$C$2:$C$5000,              AllPlayers!$B$2:$B$5000,$B20,              AllPlayers!$H$2:$H$5000,"RB",              AllPlayers!$E$2:$E$5000,"3",              AllPlayers!$D$2:$D$5000,"Healthy")&gt;0,       SUMIFS(AllPlayers!$C$2:$C$5000,              AllPlayers!$B$2:$B$5000,$B20,              AllPlayers!$H$2:$H$5000,"RB",              AllPlayers!$E$2:$E$5000,"3",              AllPlayers!$D$2:$D$5000,"Healthy"),       IF(          SUMIFS(AllPlayers!$C$2:$C$5000,                 AllPlayers!$B$2:$B$5000,$B20,                 AllPlayers!$H$2:$H$5000,"RB",                 AllPlayers!$E$2:$E$5000,"4",                 AllPlayers!$D$2:$D$5000,"Healthy")&gt;0,          SUMIFS(AllPlayers!$C$2:$C$5000,                 AllPlayers!$B$2:$B$5000,$B20,                 AllPlayers!$H$2:$H$5000,"RB",                 AllPlayers!$E$2:$E$5000,"4",                 AllPlayers!$D$2:$D$5000,"Healthy"),          SUMIFS(AllPlayers!$C$2:$C$5000,                 AllPlayers!$B$2:$B$5000,$B20,                 AllPlayers!$H$2:$H$5000,"RB",                 AllPlayers!$E$2:$E$5000,"5",                 AllPlayers!$D$2:$D$5000,"Healthy")       )    ) )</f>
        <v/>
      </c>
      <c r="E20" s="156">
        <f>IF(    SUMPRODUCT((AllPlayers!$B$2:$B$5000=$B20)*               (AllPlayers!$H$2:$H$5000="WR")*               (VALUE(AllPlayers!$E$2:$E$5000)&lt;=4)*               (AllPlayers!$D$2:$D$5000="Healthy")*               AllPlayers!$C$2:$C$5000) &gt; 0,    SUMPRODUCT((AllPlayers!$B$2:$B$5000=$B20)*               (AllPlayers!$H$2:$H$5000="WR")*               (VALUE(AllPlayers!$E$2:$E$5000)&lt;=4)*               (AllPlayers!$D$2:$D$5000="Healthy")*               AllPlayers!$C$2:$C$5000),    IF(       SUMPRODUCT((AllPlayers!$B$2:$B$5000=$B20)*                  (AllPlayers!$H$2:$H$5000="WR")*                  (AllPlayers!$E$2:$E$5000="5")*                  (AllPlayers!$D$2:$D$5000="Healthy")*                  AllPlayers!$C$2:$C$5000) &gt; 0,       SUMPRODUCT((AllPlayers!$B$2:$B$5000=$B20)*                  (AllPlayers!$H$2:$H$5000="WR")*                  (AllPlayers!$E$2:$E$5000="5")*                  (AllPlayers!$D$2:$D$5000="Healthy")*                  AllPlayers!$C$2:$C$5000),       IF(          SUMPRODUCT((AllPlayers!$B$2:$B$5000=$B20)*                     (AllPlayers!$H$2:$H$5000="WR")*                     (AllPlayers!$E$2:$E$5000="6")*                     (AllPlayers!$D$2:$D$5000="Healthy")*                     AllPlayers!$C$2:$C$5000) &gt; 0,          SUMPRODUCT((AllPlayers!$B$2:$B$5000=$B20)*                     (AllPlayers!$H$2:$H$5000="WR")*                     (AllPlayers!$E$2:$E$5000="6")*                     (AllPlayers!$D$2:$D$5000="Healthy")*                     AllPlayers!$C$2:$C$5000),          IF(             SUMPRODUCT((AllPlayers!$B$2:$B$5000=$B20)*                        (AllPlayers!$H$2:$H$5000="WR")*                        (AllPlayers!$E$2:$E$5000="7")*                        (AllPlayers!$D$2:$D$5000="Healthy")*                        AllPlayers!$C$2:$C$5000) &gt; 0,             SUMPRODUCT((AllPlayers!$B$2:$B$5000=$B20)*                        (AllPlayers!$H$2:$H$5000="WR")*                        (AllPlayers!$E$2:$E$5000="7")*                        (AllPlayers!$D$2:$D$5000="Healthy")*                        AllPlayers!$C$2:$C$5000),             IF(                SUMPRODUCT((AllPlayers!$B$2:$B$5000=$B20)*                           (AllPlayers!$H$2:$H$5000="WR")*                           (AllPlayers!$E$2:$E$5000="8")*                           (AllPlayers!$D$2:$D$5000="Healthy")*                           AllPlayers!$C$2:$C$5000) &gt; 0,                SUMPRODUCT((AllPlayers!$B$2:$B$5000=$B20)*                           (AllPlayers!$H$2:$H$5000="WR")*                           (AllPlayers!$E$2:$E$5000="8")*                           (AllPlayers!$D$2:$D$5000="Healthy")*                           AllPlayers!$C$2:$C$5000),                SUMPRODUCT((AllPlayers!$B$2:$B$5000=$B20)*                           (AllPlayers!$H$2:$H$5000="WR")*                           (AllPlayers!$E$2:$E$5000="9")*                           (AllPlayers!$D$2:$D$5000="Healthy")*                           AllPlayers!$C$2:$C$5000)             )          )       )    ) )</f>
        <v/>
      </c>
      <c r="F20" s="156">
        <f>IF(    SUMIFS(AllPlayers!$C$2:$C$5000,           AllPlayers!$B$2:$B$5000,$B20,           AllPlayers!$H$2:$H$5000,"TE",           AllPlayers!$E$2:$E$5000,"1",           AllPlayers!$D$2:$D$5000,"Healthy")&gt;0,    SUMIFS(AllPlayers!$C$2:$C$5000,           AllPlayers!$B$2:$B$5000,$B20,           AllPlayers!$H$2:$H$5000,"TE",           AllPlayers!$E$2:$E$5000,"1",           AllPlayers!$D$2:$D$5000,"Healthy"),    SUMIFS(AllPlayers!$C$2:$C$5000,           AllPlayers!$B$2:$B$5000,$B20,           AllPlayers!$H$2:$H$5000,"TE",           AllPlayers!$E$2:$E$5000,"2") )</f>
        <v/>
      </c>
      <c r="G20" s="156">
        <f>SUMIFS(K!$C:$C,K!$W:$W,$B20)</f>
        <v/>
      </c>
      <c r="H20" s="156">
        <f>SUMIF(AllPlayers!B:B,B20,AllPlayers!O:O)</f>
        <v/>
      </c>
      <c r="I20" s="156">
        <f>SUM(C20:H20)</f>
        <v/>
      </c>
    </row>
    <row r="21" ht="14.4" customHeight="1" s="152">
      <c r="B21" s="204" t="inlineStr">
        <is>
          <t>Las Vegas Raiders</t>
        </is>
      </c>
      <c r="C21" s="156">
        <f>IF(    SUMIFS(AllPlayers!$C$2:$C$5000,           AllPlayers!$B$2:$B$5000,$B21,           AllPlayers!$H$2:$H$5000,"QB",           AllPlayers!$E$2:$E$5000,"1",           AllPlayers!$D$2:$D$5000,"Healthy")&gt;0,    SUMIFS(AllPlayers!$C$2:$C$5000,           AllPlayers!$B$2:$B$5000,$B21,           AllPlayers!$H$2:$H$5000,"QB",           AllPlayers!$E$2:$E$5000,"1",           AllPlayers!$D$2:$D$5000,"Healthy"),    SUMIFS(AllPlayers!$C$2:$C$5000,           AllPlayers!$B$2:$B$5000,$B21,           AllPlayers!$H$2:$H$5000,"QB",           AllPlayers!$E$2:$E$5000,"2") )</f>
        <v/>
      </c>
      <c r="D21" s="156">
        <f>IF(    SUMIFS(AllPlayers!$C$2:$C$5000,           AllPlayers!$B$2:$B$5000,$B21,           AllPlayers!$H$2:$H$5000,"RB",           AllPlayers!$E$2:$E$5000,"1",           AllPlayers!$D$2:$D$5000,"Healthy")    +    SUMIFS(AllPlayers!$C$2:$C$5000,           AllPlayers!$B$2:$B$5000,$B21,           AllPlayers!$H$2:$H$5000,"RB",           AllPlayers!$E$2:$E$5000,"2",           AllPlayers!$D$2:$D$5000,"Healthy") &gt; 0,        SUMIFS(AllPlayers!$C$2:$C$5000,           AllPlayers!$B$2:$B$5000,$B21,           AllPlayers!$H$2:$H$5000,"RB",           AllPlayers!$E$2:$E$5000,"1",           AllPlayers!$D$2:$D$5000,"Healthy")    +    SUMIFS(AllPlayers!$C$2:$C$5000,           AllPlayers!$B$2:$B$5000,$B21,           AllPlayers!$H$2:$H$5000,"RB",           AllPlayers!$E$2:$E$5000,"2",           AllPlayers!$D$2:$D$5000,"Healthy"),        IF(       SUMIFS(AllPlayers!$C$2:$C$5000,              AllPlayers!$B$2:$B$5000,$B21,              AllPlayers!$H$2:$H$5000,"RB",              AllPlayers!$E$2:$E$5000,"3",              AllPlayers!$D$2:$D$5000,"Healthy")&gt;0,       SUMIFS(AllPlayers!$C$2:$C$5000,              AllPlayers!$B$2:$B$5000,$B21,              AllPlayers!$H$2:$H$5000,"RB",              AllPlayers!$E$2:$E$5000,"3",              AllPlayers!$D$2:$D$5000,"Healthy"),       IF(          SUMIFS(AllPlayers!$C$2:$C$5000,                 AllPlayers!$B$2:$B$5000,$B21,                 AllPlayers!$H$2:$H$5000,"RB",                 AllPlayers!$E$2:$E$5000,"4",                 AllPlayers!$D$2:$D$5000,"Healthy")&gt;0,          SUMIFS(AllPlayers!$C$2:$C$5000,                 AllPlayers!$B$2:$B$5000,$B21,                 AllPlayers!$H$2:$H$5000,"RB",                 AllPlayers!$E$2:$E$5000,"4",                 AllPlayers!$D$2:$D$5000,"Healthy"),          SUMIFS(AllPlayers!$C$2:$C$5000,                 AllPlayers!$B$2:$B$5000,$B21,                 AllPlayers!$H$2:$H$5000,"RB",                 AllPlayers!$E$2:$E$5000,"5",                 AllPlayers!$D$2:$D$5000,"Healthy")       )    ) )</f>
        <v/>
      </c>
      <c r="E21" s="156">
        <f>IF(    SUMPRODUCT((AllPlayers!$B$2:$B$5000=$B21)*               (AllPlayers!$H$2:$H$5000="WR")*               (VALUE(AllPlayers!$E$2:$E$5000)&lt;=4)*               (AllPlayers!$D$2:$D$5000="Healthy")*               AllPlayers!$C$2:$C$5000) &gt; 0,    SUMPRODUCT((AllPlayers!$B$2:$B$5000=$B21)*               (AllPlayers!$H$2:$H$5000="WR")*               (VALUE(AllPlayers!$E$2:$E$5000)&lt;=4)*               (AllPlayers!$D$2:$D$5000="Healthy")*               AllPlayers!$C$2:$C$5000),    IF(       SUMPRODUCT((AllPlayers!$B$2:$B$5000=$B21)*                  (AllPlayers!$H$2:$H$5000="WR")*                  (AllPlayers!$E$2:$E$5000="5")*                  (AllPlayers!$D$2:$D$5000="Healthy")*                  AllPlayers!$C$2:$C$5000) &gt; 0,       SUMPRODUCT((AllPlayers!$B$2:$B$5000=$B21)*                  (AllPlayers!$H$2:$H$5000="WR")*                  (AllPlayers!$E$2:$E$5000="5")*                  (AllPlayers!$D$2:$D$5000="Healthy")*                  AllPlayers!$C$2:$C$5000),       IF(          SUMPRODUCT((AllPlayers!$B$2:$B$5000=$B21)*                     (AllPlayers!$H$2:$H$5000="WR")*                     (AllPlayers!$E$2:$E$5000="6")*                     (AllPlayers!$D$2:$D$5000="Healthy")*                     AllPlayers!$C$2:$C$5000) &gt; 0,          SUMPRODUCT((AllPlayers!$B$2:$B$5000=$B21)*                     (AllPlayers!$H$2:$H$5000="WR")*                     (AllPlayers!$E$2:$E$5000="6")*                     (AllPlayers!$D$2:$D$5000="Healthy")*                     AllPlayers!$C$2:$C$5000),          IF(             SUMPRODUCT((AllPlayers!$B$2:$B$5000=$B21)*                        (AllPlayers!$H$2:$H$5000="WR")*                        (AllPlayers!$E$2:$E$5000="7")*                        (AllPlayers!$D$2:$D$5000="Healthy")*                        AllPlayers!$C$2:$C$5000) &gt; 0,             SUMPRODUCT((AllPlayers!$B$2:$B$5000=$B21)*                        (AllPlayers!$H$2:$H$5000="WR")*                        (AllPlayers!$E$2:$E$5000="7")*                        (AllPlayers!$D$2:$D$5000="Healthy")*                        AllPlayers!$C$2:$C$5000),             IF(                SUMPRODUCT((AllPlayers!$B$2:$B$5000=$B21)*                           (AllPlayers!$H$2:$H$5000="WR")*                           (AllPlayers!$E$2:$E$5000="8")*                           (AllPlayers!$D$2:$D$5000="Healthy")*                           AllPlayers!$C$2:$C$5000) &gt; 0,                SUMPRODUCT((AllPlayers!$B$2:$B$5000=$B21)*                           (AllPlayers!$H$2:$H$5000="WR")*                           (AllPlayers!$E$2:$E$5000="8")*                           (AllPlayers!$D$2:$D$5000="Healthy")*                           AllPlayers!$C$2:$C$5000),                SUMPRODUCT((AllPlayers!$B$2:$B$5000=$B21)*                           (AllPlayers!$H$2:$H$5000="WR")*                           (AllPlayers!$E$2:$E$5000="9")*                           (AllPlayers!$D$2:$D$5000="Healthy")*                           AllPlayers!$C$2:$C$5000)             )          )       )    ) )</f>
        <v/>
      </c>
      <c r="F21" s="156">
        <f>IF(    SUMIFS(AllPlayers!$C$2:$C$5000,           AllPlayers!$B$2:$B$5000,$B21,           AllPlayers!$H$2:$H$5000,"TE",           AllPlayers!$E$2:$E$5000,"1",           AllPlayers!$D$2:$D$5000,"Healthy")&gt;0,    SUMIFS(AllPlayers!$C$2:$C$5000,           AllPlayers!$B$2:$B$5000,$B21,           AllPlayers!$H$2:$H$5000,"TE",           AllPlayers!$E$2:$E$5000,"1",           AllPlayers!$D$2:$D$5000,"Healthy"),    SUMIFS(AllPlayers!$C$2:$C$5000,           AllPlayers!$B$2:$B$5000,$B21,           AllPlayers!$H$2:$H$5000,"TE",           AllPlayers!$E$2:$E$5000,"2") )</f>
        <v/>
      </c>
      <c r="G21" s="156">
        <f>SUMIFS(K!$C:$C,K!$W:$W,$B21)</f>
        <v/>
      </c>
      <c r="H21" s="156">
        <f>SUMIF(AllPlayers!B:B,B21,AllPlayers!O:O)</f>
        <v/>
      </c>
      <c r="I21" s="156">
        <f>SUM(C21:H21)</f>
        <v/>
      </c>
    </row>
    <row r="22" ht="14.4" customHeight="1" s="152">
      <c r="B22" s="204" t="inlineStr">
        <is>
          <t>Atlanta Falcons</t>
        </is>
      </c>
      <c r="C22" s="156">
        <f>IF(    SUMIFS(AllPlayers!$C$2:$C$5000,           AllPlayers!$B$2:$B$5000,$B22,           AllPlayers!$H$2:$H$5000,"QB",           AllPlayers!$E$2:$E$5000,"1",           AllPlayers!$D$2:$D$5000,"Healthy")&gt;0,    SUMIFS(AllPlayers!$C$2:$C$5000,           AllPlayers!$B$2:$B$5000,$B22,           AllPlayers!$H$2:$H$5000,"QB",           AllPlayers!$E$2:$E$5000,"1",           AllPlayers!$D$2:$D$5000,"Healthy"),    SUMIFS(AllPlayers!$C$2:$C$5000,           AllPlayers!$B$2:$B$5000,$B22,           AllPlayers!$H$2:$H$5000,"QB",           AllPlayers!$E$2:$E$5000,"2") )</f>
        <v/>
      </c>
      <c r="D22" s="156">
        <f>IF(    SUMIFS(AllPlayers!$C$2:$C$5000,           AllPlayers!$B$2:$B$5000,$B22,           AllPlayers!$H$2:$H$5000,"RB",           AllPlayers!$E$2:$E$5000,"1",           AllPlayers!$D$2:$D$5000,"Healthy")    +    SUMIFS(AllPlayers!$C$2:$C$5000,           AllPlayers!$B$2:$B$5000,$B22,           AllPlayers!$H$2:$H$5000,"RB",           AllPlayers!$E$2:$E$5000,"2",           AllPlayers!$D$2:$D$5000,"Healthy") &gt; 0,        SUMIFS(AllPlayers!$C$2:$C$5000,           AllPlayers!$B$2:$B$5000,$B22,           AllPlayers!$H$2:$H$5000,"RB",           AllPlayers!$E$2:$E$5000,"1",           AllPlayers!$D$2:$D$5000,"Healthy")    +    SUMIFS(AllPlayers!$C$2:$C$5000,           AllPlayers!$B$2:$B$5000,$B22,           AllPlayers!$H$2:$H$5000,"RB",           AllPlayers!$E$2:$E$5000,"2",           AllPlayers!$D$2:$D$5000,"Healthy"),        IF(       SUMIFS(AllPlayers!$C$2:$C$5000,              AllPlayers!$B$2:$B$5000,$B22,              AllPlayers!$H$2:$H$5000,"RB",              AllPlayers!$E$2:$E$5000,"3",              AllPlayers!$D$2:$D$5000,"Healthy")&gt;0,       SUMIFS(AllPlayers!$C$2:$C$5000,              AllPlayers!$B$2:$B$5000,$B22,              AllPlayers!$H$2:$H$5000,"RB",              AllPlayers!$E$2:$E$5000,"3",              AllPlayers!$D$2:$D$5000,"Healthy"),       IF(          SUMIFS(AllPlayers!$C$2:$C$5000,                 AllPlayers!$B$2:$B$5000,$B22,                 AllPlayers!$H$2:$H$5000,"RB",                 AllPlayers!$E$2:$E$5000,"4",                 AllPlayers!$D$2:$D$5000,"Healthy")&gt;0,          SUMIFS(AllPlayers!$C$2:$C$5000,                 AllPlayers!$B$2:$B$5000,$B22,                 AllPlayers!$H$2:$H$5000,"RB",                 AllPlayers!$E$2:$E$5000,"4",                 AllPlayers!$D$2:$D$5000,"Healthy"),          SUMIFS(AllPlayers!$C$2:$C$5000,                 AllPlayers!$B$2:$B$5000,$B22,                 AllPlayers!$H$2:$H$5000,"RB",                 AllPlayers!$E$2:$E$5000,"5",                 AllPlayers!$D$2:$D$5000,"Healthy")       )    ) )</f>
        <v/>
      </c>
      <c r="E22" s="156">
        <f>IF(    SUMPRODUCT((AllPlayers!$B$2:$B$5000=$B22)*               (AllPlayers!$H$2:$H$5000="WR")*               (VALUE(AllPlayers!$E$2:$E$5000)&lt;=4)*               (AllPlayers!$D$2:$D$5000="Healthy")*               AllPlayers!$C$2:$C$5000) &gt; 0,    SUMPRODUCT((AllPlayers!$B$2:$B$5000=$B22)*               (AllPlayers!$H$2:$H$5000="WR")*               (VALUE(AllPlayers!$E$2:$E$5000)&lt;=4)*               (AllPlayers!$D$2:$D$5000="Healthy")*               AllPlayers!$C$2:$C$5000),    IF(       SUMPRODUCT((AllPlayers!$B$2:$B$5000=$B22)*                  (AllPlayers!$H$2:$H$5000="WR")*                  (AllPlayers!$E$2:$E$5000="5")*                  (AllPlayers!$D$2:$D$5000="Healthy")*                  AllPlayers!$C$2:$C$5000) &gt; 0,       SUMPRODUCT((AllPlayers!$B$2:$B$5000=$B22)*                  (AllPlayers!$H$2:$H$5000="WR")*                  (AllPlayers!$E$2:$E$5000="5")*                  (AllPlayers!$D$2:$D$5000="Healthy")*                  AllPlayers!$C$2:$C$5000),       IF(          SUMPRODUCT((AllPlayers!$B$2:$B$5000=$B22)*                     (AllPlayers!$H$2:$H$5000="WR")*                     (AllPlayers!$E$2:$E$5000="6")*                     (AllPlayers!$D$2:$D$5000="Healthy")*                     AllPlayers!$C$2:$C$5000) &gt; 0,          SUMPRODUCT((AllPlayers!$B$2:$B$5000=$B22)*                     (AllPlayers!$H$2:$H$5000="WR")*                     (AllPlayers!$E$2:$E$5000="6")*                     (AllPlayers!$D$2:$D$5000="Healthy")*                     AllPlayers!$C$2:$C$5000),          IF(             SUMPRODUCT((AllPlayers!$B$2:$B$5000=$B22)*                        (AllPlayers!$H$2:$H$5000="WR")*                        (AllPlayers!$E$2:$E$5000="7")*                        (AllPlayers!$D$2:$D$5000="Healthy")*                        AllPlayers!$C$2:$C$5000) &gt; 0,             SUMPRODUCT((AllPlayers!$B$2:$B$5000=$B22)*                        (AllPlayers!$H$2:$H$5000="WR")*                        (AllPlayers!$E$2:$E$5000="7")*                        (AllPlayers!$D$2:$D$5000="Healthy")*                        AllPlayers!$C$2:$C$5000),             IF(                SUMPRODUCT((AllPlayers!$B$2:$B$5000=$B22)*                           (AllPlayers!$H$2:$H$5000="WR")*                           (AllPlayers!$E$2:$E$5000="8")*                           (AllPlayers!$D$2:$D$5000="Healthy")*                           AllPlayers!$C$2:$C$5000) &gt; 0,                SUMPRODUCT((AllPlayers!$B$2:$B$5000=$B22)*                           (AllPlayers!$H$2:$H$5000="WR")*                           (AllPlayers!$E$2:$E$5000="8")*                           (AllPlayers!$D$2:$D$5000="Healthy")*                           AllPlayers!$C$2:$C$5000),                SUMPRODUCT((AllPlayers!$B$2:$B$5000=$B22)*                           (AllPlayers!$H$2:$H$5000="WR")*                           (AllPlayers!$E$2:$E$5000="9")*                           (AllPlayers!$D$2:$D$5000="Healthy")*                           AllPlayers!$C$2:$C$5000)             )          )       )    ) )</f>
        <v/>
      </c>
      <c r="F22" s="156">
        <f>IF(    SUMIFS(AllPlayers!$C$2:$C$5000,           AllPlayers!$B$2:$B$5000,$B22,           AllPlayers!$H$2:$H$5000,"TE",           AllPlayers!$E$2:$E$5000,"1",           AllPlayers!$D$2:$D$5000,"Healthy")&gt;0,    SUMIFS(AllPlayers!$C$2:$C$5000,           AllPlayers!$B$2:$B$5000,$B22,           AllPlayers!$H$2:$H$5000,"TE",           AllPlayers!$E$2:$E$5000,"1",           AllPlayers!$D$2:$D$5000,"Healthy"),    SUMIFS(AllPlayers!$C$2:$C$5000,           AllPlayers!$B$2:$B$5000,$B22,           AllPlayers!$H$2:$H$5000,"TE",           AllPlayers!$E$2:$E$5000,"2") )</f>
        <v/>
      </c>
      <c r="G22" s="156">
        <f>SUMIFS(K!$C:$C,K!$W:$W,$B22)</f>
        <v/>
      </c>
      <c r="H22" s="156">
        <f>SUMIF(AllPlayers!B:B,B22,AllPlayers!O:O)</f>
        <v/>
      </c>
      <c r="I22" s="156">
        <f>SUM(C22:H22)</f>
        <v/>
      </c>
    </row>
    <row r="23" ht="14.4" customHeight="1" s="152">
      <c r="B23" s="204" t="inlineStr">
        <is>
          <t>Jacksonville Jaguars</t>
        </is>
      </c>
      <c r="C23" s="156">
        <f>IF(    SUMIFS(AllPlayers!$C$2:$C$5000,           AllPlayers!$B$2:$B$5000,$B23,           AllPlayers!$H$2:$H$5000,"QB",           AllPlayers!$E$2:$E$5000,"1",           AllPlayers!$D$2:$D$5000,"Healthy")&gt;0,    SUMIFS(AllPlayers!$C$2:$C$5000,           AllPlayers!$B$2:$B$5000,$B23,           AllPlayers!$H$2:$H$5000,"QB",           AllPlayers!$E$2:$E$5000,"1",           AllPlayers!$D$2:$D$5000,"Healthy"),    SUMIFS(AllPlayers!$C$2:$C$5000,           AllPlayers!$B$2:$B$5000,$B23,           AllPlayers!$H$2:$H$5000,"QB",           AllPlayers!$E$2:$E$5000,"2") )</f>
        <v/>
      </c>
      <c r="D23" s="156">
        <f>IF(    SUMIFS(AllPlayers!$C$2:$C$5000,           AllPlayers!$B$2:$B$5000,$B23,           AllPlayers!$H$2:$H$5000,"RB",           AllPlayers!$E$2:$E$5000,"1",           AllPlayers!$D$2:$D$5000,"Healthy")    +    SUMIFS(AllPlayers!$C$2:$C$5000,           AllPlayers!$B$2:$B$5000,$B23,           AllPlayers!$H$2:$H$5000,"RB",           AllPlayers!$E$2:$E$5000,"2",           AllPlayers!$D$2:$D$5000,"Healthy") &gt; 0,        SUMIFS(AllPlayers!$C$2:$C$5000,           AllPlayers!$B$2:$B$5000,$B23,           AllPlayers!$H$2:$H$5000,"RB",           AllPlayers!$E$2:$E$5000,"1",           AllPlayers!$D$2:$D$5000,"Healthy")    +    SUMIFS(AllPlayers!$C$2:$C$5000,           AllPlayers!$B$2:$B$5000,$B23,           AllPlayers!$H$2:$H$5000,"RB",           AllPlayers!$E$2:$E$5000,"2",           AllPlayers!$D$2:$D$5000,"Healthy"),        IF(       SUMIFS(AllPlayers!$C$2:$C$5000,              AllPlayers!$B$2:$B$5000,$B23,              AllPlayers!$H$2:$H$5000,"RB",              AllPlayers!$E$2:$E$5000,"3",              AllPlayers!$D$2:$D$5000,"Healthy")&gt;0,       SUMIFS(AllPlayers!$C$2:$C$5000,              AllPlayers!$B$2:$B$5000,$B23,              AllPlayers!$H$2:$H$5000,"RB",              AllPlayers!$E$2:$E$5000,"3",              AllPlayers!$D$2:$D$5000,"Healthy"),       IF(          SUMIFS(AllPlayers!$C$2:$C$5000,                 AllPlayers!$B$2:$B$5000,$B23,                 AllPlayers!$H$2:$H$5000,"RB",                 AllPlayers!$E$2:$E$5000,"4",                 AllPlayers!$D$2:$D$5000,"Healthy")&gt;0,          SUMIFS(AllPlayers!$C$2:$C$5000,                 AllPlayers!$B$2:$B$5000,$B23,                 AllPlayers!$H$2:$H$5000,"RB",                 AllPlayers!$E$2:$E$5000,"4",                 AllPlayers!$D$2:$D$5000,"Healthy"),          SUMIFS(AllPlayers!$C$2:$C$5000,                 AllPlayers!$B$2:$B$5000,$B23,                 AllPlayers!$H$2:$H$5000,"RB",                 AllPlayers!$E$2:$E$5000,"5",                 AllPlayers!$D$2:$D$5000,"Healthy")       )    ) )</f>
        <v/>
      </c>
      <c r="E23" s="156">
        <f>IF(    SUMPRODUCT((AllPlayers!$B$2:$B$5000=$B23)*               (AllPlayers!$H$2:$H$5000="WR")*               (VALUE(AllPlayers!$E$2:$E$5000)&lt;=4)*               (AllPlayers!$D$2:$D$5000="Healthy")*               AllPlayers!$C$2:$C$5000) &gt; 0,    SUMPRODUCT((AllPlayers!$B$2:$B$5000=$B23)*               (AllPlayers!$H$2:$H$5000="WR")*               (VALUE(AllPlayers!$E$2:$E$5000)&lt;=4)*               (AllPlayers!$D$2:$D$5000="Healthy")*               AllPlayers!$C$2:$C$5000),    IF(       SUMPRODUCT((AllPlayers!$B$2:$B$5000=$B23)*                  (AllPlayers!$H$2:$H$5000="WR")*                  (AllPlayers!$E$2:$E$5000="5")*                  (AllPlayers!$D$2:$D$5000="Healthy")*                  AllPlayers!$C$2:$C$5000) &gt; 0,       SUMPRODUCT((AllPlayers!$B$2:$B$5000=$B23)*                  (AllPlayers!$H$2:$H$5000="WR")*                  (AllPlayers!$E$2:$E$5000="5")*                  (AllPlayers!$D$2:$D$5000="Healthy")*                  AllPlayers!$C$2:$C$5000),       IF(          SUMPRODUCT((AllPlayers!$B$2:$B$5000=$B23)*                     (AllPlayers!$H$2:$H$5000="WR")*                     (AllPlayers!$E$2:$E$5000="6")*                     (AllPlayers!$D$2:$D$5000="Healthy")*                     AllPlayers!$C$2:$C$5000) &gt; 0,          SUMPRODUCT((AllPlayers!$B$2:$B$5000=$B23)*                     (AllPlayers!$H$2:$H$5000="WR")*                     (AllPlayers!$E$2:$E$5000="6")*                     (AllPlayers!$D$2:$D$5000="Healthy")*                     AllPlayers!$C$2:$C$5000),          IF(             SUMPRODUCT((AllPlayers!$B$2:$B$5000=$B23)*                        (AllPlayers!$H$2:$H$5000="WR")*                        (AllPlayers!$E$2:$E$5000="7")*                        (AllPlayers!$D$2:$D$5000="Healthy")*                        AllPlayers!$C$2:$C$5000) &gt; 0,             SUMPRODUCT((AllPlayers!$B$2:$B$5000=$B23)*                        (AllPlayers!$H$2:$H$5000="WR")*                        (AllPlayers!$E$2:$E$5000="7")*                        (AllPlayers!$D$2:$D$5000="Healthy")*                        AllPlayers!$C$2:$C$5000),             IF(                SUMPRODUCT((AllPlayers!$B$2:$B$5000=$B23)*                           (AllPlayers!$H$2:$H$5000="WR")*                           (AllPlayers!$E$2:$E$5000="8")*                           (AllPlayers!$D$2:$D$5000="Healthy")*                           AllPlayers!$C$2:$C$5000) &gt; 0,                SUMPRODUCT((AllPlayers!$B$2:$B$5000=$B23)*                           (AllPlayers!$H$2:$H$5000="WR")*                           (AllPlayers!$E$2:$E$5000="8")*                           (AllPlayers!$D$2:$D$5000="Healthy")*                           AllPlayers!$C$2:$C$5000),                SUMPRODUCT((AllPlayers!$B$2:$B$5000=$B23)*                           (AllPlayers!$H$2:$H$5000="WR")*                           (AllPlayers!$E$2:$E$5000="9")*                           (AllPlayers!$D$2:$D$5000="Healthy")*                           AllPlayers!$C$2:$C$5000)             )          )       )    ) )</f>
        <v/>
      </c>
      <c r="F23" s="156">
        <f>IF(    SUMIFS(AllPlayers!$C$2:$C$5000,           AllPlayers!$B$2:$B$5000,$B23,           AllPlayers!$H$2:$H$5000,"TE",           AllPlayers!$E$2:$E$5000,"1",           AllPlayers!$D$2:$D$5000,"Healthy")&gt;0,    SUMIFS(AllPlayers!$C$2:$C$5000,           AllPlayers!$B$2:$B$5000,$B23,           AllPlayers!$H$2:$H$5000,"TE",           AllPlayers!$E$2:$E$5000,"1",           AllPlayers!$D$2:$D$5000,"Healthy"),    SUMIFS(AllPlayers!$C$2:$C$5000,           AllPlayers!$B$2:$B$5000,$B23,           AllPlayers!$H$2:$H$5000,"TE",           AllPlayers!$E$2:$E$5000,"2") )</f>
        <v/>
      </c>
      <c r="G23" s="156">
        <f>SUMIFS(K!$C:$C,K!$W:$W,$B23)</f>
        <v/>
      </c>
      <c r="H23" s="156">
        <f>SUMIF(AllPlayers!B:B,B23,AllPlayers!O:O)</f>
        <v/>
      </c>
      <c r="I23" s="156">
        <f>SUM(C23:H23)</f>
        <v/>
      </c>
    </row>
    <row r="24" ht="14.4" customHeight="1" s="152">
      <c r="B24" s="204" t="inlineStr">
        <is>
          <t>Miami Dolphins</t>
        </is>
      </c>
      <c r="C24" s="156">
        <f>IF(    SUMIFS(AllPlayers!$C$2:$C$5000,           AllPlayers!$B$2:$B$5000,$B24,           AllPlayers!$H$2:$H$5000,"QB",           AllPlayers!$E$2:$E$5000,"1",           AllPlayers!$D$2:$D$5000,"Healthy")&gt;0,    SUMIFS(AllPlayers!$C$2:$C$5000,           AllPlayers!$B$2:$B$5000,$B24,           AllPlayers!$H$2:$H$5000,"QB",           AllPlayers!$E$2:$E$5000,"1",           AllPlayers!$D$2:$D$5000,"Healthy"),    SUMIFS(AllPlayers!$C$2:$C$5000,           AllPlayers!$B$2:$B$5000,$B24,           AllPlayers!$H$2:$H$5000,"QB",           AllPlayers!$E$2:$E$5000,"2") )</f>
        <v/>
      </c>
      <c r="D24" s="156">
        <f>IF(    SUMIFS(AllPlayers!$C$2:$C$5000,           AllPlayers!$B$2:$B$5000,$B24,           AllPlayers!$H$2:$H$5000,"RB",           AllPlayers!$E$2:$E$5000,"1",           AllPlayers!$D$2:$D$5000,"Healthy")    +    SUMIFS(AllPlayers!$C$2:$C$5000,           AllPlayers!$B$2:$B$5000,$B24,           AllPlayers!$H$2:$H$5000,"RB",           AllPlayers!$E$2:$E$5000,"2",           AllPlayers!$D$2:$D$5000,"Healthy") &gt; 0,        SUMIFS(AllPlayers!$C$2:$C$5000,           AllPlayers!$B$2:$B$5000,$B24,           AllPlayers!$H$2:$H$5000,"RB",           AllPlayers!$E$2:$E$5000,"1",           AllPlayers!$D$2:$D$5000,"Healthy")    +    SUMIFS(AllPlayers!$C$2:$C$5000,           AllPlayers!$B$2:$B$5000,$B24,           AllPlayers!$H$2:$H$5000,"RB",           AllPlayers!$E$2:$E$5000,"2",           AllPlayers!$D$2:$D$5000,"Healthy"),        IF(       SUMIFS(AllPlayers!$C$2:$C$5000,              AllPlayers!$B$2:$B$5000,$B24,              AllPlayers!$H$2:$H$5000,"RB",              AllPlayers!$E$2:$E$5000,"3",              AllPlayers!$D$2:$D$5000,"Healthy")&gt;0,       SUMIFS(AllPlayers!$C$2:$C$5000,              AllPlayers!$B$2:$B$5000,$B24,              AllPlayers!$H$2:$H$5000,"RB",              AllPlayers!$E$2:$E$5000,"3",              AllPlayers!$D$2:$D$5000,"Healthy"),       IF(          SUMIFS(AllPlayers!$C$2:$C$5000,                 AllPlayers!$B$2:$B$5000,$B24,                 AllPlayers!$H$2:$H$5000,"RB",                 AllPlayers!$E$2:$E$5000,"4",                 AllPlayers!$D$2:$D$5000,"Healthy")&gt;0,          SUMIFS(AllPlayers!$C$2:$C$5000,                 AllPlayers!$B$2:$B$5000,$B24,                 AllPlayers!$H$2:$H$5000,"RB",                 AllPlayers!$E$2:$E$5000,"4",                 AllPlayers!$D$2:$D$5000,"Healthy"),          SUMIFS(AllPlayers!$C$2:$C$5000,                 AllPlayers!$B$2:$B$5000,$B24,                 AllPlayers!$H$2:$H$5000,"RB",                 AllPlayers!$E$2:$E$5000,"5",                 AllPlayers!$D$2:$D$5000,"Healthy")       )    ) )</f>
        <v/>
      </c>
      <c r="E24" s="156">
        <f>IF(    SUMPRODUCT((AllPlayers!$B$2:$B$5000=$B24)*               (AllPlayers!$H$2:$H$5000="WR")*               (VALUE(AllPlayers!$E$2:$E$5000)&lt;=4)*               (AllPlayers!$D$2:$D$5000="Healthy")*               AllPlayers!$C$2:$C$5000) &gt; 0,    SUMPRODUCT((AllPlayers!$B$2:$B$5000=$B24)*               (AllPlayers!$H$2:$H$5000="WR")*               (VALUE(AllPlayers!$E$2:$E$5000)&lt;=4)*               (AllPlayers!$D$2:$D$5000="Healthy")*               AllPlayers!$C$2:$C$5000),    IF(       SUMPRODUCT((AllPlayers!$B$2:$B$5000=$B24)*                  (AllPlayers!$H$2:$H$5000="WR")*                  (AllPlayers!$E$2:$E$5000="5")*                  (AllPlayers!$D$2:$D$5000="Healthy")*                  AllPlayers!$C$2:$C$5000) &gt; 0,       SUMPRODUCT((AllPlayers!$B$2:$B$5000=$B24)*                  (AllPlayers!$H$2:$H$5000="WR")*                  (AllPlayers!$E$2:$E$5000="5")*                  (AllPlayers!$D$2:$D$5000="Healthy")*                  AllPlayers!$C$2:$C$5000),       IF(          SUMPRODUCT((AllPlayers!$B$2:$B$5000=$B24)*                     (AllPlayers!$H$2:$H$5000="WR")*                     (AllPlayers!$E$2:$E$5000="6")*                     (AllPlayers!$D$2:$D$5000="Healthy")*                     AllPlayers!$C$2:$C$5000) &gt; 0,          SUMPRODUCT((AllPlayers!$B$2:$B$5000=$B24)*                     (AllPlayers!$H$2:$H$5000="WR")*                     (AllPlayers!$E$2:$E$5000="6")*                     (AllPlayers!$D$2:$D$5000="Healthy")*                     AllPlayers!$C$2:$C$5000),          IF(             SUMPRODUCT((AllPlayers!$B$2:$B$5000=$B24)*                        (AllPlayers!$H$2:$H$5000="WR")*                        (AllPlayers!$E$2:$E$5000="7")*                        (AllPlayers!$D$2:$D$5000="Healthy")*                        AllPlayers!$C$2:$C$5000) &gt; 0,             SUMPRODUCT((AllPlayers!$B$2:$B$5000=$B24)*                        (AllPlayers!$H$2:$H$5000="WR")*                        (AllPlayers!$E$2:$E$5000="7")*                        (AllPlayers!$D$2:$D$5000="Healthy")*                        AllPlayers!$C$2:$C$5000),             IF(                SUMPRODUCT((AllPlayers!$B$2:$B$5000=$B24)*                           (AllPlayers!$H$2:$H$5000="WR")*                           (AllPlayers!$E$2:$E$5000="8")*                           (AllPlayers!$D$2:$D$5000="Healthy")*                           AllPlayers!$C$2:$C$5000) &gt; 0,                SUMPRODUCT((AllPlayers!$B$2:$B$5000=$B24)*                           (AllPlayers!$H$2:$H$5000="WR")*                           (AllPlayers!$E$2:$E$5000="8")*                           (AllPlayers!$D$2:$D$5000="Healthy")*                           AllPlayers!$C$2:$C$5000),                SUMPRODUCT((AllPlayers!$B$2:$B$5000=$B24)*                           (AllPlayers!$H$2:$H$5000="WR")*                           (AllPlayers!$E$2:$E$5000="9")*                           (AllPlayers!$D$2:$D$5000="Healthy")*                           AllPlayers!$C$2:$C$5000)             )          )       )    ) )</f>
        <v/>
      </c>
      <c r="F24" s="156">
        <f>IF(    SUMIFS(AllPlayers!$C$2:$C$5000,           AllPlayers!$B$2:$B$5000,$B24,           AllPlayers!$H$2:$H$5000,"TE",           AllPlayers!$E$2:$E$5000,"1",           AllPlayers!$D$2:$D$5000,"Healthy")&gt;0,    SUMIFS(AllPlayers!$C$2:$C$5000,           AllPlayers!$B$2:$B$5000,$B24,           AllPlayers!$H$2:$H$5000,"TE",           AllPlayers!$E$2:$E$5000,"1",           AllPlayers!$D$2:$D$5000,"Healthy"),    SUMIFS(AllPlayers!$C$2:$C$5000,           AllPlayers!$B$2:$B$5000,$B24,           AllPlayers!$H$2:$H$5000,"TE",           AllPlayers!$E$2:$E$5000,"2") )</f>
        <v/>
      </c>
      <c r="G24" s="156">
        <f>SUMIFS(K!$C:$C,K!$W:$W,$B24)</f>
        <v/>
      </c>
      <c r="H24" s="156">
        <f>SUMIF(AllPlayers!B:B,B24,AllPlayers!O:O)</f>
        <v/>
      </c>
      <c r="I24" s="156">
        <f>SUM(C24:H24)</f>
        <v/>
      </c>
    </row>
    <row r="25" ht="14.4" customHeight="1" s="152">
      <c r="B25" s="204" t="inlineStr">
        <is>
          <t>Minnesota Vikings</t>
        </is>
      </c>
      <c r="C25" s="156">
        <f>IF(    SUMIFS(AllPlayers!$C$2:$C$5000,           AllPlayers!$B$2:$B$5000,$B25,           AllPlayers!$H$2:$H$5000,"QB",           AllPlayers!$E$2:$E$5000,"1",           AllPlayers!$D$2:$D$5000,"Healthy")&gt;0,    SUMIFS(AllPlayers!$C$2:$C$5000,           AllPlayers!$B$2:$B$5000,$B25,           AllPlayers!$H$2:$H$5000,"QB",           AllPlayers!$E$2:$E$5000,"1",           AllPlayers!$D$2:$D$5000,"Healthy"),    SUMIFS(AllPlayers!$C$2:$C$5000,           AllPlayers!$B$2:$B$5000,$B25,           AllPlayers!$H$2:$H$5000,"QB",           AllPlayers!$E$2:$E$5000,"2") )</f>
        <v/>
      </c>
      <c r="D25" s="156">
        <f>IF(    SUMIFS(AllPlayers!$C$2:$C$5000,           AllPlayers!$B$2:$B$5000,$B25,           AllPlayers!$H$2:$H$5000,"RB",           AllPlayers!$E$2:$E$5000,"1",           AllPlayers!$D$2:$D$5000,"Healthy")    +    SUMIFS(AllPlayers!$C$2:$C$5000,           AllPlayers!$B$2:$B$5000,$B25,           AllPlayers!$H$2:$H$5000,"RB",           AllPlayers!$E$2:$E$5000,"2",           AllPlayers!$D$2:$D$5000,"Healthy") &gt; 0,        SUMIFS(AllPlayers!$C$2:$C$5000,           AllPlayers!$B$2:$B$5000,$B25,           AllPlayers!$H$2:$H$5000,"RB",           AllPlayers!$E$2:$E$5000,"1",           AllPlayers!$D$2:$D$5000,"Healthy")    +    SUMIFS(AllPlayers!$C$2:$C$5000,           AllPlayers!$B$2:$B$5000,$B25,           AllPlayers!$H$2:$H$5000,"RB",           AllPlayers!$E$2:$E$5000,"2",           AllPlayers!$D$2:$D$5000,"Healthy"),        IF(       SUMIFS(AllPlayers!$C$2:$C$5000,              AllPlayers!$B$2:$B$5000,$B25,              AllPlayers!$H$2:$H$5000,"RB",              AllPlayers!$E$2:$E$5000,"3",              AllPlayers!$D$2:$D$5000,"Healthy")&gt;0,       SUMIFS(AllPlayers!$C$2:$C$5000,              AllPlayers!$B$2:$B$5000,$B25,              AllPlayers!$H$2:$H$5000,"RB",              AllPlayers!$E$2:$E$5000,"3",              AllPlayers!$D$2:$D$5000,"Healthy"),       IF(          SUMIFS(AllPlayers!$C$2:$C$5000,                 AllPlayers!$B$2:$B$5000,$B25,                 AllPlayers!$H$2:$H$5000,"RB",                 AllPlayers!$E$2:$E$5000,"4",                 AllPlayers!$D$2:$D$5000,"Healthy")&gt;0,          SUMIFS(AllPlayers!$C$2:$C$5000,                 AllPlayers!$B$2:$B$5000,$B25,                 AllPlayers!$H$2:$H$5000,"RB",                 AllPlayers!$E$2:$E$5000,"4",                 AllPlayers!$D$2:$D$5000,"Healthy"),          SUMIFS(AllPlayers!$C$2:$C$5000,                 AllPlayers!$B$2:$B$5000,$B25,                 AllPlayers!$H$2:$H$5000,"RB",                 AllPlayers!$E$2:$E$5000,"5",                 AllPlayers!$D$2:$D$5000,"Healthy")       )    ) )</f>
        <v/>
      </c>
      <c r="E25" s="156">
        <f>IF(    SUMPRODUCT((AllPlayers!$B$2:$B$5000=$B25)*               (AllPlayers!$H$2:$H$5000="WR")*               (VALUE(AllPlayers!$E$2:$E$5000)&lt;=4)*               (AllPlayers!$D$2:$D$5000="Healthy")*               AllPlayers!$C$2:$C$5000) &gt; 0,    SUMPRODUCT((AllPlayers!$B$2:$B$5000=$B25)*               (AllPlayers!$H$2:$H$5000="WR")*               (VALUE(AllPlayers!$E$2:$E$5000)&lt;=4)*               (AllPlayers!$D$2:$D$5000="Healthy")*               AllPlayers!$C$2:$C$5000),    IF(       SUMPRODUCT((AllPlayers!$B$2:$B$5000=$B25)*                  (AllPlayers!$H$2:$H$5000="WR")*                  (AllPlayers!$E$2:$E$5000="5")*                  (AllPlayers!$D$2:$D$5000="Healthy")*                  AllPlayers!$C$2:$C$5000) &gt; 0,       SUMPRODUCT((AllPlayers!$B$2:$B$5000=$B25)*                  (AllPlayers!$H$2:$H$5000="WR")*                  (AllPlayers!$E$2:$E$5000="5")*                  (AllPlayers!$D$2:$D$5000="Healthy")*                  AllPlayers!$C$2:$C$5000),       IF(          SUMPRODUCT((AllPlayers!$B$2:$B$5000=$B25)*                     (AllPlayers!$H$2:$H$5000="WR")*                     (AllPlayers!$E$2:$E$5000="6")*                     (AllPlayers!$D$2:$D$5000="Healthy")*                     AllPlayers!$C$2:$C$5000) &gt; 0,          SUMPRODUCT((AllPlayers!$B$2:$B$5000=$B25)*                     (AllPlayers!$H$2:$H$5000="WR")*                     (AllPlayers!$E$2:$E$5000="6")*                     (AllPlayers!$D$2:$D$5000="Healthy")*                     AllPlayers!$C$2:$C$5000),          IF(             SUMPRODUCT((AllPlayers!$B$2:$B$5000=$B25)*                        (AllPlayers!$H$2:$H$5000="WR")*                        (AllPlayers!$E$2:$E$5000="7")*                        (AllPlayers!$D$2:$D$5000="Healthy")*                        AllPlayers!$C$2:$C$5000) &gt; 0,             SUMPRODUCT((AllPlayers!$B$2:$B$5000=$B25)*                        (AllPlayers!$H$2:$H$5000="WR")*                        (AllPlayers!$E$2:$E$5000="7")*                        (AllPlayers!$D$2:$D$5000="Healthy")*                        AllPlayers!$C$2:$C$5000),             IF(                SUMPRODUCT((AllPlayers!$B$2:$B$5000=$B25)*                           (AllPlayers!$H$2:$H$5000="WR")*                           (AllPlayers!$E$2:$E$5000="8")*                           (AllPlayers!$D$2:$D$5000="Healthy")*                           AllPlayers!$C$2:$C$5000) &gt; 0,                SUMPRODUCT((AllPlayers!$B$2:$B$5000=$B25)*                           (AllPlayers!$H$2:$H$5000="WR")*                           (AllPlayers!$E$2:$E$5000="8")*                           (AllPlayers!$D$2:$D$5000="Healthy")*                           AllPlayers!$C$2:$C$5000),                SUMPRODUCT((AllPlayers!$B$2:$B$5000=$B25)*                           (AllPlayers!$H$2:$H$5000="WR")*                           (AllPlayers!$E$2:$E$5000="9")*                           (AllPlayers!$D$2:$D$5000="Healthy")*                           AllPlayers!$C$2:$C$5000)             )          )       )    ) )</f>
        <v/>
      </c>
      <c r="F25" s="156">
        <f>IF(    SUMIFS(AllPlayers!$C$2:$C$5000,           AllPlayers!$B$2:$B$5000,$B25,           AllPlayers!$H$2:$H$5000,"TE",           AllPlayers!$E$2:$E$5000,"1",           AllPlayers!$D$2:$D$5000,"Healthy")&gt;0,    SUMIFS(AllPlayers!$C$2:$C$5000,           AllPlayers!$B$2:$B$5000,$B25,           AllPlayers!$H$2:$H$5000,"TE",           AllPlayers!$E$2:$E$5000,"1",           AllPlayers!$D$2:$D$5000,"Healthy"),    SUMIFS(AllPlayers!$C$2:$C$5000,           AllPlayers!$B$2:$B$5000,$B25,           AllPlayers!$H$2:$H$5000,"TE",           AllPlayers!$E$2:$E$5000,"2") )</f>
        <v/>
      </c>
      <c r="G25" s="156">
        <f>SUMIFS(K!$C:$C,K!$W:$W,$B25)</f>
        <v/>
      </c>
      <c r="H25" s="156">
        <f>SUMIF(AllPlayers!B:B,B25,AllPlayers!O:O)</f>
        <v/>
      </c>
      <c r="I25" s="156">
        <f>SUM(C25:H25)</f>
        <v/>
      </c>
    </row>
    <row r="26" ht="14.4" customHeight="1" s="152">
      <c r="B26" s="204" t="inlineStr">
        <is>
          <t>New York Giants</t>
        </is>
      </c>
      <c r="C26" s="156">
        <f>IF(    SUMIFS(AllPlayers!$C$2:$C$5000,           AllPlayers!$B$2:$B$5000,$B26,           AllPlayers!$H$2:$H$5000,"QB",           AllPlayers!$E$2:$E$5000,"1",           AllPlayers!$D$2:$D$5000,"Healthy")&gt;0,    SUMIFS(AllPlayers!$C$2:$C$5000,           AllPlayers!$B$2:$B$5000,$B26,           AllPlayers!$H$2:$H$5000,"QB",           AllPlayers!$E$2:$E$5000,"1",           AllPlayers!$D$2:$D$5000,"Healthy"),    SUMIFS(AllPlayers!$C$2:$C$5000,           AllPlayers!$B$2:$B$5000,$B26,           AllPlayers!$H$2:$H$5000,"QB",           AllPlayers!$E$2:$E$5000,"2") )</f>
        <v/>
      </c>
      <c r="D26" s="156">
        <f>IF(    SUMIFS(AllPlayers!$C$2:$C$5000,           AllPlayers!$B$2:$B$5000,$B26,           AllPlayers!$H$2:$H$5000,"RB",           AllPlayers!$E$2:$E$5000,"1",           AllPlayers!$D$2:$D$5000,"Healthy")    +    SUMIFS(AllPlayers!$C$2:$C$5000,           AllPlayers!$B$2:$B$5000,$B26,           AllPlayers!$H$2:$H$5000,"RB",           AllPlayers!$E$2:$E$5000,"2",           AllPlayers!$D$2:$D$5000,"Healthy") &gt; 0,        SUMIFS(AllPlayers!$C$2:$C$5000,           AllPlayers!$B$2:$B$5000,$B26,           AllPlayers!$H$2:$H$5000,"RB",           AllPlayers!$E$2:$E$5000,"1",           AllPlayers!$D$2:$D$5000,"Healthy")    +    SUMIFS(AllPlayers!$C$2:$C$5000,           AllPlayers!$B$2:$B$5000,$B26,           AllPlayers!$H$2:$H$5000,"RB",           AllPlayers!$E$2:$E$5000,"2",           AllPlayers!$D$2:$D$5000,"Healthy"),        IF(       SUMIFS(AllPlayers!$C$2:$C$5000,              AllPlayers!$B$2:$B$5000,$B26,              AllPlayers!$H$2:$H$5000,"RB",              AllPlayers!$E$2:$E$5000,"3",              AllPlayers!$D$2:$D$5000,"Healthy")&gt;0,       SUMIFS(AllPlayers!$C$2:$C$5000,              AllPlayers!$B$2:$B$5000,$B26,              AllPlayers!$H$2:$H$5000,"RB",              AllPlayers!$E$2:$E$5000,"3",              AllPlayers!$D$2:$D$5000,"Healthy"),       IF(          SUMIFS(AllPlayers!$C$2:$C$5000,                 AllPlayers!$B$2:$B$5000,$B26,                 AllPlayers!$H$2:$H$5000,"RB",                 AllPlayers!$E$2:$E$5000,"4",                 AllPlayers!$D$2:$D$5000,"Healthy")&gt;0,          SUMIFS(AllPlayers!$C$2:$C$5000,                 AllPlayers!$B$2:$B$5000,$B26,                 AllPlayers!$H$2:$H$5000,"RB",                 AllPlayers!$E$2:$E$5000,"4",                 AllPlayers!$D$2:$D$5000,"Healthy"),          SUMIFS(AllPlayers!$C$2:$C$5000,                 AllPlayers!$B$2:$B$5000,$B26,                 AllPlayers!$H$2:$H$5000,"RB",                 AllPlayers!$E$2:$E$5000,"5",                 AllPlayers!$D$2:$D$5000,"Healthy")       )    ) )</f>
        <v/>
      </c>
      <c r="E26" s="156">
        <f>IF(    SUMPRODUCT((AllPlayers!$B$2:$B$5000=$B26)*               (AllPlayers!$H$2:$H$5000="WR")*               (VALUE(AllPlayers!$E$2:$E$5000)&lt;=4)*               (AllPlayers!$D$2:$D$5000="Healthy")*               AllPlayers!$C$2:$C$5000) &gt; 0,    SUMPRODUCT((AllPlayers!$B$2:$B$5000=$B26)*               (AllPlayers!$H$2:$H$5000="WR")*               (VALUE(AllPlayers!$E$2:$E$5000)&lt;=4)*               (AllPlayers!$D$2:$D$5000="Healthy")*               AllPlayers!$C$2:$C$5000),    IF(       SUMPRODUCT((AllPlayers!$B$2:$B$5000=$B26)*                  (AllPlayers!$H$2:$H$5000="WR")*                  (AllPlayers!$E$2:$E$5000="5")*                  (AllPlayers!$D$2:$D$5000="Healthy")*                  AllPlayers!$C$2:$C$5000) &gt; 0,       SUMPRODUCT((AllPlayers!$B$2:$B$5000=$B26)*                  (AllPlayers!$H$2:$H$5000="WR")*                  (AllPlayers!$E$2:$E$5000="5")*                  (AllPlayers!$D$2:$D$5000="Healthy")*                  AllPlayers!$C$2:$C$5000),       IF(          SUMPRODUCT((AllPlayers!$B$2:$B$5000=$B26)*                     (AllPlayers!$H$2:$H$5000="WR")*                     (AllPlayers!$E$2:$E$5000="6")*                     (AllPlayers!$D$2:$D$5000="Healthy")*                     AllPlayers!$C$2:$C$5000) &gt; 0,          SUMPRODUCT((AllPlayers!$B$2:$B$5000=$B26)*                     (AllPlayers!$H$2:$H$5000="WR")*                     (AllPlayers!$E$2:$E$5000="6")*                     (AllPlayers!$D$2:$D$5000="Healthy")*                     AllPlayers!$C$2:$C$5000),          IF(             SUMPRODUCT((AllPlayers!$B$2:$B$5000=$B26)*                        (AllPlayers!$H$2:$H$5000="WR")*                        (AllPlayers!$E$2:$E$5000="7")*                        (AllPlayers!$D$2:$D$5000="Healthy")*                        AllPlayers!$C$2:$C$5000) &gt; 0,             SUMPRODUCT((AllPlayers!$B$2:$B$5000=$B26)*                        (AllPlayers!$H$2:$H$5000="WR")*                        (AllPlayers!$E$2:$E$5000="7")*                        (AllPlayers!$D$2:$D$5000="Healthy")*                        AllPlayers!$C$2:$C$5000),             IF(                SUMPRODUCT((AllPlayers!$B$2:$B$5000=$B26)*                           (AllPlayers!$H$2:$H$5000="WR")*                           (AllPlayers!$E$2:$E$5000="8")*                           (AllPlayers!$D$2:$D$5000="Healthy")*                           AllPlayers!$C$2:$C$5000) &gt; 0,                SUMPRODUCT((AllPlayers!$B$2:$B$5000=$B26)*                           (AllPlayers!$H$2:$H$5000="WR")*                           (AllPlayers!$E$2:$E$5000="8")*                           (AllPlayers!$D$2:$D$5000="Healthy")*                           AllPlayers!$C$2:$C$5000),                SUMPRODUCT((AllPlayers!$B$2:$B$5000=$B26)*                           (AllPlayers!$H$2:$H$5000="WR")*                           (AllPlayers!$E$2:$E$5000="9")*                           (AllPlayers!$D$2:$D$5000="Healthy")*                           AllPlayers!$C$2:$C$5000)             )          )       )    ) )</f>
        <v/>
      </c>
      <c r="F26" s="156">
        <f>IF(    SUMIFS(AllPlayers!$C$2:$C$5000,           AllPlayers!$B$2:$B$5000,$B26,           AllPlayers!$H$2:$H$5000,"TE",           AllPlayers!$E$2:$E$5000,"1",           AllPlayers!$D$2:$D$5000,"Healthy")&gt;0,    SUMIFS(AllPlayers!$C$2:$C$5000,           AllPlayers!$B$2:$B$5000,$B26,           AllPlayers!$H$2:$H$5000,"TE",           AllPlayers!$E$2:$E$5000,"1",           AllPlayers!$D$2:$D$5000,"Healthy"),    SUMIFS(AllPlayers!$C$2:$C$5000,           AllPlayers!$B$2:$B$5000,$B26,           AllPlayers!$H$2:$H$5000,"TE",           AllPlayers!$E$2:$E$5000,"2") )</f>
        <v/>
      </c>
      <c r="G26" s="156">
        <f>SUMIFS(K!$C:$C,K!$W:$W,$B26)</f>
        <v/>
      </c>
      <c r="H26" s="156">
        <f>SUMIF(AllPlayers!B:B,B26,AllPlayers!O:O)</f>
        <v/>
      </c>
      <c r="I26" s="156">
        <f>SUM(C26:H26)</f>
        <v/>
      </c>
    </row>
    <row r="27" ht="14.4" customHeight="1" s="152">
      <c r="B27" s="204" t="inlineStr">
        <is>
          <t>Cleveland Browns</t>
        </is>
      </c>
      <c r="C27" s="156">
        <f>IF(    SUMIFS(AllPlayers!$C$2:$C$5000,           AllPlayers!$B$2:$B$5000,$B27,           AllPlayers!$H$2:$H$5000,"QB",           AllPlayers!$E$2:$E$5000,"1",           AllPlayers!$D$2:$D$5000,"Healthy")&gt;0,    SUMIFS(AllPlayers!$C$2:$C$5000,           AllPlayers!$B$2:$B$5000,$B27,           AllPlayers!$H$2:$H$5000,"QB",           AllPlayers!$E$2:$E$5000,"1",           AllPlayers!$D$2:$D$5000,"Healthy"),    SUMIFS(AllPlayers!$C$2:$C$5000,           AllPlayers!$B$2:$B$5000,$B27,           AllPlayers!$H$2:$H$5000,"QB",           AllPlayers!$E$2:$E$5000,"2") )</f>
        <v/>
      </c>
      <c r="D27" s="156">
        <f>IF(    SUMIFS(AllPlayers!$C$2:$C$5000,           AllPlayers!$B$2:$B$5000,$B27,           AllPlayers!$H$2:$H$5000,"RB",           AllPlayers!$E$2:$E$5000,"1",           AllPlayers!$D$2:$D$5000,"Healthy")    +    SUMIFS(AllPlayers!$C$2:$C$5000,           AllPlayers!$B$2:$B$5000,$B27,           AllPlayers!$H$2:$H$5000,"RB",           AllPlayers!$E$2:$E$5000,"2",           AllPlayers!$D$2:$D$5000,"Healthy") &gt; 0,        SUMIFS(AllPlayers!$C$2:$C$5000,           AllPlayers!$B$2:$B$5000,$B27,           AllPlayers!$H$2:$H$5000,"RB",           AllPlayers!$E$2:$E$5000,"1",           AllPlayers!$D$2:$D$5000,"Healthy")    +    SUMIFS(AllPlayers!$C$2:$C$5000,           AllPlayers!$B$2:$B$5000,$B27,           AllPlayers!$H$2:$H$5000,"RB",           AllPlayers!$E$2:$E$5000,"2",           AllPlayers!$D$2:$D$5000,"Healthy"),        IF(       SUMIFS(AllPlayers!$C$2:$C$5000,              AllPlayers!$B$2:$B$5000,$B27,              AllPlayers!$H$2:$H$5000,"RB",              AllPlayers!$E$2:$E$5000,"3",              AllPlayers!$D$2:$D$5000,"Healthy")&gt;0,       SUMIFS(AllPlayers!$C$2:$C$5000,              AllPlayers!$B$2:$B$5000,$B27,              AllPlayers!$H$2:$H$5000,"RB",              AllPlayers!$E$2:$E$5000,"3",              AllPlayers!$D$2:$D$5000,"Healthy"),       IF(          SUMIFS(AllPlayers!$C$2:$C$5000,                 AllPlayers!$B$2:$B$5000,$B27,                 AllPlayers!$H$2:$H$5000,"RB",                 AllPlayers!$E$2:$E$5000,"4",                 AllPlayers!$D$2:$D$5000,"Healthy")&gt;0,          SUMIFS(AllPlayers!$C$2:$C$5000,                 AllPlayers!$B$2:$B$5000,$B27,                 AllPlayers!$H$2:$H$5000,"RB",                 AllPlayers!$E$2:$E$5000,"4",                 AllPlayers!$D$2:$D$5000,"Healthy"),          SUMIFS(AllPlayers!$C$2:$C$5000,                 AllPlayers!$B$2:$B$5000,$B27,                 AllPlayers!$H$2:$H$5000,"RB",                 AllPlayers!$E$2:$E$5000,"5",                 AllPlayers!$D$2:$D$5000,"Healthy")       )    ) )</f>
        <v/>
      </c>
      <c r="E27" s="156">
        <f>IF(    SUMPRODUCT((AllPlayers!$B$2:$B$5000=$B27)*               (AllPlayers!$H$2:$H$5000="WR")*               (VALUE(AllPlayers!$E$2:$E$5000)&lt;=4)*               (AllPlayers!$D$2:$D$5000="Healthy")*               AllPlayers!$C$2:$C$5000) &gt; 0,    SUMPRODUCT((AllPlayers!$B$2:$B$5000=$B27)*               (AllPlayers!$H$2:$H$5000="WR")*               (VALUE(AllPlayers!$E$2:$E$5000)&lt;=4)*               (AllPlayers!$D$2:$D$5000="Healthy")*               AllPlayers!$C$2:$C$5000),    IF(       SUMPRODUCT((AllPlayers!$B$2:$B$5000=$B27)*                  (AllPlayers!$H$2:$H$5000="WR")*                  (AllPlayers!$E$2:$E$5000="5")*                  (AllPlayers!$D$2:$D$5000="Healthy")*                  AllPlayers!$C$2:$C$5000) &gt; 0,       SUMPRODUCT((AllPlayers!$B$2:$B$5000=$B27)*                  (AllPlayers!$H$2:$H$5000="WR")*                  (AllPlayers!$E$2:$E$5000="5")*                  (AllPlayers!$D$2:$D$5000="Healthy")*                  AllPlayers!$C$2:$C$5000),       IF(          SUMPRODUCT((AllPlayers!$B$2:$B$5000=$B27)*                     (AllPlayers!$H$2:$H$5000="WR")*                     (AllPlayers!$E$2:$E$5000="6")*                     (AllPlayers!$D$2:$D$5000="Healthy")*                     AllPlayers!$C$2:$C$5000) &gt; 0,          SUMPRODUCT((AllPlayers!$B$2:$B$5000=$B27)*                     (AllPlayers!$H$2:$H$5000="WR")*                     (AllPlayers!$E$2:$E$5000="6")*                     (AllPlayers!$D$2:$D$5000="Healthy")*                     AllPlayers!$C$2:$C$5000),          IF(             SUMPRODUCT((AllPlayers!$B$2:$B$5000=$B27)*                        (AllPlayers!$H$2:$H$5000="WR")*                        (AllPlayers!$E$2:$E$5000="7")*                        (AllPlayers!$D$2:$D$5000="Healthy")*                        AllPlayers!$C$2:$C$5000) &gt; 0,             SUMPRODUCT((AllPlayers!$B$2:$B$5000=$B27)*                        (AllPlayers!$H$2:$H$5000="WR")*                        (AllPlayers!$E$2:$E$5000="7")*                        (AllPlayers!$D$2:$D$5000="Healthy")*                        AllPlayers!$C$2:$C$5000),             IF(                SUMPRODUCT((AllPlayers!$B$2:$B$5000=$B27)*                           (AllPlayers!$H$2:$H$5000="WR")*                           (AllPlayers!$E$2:$E$5000="8")*                           (AllPlayers!$D$2:$D$5000="Healthy")*                           AllPlayers!$C$2:$C$5000) &gt; 0,                SUMPRODUCT((AllPlayers!$B$2:$B$5000=$B27)*                           (AllPlayers!$H$2:$H$5000="WR")*                           (AllPlayers!$E$2:$E$5000="8")*                           (AllPlayers!$D$2:$D$5000="Healthy")*                           AllPlayers!$C$2:$C$5000),                SUMPRODUCT((AllPlayers!$B$2:$B$5000=$B27)*                           (AllPlayers!$H$2:$H$5000="WR")*                           (AllPlayers!$E$2:$E$5000="9")*                           (AllPlayers!$D$2:$D$5000="Healthy")*                           AllPlayers!$C$2:$C$5000)             )          )       )    ) )</f>
        <v/>
      </c>
      <c r="F27" s="156">
        <f>IF(    SUMIFS(AllPlayers!$C$2:$C$5000,           AllPlayers!$B$2:$B$5000,$B27,           AllPlayers!$H$2:$H$5000,"TE",           AllPlayers!$E$2:$E$5000,"1",           AllPlayers!$D$2:$D$5000,"Healthy")&gt;0,    SUMIFS(AllPlayers!$C$2:$C$5000,           AllPlayers!$B$2:$B$5000,$B27,           AllPlayers!$H$2:$H$5000,"TE",           AllPlayers!$E$2:$E$5000,"1",           AllPlayers!$D$2:$D$5000,"Healthy"),    SUMIFS(AllPlayers!$C$2:$C$5000,           AllPlayers!$B$2:$B$5000,$B27,           AllPlayers!$H$2:$H$5000,"TE",           AllPlayers!$E$2:$E$5000,"2") )</f>
        <v/>
      </c>
      <c r="G27" s="156">
        <f>SUMIFS(K!$C:$C,K!$W:$W,$B27)</f>
        <v/>
      </c>
      <c r="H27" s="156">
        <f>SUMIF(AllPlayers!B:B,B27,AllPlayers!O:O)</f>
        <v/>
      </c>
      <c r="I27" s="156">
        <f>SUM(C27:H27)</f>
        <v/>
      </c>
    </row>
    <row r="28" ht="14.4" customHeight="1" s="152">
      <c r="B28" s="204" t="inlineStr">
        <is>
          <t>Indianapolis Colts</t>
        </is>
      </c>
      <c r="C28" s="156">
        <f>IF(    SUMIFS(AllPlayers!$C$2:$C$5000,           AllPlayers!$B$2:$B$5000,$B28,           AllPlayers!$H$2:$H$5000,"QB",           AllPlayers!$E$2:$E$5000,"1",           AllPlayers!$D$2:$D$5000,"Healthy")&gt;0,    SUMIFS(AllPlayers!$C$2:$C$5000,           AllPlayers!$B$2:$B$5000,$B28,           AllPlayers!$H$2:$H$5000,"QB",           AllPlayers!$E$2:$E$5000,"1",           AllPlayers!$D$2:$D$5000,"Healthy"),    SUMIFS(AllPlayers!$C$2:$C$5000,           AllPlayers!$B$2:$B$5000,$B28,           AllPlayers!$H$2:$H$5000,"QB",           AllPlayers!$E$2:$E$5000,"2") )</f>
        <v/>
      </c>
      <c r="D28" s="156">
        <f>IF(    SUMIFS(AllPlayers!$C$2:$C$5000,           AllPlayers!$B$2:$B$5000,$B28,           AllPlayers!$H$2:$H$5000,"RB",           AllPlayers!$E$2:$E$5000,"1",           AllPlayers!$D$2:$D$5000,"Healthy")    +    SUMIFS(AllPlayers!$C$2:$C$5000,           AllPlayers!$B$2:$B$5000,$B28,           AllPlayers!$H$2:$H$5000,"RB",           AllPlayers!$E$2:$E$5000,"2",           AllPlayers!$D$2:$D$5000,"Healthy") &gt; 0,        SUMIFS(AllPlayers!$C$2:$C$5000,           AllPlayers!$B$2:$B$5000,$B28,           AllPlayers!$H$2:$H$5000,"RB",           AllPlayers!$E$2:$E$5000,"1",           AllPlayers!$D$2:$D$5000,"Healthy")    +    SUMIFS(AllPlayers!$C$2:$C$5000,           AllPlayers!$B$2:$B$5000,$B28,           AllPlayers!$H$2:$H$5000,"RB",           AllPlayers!$E$2:$E$5000,"2",           AllPlayers!$D$2:$D$5000,"Healthy"),        IF(       SUMIFS(AllPlayers!$C$2:$C$5000,              AllPlayers!$B$2:$B$5000,$B28,              AllPlayers!$H$2:$H$5000,"RB",              AllPlayers!$E$2:$E$5000,"3",              AllPlayers!$D$2:$D$5000,"Healthy")&gt;0,       SUMIFS(AllPlayers!$C$2:$C$5000,              AllPlayers!$B$2:$B$5000,$B28,              AllPlayers!$H$2:$H$5000,"RB",              AllPlayers!$E$2:$E$5000,"3",              AllPlayers!$D$2:$D$5000,"Healthy"),       IF(          SUMIFS(AllPlayers!$C$2:$C$5000,                 AllPlayers!$B$2:$B$5000,$B28,                 AllPlayers!$H$2:$H$5000,"RB",                 AllPlayers!$E$2:$E$5000,"4",                 AllPlayers!$D$2:$D$5000,"Healthy")&gt;0,          SUMIFS(AllPlayers!$C$2:$C$5000,                 AllPlayers!$B$2:$B$5000,$B28,                 AllPlayers!$H$2:$H$5000,"RB",                 AllPlayers!$E$2:$E$5000,"4",                 AllPlayers!$D$2:$D$5000,"Healthy"),          SUMIFS(AllPlayers!$C$2:$C$5000,                 AllPlayers!$B$2:$B$5000,$B28,                 AllPlayers!$H$2:$H$5000,"RB",                 AllPlayers!$E$2:$E$5000,"5",                 AllPlayers!$D$2:$D$5000,"Healthy")       )    ) )</f>
        <v/>
      </c>
      <c r="E28" s="156">
        <f>IF(    SUMPRODUCT((AllPlayers!$B$2:$B$5000=$B28)*               (AllPlayers!$H$2:$H$5000="WR")*               (VALUE(AllPlayers!$E$2:$E$5000)&lt;=4)*               (AllPlayers!$D$2:$D$5000="Healthy")*               AllPlayers!$C$2:$C$5000) &gt; 0,    SUMPRODUCT((AllPlayers!$B$2:$B$5000=$B28)*               (AllPlayers!$H$2:$H$5000="WR")*               (VALUE(AllPlayers!$E$2:$E$5000)&lt;=4)*               (AllPlayers!$D$2:$D$5000="Healthy")*               AllPlayers!$C$2:$C$5000),    IF(       SUMPRODUCT((AllPlayers!$B$2:$B$5000=$B28)*                  (AllPlayers!$H$2:$H$5000="WR")*                  (AllPlayers!$E$2:$E$5000="5")*                  (AllPlayers!$D$2:$D$5000="Healthy")*                  AllPlayers!$C$2:$C$5000) &gt; 0,       SUMPRODUCT((AllPlayers!$B$2:$B$5000=$B28)*                  (AllPlayers!$H$2:$H$5000="WR")*                  (AllPlayers!$E$2:$E$5000="5")*                  (AllPlayers!$D$2:$D$5000="Healthy")*                  AllPlayers!$C$2:$C$5000),       IF(          SUMPRODUCT((AllPlayers!$B$2:$B$5000=$B28)*                     (AllPlayers!$H$2:$H$5000="WR")*                     (AllPlayers!$E$2:$E$5000="6")*                     (AllPlayers!$D$2:$D$5000="Healthy")*                     AllPlayers!$C$2:$C$5000) &gt; 0,          SUMPRODUCT((AllPlayers!$B$2:$B$5000=$B28)*                     (AllPlayers!$H$2:$H$5000="WR")*                     (AllPlayers!$E$2:$E$5000="6")*                     (AllPlayers!$D$2:$D$5000="Healthy")*                     AllPlayers!$C$2:$C$5000),          IF(             SUMPRODUCT((AllPlayers!$B$2:$B$5000=$B28)*                        (AllPlayers!$H$2:$H$5000="WR")*                        (AllPlayers!$E$2:$E$5000="7")*                        (AllPlayers!$D$2:$D$5000="Healthy")*                        AllPlayers!$C$2:$C$5000) &gt; 0,             SUMPRODUCT((AllPlayers!$B$2:$B$5000=$B28)*                        (AllPlayers!$H$2:$H$5000="WR")*                        (AllPlayers!$E$2:$E$5000="7")*                        (AllPlayers!$D$2:$D$5000="Healthy")*                        AllPlayers!$C$2:$C$5000),             IF(                SUMPRODUCT((AllPlayers!$B$2:$B$5000=$B28)*                           (AllPlayers!$H$2:$H$5000="WR")*                           (AllPlayers!$E$2:$E$5000="8")*                           (AllPlayers!$D$2:$D$5000="Healthy")*                           AllPlayers!$C$2:$C$5000) &gt; 0,                SUMPRODUCT((AllPlayers!$B$2:$B$5000=$B28)*                           (AllPlayers!$H$2:$H$5000="WR")*                           (AllPlayers!$E$2:$E$5000="8")*                           (AllPlayers!$D$2:$D$5000="Healthy")*                           AllPlayers!$C$2:$C$5000),                SUMPRODUCT((AllPlayers!$B$2:$B$5000=$B28)*                           (AllPlayers!$H$2:$H$5000="WR")*                           (AllPlayers!$E$2:$E$5000="9")*                           (AllPlayers!$D$2:$D$5000="Healthy")*                           AllPlayers!$C$2:$C$5000)             )          )       )    ) )</f>
        <v/>
      </c>
      <c r="F28" s="156">
        <f>IF(    SUMIFS(AllPlayers!$C$2:$C$5000,           AllPlayers!$B$2:$B$5000,$B28,           AllPlayers!$H$2:$H$5000,"TE",           AllPlayers!$E$2:$E$5000,"1",           AllPlayers!$D$2:$D$5000,"Healthy")&gt;0,    SUMIFS(AllPlayers!$C$2:$C$5000,           AllPlayers!$B$2:$B$5000,$B28,           AllPlayers!$H$2:$H$5000,"TE",           AllPlayers!$E$2:$E$5000,"1",           AllPlayers!$D$2:$D$5000,"Healthy"),    SUMIFS(AllPlayers!$C$2:$C$5000,           AllPlayers!$B$2:$B$5000,$B28,           AllPlayers!$H$2:$H$5000,"TE",           AllPlayers!$E$2:$E$5000,"2") )</f>
        <v/>
      </c>
      <c r="G28" s="156">
        <f>SUMIFS(K!$C:$C,K!$W:$W,$B28)</f>
        <v/>
      </c>
      <c r="H28" s="156">
        <f>SUMIF(AllPlayers!B:B,B28,AllPlayers!O:O)</f>
        <v/>
      </c>
      <c r="I28" s="156">
        <f>SUM(C28:H28)</f>
        <v/>
      </c>
    </row>
    <row r="29" ht="14.4" customHeight="1" s="152">
      <c r="B29" s="204" t="inlineStr">
        <is>
          <t>Los Angeles Chargers</t>
        </is>
      </c>
      <c r="C29" s="156">
        <f>IF(    SUMIFS(AllPlayers!$C$2:$C$5000,           AllPlayers!$B$2:$B$5000,$B29,           AllPlayers!$H$2:$H$5000,"QB",           AllPlayers!$E$2:$E$5000,"1",           AllPlayers!$D$2:$D$5000,"Healthy")&gt;0,    SUMIFS(AllPlayers!$C$2:$C$5000,           AllPlayers!$B$2:$B$5000,$B29,           AllPlayers!$H$2:$H$5000,"QB",           AllPlayers!$E$2:$E$5000,"1",           AllPlayers!$D$2:$D$5000,"Healthy"),    SUMIFS(AllPlayers!$C$2:$C$5000,           AllPlayers!$B$2:$B$5000,$B29,           AllPlayers!$H$2:$H$5000,"QB",           AllPlayers!$E$2:$E$5000,"2") )</f>
        <v/>
      </c>
      <c r="D29" s="156">
        <f>IF(    SUMIFS(AllPlayers!$C$2:$C$5000,           AllPlayers!$B$2:$B$5000,$B29,           AllPlayers!$H$2:$H$5000,"RB",           AllPlayers!$E$2:$E$5000,"1",           AllPlayers!$D$2:$D$5000,"Healthy")    +    SUMIFS(AllPlayers!$C$2:$C$5000,           AllPlayers!$B$2:$B$5000,$B29,           AllPlayers!$H$2:$H$5000,"RB",           AllPlayers!$E$2:$E$5000,"2",           AllPlayers!$D$2:$D$5000,"Healthy") &gt; 0,        SUMIFS(AllPlayers!$C$2:$C$5000,           AllPlayers!$B$2:$B$5000,$B29,           AllPlayers!$H$2:$H$5000,"RB",           AllPlayers!$E$2:$E$5000,"1",           AllPlayers!$D$2:$D$5000,"Healthy")    +    SUMIFS(AllPlayers!$C$2:$C$5000,           AllPlayers!$B$2:$B$5000,$B29,           AllPlayers!$H$2:$H$5000,"RB",           AllPlayers!$E$2:$E$5000,"2",           AllPlayers!$D$2:$D$5000,"Healthy"),        IF(       SUMIFS(AllPlayers!$C$2:$C$5000,              AllPlayers!$B$2:$B$5000,$B29,              AllPlayers!$H$2:$H$5000,"RB",              AllPlayers!$E$2:$E$5000,"3",              AllPlayers!$D$2:$D$5000,"Healthy")&gt;0,       SUMIFS(AllPlayers!$C$2:$C$5000,              AllPlayers!$B$2:$B$5000,$B29,              AllPlayers!$H$2:$H$5000,"RB",              AllPlayers!$E$2:$E$5000,"3",              AllPlayers!$D$2:$D$5000,"Healthy"),       IF(          SUMIFS(AllPlayers!$C$2:$C$5000,                 AllPlayers!$B$2:$B$5000,$B29,                 AllPlayers!$H$2:$H$5000,"RB",                 AllPlayers!$E$2:$E$5000,"4",                 AllPlayers!$D$2:$D$5000,"Healthy")&gt;0,          SUMIFS(AllPlayers!$C$2:$C$5000,                 AllPlayers!$B$2:$B$5000,$B29,                 AllPlayers!$H$2:$H$5000,"RB",                 AllPlayers!$E$2:$E$5000,"4",                 AllPlayers!$D$2:$D$5000,"Healthy"),          SUMIFS(AllPlayers!$C$2:$C$5000,                 AllPlayers!$B$2:$B$5000,$B29,                 AllPlayers!$H$2:$H$5000,"RB",                 AllPlayers!$E$2:$E$5000,"5",                 AllPlayers!$D$2:$D$5000,"Healthy")       )    ) )</f>
        <v/>
      </c>
      <c r="E29" s="156">
        <f>IF(    SUMPRODUCT((AllPlayers!$B$2:$B$5000=$B29)*               (AllPlayers!$H$2:$H$5000="WR")*               (VALUE(AllPlayers!$E$2:$E$5000)&lt;=4)*               (AllPlayers!$D$2:$D$5000="Healthy")*               AllPlayers!$C$2:$C$5000) &gt; 0,    SUMPRODUCT((AllPlayers!$B$2:$B$5000=$B29)*               (AllPlayers!$H$2:$H$5000="WR")*               (VALUE(AllPlayers!$E$2:$E$5000)&lt;=4)*               (AllPlayers!$D$2:$D$5000="Healthy")*               AllPlayers!$C$2:$C$5000),    IF(       SUMPRODUCT((AllPlayers!$B$2:$B$5000=$B29)*                  (AllPlayers!$H$2:$H$5000="WR")*                  (AllPlayers!$E$2:$E$5000="5")*                  (AllPlayers!$D$2:$D$5000="Healthy")*                  AllPlayers!$C$2:$C$5000) &gt; 0,       SUMPRODUCT((AllPlayers!$B$2:$B$5000=$B29)*                  (AllPlayers!$H$2:$H$5000="WR")*                  (AllPlayers!$E$2:$E$5000="5")*                  (AllPlayers!$D$2:$D$5000="Healthy")*                  AllPlayers!$C$2:$C$5000),       IF(          SUMPRODUCT((AllPlayers!$B$2:$B$5000=$B29)*                     (AllPlayers!$H$2:$H$5000="WR")*                     (AllPlayers!$E$2:$E$5000="6")*                     (AllPlayers!$D$2:$D$5000="Healthy")*                     AllPlayers!$C$2:$C$5000) &gt; 0,          SUMPRODUCT((AllPlayers!$B$2:$B$5000=$B29)*                     (AllPlayers!$H$2:$H$5000="WR")*                     (AllPlayers!$E$2:$E$5000="6")*                     (AllPlayers!$D$2:$D$5000="Healthy")*                     AllPlayers!$C$2:$C$5000),          IF(             SUMPRODUCT((AllPlayers!$B$2:$B$5000=$B29)*                        (AllPlayers!$H$2:$H$5000="WR")*                        (AllPlayers!$E$2:$E$5000="7")*                        (AllPlayers!$D$2:$D$5000="Healthy")*                        AllPlayers!$C$2:$C$5000) &gt; 0,             SUMPRODUCT((AllPlayers!$B$2:$B$5000=$B29)*                        (AllPlayers!$H$2:$H$5000="WR")*                        (AllPlayers!$E$2:$E$5000="7")*                        (AllPlayers!$D$2:$D$5000="Healthy")*                        AllPlayers!$C$2:$C$5000),             IF(                SUMPRODUCT((AllPlayers!$B$2:$B$5000=$B29)*                           (AllPlayers!$H$2:$H$5000="WR")*                           (AllPlayers!$E$2:$E$5000="8")*                           (AllPlayers!$D$2:$D$5000="Healthy")*                           AllPlayers!$C$2:$C$5000) &gt; 0,                SUMPRODUCT((AllPlayers!$B$2:$B$5000=$B29)*                           (AllPlayers!$H$2:$H$5000="WR")*                           (AllPlayers!$E$2:$E$5000="8")*                           (AllPlayers!$D$2:$D$5000="Healthy")*                           AllPlayers!$C$2:$C$5000),                SUMPRODUCT((AllPlayers!$B$2:$B$5000=$B29)*                           (AllPlayers!$H$2:$H$5000="WR")*                           (AllPlayers!$E$2:$E$5000="9")*                           (AllPlayers!$D$2:$D$5000="Healthy")*                           AllPlayers!$C$2:$C$5000)             )          )       )    ) )</f>
        <v/>
      </c>
      <c r="F29" s="156">
        <f>IF(    SUMIFS(AllPlayers!$C$2:$C$5000,           AllPlayers!$B$2:$B$5000,$B29,           AllPlayers!$H$2:$H$5000,"TE",           AllPlayers!$E$2:$E$5000,"1",           AllPlayers!$D$2:$D$5000,"Healthy")&gt;0,    SUMIFS(AllPlayers!$C$2:$C$5000,           AllPlayers!$B$2:$B$5000,$B29,           AllPlayers!$H$2:$H$5000,"TE",           AllPlayers!$E$2:$E$5000,"1",           AllPlayers!$D$2:$D$5000,"Healthy"),    SUMIFS(AllPlayers!$C$2:$C$5000,           AllPlayers!$B$2:$B$5000,$B29,           AllPlayers!$H$2:$H$5000,"TE",           AllPlayers!$E$2:$E$5000,"2") )</f>
        <v/>
      </c>
      <c r="G29" s="156">
        <f>SUMIFS(K!$C:$C,K!$W:$W,$B29)</f>
        <v/>
      </c>
      <c r="H29" s="156">
        <f>SUMIF(AllPlayers!B:B,B29,AllPlayers!O:O)</f>
        <v/>
      </c>
      <c r="I29" s="156">
        <f>SUM(C29:H29)</f>
        <v/>
      </c>
    </row>
    <row r="30" ht="14.4" customHeight="1" s="152">
      <c r="B30" s="204" t="inlineStr">
        <is>
          <t>Pittsburgh Steelers</t>
        </is>
      </c>
      <c r="C30" s="156">
        <f>IF(    SUMIFS(AllPlayers!$C$2:$C$5000,           AllPlayers!$B$2:$B$5000,$B30,           AllPlayers!$H$2:$H$5000,"QB",           AllPlayers!$E$2:$E$5000,"1",           AllPlayers!$D$2:$D$5000,"Healthy")&gt;0,    SUMIFS(AllPlayers!$C$2:$C$5000,           AllPlayers!$B$2:$B$5000,$B30,           AllPlayers!$H$2:$H$5000,"QB",           AllPlayers!$E$2:$E$5000,"1",           AllPlayers!$D$2:$D$5000,"Healthy"),    SUMIFS(AllPlayers!$C$2:$C$5000,           AllPlayers!$B$2:$B$5000,$B30,           AllPlayers!$H$2:$H$5000,"QB",           AllPlayers!$E$2:$E$5000,"2") )</f>
        <v/>
      </c>
      <c r="D30" s="156">
        <f>IF(    SUMIFS(AllPlayers!$C$2:$C$5000,           AllPlayers!$B$2:$B$5000,$B30,           AllPlayers!$H$2:$H$5000,"RB",           AllPlayers!$E$2:$E$5000,"1",           AllPlayers!$D$2:$D$5000,"Healthy")    +    SUMIFS(AllPlayers!$C$2:$C$5000,           AllPlayers!$B$2:$B$5000,$B30,           AllPlayers!$H$2:$H$5000,"RB",           AllPlayers!$E$2:$E$5000,"2",           AllPlayers!$D$2:$D$5000,"Healthy") &gt; 0,        SUMIFS(AllPlayers!$C$2:$C$5000,           AllPlayers!$B$2:$B$5000,$B30,           AllPlayers!$H$2:$H$5000,"RB",           AllPlayers!$E$2:$E$5000,"1",           AllPlayers!$D$2:$D$5000,"Healthy")    +    SUMIFS(AllPlayers!$C$2:$C$5000,           AllPlayers!$B$2:$B$5000,$B30,           AllPlayers!$H$2:$H$5000,"RB",           AllPlayers!$E$2:$E$5000,"2",           AllPlayers!$D$2:$D$5000,"Healthy"),        IF(       SUMIFS(AllPlayers!$C$2:$C$5000,              AllPlayers!$B$2:$B$5000,$B30,              AllPlayers!$H$2:$H$5000,"RB",              AllPlayers!$E$2:$E$5000,"3",              AllPlayers!$D$2:$D$5000,"Healthy")&gt;0,       SUMIFS(AllPlayers!$C$2:$C$5000,              AllPlayers!$B$2:$B$5000,$B30,              AllPlayers!$H$2:$H$5000,"RB",              AllPlayers!$E$2:$E$5000,"3",              AllPlayers!$D$2:$D$5000,"Healthy"),       IF(          SUMIFS(AllPlayers!$C$2:$C$5000,                 AllPlayers!$B$2:$B$5000,$B30,                 AllPlayers!$H$2:$H$5000,"RB",                 AllPlayers!$E$2:$E$5000,"4",                 AllPlayers!$D$2:$D$5000,"Healthy")&gt;0,          SUMIFS(AllPlayers!$C$2:$C$5000,                 AllPlayers!$B$2:$B$5000,$B30,                 AllPlayers!$H$2:$H$5000,"RB",                 AllPlayers!$E$2:$E$5000,"4",                 AllPlayers!$D$2:$D$5000,"Healthy"),          SUMIFS(AllPlayers!$C$2:$C$5000,                 AllPlayers!$B$2:$B$5000,$B30,                 AllPlayers!$H$2:$H$5000,"RB",                 AllPlayers!$E$2:$E$5000,"5",                 AllPlayers!$D$2:$D$5000,"Healthy")       )    ) )</f>
        <v/>
      </c>
      <c r="E30" s="156">
        <f>IF(    SUMPRODUCT((AllPlayers!$B$2:$B$5000=$B30)*               (AllPlayers!$H$2:$H$5000="WR")*               (VALUE(AllPlayers!$E$2:$E$5000)&lt;=4)*               (AllPlayers!$D$2:$D$5000="Healthy")*               AllPlayers!$C$2:$C$5000) &gt; 0,    SUMPRODUCT((AllPlayers!$B$2:$B$5000=$B30)*               (AllPlayers!$H$2:$H$5000="WR")*               (VALUE(AllPlayers!$E$2:$E$5000)&lt;=4)*               (AllPlayers!$D$2:$D$5000="Healthy")*               AllPlayers!$C$2:$C$5000),    IF(       SUMPRODUCT((AllPlayers!$B$2:$B$5000=$B30)*                  (AllPlayers!$H$2:$H$5000="WR")*                  (AllPlayers!$E$2:$E$5000="5")*                  (AllPlayers!$D$2:$D$5000="Healthy")*                  AllPlayers!$C$2:$C$5000) &gt; 0,       SUMPRODUCT((AllPlayers!$B$2:$B$5000=$B30)*                  (AllPlayers!$H$2:$H$5000="WR")*                  (AllPlayers!$E$2:$E$5000="5")*                  (AllPlayers!$D$2:$D$5000="Healthy")*                  AllPlayers!$C$2:$C$5000),       IF(          SUMPRODUCT((AllPlayers!$B$2:$B$5000=$B30)*                     (AllPlayers!$H$2:$H$5000="WR")*                     (AllPlayers!$E$2:$E$5000="6")*                     (AllPlayers!$D$2:$D$5000="Healthy")*                     AllPlayers!$C$2:$C$5000) &gt; 0,          SUMPRODUCT((AllPlayers!$B$2:$B$5000=$B30)*                     (AllPlayers!$H$2:$H$5000="WR")*                     (AllPlayers!$E$2:$E$5000="6")*                     (AllPlayers!$D$2:$D$5000="Healthy")*                     AllPlayers!$C$2:$C$5000),          IF(             SUMPRODUCT((AllPlayers!$B$2:$B$5000=$B30)*                        (AllPlayers!$H$2:$H$5000="WR")*                        (AllPlayers!$E$2:$E$5000="7")*                        (AllPlayers!$D$2:$D$5000="Healthy")*                        AllPlayers!$C$2:$C$5000) &gt; 0,             SUMPRODUCT((AllPlayers!$B$2:$B$5000=$B30)*                        (AllPlayers!$H$2:$H$5000="WR")*                        (AllPlayers!$E$2:$E$5000="7")*                        (AllPlayers!$D$2:$D$5000="Healthy")*                        AllPlayers!$C$2:$C$5000),             IF(                SUMPRODUCT((AllPlayers!$B$2:$B$5000=$B30)*                           (AllPlayers!$H$2:$H$5000="WR")*                           (AllPlayers!$E$2:$E$5000="8")*                           (AllPlayers!$D$2:$D$5000="Healthy")*                           AllPlayers!$C$2:$C$5000) &gt; 0,                SUMPRODUCT((AllPlayers!$B$2:$B$5000=$B30)*                           (AllPlayers!$H$2:$H$5000="WR")*                           (AllPlayers!$E$2:$E$5000="8")*                           (AllPlayers!$D$2:$D$5000="Healthy")*                           AllPlayers!$C$2:$C$5000),                SUMPRODUCT((AllPlayers!$B$2:$B$5000=$B30)*                           (AllPlayers!$H$2:$H$5000="WR")*                           (AllPlayers!$E$2:$E$5000="9")*                           (AllPlayers!$D$2:$D$5000="Healthy")*                           AllPlayers!$C$2:$C$5000)             )          )       )    ) )</f>
        <v/>
      </c>
      <c r="F30" s="156">
        <f>IF(    SUMIFS(AllPlayers!$C$2:$C$5000,           AllPlayers!$B$2:$B$5000,$B30,           AllPlayers!$H$2:$H$5000,"TE",           AllPlayers!$E$2:$E$5000,"1",           AllPlayers!$D$2:$D$5000,"Healthy")&gt;0,    SUMIFS(AllPlayers!$C$2:$C$5000,           AllPlayers!$B$2:$B$5000,$B30,           AllPlayers!$H$2:$H$5000,"TE",           AllPlayers!$E$2:$E$5000,"1",           AllPlayers!$D$2:$D$5000,"Healthy"),    SUMIFS(AllPlayers!$C$2:$C$5000,           AllPlayers!$B$2:$B$5000,$B30,           AllPlayers!$H$2:$H$5000,"TE",           AllPlayers!$E$2:$E$5000,"2") )</f>
        <v/>
      </c>
      <c r="G30" s="156">
        <f>SUMIFS(K!$C:$C,K!$W:$W,$B30)</f>
        <v/>
      </c>
      <c r="H30" s="156">
        <f>SUMIF(AllPlayers!B:B,B30,AllPlayers!O:O)</f>
        <v/>
      </c>
      <c r="I30" s="156">
        <f>SUM(C30:H30)</f>
        <v/>
      </c>
    </row>
    <row r="31" ht="14.4" customHeight="1" s="152">
      <c r="B31" s="204" t="inlineStr">
        <is>
          <t>Seattle Seahawks</t>
        </is>
      </c>
      <c r="C31" s="156">
        <f>IF(    SUMIFS(AllPlayers!$C$2:$C$5000,           AllPlayers!$B$2:$B$5000,$B31,           AllPlayers!$H$2:$H$5000,"QB",           AllPlayers!$E$2:$E$5000,"1",           AllPlayers!$D$2:$D$5000,"Healthy")&gt;0,    SUMIFS(AllPlayers!$C$2:$C$5000,           AllPlayers!$B$2:$B$5000,$B31,           AllPlayers!$H$2:$H$5000,"QB",           AllPlayers!$E$2:$E$5000,"1",           AllPlayers!$D$2:$D$5000,"Healthy"),    SUMIFS(AllPlayers!$C$2:$C$5000,           AllPlayers!$B$2:$B$5000,$B31,           AllPlayers!$H$2:$H$5000,"QB",           AllPlayers!$E$2:$E$5000,"2") )</f>
        <v/>
      </c>
      <c r="D31" s="156">
        <f>IF(    SUMIFS(AllPlayers!$C$2:$C$5000,           AllPlayers!$B$2:$B$5000,$B31,           AllPlayers!$H$2:$H$5000,"RB",           AllPlayers!$E$2:$E$5000,"1",           AllPlayers!$D$2:$D$5000,"Healthy")    +    SUMIFS(AllPlayers!$C$2:$C$5000,           AllPlayers!$B$2:$B$5000,$B31,           AllPlayers!$H$2:$H$5000,"RB",           AllPlayers!$E$2:$E$5000,"2",           AllPlayers!$D$2:$D$5000,"Healthy") &gt; 0,        SUMIFS(AllPlayers!$C$2:$C$5000,           AllPlayers!$B$2:$B$5000,$B31,           AllPlayers!$H$2:$H$5000,"RB",           AllPlayers!$E$2:$E$5000,"1",           AllPlayers!$D$2:$D$5000,"Healthy")    +    SUMIFS(AllPlayers!$C$2:$C$5000,           AllPlayers!$B$2:$B$5000,$B31,           AllPlayers!$H$2:$H$5000,"RB",           AllPlayers!$E$2:$E$5000,"2",           AllPlayers!$D$2:$D$5000,"Healthy"),        IF(       SUMIFS(AllPlayers!$C$2:$C$5000,              AllPlayers!$B$2:$B$5000,$B31,              AllPlayers!$H$2:$H$5000,"RB",              AllPlayers!$E$2:$E$5000,"3",              AllPlayers!$D$2:$D$5000,"Healthy")&gt;0,       SUMIFS(AllPlayers!$C$2:$C$5000,              AllPlayers!$B$2:$B$5000,$B31,              AllPlayers!$H$2:$H$5000,"RB",              AllPlayers!$E$2:$E$5000,"3",              AllPlayers!$D$2:$D$5000,"Healthy"),       IF(          SUMIFS(AllPlayers!$C$2:$C$5000,                 AllPlayers!$B$2:$B$5000,$B31,                 AllPlayers!$H$2:$H$5000,"RB",                 AllPlayers!$E$2:$E$5000,"4",                 AllPlayers!$D$2:$D$5000,"Healthy")&gt;0,          SUMIFS(AllPlayers!$C$2:$C$5000,                 AllPlayers!$B$2:$B$5000,$B31,                 AllPlayers!$H$2:$H$5000,"RB",                 AllPlayers!$E$2:$E$5000,"4",                 AllPlayers!$D$2:$D$5000,"Healthy"),          SUMIFS(AllPlayers!$C$2:$C$5000,                 AllPlayers!$B$2:$B$5000,$B31,                 AllPlayers!$H$2:$H$5000,"RB",                 AllPlayers!$E$2:$E$5000,"5",                 AllPlayers!$D$2:$D$5000,"Healthy")       )    ) )</f>
        <v/>
      </c>
      <c r="E31" s="156">
        <f>IF(    SUMPRODUCT((AllPlayers!$B$2:$B$5000=$B31)*               (AllPlayers!$H$2:$H$5000="WR")*               (VALUE(AllPlayers!$E$2:$E$5000)&lt;=4)*               (AllPlayers!$D$2:$D$5000="Healthy")*               AllPlayers!$C$2:$C$5000) &gt; 0,    SUMPRODUCT((AllPlayers!$B$2:$B$5000=$B31)*               (AllPlayers!$H$2:$H$5000="WR")*               (VALUE(AllPlayers!$E$2:$E$5000)&lt;=4)*               (AllPlayers!$D$2:$D$5000="Healthy")*               AllPlayers!$C$2:$C$5000),    IF(       SUMPRODUCT((AllPlayers!$B$2:$B$5000=$B31)*                  (AllPlayers!$H$2:$H$5000="WR")*                  (AllPlayers!$E$2:$E$5000="5")*                  (AllPlayers!$D$2:$D$5000="Healthy")*                  AllPlayers!$C$2:$C$5000) &gt; 0,       SUMPRODUCT((AllPlayers!$B$2:$B$5000=$B31)*                  (AllPlayers!$H$2:$H$5000="WR")*                  (AllPlayers!$E$2:$E$5000="5")*                  (AllPlayers!$D$2:$D$5000="Healthy")*                  AllPlayers!$C$2:$C$5000),       IF(          SUMPRODUCT((AllPlayers!$B$2:$B$5000=$B31)*                     (AllPlayers!$H$2:$H$5000="WR")*                     (AllPlayers!$E$2:$E$5000="6")*                     (AllPlayers!$D$2:$D$5000="Healthy")*                     AllPlayers!$C$2:$C$5000) &gt; 0,          SUMPRODUCT((AllPlayers!$B$2:$B$5000=$B31)*                     (AllPlayers!$H$2:$H$5000="WR")*                     (AllPlayers!$E$2:$E$5000="6")*                     (AllPlayers!$D$2:$D$5000="Healthy")*                     AllPlayers!$C$2:$C$5000),          IF(             SUMPRODUCT((AllPlayers!$B$2:$B$5000=$B31)*                        (AllPlayers!$H$2:$H$5000="WR")*                        (AllPlayers!$E$2:$E$5000="7")*                        (AllPlayers!$D$2:$D$5000="Healthy")*                        AllPlayers!$C$2:$C$5000) &gt; 0,             SUMPRODUCT((AllPlayers!$B$2:$B$5000=$B31)*                        (AllPlayers!$H$2:$H$5000="WR")*                        (AllPlayers!$E$2:$E$5000="7")*                        (AllPlayers!$D$2:$D$5000="Healthy")*                        AllPlayers!$C$2:$C$5000),             IF(                SUMPRODUCT((AllPlayers!$B$2:$B$5000=$B31)*                           (AllPlayers!$H$2:$H$5000="WR")*                           (AllPlayers!$E$2:$E$5000="8")*                           (AllPlayers!$D$2:$D$5000="Healthy")*                           AllPlayers!$C$2:$C$5000) &gt; 0,                SUMPRODUCT((AllPlayers!$B$2:$B$5000=$B31)*                           (AllPlayers!$H$2:$H$5000="WR")*                           (AllPlayers!$E$2:$E$5000="8")*                           (AllPlayers!$D$2:$D$5000="Healthy")*                           AllPlayers!$C$2:$C$5000),                SUMPRODUCT((AllPlayers!$B$2:$B$5000=$B31)*                           (AllPlayers!$H$2:$H$5000="WR")*                           (AllPlayers!$E$2:$E$5000="9")*                           (AllPlayers!$D$2:$D$5000="Healthy")*                           AllPlayers!$C$2:$C$5000)             )          )       )    ) )</f>
        <v/>
      </c>
      <c r="F31" s="156">
        <f>IF(    SUMIFS(AllPlayers!$C$2:$C$5000,           AllPlayers!$B$2:$B$5000,$B31,           AllPlayers!$H$2:$H$5000,"TE",           AllPlayers!$E$2:$E$5000,"1",           AllPlayers!$D$2:$D$5000,"Healthy")&gt;0,    SUMIFS(AllPlayers!$C$2:$C$5000,           AllPlayers!$B$2:$B$5000,$B31,           AllPlayers!$H$2:$H$5000,"TE",           AllPlayers!$E$2:$E$5000,"1",           AllPlayers!$D$2:$D$5000,"Healthy"),    SUMIFS(AllPlayers!$C$2:$C$5000,           AllPlayers!$B$2:$B$5000,$B31,           AllPlayers!$H$2:$H$5000,"TE",           AllPlayers!$E$2:$E$5000,"2") )</f>
        <v/>
      </c>
      <c r="G31" s="156">
        <f>SUMIFS(K!$C:$C,K!$W:$W,$B31)</f>
        <v/>
      </c>
      <c r="H31" s="156">
        <f>SUMIF(AllPlayers!B:B,B31,AllPlayers!O:O)</f>
        <v/>
      </c>
      <c r="I31" s="156">
        <f>SUM(C31:H31)</f>
        <v/>
      </c>
    </row>
    <row r="32" ht="14.4" customHeight="1" s="152">
      <c r="B32" s="204" t="inlineStr">
        <is>
          <t>Denver Broncos</t>
        </is>
      </c>
      <c r="C32" s="156">
        <f>IF(    SUMIFS(AllPlayers!$C$2:$C$5000,           AllPlayers!$B$2:$B$5000,$B32,           AllPlayers!$H$2:$H$5000,"QB",           AllPlayers!$E$2:$E$5000,"1",           AllPlayers!$D$2:$D$5000,"Healthy")&gt;0,    SUMIFS(AllPlayers!$C$2:$C$5000,           AllPlayers!$B$2:$B$5000,$B32,           AllPlayers!$H$2:$H$5000,"QB",           AllPlayers!$E$2:$E$5000,"1",           AllPlayers!$D$2:$D$5000,"Healthy"),    SUMIFS(AllPlayers!$C$2:$C$5000,           AllPlayers!$B$2:$B$5000,$B32,           AllPlayers!$H$2:$H$5000,"QB",           AllPlayers!$E$2:$E$5000,"2") )</f>
        <v/>
      </c>
      <c r="D32" s="156">
        <f>IF(    SUMIFS(AllPlayers!$C$2:$C$5000,           AllPlayers!$B$2:$B$5000,$B32,           AllPlayers!$H$2:$H$5000,"RB",           AllPlayers!$E$2:$E$5000,"1",           AllPlayers!$D$2:$D$5000,"Healthy")    +    SUMIFS(AllPlayers!$C$2:$C$5000,           AllPlayers!$B$2:$B$5000,$B32,           AllPlayers!$H$2:$H$5000,"RB",           AllPlayers!$E$2:$E$5000,"2",           AllPlayers!$D$2:$D$5000,"Healthy") &gt; 0,        SUMIFS(AllPlayers!$C$2:$C$5000,           AllPlayers!$B$2:$B$5000,$B32,           AllPlayers!$H$2:$H$5000,"RB",           AllPlayers!$E$2:$E$5000,"1",           AllPlayers!$D$2:$D$5000,"Healthy")    +    SUMIFS(AllPlayers!$C$2:$C$5000,           AllPlayers!$B$2:$B$5000,$B32,           AllPlayers!$H$2:$H$5000,"RB",           AllPlayers!$E$2:$E$5000,"2",           AllPlayers!$D$2:$D$5000,"Healthy"),        IF(       SUMIFS(AllPlayers!$C$2:$C$5000,              AllPlayers!$B$2:$B$5000,$B32,              AllPlayers!$H$2:$H$5000,"RB",              AllPlayers!$E$2:$E$5000,"3",              AllPlayers!$D$2:$D$5000,"Healthy")&gt;0,       SUMIFS(AllPlayers!$C$2:$C$5000,              AllPlayers!$B$2:$B$5000,$B32,              AllPlayers!$H$2:$H$5000,"RB",              AllPlayers!$E$2:$E$5000,"3",              AllPlayers!$D$2:$D$5000,"Healthy"),       IF(          SUMIFS(AllPlayers!$C$2:$C$5000,                 AllPlayers!$B$2:$B$5000,$B32,                 AllPlayers!$H$2:$H$5000,"RB",                 AllPlayers!$E$2:$E$5000,"4",                 AllPlayers!$D$2:$D$5000,"Healthy")&gt;0,          SUMIFS(AllPlayers!$C$2:$C$5000,                 AllPlayers!$B$2:$B$5000,$B32,                 AllPlayers!$H$2:$H$5000,"RB",                 AllPlayers!$E$2:$E$5000,"4",                 AllPlayers!$D$2:$D$5000,"Healthy"),          SUMIFS(AllPlayers!$C$2:$C$5000,                 AllPlayers!$B$2:$B$5000,$B32,                 AllPlayers!$H$2:$H$5000,"RB",                 AllPlayers!$E$2:$E$5000,"5",                 AllPlayers!$D$2:$D$5000,"Healthy")       )    ) )</f>
        <v/>
      </c>
      <c r="E32" s="156">
        <f>IF(    SUMPRODUCT((AllPlayers!$B$2:$B$5000=$B32)*               (AllPlayers!$H$2:$H$5000="WR")*               (VALUE(AllPlayers!$E$2:$E$5000)&lt;=4)*               (AllPlayers!$D$2:$D$5000="Healthy")*               AllPlayers!$C$2:$C$5000) &gt; 0,    SUMPRODUCT((AllPlayers!$B$2:$B$5000=$B32)*               (AllPlayers!$H$2:$H$5000="WR")*               (VALUE(AllPlayers!$E$2:$E$5000)&lt;=4)*               (AllPlayers!$D$2:$D$5000="Healthy")*               AllPlayers!$C$2:$C$5000),    IF(       SUMPRODUCT((AllPlayers!$B$2:$B$5000=$B32)*                  (AllPlayers!$H$2:$H$5000="WR")*                  (AllPlayers!$E$2:$E$5000="5")*                  (AllPlayers!$D$2:$D$5000="Healthy")*                  AllPlayers!$C$2:$C$5000) &gt; 0,       SUMPRODUCT((AllPlayers!$B$2:$B$5000=$B32)*                  (AllPlayers!$H$2:$H$5000="WR")*                  (AllPlayers!$E$2:$E$5000="5")*                  (AllPlayers!$D$2:$D$5000="Healthy")*                  AllPlayers!$C$2:$C$5000),       IF(          SUMPRODUCT((AllPlayers!$B$2:$B$5000=$B32)*                     (AllPlayers!$H$2:$H$5000="WR")*                     (AllPlayers!$E$2:$E$5000="6")*                     (AllPlayers!$D$2:$D$5000="Healthy")*                     AllPlayers!$C$2:$C$5000) &gt; 0,          SUMPRODUCT((AllPlayers!$B$2:$B$5000=$B32)*                     (AllPlayers!$H$2:$H$5000="WR")*                     (AllPlayers!$E$2:$E$5000="6")*                     (AllPlayers!$D$2:$D$5000="Healthy")*                     AllPlayers!$C$2:$C$5000),          IF(             SUMPRODUCT((AllPlayers!$B$2:$B$5000=$B32)*                        (AllPlayers!$H$2:$H$5000="WR")*                        (AllPlayers!$E$2:$E$5000="7")*                        (AllPlayers!$D$2:$D$5000="Healthy")*                        AllPlayers!$C$2:$C$5000) &gt; 0,             SUMPRODUCT((AllPlayers!$B$2:$B$5000=$B32)*                        (AllPlayers!$H$2:$H$5000="WR")*                        (AllPlayers!$E$2:$E$5000="7")*                        (AllPlayers!$D$2:$D$5000="Healthy")*                        AllPlayers!$C$2:$C$5000),             IF(                SUMPRODUCT((AllPlayers!$B$2:$B$5000=$B32)*                           (AllPlayers!$H$2:$H$5000="WR")*                           (AllPlayers!$E$2:$E$5000="8")*                           (AllPlayers!$D$2:$D$5000="Healthy")*                           AllPlayers!$C$2:$C$5000) &gt; 0,                SUMPRODUCT((AllPlayers!$B$2:$B$5000=$B32)*                           (AllPlayers!$H$2:$H$5000="WR")*                           (AllPlayers!$E$2:$E$5000="8")*                           (AllPlayers!$D$2:$D$5000="Healthy")*                           AllPlayers!$C$2:$C$5000),                SUMPRODUCT((AllPlayers!$B$2:$B$5000=$B32)*                           (AllPlayers!$H$2:$H$5000="WR")*                           (AllPlayers!$E$2:$E$5000="9")*                           (AllPlayers!$D$2:$D$5000="Healthy")*                           AllPlayers!$C$2:$C$5000)             )          )       )    ) )</f>
        <v/>
      </c>
      <c r="F32" s="156">
        <f>IF(    SUMIFS(AllPlayers!$C$2:$C$5000,           AllPlayers!$B$2:$B$5000,$B32,           AllPlayers!$H$2:$H$5000,"TE",           AllPlayers!$E$2:$E$5000,"1",           AllPlayers!$D$2:$D$5000,"Healthy")&gt;0,    SUMIFS(AllPlayers!$C$2:$C$5000,           AllPlayers!$B$2:$B$5000,$B32,           AllPlayers!$H$2:$H$5000,"TE",           AllPlayers!$E$2:$E$5000,"1",           AllPlayers!$D$2:$D$5000,"Healthy"),    SUMIFS(AllPlayers!$C$2:$C$5000,           AllPlayers!$B$2:$B$5000,$B32,           AllPlayers!$H$2:$H$5000,"TE",           AllPlayers!$E$2:$E$5000,"2") )</f>
        <v/>
      </c>
      <c r="G32" s="156">
        <f>SUMIFS(K!$C:$C,K!$W:$W,$B32)</f>
        <v/>
      </c>
      <c r="H32" s="156">
        <f>SUMIF(AllPlayers!B:B,B32,AllPlayers!O:O)</f>
        <v/>
      </c>
      <c r="I32" s="156">
        <f>SUM(C32:H32)</f>
        <v/>
      </c>
    </row>
    <row r="33" ht="14.4" customHeight="1" s="152">
      <c r="B33" s="204" t="inlineStr">
        <is>
          <t>Dallas Cowboys</t>
        </is>
      </c>
      <c r="C33" s="156">
        <f>IF(    SUMIFS(AllPlayers!$C$2:$C$5000,           AllPlayers!$B$2:$B$5000,$B33,           AllPlayers!$H$2:$H$5000,"QB",           AllPlayers!$E$2:$E$5000,"1",           AllPlayers!$D$2:$D$5000,"Healthy")&gt;0,    SUMIFS(AllPlayers!$C$2:$C$5000,           AllPlayers!$B$2:$B$5000,$B33,           AllPlayers!$H$2:$H$5000,"QB",           AllPlayers!$E$2:$E$5000,"1",           AllPlayers!$D$2:$D$5000,"Healthy"),    SUMIFS(AllPlayers!$C$2:$C$5000,           AllPlayers!$B$2:$B$5000,$B33,           AllPlayers!$H$2:$H$5000,"QB",           AllPlayers!$E$2:$E$5000,"2") )</f>
        <v/>
      </c>
      <c r="D33" s="156">
        <f>IF(    SUMIFS(AllPlayers!$C$2:$C$5000,           AllPlayers!$B$2:$B$5000,$B33,           AllPlayers!$H$2:$H$5000,"RB",           AllPlayers!$E$2:$E$5000,"1",           AllPlayers!$D$2:$D$5000,"Healthy")    +    SUMIFS(AllPlayers!$C$2:$C$5000,           AllPlayers!$B$2:$B$5000,$B33,           AllPlayers!$H$2:$H$5000,"RB",           AllPlayers!$E$2:$E$5000,"2",           AllPlayers!$D$2:$D$5000,"Healthy") &gt; 0,        SUMIFS(AllPlayers!$C$2:$C$5000,           AllPlayers!$B$2:$B$5000,$B33,           AllPlayers!$H$2:$H$5000,"RB",           AllPlayers!$E$2:$E$5000,"1",           AllPlayers!$D$2:$D$5000,"Healthy")    +    SUMIFS(AllPlayers!$C$2:$C$5000,           AllPlayers!$B$2:$B$5000,$B33,           AllPlayers!$H$2:$H$5000,"RB",           AllPlayers!$E$2:$E$5000,"2",           AllPlayers!$D$2:$D$5000,"Healthy"),        IF(       SUMIFS(AllPlayers!$C$2:$C$5000,              AllPlayers!$B$2:$B$5000,$B33,              AllPlayers!$H$2:$H$5000,"RB",              AllPlayers!$E$2:$E$5000,"3",              AllPlayers!$D$2:$D$5000,"Healthy")&gt;0,       SUMIFS(AllPlayers!$C$2:$C$5000,              AllPlayers!$B$2:$B$5000,$B33,              AllPlayers!$H$2:$H$5000,"RB",              AllPlayers!$E$2:$E$5000,"3",              AllPlayers!$D$2:$D$5000,"Healthy"),       IF(          SUMIFS(AllPlayers!$C$2:$C$5000,                 AllPlayers!$B$2:$B$5000,$B33,                 AllPlayers!$H$2:$H$5000,"RB",                 AllPlayers!$E$2:$E$5000,"4",                 AllPlayers!$D$2:$D$5000,"Healthy")&gt;0,          SUMIFS(AllPlayers!$C$2:$C$5000,                 AllPlayers!$B$2:$B$5000,$B33,                 AllPlayers!$H$2:$H$5000,"RB",                 AllPlayers!$E$2:$E$5000,"4",                 AllPlayers!$D$2:$D$5000,"Healthy"),          SUMIFS(AllPlayers!$C$2:$C$5000,                 AllPlayers!$B$2:$B$5000,$B33,                 AllPlayers!$H$2:$H$5000,"RB",                 AllPlayers!$E$2:$E$5000,"5",                 AllPlayers!$D$2:$D$5000,"Healthy")       )    ) )</f>
        <v/>
      </c>
      <c r="E33" s="156">
        <f>IF(    SUMPRODUCT((AllPlayers!$B$2:$B$5000=$B33)*               (AllPlayers!$H$2:$H$5000="WR")*               (VALUE(AllPlayers!$E$2:$E$5000)&lt;=4)*               (AllPlayers!$D$2:$D$5000="Healthy")*               AllPlayers!$C$2:$C$5000) &gt; 0,    SUMPRODUCT((AllPlayers!$B$2:$B$5000=$B33)*               (AllPlayers!$H$2:$H$5000="WR")*               (VALUE(AllPlayers!$E$2:$E$5000)&lt;=4)*               (AllPlayers!$D$2:$D$5000="Healthy")*               AllPlayers!$C$2:$C$5000),    IF(       SUMPRODUCT((AllPlayers!$B$2:$B$5000=$B33)*                  (AllPlayers!$H$2:$H$5000="WR")*                  (AllPlayers!$E$2:$E$5000="5")*                  (AllPlayers!$D$2:$D$5000="Healthy")*                  AllPlayers!$C$2:$C$5000) &gt; 0,       SUMPRODUCT((AllPlayers!$B$2:$B$5000=$B33)*                  (AllPlayers!$H$2:$H$5000="WR")*                  (AllPlayers!$E$2:$E$5000="5")*                  (AllPlayers!$D$2:$D$5000="Healthy")*                  AllPlayers!$C$2:$C$5000),       IF(          SUMPRODUCT((AllPlayers!$B$2:$B$5000=$B33)*                     (AllPlayers!$H$2:$H$5000="WR")*                     (AllPlayers!$E$2:$E$5000="6")*                     (AllPlayers!$D$2:$D$5000="Healthy")*                     AllPlayers!$C$2:$C$5000) &gt; 0,          SUMPRODUCT((AllPlayers!$B$2:$B$5000=$B33)*                     (AllPlayers!$H$2:$H$5000="WR")*                     (AllPlayers!$E$2:$E$5000="6")*                     (AllPlayers!$D$2:$D$5000="Healthy")*                     AllPlayers!$C$2:$C$5000),          IF(             SUMPRODUCT((AllPlayers!$B$2:$B$5000=$B33)*                        (AllPlayers!$H$2:$H$5000="WR")*                        (AllPlayers!$E$2:$E$5000="7")*                        (AllPlayers!$D$2:$D$5000="Healthy")*                        AllPlayers!$C$2:$C$5000) &gt; 0,             SUMPRODUCT((AllPlayers!$B$2:$B$5000=$B33)*                        (AllPlayers!$H$2:$H$5000="WR")*                        (AllPlayers!$E$2:$E$5000="7")*                        (AllPlayers!$D$2:$D$5000="Healthy")*                        AllPlayers!$C$2:$C$5000),             IF(                SUMPRODUCT((AllPlayers!$B$2:$B$5000=$B33)*                           (AllPlayers!$H$2:$H$5000="WR")*                           (AllPlayers!$E$2:$E$5000="8")*                           (AllPlayers!$D$2:$D$5000="Healthy")*                           AllPlayers!$C$2:$C$5000) &gt; 0,                SUMPRODUCT((AllPlayers!$B$2:$B$5000=$B33)*                           (AllPlayers!$H$2:$H$5000="WR")*                           (AllPlayers!$E$2:$E$5000="8")*                           (AllPlayers!$D$2:$D$5000="Healthy")*                           AllPlayers!$C$2:$C$5000),                SUMPRODUCT((AllPlayers!$B$2:$B$5000=$B33)*                           (AllPlayers!$H$2:$H$5000="WR")*                           (AllPlayers!$E$2:$E$5000="9")*                           (AllPlayers!$D$2:$D$5000="Healthy")*                           AllPlayers!$C$2:$C$5000)             )          )       )    ) )</f>
        <v/>
      </c>
      <c r="F33" s="156">
        <f>IF(    SUMIFS(AllPlayers!$C$2:$C$5000,           AllPlayers!$B$2:$B$5000,$B33,           AllPlayers!$H$2:$H$5000,"TE",           AllPlayers!$E$2:$E$5000,"1",           AllPlayers!$D$2:$D$5000,"Healthy")&gt;0,    SUMIFS(AllPlayers!$C$2:$C$5000,           AllPlayers!$B$2:$B$5000,$B33,           AllPlayers!$H$2:$H$5000,"TE",           AllPlayers!$E$2:$E$5000,"1",           AllPlayers!$D$2:$D$5000,"Healthy"),    SUMIFS(AllPlayers!$C$2:$C$5000,           AllPlayers!$B$2:$B$5000,$B33,           AllPlayers!$H$2:$H$5000,"TE",           AllPlayers!$E$2:$E$5000,"2") )</f>
        <v/>
      </c>
      <c r="G33" s="156">
        <f>SUMIFS(K!$C:$C,K!$W:$W,$B33)</f>
        <v/>
      </c>
      <c r="H33" s="156">
        <f>SUMIF(AllPlayers!B:B,B33,AllPlayers!O:O)</f>
        <v/>
      </c>
      <c r="I33" s="156">
        <f>SUM(C33:H33)</f>
        <v/>
      </c>
    </row>
    <row r="34" ht="14.4" customHeight="1" s="152">
      <c r="B34" s="204" t="inlineStr">
        <is>
          <t>Carolina Panthers</t>
        </is>
      </c>
      <c r="C34" s="156">
        <f>IF(    SUMIFS(AllPlayers!$C$2:$C$5000,           AllPlayers!$B$2:$B$5000,$B34,           AllPlayers!$H$2:$H$5000,"QB",           AllPlayers!$E$2:$E$5000,"1",           AllPlayers!$D$2:$D$5000,"Healthy")&gt;0,    SUMIFS(AllPlayers!$C$2:$C$5000,           AllPlayers!$B$2:$B$5000,$B34,           AllPlayers!$H$2:$H$5000,"QB",           AllPlayers!$E$2:$E$5000,"1",           AllPlayers!$D$2:$D$5000,"Healthy"),    SUMIFS(AllPlayers!$C$2:$C$5000,           AllPlayers!$B$2:$B$5000,$B34,           AllPlayers!$H$2:$H$5000,"QB",           AllPlayers!$E$2:$E$5000,"2") )</f>
        <v/>
      </c>
      <c r="D34" s="156">
        <f>IF(    SUMIFS(AllPlayers!$C$2:$C$5000,           AllPlayers!$B$2:$B$5000,$B34,           AllPlayers!$H$2:$H$5000,"RB",           AllPlayers!$E$2:$E$5000,"1",           AllPlayers!$D$2:$D$5000,"Healthy")    +    SUMIFS(AllPlayers!$C$2:$C$5000,           AllPlayers!$B$2:$B$5000,$B34,           AllPlayers!$H$2:$H$5000,"RB",           AllPlayers!$E$2:$E$5000,"2",           AllPlayers!$D$2:$D$5000,"Healthy") &gt; 0,        SUMIFS(AllPlayers!$C$2:$C$5000,           AllPlayers!$B$2:$B$5000,$B34,           AllPlayers!$H$2:$H$5000,"RB",           AllPlayers!$E$2:$E$5000,"1",           AllPlayers!$D$2:$D$5000,"Healthy")    +    SUMIFS(AllPlayers!$C$2:$C$5000,           AllPlayers!$B$2:$B$5000,$B34,           AllPlayers!$H$2:$H$5000,"RB",           AllPlayers!$E$2:$E$5000,"2",           AllPlayers!$D$2:$D$5000,"Healthy"),        IF(       SUMIFS(AllPlayers!$C$2:$C$5000,              AllPlayers!$B$2:$B$5000,$B34,              AllPlayers!$H$2:$H$5000,"RB",              AllPlayers!$E$2:$E$5000,"3",              AllPlayers!$D$2:$D$5000,"Healthy")&gt;0,       SUMIFS(AllPlayers!$C$2:$C$5000,              AllPlayers!$B$2:$B$5000,$B34,              AllPlayers!$H$2:$H$5000,"RB",              AllPlayers!$E$2:$E$5000,"3",              AllPlayers!$D$2:$D$5000,"Healthy"),       IF(          SUMIFS(AllPlayers!$C$2:$C$5000,                 AllPlayers!$B$2:$B$5000,$B34,                 AllPlayers!$H$2:$H$5000,"RB",                 AllPlayers!$E$2:$E$5000,"4",                 AllPlayers!$D$2:$D$5000,"Healthy")&gt;0,          SUMIFS(AllPlayers!$C$2:$C$5000,                 AllPlayers!$B$2:$B$5000,$B34,                 AllPlayers!$H$2:$H$5000,"RB",                 AllPlayers!$E$2:$E$5000,"4",                 AllPlayers!$D$2:$D$5000,"Healthy"),          SUMIFS(AllPlayers!$C$2:$C$5000,                 AllPlayers!$B$2:$B$5000,$B34,                 AllPlayers!$H$2:$H$5000,"RB",                 AllPlayers!$E$2:$E$5000,"5",                 AllPlayers!$D$2:$D$5000,"Healthy")       )    ) )</f>
        <v/>
      </c>
      <c r="E34" s="156">
        <f>IF(    SUMPRODUCT((AllPlayers!$B$2:$B$5000=$B34)*               (AllPlayers!$H$2:$H$5000="WR")*               (VALUE(AllPlayers!$E$2:$E$5000)&lt;=4)*               (AllPlayers!$D$2:$D$5000="Healthy")*               AllPlayers!$C$2:$C$5000) &gt; 0,    SUMPRODUCT((AllPlayers!$B$2:$B$5000=$B34)*               (AllPlayers!$H$2:$H$5000="WR")*               (VALUE(AllPlayers!$E$2:$E$5000)&lt;=4)*               (AllPlayers!$D$2:$D$5000="Healthy")*               AllPlayers!$C$2:$C$5000),    IF(       SUMPRODUCT((AllPlayers!$B$2:$B$5000=$B34)*                  (AllPlayers!$H$2:$H$5000="WR")*                  (AllPlayers!$E$2:$E$5000="5")*                  (AllPlayers!$D$2:$D$5000="Healthy")*                  AllPlayers!$C$2:$C$5000) &gt; 0,       SUMPRODUCT((AllPlayers!$B$2:$B$5000=$B34)*                  (AllPlayers!$H$2:$H$5000="WR")*                  (AllPlayers!$E$2:$E$5000="5")*                  (AllPlayers!$D$2:$D$5000="Healthy")*                  AllPlayers!$C$2:$C$5000),       IF(          SUMPRODUCT((AllPlayers!$B$2:$B$5000=$B34)*                     (AllPlayers!$H$2:$H$5000="WR")*                     (AllPlayers!$E$2:$E$5000="6")*                     (AllPlayers!$D$2:$D$5000="Healthy")*                     AllPlayers!$C$2:$C$5000) &gt; 0,          SUMPRODUCT((AllPlayers!$B$2:$B$5000=$B34)*                     (AllPlayers!$H$2:$H$5000="WR")*                     (AllPlayers!$E$2:$E$5000="6")*                     (AllPlayers!$D$2:$D$5000="Healthy")*                     AllPlayers!$C$2:$C$5000),          IF(             SUMPRODUCT((AllPlayers!$B$2:$B$5000=$B34)*                        (AllPlayers!$H$2:$H$5000="WR")*                        (AllPlayers!$E$2:$E$5000="7")*                        (AllPlayers!$D$2:$D$5000="Healthy")*                        AllPlayers!$C$2:$C$5000) &gt; 0,             SUMPRODUCT((AllPlayers!$B$2:$B$5000=$B34)*                        (AllPlayers!$H$2:$H$5000="WR")*                        (AllPlayers!$E$2:$E$5000="7")*                        (AllPlayers!$D$2:$D$5000="Healthy")*                        AllPlayers!$C$2:$C$5000),             IF(                SUMPRODUCT((AllPlayers!$B$2:$B$5000=$B34)*                           (AllPlayers!$H$2:$H$5000="WR")*                           (AllPlayers!$E$2:$E$5000="8")*                           (AllPlayers!$D$2:$D$5000="Healthy")*                           AllPlayers!$C$2:$C$5000) &gt; 0,                SUMPRODUCT((AllPlayers!$B$2:$B$5000=$B34)*                           (AllPlayers!$H$2:$H$5000="WR")*                           (AllPlayers!$E$2:$E$5000="8")*                           (AllPlayers!$D$2:$D$5000="Healthy")*                           AllPlayers!$C$2:$C$5000),                SUMPRODUCT((AllPlayers!$B$2:$B$5000=$B34)*                           (AllPlayers!$H$2:$H$5000="WR")*                           (AllPlayers!$E$2:$E$5000="9")*                           (AllPlayers!$D$2:$D$5000="Healthy")*                           AllPlayers!$C$2:$C$5000)             )          )       )    ) )</f>
        <v/>
      </c>
      <c r="F34" s="156">
        <f>IF(    SUMIFS(AllPlayers!$C$2:$C$5000,           AllPlayers!$B$2:$B$5000,$B34,           AllPlayers!$H$2:$H$5000,"TE",           AllPlayers!$E$2:$E$5000,"1",           AllPlayers!$D$2:$D$5000,"Healthy")&gt;0,    SUMIFS(AllPlayers!$C$2:$C$5000,           AllPlayers!$B$2:$B$5000,$B34,           AllPlayers!$H$2:$H$5000,"TE",           AllPlayers!$E$2:$E$5000,"1",           AllPlayers!$D$2:$D$5000,"Healthy"),    SUMIFS(AllPlayers!$C$2:$C$5000,           AllPlayers!$B$2:$B$5000,$B34,           AllPlayers!$H$2:$H$5000,"TE",           AllPlayers!$E$2:$E$5000,"2") )</f>
        <v/>
      </c>
      <c r="G34" s="156">
        <f>SUMIFS(K!$C:$C,K!$W:$W,$B34)</f>
        <v/>
      </c>
      <c r="H34" s="156">
        <f>SUMIF(AllPlayers!B:B,B34,AllPlayers!O:O)</f>
        <v/>
      </c>
      <c r="I34" s="156">
        <f>SUM(C34:H34)</f>
        <v/>
      </c>
    </row>
    <row r="35" ht="14.4" customHeight="1" s="152">
      <c r="B35" s="204" t="inlineStr">
        <is>
          <t>Tennessee Titans</t>
        </is>
      </c>
      <c r="C35" s="156">
        <f>IF(    SUMIFS(AllPlayers!$C$2:$C$5000,           AllPlayers!$B$2:$B$5000,$B35,           AllPlayers!$H$2:$H$5000,"QB",           AllPlayers!$E$2:$E$5000,"1",           AllPlayers!$D$2:$D$5000,"Healthy")&gt;0,    SUMIFS(AllPlayers!$C$2:$C$5000,           AllPlayers!$B$2:$B$5000,$B35,           AllPlayers!$H$2:$H$5000,"QB",           AllPlayers!$E$2:$E$5000,"1",           AllPlayers!$D$2:$D$5000,"Healthy"),    SUMIFS(AllPlayers!$C$2:$C$5000,           AllPlayers!$B$2:$B$5000,$B35,           AllPlayers!$H$2:$H$5000,"QB",           AllPlayers!$E$2:$E$5000,"2") )</f>
        <v/>
      </c>
      <c r="D35" s="156">
        <f>IF(    SUMIFS(AllPlayers!$C$2:$C$5000,           AllPlayers!$B$2:$B$5000,$B35,           AllPlayers!$H$2:$H$5000,"RB",           AllPlayers!$E$2:$E$5000,"1",           AllPlayers!$D$2:$D$5000,"Healthy")    +    SUMIFS(AllPlayers!$C$2:$C$5000,           AllPlayers!$B$2:$B$5000,$B35,           AllPlayers!$H$2:$H$5000,"RB",           AllPlayers!$E$2:$E$5000,"2",           AllPlayers!$D$2:$D$5000,"Healthy") &gt; 0,        SUMIFS(AllPlayers!$C$2:$C$5000,           AllPlayers!$B$2:$B$5000,$B35,           AllPlayers!$H$2:$H$5000,"RB",           AllPlayers!$E$2:$E$5000,"1",           AllPlayers!$D$2:$D$5000,"Healthy")    +    SUMIFS(AllPlayers!$C$2:$C$5000,           AllPlayers!$B$2:$B$5000,$B35,           AllPlayers!$H$2:$H$5000,"RB",           AllPlayers!$E$2:$E$5000,"2",           AllPlayers!$D$2:$D$5000,"Healthy"),        IF(       SUMIFS(AllPlayers!$C$2:$C$5000,              AllPlayers!$B$2:$B$5000,$B35,              AllPlayers!$H$2:$H$5000,"RB",              AllPlayers!$E$2:$E$5000,"3",              AllPlayers!$D$2:$D$5000,"Healthy")&gt;0,       SUMIFS(AllPlayers!$C$2:$C$5000,              AllPlayers!$B$2:$B$5000,$B35,              AllPlayers!$H$2:$H$5000,"RB",              AllPlayers!$E$2:$E$5000,"3",              AllPlayers!$D$2:$D$5000,"Healthy"),       IF(          SUMIFS(AllPlayers!$C$2:$C$5000,                 AllPlayers!$B$2:$B$5000,$B35,                 AllPlayers!$H$2:$H$5000,"RB",                 AllPlayers!$E$2:$E$5000,"4",                 AllPlayers!$D$2:$D$5000,"Healthy")&gt;0,          SUMIFS(AllPlayers!$C$2:$C$5000,                 AllPlayers!$B$2:$B$5000,$B35,                 AllPlayers!$H$2:$H$5000,"RB",                 AllPlayers!$E$2:$E$5000,"4",                 AllPlayers!$D$2:$D$5000,"Healthy"),          SUMIFS(AllPlayers!$C$2:$C$5000,                 AllPlayers!$B$2:$B$5000,$B35,                 AllPlayers!$H$2:$H$5000,"RB",                 AllPlayers!$E$2:$E$5000,"5",                 AllPlayers!$D$2:$D$5000,"Healthy")       )    ) )</f>
        <v/>
      </c>
      <c r="E35" s="156">
        <f>IF(    SUMPRODUCT((AllPlayers!$B$2:$B$5000=$B35)*               (AllPlayers!$H$2:$H$5000="WR")*               (VALUE(AllPlayers!$E$2:$E$5000)&lt;=4)*               (AllPlayers!$D$2:$D$5000="Healthy")*               AllPlayers!$C$2:$C$5000) &gt; 0,    SUMPRODUCT((AllPlayers!$B$2:$B$5000=$B35)*               (AllPlayers!$H$2:$H$5000="WR")*               (VALUE(AllPlayers!$E$2:$E$5000)&lt;=4)*               (AllPlayers!$D$2:$D$5000="Healthy")*               AllPlayers!$C$2:$C$5000),    IF(       SUMPRODUCT((AllPlayers!$B$2:$B$5000=$B35)*                  (AllPlayers!$H$2:$H$5000="WR")*                  (AllPlayers!$E$2:$E$5000="5")*                  (AllPlayers!$D$2:$D$5000="Healthy")*                  AllPlayers!$C$2:$C$5000) &gt; 0,       SUMPRODUCT((AllPlayers!$B$2:$B$5000=$B35)*                  (AllPlayers!$H$2:$H$5000="WR")*                  (AllPlayers!$E$2:$E$5000="5")*                  (AllPlayers!$D$2:$D$5000="Healthy")*                  AllPlayers!$C$2:$C$5000),       IF(          SUMPRODUCT((AllPlayers!$B$2:$B$5000=$B35)*                     (AllPlayers!$H$2:$H$5000="WR")*                     (AllPlayers!$E$2:$E$5000="6")*                     (AllPlayers!$D$2:$D$5000="Healthy")*                     AllPlayers!$C$2:$C$5000) &gt; 0,          SUMPRODUCT((AllPlayers!$B$2:$B$5000=$B35)*                     (AllPlayers!$H$2:$H$5000="WR")*                     (AllPlayers!$E$2:$E$5000="6")*                     (AllPlayers!$D$2:$D$5000="Healthy")*                     AllPlayers!$C$2:$C$5000),          IF(             SUMPRODUCT((AllPlayers!$B$2:$B$5000=$B35)*                        (AllPlayers!$H$2:$H$5000="WR")*                        (AllPlayers!$E$2:$E$5000="7")*                        (AllPlayers!$D$2:$D$5000="Healthy")*                        AllPlayers!$C$2:$C$5000) &gt; 0,             SUMPRODUCT((AllPlayers!$B$2:$B$5000=$B35)*                        (AllPlayers!$H$2:$H$5000="WR")*                        (AllPlayers!$E$2:$E$5000="7")*                        (AllPlayers!$D$2:$D$5000="Healthy")*                        AllPlayers!$C$2:$C$5000),             IF(                SUMPRODUCT((AllPlayers!$B$2:$B$5000=$B35)*                           (AllPlayers!$H$2:$H$5000="WR")*                           (AllPlayers!$E$2:$E$5000="8")*                           (AllPlayers!$D$2:$D$5000="Healthy")*                           AllPlayers!$C$2:$C$5000) &gt; 0,                SUMPRODUCT((AllPlayers!$B$2:$B$5000=$B35)*                           (AllPlayers!$H$2:$H$5000="WR")*                           (AllPlayers!$E$2:$E$5000="8")*                           (AllPlayers!$D$2:$D$5000="Healthy")*                           AllPlayers!$C$2:$C$5000),                SUMPRODUCT((AllPlayers!$B$2:$B$5000=$B35)*                           (AllPlayers!$H$2:$H$5000="WR")*                           (AllPlayers!$E$2:$E$5000="9")*                           (AllPlayers!$D$2:$D$5000="Healthy")*                           AllPlayers!$C$2:$C$5000)             )          )       )    ) )</f>
        <v/>
      </c>
      <c r="F35" s="156">
        <f>IF(    SUMIFS(AllPlayers!$C$2:$C$5000,           AllPlayers!$B$2:$B$5000,$B35,           AllPlayers!$H$2:$H$5000,"TE",           AllPlayers!$E$2:$E$5000,"1",           AllPlayers!$D$2:$D$5000,"Healthy")&gt;0,    SUMIFS(AllPlayers!$C$2:$C$5000,           AllPlayers!$B$2:$B$5000,$B35,           AllPlayers!$H$2:$H$5000,"TE",           AllPlayers!$E$2:$E$5000,"1",           AllPlayers!$D$2:$D$5000,"Healthy"),    SUMIFS(AllPlayers!$C$2:$C$5000,           AllPlayers!$B$2:$B$5000,$B35,           AllPlayers!$H$2:$H$5000,"TE",           AllPlayers!$E$2:$E$5000,"2") )</f>
        <v/>
      </c>
      <c r="G35" s="156">
        <f>SUMIFS(K!$C:$C,K!$W:$W,$B35)</f>
        <v/>
      </c>
      <c r="H35" s="156">
        <f>SUMIF(AllPlayers!B:B,B35,AllPlayers!O:O)</f>
        <v/>
      </c>
      <c r="I35" s="156">
        <f>SUM(C35:H35)</f>
        <v/>
      </c>
    </row>
    <row r="36" ht="14.4" customHeight="1" s="152">
      <c r="B36" s="204" t="inlineStr">
        <is>
          <t>Chicago Bears</t>
        </is>
      </c>
      <c r="C36" s="156">
        <f>IF(    SUMIFS(AllPlayers!$C$2:$C$5000,           AllPlayers!$B$2:$B$5000,$B36,           AllPlayers!$H$2:$H$5000,"QB",           AllPlayers!$E$2:$E$5000,"1",           AllPlayers!$D$2:$D$5000,"Healthy")&gt;0,    SUMIFS(AllPlayers!$C$2:$C$5000,           AllPlayers!$B$2:$B$5000,$B36,           AllPlayers!$H$2:$H$5000,"QB",           AllPlayers!$E$2:$E$5000,"1",           AllPlayers!$D$2:$D$5000,"Healthy"),    SUMIFS(AllPlayers!$C$2:$C$5000,           AllPlayers!$B$2:$B$5000,$B36,           AllPlayers!$H$2:$H$5000,"QB",           AllPlayers!$E$2:$E$5000,"2") )</f>
        <v/>
      </c>
      <c r="D36" s="156">
        <f>IF(    SUMIFS(AllPlayers!$C$2:$C$5000,           AllPlayers!$B$2:$B$5000,$B36,           AllPlayers!$H$2:$H$5000,"RB",           AllPlayers!$E$2:$E$5000,"1",           AllPlayers!$D$2:$D$5000,"Healthy")    +    SUMIFS(AllPlayers!$C$2:$C$5000,           AllPlayers!$B$2:$B$5000,$B36,           AllPlayers!$H$2:$H$5000,"RB",           AllPlayers!$E$2:$E$5000,"2",           AllPlayers!$D$2:$D$5000,"Healthy") &gt; 0,        SUMIFS(AllPlayers!$C$2:$C$5000,           AllPlayers!$B$2:$B$5000,$B36,           AllPlayers!$H$2:$H$5000,"RB",           AllPlayers!$E$2:$E$5000,"1",           AllPlayers!$D$2:$D$5000,"Healthy")    +    SUMIFS(AllPlayers!$C$2:$C$5000,           AllPlayers!$B$2:$B$5000,$B36,           AllPlayers!$H$2:$H$5000,"RB",           AllPlayers!$E$2:$E$5000,"2",           AllPlayers!$D$2:$D$5000,"Healthy"),        IF(       SUMIFS(AllPlayers!$C$2:$C$5000,              AllPlayers!$B$2:$B$5000,$B36,              AllPlayers!$H$2:$H$5000,"RB",              AllPlayers!$E$2:$E$5000,"3",              AllPlayers!$D$2:$D$5000,"Healthy")&gt;0,       SUMIFS(AllPlayers!$C$2:$C$5000,              AllPlayers!$B$2:$B$5000,$B36,              AllPlayers!$H$2:$H$5000,"RB",              AllPlayers!$E$2:$E$5000,"3",              AllPlayers!$D$2:$D$5000,"Healthy"),       IF(          SUMIFS(AllPlayers!$C$2:$C$5000,                 AllPlayers!$B$2:$B$5000,$B36,                 AllPlayers!$H$2:$H$5000,"RB",                 AllPlayers!$E$2:$E$5000,"4",                 AllPlayers!$D$2:$D$5000,"Healthy")&gt;0,          SUMIFS(AllPlayers!$C$2:$C$5000,                 AllPlayers!$B$2:$B$5000,$B36,                 AllPlayers!$H$2:$H$5000,"RB",                 AllPlayers!$E$2:$E$5000,"4",                 AllPlayers!$D$2:$D$5000,"Healthy"),          SUMIFS(AllPlayers!$C$2:$C$5000,                 AllPlayers!$B$2:$B$5000,$B36,                 AllPlayers!$H$2:$H$5000,"RB",                 AllPlayers!$E$2:$E$5000,"5",                 AllPlayers!$D$2:$D$5000,"Healthy")       )    ) )</f>
        <v/>
      </c>
      <c r="E36" s="156">
        <f>IF(    SUMPRODUCT((AllPlayers!$B$2:$B$5000=$B36)*               (AllPlayers!$H$2:$H$5000="WR")*               (VALUE(AllPlayers!$E$2:$E$5000)&lt;=4)*               (AllPlayers!$D$2:$D$5000="Healthy")*               AllPlayers!$C$2:$C$5000) &gt; 0,    SUMPRODUCT((AllPlayers!$B$2:$B$5000=$B36)*               (AllPlayers!$H$2:$H$5000="WR")*               (VALUE(AllPlayers!$E$2:$E$5000)&lt;=4)*               (AllPlayers!$D$2:$D$5000="Healthy")*               AllPlayers!$C$2:$C$5000),    IF(       SUMPRODUCT((AllPlayers!$B$2:$B$5000=$B36)*                  (AllPlayers!$H$2:$H$5000="WR")*                  (AllPlayers!$E$2:$E$5000="5")*                  (AllPlayers!$D$2:$D$5000="Healthy")*                  AllPlayers!$C$2:$C$5000) &gt; 0,       SUMPRODUCT((AllPlayers!$B$2:$B$5000=$B36)*                  (AllPlayers!$H$2:$H$5000="WR")*                  (AllPlayers!$E$2:$E$5000="5")*                  (AllPlayers!$D$2:$D$5000="Healthy")*                  AllPlayers!$C$2:$C$5000),       IF(          SUMPRODUCT((AllPlayers!$B$2:$B$5000=$B36)*                     (AllPlayers!$H$2:$H$5000="WR")*                     (AllPlayers!$E$2:$E$5000="6")*                     (AllPlayers!$D$2:$D$5000="Healthy")*                     AllPlayers!$C$2:$C$5000) &gt; 0,          SUMPRODUCT((AllPlayers!$B$2:$B$5000=$B36)*                     (AllPlayers!$H$2:$H$5000="WR")*                     (AllPlayers!$E$2:$E$5000="6")*                     (AllPlayers!$D$2:$D$5000="Healthy")*                     AllPlayers!$C$2:$C$5000),          IF(             SUMPRODUCT((AllPlayers!$B$2:$B$5000=$B36)*                        (AllPlayers!$H$2:$H$5000="WR")*                        (AllPlayers!$E$2:$E$5000="7")*                        (AllPlayers!$D$2:$D$5000="Healthy")*                        AllPlayers!$C$2:$C$5000) &gt; 0,             SUMPRODUCT((AllPlayers!$B$2:$B$5000=$B36)*                        (AllPlayers!$H$2:$H$5000="WR")*                        (AllPlayers!$E$2:$E$5000="7")*                        (AllPlayers!$D$2:$D$5000="Healthy")*                        AllPlayers!$C$2:$C$5000),             IF(                SUMPRODUCT((AllPlayers!$B$2:$B$5000=$B36)*                           (AllPlayers!$H$2:$H$5000="WR")*                           (AllPlayers!$E$2:$E$5000="8")*                           (AllPlayers!$D$2:$D$5000="Healthy")*                           AllPlayers!$C$2:$C$5000) &gt; 0,                SUMPRODUCT((AllPlayers!$B$2:$B$5000=$B36)*                           (AllPlayers!$H$2:$H$5000="WR")*                           (AllPlayers!$E$2:$E$5000="8")*                           (AllPlayers!$D$2:$D$5000="Healthy")*                           AllPlayers!$C$2:$C$5000),                SUMPRODUCT((AllPlayers!$B$2:$B$5000=$B36)*                           (AllPlayers!$H$2:$H$5000="WR")*                           (AllPlayers!$E$2:$E$5000="9")*                           (AllPlayers!$D$2:$D$5000="Healthy")*                           AllPlayers!$C$2:$C$5000)             )          )       )    ) )</f>
        <v/>
      </c>
      <c r="F36" s="156">
        <f>IF(    SUMIFS(AllPlayers!$C$2:$C$5000,           AllPlayers!$B$2:$B$5000,$B36,           AllPlayers!$H$2:$H$5000,"TE",           AllPlayers!$E$2:$E$5000,"1",           AllPlayers!$D$2:$D$5000,"Healthy")&gt;0,    SUMIFS(AllPlayers!$C$2:$C$5000,           AllPlayers!$B$2:$B$5000,$B36,           AllPlayers!$H$2:$H$5000,"TE",           AllPlayers!$E$2:$E$5000,"1",           AllPlayers!$D$2:$D$5000,"Healthy"),    SUMIFS(AllPlayers!$C$2:$C$5000,           AllPlayers!$B$2:$B$5000,$B36,           AllPlayers!$H$2:$H$5000,"TE",           AllPlayers!$E$2:$E$5000,"2") )</f>
        <v/>
      </c>
      <c r="G36" s="156">
        <f>SUMIFS(K!$C:$C,K!$W:$W,$B36)</f>
        <v/>
      </c>
      <c r="H36" s="156">
        <f>SUMIF(AllPlayers!B:B,B36,AllPlayers!O:O)</f>
        <v/>
      </c>
      <c r="I36" s="156">
        <f>SUM(C36:H36)</f>
        <v/>
      </c>
    </row>
    <row r="37" ht="14.4" customHeight="1" s="152">
      <c r="B37" s="204" t="inlineStr">
        <is>
          <t>(empty)</t>
        </is>
      </c>
      <c r="C37" s="156" t="n"/>
    </row>
    <row r="47" ht="14.25" customHeight="1" s="152"/>
  </sheetData>
  <conditionalFormatting sqref="D1:D2 D1042:D1048576">
    <cfRule type="colorScale" priority="2">
      <colorScale>
        <cfvo type="min" val="0"/>
        <cfvo type="percentile" val="50"/>
        <cfvo type="max" val="0"/>
        <color rgb="FF63BE7B"/>
        <color rgb="FFFFEB84"/>
        <color rgb="FFF8696B"/>
      </colorScale>
    </cfRule>
  </conditionalFormatting>
  <conditionalFormatting sqref="K2:K3 K583:K1048576">
    <cfRule type="colorScale" priority="3">
      <colorScale>
        <cfvo type="min" val="0"/>
        <cfvo type="percentile" val="50"/>
        <cfvo type="max" val="0"/>
        <color rgb="FFF8696B"/>
        <color rgb="FFFFEB84"/>
        <color rgb="FF63BE7B"/>
      </colorScale>
    </cfRule>
  </conditionalFormatting>
  <conditionalFormatting sqref="K2:K4 K583:K1048576">
    <cfRule type="colorScale" priority="4">
      <colorScale>
        <cfvo type="min" val="0"/>
        <cfvo type="percentile" val="50"/>
        <cfvo type="max" val="0"/>
        <color rgb="FFF8696B"/>
        <color rgb="FFFFEB84"/>
        <color rgb="FF63BE7B"/>
      </colorScale>
    </cfRule>
  </conditionalFormatting>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tabColor rgb="FF7030A0"/>
    <outlinePr summaryBelow="1" summaryRight="1"/>
    <pageSetUpPr fitToPage="0"/>
  </sheetPr>
  <dimension ref="A1:O161"/>
  <sheetViews>
    <sheetView showFormulas="0" showGridLines="1" showRowColHeaders="1" showZeros="1" rightToLeft="0" tabSelected="0" showOutlineSymbols="1" defaultGridColor="1" view="normal" topLeftCell="F1" colorId="64" zoomScale="95" zoomScaleNormal="95" zoomScalePageLayoutView="100" workbookViewId="0">
      <pane xSplit="0" ySplit="1" topLeftCell="A2" activePane="bottomLeft" state="frozen"/>
      <selection pane="topLeft" activeCell="F1" activeCellId="0" sqref="F1"/>
      <selection pane="bottomLeft" activeCell="O1" activeCellId="0" sqref="O1"/>
    </sheetView>
  </sheetViews>
  <sheetFormatPr baseColWidth="8" defaultColWidth="8.796875" defaultRowHeight="14.4" zeroHeight="0" outlineLevelRow="0"/>
  <cols>
    <col width="13.66" customWidth="1" style="156" min="2" max="2"/>
    <col width="33" customWidth="1" style="156" min="3" max="3"/>
    <col width="16.33" customWidth="1" style="156" min="5" max="5"/>
    <col width="25.11" customWidth="1" style="156" min="6" max="6"/>
    <col width="15.56" customWidth="1" style="156" min="9" max="9"/>
    <col width="16.89" customWidth="1" style="156" min="10" max="10"/>
    <col width="28.98" customWidth="1" style="156" min="11" max="11"/>
    <col width="27.99" customWidth="1" style="156" min="12" max="12"/>
    <col width="33.89" customWidth="1" style="156" min="13" max="13"/>
    <col width="26.13" customWidth="1" style="156" min="14" max="14"/>
    <col width="17.33" customWidth="1" style="156" min="15" max="15"/>
  </cols>
  <sheetData>
    <row r="1" ht="15.6" customHeight="1" s="152">
      <c r="A1" s="167" t="inlineStr">
        <is>
          <t>Ref No</t>
        </is>
      </c>
      <c r="B1" s="167" t="inlineStr">
        <is>
          <t>Team ABB</t>
        </is>
      </c>
      <c r="C1" s="167" t="inlineStr">
        <is>
          <t>Streamlined Name</t>
        </is>
      </c>
      <c r="D1" s="167" t="inlineStr">
        <is>
          <t>Position</t>
        </is>
      </c>
      <c r="E1" s="167" t="inlineStr">
        <is>
          <t>Injury Type</t>
        </is>
      </c>
      <c r="F1" s="167" t="inlineStr">
        <is>
          <t>Raw Name</t>
        </is>
      </c>
      <c r="G1" s="167" t="inlineStr">
        <is>
          <t>Col Ref</t>
        </is>
      </c>
      <c r="H1" s="167" t="inlineStr">
        <is>
          <t>Find Injury</t>
        </is>
      </c>
      <c r="I1" s="167" t="inlineStr">
        <is>
          <t>Raw Team Name</t>
        </is>
      </c>
      <c r="J1" s="156" t="inlineStr">
        <is>
          <t>Team</t>
        </is>
      </c>
      <c r="K1" s="156" t="inlineStr">
        <is>
          <t>QB #1</t>
        </is>
      </c>
      <c r="L1" s="156" t="inlineStr">
        <is>
          <t>QB #2</t>
        </is>
      </c>
      <c r="M1" s="156" t="inlineStr">
        <is>
          <t>QB #3</t>
        </is>
      </c>
      <c r="N1" s="156" t="inlineStr">
        <is>
          <t>QB #4</t>
        </is>
      </c>
      <c r="O1" s="156" t="inlineStr">
        <is>
          <t>QB #5</t>
        </is>
      </c>
    </row>
    <row r="2" ht="15.6" customHeight="1" s="152">
      <c r="A2" s="167" t="n">
        <v>1</v>
      </c>
      <c r="B2" s="167">
        <f>VLOOKUP(J2,Matrix!AD:AE,2,0)</f>
        <v/>
      </c>
      <c r="C2" s="167">
        <f>IF(H2="",F2,LEFT(F2,H2-1))</f>
        <v/>
      </c>
      <c r="D2" s="167" t="inlineStr">
        <is>
          <t>QB</t>
        </is>
      </c>
      <c r="E2" s="167">
        <f>IF(H2&lt;&gt;"",RIGHT(F2,LEN(F2)-H2-2),"")</f>
        <v/>
      </c>
      <c r="F2" s="167">
        <f>VLOOKUP(I2,$J:$O,G2,0)</f>
        <v/>
      </c>
      <c r="G2" s="167" t="n">
        <v>2</v>
      </c>
      <c r="H2" s="167">
        <f>IFERROR(FIND(" - ",F2),"")</f>
        <v/>
      </c>
      <c r="I2" s="167">
        <f>J2</f>
        <v/>
      </c>
      <c r="J2" s="156" t="inlineStr">
        <is>
          <t>Cowboys</t>
        </is>
      </c>
      <c r="K2" s="156" t="inlineStr">
        <is>
          <t>Dak Prescott</t>
        </is>
      </c>
      <c r="L2" s="156" t="inlineStr">
        <is>
          <t>Joe Milton III</t>
        </is>
      </c>
      <c r="M2" s="156" t="inlineStr">
        <is>
          <t>Will Grier</t>
        </is>
      </c>
    </row>
    <row r="3" ht="15.6" customHeight="1" s="152">
      <c r="A3" s="167" t="n">
        <v>2</v>
      </c>
      <c r="B3" s="167">
        <f>VLOOKUP(J3,Matrix!AD:AE,2,0)</f>
        <v/>
      </c>
      <c r="C3" s="167">
        <f>IF(H3="",F3,LEFT(F3,H3-1))</f>
        <v/>
      </c>
      <c r="D3" s="167" t="inlineStr">
        <is>
          <t>QB</t>
        </is>
      </c>
      <c r="E3" s="167">
        <f>IF(H3&lt;&gt;"",RIGHT(F3,LEN(F3)-H3-2),"")</f>
        <v/>
      </c>
      <c r="F3" s="167">
        <f>VLOOKUP(I3,$J:$O,G3,0)</f>
        <v/>
      </c>
      <c r="G3" s="167" t="n">
        <v>2</v>
      </c>
      <c r="H3" s="167">
        <f>IFERROR(FIND(" - ",F3),"")</f>
        <v/>
      </c>
      <c r="I3" s="167">
        <f>J3</f>
        <v/>
      </c>
      <c r="J3" s="156" t="inlineStr">
        <is>
          <t>Chiefs</t>
        </is>
      </c>
      <c r="K3" s="156" t="inlineStr">
        <is>
          <t>Patrick Mahomes</t>
        </is>
      </c>
      <c r="L3" s="156" t="inlineStr">
        <is>
          <t>Gardner Minshew</t>
        </is>
      </c>
      <c r="M3" s="156" t="inlineStr">
        <is>
          <t>Bailey Zappe</t>
        </is>
      </c>
      <c r="N3" s="156" t="inlineStr">
        <is>
          <t>Chris Oladokun</t>
        </is>
      </c>
    </row>
    <row r="4" ht="15.6" customHeight="1" s="152">
      <c r="A4" s="167" t="n">
        <v>3</v>
      </c>
      <c r="B4" s="167">
        <f>VLOOKUP(J4,Matrix!AD:AE,2,0)</f>
        <v/>
      </c>
      <c r="C4" s="167">
        <f>IF(H4="",F4,LEFT(F4,H4-1))</f>
        <v/>
      </c>
      <c r="D4" s="167" t="inlineStr">
        <is>
          <t>QB</t>
        </is>
      </c>
      <c r="E4" s="167">
        <f>IF(H4&lt;&gt;"",RIGHT(F4,LEN(F4)-H4-2),"")</f>
        <v/>
      </c>
      <c r="F4" s="167">
        <f>VLOOKUP(I4,$J:$O,G4,0)</f>
        <v/>
      </c>
      <c r="G4" s="167" t="n">
        <v>2</v>
      </c>
      <c r="H4" s="167">
        <f>IFERROR(FIND(" - ",F4),"")</f>
        <v/>
      </c>
      <c r="I4" s="167">
        <f>J4</f>
        <v/>
      </c>
      <c r="J4" s="156" t="inlineStr">
        <is>
          <t>Buccaneers</t>
        </is>
      </c>
      <c r="K4" s="156" t="inlineStr">
        <is>
          <t>Baker Mayfield</t>
        </is>
      </c>
      <c r="L4" s="156" t="inlineStr">
        <is>
          <t>Teddy Bridgewater</t>
        </is>
      </c>
      <c r="M4" s="156" t="inlineStr">
        <is>
          <t>Kyle Trask</t>
        </is>
      </c>
      <c r="N4" s="156" t="inlineStr">
        <is>
          <t>Michael Pratt</t>
        </is>
      </c>
      <c r="O4" s="156" t="inlineStr">
        <is>
          <t>Connor Bazelak</t>
        </is>
      </c>
    </row>
    <row r="5" ht="15.6" customHeight="1" s="152">
      <c r="A5" s="167" t="n">
        <v>4</v>
      </c>
      <c r="B5" s="167">
        <f>VLOOKUP(J5,Matrix!AD:AE,2,0)</f>
        <v/>
      </c>
      <c r="C5" s="167">
        <f>IF(H5="",F5,LEFT(F5,H5-1))</f>
        <v/>
      </c>
      <c r="D5" s="167" t="inlineStr">
        <is>
          <t>QB</t>
        </is>
      </c>
      <c r="E5" s="167">
        <f>IF(H5&lt;&gt;"",RIGHT(F5,LEN(F5)-H5-2),"")</f>
        <v/>
      </c>
      <c r="F5" s="167">
        <f>VLOOKUP(I5,$J:$O,G5,0)</f>
        <v/>
      </c>
      <c r="G5" s="167" t="n">
        <v>2</v>
      </c>
      <c r="H5" s="167">
        <f>IFERROR(FIND(" - ",F5),"")</f>
        <v/>
      </c>
      <c r="I5" s="167">
        <f>J5</f>
        <v/>
      </c>
      <c r="J5" s="156" t="inlineStr">
        <is>
          <t>Bengals</t>
        </is>
      </c>
      <c r="K5" s="156" t="inlineStr">
        <is>
          <t>Jake Browning</t>
        </is>
      </c>
      <c r="L5" s="156" t="inlineStr">
        <is>
          <t>Joe Burrow</t>
        </is>
      </c>
      <c r="M5" s="156" t="inlineStr">
        <is>
          <t>Brett Rypien</t>
        </is>
      </c>
      <c r="N5" s="156" t="inlineStr">
        <is>
          <t>Desmond Ridder</t>
        </is>
      </c>
      <c r="O5" s="156" t="inlineStr">
        <is>
          <t>Payton Thorne</t>
        </is>
      </c>
    </row>
    <row r="6" ht="15.6" customHeight="1" s="152">
      <c r="A6" s="167" t="n">
        <v>5</v>
      </c>
      <c r="B6" s="167">
        <f>VLOOKUP(J6,Matrix!AD:AE,2,0)</f>
        <v/>
      </c>
      <c r="C6" s="167">
        <f>IF(H6="",F6,LEFT(F6,H6-1))</f>
        <v/>
      </c>
      <c r="D6" s="167" t="inlineStr">
        <is>
          <t>QB</t>
        </is>
      </c>
      <c r="E6" s="167">
        <f>IF(H6&lt;&gt;"",RIGHT(F6,LEN(F6)-H6-2),"")</f>
        <v/>
      </c>
      <c r="F6" s="167">
        <f>VLOOKUP(I6,$J:$O,G6,0)</f>
        <v/>
      </c>
      <c r="G6" s="167" t="n">
        <v>2</v>
      </c>
      <c r="H6" s="167">
        <f>IFERROR(FIND(" - ",F6),"")</f>
        <v/>
      </c>
      <c r="I6" s="167">
        <f>J6</f>
        <v/>
      </c>
      <c r="J6" s="156" t="inlineStr">
        <is>
          <t>Dolphins</t>
        </is>
      </c>
      <c r="K6" s="156" t="inlineStr">
        <is>
          <t>Tua Tagovailoa</t>
        </is>
      </c>
      <c r="L6" s="156" t="inlineStr">
        <is>
          <t>Zach Wilson</t>
        </is>
      </c>
      <c r="M6" s="156" t="inlineStr">
        <is>
          <t>Quinn Ewers</t>
        </is>
      </c>
      <c r="N6" s="156" t="inlineStr">
        <is>
          <t>Brett Gabbert</t>
        </is>
      </c>
    </row>
    <row r="7" ht="15.6" customHeight="1" s="152">
      <c r="A7" s="167" t="n">
        <v>6</v>
      </c>
      <c r="B7" s="167">
        <f>VLOOKUP(J7,Matrix!AD:AE,2,0)</f>
        <v/>
      </c>
      <c r="C7" s="167">
        <f>IF(H7="",F7,LEFT(F7,H7-1))</f>
        <v/>
      </c>
      <c r="D7" s="167" t="inlineStr">
        <is>
          <t>QB</t>
        </is>
      </c>
      <c r="E7" s="167">
        <f>IF(H7&lt;&gt;"",RIGHT(F7,LEN(F7)-H7-2),"")</f>
        <v/>
      </c>
      <c r="F7" s="167">
        <f>VLOOKUP(I7,$J:$O,G7,0)</f>
        <v/>
      </c>
      <c r="G7" s="167" t="n">
        <v>2</v>
      </c>
      <c r="H7" s="167">
        <f>IFERROR(FIND(" - ",F7),"")</f>
        <v/>
      </c>
      <c r="I7" s="167">
        <f>J7</f>
        <v/>
      </c>
      <c r="J7" s="156" t="inlineStr">
        <is>
          <t>Panthers</t>
        </is>
      </c>
      <c r="K7" s="156" t="inlineStr">
        <is>
          <t>Bryce Young</t>
        </is>
      </c>
      <c r="L7" s="156" t="inlineStr">
        <is>
          <t>Andy Dalton</t>
        </is>
      </c>
      <c r="M7" s="156" t="inlineStr">
        <is>
          <t>Jack Plummer</t>
        </is>
      </c>
      <c r="N7" s="156" t="inlineStr">
        <is>
          <t>Bryce Perkins</t>
        </is>
      </c>
    </row>
    <row r="8" ht="15.6" customHeight="1" s="152">
      <c r="A8" s="167" t="n">
        <v>7</v>
      </c>
      <c r="B8" s="167">
        <f>VLOOKUP(J8,Matrix!AD:AE,2,0)</f>
        <v/>
      </c>
      <c r="C8" s="167">
        <f>IF(H8="",F8,LEFT(F8,H8-1))</f>
        <v/>
      </c>
      <c r="D8" s="167" t="inlineStr">
        <is>
          <t>QB</t>
        </is>
      </c>
      <c r="E8" s="167">
        <f>IF(H8&lt;&gt;"",RIGHT(F8,LEN(F8)-H8-2),"")</f>
        <v/>
      </c>
      <c r="F8" s="167">
        <f>VLOOKUP(I8,$J:$O,G8,0)</f>
        <v/>
      </c>
      <c r="G8" s="167" t="n">
        <v>2</v>
      </c>
      <c r="H8" s="167">
        <f>IFERROR(FIND(" - ",F8),"")</f>
        <v/>
      </c>
      <c r="I8" s="167">
        <f>J8</f>
        <v/>
      </c>
      <c r="J8" s="156" t="inlineStr">
        <is>
          <t>Raiders</t>
        </is>
      </c>
      <c r="K8" s="156" t="inlineStr">
        <is>
          <t>Geno Smith</t>
        </is>
      </c>
      <c r="L8" s="156" t="inlineStr">
        <is>
          <t>Aidan O'Connell</t>
        </is>
      </c>
      <c r="M8" s="156" t="inlineStr">
        <is>
          <t>Kenny Pickett</t>
        </is>
      </c>
      <c r="N8" s="156" t="inlineStr">
        <is>
          <t>Cam Miller</t>
        </is>
      </c>
    </row>
    <row r="9" ht="15.6" customHeight="1" s="152">
      <c r="A9" s="167" t="n">
        <v>8</v>
      </c>
      <c r="B9" s="167">
        <f>VLOOKUP(J9,Matrix!AD:AE,2,0)</f>
        <v/>
      </c>
      <c r="C9" s="167">
        <f>IF(H9="",F9,LEFT(F9,H9-1))</f>
        <v/>
      </c>
      <c r="D9" s="167" t="inlineStr">
        <is>
          <t>QB</t>
        </is>
      </c>
      <c r="E9" s="167">
        <f>IF(H9&lt;&gt;"",RIGHT(F9,LEN(F9)-H9-2),"")</f>
        <v/>
      </c>
      <c r="F9" s="167">
        <f>VLOOKUP(I9,$J:$O,G9,0)</f>
        <v/>
      </c>
      <c r="G9" s="167" t="n">
        <v>2</v>
      </c>
      <c r="H9" s="167">
        <f>IFERROR(FIND(" - ",F9),"")</f>
        <v/>
      </c>
      <c r="I9" s="167">
        <f>J9</f>
        <v/>
      </c>
      <c r="J9" s="156" t="inlineStr">
        <is>
          <t>Cardinals</t>
        </is>
      </c>
      <c r="K9" s="156" t="inlineStr">
        <is>
          <t>Kyler Murray</t>
        </is>
      </c>
      <c r="L9" s="156" t="inlineStr">
        <is>
          <t>Jacoby Brissett</t>
        </is>
      </c>
      <c r="M9" s="156" t="inlineStr">
        <is>
          <t>Clayton Tune</t>
        </is>
      </c>
    </row>
    <row r="10" ht="15.6" customHeight="1" s="152">
      <c r="A10" s="167" t="n">
        <v>9</v>
      </c>
      <c r="B10" s="167">
        <f>VLOOKUP(J10,Matrix!AD:AE,2,0)</f>
        <v/>
      </c>
      <c r="C10" s="167">
        <f>IF(H10="",F10,LEFT(F10,H10-1))</f>
        <v/>
      </c>
      <c r="D10" s="167" t="inlineStr">
        <is>
          <t>QB</t>
        </is>
      </c>
      <c r="E10" s="167">
        <f>IF(H10&lt;&gt;"",RIGHT(F10,LEN(F10)-H10-2),"")</f>
        <v/>
      </c>
      <c r="F10" s="167">
        <f>VLOOKUP(I10,$J:$O,G10,0)</f>
        <v/>
      </c>
      <c r="G10" s="167" t="n">
        <v>2</v>
      </c>
      <c r="H10" s="167">
        <f>IFERROR(FIND(" - ",F10),"")</f>
        <v/>
      </c>
      <c r="I10" s="167">
        <f>J10</f>
        <v/>
      </c>
      <c r="J10" s="156" t="inlineStr">
        <is>
          <t>Steelers</t>
        </is>
      </c>
      <c r="K10" s="156" t="inlineStr">
        <is>
          <t>Aaron Rodgers</t>
        </is>
      </c>
      <c r="L10" s="156" t="inlineStr">
        <is>
          <t>Mason Rudolph</t>
        </is>
      </c>
      <c r="M10" s="156" t="inlineStr">
        <is>
          <t>Will Howard</t>
        </is>
      </c>
      <c r="N10" s="156" t="inlineStr">
        <is>
          <t>Skylar Thompson</t>
        </is>
      </c>
      <c r="O10" s="156" t="inlineStr">
        <is>
          <t>Logan Woodside</t>
        </is>
      </c>
    </row>
    <row r="11" ht="15.6" customHeight="1" s="152">
      <c r="A11" s="167" t="n">
        <v>10</v>
      </c>
      <c r="B11" s="167">
        <f>VLOOKUP(J11,Matrix!AD:AE,2,0)</f>
        <v/>
      </c>
      <c r="C11" s="167">
        <f>IF(H11="",F11,LEFT(F11,H11-1))</f>
        <v/>
      </c>
      <c r="D11" s="167" t="inlineStr">
        <is>
          <t>QB</t>
        </is>
      </c>
      <c r="E11" s="167">
        <f>IF(H11&lt;&gt;"",RIGHT(F11,LEN(F11)-H11-2),"")</f>
        <v/>
      </c>
      <c r="F11" s="167">
        <f>VLOOKUP(I11,$J:$O,G11,0)</f>
        <v/>
      </c>
      <c r="G11" s="167" t="n">
        <v>2</v>
      </c>
      <c r="H11" s="167">
        <f>IFERROR(FIND(" - ",F11),"")</f>
        <v/>
      </c>
      <c r="I11" s="167">
        <f>J11</f>
        <v/>
      </c>
      <c r="J11" s="156" t="inlineStr">
        <is>
          <t>Giants</t>
        </is>
      </c>
      <c r="K11" s="156" t="inlineStr">
        <is>
          <t>Russell Wilson</t>
        </is>
      </c>
      <c r="L11" s="156" t="inlineStr">
        <is>
          <t>Jaxson Dart</t>
        </is>
      </c>
      <c r="M11" s="156" t="inlineStr">
        <is>
          <t>Jameis Winston</t>
        </is>
      </c>
      <c r="N11" s="156" t="inlineStr">
        <is>
          <t>Tommy DeVito</t>
        </is>
      </c>
    </row>
    <row r="12" ht="15.6" customHeight="1" s="152">
      <c r="A12" s="167" t="n">
        <v>11</v>
      </c>
      <c r="B12" s="167">
        <f>VLOOKUP(J12,Matrix!AD:AE,2,0)</f>
        <v/>
      </c>
      <c r="C12" s="167">
        <f>IF(H12="",F12,LEFT(F12,H12-1))</f>
        <v/>
      </c>
      <c r="D12" s="167" t="inlineStr">
        <is>
          <t>QB</t>
        </is>
      </c>
      <c r="E12" s="167">
        <f>IF(H12&lt;&gt;"",RIGHT(F12,LEN(F12)-H12-2),"")</f>
        <v/>
      </c>
      <c r="F12" s="167">
        <f>VLOOKUP(I12,$J:$O,G12,0)</f>
        <v/>
      </c>
      <c r="G12" s="167" t="n">
        <v>2</v>
      </c>
      <c r="H12" s="167">
        <f>IFERROR(FIND(" - ",F12),"")</f>
        <v/>
      </c>
      <c r="I12" s="167">
        <f>J12</f>
        <v/>
      </c>
      <c r="J12" s="156" t="inlineStr">
        <is>
          <t>Titans</t>
        </is>
      </c>
      <c r="K12" s="156" t="inlineStr">
        <is>
          <t>Cam Ward</t>
        </is>
      </c>
      <c r="L12" s="156" t="inlineStr">
        <is>
          <t>Cameron Ward</t>
        </is>
      </c>
      <c r="M12" s="156" t="inlineStr">
        <is>
          <t>Brandon Allen</t>
        </is>
      </c>
      <c r="N12" s="156" t="inlineStr">
        <is>
          <t>Will Levis</t>
        </is>
      </c>
      <c r="O12" s="156" t="inlineStr">
        <is>
          <t>Trevor Siemian</t>
        </is>
      </c>
    </row>
    <row r="13" ht="15.6" customHeight="1" s="152">
      <c r="A13" s="167" t="n">
        <v>12</v>
      </c>
      <c r="B13" s="167">
        <f>VLOOKUP(J13,Matrix!AD:AE,2,0)</f>
        <v/>
      </c>
      <c r="C13" s="167">
        <f>IF(H13="",F13,LEFT(F13,H13-1))</f>
        <v/>
      </c>
      <c r="D13" s="167" t="inlineStr">
        <is>
          <t>QB</t>
        </is>
      </c>
      <c r="E13" s="167">
        <f>IF(H13&lt;&gt;"",RIGHT(F13,LEN(F13)-H13-2),"")</f>
        <v/>
      </c>
      <c r="F13" s="167">
        <f>VLOOKUP(I13,$J:$O,G13,0)</f>
        <v/>
      </c>
      <c r="G13" s="167" t="n">
        <v>2</v>
      </c>
      <c r="H13" s="167">
        <f>IFERROR(FIND(" - ",F13),"")</f>
        <v/>
      </c>
      <c r="I13" s="167">
        <f>J13</f>
        <v/>
      </c>
      <c r="J13" s="156" t="inlineStr">
        <is>
          <t>49ers</t>
        </is>
      </c>
      <c r="K13" s="156" t="inlineStr">
        <is>
          <t>Brock Purdy</t>
        </is>
      </c>
      <c r="L13" s="156" t="inlineStr">
        <is>
          <t>Mac Jones</t>
        </is>
      </c>
      <c r="M13" s="156" t="inlineStr">
        <is>
          <t>Kurtis Rourke</t>
        </is>
      </c>
      <c r="N13" s="156" t="inlineStr">
        <is>
          <t>Adrian Martinez</t>
        </is>
      </c>
      <c r="O13" s="156" t="inlineStr">
        <is>
          <t>Carter Bradley</t>
        </is>
      </c>
    </row>
    <row r="14" ht="15.6" customHeight="1" s="152">
      <c r="A14" s="167" t="n">
        <v>13</v>
      </c>
      <c r="B14" s="167">
        <f>VLOOKUP(J14,Matrix!AD:AE,2,0)</f>
        <v/>
      </c>
      <c r="C14" s="167">
        <f>IF(H14="",F14,LEFT(F14,H14-1))</f>
        <v/>
      </c>
      <c r="D14" s="167" t="inlineStr">
        <is>
          <t>QB</t>
        </is>
      </c>
      <c r="E14" s="167">
        <f>IF(H14&lt;&gt;"",RIGHT(F14,LEN(F14)-H14-2),"")</f>
        <v/>
      </c>
      <c r="F14" s="167">
        <f>VLOOKUP(I14,$J:$O,G14,0)</f>
        <v/>
      </c>
      <c r="G14" s="167" t="n">
        <v>2</v>
      </c>
      <c r="H14" s="167">
        <f>IFERROR(FIND(" - ",F14),"")</f>
        <v/>
      </c>
      <c r="I14" s="167">
        <f>J14</f>
        <v/>
      </c>
      <c r="J14" s="156" t="inlineStr">
        <is>
          <t>Lions</t>
        </is>
      </c>
      <c r="K14" s="156" t="inlineStr">
        <is>
          <t>Jared Goff</t>
        </is>
      </c>
      <c r="L14" s="156" t="inlineStr">
        <is>
          <t>Hendon Hooker</t>
        </is>
      </c>
      <c r="M14" s="156" t="inlineStr">
        <is>
          <t>Kyle Allen</t>
        </is>
      </c>
    </row>
    <row r="15" ht="15.6" customHeight="1" s="152">
      <c r="A15" s="167" t="n">
        <v>14</v>
      </c>
      <c r="B15" s="167">
        <f>VLOOKUP(J15,Matrix!AD:AE,2,0)</f>
        <v/>
      </c>
      <c r="C15" s="167">
        <f>IF(H15="",F15,LEFT(F15,H15-1))</f>
        <v/>
      </c>
      <c r="D15" s="167" t="inlineStr">
        <is>
          <t>QB</t>
        </is>
      </c>
      <c r="E15" s="167">
        <f>IF(H15&lt;&gt;"",RIGHT(F15,LEN(F15)-H15-2),"")</f>
        <v/>
      </c>
      <c r="F15" s="167">
        <f>VLOOKUP(I15,$J:$O,G15,0)</f>
        <v/>
      </c>
      <c r="G15" s="167" t="n">
        <v>2</v>
      </c>
      <c r="H15" s="167">
        <f>IFERROR(FIND(" - ",F15),"")</f>
        <v/>
      </c>
      <c r="I15" s="167">
        <f>J15</f>
        <v/>
      </c>
      <c r="J15" s="156" t="inlineStr">
        <is>
          <t>Texans</t>
        </is>
      </c>
      <c r="K15" s="156" t="inlineStr">
        <is>
          <t>C.J. Stroud</t>
        </is>
      </c>
      <c r="L15" s="156" t="inlineStr">
        <is>
          <t>Davis Mills</t>
        </is>
      </c>
      <c r="M15" s="156" t="inlineStr">
        <is>
          <t>Graham Mertz</t>
        </is>
      </c>
      <c r="N15" s="156" t="inlineStr">
        <is>
          <t>Kedon Slovis</t>
        </is>
      </c>
    </row>
    <row r="16" ht="15.6" customHeight="1" s="152">
      <c r="A16" s="167" t="n">
        <v>15</v>
      </c>
      <c r="B16" s="167">
        <f>VLOOKUP(J16,Matrix!AD:AE,2,0)</f>
        <v/>
      </c>
      <c r="C16" s="167">
        <f>IF(H16="",F16,LEFT(F16,H16-1))</f>
        <v/>
      </c>
      <c r="D16" s="167" t="inlineStr">
        <is>
          <t>QB</t>
        </is>
      </c>
      <c r="E16" s="167">
        <f>IF(H16&lt;&gt;"",RIGHT(F16,LEN(F16)-H16-2),"")</f>
        <v/>
      </c>
      <c r="F16" s="167">
        <f>VLOOKUP(I16,$J:$O,G16,0)</f>
        <v/>
      </c>
      <c r="G16" s="167" t="n">
        <v>2</v>
      </c>
      <c r="H16" s="167">
        <f>IFERROR(FIND(" - ",F16),"")</f>
        <v/>
      </c>
      <c r="I16" s="167">
        <f>J16</f>
        <v/>
      </c>
      <c r="J16" s="156" t="inlineStr">
        <is>
          <t>Ravens</t>
        </is>
      </c>
      <c r="K16" s="156" t="inlineStr">
        <is>
          <t>Lamar Jackson</t>
        </is>
      </c>
      <c r="L16" s="156" t="inlineStr">
        <is>
          <t>Cooper Rush</t>
        </is>
      </c>
      <c r="M16" s="156" t="inlineStr">
        <is>
          <t>Devin Leary</t>
        </is>
      </c>
    </row>
    <row r="17" ht="15.6" customHeight="1" s="152">
      <c r="A17" s="167" t="n">
        <v>16</v>
      </c>
      <c r="B17" s="167">
        <f>VLOOKUP(J17,Matrix!AD:AE,2,0)</f>
        <v/>
      </c>
      <c r="C17" s="167">
        <f>IF(H17="",F17,LEFT(F17,H17-1))</f>
        <v/>
      </c>
      <c r="D17" s="167" t="inlineStr">
        <is>
          <t>QB</t>
        </is>
      </c>
      <c r="E17" s="167">
        <f>IF(H17&lt;&gt;"",RIGHT(F17,LEN(F17)-H17-2),"")</f>
        <v/>
      </c>
      <c r="F17" s="167">
        <f>VLOOKUP(I17,$J:$O,G17,0)</f>
        <v/>
      </c>
      <c r="G17" s="167" t="n">
        <v>2</v>
      </c>
      <c r="H17" s="167">
        <f>IFERROR(FIND(" - ",F17),"")</f>
        <v/>
      </c>
      <c r="I17" s="167">
        <f>J17</f>
        <v/>
      </c>
      <c r="J17" s="156" t="inlineStr">
        <is>
          <t>Vikings</t>
        </is>
      </c>
      <c r="K17" s="156" t="inlineStr">
        <is>
          <t>J.J. McCarthy</t>
        </is>
      </c>
      <c r="L17" s="156" t="inlineStr">
        <is>
          <t>Sam Howell</t>
        </is>
      </c>
      <c r="M17" s="156" t="inlineStr">
        <is>
          <t>Carson Wentz</t>
        </is>
      </c>
      <c r="N17" s="156" t="inlineStr">
        <is>
          <t>Max Brosmer</t>
        </is>
      </c>
      <c r="O17" s="156" t="inlineStr">
        <is>
          <t>Brett Rypien</t>
        </is>
      </c>
    </row>
    <row r="18" ht="15.6" customHeight="1" s="152">
      <c r="A18" s="167" t="n">
        <v>17</v>
      </c>
      <c r="B18" s="167">
        <f>VLOOKUP(J18,Matrix!AD:AE,2,0)</f>
        <v/>
      </c>
      <c r="C18" s="167">
        <f>IF(H18="",F18,LEFT(F18,H18-1))</f>
        <v/>
      </c>
      <c r="D18" s="167" t="inlineStr">
        <is>
          <t>QB</t>
        </is>
      </c>
      <c r="E18" s="167">
        <f>IF(H18&lt;&gt;"",RIGHT(F18,LEN(F18)-H18-2),"")</f>
        <v/>
      </c>
      <c r="F18" s="167">
        <f>VLOOKUP(I18,$J:$O,G18,0)</f>
        <v/>
      </c>
      <c r="G18" s="167" t="n">
        <v>2</v>
      </c>
      <c r="H18" s="167">
        <f>IFERROR(FIND(" - ",F18),"")</f>
        <v/>
      </c>
      <c r="I18" s="167">
        <f>J18</f>
        <v/>
      </c>
      <c r="J18" s="156" t="inlineStr">
        <is>
          <t>Commanders</t>
        </is>
      </c>
      <c r="K18" s="156" t="inlineStr">
        <is>
          <t>Jayden Daniels</t>
        </is>
      </c>
      <c r="L18" s="156" t="inlineStr">
        <is>
          <t>Marcus Mariota</t>
        </is>
      </c>
      <c r="M18" s="156" t="inlineStr">
        <is>
          <t>Josh Johnson</t>
        </is>
      </c>
      <c r="N18" s="156" t="inlineStr">
        <is>
          <t>Sam Hartman</t>
        </is>
      </c>
    </row>
    <row r="19" ht="15.6" customHeight="1" s="152">
      <c r="A19" s="167" t="n">
        <v>18</v>
      </c>
      <c r="B19" s="167">
        <f>VLOOKUP(J19,Matrix!AD:AE,2,0)</f>
        <v/>
      </c>
      <c r="C19" s="167">
        <f>IF(H19="",F19,LEFT(F19,H19-1))</f>
        <v/>
      </c>
      <c r="D19" s="167" t="inlineStr">
        <is>
          <t>QB</t>
        </is>
      </c>
      <c r="E19" s="167">
        <f>IF(H19&lt;&gt;"",RIGHT(F19,LEN(F19)-H19-2),"")</f>
        <v/>
      </c>
      <c r="F19" s="167">
        <f>VLOOKUP(I19,$J:$O,G19,0)</f>
        <v/>
      </c>
      <c r="G19" s="167" t="n">
        <v>2</v>
      </c>
      <c r="H19" s="167">
        <f>IFERROR(FIND(" - ",F19),"")</f>
        <v/>
      </c>
      <c r="I19" s="167">
        <f>J19</f>
        <v/>
      </c>
      <c r="J19" s="156" t="inlineStr">
        <is>
          <t>Browns</t>
        </is>
      </c>
      <c r="K19" s="156" t="inlineStr">
        <is>
          <t>Joe Flacco</t>
        </is>
      </c>
      <c r="L19" s="156" t="inlineStr">
        <is>
          <t>Kenny Pickett</t>
        </is>
      </c>
      <c r="M19" s="156" t="inlineStr">
        <is>
          <t>Dillon Gabriel</t>
        </is>
      </c>
      <c r="N19" s="156" t="inlineStr">
        <is>
          <t>Shedeur Sanders</t>
        </is>
      </c>
      <c r="O19" s="156" t="inlineStr">
        <is>
          <t>Deshaun Watson</t>
        </is>
      </c>
    </row>
    <row r="20" ht="15.6" customHeight="1" s="152">
      <c r="A20" s="167" t="n">
        <v>19</v>
      </c>
      <c r="B20" s="167">
        <f>VLOOKUP(J20,Matrix!AD:AE,2,0)</f>
        <v/>
      </c>
      <c r="C20" s="167">
        <f>IF(H20="",F20,LEFT(F20,H20-1))</f>
        <v/>
      </c>
      <c r="D20" s="167" t="inlineStr">
        <is>
          <t>QB</t>
        </is>
      </c>
      <c r="E20" s="167">
        <f>IF(H20&lt;&gt;"",RIGHT(F20,LEN(F20)-H20-2),"")</f>
        <v/>
      </c>
      <c r="F20" s="167">
        <f>VLOOKUP(I20,$J:$O,G20,0)</f>
        <v/>
      </c>
      <c r="G20" s="167" t="n">
        <v>2</v>
      </c>
      <c r="H20" s="167">
        <f>IFERROR(FIND(" - ",F20),"")</f>
        <v/>
      </c>
      <c r="I20" s="167">
        <f>J20</f>
        <v/>
      </c>
      <c r="J20" s="156" t="inlineStr">
        <is>
          <t>Jaguars</t>
        </is>
      </c>
      <c r="K20" s="156" t="inlineStr">
        <is>
          <t>Trevor Lawrence</t>
        </is>
      </c>
      <c r="L20" s="156" t="inlineStr">
        <is>
          <t>Nick Mullens</t>
        </is>
      </c>
      <c r="M20" s="156" t="inlineStr">
        <is>
          <t>John Wolford</t>
        </is>
      </c>
      <c r="N20" s="156" t="inlineStr">
        <is>
          <t>Seth Henigan</t>
        </is>
      </c>
    </row>
    <row r="21" ht="15.6" customHeight="1" s="152">
      <c r="A21" s="167" t="n">
        <v>20</v>
      </c>
      <c r="B21" s="167">
        <f>VLOOKUP(J21,Matrix!AD:AE,2,0)</f>
        <v/>
      </c>
      <c r="C21" s="167">
        <f>IF(H21="",F21,LEFT(F21,H21-1))</f>
        <v/>
      </c>
      <c r="D21" s="167" t="inlineStr">
        <is>
          <t>QB</t>
        </is>
      </c>
      <c r="E21" s="167">
        <f>IF(H21&lt;&gt;"",RIGHT(F21,LEN(F21)-H21-2),"")</f>
        <v/>
      </c>
      <c r="F21" s="167">
        <f>VLOOKUP(I21,$J:$O,G21,0)</f>
        <v/>
      </c>
      <c r="G21" s="167" t="n">
        <v>2</v>
      </c>
      <c r="H21" s="167">
        <f>IFERROR(FIND(" - ",F21),"")</f>
        <v/>
      </c>
      <c r="I21" s="167">
        <f>J21</f>
        <v/>
      </c>
      <c r="J21" s="156" t="inlineStr">
        <is>
          <t>Bears</t>
        </is>
      </c>
      <c r="K21" s="156" t="inlineStr">
        <is>
          <t>Caleb Williams</t>
        </is>
      </c>
      <c r="L21" s="156" t="inlineStr">
        <is>
          <t>Tyson Bagent</t>
        </is>
      </c>
      <c r="M21" s="156" t="inlineStr">
        <is>
          <t>Case Keenum</t>
        </is>
      </c>
      <c r="N21" s="156" t="inlineStr">
        <is>
          <t>Austin Reed</t>
        </is>
      </c>
    </row>
    <row r="22" ht="15.6" customHeight="1" s="152">
      <c r="A22" s="167" t="n">
        <v>21</v>
      </c>
      <c r="B22" s="167">
        <f>VLOOKUP(J22,Matrix!AD:AE,2,0)</f>
        <v/>
      </c>
      <c r="C22" s="167">
        <f>IF(H22="",F22,LEFT(F22,H22-1))</f>
        <v/>
      </c>
      <c r="D22" s="167" t="inlineStr">
        <is>
          <t>QB</t>
        </is>
      </c>
      <c r="E22" s="167">
        <f>IF(H22&lt;&gt;"",RIGHT(F22,LEN(F22)-H22-2),"")</f>
        <v/>
      </c>
      <c r="F22" s="167">
        <f>VLOOKUP(I22,$J:$O,G22,0)</f>
        <v/>
      </c>
      <c r="G22" s="167" t="n">
        <v>2</v>
      </c>
      <c r="H22" s="167">
        <f>IFERROR(FIND(" - ",F22),"")</f>
        <v/>
      </c>
      <c r="I22" s="167">
        <f>J22</f>
        <v/>
      </c>
      <c r="J22" s="156" t="inlineStr">
        <is>
          <t>Patriots</t>
        </is>
      </c>
      <c r="K22" s="156" t="inlineStr">
        <is>
          <t>Drake Maye</t>
        </is>
      </c>
      <c r="L22" s="156" t="inlineStr">
        <is>
          <t>Joshua Dobbs</t>
        </is>
      </c>
      <c r="M22" s="156" t="inlineStr">
        <is>
          <t>Ben Wooldridge</t>
        </is>
      </c>
      <c r="N22" s="156" t="inlineStr">
        <is>
          <t>Tommy DeVito</t>
        </is>
      </c>
    </row>
    <row r="23" ht="15.6" customHeight="1" s="152">
      <c r="A23" s="167" t="n">
        <v>22</v>
      </c>
      <c r="B23" s="167">
        <f>VLOOKUP(J23,Matrix!AD:AE,2,0)</f>
        <v/>
      </c>
      <c r="C23" s="167">
        <f>IF(H23="",F23,LEFT(F23,H23-1))</f>
        <v/>
      </c>
      <c r="D23" s="167" t="inlineStr">
        <is>
          <t>QB</t>
        </is>
      </c>
      <c r="E23" s="167">
        <f>IF(H23&lt;&gt;"",RIGHT(F23,LEN(F23)-H23-2),"")</f>
        <v/>
      </c>
      <c r="F23" s="167">
        <f>VLOOKUP(I23,$J:$O,G23,0)</f>
        <v/>
      </c>
      <c r="G23" s="167" t="n">
        <v>2</v>
      </c>
      <c r="H23" s="167">
        <f>IFERROR(FIND(" - ",F23),"")</f>
        <v/>
      </c>
      <c r="I23" s="167">
        <f>J23</f>
        <v/>
      </c>
      <c r="J23" s="156" t="inlineStr">
        <is>
          <t>Bills</t>
        </is>
      </c>
      <c r="K23" s="156" t="inlineStr">
        <is>
          <t>Josh Allen</t>
        </is>
      </c>
      <c r="L23" s="156" t="inlineStr">
        <is>
          <t>Mitchell Trubisky</t>
        </is>
      </c>
      <c r="M23" s="156" t="inlineStr">
        <is>
          <t>Mike White</t>
        </is>
      </c>
      <c r="N23" s="156" t="inlineStr">
        <is>
          <t>Shane Buechele</t>
        </is>
      </c>
    </row>
    <row r="24" ht="15.6" customHeight="1" s="152">
      <c r="A24" s="167" t="n">
        <v>23</v>
      </c>
      <c r="B24" s="167">
        <f>VLOOKUP(J24,Matrix!AD:AE,2,0)</f>
        <v/>
      </c>
      <c r="C24" s="167">
        <f>IF(H24="",F24,LEFT(F24,H24-1))</f>
        <v/>
      </c>
      <c r="D24" s="167" t="inlineStr">
        <is>
          <t>QB</t>
        </is>
      </c>
      <c r="E24" s="167">
        <f>IF(H24&lt;&gt;"",RIGHT(F24,LEN(F24)-H24-2),"")</f>
        <v/>
      </c>
      <c r="F24" s="167">
        <f>VLOOKUP(I24,$J:$O,G24,0)</f>
        <v/>
      </c>
      <c r="G24" s="167" t="n">
        <v>2</v>
      </c>
      <c r="H24" s="167">
        <f>IFERROR(FIND(" - ",F24),"")</f>
        <v/>
      </c>
      <c r="I24" s="167">
        <f>J24</f>
        <v/>
      </c>
      <c r="J24" s="156" t="inlineStr">
        <is>
          <t>Seahawks</t>
        </is>
      </c>
      <c r="K24" s="156" t="inlineStr">
        <is>
          <t>Sam Darnold</t>
        </is>
      </c>
      <c r="L24" s="156" t="inlineStr">
        <is>
          <t>Jalen Milroe</t>
        </is>
      </c>
      <c r="M24" s="156" t="inlineStr">
        <is>
          <t>Drew Lock</t>
        </is>
      </c>
    </row>
    <row r="25" ht="15.6" customHeight="1" s="152">
      <c r="A25" s="167" t="n">
        <v>24</v>
      </c>
      <c r="B25" s="167">
        <f>VLOOKUP(J25,Matrix!AD:AE,2,0)</f>
        <v/>
      </c>
      <c r="C25" s="167">
        <f>IF(H25="",F25,LEFT(F25,H25-1))</f>
        <v/>
      </c>
      <c r="D25" s="167" t="inlineStr">
        <is>
          <t>QB</t>
        </is>
      </c>
      <c r="E25" s="167">
        <f>IF(H25&lt;&gt;"",RIGHT(F25,LEN(F25)-H25-2),"")</f>
        <v/>
      </c>
      <c r="F25" s="167">
        <f>VLOOKUP(I25,$J:$O,G25,0)</f>
        <v/>
      </c>
      <c r="G25" s="167" t="n">
        <v>2</v>
      </c>
      <c r="H25" s="167">
        <f>IFERROR(FIND(" - ",F25),"")</f>
        <v/>
      </c>
      <c r="I25" s="167">
        <f>J25</f>
        <v/>
      </c>
      <c r="J25" s="156" t="inlineStr">
        <is>
          <t>Rams</t>
        </is>
      </c>
      <c r="K25" s="156" t="inlineStr">
        <is>
          <t>Matthew Stafford</t>
        </is>
      </c>
      <c r="L25" s="156" t="inlineStr">
        <is>
          <t>Jimmy Garoppolo</t>
        </is>
      </c>
      <c r="M25" s="156" t="inlineStr">
        <is>
          <t>Stetson Bennett IV</t>
        </is>
      </c>
      <c r="N25" s="156" t="inlineStr">
        <is>
          <t>Stetson Bennett</t>
        </is>
      </c>
      <c r="O25" s="156" t="inlineStr">
        <is>
          <t>Dresser Winn</t>
        </is>
      </c>
    </row>
    <row r="26" ht="15.6" customHeight="1" s="152">
      <c r="A26" s="167" t="n">
        <v>25</v>
      </c>
      <c r="B26" s="167">
        <f>VLOOKUP(J26,Matrix!AD:AE,2,0)</f>
        <v/>
      </c>
      <c r="C26" s="167">
        <f>IF(H26="",F26,LEFT(F26,H26-1))</f>
        <v/>
      </c>
      <c r="D26" s="167" t="inlineStr">
        <is>
          <t>QB</t>
        </is>
      </c>
      <c r="E26" s="167">
        <f>IF(H26&lt;&gt;"",RIGHT(F26,LEN(F26)-H26-2),"")</f>
        <v/>
      </c>
      <c r="F26" s="167">
        <f>VLOOKUP(I26,$J:$O,G26,0)</f>
        <v/>
      </c>
      <c r="G26" s="167" t="n">
        <v>2</v>
      </c>
      <c r="H26" s="167">
        <f>IFERROR(FIND(" - ",F26),"")</f>
        <v/>
      </c>
      <c r="I26" s="167">
        <f>J26</f>
        <v/>
      </c>
      <c r="J26" s="156" t="inlineStr">
        <is>
          <t>Broncos</t>
        </is>
      </c>
      <c r="K26" s="156" t="inlineStr">
        <is>
          <t>Bo Nix</t>
        </is>
      </c>
      <c r="L26" s="156" t="inlineStr">
        <is>
          <t>Jarrett Stidham</t>
        </is>
      </c>
      <c r="M26" s="156" t="inlineStr">
        <is>
          <t>Sam Ehlinger</t>
        </is>
      </c>
    </row>
    <row r="27" ht="15.6" customHeight="1" s="152">
      <c r="A27" s="167" t="n">
        <v>26</v>
      </c>
      <c r="B27" s="167">
        <f>VLOOKUP(J27,Matrix!AD:AE,2,0)</f>
        <v/>
      </c>
      <c r="C27" s="167">
        <f>IF(H27="",F27,LEFT(F27,H27-1))</f>
        <v/>
      </c>
      <c r="D27" s="167" t="inlineStr">
        <is>
          <t>QB</t>
        </is>
      </c>
      <c r="E27" s="167">
        <f>IF(H27&lt;&gt;"",RIGHT(F27,LEN(F27)-H27-2),"")</f>
        <v/>
      </c>
      <c r="F27" s="167">
        <f>VLOOKUP(I27,$J:$O,G27,0)</f>
        <v/>
      </c>
      <c r="G27" s="167" t="n">
        <v>2</v>
      </c>
      <c r="H27" s="167">
        <f>IFERROR(FIND(" - ",F27),"")</f>
        <v/>
      </c>
      <c r="I27" s="167">
        <f>J27</f>
        <v/>
      </c>
      <c r="J27" s="156" t="inlineStr">
        <is>
          <t>Eagles</t>
        </is>
      </c>
      <c r="K27" s="156" t="inlineStr">
        <is>
          <t>Jalen Hurts</t>
        </is>
      </c>
      <c r="L27" s="156" t="inlineStr">
        <is>
          <t>Tanner McKee</t>
        </is>
      </c>
      <c r="M27" s="156" t="inlineStr">
        <is>
          <t>Sam Howell</t>
        </is>
      </c>
      <c r="N27" s="156" t="inlineStr">
        <is>
          <t>Dorian Thompson-Robinson</t>
        </is>
      </c>
      <c r="O27" s="156" t="inlineStr">
        <is>
          <t>Kyle McCord</t>
        </is>
      </c>
    </row>
    <row r="28" ht="15.6" customHeight="1" s="152">
      <c r="A28" s="167" t="n">
        <v>27</v>
      </c>
      <c r="B28" s="167">
        <f>VLOOKUP(J28,Matrix!AD:AE,2,0)</f>
        <v/>
      </c>
      <c r="C28" s="167">
        <f>IF(H28="",F28,LEFT(F28,H28-1))</f>
        <v/>
      </c>
      <c r="D28" s="167" t="inlineStr">
        <is>
          <t>QB</t>
        </is>
      </c>
      <c r="E28" s="167">
        <f>IF(H28&lt;&gt;"",RIGHT(F28,LEN(F28)-H28-2),"")</f>
        <v/>
      </c>
      <c r="F28" s="167">
        <f>VLOOKUP(I28,$J:$O,G28,0)</f>
        <v/>
      </c>
      <c r="G28" s="167" t="n">
        <v>2</v>
      </c>
      <c r="H28" s="167">
        <f>IFERROR(FIND(" - ",F28),"")</f>
        <v/>
      </c>
      <c r="I28" s="167">
        <f>J28</f>
        <v/>
      </c>
      <c r="J28" s="156" t="inlineStr">
        <is>
          <t>Falcons</t>
        </is>
      </c>
      <c r="K28" s="156" t="inlineStr">
        <is>
          <t>Michael Penix Jr.</t>
        </is>
      </c>
      <c r="L28" s="156" t="inlineStr">
        <is>
          <t>Kirk Cousins</t>
        </is>
      </c>
      <c r="M28" s="156" t="inlineStr">
        <is>
          <t>Easton Stick</t>
        </is>
      </c>
      <c r="N28" s="156" t="inlineStr">
        <is>
          <t>Emory Jones</t>
        </is>
      </c>
      <c r="O28" s="156" t="inlineStr">
        <is>
          <t>Ben DiNucci</t>
        </is>
      </c>
    </row>
    <row r="29" ht="15.6" customHeight="1" s="152">
      <c r="A29" s="167" t="n">
        <v>28</v>
      </c>
      <c r="B29" s="167">
        <f>VLOOKUP(J29,Matrix!AD:AE,2,0)</f>
        <v/>
      </c>
      <c r="C29" s="167">
        <f>IF(H29="",F29,LEFT(F29,H29-1))</f>
        <v/>
      </c>
      <c r="D29" s="167" t="inlineStr">
        <is>
          <t>QB</t>
        </is>
      </c>
      <c r="E29" s="167">
        <f>IF(H29&lt;&gt;"",RIGHT(F29,LEN(F29)-H29-2),"")</f>
        <v/>
      </c>
      <c r="F29" s="167">
        <f>VLOOKUP(I29,$J:$O,G29,0)</f>
        <v/>
      </c>
      <c r="G29" s="167" t="n">
        <v>2</v>
      </c>
      <c r="H29" s="167">
        <f>IFERROR(FIND(" - ",F29),"")</f>
        <v/>
      </c>
      <c r="I29" s="167">
        <f>J29</f>
        <v/>
      </c>
      <c r="J29" s="156" t="inlineStr">
        <is>
          <t>Chargers</t>
        </is>
      </c>
      <c r="K29" s="156" t="inlineStr">
        <is>
          <t>Justin Herbert</t>
        </is>
      </c>
      <c r="L29" s="156" t="inlineStr">
        <is>
          <t>Taylor Heinicke</t>
        </is>
      </c>
      <c r="M29" s="156" t="inlineStr">
        <is>
          <t>Trey Lance</t>
        </is>
      </c>
      <c r="N29" s="156" t="inlineStr">
        <is>
          <t>DJ Uiagalelei</t>
        </is>
      </c>
    </row>
    <row r="30" ht="15.6" customHeight="1" s="152">
      <c r="A30" s="167" t="n">
        <v>29</v>
      </c>
      <c r="B30" s="167">
        <f>VLOOKUP(J30,Matrix!AD:AE,2,0)</f>
        <v/>
      </c>
      <c r="C30" s="167">
        <f>IF(H30="",F30,LEFT(F30,H30-1))</f>
        <v/>
      </c>
      <c r="D30" s="167" t="inlineStr">
        <is>
          <t>QB</t>
        </is>
      </c>
      <c r="E30" s="167">
        <f>IF(H30&lt;&gt;"",RIGHT(F30,LEN(F30)-H30-2),"")</f>
        <v/>
      </c>
      <c r="F30" s="167">
        <f>VLOOKUP(I30,$J:$O,G30,0)</f>
        <v/>
      </c>
      <c r="G30" s="167" t="n">
        <v>2</v>
      </c>
      <c r="H30" s="167">
        <f>IFERROR(FIND(" - ",F30),"")</f>
        <v/>
      </c>
      <c r="I30" s="167">
        <f>J30</f>
        <v/>
      </c>
      <c r="J30" s="156" t="inlineStr">
        <is>
          <t>Packers</t>
        </is>
      </c>
      <c r="K30" s="156" t="inlineStr">
        <is>
          <t>Jordan Love</t>
        </is>
      </c>
      <c r="L30" s="156" t="inlineStr">
        <is>
          <t>Malik Willis</t>
        </is>
      </c>
      <c r="M30" s="156" t="inlineStr">
        <is>
          <t>Sean Clifford</t>
        </is>
      </c>
      <c r="N30" s="156" t="inlineStr">
        <is>
          <t>Taylor Elgersma</t>
        </is>
      </c>
    </row>
    <row r="31" ht="15.6" customHeight="1" s="152">
      <c r="A31" s="167" t="n">
        <v>30</v>
      </c>
      <c r="B31" s="167">
        <f>VLOOKUP(J31,Matrix!AD:AE,2,0)</f>
        <v/>
      </c>
      <c r="C31" s="167">
        <f>IF(H31="",F31,LEFT(F31,H31-1))</f>
        <v/>
      </c>
      <c r="D31" s="167" t="inlineStr">
        <is>
          <t>QB</t>
        </is>
      </c>
      <c r="E31" s="167">
        <f>IF(H31&lt;&gt;"",RIGHT(F31,LEN(F31)-H31-2),"")</f>
        <v/>
      </c>
      <c r="F31" s="167">
        <f>VLOOKUP(I31,$J:$O,G31,0)</f>
        <v/>
      </c>
      <c r="G31" s="167" t="n">
        <v>2</v>
      </c>
      <c r="H31" s="167">
        <f>IFERROR(FIND(" - ",F31),"")</f>
        <v/>
      </c>
      <c r="I31" s="167">
        <f>J31</f>
        <v/>
      </c>
      <c r="J31" s="156" t="inlineStr">
        <is>
          <t>Jets</t>
        </is>
      </c>
      <c r="K31" s="156" t="inlineStr">
        <is>
          <t>Justin Fields</t>
        </is>
      </c>
      <c r="L31" s="156" t="inlineStr">
        <is>
          <t>Tyrod Taylor</t>
        </is>
      </c>
      <c r="M31" s="156" t="inlineStr">
        <is>
          <t>Adrian Martinez</t>
        </is>
      </c>
      <c r="N31" s="156" t="inlineStr">
        <is>
          <t>Brady Cook</t>
        </is>
      </c>
    </row>
    <row r="32" ht="15.6" customHeight="1" s="152">
      <c r="A32" s="167" t="n">
        <v>31</v>
      </c>
      <c r="B32" s="167">
        <f>VLOOKUP(J32,Matrix!AD:AE,2,0)</f>
        <v/>
      </c>
      <c r="C32" s="167">
        <f>IF(H32="",F32,LEFT(F32,H32-1))</f>
        <v/>
      </c>
      <c r="D32" s="167" t="inlineStr">
        <is>
          <t>QB</t>
        </is>
      </c>
      <c r="E32" s="167">
        <f>IF(H32&lt;&gt;"",RIGHT(F32,LEN(F32)-H32-2),"")</f>
        <v/>
      </c>
      <c r="F32" s="167">
        <f>VLOOKUP(I32,$J:$O,G32,0)</f>
        <v/>
      </c>
      <c r="G32" s="167" t="n">
        <v>2</v>
      </c>
      <c r="H32" s="167">
        <f>IFERROR(FIND(" - ",F32),"")</f>
        <v/>
      </c>
      <c r="I32" s="167">
        <f>J32</f>
        <v/>
      </c>
      <c r="J32" s="156" t="inlineStr">
        <is>
          <t>Colts</t>
        </is>
      </c>
      <c r="K32" s="156" t="inlineStr">
        <is>
          <t>Daniel Jones</t>
        </is>
      </c>
      <c r="L32" s="156" t="inlineStr">
        <is>
          <t>Anthony Richardson Sr.</t>
        </is>
      </c>
      <c r="M32" s="156" t="inlineStr">
        <is>
          <t>Riley Leonard</t>
        </is>
      </c>
      <c r="N32" s="156" t="inlineStr">
        <is>
          <t>Jason Bean</t>
        </is>
      </c>
    </row>
    <row r="33" ht="15.6" customHeight="1" s="152">
      <c r="A33" s="167" t="n">
        <v>32</v>
      </c>
      <c r="B33" s="167">
        <f>VLOOKUP(J33,Matrix!AD:AE,2,0)</f>
        <v/>
      </c>
      <c r="C33" s="167">
        <f>IF(H33="",F33,LEFT(F33,H33-1))</f>
        <v/>
      </c>
      <c r="D33" s="167" t="inlineStr">
        <is>
          <t>QB</t>
        </is>
      </c>
      <c r="E33" s="167">
        <f>IF(H33&lt;&gt;"",RIGHT(F33,LEN(F33)-H33-2),"")</f>
        <v/>
      </c>
      <c r="F33" s="167">
        <f>VLOOKUP(I33,$J:$O,G33,0)</f>
        <v/>
      </c>
      <c r="G33" s="167" t="n">
        <v>2</v>
      </c>
      <c r="H33" s="167">
        <f>IFERROR(FIND(" - ",F33),"")</f>
        <v/>
      </c>
      <c r="I33" s="167">
        <f>J33</f>
        <v/>
      </c>
      <c r="J33" s="156" t="inlineStr">
        <is>
          <t>Saints</t>
        </is>
      </c>
      <c r="K33" s="156" t="inlineStr">
        <is>
          <t>Spencer Rattler</t>
        </is>
      </c>
      <c r="L33" s="156" t="inlineStr">
        <is>
          <t>Tyler Shough</t>
        </is>
      </c>
      <c r="M33" s="156" t="inlineStr">
        <is>
          <t>Jake Haener</t>
        </is>
      </c>
      <c r="N33" s="156" t="inlineStr">
        <is>
          <t>Hunter Dekkers</t>
        </is>
      </c>
    </row>
    <row r="34" ht="14.4" customHeight="1" s="152">
      <c r="A34" s="167" t="n">
        <v>33</v>
      </c>
      <c r="B34" s="167">
        <f>B2</f>
        <v/>
      </c>
      <c r="C34" s="167">
        <f>IF(H34="",F34,LEFT(F34,H34-1))</f>
        <v/>
      </c>
      <c r="D34" s="167" t="inlineStr">
        <is>
          <t>QB</t>
        </is>
      </c>
      <c r="E34" s="167">
        <f>IF(H34&lt;&gt;"",RIGHT(F34,LEN(F34)-H34-2),"")</f>
        <v/>
      </c>
      <c r="F34" s="167">
        <f>VLOOKUP(I34,$J:$O,G34,0)</f>
        <v/>
      </c>
      <c r="G34" s="167">
        <f>G2+1</f>
        <v/>
      </c>
      <c r="H34" s="167">
        <f>IFERROR(FIND(" - ",F34),"")</f>
        <v/>
      </c>
      <c r="I34" s="167">
        <f>I2</f>
        <v/>
      </c>
    </row>
    <row r="35" ht="14.4" customHeight="1" s="152">
      <c r="A35" s="167" t="n">
        <v>34</v>
      </c>
      <c r="B35" s="167">
        <f>B3</f>
        <v/>
      </c>
      <c r="C35" s="167">
        <f>IF(H35="",F35,LEFT(F35,H35-1))</f>
        <v/>
      </c>
      <c r="D35" s="167" t="inlineStr">
        <is>
          <t>QB</t>
        </is>
      </c>
      <c r="E35" s="167">
        <f>IF(H35&lt;&gt;"",RIGHT(F35,LEN(F35)-H35-2),"")</f>
        <v/>
      </c>
      <c r="F35" s="167">
        <f>VLOOKUP(I35,$J:$O,G35,0)</f>
        <v/>
      </c>
      <c r="G35" s="167">
        <f>G3+1</f>
        <v/>
      </c>
      <c r="H35" s="167">
        <f>IFERROR(FIND(" - ",F35),"")</f>
        <v/>
      </c>
      <c r="I35" s="167">
        <f>I3</f>
        <v/>
      </c>
    </row>
    <row r="36" ht="14.4" customHeight="1" s="152">
      <c r="A36" s="167" t="n">
        <v>35</v>
      </c>
      <c r="B36" s="167">
        <f>B4</f>
        <v/>
      </c>
      <c r="C36" s="167">
        <f>IF(H36="",F36,LEFT(F36,H36-1))</f>
        <v/>
      </c>
      <c r="D36" s="167" t="inlineStr">
        <is>
          <t>QB</t>
        </is>
      </c>
      <c r="E36" s="167">
        <f>IF(H36&lt;&gt;"",RIGHT(F36,LEN(F36)-H36-2),"")</f>
        <v/>
      </c>
      <c r="F36" s="167">
        <f>VLOOKUP(I36,$J:$O,G36,0)</f>
        <v/>
      </c>
      <c r="G36" s="167">
        <f>G4+1</f>
        <v/>
      </c>
      <c r="H36" s="167">
        <f>IFERROR(FIND(" - ",F36),"")</f>
        <v/>
      </c>
      <c r="I36" s="167">
        <f>I4</f>
        <v/>
      </c>
    </row>
    <row r="37" ht="14.4" customHeight="1" s="152">
      <c r="A37" s="167" t="n">
        <v>36</v>
      </c>
      <c r="B37" s="167">
        <f>B5</f>
        <v/>
      </c>
      <c r="C37" s="167">
        <f>IF(H37="",F37,LEFT(F37,H37-1))</f>
        <v/>
      </c>
      <c r="D37" s="167" t="inlineStr">
        <is>
          <t>QB</t>
        </is>
      </c>
      <c r="E37" s="167">
        <f>IF(H37&lt;&gt;"",RIGHT(F37,LEN(F37)-H37-2),"")</f>
        <v/>
      </c>
      <c r="F37" s="167">
        <f>VLOOKUP(I37,$J:$O,G37,0)</f>
        <v/>
      </c>
      <c r="G37" s="167">
        <f>G5+1</f>
        <v/>
      </c>
      <c r="H37" s="167">
        <f>IFERROR(FIND(" - ",F37),"")</f>
        <v/>
      </c>
      <c r="I37" s="167">
        <f>I5</f>
        <v/>
      </c>
    </row>
    <row r="38" ht="14.4" customHeight="1" s="152">
      <c r="A38" s="167" t="n">
        <v>37</v>
      </c>
      <c r="B38" s="167">
        <f>B6</f>
        <v/>
      </c>
      <c r="C38" s="167">
        <f>IF(H38="",F38,LEFT(F38,H38-1))</f>
        <v/>
      </c>
      <c r="D38" s="167" t="inlineStr">
        <is>
          <t>QB</t>
        </is>
      </c>
      <c r="E38" s="167">
        <f>IF(H38&lt;&gt;"",RIGHT(F38,LEN(F38)-H38-2),"")</f>
        <v/>
      </c>
      <c r="F38" s="167">
        <f>VLOOKUP(I38,$J:$O,G38,0)</f>
        <v/>
      </c>
      <c r="G38" s="167">
        <f>G6+1</f>
        <v/>
      </c>
      <c r="H38" s="167">
        <f>IFERROR(FIND(" - ",F38),"")</f>
        <v/>
      </c>
      <c r="I38" s="167">
        <f>I6</f>
        <v/>
      </c>
    </row>
    <row r="39" ht="14.4" customHeight="1" s="152">
      <c r="A39" s="167" t="n">
        <v>38</v>
      </c>
      <c r="B39" s="167">
        <f>B7</f>
        <v/>
      </c>
      <c r="C39" s="167">
        <f>IF(H39="",F39,LEFT(F39,H39-1))</f>
        <v/>
      </c>
      <c r="D39" s="167" t="inlineStr">
        <is>
          <t>QB</t>
        </is>
      </c>
      <c r="E39" s="167">
        <f>IF(H39&lt;&gt;"",RIGHT(F39,LEN(F39)-H39-2),"")</f>
        <v/>
      </c>
      <c r="F39" s="167">
        <f>VLOOKUP(I39,$J:$O,G39,0)</f>
        <v/>
      </c>
      <c r="G39" s="167">
        <f>G7+1</f>
        <v/>
      </c>
      <c r="H39" s="167">
        <f>IFERROR(FIND(" - ",F39),"")</f>
        <v/>
      </c>
      <c r="I39" s="167">
        <f>I7</f>
        <v/>
      </c>
    </row>
    <row r="40" ht="14.4" customHeight="1" s="152">
      <c r="A40" s="167" t="n">
        <v>39</v>
      </c>
      <c r="B40" s="167">
        <f>B8</f>
        <v/>
      </c>
      <c r="C40" s="167">
        <f>IF(H40="",F40,LEFT(F40,H40-1))</f>
        <v/>
      </c>
      <c r="D40" s="167" t="inlineStr">
        <is>
          <t>QB</t>
        </is>
      </c>
      <c r="E40" s="167">
        <f>IF(H40&lt;&gt;"",RIGHT(F40,LEN(F40)-H40-2),"")</f>
        <v/>
      </c>
      <c r="F40" s="167">
        <f>VLOOKUP(I40,$J:$O,G40,0)</f>
        <v/>
      </c>
      <c r="G40" s="167">
        <f>G8+1</f>
        <v/>
      </c>
      <c r="H40" s="167">
        <f>IFERROR(FIND(" - ",F40),"")</f>
        <v/>
      </c>
      <c r="I40" s="167">
        <f>I8</f>
        <v/>
      </c>
    </row>
    <row r="41" ht="14.4" customHeight="1" s="152">
      <c r="A41" s="167" t="n">
        <v>40</v>
      </c>
      <c r="B41" s="167">
        <f>B9</f>
        <v/>
      </c>
      <c r="C41" s="167">
        <f>IF(H41="",F41,LEFT(F41,H41-1))</f>
        <v/>
      </c>
      <c r="D41" s="167" t="inlineStr">
        <is>
          <t>QB</t>
        </is>
      </c>
      <c r="E41" s="167">
        <f>IF(H41&lt;&gt;"",RIGHT(F41,LEN(F41)-H41-2),"")</f>
        <v/>
      </c>
      <c r="F41" s="167">
        <f>VLOOKUP(I41,$J:$O,G41,0)</f>
        <v/>
      </c>
      <c r="G41" s="167">
        <f>G9+1</f>
        <v/>
      </c>
      <c r="H41" s="167">
        <f>IFERROR(FIND(" - ",F41),"")</f>
        <v/>
      </c>
      <c r="I41" s="167">
        <f>I9</f>
        <v/>
      </c>
    </row>
    <row r="42" ht="14.4" customHeight="1" s="152">
      <c r="A42" s="167" t="n">
        <v>41</v>
      </c>
      <c r="B42" s="167">
        <f>B10</f>
        <v/>
      </c>
      <c r="C42" s="167">
        <f>IF(H42="",F42,LEFT(F42,H42-1))</f>
        <v/>
      </c>
      <c r="D42" s="167" t="inlineStr">
        <is>
          <t>QB</t>
        </is>
      </c>
      <c r="E42" s="167">
        <f>IF(H42&lt;&gt;"",RIGHT(F42,LEN(F42)-H42-2),"")</f>
        <v/>
      </c>
      <c r="F42" s="167">
        <f>VLOOKUP(I42,$J:$O,G42,0)</f>
        <v/>
      </c>
      <c r="G42" s="167">
        <f>G10+1</f>
        <v/>
      </c>
      <c r="H42" s="167">
        <f>IFERROR(FIND(" - ",F42),"")</f>
        <v/>
      </c>
      <c r="I42" s="167">
        <f>I10</f>
        <v/>
      </c>
    </row>
    <row r="43" ht="14.4" customHeight="1" s="152">
      <c r="A43" s="167" t="n">
        <v>42</v>
      </c>
      <c r="B43" s="167">
        <f>B11</f>
        <v/>
      </c>
      <c r="C43" s="167">
        <f>IF(H43="",F43,LEFT(F43,H43-1))</f>
        <v/>
      </c>
      <c r="D43" s="167" t="inlineStr">
        <is>
          <t>QB</t>
        </is>
      </c>
      <c r="E43" s="167">
        <f>IF(H43&lt;&gt;"",RIGHT(F43,LEN(F43)-H43-2),"")</f>
        <v/>
      </c>
      <c r="F43" s="167">
        <f>VLOOKUP(I43,$J:$O,G43,0)</f>
        <v/>
      </c>
      <c r="G43" s="167">
        <f>G11+1</f>
        <v/>
      </c>
      <c r="H43" s="167">
        <f>IFERROR(FIND(" - ",F43),"")</f>
        <v/>
      </c>
      <c r="I43" s="167">
        <f>I11</f>
        <v/>
      </c>
    </row>
    <row r="44" ht="14.4" customHeight="1" s="152">
      <c r="A44" s="167" t="n">
        <v>43</v>
      </c>
      <c r="B44" s="167">
        <f>B12</f>
        <v/>
      </c>
      <c r="C44" s="167">
        <f>IF(H44="",F44,LEFT(F44,H44-1))</f>
        <v/>
      </c>
      <c r="D44" s="167" t="inlineStr">
        <is>
          <t>QB</t>
        </is>
      </c>
      <c r="E44" s="167">
        <f>IF(H44&lt;&gt;"",RIGHT(F44,LEN(F44)-H44-2),"")</f>
        <v/>
      </c>
      <c r="F44" s="167">
        <f>VLOOKUP(I44,$J:$O,G44,0)</f>
        <v/>
      </c>
      <c r="G44" s="167">
        <f>G12+1</f>
        <v/>
      </c>
      <c r="H44" s="167">
        <f>IFERROR(FIND(" - ",F44),"")</f>
        <v/>
      </c>
      <c r="I44" s="167">
        <f>I12</f>
        <v/>
      </c>
    </row>
    <row r="45" ht="14.4" customHeight="1" s="152">
      <c r="A45" s="167" t="n">
        <v>44</v>
      </c>
      <c r="B45" s="167">
        <f>B13</f>
        <v/>
      </c>
      <c r="C45" s="167">
        <f>IF(H45="",F45,LEFT(F45,H45-1))</f>
        <v/>
      </c>
      <c r="D45" s="167" t="inlineStr">
        <is>
          <t>QB</t>
        </is>
      </c>
      <c r="E45" s="167">
        <f>IF(H45&lt;&gt;"",RIGHT(F45,LEN(F45)-H45-2),"")</f>
        <v/>
      </c>
      <c r="F45" s="167">
        <f>VLOOKUP(I45,$J:$O,G45,0)</f>
        <v/>
      </c>
      <c r="G45" s="167">
        <f>G13+1</f>
        <v/>
      </c>
      <c r="H45" s="167">
        <f>IFERROR(FIND(" - ",F45),"")</f>
        <v/>
      </c>
      <c r="I45" s="167">
        <f>I13</f>
        <v/>
      </c>
    </row>
    <row r="46" ht="14.4" customHeight="1" s="152">
      <c r="A46" s="167" t="n">
        <v>45</v>
      </c>
      <c r="B46" s="167">
        <f>B14</f>
        <v/>
      </c>
      <c r="C46" s="167">
        <f>IF(H46="",F46,LEFT(F46,H46-1))</f>
        <v/>
      </c>
      <c r="D46" s="167" t="inlineStr">
        <is>
          <t>QB</t>
        </is>
      </c>
      <c r="E46" s="167">
        <f>IF(H46&lt;&gt;"",RIGHT(F46,LEN(F46)-H46-2),"")</f>
        <v/>
      </c>
      <c r="F46" s="167">
        <f>VLOOKUP(I46,$J:$O,G46,0)</f>
        <v/>
      </c>
      <c r="G46" s="167">
        <f>G14+1</f>
        <v/>
      </c>
      <c r="H46" s="167">
        <f>IFERROR(FIND(" - ",F46),"")</f>
        <v/>
      </c>
      <c r="I46" s="167">
        <f>I14</f>
        <v/>
      </c>
    </row>
    <row r="47" ht="14.4" customHeight="1" s="152">
      <c r="A47" s="167" t="n">
        <v>46</v>
      </c>
      <c r="B47" s="167">
        <f>B15</f>
        <v/>
      </c>
      <c r="C47" s="167">
        <f>IF(H47="",F47,LEFT(F47,H47-1))</f>
        <v/>
      </c>
      <c r="D47" s="167" t="inlineStr">
        <is>
          <t>QB</t>
        </is>
      </c>
      <c r="E47" s="167">
        <f>IF(H47&lt;&gt;"",RIGHT(F47,LEN(F47)-H47-2),"")</f>
        <v/>
      </c>
      <c r="F47" s="167">
        <f>VLOOKUP(I47,$J:$O,G47,0)</f>
        <v/>
      </c>
      <c r="G47" s="167">
        <f>G15+1</f>
        <v/>
      </c>
      <c r="H47" s="167">
        <f>IFERROR(FIND(" - ",F47),"")</f>
        <v/>
      </c>
      <c r="I47" s="167">
        <f>I15</f>
        <v/>
      </c>
    </row>
    <row r="48" ht="14.4" customHeight="1" s="152">
      <c r="A48" s="167" t="n">
        <v>47</v>
      </c>
      <c r="B48" s="167">
        <f>B16</f>
        <v/>
      </c>
      <c r="C48" s="167">
        <f>IF(H48="",F48,LEFT(F48,H48-1))</f>
        <v/>
      </c>
      <c r="D48" s="167" t="inlineStr">
        <is>
          <t>QB</t>
        </is>
      </c>
      <c r="E48" s="167">
        <f>IF(H48&lt;&gt;"",RIGHT(F48,LEN(F48)-H48-2),"")</f>
        <v/>
      </c>
      <c r="F48" s="167">
        <f>VLOOKUP(I48,$J:$O,G48,0)</f>
        <v/>
      </c>
      <c r="G48" s="167">
        <f>G16+1</f>
        <v/>
      </c>
      <c r="H48" s="167">
        <f>IFERROR(FIND(" - ",F48),"")</f>
        <v/>
      </c>
      <c r="I48" s="167">
        <f>I16</f>
        <v/>
      </c>
    </row>
    <row r="49" ht="14.4" customHeight="1" s="152">
      <c r="A49" s="167" t="n">
        <v>48</v>
      </c>
      <c r="B49" s="167">
        <f>B17</f>
        <v/>
      </c>
      <c r="C49" s="167">
        <f>IF(H49="",F49,LEFT(F49,H49-1))</f>
        <v/>
      </c>
      <c r="D49" s="167" t="inlineStr">
        <is>
          <t>QB</t>
        </is>
      </c>
      <c r="E49" s="167">
        <f>IF(H49&lt;&gt;"",RIGHT(F49,LEN(F49)-H49-2),"")</f>
        <v/>
      </c>
      <c r="F49" s="167">
        <f>VLOOKUP(I49,$J:$O,G49,0)</f>
        <v/>
      </c>
      <c r="G49" s="167">
        <f>G17+1</f>
        <v/>
      </c>
      <c r="H49" s="167">
        <f>IFERROR(FIND(" - ",F49),"")</f>
        <v/>
      </c>
      <c r="I49" s="167">
        <f>I17</f>
        <v/>
      </c>
    </row>
    <row r="50" ht="14.4" customHeight="1" s="152">
      <c r="A50" s="167" t="n">
        <v>49</v>
      </c>
      <c r="B50" s="167">
        <f>B18</f>
        <v/>
      </c>
      <c r="C50" s="167">
        <f>IF(H50="",F50,LEFT(F50,H50-1))</f>
        <v/>
      </c>
      <c r="D50" s="167" t="inlineStr">
        <is>
          <t>QB</t>
        </is>
      </c>
      <c r="E50" s="167">
        <f>IF(H50&lt;&gt;"",RIGHT(F50,LEN(F50)-H50-2),"")</f>
        <v/>
      </c>
      <c r="F50" s="167">
        <f>VLOOKUP(I50,$J:$O,G50,0)</f>
        <v/>
      </c>
      <c r="G50" s="167">
        <f>G18+1</f>
        <v/>
      </c>
      <c r="H50" s="167">
        <f>IFERROR(FIND(" - ",F50),"")</f>
        <v/>
      </c>
      <c r="I50" s="167">
        <f>I18</f>
        <v/>
      </c>
    </row>
    <row r="51" ht="14.4" customHeight="1" s="152">
      <c r="A51" s="167" t="n">
        <v>50</v>
      </c>
      <c r="B51" s="167">
        <f>B19</f>
        <v/>
      </c>
      <c r="C51" s="167">
        <f>IF(H51="",F51,LEFT(F51,H51-1))</f>
        <v/>
      </c>
      <c r="D51" s="167" t="inlineStr">
        <is>
          <t>QB</t>
        </is>
      </c>
      <c r="E51" s="167">
        <f>IF(H51&lt;&gt;"",RIGHT(F51,LEN(F51)-H51-2),"")</f>
        <v/>
      </c>
      <c r="F51" s="167">
        <f>VLOOKUP(I51,$J:$O,G51,0)</f>
        <v/>
      </c>
      <c r="G51" s="167">
        <f>G19+1</f>
        <v/>
      </c>
      <c r="H51" s="167">
        <f>IFERROR(FIND(" - ",F51),"")</f>
        <v/>
      </c>
      <c r="I51" s="167">
        <f>I19</f>
        <v/>
      </c>
    </row>
    <row r="52" ht="14.4" customHeight="1" s="152">
      <c r="A52" s="167" t="n">
        <v>51</v>
      </c>
      <c r="B52" s="167">
        <f>B20</f>
        <v/>
      </c>
      <c r="C52" s="167">
        <f>IF(H52="",F52,LEFT(F52,H52-1))</f>
        <v/>
      </c>
      <c r="D52" s="167" t="inlineStr">
        <is>
          <t>QB</t>
        </is>
      </c>
      <c r="E52" s="167">
        <f>IF(H52&lt;&gt;"",RIGHT(F52,LEN(F52)-H52-2),"")</f>
        <v/>
      </c>
      <c r="F52" s="167">
        <f>VLOOKUP(I52,$J:$O,G52,0)</f>
        <v/>
      </c>
      <c r="G52" s="167">
        <f>G20+1</f>
        <v/>
      </c>
      <c r="H52" s="167">
        <f>IFERROR(FIND(" - ",F52),"")</f>
        <v/>
      </c>
      <c r="I52" s="167">
        <f>I20</f>
        <v/>
      </c>
    </row>
    <row r="53" ht="14.4" customHeight="1" s="152">
      <c r="A53" s="167" t="n">
        <v>52</v>
      </c>
      <c r="B53" s="167">
        <f>B21</f>
        <v/>
      </c>
      <c r="C53" s="167">
        <f>IF(H53="",F53,LEFT(F53,H53-1))</f>
        <v/>
      </c>
      <c r="D53" s="167" t="inlineStr">
        <is>
          <t>QB</t>
        </is>
      </c>
      <c r="E53" s="167">
        <f>IF(H53&lt;&gt;"",RIGHT(F53,LEN(F53)-H53-2),"")</f>
        <v/>
      </c>
      <c r="F53" s="167">
        <f>VLOOKUP(I53,$J:$O,G53,0)</f>
        <v/>
      </c>
      <c r="G53" s="167">
        <f>G21+1</f>
        <v/>
      </c>
      <c r="H53" s="167">
        <f>IFERROR(FIND(" - ",F53),"")</f>
        <v/>
      </c>
      <c r="I53" s="167">
        <f>I21</f>
        <v/>
      </c>
    </row>
    <row r="54" ht="14.4" customHeight="1" s="152">
      <c r="A54" s="167" t="n">
        <v>53</v>
      </c>
      <c r="B54" s="167">
        <f>B22</f>
        <v/>
      </c>
      <c r="C54" s="167">
        <f>IF(H54="",F54,LEFT(F54,H54-1))</f>
        <v/>
      </c>
      <c r="D54" s="167" t="inlineStr">
        <is>
          <t>QB</t>
        </is>
      </c>
      <c r="E54" s="167">
        <f>IF(H54&lt;&gt;"",RIGHT(F54,LEN(F54)-H54-2),"")</f>
        <v/>
      </c>
      <c r="F54" s="167">
        <f>VLOOKUP(I54,$J:$O,G54,0)</f>
        <v/>
      </c>
      <c r="G54" s="167">
        <f>G22+1</f>
        <v/>
      </c>
      <c r="H54" s="167">
        <f>IFERROR(FIND(" - ",F54),"")</f>
        <v/>
      </c>
      <c r="I54" s="167">
        <f>I22</f>
        <v/>
      </c>
    </row>
    <row r="55" ht="14.4" customHeight="1" s="152">
      <c r="A55" s="167" t="n">
        <v>54</v>
      </c>
      <c r="B55" s="167">
        <f>B23</f>
        <v/>
      </c>
      <c r="C55" s="167">
        <f>IF(H55="",F55,LEFT(F55,H55-1))</f>
        <v/>
      </c>
      <c r="D55" s="167" t="inlineStr">
        <is>
          <t>QB</t>
        </is>
      </c>
      <c r="E55" s="167">
        <f>IF(H55&lt;&gt;"",RIGHT(F55,LEN(F55)-H55-2),"")</f>
        <v/>
      </c>
      <c r="F55" s="167">
        <f>VLOOKUP(I55,$J:$O,G55,0)</f>
        <v/>
      </c>
      <c r="G55" s="167">
        <f>G23+1</f>
        <v/>
      </c>
      <c r="H55" s="167">
        <f>IFERROR(FIND(" - ",F55),"")</f>
        <v/>
      </c>
      <c r="I55" s="167">
        <f>I23</f>
        <v/>
      </c>
    </row>
    <row r="56" ht="14.4" customHeight="1" s="152">
      <c r="A56" s="167" t="n">
        <v>55</v>
      </c>
      <c r="B56" s="167">
        <f>B24</f>
        <v/>
      </c>
      <c r="C56" s="167">
        <f>IF(H56="",F56,LEFT(F56,H56-1))</f>
        <v/>
      </c>
      <c r="D56" s="167" t="inlineStr">
        <is>
          <t>QB</t>
        </is>
      </c>
      <c r="E56" s="167">
        <f>IF(H56&lt;&gt;"",RIGHT(F56,LEN(F56)-H56-2),"")</f>
        <v/>
      </c>
      <c r="F56" s="167">
        <f>VLOOKUP(I56,$J:$O,G56,0)</f>
        <v/>
      </c>
      <c r="G56" s="167">
        <f>G24+1</f>
        <v/>
      </c>
      <c r="H56" s="167">
        <f>IFERROR(FIND(" - ",F56),"")</f>
        <v/>
      </c>
      <c r="I56" s="167">
        <f>I24</f>
        <v/>
      </c>
    </row>
    <row r="57" ht="14.4" customHeight="1" s="152">
      <c r="A57" s="167" t="n">
        <v>56</v>
      </c>
      <c r="B57" s="167">
        <f>B25</f>
        <v/>
      </c>
      <c r="C57" s="167">
        <f>IF(H57="",F57,LEFT(F57,H57-1))</f>
        <v/>
      </c>
      <c r="D57" s="167" t="inlineStr">
        <is>
          <t>QB</t>
        </is>
      </c>
      <c r="E57" s="167">
        <f>IF(H57&lt;&gt;"",RIGHT(F57,LEN(F57)-H57-2),"")</f>
        <v/>
      </c>
      <c r="F57" s="167">
        <f>VLOOKUP(I57,$J:$O,G57,0)</f>
        <v/>
      </c>
      <c r="G57" s="167">
        <f>G25+1</f>
        <v/>
      </c>
      <c r="H57" s="167">
        <f>IFERROR(FIND(" - ",F57),"")</f>
        <v/>
      </c>
      <c r="I57" s="167">
        <f>I25</f>
        <v/>
      </c>
    </row>
    <row r="58" ht="14.4" customHeight="1" s="152">
      <c r="A58" s="167" t="n">
        <v>57</v>
      </c>
      <c r="B58" s="167">
        <f>B26</f>
        <v/>
      </c>
      <c r="C58" s="167">
        <f>IF(H58="",F58,LEFT(F58,H58-1))</f>
        <v/>
      </c>
      <c r="D58" s="167" t="inlineStr">
        <is>
          <t>QB</t>
        </is>
      </c>
      <c r="E58" s="167">
        <f>IF(H58&lt;&gt;"",RIGHT(F58,LEN(F58)-H58-2),"")</f>
        <v/>
      </c>
      <c r="F58" s="167">
        <f>VLOOKUP(I58,$J:$O,G58,0)</f>
        <v/>
      </c>
      <c r="G58" s="167">
        <f>G26+1</f>
        <v/>
      </c>
      <c r="H58" s="167">
        <f>IFERROR(FIND(" - ",F58),"")</f>
        <v/>
      </c>
      <c r="I58" s="167">
        <f>I26</f>
        <v/>
      </c>
    </row>
    <row r="59" ht="14.4" customHeight="1" s="152">
      <c r="A59" s="167" t="n">
        <v>58</v>
      </c>
      <c r="B59" s="167">
        <f>B27</f>
        <v/>
      </c>
      <c r="C59" s="167">
        <f>IF(H59="",F59,LEFT(F59,H59-1))</f>
        <v/>
      </c>
      <c r="D59" s="167" t="inlineStr">
        <is>
          <t>QB</t>
        </is>
      </c>
      <c r="E59" s="167">
        <f>IF(H59&lt;&gt;"",RIGHT(F59,LEN(F59)-H59-2),"")</f>
        <v/>
      </c>
      <c r="F59" s="167">
        <f>VLOOKUP(I59,$J:$O,G59,0)</f>
        <v/>
      </c>
      <c r="G59" s="167">
        <f>G27+1</f>
        <v/>
      </c>
      <c r="H59" s="167">
        <f>IFERROR(FIND(" - ",F59),"")</f>
        <v/>
      </c>
      <c r="I59" s="167">
        <f>I27</f>
        <v/>
      </c>
    </row>
    <row r="60" ht="14.4" customHeight="1" s="152">
      <c r="A60" s="167" t="n">
        <v>59</v>
      </c>
      <c r="B60" s="167">
        <f>B28</f>
        <v/>
      </c>
      <c r="C60" s="167">
        <f>IF(H60="",F60,LEFT(F60,H60-1))</f>
        <v/>
      </c>
      <c r="D60" s="167" t="inlineStr">
        <is>
          <t>QB</t>
        </is>
      </c>
      <c r="E60" s="167">
        <f>IF(H60&lt;&gt;"",RIGHT(F60,LEN(F60)-H60-2),"")</f>
        <v/>
      </c>
      <c r="F60" s="167">
        <f>VLOOKUP(I60,$J:$O,G60,0)</f>
        <v/>
      </c>
      <c r="G60" s="167">
        <f>G28+1</f>
        <v/>
      </c>
      <c r="H60" s="167">
        <f>IFERROR(FIND(" - ",F60),"")</f>
        <v/>
      </c>
      <c r="I60" s="167">
        <f>I28</f>
        <v/>
      </c>
    </row>
    <row r="61" ht="14.4" customHeight="1" s="152">
      <c r="A61" s="167" t="n">
        <v>60</v>
      </c>
      <c r="B61" s="167">
        <f>B29</f>
        <v/>
      </c>
      <c r="C61" s="167">
        <f>IF(H61="",F61,LEFT(F61,H61-1))</f>
        <v/>
      </c>
      <c r="D61" s="167" t="inlineStr">
        <is>
          <t>QB</t>
        </is>
      </c>
      <c r="E61" s="167">
        <f>IF(H61&lt;&gt;"",RIGHT(F61,LEN(F61)-H61-2),"")</f>
        <v/>
      </c>
      <c r="F61" s="167">
        <f>VLOOKUP(I61,$J:$O,G61,0)</f>
        <v/>
      </c>
      <c r="G61" s="167">
        <f>G29+1</f>
        <v/>
      </c>
      <c r="H61" s="167">
        <f>IFERROR(FIND(" - ",F61),"")</f>
        <v/>
      </c>
      <c r="I61" s="167">
        <f>I29</f>
        <v/>
      </c>
    </row>
    <row r="62" ht="14.4" customHeight="1" s="152">
      <c r="A62" s="167" t="n">
        <v>61</v>
      </c>
      <c r="B62" s="167">
        <f>B30</f>
        <v/>
      </c>
      <c r="C62" s="167">
        <f>IF(H62="",F62,LEFT(F62,H62-1))</f>
        <v/>
      </c>
      <c r="D62" s="167" t="inlineStr">
        <is>
          <t>QB</t>
        </is>
      </c>
      <c r="E62" s="167">
        <f>IF(H62&lt;&gt;"",RIGHT(F62,LEN(F62)-H62-2),"")</f>
        <v/>
      </c>
      <c r="F62" s="167">
        <f>VLOOKUP(I62,$J:$O,G62,0)</f>
        <v/>
      </c>
      <c r="G62" s="167">
        <f>G30+1</f>
        <v/>
      </c>
      <c r="H62" s="167">
        <f>IFERROR(FIND(" - ",F62),"")</f>
        <v/>
      </c>
      <c r="I62" s="167">
        <f>I30</f>
        <v/>
      </c>
    </row>
    <row r="63" ht="14.4" customHeight="1" s="152">
      <c r="A63" s="167" t="n">
        <v>62</v>
      </c>
      <c r="B63" s="167">
        <f>B31</f>
        <v/>
      </c>
      <c r="C63" s="167">
        <f>IF(H63="",F63,LEFT(F63,H63-1))</f>
        <v/>
      </c>
      <c r="D63" s="167" t="inlineStr">
        <is>
          <t>QB</t>
        </is>
      </c>
      <c r="E63" s="167">
        <f>IF(H63&lt;&gt;"",RIGHT(F63,LEN(F63)-H63-2),"")</f>
        <v/>
      </c>
      <c r="F63" s="167">
        <f>VLOOKUP(I63,$J:$O,G63,0)</f>
        <v/>
      </c>
      <c r="G63" s="167">
        <f>G31+1</f>
        <v/>
      </c>
      <c r="H63" s="167">
        <f>IFERROR(FIND(" - ",F63),"")</f>
        <v/>
      </c>
      <c r="I63" s="167">
        <f>I31</f>
        <v/>
      </c>
    </row>
    <row r="64" ht="14.4" customHeight="1" s="152">
      <c r="A64" s="167" t="n">
        <v>63</v>
      </c>
      <c r="B64" s="167">
        <f>B32</f>
        <v/>
      </c>
      <c r="C64" s="167">
        <f>IF(H64="",F64,LEFT(F64,H64-1))</f>
        <v/>
      </c>
      <c r="D64" s="167" t="inlineStr">
        <is>
          <t>QB</t>
        </is>
      </c>
      <c r="E64" s="167">
        <f>IF(H64&lt;&gt;"",RIGHT(F64,LEN(F64)-H64-2),"")</f>
        <v/>
      </c>
      <c r="F64" s="167">
        <f>VLOOKUP(I64,$J:$O,G64,0)</f>
        <v/>
      </c>
      <c r="G64" s="167">
        <f>G32+1</f>
        <v/>
      </c>
      <c r="H64" s="167">
        <f>IFERROR(FIND(" - ",F64),"")</f>
        <v/>
      </c>
      <c r="I64" s="167">
        <f>I32</f>
        <v/>
      </c>
    </row>
    <row r="65" ht="14.4" customHeight="1" s="152">
      <c r="A65" s="167" t="n">
        <v>64</v>
      </c>
      <c r="B65" s="167">
        <f>B33</f>
        <v/>
      </c>
      <c r="C65" s="167">
        <f>IF(H65="",F65,LEFT(F65,H65-1))</f>
        <v/>
      </c>
      <c r="D65" s="167" t="inlineStr">
        <is>
          <t>QB</t>
        </is>
      </c>
      <c r="E65" s="167">
        <f>IF(H65&lt;&gt;"",RIGHT(F65,LEN(F65)-H65-2),"")</f>
        <v/>
      </c>
      <c r="F65" s="167">
        <f>VLOOKUP(I65,$J:$O,G65,0)</f>
        <v/>
      </c>
      <c r="G65" s="167">
        <f>G33+1</f>
        <v/>
      </c>
      <c r="H65" s="167">
        <f>IFERROR(FIND(" - ",F65),"")</f>
        <v/>
      </c>
      <c r="I65" s="167">
        <f>I33</f>
        <v/>
      </c>
    </row>
    <row r="66" ht="14.4" customHeight="1" s="152">
      <c r="A66" s="167" t="n">
        <v>65</v>
      </c>
      <c r="B66" s="167">
        <f>B34</f>
        <v/>
      </c>
      <c r="C66" s="167">
        <f>IF(H66="",F66,LEFT(F66,H66-1))</f>
        <v/>
      </c>
      <c r="D66" s="167" t="inlineStr">
        <is>
          <t>QB</t>
        </is>
      </c>
      <c r="E66" s="167">
        <f>IF(H66&lt;&gt;"",RIGHT(F66,LEN(F66)-H66-2),"")</f>
        <v/>
      </c>
      <c r="F66" s="167">
        <f>VLOOKUP(I66,$J:$O,G66,0)</f>
        <v/>
      </c>
      <c r="G66" s="167">
        <f>G34+1</f>
        <v/>
      </c>
      <c r="H66" s="167">
        <f>IFERROR(FIND(" - ",F66),"")</f>
        <v/>
      </c>
      <c r="I66" s="167">
        <f>I34</f>
        <v/>
      </c>
    </row>
    <row r="67" ht="14.4" customHeight="1" s="152">
      <c r="A67" s="167" t="n">
        <v>66</v>
      </c>
      <c r="B67" s="167">
        <f>B35</f>
        <v/>
      </c>
      <c r="C67" s="167">
        <f>IF(H67="",F67,LEFT(F67,H67-1))</f>
        <v/>
      </c>
      <c r="D67" s="167" t="inlineStr">
        <is>
          <t>QB</t>
        </is>
      </c>
      <c r="E67" s="167">
        <f>IF(H67&lt;&gt;"",RIGHT(F67,LEN(F67)-H67-2),"")</f>
        <v/>
      </c>
      <c r="F67" s="167">
        <f>VLOOKUP(I67,$J:$O,G67,0)</f>
        <v/>
      </c>
      <c r="G67" s="167">
        <f>G35+1</f>
        <v/>
      </c>
      <c r="H67" s="167">
        <f>IFERROR(FIND(" - ",F67),"")</f>
        <v/>
      </c>
      <c r="I67" s="167">
        <f>I35</f>
        <v/>
      </c>
    </row>
    <row r="68" ht="14.4" customHeight="1" s="152">
      <c r="A68" s="167" t="n">
        <v>67</v>
      </c>
      <c r="B68" s="167">
        <f>B36</f>
        <v/>
      </c>
      <c r="C68" s="167">
        <f>IF(H68="",F68,LEFT(F68,H68-1))</f>
        <v/>
      </c>
      <c r="D68" s="167" t="inlineStr">
        <is>
          <t>QB</t>
        </is>
      </c>
      <c r="E68" s="167">
        <f>IF(H68&lt;&gt;"",RIGHT(F68,LEN(F68)-H68-2),"")</f>
        <v/>
      </c>
      <c r="F68" s="167">
        <f>VLOOKUP(I68,$J:$O,G68,0)</f>
        <v/>
      </c>
      <c r="G68" s="167">
        <f>G36+1</f>
        <v/>
      </c>
      <c r="H68" s="167">
        <f>IFERROR(FIND(" - ",F68),"")</f>
        <v/>
      </c>
      <c r="I68" s="167">
        <f>I36</f>
        <v/>
      </c>
    </row>
    <row r="69" ht="14.4" customHeight="1" s="152">
      <c r="A69" s="167" t="n">
        <v>68</v>
      </c>
      <c r="B69" s="167">
        <f>B37</f>
        <v/>
      </c>
      <c r="C69" s="167">
        <f>IF(H69="",F69,LEFT(F69,H69-1))</f>
        <v/>
      </c>
      <c r="D69" s="167" t="inlineStr">
        <is>
          <t>QB</t>
        </is>
      </c>
      <c r="E69" s="167">
        <f>IF(H69&lt;&gt;"",RIGHT(F69,LEN(F69)-H69-2),"")</f>
        <v/>
      </c>
      <c r="F69" s="167">
        <f>VLOOKUP(I69,$J:$O,G69,0)</f>
        <v/>
      </c>
      <c r="G69" s="167">
        <f>G37+1</f>
        <v/>
      </c>
      <c r="H69" s="167">
        <f>IFERROR(FIND(" - ",F69),"")</f>
        <v/>
      </c>
      <c r="I69" s="167">
        <f>I37</f>
        <v/>
      </c>
    </row>
    <row r="70" ht="14.4" customHeight="1" s="152">
      <c r="A70" s="167" t="n">
        <v>69</v>
      </c>
      <c r="B70" s="167">
        <f>B38</f>
        <v/>
      </c>
      <c r="C70" s="167">
        <f>IF(H70="",F70,LEFT(F70,H70-1))</f>
        <v/>
      </c>
      <c r="D70" s="167" t="inlineStr">
        <is>
          <t>QB</t>
        </is>
      </c>
      <c r="E70" s="167">
        <f>IF(H70&lt;&gt;"",RIGHT(F70,LEN(F70)-H70-2),"")</f>
        <v/>
      </c>
      <c r="F70" s="167">
        <f>VLOOKUP(I70,$J:$O,G70,0)</f>
        <v/>
      </c>
      <c r="G70" s="167">
        <f>G38+1</f>
        <v/>
      </c>
      <c r="H70" s="167">
        <f>IFERROR(FIND(" - ",F70),"")</f>
        <v/>
      </c>
      <c r="I70" s="167">
        <f>I38</f>
        <v/>
      </c>
    </row>
    <row r="71" ht="14.4" customHeight="1" s="152">
      <c r="A71" s="167" t="n">
        <v>70</v>
      </c>
      <c r="B71" s="167">
        <f>B39</f>
        <v/>
      </c>
      <c r="C71" s="167">
        <f>IF(H71="",F71,LEFT(F71,H71-1))</f>
        <v/>
      </c>
      <c r="D71" s="167" t="inlineStr">
        <is>
          <t>QB</t>
        </is>
      </c>
      <c r="E71" s="167">
        <f>IF(H71&lt;&gt;"",RIGHT(F71,LEN(F71)-H71-2),"")</f>
        <v/>
      </c>
      <c r="F71" s="167">
        <f>VLOOKUP(I71,$J:$O,G71,0)</f>
        <v/>
      </c>
      <c r="G71" s="167">
        <f>G39+1</f>
        <v/>
      </c>
      <c r="H71" s="167">
        <f>IFERROR(FIND(" - ",F71),"")</f>
        <v/>
      </c>
      <c r="I71" s="167">
        <f>I39</f>
        <v/>
      </c>
    </row>
    <row r="72" ht="14.4" customHeight="1" s="152">
      <c r="A72" s="167" t="n">
        <v>71</v>
      </c>
      <c r="B72" s="167">
        <f>B40</f>
        <v/>
      </c>
      <c r="C72" s="167">
        <f>IF(H72="",F72,LEFT(F72,H72-1))</f>
        <v/>
      </c>
      <c r="D72" s="167" t="inlineStr">
        <is>
          <t>QB</t>
        </is>
      </c>
      <c r="E72" s="167">
        <f>IF(H72&lt;&gt;"",RIGHT(F72,LEN(F72)-H72-2),"")</f>
        <v/>
      </c>
      <c r="F72" s="167">
        <f>VLOOKUP(I72,$J:$O,G72,0)</f>
        <v/>
      </c>
      <c r="G72" s="167">
        <f>G40+1</f>
        <v/>
      </c>
      <c r="H72" s="167">
        <f>IFERROR(FIND(" - ",F72),"")</f>
        <v/>
      </c>
      <c r="I72" s="167">
        <f>I40</f>
        <v/>
      </c>
    </row>
    <row r="73" ht="14.4" customHeight="1" s="152">
      <c r="A73" s="167" t="n">
        <v>72</v>
      </c>
      <c r="B73" s="167">
        <f>B41</f>
        <v/>
      </c>
      <c r="C73" s="167">
        <f>IF(H73="",F73,LEFT(F73,H73-1))</f>
        <v/>
      </c>
      <c r="D73" s="167" t="inlineStr">
        <is>
          <t>QB</t>
        </is>
      </c>
      <c r="E73" s="167">
        <f>IF(H73&lt;&gt;"",RIGHT(F73,LEN(F73)-H73-2),"")</f>
        <v/>
      </c>
      <c r="F73" s="167">
        <f>VLOOKUP(I73,$J:$O,G73,0)</f>
        <v/>
      </c>
      <c r="G73" s="167">
        <f>G41+1</f>
        <v/>
      </c>
      <c r="H73" s="167">
        <f>IFERROR(FIND(" - ",F73),"")</f>
        <v/>
      </c>
      <c r="I73" s="167">
        <f>I41</f>
        <v/>
      </c>
    </row>
    <row r="74" ht="14.4" customHeight="1" s="152">
      <c r="A74" s="167" t="n">
        <v>73</v>
      </c>
      <c r="B74" s="167">
        <f>B42</f>
        <v/>
      </c>
      <c r="C74" s="167">
        <f>IF(H74="",F74,LEFT(F74,H74-1))</f>
        <v/>
      </c>
      <c r="D74" s="167" t="inlineStr">
        <is>
          <t>QB</t>
        </is>
      </c>
      <c r="E74" s="167">
        <f>IF(H74&lt;&gt;"",RIGHT(F74,LEN(F74)-H74-2),"")</f>
        <v/>
      </c>
      <c r="F74" s="167">
        <f>VLOOKUP(I74,$J:$O,G74,0)</f>
        <v/>
      </c>
      <c r="G74" s="167">
        <f>G42+1</f>
        <v/>
      </c>
      <c r="H74" s="167">
        <f>IFERROR(FIND(" - ",F74),"")</f>
        <v/>
      </c>
      <c r="I74" s="167">
        <f>I42</f>
        <v/>
      </c>
    </row>
    <row r="75" ht="14.4" customHeight="1" s="152">
      <c r="A75" s="167" t="n">
        <v>74</v>
      </c>
      <c r="B75" s="167">
        <f>B43</f>
        <v/>
      </c>
      <c r="C75" s="167">
        <f>IF(H75="",F75,LEFT(F75,H75-1))</f>
        <v/>
      </c>
      <c r="D75" s="167" t="inlineStr">
        <is>
          <t>QB</t>
        </is>
      </c>
      <c r="E75" s="167">
        <f>IF(H75&lt;&gt;"",RIGHT(F75,LEN(F75)-H75-2),"")</f>
        <v/>
      </c>
      <c r="F75" s="167">
        <f>VLOOKUP(I75,$J:$O,G75,0)</f>
        <v/>
      </c>
      <c r="G75" s="167">
        <f>G43+1</f>
        <v/>
      </c>
      <c r="H75" s="167">
        <f>IFERROR(FIND(" - ",F75),"")</f>
        <v/>
      </c>
      <c r="I75" s="167">
        <f>I43</f>
        <v/>
      </c>
    </row>
    <row r="76" ht="14.4" customHeight="1" s="152">
      <c r="A76" s="167" t="n">
        <v>75</v>
      </c>
      <c r="B76" s="167">
        <f>B44</f>
        <v/>
      </c>
      <c r="C76" s="167">
        <f>IF(H76="",F76,LEFT(F76,H76-1))</f>
        <v/>
      </c>
      <c r="D76" s="167" t="inlineStr">
        <is>
          <t>QB</t>
        </is>
      </c>
      <c r="E76" s="167">
        <f>IF(H76&lt;&gt;"",RIGHT(F76,LEN(F76)-H76-2),"")</f>
        <v/>
      </c>
      <c r="F76" s="167">
        <f>VLOOKUP(I76,$J:$O,G76,0)</f>
        <v/>
      </c>
      <c r="G76" s="167">
        <f>G44+1</f>
        <v/>
      </c>
      <c r="H76" s="167">
        <f>IFERROR(FIND(" - ",F76),"")</f>
        <v/>
      </c>
      <c r="I76" s="167">
        <f>I44</f>
        <v/>
      </c>
    </row>
    <row r="77" ht="14.4" customHeight="1" s="152">
      <c r="A77" s="167" t="n">
        <v>76</v>
      </c>
      <c r="B77" s="167">
        <f>B45</f>
        <v/>
      </c>
      <c r="C77" s="167">
        <f>IF(H77="",F77,LEFT(F77,H77-1))</f>
        <v/>
      </c>
      <c r="D77" s="167" t="inlineStr">
        <is>
          <t>QB</t>
        </is>
      </c>
      <c r="E77" s="167">
        <f>IF(H77&lt;&gt;"",RIGHT(F77,LEN(F77)-H77-2),"")</f>
        <v/>
      </c>
      <c r="F77" s="167">
        <f>VLOOKUP(I77,$J:$O,G77,0)</f>
        <v/>
      </c>
      <c r="G77" s="167">
        <f>G45+1</f>
        <v/>
      </c>
      <c r="H77" s="167">
        <f>IFERROR(FIND(" - ",F77),"")</f>
        <v/>
      </c>
      <c r="I77" s="167">
        <f>I45</f>
        <v/>
      </c>
    </row>
    <row r="78" ht="14.4" customHeight="1" s="152">
      <c r="A78" s="167" t="n">
        <v>77</v>
      </c>
      <c r="B78" s="167">
        <f>B46</f>
        <v/>
      </c>
      <c r="C78" s="167">
        <f>IF(H78="",F78,LEFT(F78,H78-1))</f>
        <v/>
      </c>
      <c r="D78" s="167" t="inlineStr">
        <is>
          <t>QB</t>
        </is>
      </c>
      <c r="E78" s="167">
        <f>IF(H78&lt;&gt;"",RIGHT(F78,LEN(F78)-H78-2),"")</f>
        <v/>
      </c>
      <c r="F78" s="167">
        <f>VLOOKUP(I78,$J:$O,G78,0)</f>
        <v/>
      </c>
      <c r="G78" s="167">
        <f>G46+1</f>
        <v/>
      </c>
      <c r="H78" s="167">
        <f>IFERROR(FIND(" - ",F78),"")</f>
        <v/>
      </c>
      <c r="I78" s="167">
        <f>I46</f>
        <v/>
      </c>
    </row>
    <row r="79" ht="14.4" customHeight="1" s="152">
      <c r="A79" s="167" t="n">
        <v>78</v>
      </c>
      <c r="B79" s="167">
        <f>B47</f>
        <v/>
      </c>
      <c r="C79" s="167">
        <f>IF(H79="",F79,LEFT(F79,H79-1))</f>
        <v/>
      </c>
      <c r="D79" s="167" t="inlineStr">
        <is>
          <t>QB</t>
        </is>
      </c>
      <c r="E79" s="167">
        <f>IF(H79&lt;&gt;"",RIGHT(F79,LEN(F79)-H79-2),"")</f>
        <v/>
      </c>
      <c r="F79" s="167">
        <f>VLOOKUP(I79,$J:$O,G79,0)</f>
        <v/>
      </c>
      <c r="G79" s="167">
        <f>G47+1</f>
        <v/>
      </c>
      <c r="H79" s="167">
        <f>IFERROR(FIND(" - ",F79),"")</f>
        <v/>
      </c>
      <c r="I79" s="167">
        <f>I47</f>
        <v/>
      </c>
    </row>
    <row r="80" ht="14.4" customHeight="1" s="152">
      <c r="A80" s="167" t="n">
        <v>79</v>
      </c>
      <c r="B80" s="167">
        <f>B48</f>
        <v/>
      </c>
      <c r="C80" s="167">
        <f>IF(H80="",F80,LEFT(F80,H80-1))</f>
        <v/>
      </c>
      <c r="D80" s="167" t="inlineStr">
        <is>
          <t>QB</t>
        </is>
      </c>
      <c r="E80" s="167">
        <f>IF(H80&lt;&gt;"",RIGHT(F80,LEN(F80)-H80-2),"")</f>
        <v/>
      </c>
      <c r="F80" s="167">
        <f>VLOOKUP(I80,$J:$O,G80,0)</f>
        <v/>
      </c>
      <c r="G80" s="167">
        <f>G48+1</f>
        <v/>
      </c>
      <c r="H80" s="167">
        <f>IFERROR(FIND(" - ",F80),"")</f>
        <v/>
      </c>
      <c r="I80" s="167">
        <f>I48</f>
        <v/>
      </c>
    </row>
    <row r="81" ht="14.4" customHeight="1" s="152">
      <c r="A81" s="167" t="n">
        <v>80</v>
      </c>
      <c r="B81" s="167">
        <f>B49</f>
        <v/>
      </c>
      <c r="C81" s="167">
        <f>IF(H81="",F81,LEFT(F81,H81-1))</f>
        <v/>
      </c>
      <c r="D81" s="167" t="inlineStr">
        <is>
          <t>QB</t>
        </is>
      </c>
      <c r="E81" s="167">
        <f>IF(H81&lt;&gt;"",RIGHT(F81,LEN(F81)-H81-2),"")</f>
        <v/>
      </c>
      <c r="F81" s="167">
        <f>VLOOKUP(I81,$J:$O,G81,0)</f>
        <v/>
      </c>
      <c r="G81" s="167">
        <f>G49+1</f>
        <v/>
      </c>
      <c r="H81" s="167">
        <f>IFERROR(FIND(" - ",F81),"")</f>
        <v/>
      </c>
      <c r="I81" s="167">
        <f>I49</f>
        <v/>
      </c>
    </row>
    <row r="82" ht="14.4" customHeight="1" s="152">
      <c r="A82" s="167" t="n">
        <v>81</v>
      </c>
      <c r="B82" s="167">
        <f>B50</f>
        <v/>
      </c>
      <c r="C82" s="167">
        <f>IF(H82="",F82,LEFT(F82,H82-1))</f>
        <v/>
      </c>
      <c r="D82" s="167" t="inlineStr">
        <is>
          <t>QB</t>
        </is>
      </c>
      <c r="E82" s="167">
        <f>IF(H82&lt;&gt;"",RIGHT(F82,LEN(F82)-H82-2),"")</f>
        <v/>
      </c>
      <c r="F82" s="167">
        <f>VLOOKUP(I82,$J:$O,G82,0)</f>
        <v/>
      </c>
      <c r="G82" s="167">
        <f>G50+1</f>
        <v/>
      </c>
      <c r="H82" s="167">
        <f>IFERROR(FIND(" - ",F82),"")</f>
        <v/>
      </c>
      <c r="I82" s="167">
        <f>I50</f>
        <v/>
      </c>
    </row>
    <row r="83" ht="14.4" customHeight="1" s="152">
      <c r="A83" s="167" t="n">
        <v>82</v>
      </c>
      <c r="B83" s="167">
        <f>B51</f>
        <v/>
      </c>
      <c r="C83" s="167">
        <f>IF(H83="",F83,LEFT(F83,H83-1))</f>
        <v/>
      </c>
      <c r="D83" s="167" t="inlineStr">
        <is>
          <t>QB</t>
        </is>
      </c>
      <c r="E83" s="167">
        <f>IF(H83&lt;&gt;"",RIGHT(F83,LEN(F83)-H83-2),"")</f>
        <v/>
      </c>
      <c r="F83" s="167">
        <f>VLOOKUP(I83,$J:$O,G83,0)</f>
        <v/>
      </c>
      <c r="G83" s="167">
        <f>G51+1</f>
        <v/>
      </c>
      <c r="H83" s="167">
        <f>IFERROR(FIND(" - ",F83),"")</f>
        <v/>
      </c>
      <c r="I83" s="167">
        <f>I51</f>
        <v/>
      </c>
    </row>
    <row r="84" ht="14.4" customHeight="1" s="152">
      <c r="A84" s="167" t="n">
        <v>83</v>
      </c>
      <c r="B84" s="167">
        <f>B52</f>
        <v/>
      </c>
      <c r="C84" s="167">
        <f>IF(H84="",F84,LEFT(F84,H84-1))</f>
        <v/>
      </c>
      <c r="D84" s="167" t="inlineStr">
        <is>
          <t>QB</t>
        </is>
      </c>
      <c r="E84" s="167">
        <f>IF(H84&lt;&gt;"",RIGHT(F84,LEN(F84)-H84-2),"")</f>
        <v/>
      </c>
      <c r="F84" s="167">
        <f>VLOOKUP(I84,$J:$O,G84,0)</f>
        <v/>
      </c>
      <c r="G84" s="167">
        <f>G52+1</f>
        <v/>
      </c>
      <c r="H84" s="167">
        <f>IFERROR(FIND(" - ",F84),"")</f>
        <v/>
      </c>
      <c r="I84" s="167">
        <f>I52</f>
        <v/>
      </c>
    </row>
    <row r="85" ht="14.4" customHeight="1" s="152">
      <c r="A85" s="167" t="n">
        <v>84</v>
      </c>
      <c r="B85" s="167">
        <f>B53</f>
        <v/>
      </c>
      <c r="C85" s="167">
        <f>IF(H85="",F85,LEFT(F85,H85-1))</f>
        <v/>
      </c>
      <c r="D85" s="167" t="inlineStr">
        <is>
          <t>QB</t>
        </is>
      </c>
      <c r="E85" s="167">
        <f>IF(H85&lt;&gt;"",RIGHT(F85,LEN(F85)-H85-2),"")</f>
        <v/>
      </c>
      <c r="F85" s="167">
        <f>VLOOKUP(I85,$J:$O,G85,0)</f>
        <v/>
      </c>
      <c r="G85" s="167">
        <f>G53+1</f>
        <v/>
      </c>
      <c r="H85" s="167">
        <f>IFERROR(FIND(" - ",F85),"")</f>
        <v/>
      </c>
      <c r="I85" s="167">
        <f>I53</f>
        <v/>
      </c>
    </row>
    <row r="86" ht="14.4" customHeight="1" s="152">
      <c r="A86" s="167" t="n">
        <v>85</v>
      </c>
      <c r="B86" s="167">
        <f>B54</f>
        <v/>
      </c>
      <c r="C86" s="167">
        <f>IF(H86="",F86,LEFT(F86,H86-1))</f>
        <v/>
      </c>
      <c r="D86" s="167" t="inlineStr">
        <is>
          <t>QB</t>
        </is>
      </c>
      <c r="E86" s="167">
        <f>IF(H86&lt;&gt;"",RIGHT(F86,LEN(F86)-H86-2),"")</f>
        <v/>
      </c>
      <c r="F86" s="167">
        <f>VLOOKUP(I86,$J:$O,G86,0)</f>
        <v/>
      </c>
      <c r="G86" s="167">
        <f>G54+1</f>
        <v/>
      </c>
      <c r="H86" s="167">
        <f>IFERROR(FIND(" - ",F86),"")</f>
        <v/>
      </c>
      <c r="I86" s="167">
        <f>I54</f>
        <v/>
      </c>
    </row>
    <row r="87" ht="14.4" customHeight="1" s="152">
      <c r="A87" s="167" t="n">
        <v>86</v>
      </c>
      <c r="B87" s="167">
        <f>B55</f>
        <v/>
      </c>
      <c r="C87" s="167">
        <f>IF(H87="",F87,LEFT(F87,H87-1))</f>
        <v/>
      </c>
      <c r="D87" s="167" t="inlineStr">
        <is>
          <t>QB</t>
        </is>
      </c>
      <c r="E87" s="167">
        <f>IF(H87&lt;&gt;"",RIGHT(F87,LEN(F87)-H87-2),"")</f>
        <v/>
      </c>
      <c r="F87" s="167">
        <f>VLOOKUP(I87,$J:$O,G87,0)</f>
        <v/>
      </c>
      <c r="G87" s="167">
        <f>G55+1</f>
        <v/>
      </c>
      <c r="H87" s="167">
        <f>IFERROR(FIND(" - ",F87),"")</f>
        <v/>
      </c>
      <c r="I87" s="167">
        <f>I55</f>
        <v/>
      </c>
    </row>
    <row r="88" ht="14.4" customHeight="1" s="152">
      <c r="A88" s="167" t="n">
        <v>87</v>
      </c>
      <c r="B88" s="167">
        <f>B56</f>
        <v/>
      </c>
      <c r="C88" s="167">
        <f>IF(H88="",F88,LEFT(F88,H88-1))</f>
        <v/>
      </c>
      <c r="D88" s="167" t="inlineStr">
        <is>
          <t>QB</t>
        </is>
      </c>
      <c r="E88" s="167">
        <f>IF(H88&lt;&gt;"",RIGHT(F88,LEN(F88)-H88-2),"")</f>
        <v/>
      </c>
      <c r="F88" s="167">
        <f>VLOOKUP(I88,$J:$O,G88,0)</f>
        <v/>
      </c>
      <c r="G88" s="167">
        <f>G56+1</f>
        <v/>
      </c>
      <c r="H88" s="167">
        <f>IFERROR(FIND(" - ",F88),"")</f>
        <v/>
      </c>
      <c r="I88" s="167">
        <f>I56</f>
        <v/>
      </c>
    </row>
    <row r="89" ht="14.4" customHeight="1" s="152">
      <c r="A89" s="167" t="n">
        <v>88</v>
      </c>
      <c r="B89" s="167">
        <f>B57</f>
        <v/>
      </c>
      <c r="C89" s="167">
        <f>IF(H89="",F89,LEFT(F89,H89-1))</f>
        <v/>
      </c>
      <c r="D89" s="167" t="inlineStr">
        <is>
          <t>QB</t>
        </is>
      </c>
      <c r="E89" s="167">
        <f>IF(H89&lt;&gt;"",RIGHT(F89,LEN(F89)-H89-2),"")</f>
        <v/>
      </c>
      <c r="F89" s="167">
        <f>VLOOKUP(I89,$J:$O,G89,0)</f>
        <v/>
      </c>
      <c r="G89" s="167">
        <f>G57+1</f>
        <v/>
      </c>
      <c r="H89" s="167">
        <f>IFERROR(FIND(" - ",F89),"")</f>
        <v/>
      </c>
      <c r="I89" s="167">
        <f>I57</f>
        <v/>
      </c>
    </row>
    <row r="90" ht="14.4" customHeight="1" s="152">
      <c r="A90" s="167" t="n">
        <v>89</v>
      </c>
      <c r="B90" s="167">
        <f>B58</f>
        <v/>
      </c>
      <c r="C90" s="167">
        <f>IF(H90="",F90,LEFT(F90,H90-1))</f>
        <v/>
      </c>
      <c r="D90" s="167" t="inlineStr">
        <is>
          <t>QB</t>
        </is>
      </c>
      <c r="E90" s="167">
        <f>IF(H90&lt;&gt;"",RIGHT(F90,LEN(F90)-H90-2),"")</f>
        <v/>
      </c>
      <c r="F90" s="167">
        <f>VLOOKUP(I90,$J:$O,G90,0)</f>
        <v/>
      </c>
      <c r="G90" s="167">
        <f>G58+1</f>
        <v/>
      </c>
      <c r="H90" s="167">
        <f>IFERROR(FIND(" - ",F90),"")</f>
        <v/>
      </c>
      <c r="I90" s="167">
        <f>I58</f>
        <v/>
      </c>
    </row>
    <row r="91" ht="14.4" customHeight="1" s="152">
      <c r="A91" s="167" t="n">
        <v>90</v>
      </c>
      <c r="B91" s="167">
        <f>B59</f>
        <v/>
      </c>
      <c r="C91" s="167">
        <f>IF(H91="",F91,LEFT(F91,H91-1))</f>
        <v/>
      </c>
      <c r="D91" s="167" t="inlineStr">
        <is>
          <t>QB</t>
        </is>
      </c>
      <c r="E91" s="167">
        <f>IF(H91&lt;&gt;"",RIGHT(F91,LEN(F91)-H91-2),"")</f>
        <v/>
      </c>
      <c r="F91" s="167">
        <f>VLOOKUP(I91,$J:$O,G91,0)</f>
        <v/>
      </c>
      <c r="G91" s="167">
        <f>G59+1</f>
        <v/>
      </c>
      <c r="H91" s="167">
        <f>IFERROR(FIND(" - ",F91),"")</f>
        <v/>
      </c>
      <c r="I91" s="167">
        <f>I59</f>
        <v/>
      </c>
    </row>
    <row r="92" ht="14.4" customHeight="1" s="152">
      <c r="A92" s="167" t="n">
        <v>91</v>
      </c>
      <c r="B92" s="167">
        <f>B60</f>
        <v/>
      </c>
      <c r="C92" s="167">
        <f>IF(H92="",F92,LEFT(F92,H92-1))</f>
        <v/>
      </c>
      <c r="D92" s="167" t="inlineStr">
        <is>
          <t>QB</t>
        </is>
      </c>
      <c r="E92" s="167">
        <f>IF(H92&lt;&gt;"",RIGHT(F92,LEN(F92)-H92-2),"")</f>
        <v/>
      </c>
      <c r="F92" s="167">
        <f>VLOOKUP(I92,$J:$O,G92,0)</f>
        <v/>
      </c>
      <c r="G92" s="167">
        <f>G60+1</f>
        <v/>
      </c>
      <c r="H92" s="167">
        <f>IFERROR(FIND(" - ",F92),"")</f>
        <v/>
      </c>
      <c r="I92" s="167">
        <f>I60</f>
        <v/>
      </c>
    </row>
    <row r="93" ht="14.4" customHeight="1" s="152">
      <c r="A93" s="167" t="n">
        <v>92</v>
      </c>
      <c r="B93" s="167">
        <f>B61</f>
        <v/>
      </c>
      <c r="C93" s="167">
        <f>IF(H93="",F93,LEFT(F93,H93-1))</f>
        <v/>
      </c>
      <c r="D93" s="167" t="inlineStr">
        <is>
          <t>QB</t>
        </is>
      </c>
      <c r="E93" s="167">
        <f>IF(H93&lt;&gt;"",RIGHT(F93,LEN(F93)-H93-2),"")</f>
        <v/>
      </c>
      <c r="F93" s="167">
        <f>VLOOKUP(I93,$J:$O,G93,0)</f>
        <v/>
      </c>
      <c r="G93" s="167">
        <f>G61+1</f>
        <v/>
      </c>
      <c r="H93" s="167">
        <f>IFERROR(FIND(" - ",F93),"")</f>
        <v/>
      </c>
      <c r="I93" s="167">
        <f>I61</f>
        <v/>
      </c>
    </row>
    <row r="94" ht="14.4" customHeight="1" s="152">
      <c r="A94" s="167" t="n">
        <v>93</v>
      </c>
      <c r="B94" s="167">
        <f>B62</f>
        <v/>
      </c>
      <c r="C94" s="167">
        <f>IF(H94="",F94,LEFT(F94,H94-1))</f>
        <v/>
      </c>
      <c r="D94" s="167" t="inlineStr">
        <is>
          <t>QB</t>
        </is>
      </c>
      <c r="E94" s="167">
        <f>IF(H94&lt;&gt;"",RIGHT(F94,LEN(F94)-H94-2),"")</f>
        <v/>
      </c>
      <c r="F94" s="167">
        <f>VLOOKUP(I94,$J:$O,G94,0)</f>
        <v/>
      </c>
      <c r="G94" s="167">
        <f>G62+1</f>
        <v/>
      </c>
      <c r="H94" s="167">
        <f>IFERROR(FIND(" - ",F94),"")</f>
        <v/>
      </c>
      <c r="I94" s="167">
        <f>I62</f>
        <v/>
      </c>
    </row>
    <row r="95" ht="14.4" customHeight="1" s="152">
      <c r="A95" s="167" t="n">
        <v>94</v>
      </c>
      <c r="B95" s="167">
        <f>B63</f>
        <v/>
      </c>
      <c r="C95" s="167">
        <f>IF(H95="",F95,LEFT(F95,H95-1))</f>
        <v/>
      </c>
      <c r="D95" s="167" t="inlineStr">
        <is>
          <t>QB</t>
        </is>
      </c>
      <c r="E95" s="167">
        <f>IF(H95&lt;&gt;"",RIGHT(F95,LEN(F95)-H95-2),"")</f>
        <v/>
      </c>
      <c r="F95" s="167">
        <f>VLOOKUP(I95,$J:$O,G95,0)</f>
        <v/>
      </c>
      <c r="G95" s="167">
        <f>G63+1</f>
        <v/>
      </c>
      <c r="H95" s="167">
        <f>IFERROR(FIND(" - ",F95),"")</f>
        <v/>
      </c>
      <c r="I95" s="167">
        <f>I63</f>
        <v/>
      </c>
    </row>
    <row r="96" ht="14.4" customHeight="1" s="152">
      <c r="A96" s="167" t="n">
        <v>95</v>
      </c>
      <c r="B96" s="167">
        <f>B64</f>
        <v/>
      </c>
      <c r="C96" s="167">
        <f>IF(H96="",F96,LEFT(F96,H96-1))</f>
        <v/>
      </c>
      <c r="D96" s="167" t="inlineStr">
        <is>
          <t>QB</t>
        </is>
      </c>
      <c r="E96" s="167">
        <f>IF(H96&lt;&gt;"",RIGHT(F96,LEN(F96)-H96-2),"")</f>
        <v/>
      </c>
      <c r="F96" s="167">
        <f>VLOOKUP(I96,$J:$O,G96,0)</f>
        <v/>
      </c>
      <c r="G96" s="167">
        <f>G64+1</f>
        <v/>
      </c>
      <c r="H96" s="167">
        <f>IFERROR(FIND(" - ",F96),"")</f>
        <v/>
      </c>
      <c r="I96" s="167">
        <f>I64</f>
        <v/>
      </c>
    </row>
    <row r="97" ht="14.4" customHeight="1" s="152">
      <c r="A97" s="167" t="n">
        <v>96</v>
      </c>
      <c r="B97" s="167">
        <f>B65</f>
        <v/>
      </c>
      <c r="C97" s="167">
        <f>IF(H97="",F97,LEFT(F97,H97-1))</f>
        <v/>
      </c>
      <c r="D97" s="167" t="inlineStr">
        <is>
          <t>QB</t>
        </is>
      </c>
      <c r="E97" s="167">
        <f>IF(H97&lt;&gt;"",RIGHT(F97,LEN(F97)-H97-2),"")</f>
        <v/>
      </c>
      <c r="F97" s="167">
        <f>VLOOKUP(I97,$J:$O,G97,0)</f>
        <v/>
      </c>
      <c r="G97" s="167">
        <f>G65+1</f>
        <v/>
      </c>
      <c r="H97" s="167">
        <f>IFERROR(FIND(" - ",F97),"")</f>
        <v/>
      </c>
      <c r="I97" s="167">
        <f>I65</f>
        <v/>
      </c>
    </row>
    <row r="98" ht="14.4" customHeight="1" s="152">
      <c r="A98" s="167" t="n">
        <v>97</v>
      </c>
      <c r="B98" s="167">
        <f>B66</f>
        <v/>
      </c>
      <c r="C98" s="167">
        <f>IF(H98="",F98,LEFT(F98,H98-1))</f>
        <v/>
      </c>
      <c r="D98" s="167" t="inlineStr">
        <is>
          <t>QB</t>
        </is>
      </c>
      <c r="E98" s="167">
        <f>IF(H98&lt;&gt;"",RIGHT(F98,LEN(F98)-H98-2),"")</f>
        <v/>
      </c>
      <c r="F98" s="167">
        <f>VLOOKUP(I98,$J:$O,G98,0)</f>
        <v/>
      </c>
      <c r="G98" s="167">
        <f>G66+1</f>
        <v/>
      </c>
      <c r="H98" s="167">
        <f>IFERROR(FIND(" - ",F98),"")</f>
        <v/>
      </c>
      <c r="I98" s="167">
        <f>I66</f>
        <v/>
      </c>
    </row>
    <row r="99" ht="14.4" customHeight="1" s="152">
      <c r="A99" s="167" t="n">
        <v>98</v>
      </c>
      <c r="B99" s="167">
        <f>B67</f>
        <v/>
      </c>
      <c r="C99" s="167">
        <f>IF(H99="",F99,LEFT(F99,H99-1))</f>
        <v/>
      </c>
      <c r="D99" s="167" t="inlineStr">
        <is>
          <t>QB</t>
        </is>
      </c>
      <c r="E99" s="167">
        <f>IF(H99&lt;&gt;"",RIGHT(F99,LEN(F99)-H99-2),"")</f>
        <v/>
      </c>
      <c r="F99" s="167">
        <f>VLOOKUP(I99,$J:$O,G99,0)</f>
        <v/>
      </c>
      <c r="G99" s="167">
        <f>G67+1</f>
        <v/>
      </c>
      <c r="H99" s="167">
        <f>IFERROR(FIND(" - ",F99),"")</f>
        <v/>
      </c>
      <c r="I99" s="167">
        <f>I67</f>
        <v/>
      </c>
    </row>
    <row r="100" ht="14.4" customHeight="1" s="152">
      <c r="A100" s="167" t="n">
        <v>99</v>
      </c>
      <c r="B100" s="167">
        <f>B68</f>
        <v/>
      </c>
      <c r="C100" s="167">
        <f>IF(H100="",F100,LEFT(F100,H100-1))</f>
        <v/>
      </c>
      <c r="D100" s="167" t="inlineStr">
        <is>
          <t>QB</t>
        </is>
      </c>
      <c r="E100" s="167">
        <f>IF(H100&lt;&gt;"",RIGHT(F100,LEN(F100)-H100-2),"")</f>
        <v/>
      </c>
      <c r="F100" s="167">
        <f>VLOOKUP(I100,$J:$O,G100,0)</f>
        <v/>
      </c>
      <c r="G100" s="167">
        <f>G68+1</f>
        <v/>
      </c>
      <c r="H100" s="167">
        <f>IFERROR(FIND(" - ",F100),"")</f>
        <v/>
      </c>
      <c r="I100" s="167">
        <f>I68</f>
        <v/>
      </c>
    </row>
    <row r="101" ht="14.4" customHeight="1" s="152">
      <c r="A101" s="167" t="n">
        <v>100</v>
      </c>
      <c r="B101" s="167">
        <f>B69</f>
        <v/>
      </c>
      <c r="C101" s="167">
        <f>IF(H101="",F101,LEFT(F101,H101-1))</f>
        <v/>
      </c>
      <c r="D101" s="167" t="inlineStr">
        <is>
          <t>QB</t>
        </is>
      </c>
      <c r="E101" s="167">
        <f>IF(H101&lt;&gt;"",RIGHT(F101,LEN(F101)-H101-2),"")</f>
        <v/>
      </c>
      <c r="F101" s="167">
        <f>VLOOKUP(I101,$J:$O,G101,0)</f>
        <v/>
      </c>
      <c r="G101" s="167">
        <f>G69+1</f>
        <v/>
      </c>
      <c r="H101" s="167">
        <f>IFERROR(FIND(" - ",F101),"")</f>
        <v/>
      </c>
      <c r="I101" s="167">
        <f>I69</f>
        <v/>
      </c>
    </row>
    <row r="102" ht="14.4" customHeight="1" s="152">
      <c r="A102" s="167" t="n">
        <v>101</v>
      </c>
      <c r="B102" s="167">
        <f>B70</f>
        <v/>
      </c>
      <c r="C102" s="167">
        <f>IF(H102="",F102,LEFT(F102,H102-1))</f>
        <v/>
      </c>
      <c r="D102" s="167" t="inlineStr">
        <is>
          <t>QB</t>
        </is>
      </c>
      <c r="E102" s="167">
        <f>IF(H102&lt;&gt;"",RIGHT(F102,LEN(F102)-H102-2),"")</f>
        <v/>
      </c>
      <c r="F102" s="167">
        <f>VLOOKUP(I102,$J:$O,G102,0)</f>
        <v/>
      </c>
      <c r="G102" s="167">
        <f>G70+1</f>
        <v/>
      </c>
      <c r="H102" s="167">
        <f>IFERROR(FIND(" - ",F102),"")</f>
        <v/>
      </c>
      <c r="I102" s="167">
        <f>I70</f>
        <v/>
      </c>
    </row>
    <row r="103" ht="14.4" customHeight="1" s="152">
      <c r="A103" s="167" t="n">
        <v>102</v>
      </c>
      <c r="B103" s="167">
        <f>B71</f>
        <v/>
      </c>
      <c r="C103" s="167">
        <f>IF(H103="",F103,LEFT(F103,H103-1))</f>
        <v/>
      </c>
      <c r="D103" s="167" t="inlineStr">
        <is>
          <t>QB</t>
        </is>
      </c>
      <c r="E103" s="167">
        <f>IF(H103&lt;&gt;"",RIGHT(F103,LEN(F103)-H103-2),"")</f>
        <v/>
      </c>
      <c r="F103" s="167">
        <f>VLOOKUP(I103,$J:$O,G103,0)</f>
        <v/>
      </c>
      <c r="G103" s="167">
        <f>G71+1</f>
        <v/>
      </c>
      <c r="H103" s="167">
        <f>IFERROR(FIND(" - ",F103),"")</f>
        <v/>
      </c>
      <c r="I103" s="167">
        <f>I71</f>
        <v/>
      </c>
    </row>
    <row r="104" ht="14.4" customHeight="1" s="152">
      <c r="A104" s="167" t="n">
        <v>103</v>
      </c>
      <c r="B104" s="167">
        <f>B72</f>
        <v/>
      </c>
      <c r="C104" s="167">
        <f>IF(H104="",F104,LEFT(F104,H104-1))</f>
        <v/>
      </c>
      <c r="D104" s="167" t="inlineStr">
        <is>
          <t>QB</t>
        </is>
      </c>
      <c r="E104" s="167">
        <f>IF(H104&lt;&gt;"",RIGHT(F104,LEN(F104)-H104-2),"")</f>
        <v/>
      </c>
      <c r="F104" s="167">
        <f>VLOOKUP(I104,$J:$O,G104,0)</f>
        <v/>
      </c>
      <c r="G104" s="167">
        <f>G72+1</f>
        <v/>
      </c>
      <c r="H104" s="167">
        <f>IFERROR(FIND(" - ",F104),"")</f>
        <v/>
      </c>
      <c r="I104" s="167">
        <f>I72</f>
        <v/>
      </c>
    </row>
    <row r="105" ht="14.4" customHeight="1" s="152">
      <c r="A105" s="167" t="n">
        <v>104</v>
      </c>
      <c r="B105" s="167">
        <f>B73</f>
        <v/>
      </c>
      <c r="C105" s="167">
        <f>IF(H105="",F105,LEFT(F105,H105-1))</f>
        <v/>
      </c>
      <c r="D105" s="167" t="inlineStr">
        <is>
          <t>QB</t>
        </is>
      </c>
      <c r="E105" s="167">
        <f>IF(H105&lt;&gt;"",RIGHT(F105,LEN(F105)-H105-2),"")</f>
        <v/>
      </c>
      <c r="F105" s="167">
        <f>VLOOKUP(I105,$J:$O,G105,0)</f>
        <v/>
      </c>
      <c r="G105" s="167">
        <f>G73+1</f>
        <v/>
      </c>
      <c r="H105" s="167">
        <f>IFERROR(FIND(" - ",F105),"")</f>
        <v/>
      </c>
      <c r="I105" s="167">
        <f>I73</f>
        <v/>
      </c>
    </row>
    <row r="106" ht="14.4" customHeight="1" s="152">
      <c r="A106" s="167" t="n">
        <v>105</v>
      </c>
      <c r="B106" s="167">
        <f>B74</f>
        <v/>
      </c>
      <c r="C106" s="167">
        <f>IF(H106="",F106,LEFT(F106,H106-1))</f>
        <v/>
      </c>
      <c r="D106" s="167" t="inlineStr">
        <is>
          <t>QB</t>
        </is>
      </c>
      <c r="E106" s="167">
        <f>IF(H106&lt;&gt;"",RIGHT(F106,LEN(F106)-H106-2),"")</f>
        <v/>
      </c>
      <c r="F106" s="167">
        <f>VLOOKUP(I106,$J:$O,G106,0)</f>
        <v/>
      </c>
      <c r="G106" s="167">
        <f>G74+1</f>
        <v/>
      </c>
      <c r="H106" s="167">
        <f>IFERROR(FIND(" - ",F106),"")</f>
        <v/>
      </c>
      <c r="I106" s="167">
        <f>I74</f>
        <v/>
      </c>
    </row>
    <row r="107" ht="14.4" customHeight="1" s="152">
      <c r="A107" s="167" t="n">
        <v>106</v>
      </c>
      <c r="B107" s="167">
        <f>B75</f>
        <v/>
      </c>
      <c r="C107" s="167">
        <f>IF(H107="",F107,LEFT(F107,H107-1))</f>
        <v/>
      </c>
      <c r="D107" s="167" t="inlineStr">
        <is>
          <t>QB</t>
        </is>
      </c>
      <c r="E107" s="167">
        <f>IF(H107&lt;&gt;"",RIGHT(F107,LEN(F107)-H107-2),"")</f>
        <v/>
      </c>
      <c r="F107" s="167">
        <f>VLOOKUP(I107,$J:$O,G107,0)</f>
        <v/>
      </c>
      <c r="G107" s="167">
        <f>G75+1</f>
        <v/>
      </c>
      <c r="H107" s="167">
        <f>IFERROR(FIND(" - ",F107),"")</f>
        <v/>
      </c>
      <c r="I107" s="167">
        <f>I75</f>
        <v/>
      </c>
    </row>
    <row r="108" ht="14.4" customHeight="1" s="152">
      <c r="A108" s="167" t="n">
        <v>107</v>
      </c>
      <c r="B108" s="167">
        <f>B76</f>
        <v/>
      </c>
      <c r="C108" s="167">
        <f>IF(H108="",F108,LEFT(F108,H108-1))</f>
        <v/>
      </c>
      <c r="D108" s="167" t="inlineStr">
        <is>
          <t>QB</t>
        </is>
      </c>
      <c r="E108" s="167">
        <f>IF(H108&lt;&gt;"",RIGHT(F108,LEN(F108)-H108-2),"")</f>
        <v/>
      </c>
      <c r="F108" s="167">
        <f>VLOOKUP(I108,$J:$O,G108,0)</f>
        <v/>
      </c>
      <c r="G108" s="167">
        <f>G76+1</f>
        <v/>
      </c>
      <c r="H108" s="167">
        <f>IFERROR(FIND(" - ",F108),"")</f>
        <v/>
      </c>
      <c r="I108" s="167">
        <f>I76</f>
        <v/>
      </c>
    </row>
    <row r="109" ht="14.4" customHeight="1" s="152">
      <c r="A109" s="167" t="n">
        <v>108</v>
      </c>
      <c r="B109" s="167">
        <f>B77</f>
        <v/>
      </c>
      <c r="C109" s="167">
        <f>IF(H109="",F109,LEFT(F109,H109-1))</f>
        <v/>
      </c>
      <c r="D109" s="167" t="inlineStr">
        <is>
          <t>QB</t>
        </is>
      </c>
      <c r="E109" s="167">
        <f>IF(H109&lt;&gt;"",RIGHT(F109,LEN(F109)-H109-2),"")</f>
        <v/>
      </c>
      <c r="F109" s="167">
        <f>VLOOKUP(I109,$J:$O,G109,0)</f>
        <v/>
      </c>
      <c r="G109" s="167">
        <f>G77+1</f>
        <v/>
      </c>
      <c r="H109" s="167">
        <f>IFERROR(FIND(" - ",F109),"")</f>
        <v/>
      </c>
      <c r="I109" s="167">
        <f>I77</f>
        <v/>
      </c>
    </row>
    <row r="110" ht="14.4" customHeight="1" s="152">
      <c r="A110" s="167" t="n">
        <v>109</v>
      </c>
      <c r="B110" s="167">
        <f>B78</f>
        <v/>
      </c>
      <c r="C110" s="167">
        <f>IF(H110="",F110,LEFT(F110,H110-1))</f>
        <v/>
      </c>
      <c r="D110" s="167" t="inlineStr">
        <is>
          <t>QB</t>
        </is>
      </c>
      <c r="E110" s="167">
        <f>IF(H110&lt;&gt;"",RIGHT(F110,LEN(F110)-H110-2),"")</f>
        <v/>
      </c>
      <c r="F110" s="167">
        <f>VLOOKUP(I110,$J:$O,G110,0)</f>
        <v/>
      </c>
      <c r="G110" s="167">
        <f>G78+1</f>
        <v/>
      </c>
      <c r="H110" s="167">
        <f>IFERROR(FIND(" - ",F110),"")</f>
        <v/>
      </c>
      <c r="I110" s="167">
        <f>I78</f>
        <v/>
      </c>
    </row>
    <row r="111" ht="14.4" customHeight="1" s="152">
      <c r="A111" s="167" t="n">
        <v>110</v>
      </c>
      <c r="B111" s="167">
        <f>B79</f>
        <v/>
      </c>
      <c r="C111" s="167">
        <f>IF(H111="",F111,LEFT(F111,H111-1))</f>
        <v/>
      </c>
      <c r="D111" s="167" t="inlineStr">
        <is>
          <t>QB</t>
        </is>
      </c>
      <c r="E111" s="167">
        <f>IF(H111&lt;&gt;"",RIGHT(F111,LEN(F111)-H111-2),"")</f>
        <v/>
      </c>
      <c r="F111" s="167">
        <f>VLOOKUP(I111,$J:$O,G111,0)</f>
        <v/>
      </c>
      <c r="G111" s="167">
        <f>G79+1</f>
        <v/>
      </c>
      <c r="H111" s="167">
        <f>IFERROR(FIND(" - ",F111),"")</f>
        <v/>
      </c>
      <c r="I111" s="167">
        <f>I79</f>
        <v/>
      </c>
    </row>
    <row r="112" ht="14.4" customHeight="1" s="152">
      <c r="A112" s="167" t="n">
        <v>111</v>
      </c>
      <c r="B112" s="167">
        <f>B80</f>
        <v/>
      </c>
      <c r="C112" s="167">
        <f>IF(H112="",F112,LEFT(F112,H112-1))</f>
        <v/>
      </c>
      <c r="D112" s="167" t="inlineStr">
        <is>
          <t>QB</t>
        </is>
      </c>
      <c r="E112" s="167">
        <f>IF(H112&lt;&gt;"",RIGHT(F112,LEN(F112)-H112-2),"")</f>
        <v/>
      </c>
      <c r="F112" s="167">
        <f>VLOOKUP(I112,$J:$O,G112,0)</f>
        <v/>
      </c>
      <c r="G112" s="167">
        <f>G80+1</f>
        <v/>
      </c>
      <c r="H112" s="167">
        <f>IFERROR(FIND(" - ",F112),"")</f>
        <v/>
      </c>
      <c r="I112" s="167">
        <f>I80</f>
        <v/>
      </c>
    </row>
    <row r="113" ht="14.4" customHeight="1" s="152">
      <c r="A113" s="167" t="n">
        <v>112</v>
      </c>
      <c r="B113" s="167">
        <f>B81</f>
        <v/>
      </c>
      <c r="C113" s="167">
        <f>IF(H113="",F113,LEFT(F113,H113-1))</f>
        <v/>
      </c>
      <c r="D113" s="167" t="inlineStr">
        <is>
          <t>QB</t>
        </is>
      </c>
      <c r="E113" s="167">
        <f>IF(H113&lt;&gt;"",RIGHT(F113,LEN(F113)-H113-2),"")</f>
        <v/>
      </c>
      <c r="F113" s="167">
        <f>VLOOKUP(I113,$J:$O,G113,0)</f>
        <v/>
      </c>
      <c r="G113" s="167">
        <f>G81+1</f>
        <v/>
      </c>
      <c r="H113" s="167">
        <f>IFERROR(FIND(" - ",F113),"")</f>
        <v/>
      </c>
      <c r="I113" s="167">
        <f>I81</f>
        <v/>
      </c>
    </row>
    <row r="114" ht="14.4" customHeight="1" s="152">
      <c r="A114" s="167" t="n">
        <v>113</v>
      </c>
      <c r="B114" s="167">
        <f>B82</f>
        <v/>
      </c>
      <c r="C114" s="167">
        <f>IF(H114="",F114,LEFT(F114,H114-1))</f>
        <v/>
      </c>
      <c r="D114" s="167" t="inlineStr">
        <is>
          <t>QB</t>
        </is>
      </c>
      <c r="E114" s="167">
        <f>IF(H114&lt;&gt;"",RIGHT(F114,LEN(F114)-H114-2),"")</f>
        <v/>
      </c>
      <c r="F114" s="167">
        <f>VLOOKUP(I114,$J:$O,G114,0)</f>
        <v/>
      </c>
      <c r="G114" s="167">
        <f>G82+1</f>
        <v/>
      </c>
      <c r="H114" s="167">
        <f>IFERROR(FIND(" - ",F114),"")</f>
        <v/>
      </c>
      <c r="I114" s="167">
        <f>I82</f>
        <v/>
      </c>
    </row>
    <row r="115" ht="14.4" customHeight="1" s="152">
      <c r="A115" s="167" t="n">
        <v>114</v>
      </c>
      <c r="B115" s="167">
        <f>B83</f>
        <v/>
      </c>
      <c r="C115" s="167">
        <f>IF(H115="",F115,LEFT(F115,H115-1))</f>
        <v/>
      </c>
      <c r="D115" s="167" t="inlineStr">
        <is>
          <t>QB</t>
        </is>
      </c>
      <c r="E115" s="167">
        <f>IF(H115&lt;&gt;"",RIGHT(F115,LEN(F115)-H115-2),"")</f>
        <v/>
      </c>
      <c r="F115" s="167">
        <f>VLOOKUP(I115,$J:$O,G115,0)</f>
        <v/>
      </c>
      <c r="G115" s="167">
        <f>G83+1</f>
        <v/>
      </c>
      <c r="H115" s="167">
        <f>IFERROR(FIND(" - ",F115),"")</f>
        <v/>
      </c>
      <c r="I115" s="167">
        <f>I83</f>
        <v/>
      </c>
    </row>
    <row r="116" ht="14.4" customHeight="1" s="152">
      <c r="A116" s="167" t="n">
        <v>115</v>
      </c>
      <c r="B116" s="167">
        <f>B84</f>
        <v/>
      </c>
      <c r="C116" s="167">
        <f>IF(H116="",F116,LEFT(F116,H116-1))</f>
        <v/>
      </c>
      <c r="D116" s="167" t="inlineStr">
        <is>
          <t>QB</t>
        </is>
      </c>
      <c r="E116" s="167">
        <f>IF(H116&lt;&gt;"",RIGHT(F116,LEN(F116)-H116-2),"")</f>
        <v/>
      </c>
      <c r="F116" s="167">
        <f>VLOOKUP(I116,$J:$O,G116,0)</f>
        <v/>
      </c>
      <c r="G116" s="167">
        <f>G84+1</f>
        <v/>
      </c>
      <c r="H116" s="167">
        <f>IFERROR(FIND(" - ",F116),"")</f>
        <v/>
      </c>
      <c r="I116" s="167">
        <f>I84</f>
        <v/>
      </c>
    </row>
    <row r="117" ht="14.4" customHeight="1" s="152">
      <c r="A117" s="167" t="n">
        <v>116</v>
      </c>
      <c r="B117" s="167">
        <f>B85</f>
        <v/>
      </c>
      <c r="C117" s="167">
        <f>IF(H117="",F117,LEFT(F117,H117-1))</f>
        <v/>
      </c>
      <c r="D117" s="167" t="inlineStr">
        <is>
          <t>QB</t>
        </is>
      </c>
      <c r="E117" s="167">
        <f>IF(H117&lt;&gt;"",RIGHT(F117,LEN(F117)-H117-2),"")</f>
        <v/>
      </c>
      <c r="F117" s="167">
        <f>VLOOKUP(I117,$J:$O,G117,0)</f>
        <v/>
      </c>
      <c r="G117" s="167">
        <f>G85+1</f>
        <v/>
      </c>
      <c r="H117" s="167">
        <f>IFERROR(FIND(" - ",F117),"")</f>
        <v/>
      </c>
      <c r="I117" s="167">
        <f>I85</f>
        <v/>
      </c>
    </row>
    <row r="118" ht="14.4" customHeight="1" s="152">
      <c r="A118" s="167" t="n">
        <v>117</v>
      </c>
      <c r="B118" s="167">
        <f>B86</f>
        <v/>
      </c>
      <c r="C118" s="167">
        <f>IF(H118="",F118,LEFT(F118,H118-1))</f>
        <v/>
      </c>
      <c r="D118" s="167" t="inlineStr">
        <is>
          <t>QB</t>
        </is>
      </c>
      <c r="E118" s="167">
        <f>IF(H118&lt;&gt;"",RIGHT(F118,LEN(F118)-H118-2),"")</f>
        <v/>
      </c>
      <c r="F118" s="167">
        <f>VLOOKUP(I118,$J:$O,G118,0)</f>
        <v/>
      </c>
      <c r="G118" s="167">
        <f>G86+1</f>
        <v/>
      </c>
      <c r="H118" s="167">
        <f>IFERROR(FIND(" - ",F118),"")</f>
        <v/>
      </c>
      <c r="I118" s="167">
        <f>I86</f>
        <v/>
      </c>
    </row>
    <row r="119" ht="14.4" customHeight="1" s="152">
      <c r="A119" s="167" t="n">
        <v>118</v>
      </c>
      <c r="B119" s="167">
        <f>B87</f>
        <v/>
      </c>
      <c r="C119" s="167">
        <f>IF(H119="",F119,LEFT(F119,H119-1))</f>
        <v/>
      </c>
      <c r="D119" s="167" t="inlineStr">
        <is>
          <t>QB</t>
        </is>
      </c>
      <c r="E119" s="167">
        <f>IF(H119&lt;&gt;"",RIGHT(F119,LEN(F119)-H119-2),"")</f>
        <v/>
      </c>
      <c r="F119" s="167">
        <f>VLOOKUP(I119,$J:$O,G119,0)</f>
        <v/>
      </c>
      <c r="G119" s="167">
        <f>G87+1</f>
        <v/>
      </c>
      <c r="H119" s="167">
        <f>IFERROR(FIND(" - ",F119),"")</f>
        <v/>
      </c>
      <c r="I119" s="167">
        <f>I87</f>
        <v/>
      </c>
    </row>
    <row r="120" ht="14.4" customHeight="1" s="152">
      <c r="A120" s="167" t="n">
        <v>119</v>
      </c>
      <c r="B120" s="167">
        <f>B88</f>
        <v/>
      </c>
      <c r="C120" s="167">
        <f>IF(H120="",F120,LEFT(F120,H120-1))</f>
        <v/>
      </c>
      <c r="D120" s="167" t="inlineStr">
        <is>
          <t>QB</t>
        </is>
      </c>
      <c r="E120" s="167">
        <f>IF(H120&lt;&gt;"",RIGHT(F120,LEN(F120)-H120-2),"")</f>
        <v/>
      </c>
      <c r="F120" s="167">
        <f>VLOOKUP(I120,$J:$O,G120,0)</f>
        <v/>
      </c>
      <c r="G120" s="167">
        <f>G88+1</f>
        <v/>
      </c>
      <c r="H120" s="167">
        <f>IFERROR(FIND(" - ",F120),"")</f>
        <v/>
      </c>
      <c r="I120" s="167">
        <f>I88</f>
        <v/>
      </c>
    </row>
    <row r="121" ht="14.4" customHeight="1" s="152">
      <c r="A121" s="167" t="n">
        <v>120</v>
      </c>
      <c r="B121" s="167">
        <f>B89</f>
        <v/>
      </c>
      <c r="C121" s="167">
        <f>IF(H121="",F121,LEFT(F121,H121-1))</f>
        <v/>
      </c>
      <c r="D121" s="167" t="inlineStr">
        <is>
          <t>QB</t>
        </is>
      </c>
      <c r="E121" s="167">
        <f>IF(H121&lt;&gt;"",RIGHT(F121,LEN(F121)-H121-2),"")</f>
        <v/>
      </c>
      <c r="F121" s="167">
        <f>VLOOKUP(I121,$J:$O,G121,0)</f>
        <v/>
      </c>
      <c r="G121" s="167">
        <f>G89+1</f>
        <v/>
      </c>
      <c r="H121" s="167">
        <f>IFERROR(FIND(" - ",F121),"")</f>
        <v/>
      </c>
      <c r="I121" s="167">
        <f>I89</f>
        <v/>
      </c>
    </row>
    <row r="122" ht="14.4" customHeight="1" s="152">
      <c r="A122" s="167" t="n">
        <v>121</v>
      </c>
      <c r="B122" s="167">
        <f>B90</f>
        <v/>
      </c>
      <c r="C122" s="167">
        <f>IF(H122="",F122,LEFT(F122,H122-1))</f>
        <v/>
      </c>
      <c r="D122" s="167" t="inlineStr">
        <is>
          <t>QB</t>
        </is>
      </c>
      <c r="E122" s="167">
        <f>IF(H122&lt;&gt;"",RIGHT(F122,LEN(F122)-H122-2),"")</f>
        <v/>
      </c>
      <c r="F122" s="167">
        <f>VLOOKUP(I122,$J:$O,G122,0)</f>
        <v/>
      </c>
      <c r="G122" s="167">
        <f>G90+1</f>
        <v/>
      </c>
      <c r="H122" s="167">
        <f>IFERROR(FIND(" - ",F122),"")</f>
        <v/>
      </c>
      <c r="I122" s="167">
        <f>I90</f>
        <v/>
      </c>
    </row>
    <row r="123" ht="14.4" customHeight="1" s="152">
      <c r="A123" s="167" t="n">
        <v>122</v>
      </c>
      <c r="B123" s="167">
        <f>B91</f>
        <v/>
      </c>
      <c r="C123" s="167">
        <f>IF(H123="",F123,LEFT(F123,H123-1))</f>
        <v/>
      </c>
      <c r="D123" s="167" t="inlineStr">
        <is>
          <t>QB</t>
        </is>
      </c>
      <c r="E123" s="167">
        <f>IF(H123&lt;&gt;"",RIGHT(F123,LEN(F123)-H123-2),"")</f>
        <v/>
      </c>
      <c r="F123" s="167">
        <f>VLOOKUP(I123,$J:$O,G123,0)</f>
        <v/>
      </c>
      <c r="G123" s="167">
        <f>G91+1</f>
        <v/>
      </c>
      <c r="H123" s="167">
        <f>IFERROR(FIND(" - ",F123),"")</f>
        <v/>
      </c>
      <c r="I123" s="167">
        <f>I91</f>
        <v/>
      </c>
    </row>
    <row r="124" ht="14.4" customHeight="1" s="152">
      <c r="A124" s="167" t="n">
        <v>123</v>
      </c>
      <c r="B124" s="167">
        <f>B92</f>
        <v/>
      </c>
      <c r="C124" s="167">
        <f>IF(H124="",F124,LEFT(F124,H124-1))</f>
        <v/>
      </c>
      <c r="D124" s="167" t="inlineStr">
        <is>
          <t>QB</t>
        </is>
      </c>
      <c r="E124" s="167">
        <f>IF(H124&lt;&gt;"",RIGHT(F124,LEN(F124)-H124-2),"")</f>
        <v/>
      </c>
      <c r="F124" s="167">
        <f>VLOOKUP(I124,$J:$O,G124,0)</f>
        <v/>
      </c>
      <c r="G124" s="167">
        <f>G92+1</f>
        <v/>
      </c>
      <c r="H124" s="167">
        <f>IFERROR(FIND(" - ",F124),"")</f>
        <v/>
      </c>
      <c r="I124" s="167">
        <f>I92</f>
        <v/>
      </c>
    </row>
    <row r="125" ht="14.4" customHeight="1" s="152">
      <c r="A125" s="167" t="n">
        <v>124</v>
      </c>
      <c r="B125" s="167">
        <f>B93</f>
        <v/>
      </c>
      <c r="C125" s="167">
        <f>IF(H125="",F125,LEFT(F125,H125-1))</f>
        <v/>
      </c>
      <c r="D125" s="167" t="inlineStr">
        <is>
          <t>QB</t>
        </is>
      </c>
      <c r="E125" s="167">
        <f>IF(H125&lt;&gt;"",RIGHT(F125,LEN(F125)-H125-2),"")</f>
        <v/>
      </c>
      <c r="F125" s="167">
        <f>VLOOKUP(I125,$J:$O,G125,0)</f>
        <v/>
      </c>
      <c r="G125" s="167">
        <f>G93+1</f>
        <v/>
      </c>
      <c r="H125" s="167">
        <f>IFERROR(FIND(" - ",F125),"")</f>
        <v/>
      </c>
      <c r="I125" s="167">
        <f>I93</f>
        <v/>
      </c>
    </row>
    <row r="126" ht="14.4" customHeight="1" s="152">
      <c r="A126" s="167" t="n">
        <v>125</v>
      </c>
      <c r="B126" s="167">
        <f>B94</f>
        <v/>
      </c>
      <c r="C126" s="167">
        <f>IF(H126="",F126,LEFT(F126,H126-1))</f>
        <v/>
      </c>
      <c r="D126" s="167" t="inlineStr">
        <is>
          <t>QB</t>
        </is>
      </c>
      <c r="E126" s="167">
        <f>IF(H126&lt;&gt;"",RIGHT(F126,LEN(F126)-H126-2),"")</f>
        <v/>
      </c>
      <c r="F126" s="167">
        <f>VLOOKUP(I126,$J:$O,G126,0)</f>
        <v/>
      </c>
      <c r="G126" s="167">
        <f>G94+1</f>
        <v/>
      </c>
      <c r="H126" s="167">
        <f>IFERROR(FIND(" - ",F126),"")</f>
        <v/>
      </c>
      <c r="I126" s="167">
        <f>I94</f>
        <v/>
      </c>
    </row>
    <row r="127" ht="14.4" customHeight="1" s="152">
      <c r="A127" s="167" t="n">
        <v>126</v>
      </c>
      <c r="B127" s="167">
        <f>B95</f>
        <v/>
      </c>
      <c r="C127" s="167">
        <f>IF(H127="",F127,LEFT(F127,H127-1))</f>
        <v/>
      </c>
      <c r="D127" s="167" t="inlineStr">
        <is>
          <t>QB</t>
        </is>
      </c>
      <c r="E127" s="167">
        <f>IF(H127&lt;&gt;"",RIGHT(F127,LEN(F127)-H127-2),"")</f>
        <v/>
      </c>
      <c r="F127" s="167">
        <f>VLOOKUP(I127,$J:$O,G127,0)</f>
        <v/>
      </c>
      <c r="G127" s="167">
        <f>G95+1</f>
        <v/>
      </c>
      <c r="H127" s="167">
        <f>IFERROR(FIND(" - ",F127),"")</f>
        <v/>
      </c>
      <c r="I127" s="167">
        <f>I95</f>
        <v/>
      </c>
    </row>
    <row r="128" ht="14.4" customHeight="1" s="152">
      <c r="A128" s="167" t="n">
        <v>127</v>
      </c>
      <c r="B128" s="167">
        <f>B96</f>
        <v/>
      </c>
      <c r="C128" s="167">
        <f>IF(H128="",F128,LEFT(F128,H128-1))</f>
        <v/>
      </c>
      <c r="D128" s="167" t="inlineStr">
        <is>
          <t>QB</t>
        </is>
      </c>
      <c r="E128" s="167">
        <f>IF(H128&lt;&gt;"",RIGHT(F128,LEN(F128)-H128-2),"")</f>
        <v/>
      </c>
      <c r="F128" s="167">
        <f>VLOOKUP(I128,$J:$O,G128,0)</f>
        <v/>
      </c>
      <c r="G128" s="167">
        <f>G96+1</f>
        <v/>
      </c>
      <c r="H128" s="167">
        <f>IFERROR(FIND(" - ",F128),"")</f>
        <v/>
      </c>
      <c r="I128" s="167">
        <f>I96</f>
        <v/>
      </c>
    </row>
    <row r="129" ht="14.4" customHeight="1" s="152">
      <c r="A129" s="167" t="n">
        <v>128</v>
      </c>
      <c r="B129" s="167">
        <f>B97</f>
        <v/>
      </c>
      <c r="C129" s="167">
        <f>IF(H129="",F129,LEFT(F129,H129-1))</f>
        <v/>
      </c>
      <c r="D129" s="167" t="inlineStr">
        <is>
          <t>QB</t>
        </is>
      </c>
      <c r="E129" s="167">
        <f>IF(H129&lt;&gt;"",RIGHT(F129,LEN(F129)-H129-2),"")</f>
        <v/>
      </c>
      <c r="F129" s="167">
        <f>VLOOKUP(I129,$J:$O,G129,0)</f>
        <v/>
      </c>
      <c r="G129" s="167">
        <f>G97+1</f>
        <v/>
      </c>
      <c r="H129" s="167">
        <f>IFERROR(FIND(" - ",F129),"")</f>
        <v/>
      </c>
      <c r="I129" s="167">
        <f>I97</f>
        <v/>
      </c>
    </row>
    <row r="130" ht="14.4" customHeight="1" s="152">
      <c r="A130" s="167" t="n">
        <v>129</v>
      </c>
      <c r="B130" s="167">
        <f>B98</f>
        <v/>
      </c>
      <c r="C130" s="167">
        <f>IF(H130="",F130,LEFT(F130,H130-1))</f>
        <v/>
      </c>
      <c r="D130" s="167" t="inlineStr">
        <is>
          <t>QB</t>
        </is>
      </c>
      <c r="E130" s="167">
        <f>IF(H130&lt;&gt;"",RIGHT(F130,LEN(F130)-H130-2),"")</f>
        <v/>
      </c>
      <c r="F130" s="167">
        <f>VLOOKUP(I130,$J:$O,G130,0)</f>
        <v/>
      </c>
      <c r="G130" s="167">
        <f>G98+1</f>
        <v/>
      </c>
      <c r="H130" s="167">
        <f>IFERROR(FIND(" - ",F130),"")</f>
        <v/>
      </c>
      <c r="I130" s="167">
        <f>I98</f>
        <v/>
      </c>
    </row>
    <row r="131" ht="14.4" customHeight="1" s="152">
      <c r="A131" s="167" t="n">
        <v>130</v>
      </c>
      <c r="B131" s="167">
        <f>B99</f>
        <v/>
      </c>
      <c r="C131" s="167">
        <f>IF(H131="",F131,LEFT(F131,H131-1))</f>
        <v/>
      </c>
      <c r="D131" s="167" t="inlineStr">
        <is>
          <t>QB</t>
        </is>
      </c>
      <c r="E131" s="167">
        <f>IF(H131&lt;&gt;"",RIGHT(F131,LEN(F131)-H131-2),"")</f>
        <v/>
      </c>
      <c r="F131" s="167">
        <f>VLOOKUP(I131,$J:$O,G131,0)</f>
        <v/>
      </c>
      <c r="G131" s="167">
        <f>G99+1</f>
        <v/>
      </c>
      <c r="H131" s="167">
        <f>IFERROR(FIND(" - ",F131),"")</f>
        <v/>
      </c>
      <c r="I131" s="167">
        <f>I99</f>
        <v/>
      </c>
    </row>
    <row r="132" ht="14.4" customHeight="1" s="152">
      <c r="A132" s="167" t="n">
        <v>131</v>
      </c>
      <c r="B132" s="167">
        <f>B100</f>
        <v/>
      </c>
      <c r="C132" s="167">
        <f>IF(H132="",F132,LEFT(F132,H132-1))</f>
        <v/>
      </c>
      <c r="D132" s="167" t="inlineStr">
        <is>
          <t>QB</t>
        </is>
      </c>
      <c r="E132" s="167">
        <f>IF(H132&lt;&gt;"",RIGHT(F132,LEN(F132)-H132-2),"")</f>
        <v/>
      </c>
      <c r="F132" s="167">
        <f>VLOOKUP(I132,$J:$O,G132,0)</f>
        <v/>
      </c>
      <c r="G132" s="167">
        <f>G100+1</f>
        <v/>
      </c>
      <c r="H132" s="167">
        <f>IFERROR(FIND(" - ",F132),"")</f>
        <v/>
      </c>
      <c r="I132" s="167">
        <f>I100</f>
        <v/>
      </c>
    </row>
    <row r="133" ht="14.4" customHeight="1" s="152">
      <c r="A133" s="167" t="n">
        <v>132</v>
      </c>
      <c r="B133" s="167">
        <f>B101</f>
        <v/>
      </c>
      <c r="C133" s="167">
        <f>IF(H133="",F133,LEFT(F133,H133-1))</f>
        <v/>
      </c>
      <c r="D133" s="167" t="inlineStr">
        <is>
          <t>QB</t>
        </is>
      </c>
      <c r="E133" s="167">
        <f>IF(H133&lt;&gt;"",RIGHT(F133,LEN(F133)-H133-2),"")</f>
        <v/>
      </c>
      <c r="F133" s="167">
        <f>VLOOKUP(I133,$J:$O,G133,0)</f>
        <v/>
      </c>
      <c r="G133" s="167">
        <f>G101+1</f>
        <v/>
      </c>
      <c r="H133" s="167">
        <f>IFERROR(FIND(" - ",F133),"")</f>
        <v/>
      </c>
      <c r="I133" s="167">
        <f>I101</f>
        <v/>
      </c>
    </row>
    <row r="134" ht="14.4" customHeight="1" s="152">
      <c r="A134" s="167" t="n">
        <v>133</v>
      </c>
      <c r="B134" s="167">
        <f>B102</f>
        <v/>
      </c>
      <c r="C134" s="167">
        <f>IF(H134="",F134,LEFT(F134,H134-1))</f>
        <v/>
      </c>
      <c r="D134" s="167" t="inlineStr">
        <is>
          <t>QB</t>
        </is>
      </c>
      <c r="E134" s="167">
        <f>IF(H134&lt;&gt;"",RIGHT(F134,LEN(F134)-H134-2),"")</f>
        <v/>
      </c>
      <c r="F134" s="167">
        <f>VLOOKUP(I134,$J:$O,G134,0)</f>
        <v/>
      </c>
      <c r="G134" s="167">
        <f>G102+1</f>
        <v/>
      </c>
      <c r="H134" s="167">
        <f>IFERROR(FIND(" - ",F134),"")</f>
        <v/>
      </c>
      <c r="I134" s="167">
        <f>I102</f>
        <v/>
      </c>
    </row>
    <row r="135" ht="14.4" customHeight="1" s="152">
      <c r="A135" s="167" t="n">
        <v>134</v>
      </c>
      <c r="B135" s="167">
        <f>B103</f>
        <v/>
      </c>
      <c r="C135" s="167">
        <f>IF(H135="",F135,LEFT(F135,H135-1))</f>
        <v/>
      </c>
      <c r="D135" s="167" t="inlineStr">
        <is>
          <t>QB</t>
        </is>
      </c>
      <c r="E135" s="167">
        <f>IF(H135&lt;&gt;"",RIGHT(F135,LEN(F135)-H135-2),"")</f>
        <v/>
      </c>
      <c r="F135" s="167">
        <f>VLOOKUP(I135,$J:$O,G135,0)</f>
        <v/>
      </c>
      <c r="G135" s="167">
        <f>G103+1</f>
        <v/>
      </c>
      <c r="H135" s="167">
        <f>IFERROR(FIND(" - ",F135),"")</f>
        <v/>
      </c>
      <c r="I135" s="167">
        <f>I103</f>
        <v/>
      </c>
    </row>
    <row r="136" ht="14.4" customHeight="1" s="152">
      <c r="A136" s="167" t="n">
        <v>135</v>
      </c>
      <c r="B136" s="167">
        <f>B104</f>
        <v/>
      </c>
      <c r="C136" s="167">
        <f>IF(H136="",F136,LEFT(F136,H136-1))</f>
        <v/>
      </c>
      <c r="D136" s="167" t="inlineStr">
        <is>
          <t>QB</t>
        </is>
      </c>
      <c r="E136" s="167">
        <f>IF(H136&lt;&gt;"",RIGHT(F136,LEN(F136)-H136-2),"")</f>
        <v/>
      </c>
      <c r="F136" s="167">
        <f>VLOOKUP(I136,$J:$O,G136,0)</f>
        <v/>
      </c>
      <c r="G136" s="167">
        <f>G104+1</f>
        <v/>
      </c>
      <c r="H136" s="167">
        <f>IFERROR(FIND(" - ",F136),"")</f>
        <v/>
      </c>
      <c r="I136" s="167">
        <f>I104</f>
        <v/>
      </c>
    </row>
    <row r="137" ht="14.4" customHeight="1" s="152">
      <c r="A137" s="167" t="n">
        <v>136</v>
      </c>
      <c r="B137" s="167">
        <f>B105</f>
        <v/>
      </c>
      <c r="C137" s="167">
        <f>IF(H137="",F137,LEFT(F137,H137-1))</f>
        <v/>
      </c>
      <c r="D137" s="167" t="inlineStr">
        <is>
          <t>QB</t>
        </is>
      </c>
      <c r="E137" s="167">
        <f>IF(H137&lt;&gt;"",RIGHT(F137,LEN(F137)-H137-2),"")</f>
        <v/>
      </c>
      <c r="F137" s="167">
        <f>VLOOKUP(I137,$J:$O,G137,0)</f>
        <v/>
      </c>
      <c r="G137" s="167">
        <f>G105+1</f>
        <v/>
      </c>
      <c r="H137" s="167">
        <f>IFERROR(FIND(" - ",F137),"")</f>
        <v/>
      </c>
      <c r="I137" s="167">
        <f>I105</f>
        <v/>
      </c>
    </row>
    <row r="138" ht="14.4" customHeight="1" s="152">
      <c r="A138" s="167" t="n">
        <v>137</v>
      </c>
      <c r="B138" s="167">
        <f>B106</f>
        <v/>
      </c>
      <c r="C138" s="167">
        <f>IF(H138="",F138,LEFT(F138,H138-1))</f>
        <v/>
      </c>
      <c r="D138" s="167" t="inlineStr">
        <is>
          <t>QB</t>
        </is>
      </c>
      <c r="E138" s="167">
        <f>IF(H138&lt;&gt;"",RIGHT(F138,LEN(F138)-H138-2),"")</f>
        <v/>
      </c>
      <c r="F138" s="167">
        <f>VLOOKUP(I138,$J:$O,G138,0)</f>
        <v/>
      </c>
      <c r="G138" s="167">
        <f>G106+1</f>
        <v/>
      </c>
      <c r="H138" s="167">
        <f>IFERROR(FIND(" - ",F138),"")</f>
        <v/>
      </c>
      <c r="I138" s="167">
        <f>I106</f>
        <v/>
      </c>
    </row>
    <row r="139" ht="14.4" customHeight="1" s="152">
      <c r="A139" s="167" t="n">
        <v>138</v>
      </c>
      <c r="B139" s="167">
        <f>B107</f>
        <v/>
      </c>
      <c r="C139" s="167">
        <f>IF(H139="",F139,LEFT(F139,H139-1))</f>
        <v/>
      </c>
      <c r="D139" s="167" t="inlineStr">
        <is>
          <t>QB</t>
        </is>
      </c>
      <c r="E139" s="167">
        <f>IF(H139&lt;&gt;"",RIGHT(F139,LEN(F139)-H139-2),"")</f>
        <v/>
      </c>
      <c r="F139" s="167">
        <f>VLOOKUP(I139,$J:$O,G139,0)</f>
        <v/>
      </c>
      <c r="G139" s="167">
        <f>G107+1</f>
        <v/>
      </c>
      <c r="H139" s="167">
        <f>IFERROR(FIND(" - ",F139),"")</f>
        <v/>
      </c>
      <c r="I139" s="167">
        <f>I107</f>
        <v/>
      </c>
    </row>
    <row r="140" ht="14.4" customHeight="1" s="152">
      <c r="A140" s="167" t="n">
        <v>139</v>
      </c>
      <c r="B140" s="167">
        <f>B108</f>
        <v/>
      </c>
      <c r="C140" s="167">
        <f>IF(H140="",F140,LEFT(F140,H140-1))</f>
        <v/>
      </c>
      <c r="D140" s="167" t="inlineStr">
        <is>
          <t>QB</t>
        </is>
      </c>
      <c r="E140" s="167">
        <f>IF(H140&lt;&gt;"",RIGHT(F140,LEN(F140)-H140-2),"")</f>
        <v/>
      </c>
      <c r="F140" s="167">
        <f>VLOOKUP(I140,$J:$O,G140,0)</f>
        <v/>
      </c>
      <c r="G140" s="167">
        <f>G108+1</f>
        <v/>
      </c>
      <c r="H140" s="167">
        <f>IFERROR(FIND(" - ",F140),"")</f>
        <v/>
      </c>
      <c r="I140" s="167">
        <f>I108</f>
        <v/>
      </c>
    </row>
    <row r="141" ht="14.4" customHeight="1" s="152">
      <c r="A141" s="167" t="n">
        <v>140</v>
      </c>
      <c r="B141" s="167">
        <f>B109</f>
        <v/>
      </c>
      <c r="C141" s="167">
        <f>IF(H141="",F141,LEFT(F141,H141-1))</f>
        <v/>
      </c>
      <c r="D141" s="167" t="inlineStr">
        <is>
          <t>QB</t>
        </is>
      </c>
      <c r="E141" s="167">
        <f>IF(H141&lt;&gt;"",RIGHT(F141,LEN(F141)-H141-2),"")</f>
        <v/>
      </c>
      <c r="F141" s="167">
        <f>VLOOKUP(I141,$J:$O,G141,0)</f>
        <v/>
      </c>
      <c r="G141" s="167">
        <f>G109+1</f>
        <v/>
      </c>
      <c r="H141" s="167">
        <f>IFERROR(FIND(" - ",F141),"")</f>
        <v/>
      </c>
      <c r="I141" s="167">
        <f>I109</f>
        <v/>
      </c>
    </row>
    <row r="142" ht="14.4" customHeight="1" s="152">
      <c r="A142" s="167" t="n">
        <v>141</v>
      </c>
      <c r="B142" s="167">
        <f>B110</f>
        <v/>
      </c>
      <c r="C142" s="167">
        <f>IF(H142="",F142,LEFT(F142,H142-1))</f>
        <v/>
      </c>
      <c r="D142" s="167" t="inlineStr">
        <is>
          <t>QB</t>
        </is>
      </c>
      <c r="E142" s="167">
        <f>IF(H142&lt;&gt;"",RIGHT(F142,LEN(F142)-H142-2),"")</f>
        <v/>
      </c>
      <c r="F142" s="167">
        <f>VLOOKUP(I142,$J:$O,G142,0)</f>
        <v/>
      </c>
      <c r="G142" s="167">
        <f>G110+1</f>
        <v/>
      </c>
      <c r="H142" s="167">
        <f>IFERROR(FIND(" - ",F142),"")</f>
        <v/>
      </c>
      <c r="I142" s="167">
        <f>I110</f>
        <v/>
      </c>
    </row>
    <row r="143" ht="14.4" customHeight="1" s="152">
      <c r="A143" s="167" t="n">
        <v>142</v>
      </c>
      <c r="B143" s="167">
        <f>B111</f>
        <v/>
      </c>
      <c r="C143" s="167">
        <f>IF(H143="",F143,LEFT(F143,H143-1))</f>
        <v/>
      </c>
      <c r="D143" s="167" t="inlineStr">
        <is>
          <t>QB</t>
        </is>
      </c>
      <c r="E143" s="167">
        <f>IF(H143&lt;&gt;"",RIGHT(F143,LEN(F143)-H143-2),"")</f>
        <v/>
      </c>
      <c r="F143" s="167">
        <f>VLOOKUP(I143,$J:$O,G143,0)</f>
        <v/>
      </c>
      <c r="G143" s="167">
        <f>G111+1</f>
        <v/>
      </c>
      <c r="H143" s="167">
        <f>IFERROR(FIND(" - ",F143),"")</f>
        <v/>
      </c>
      <c r="I143" s="167">
        <f>I111</f>
        <v/>
      </c>
    </row>
    <row r="144" ht="14.4" customHeight="1" s="152">
      <c r="A144" s="167" t="n">
        <v>143</v>
      </c>
      <c r="B144" s="167">
        <f>B112</f>
        <v/>
      </c>
      <c r="C144" s="167">
        <f>IF(H144="",F144,LEFT(F144,H144-1))</f>
        <v/>
      </c>
      <c r="D144" s="167" t="inlineStr">
        <is>
          <t>QB</t>
        </is>
      </c>
      <c r="E144" s="167">
        <f>IF(H144&lt;&gt;"",RIGHT(F144,LEN(F144)-H144-2),"")</f>
        <v/>
      </c>
      <c r="F144" s="167">
        <f>VLOOKUP(I144,$J:$O,G144,0)</f>
        <v/>
      </c>
      <c r="G144" s="167">
        <f>G112+1</f>
        <v/>
      </c>
      <c r="H144" s="167">
        <f>IFERROR(FIND(" - ",F144),"")</f>
        <v/>
      </c>
      <c r="I144" s="167">
        <f>I112</f>
        <v/>
      </c>
    </row>
    <row r="145" ht="14.4" customHeight="1" s="152">
      <c r="A145" s="167" t="n">
        <v>144</v>
      </c>
      <c r="B145" s="167">
        <f>B113</f>
        <v/>
      </c>
      <c r="C145" s="167">
        <f>IF(H145="",F145,LEFT(F145,H145-1))</f>
        <v/>
      </c>
      <c r="D145" s="167" t="inlineStr">
        <is>
          <t>QB</t>
        </is>
      </c>
      <c r="E145" s="167">
        <f>IF(H145&lt;&gt;"",RIGHT(F145,LEN(F145)-H145-2),"")</f>
        <v/>
      </c>
      <c r="F145" s="167">
        <f>VLOOKUP(I145,$J:$O,G145,0)</f>
        <v/>
      </c>
      <c r="G145" s="167">
        <f>G113+1</f>
        <v/>
      </c>
      <c r="H145" s="167">
        <f>IFERROR(FIND(" - ",F145),"")</f>
        <v/>
      </c>
      <c r="I145" s="167">
        <f>I113</f>
        <v/>
      </c>
    </row>
    <row r="146" ht="14.4" customHeight="1" s="152">
      <c r="A146" s="167" t="n">
        <v>145</v>
      </c>
      <c r="B146" s="167">
        <f>B114</f>
        <v/>
      </c>
      <c r="C146" s="167">
        <f>IF(H146="",F146,LEFT(F146,H146-1))</f>
        <v/>
      </c>
      <c r="D146" s="167" t="inlineStr">
        <is>
          <t>QB</t>
        </is>
      </c>
      <c r="E146" s="167">
        <f>IF(H146&lt;&gt;"",RIGHT(F146,LEN(F146)-H146-2),"")</f>
        <v/>
      </c>
      <c r="F146" s="167">
        <f>VLOOKUP(I146,$J:$O,G146,0)</f>
        <v/>
      </c>
      <c r="G146" s="167">
        <f>G114+1</f>
        <v/>
      </c>
      <c r="H146" s="167">
        <f>IFERROR(FIND(" - ",F146),"")</f>
        <v/>
      </c>
      <c r="I146" s="167">
        <f>I114</f>
        <v/>
      </c>
    </row>
    <row r="147" ht="14.4" customHeight="1" s="152">
      <c r="A147" s="167" t="n">
        <v>146</v>
      </c>
      <c r="B147" s="167">
        <f>B115</f>
        <v/>
      </c>
      <c r="C147" s="167">
        <f>IF(H147="",F147,LEFT(F147,H147-1))</f>
        <v/>
      </c>
      <c r="D147" s="167" t="inlineStr">
        <is>
          <t>QB</t>
        </is>
      </c>
      <c r="E147" s="167">
        <f>IF(H147&lt;&gt;"",RIGHT(F147,LEN(F147)-H147-2),"")</f>
        <v/>
      </c>
      <c r="F147" s="167">
        <f>VLOOKUP(I147,$J:$O,G147,0)</f>
        <v/>
      </c>
      <c r="G147" s="167">
        <f>G115+1</f>
        <v/>
      </c>
      <c r="H147" s="167">
        <f>IFERROR(FIND(" - ",F147),"")</f>
        <v/>
      </c>
      <c r="I147" s="167">
        <f>I115</f>
        <v/>
      </c>
    </row>
    <row r="148" ht="14.4" customHeight="1" s="152">
      <c r="A148" s="167" t="n">
        <v>147</v>
      </c>
      <c r="B148" s="167">
        <f>B116</f>
        <v/>
      </c>
      <c r="C148" s="167">
        <f>IF(H148="",F148,LEFT(F148,H148-1))</f>
        <v/>
      </c>
      <c r="D148" s="167" t="inlineStr">
        <is>
          <t>QB</t>
        </is>
      </c>
      <c r="E148" s="167">
        <f>IF(H148&lt;&gt;"",RIGHT(F148,LEN(F148)-H148-2),"")</f>
        <v/>
      </c>
      <c r="F148" s="167">
        <f>VLOOKUP(I148,$J:$O,G148,0)</f>
        <v/>
      </c>
      <c r="G148" s="167">
        <f>G116+1</f>
        <v/>
      </c>
      <c r="H148" s="167">
        <f>IFERROR(FIND(" - ",F148),"")</f>
        <v/>
      </c>
      <c r="I148" s="167">
        <f>I116</f>
        <v/>
      </c>
    </row>
    <row r="149" ht="14.4" customHeight="1" s="152">
      <c r="A149" s="167" t="n">
        <v>148</v>
      </c>
      <c r="B149" s="167">
        <f>B117</f>
        <v/>
      </c>
      <c r="C149" s="167">
        <f>IF(H149="",F149,LEFT(F149,H149-1))</f>
        <v/>
      </c>
      <c r="D149" s="167" t="inlineStr">
        <is>
          <t>QB</t>
        </is>
      </c>
      <c r="E149" s="167">
        <f>IF(H149&lt;&gt;"",RIGHT(F149,LEN(F149)-H149-2),"")</f>
        <v/>
      </c>
      <c r="F149" s="167">
        <f>VLOOKUP(I149,$J:$O,G149,0)</f>
        <v/>
      </c>
      <c r="G149" s="167">
        <f>G117+1</f>
        <v/>
      </c>
      <c r="H149" s="167">
        <f>IFERROR(FIND(" - ",F149),"")</f>
        <v/>
      </c>
      <c r="I149" s="167">
        <f>I117</f>
        <v/>
      </c>
    </row>
    <row r="150" ht="14.4" customHeight="1" s="152">
      <c r="A150" s="167" t="n">
        <v>149</v>
      </c>
      <c r="B150" s="167">
        <f>B118</f>
        <v/>
      </c>
      <c r="C150" s="167">
        <f>IF(H150="",F150,LEFT(F150,H150-1))</f>
        <v/>
      </c>
      <c r="D150" s="167" t="inlineStr">
        <is>
          <t>QB</t>
        </is>
      </c>
      <c r="E150" s="167">
        <f>IF(H150&lt;&gt;"",RIGHT(F150,LEN(F150)-H150-2),"")</f>
        <v/>
      </c>
      <c r="F150" s="167">
        <f>VLOOKUP(I150,$J:$O,G150,0)</f>
        <v/>
      </c>
      <c r="G150" s="167">
        <f>G118+1</f>
        <v/>
      </c>
      <c r="H150" s="167">
        <f>IFERROR(FIND(" - ",F150),"")</f>
        <v/>
      </c>
      <c r="I150" s="167">
        <f>I118</f>
        <v/>
      </c>
    </row>
    <row r="151" ht="14.4" customHeight="1" s="152">
      <c r="A151" s="167" t="n">
        <v>150</v>
      </c>
      <c r="B151" s="167">
        <f>B119</f>
        <v/>
      </c>
      <c r="C151" s="167">
        <f>IF(H151="",F151,LEFT(F151,H151-1))</f>
        <v/>
      </c>
      <c r="D151" s="167" t="inlineStr">
        <is>
          <t>QB</t>
        </is>
      </c>
      <c r="E151" s="167">
        <f>IF(H151&lt;&gt;"",RIGHT(F151,LEN(F151)-H151-2),"")</f>
        <v/>
      </c>
      <c r="F151" s="167">
        <f>VLOOKUP(I151,$J:$O,G151,0)</f>
        <v/>
      </c>
      <c r="G151" s="167">
        <f>G119+1</f>
        <v/>
      </c>
      <c r="H151" s="167">
        <f>IFERROR(FIND(" - ",F151),"")</f>
        <v/>
      </c>
      <c r="I151" s="167">
        <f>I119</f>
        <v/>
      </c>
    </row>
    <row r="152" ht="14.4" customHeight="1" s="152">
      <c r="A152" s="167" t="n">
        <v>151</v>
      </c>
      <c r="B152" s="167">
        <f>B120</f>
        <v/>
      </c>
      <c r="C152" s="167">
        <f>IF(H152="",F152,LEFT(F152,H152-1))</f>
        <v/>
      </c>
      <c r="D152" s="167" t="inlineStr">
        <is>
          <t>QB</t>
        </is>
      </c>
      <c r="E152" s="167">
        <f>IF(H152&lt;&gt;"",RIGHT(F152,LEN(F152)-H152-2),"")</f>
        <v/>
      </c>
      <c r="F152" s="167">
        <f>VLOOKUP(I152,$J:$O,G152,0)</f>
        <v/>
      </c>
      <c r="G152" s="167">
        <f>G120+1</f>
        <v/>
      </c>
      <c r="H152" s="167">
        <f>IFERROR(FIND(" - ",F152),"")</f>
        <v/>
      </c>
      <c r="I152" s="167">
        <f>I120</f>
        <v/>
      </c>
    </row>
    <row r="153" ht="14.4" customHeight="1" s="152">
      <c r="A153" s="167" t="n">
        <v>152</v>
      </c>
      <c r="B153" s="167">
        <f>B121</f>
        <v/>
      </c>
      <c r="C153" s="167">
        <f>IF(H153="",F153,LEFT(F153,H153-1))</f>
        <v/>
      </c>
      <c r="D153" s="167" t="inlineStr">
        <is>
          <t>QB</t>
        </is>
      </c>
      <c r="E153" s="167">
        <f>IF(H153&lt;&gt;"",RIGHT(F153,LEN(F153)-H153-2),"")</f>
        <v/>
      </c>
      <c r="F153" s="167">
        <f>VLOOKUP(I153,$J:$O,G153,0)</f>
        <v/>
      </c>
      <c r="G153" s="167">
        <f>G121+1</f>
        <v/>
      </c>
      <c r="H153" s="167">
        <f>IFERROR(FIND(" - ",F153),"")</f>
        <v/>
      </c>
      <c r="I153" s="167">
        <f>I121</f>
        <v/>
      </c>
    </row>
    <row r="154" ht="14.4" customHeight="1" s="152">
      <c r="A154" s="167" t="n">
        <v>153</v>
      </c>
      <c r="B154" s="167">
        <f>B122</f>
        <v/>
      </c>
      <c r="C154" s="167">
        <f>IF(H154="",F154,LEFT(F154,H154-1))</f>
        <v/>
      </c>
      <c r="D154" s="167" t="inlineStr">
        <is>
          <t>QB</t>
        </is>
      </c>
      <c r="E154" s="167">
        <f>IF(H154&lt;&gt;"",RIGHT(F154,LEN(F154)-H154-2),"")</f>
        <v/>
      </c>
      <c r="F154" s="167">
        <f>VLOOKUP(I154,$J:$O,G154,0)</f>
        <v/>
      </c>
      <c r="G154" s="167">
        <f>G122+1</f>
        <v/>
      </c>
      <c r="H154" s="167">
        <f>IFERROR(FIND(" - ",F154),"")</f>
        <v/>
      </c>
      <c r="I154" s="167">
        <f>I122</f>
        <v/>
      </c>
    </row>
    <row r="155" ht="14.4" customHeight="1" s="152">
      <c r="A155" s="167" t="n">
        <v>154</v>
      </c>
      <c r="B155" s="167">
        <f>B123</f>
        <v/>
      </c>
      <c r="C155" s="167">
        <f>IF(H155="",F155,LEFT(F155,H155-1))</f>
        <v/>
      </c>
      <c r="D155" s="167" t="inlineStr">
        <is>
          <t>QB</t>
        </is>
      </c>
      <c r="E155" s="167">
        <f>IF(H155&lt;&gt;"",RIGHT(F155,LEN(F155)-H155-2),"")</f>
        <v/>
      </c>
      <c r="F155" s="167">
        <f>VLOOKUP(I155,$J:$O,G155,0)</f>
        <v/>
      </c>
      <c r="G155" s="167">
        <f>G123+1</f>
        <v/>
      </c>
      <c r="H155" s="167">
        <f>IFERROR(FIND(" - ",F155),"")</f>
        <v/>
      </c>
      <c r="I155" s="167">
        <f>I123</f>
        <v/>
      </c>
    </row>
    <row r="156" ht="14.4" customHeight="1" s="152">
      <c r="A156" s="167" t="n">
        <v>155</v>
      </c>
      <c r="B156" s="167">
        <f>B124</f>
        <v/>
      </c>
      <c r="C156" s="167">
        <f>IF(H156="",F156,LEFT(F156,H156-1))</f>
        <v/>
      </c>
      <c r="D156" s="167" t="inlineStr">
        <is>
          <t>QB</t>
        </is>
      </c>
      <c r="E156" s="167">
        <f>IF(H156&lt;&gt;"",RIGHT(F156,LEN(F156)-H156-2),"")</f>
        <v/>
      </c>
      <c r="F156" s="167">
        <f>VLOOKUP(I156,$J:$O,G156,0)</f>
        <v/>
      </c>
      <c r="G156" s="167">
        <f>G124+1</f>
        <v/>
      </c>
      <c r="H156" s="167">
        <f>IFERROR(FIND(" - ",F156),"")</f>
        <v/>
      </c>
      <c r="I156" s="167">
        <f>I124</f>
        <v/>
      </c>
    </row>
    <row r="157" ht="14.4" customHeight="1" s="152">
      <c r="A157" s="167" t="n">
        <v>156</v>
      </c>
      <c r="B157" s="167">
        <f>B125</f>
        <v/>
      </c>
      <c r="C157" s="167">
        <f>IF(H157="",F157,LEFT(F157,H157-1))</f>
        <v/>
      </c>
      <c r="D157" s="167" t="inlineStr">
        <is>
          <t>QB</t>
        </is>
      </c>
      <c r="E157" s="167">
        <f>IF(H157&lt;&gt;"",RIGHT(F157,LEN(F157)-H157-2),"")</f>
        <v/>
      </c>
      <c r="F157" s="167">
        <f>VLOOKUP(I157,$J:$O,G157,0)</f>
        <v/>
      </c>
      <c r="G157" s="167">
        <f>G125+1</f>
        <v/>
      </c>
      <c r="H157" s="167">
        <f>IFERROR(FIND(" - ",F157),"")</f>
        <v/>
      </c>
      <c r="I157" s="167">
        <f>I125</f>
        <v/>
      </c>
    </row>
    <row r="158" ht="14.4" customHeight="1" s="152">
      <c r="A158" s="167" t="n">
        <v>157</v>
      </c>
      <c r="B158" s="167">
        <f>B126</f>
        <v/>
      </c>
      <c r="C158" s="167">
        <f>IF(H158="",F158,LEFT(F158,H158-1))</f>
        <v/>
      </c>
      <c r="D158" s="167" t="inlineStr">
        <is>
          <t>QB</t>
        </is>
      </c>
      <c r="E158" s="167">
        <f>IF(H158&lt;&gt;"",RIGHT(F158,LEN(F158)-H158-2),"")</f>
        <v/>
      </c>
      <c r="F158" s="167">
        <f>VLOOKUP(I158,$J:$O,G158,0)</f>
        <v/>
      </c>
      <c r="G158" s="167">
        <f>G126+1</f>
        <v/>
      </c>
      <c r="H158" s="167">
        <f>IFERROR(FIND(" - ",F158),"")</f>
        <v/>
      </c>
      <c r="I158" s="167">
        <f>I126</f>
        <v/>
      </c>
    </row>
    <row r="159" ht="14.4" customHeight="1" s="152">
      <c r="A159" s="167" t="n">
        <v>158</v>
      </c>
      <c r="B159" s="167">
        <f>B127</f>
        <v/>
      </c>
      <c r="C159" s="167">
        <f>IF(H159="",F159,LEFT(F159,H159-1))</f>
        <v/>
      </c>
      <c r="D159" s="167" t="inlineStr">
        <is>
          <t>QB</t>
        </is>
      </c>
      <c r="E159" s="167">
        <f>IF(H159&lt;&gt;"",RIGHT(F159,LEN(F159)-H159-2),"")</f>
        <v/>
      </c>
      <c r="F159" s="167">
        <f>VLOOKUP(I159,$J:$O,G159,0)</f>
        <v/>
      </c>
      <c r="G159" s="167">
        <f>G127+1</f>
        <v/>
      </c>
      <c r="H159" s="167">
        <f>IFERROR(FIND(" - ",F159),"")</f>
        <v/>
      </c>
      <c r="I159" s="167">
        <f>I127</f>
        <v/>
      </c>
    </row>
    <row r="160" ht="14.4" customHeight="1" s="152">
      <c r="A160" s="167" t="n">
        <v>159</v>
      </c>
      <c r="B160" s="167">
        <f>B128</f>
        <v/>
      </c>
      <c r="C160" s="167">
        <f>IF(H160="",F160,LEFT(F160,H160-1))</f>
        <v/>
      </c>
      <c r="D160" s="167" t="inlineStr">
        <is>
          <t>QB</t>
        </is>
      </c>
      <c r="E160" s="167">
        <f>IF(H160&lt;&gt;"",RIGHT(F160,LEN(F160)-H160-2),"")</f>
        <v/>
      </c>
      <c r="F160" s="167">
        <f>VLOOKUP(I160,$J:$O,G160,0)</f>
        <v/>
      </c>
      <c r="G160" s="167">
        <f>G128+1</f>
        <v/>
      </c>
      <c r="H160" s="167">
        <f>IFERROR(FIND(" - ",F160),"")</f>
        <v/>
      </c>
      <c r="I160" s="167">
        <f>I128</f>
        <v/>
      </c>
    </row>
    <row r="161" ht="14.4" customHeight="1" s="152">
      <c r="A161" s="167" t="n">
        <v>160</v>
      </c>
      <c r="B161" s="167">
        <f>B129</f>
        <v/>
      </c>
      <c r="C161" s="167">
        <f>IF(H161="",F161,LEFT(F161,H161-1))</f>
        <v/>
      </c>
      <c r="D161" s="167" t="inlineStr">
        <is>
          <t>QB</t>
        </is>
      </c>
      <c r="E161" s="167">
        <f>IF(H161&lt;&gt;"",RIGHT(F161,LEN(F161)-H161-2),"")</f>
        <v/>
      </c>
      <c r="F161" s="167">
        <f>VLOOKUP(I161,$J:$O,G161,0)</f>
        <v/>
      </c>
      <c r="G161" s="167">
        <f>G129+1</f>
        <v/>
      </c>
      <c r="H161" s="167">
        <f>IFERROR(FIND(" - ",F161),"")</f>
        <v/>
      </c>
      <c r="I161" s="167">
        <f>I129</f>
        <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tabColor rgb="FF7030A0"/>
    <outlinePr summaryBelow="1" summaryRight="1"/>
    <pageSetUpPr fitToPage="0"/>
  </sheetPr>
  <dimension ref="A1:P161"/>
  <sheetViews>
    <sheetView showFormulas="0" showGridLines="1"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K18" activeCellId="0" sqref="K18"/>
    </sheetView>
  </sheetViews>
  <sheetFormatPr baseColWidth="8" defaultColWidth="8.796875" defaultRowHeight="14.4" zeroHeight="0" outlineLevelRow="0"/>
  <cols>
    <col width="13.66" customWidth="1" style="156" min="2" max="2"/>
    <col width="33" customWidth="1" style="156" min="3" max="3"/>
    <col width="16.33" customWidth="1" style="156" min="5" max="5"/>
    <col width="25.11" customWidth="1" style="156" min="6" max="6"/>
    <col width="15.56" customWidth="1" style="156" min="9" max="9"/>
    <col width="12.66" customWidth="1" style="156" min="10" max="10"/>
    <col width="27.12" customWidth="1" style="156" min="11" max="11"/>
    <col width="23.88" customWidth="1" style="156" min="12" max="12"/>
    <col width="24.34" customWidth="1" style="156" min="13" max="13"/>
    <col width="30.02" customWidth="1" style="156" min="14" max="14"/>
    <col width="24" customWidth="1" style="156" min="15" max="15"/>
    <col width="13.55" customWidth="1" style="156" min="16" max="16"/>
    <col width="23.42" customWidth="1" style="156" min="17" max="17"/>
  </cols>
  <sheetData>
    <row r="1" ht="15.6" customHeight="1" s="152">
      <c r="A1" s="167" t="inlineStr">
        <is>
          <t>Ref No</t>
        </is>
      </c>
      <c r="B1" s="167" t="inlineStr">
        <is>
          <t>Team ABB</t>
        </is>
      </c>
      <c r="C1" s="167" t="inlineStr">
        <is>
          <t>Streamlined Name</t>
        </is>
      </c>
      <c r="D1" s="167" t="inlineStr">
        <is>
          <t>Position</t>
        </is>
      </c>
      <c r="E1" s="167" t="inlineStr">
        <is>
          <t>Injury Type</t>
        </is>
      </c>
      <c r="F1" s="167" t="inlineStr">
        <is>
          <t>Raw Name</t>
        </is>
      </c>
      <c r="G1" s="167" t="inlineStr">
        <is>
          <t>Col Ref</t>
        </is>
      </c>
      <c r="H1" s="167" t="inlineStr">
        <is>
          <t>Find Injury</t>
        </is>
      </c>
      <c r="I1" s="167" t="inlineStr">
        <is>
          <t>Raw Team Name</t>
        </is>
      </c>
      <c r="J1" s="156" t="inlineStr">
        <is>
          <t>Team</t>
        </is>
      </c>
      <c r="K1" s="156" t="inlineStr">
        <is>
          <t>RB #1</t>
        </is>
      </c>
      <c r="L1" s="156" t="inlineStr">
        <is>
          <t>RB #2</t>
        </is>
      </c>
      <c r="M1" s="156" t="inlineStr">
        <is>
          <t>RB #3</t>
        </is>
      </c>
      <c r="N1" s="156" t="inlineStr">
        <is>
          <t>RB #4</t>
        </is>
      </c>
      <c r="O1" s="156" t="inlineStr">
        <is>
          <t>RB #5</t>
        </is>
      </c>
    </row>
    <row r="2" ht="15.6" customHeight="1" s="152">
      <c r="A2" s="167" t="n">
        <v>1</v>
      </c>
      <c r="B2" s="167">
        <f>VLOOKUP(J2,Matrix!AD:AE,2,0)</f>
        <v/>
      </c>
      <c r="C2" s="167">
        <f>IF(H2="",F2,LEFT(F2,H2-1))</f>
        <v/>
      </c>
      <c r="D2" s="167" t="inlineStr">
        <is>
          <t>RB</t>
        </is>
      </c>
      <c r="E2" s="167">
        <f>IF(H2&lt;&gt;"",RIGHT(F2,LEN(F2)-H2-2),"")</f>
        <v/>
      </c>
      <c r="F2" s="167">
        <f>VLOOKUP(I2,$J:$O,G2,0)</f>
        <v/>
      </c>
      <c r="G2" s="167" t="n">
        <v>2</v>
      </c>
      <c r="H2" s="167">
        <f>IFERROR(FIND(" - ",F2),"")</f>
        <v/>
      </c>
      <c r="I2" s="167">
        <f>J2</f>
        <v/>
      </c>
      <c r="J2" s="156" t="inlineStr">
        <is>
          <t>Cowboys</t>
        </is>
      </c>
      <c r="K2" s="156" t="inlineStr">
        <is>
          <t>Javonte Williams</t>
        </is>
      </c>
      <c r="L2" s="156" t="inlineStr">
        <is>
          <t>Miles Sanders</t>
        </is>
      </c>
      <c r="M2" s="156" t="inlineStr">
        <is>
          <t>Jaydon Blue</t>
        </is>
      </c>
      <c r="N2" s="156" t="inlineStr">
        <is>
          <t>Phil Mafah</t>
        </is>
      </c>
      <c r="O2" s="156" t="inlineStr">
        <is>
          <t>Deuce Vaughn</t>
        </is>
      </c>
      <c r="P2" s="156" t="inlineStr">
        <is>
          <t>Kyle Juszczyk</t>
        </is>
      </c>
    </row>
    <row r="3" ht="15.6" customHeight="1" s="152">
      <c r="A3" s="167" t="n">
        <v>2</v>
      </c>
      <c r="B3" s="167">
        <f>VLOOKUP(J3,Matrix!AD:AE,2,0)</f>
        <v/>
      </c>
      <c r="C3" s="167">
        <f>IF(H3="",F3,LEFT(F3,H3-1))</f>
        <v/>
      </c>
      <c r="D3" s="167" t="inlineStr">
        <is>
          <t>RB</t>
        </is>
      </c>
      <c r="E3" s="167">
        <f>IF(H3&lt;&gt;"",RIGHT(F3,LEN(F3)-H3-2),"")</f>
        <v/>
      </c>
      <c r="F3" s="167">
        <f>VLOOKUP(I3,$J:$O,G3,0)</f>
        <v/>
      </c>
      <c r="G3" s="167" t="n">
        <v>2</v>
      </c>
      <c r="H3" s="167">
        <f>IFERROR(FIND(" - ",F3),"")</f>
        <v/>
      </c>
      <c r="I3" s="167">
        <f>J3</f>
        <v/>
      </c>
      <c r="J3" s="156" t="inlineStr">
        <is>
          <t>Chiefs</t>
        </is>
      </c>
      <c r="K3" s="156" t="inlineStr">
        <is>
          <t>Isiah Pacheco</t>
        </is>
      </c>
      <c r="L3" s="156" t="inlineStr">
        <is>
          <t>Kareem Hunt</t>
        </is>
      </c>
      <c r="M3" s="156" t="inlineStr">
        <is>
          <t>Elijah Mitchell</t>
        </is>
      </c>
      <c r="N3" s="156" t="inlineStr">
        <is>
          <t>Brashard Smith</t>
        </is>
      </c>
      <c r="O3" s="156" t="inlineStr">
        <is>
          <t>Elijah Young</t>
        </is>
      </c>
    </row>
    <row r="4" ht="15.6" customHeight="1" s="152">
      <c r="A4" s="167" t="n">
        <v>3</v>
      </c>
      <c r="B4" s="167">
        <f>VLOOKUP(J4,Matrix!AD:AE,2,0)</f>
        <v/>
      </c>
      <c r="C4" s="167">
        <f>IF(H4="",F4,LEFT(F4,H4-1))</f>
        <v/>
      </c>
      <c r="D4" s="167" t="inlineStr">
        <is>
          <t>RB</t>
        </is>
      </c>
      <c r="E4" s="167">
        <f>IF(H4&lt;&gt;"",RIGHT(F4,LEN(F4)-H4-2),"")</f>
        <v/>
      </c>
      <c r="F4" s="167">
        <f>VLOOKUP(I4,$J:$O,G4,0)</f>
        <v/>
      </c>
      <c r="G4" s="167" t="n">
        <v>2</v>
      </c>
      <c r="H4" s="167">
        <f>IFERROR(FIND(" - ",F4),"")</f>
        <v/>
      </c>
      <c r="I4" s="167">
        <f>J4</f>
        <v/>
      </c>
      <c r="J4" s="156" t="inlineStr">
        <is>
          <t>Buccaneers</t>
        </is>
      </c>
      <c r="K4" s="156" t="inlineStr">
        <is>
          <t>Bucky Irving</t>
        </is>
      </c>
      <c r="L4" s="156" t="inlineStr">
        <is>
          <t>Rachaad White</t>
        </is>
      </c>
      <c r="M4" s="156" t="inlineStr">
        <is>
          <t>Sean Tucker</t>
        </is>
      </c>
      <c r="N4" s="156" t="inlineStr">
        <is>
          <t>Josh Williams</t>
        </is>
      </c>
      <c r="O4" s="156" t="inlineStr">
        <is>
          <t>Owen Wright</t>
        </is>
      </c>
    </row>
    <row r="5" ht="15.6" customHeight="1" s="152">
      <c r="A5" s="167" t="n">
        <v>4</v>
      </c>
      <c r="B5" s="167">
        <f>VLOOKUP(J5,Matrix!AD:AE,2,0)</f>
        <v/>
      </c>
      <c r="C5" s="167">
        <f>IF(H5="",F5,LEFT(F5,H5-1))</f>
        <v/>
      </c>
      <c r="D5" s="167" t="inlineStr">
        <is>
          <t>RB</t>
        </is>
      </c>
      <c r="E5" s="167">
        <f>IF(H5&lt;&gt;"",RIGHT(F5,LEN(F5)-H5-2),"")</f>
        <v/>
      </c>
      <c r="F5" s="167">
        <f>VLOOKUP(I5,$J:$O,G5,0)</f>
        <v/>
      </c>
      <c r="G5" s="167" t="n">
        <v>2</v>
      </c>
      <c r="H5" s="167">
        <f>IFERROR(FIND(" - ",F5),"")</f>
        <v/>
      </c>
      <c r="I5" s="167">
        <f>J5</f>
        <v/>
      </c>
      <c r="J5" s="156" t="inlineStr">
        <is>
          <t>Bengals</t>
        </is>
      </c>
      <c r="K5" s="156" t="inlineStr">
        <is>
          <t>Chase Brown</t>
        </is>
      </c>
      <c r="L5" s="156" t="inlineStr">
        <is>
          <t>Samaje Perine</t>
        </is>
      </c>
      <c r="M5" s="156" t="inlineStr">
        <is>
          <t>Tahj Brooks</t>
        </is>
      </c>
      <c r="N5" s="156" t="inlineStr">
        <is>
          <t>Gary Brightwell</t>
        </is>
      </c>
      <c r="O5" s="156" t="inlineStr">
        <is>
          <t>Kendall Milton</t>
        </is>
      </c>
    </row>
    <row r="6" ht="15.6" customHeight="1" s="152">
      <c r="A6" s="167" t="n">
        <v>5</v>
      </c>
      <c r="B6" s="167">
        <f>VLOOKUP(J6,Matrix!AD:AE,2,0)</f>
        <v/>
      </c>
      <c r="C6" s="167">
        <f>IF(H6="",F6,LEFT(F6,H6-1))</f>
        <v/>
      </c>
      <c r="D6" s="167" t="inlineStr">
        <is>
          <t>RB</t>
        </is>
      </c>
      <c r="E6" s="167">
        <f>IF(H6&lt;&gt;"",RIGHT(F6,LEN(F6)-H6-2),"")</f>
        <v/>
      </c>
      <c r="F6" s="167">
        <f>VLOOKUP(I6,$J:$O,G6,0)</f>
        <v/>
      </c>
      <c r="G6" s="167" t="n">
        <v>2</v>
      </c>
      <c r="H6" s="167">
        <f>IFERROR(FIND(" - ",F6),"")</f>
        <v/>
      </c>
      <c r="I6" s="167">
        <f>J6</f>
        <v/>
      </c>
      <c r="J6" s="156" t="inlineStr">
        <is>
          <t>Dolphins</t>
        </is>
      </c>
      <c r="K6" s="156" t="inlineStr">
        <is>
          <t>De'Von Achane</t>
        </is>
      </c>
      <c r="L6" s="156" t="inlineStr">
        <is>
          <t>Jaylen Wright</t>
        </is>
      </c>
      <c r="M6" s="156" t="inlineStr">
        <is>
          <t>Alexander Mattison</t>
        </is>
      </c>
      <c r="N6" s="156" t="inlineStr">
        <is>
          <t>Ollie Gordon II</t>
        </is>
      </c>
      <c r="O6" s="156" t="inlineStr">
        <is>
          <t>Mike Boone</t>
        </is>
      </c>
    </row>
    <row r="7" ht="15.6" customHeight="1" s="152">
      <c r="A7" s="167" t="n">
        <v>6</v>
      </c>
      <c r="B7" s="167">
        <f>VLOOKUP(J7,Matrix!AD:AE,2,0)</f>
        <v/>
      </c>
      <c r="C7" s="167">
        <f>IF(H7="",F7,LEFT(F7,H7-1))</f>
        <v/>
      </c>
      <c r="D7" s="167" t="inlineStr">
        <is>
          <t>RB</t>
        </is>
      </c>
      <c r="E7" s="167">
        <f>IF(H7&lt;&gt;"",RIGHT(F7,LEN(F7)-H7-2),"")</f>
        <v/>
      </c>
      <c r="F7" s="167">
        <f>VLOOKUP(I7,$J:$O,G7,0)</f>
        <v/>
      </c>
      <c r="G7" s="167" t="n">
        <v>2</v>
      </c>
      <c r="H7" s="167">
        <f>IFERROR(FIND(" - ",F7),"")</f>
        <v/>
      </c>
      <c r="I7" s="167">
        <f>J7</f>
        <v/>
      </c>
      <c r="J7" s="156" t="inlineStr">
        <is>
          <t>Panthers</t>
        </is>
      </c>
      <c r="K7" s="156" t="inlineStr">
        <is>
          <t>Chuba Hubbard</t>
        </is>
      </c>
      <c r="L7" s="156" t="inlineStr">
        <is>
          <t>Rico Dowdle</t>
        </is>
      </c>
      <c r="M7" s="156" t="inlineStr">
        <is>
          <t>Trevor Etienne</t>
        </is>
      </c>
      <c r="N7" s="156" t="inlineStr">
        <is>
          <t>Jonathon Brooks</t>
        </is>
      </c>
      <c r="O7" s="156" t="inlineStr">
        <is>
          <t>Raheem Blackshear</t>
        </is>
      </c>
    </row>
    <row r="8" ht="15.6" customHeight="1" s="152">
      <c r="A8" s="167" t="n">
        <v>7</v>
      </c>
      <c r="B8" s="167">
        <f>VLOOKUP(J8,Matrix!AD:AE,2,0)</f>
        <v/>
      </c>
      <c r="C8" s="167">
        <f>IF(H8="",F8,LEFT(F8,H8-1))</f>
        <v/>
      </c>
      <c r="D8" s="167" t="inlineStr">
        <is>
          <t>RB</t>
        </is>
      </c>
      <c r="E8" s="167">
        <f>IF(H8&lt;&gt;"",RIGHT(F8,LEN(F8)-H8-2),"")</f>
        <v/>
      </c>
      <c r="F8" s="167">
        <f>VLOOKUP(I8,$J:$O,G8,0)</f>
        <v/>
      </c>
      <c r="G8" s="167" t="n">
        <v>2</v>
      </c>
      <c r="H8" s="167">
        <f>IFERROR(FIND(" - ",F8),"")</f>
        <v/>
      </c>
      <c r="I8" s="167">
        <f>J8</f>
        <v/>
      </c>
      <c r="J8" s="156" t="inlineStr">
        <is>
          <t>Raiders</t>
        </is>
      </c>
      <c r="K8" s="156" t="inlineStr">
        <is>
          <t>Ashton Jeanty</t>
        </is>
      </c>
      <c r="L8" s="156" t="inlineStr">
        <is>
          <t>Raheem Mostert</t>
        </is>
      </c>
      <c r="M8" s="156" t="inlineStr">
        <is>
          <t>Zamir White</t>
        </is>
      </c>
      <c r="N8" s="156" t="inlineStr">
        <is>
          <t>Dylan Laube</t>
        </is>
      </c>
      <c r="O8" s="156" t="inlineStr">
        <is>
          <t>Sincere McCormick</t>
        </is>
      </c>
    </row>
    <row r="9" ht="15.6" customHeight="1" s="152">
      <c r="A9" s="167" t="n">
        <v>8</v>
      </c>
      <c r="B9" s="167">
        <f>VLOOKUP(J9,Matrix!AD:AE,2,0)</f>
        <v/>
      </c>
      <c r="C9" s="167">
        <f>IF(H9="",F9,LEFT(F9,H9-1))</f>
        <v/>
      </c>
      <c r="D9" s="167" t="inlineStr">
        <is>
          <t>RB</t>
        </is>
      </c>
      <c r="E9" s="167">
        <f>IF(H9&lt;&gt;"",RIGHT(F9,LEN(F9)-H9-2),"")</f>
        <v/>
      </c>
      <c r="F9" s="167">
        <f>VLOOKUP(I9,$J:$O,G9,0)</f>
        <v/>
      </c>
      <c r="G9" s="167" t="n">
        <v>2</v>
      </c>
      <c r="H9" s="167">
        <f>IFERROR(FIND(" - ",F9),"")</f>
        <v/>
      </c>
      <c r="I9" s="167">
        <f>J9</f>
        <v/>
      </c>
      <c r="J9" s="156" t="inlineStr">
        <is>
          <t>Cardinals</t>
        </is>
      </c>
      <c r="K9" s="156" t="inlineStr">
        <is>
          <t>James Conner</t>
        </is>
      </c>
      <c r="L9" s="156" t="inlineStr">
        <is>
          <t>Trey Benson</t>
        </is>
      </c>
      <c r="M9" s="156" t="inlineStr">
        <is>
          <t>Emari Demercado</t>
        </is>
      </c>
      <c r="N9" s="156" t="inlineStr">
        <is>
          <t>Bam Knight</t>
        </is>
      </c>
      <c r="O9" s="156" t="inlineStr">
        <is>
          <t>DeeJay Dallas</t>
        </is>
      </c>
    </row>
    <row r="10" ht="15.6" customHeight="1" s="152">
      <c r="A10" s="167" t="n">
        <v>9</v>
      </c>
      <c r="B10" s="167">
        <f>VLOOKUP(J10,Matrix!AD:AE,2,0)</f>
        <v/>
      </c>
      <c r="C10" s="167">
        <f>IF(H10="",F10,LEFT(F10,H10-1))</f>
        <v/>
      </c>
      <c r="D10" s="167" t="inlineStr">
        <is>
          <t>RB</t>
        </is>
      </c>
      <c r="E10" s="167">
        <f>IF(H10&lt;&gt;"",RIGHT(F10,LEN(F10)-H10-2),"")</f>
        <v/>
      </c>
      <c r="F10" s="167">
        <f>VLOOKUP(I10,$J:$O,G10,0)</f>
        <v/>
      </c>
      <c r="G10" s="167" t="n">
        <v>2</v>
      </c>
      <c r="H10" s="167">
        <f>IFERROR(FIND(" - ",F10),"")</f>
        <v/>
      </c>
      <c r="I10" s="167">
        <f>J10</f>
        <v/>
      </c>
      <c r="J10" s="156" t="inlineStr">
        <is>
          <t>Steelers</t>
        </is>
      </c>
      <c r="K10" s="156" t="inlineStr">
        <is>
          <t>Jaylen Warren</t>
        </is>
      </c>
      <c r="L10" s="156" t="inlineStr">
        <is>
          <t>Kaleb Johnson</t>
        </is>
      </c>
      <c r="M10" s="156" t="inlineStr">
        <is>
          <t>Kenneth Gainwell</t>
        </is>
      </c>
      <c r="N10" s="156" t="inlineStr">
        <is>
          <t>Trey Sermon</t>
        </is>
      </c>
      <c r="O10" s="156" t="inlineStr">
        <is>
          <t>Evan Hull</t>
        </is>
      </c>
    </row>
    <row r="11" ht="15.6" customHeight="1" s="152">
      <c r="A11" s="167" t="n">
        <v>10</v>
      </c>
      <c r="B11" s="167">
        <f>VLOOKUP(J11,Matrix!AD:AE,2,0)</f>
        <v/>
      </c>
      <c r="C11" s="167">
        <f>IF(H11="",F11,LEFT(F11,H11-1))</f>
        <v/>
      </c>
      <c r="D11" s="167" t="inlineStr">
        <is>
          <t>RB</t>
        </is>
      </c>
      <c r="E11" s="167">
        <f>IF(H11&lt;&gt;"",RIGHT(F11,LEN(F11)-H11-2),"")</f>
        <v/>
      </c>
      <c r="F11" s="167">
        <f>VLOOKUP(I11,$J:$O,G11,0)</f>
        <v/>
      </c>
      <c r="G11" s="167" t="n">
        <v>2</v>
      </c>
      <c r="H11" s="167">
        <f>IFERROR(FIND(" - ",F11),"")</f>
        <v/>
      </c>
      <c r="I11" s="167">
        <f>J11</f>
        <v/>
      </c>
      <c r="J11" s="156" t="inlineStr">
        <is>
          <t>Giants</t>
        </is>
      </c>
      <c r="K11" s="156" t="inlineStr">
        <is>
          <t>Cam Skattebo</t>
        </is>
      </c>
      <c r="L11" s="156" t="inlineStr">
        <is>
          <t>Tyrone Tracy Jr.</t>
        </is>
      </c>
      <c r="M11" s="156" t="inlineStr">
        <is>
          <t>Devin Singletary</t>
        </is>
      </c>
      <c r="N11" s="156" t="inlineStr">
        <is>
          <t>Eric Gray</t>
        </is>
      </c>
      <c r="O11" s="156" t="inlineStr">
        <is>
          <t>Dante Miller</t>
        </is>
      </c>
    </row>
    <row r="12" ht="15.6" customHeight="1" s="152">
      <c r="A12" s="167" t="n">
        <v>11</v>
      </c>
      <c r="B12" s="167">
        <f>VLOOKUP(J12,Matrix!AD:AE,2,0)</f>
        <v/>
      </c>
      <c r="C12" s="167">
        <f>IF(H12="",F12,LEFT(F12,H12-1))</f>
        <v/>
      </c>
      <c r="D12" s="167" t="inlineStr">
        <is>
          <t>RB</t>
        </is>
      </c>
      <c r="E12" s="167">
        <f>IF(H12&lt;&gt;"",RIGHT(F12,LEN(F12)-H12-2),"")</f>
        <v/>
      </c>
      <c r="F12" s="167">
        <f>VLOOKUP(I12,$J:$O,G12,0)</f>
        <v/>
      </c>
      <c r="G12" s="167" t="n">
        <v>2</v>
      </c>
      <c r="H12" s="167">
        <f>IFERROR(FIND(" - ",F12),"")</f>
        <v/>
      </c>
      <c r="I12" s="167">
        <f>J12</f>
        <v/>
      </c>
      <c r="J12" s="156" t="inlineStr">
        <is>
          <t>Titans</t>
        </is>
      </c>
      <c r="K12" s="156" t="inlineStr">
        <is>
          <t>Tony Pollard</t>
        </is>
      </c>
      <c r="L12" s="156" t="inlineStr">
        <is>
          <t>Tyjae Spears</t>
        </is>
      </c>
      <c r="M12" s="156" t="inlineStr">
        <is>
          <t>Julius Chestnut</t>
        </is>
      </c>
      <c r="N12" s="156" t="inlineStr">
        <is>
          <t>Kalel Mullings</t>
        </is>
      </c>
      <c r="O12" s="156" t="inlineStr">
        <is>
          <t>Jordan Mims</t>
        </is>
      </c>
    </row>
    <row r="13" ht="15.6" customHeight="1" s="152">
      <c r="A13" s="167" t="n">
        <v>12</v>
      </c>
      <c r="B13" s="167">
        <f>VLOOKUP(J13,Matrix!AD:AE,2,0)</f>
        <v/>
      </c>
      <c r="C13" s="167">
        <f>IF(H13="",F13,LEFT(F13,H13-1))</f>
        <v/>
      </c>
      <c r="D13" s="167" t="inlineStr">
        <is>
          <t>RB</t>
        </is>
      </c>
      <c r="E13" s="167">
        <f>IF(H13&lt;&gt;"",RIGHT(F13,LEN(F13)-H13-2),"")</f>
        <v/>
      </c>
      <c r="F13" s="167">
        <f>VLOOKUP(I13,$J:$O,G13,0)</f>
        <v/>
      </c>
      <c r="G13" s="167" t="n">
        <v>2</v>
      </c>
      <c r="H13" s="167">
        <f>IFERROR(FIND(" - ",F13),"")</f>
        <v/>
      </c>
      <c r="I13" s="167">
        <f>J13</f>
        <v/>
      </c>
      <c r="J13" s="156" t="inlineStr">
        <is>
          <t>49ers</t>
        </is>
      </c>
      <c r="K13" s="156" t="inlineStr">
        <is>
          <t>Christian McCaffrey</t>
        </is>
      </c>
      <c r="L13" s="156" t="inlineStr">
        <is>
          <t>Isaac Guerendo</t>
        </is>
      </c>
      <c r="M13" s="156" t="inlineStr">
        <is>
          <t>Brian Robinson Jr.</t>
        </is>
      </c>
      <c r="N13" s="156" t="inlineStr">
        <is>
          <t>Jordan James</t>
        </is>
      </c>
      <c r="O13" s="156" t="inlineStr">
        <is>
          <t>Patrick Taylor Jr.</t>
        </is>
      </c>
    </row>
    <row r="14" ht="15.6" customHeight="1" s="152">
      <c r="A14" s="167" t="n">
        <v>13</v>
      </c>
      <c r="B14" s="167">
        <f>VLOOKUP(J14,Matrix!AD:AE,2,0)</f>
        <v/>
      </c>
      <c r="C14" s="167">
        <f>IF(H14="",F14,LEFT(F14,H14-1))</f>
        <v/>
      </c>
      <c r="D14" s="167" t="inlineStr">
        <is>
          <t>RB</t>
        </is>
      </c>
      <c r="E14" s="167">
        <f>IF(H14&lt;&gt;"",RIGHT(F14,LEN(F14)-H14-2),"")</f>
        <v/>
      </c>
      <c r="F14" s="167">
        <f>VLOOKUP(I14,$J:$O,G14,0)</f>
        <v/>
      </c>
      <c r="G14" s="167" t="n">
        <v>2</v>
      </c>
      <c r="H14" s="167">
        <f>IFERROR(FIND(" - ",F14),"")</f>
        <v/>
      </c>
      <c r="I14" s="167">
        <f>J14</f>
        <v/>
      </c>
      <c r="J14" s="156" t="inlineStr">
        <is>
          <t>Lions</t>
        </is>
      </c>
      <c r="K14" s="156" t="inlineStr">
        <is>
          <t>Jahmyr Gibbs</t>
        </is>
      </c>
      <c r="L14" s="156" t="inlineStr">
        <is>
          <t>David Montgomery</t>
        </is>
      </c>
      <c r="M14" s="156" t="inlineStr">
        <is>
          <t>Craig Reynolds</t>
        </is>
      </c>
      <c r="N14" s="156" t="inlineStr">
        <is>
          <t>Sione Vaki</t>
        </is>
      </c>
      <c r="O14" s="156" t="inlineStr">
        <is>
          <t>Jacob Saylors</t>
        </is>
      </c>
    </row>
    <row r="15" ht="15.6" customHeight="1" s="152">
      <c r="A15" s="167" t="n">
        <v>14</v>
      </c>
      <c r="B15" s="167">
        <f>VLOOKUP(J15,Matrix!AD:AE,2,0)</f>
        <v/>
      </c>
      <c r="C15" s="167">
        <f>IF(H15="",F15,LEFT(F15,H15-1))</f>
        <v/>
      </c>
      <c r="D15" s="167" t="inlineStr">
        <is>
          <t>RB</t>
        </is>
      </c>
      <c r="E15" s="167">
        <f>IF(H15&lt;&gt;"",RIGHT(F15,LEN(F15)-H15-2),"")</f>
        <v/>
      </c>
      <c r="F15" s="167">
        <f>VLOOKUP(I15,$J:$O,G15,0)</f>
        <v/>
      </c>
      <c r="G15" s="167" t="n">
        <v>2</v>
      </c>
      <c r="H15" s="167">
        <f>IFERROR(FIND(" - ",F15),"")</f>
        <v/>
      </c>
      <c r="I15" s="167">
        <f>J15</f>
        <v/>
      </c>
      <c r="J15" s="156" t="inlineStr">
        <is>
          <t>Texans</t>
        </is>
      </c>
      <c r="K15" s="156" t="inlineStr">
        <is>
          <t>Nick Chubb</t>
        </is>
      </c>
      <c r="L15" s="156" t="inlineStr">
        <is>
          <t>Joe Mixon</t>
        </is>
      </c>
      <c r="M15" s="156" t="inlineStr">
        <is>
          <t>Dameon Pierce</t>
        </is>
      </c>
      <c r="N15" s="156" t="inlineStr">
        <is>
          <t>Woody Marks</t>
        </is>
      </c>
      <c r="O15" s="156" t="inlineStr">
        <is>
          <t>Dare Ogunbowale</t>
        </is>
      </c>
    </row>
    <row r="16" ht="15.6" customHeight="1" s="152">
      <c r="A16" s="167" t="n">
        <v>15</v>
      </c>
      <c r="B16" s="167">
        <f>VLOOKUP(J16,Matrix!AD:AE,2,0)</f>
        <v/>
      </c>
      <c r="C16" s="167">
        <f>IF(H16="",F16,LEFT(F16,H16-1))</f>
        <v/>
      </c>
      <c r="D16" s="167" t="inlineStr">
        <is>
          <t>RB</t>
        </is>
      </c>
      <c r="E16" s="167">
        <f>IF(H16&lt;&gt;"",RIGHT(F16,LEN(F16)-H16-2),"")</f>
        <v/>
      </c>
      <c r="F16" s="167">
        <f>VLOOKUP(I16,$J:$O,G16,0)</f>
        <v/>
      </c>
      <c r="G16" s="167" t="n">
        <v>2</v>
      </c>
      <c r="H16" s="167">
        <f>IFERROR(FIND(" - ",F16),"")</f>
        <v/>
      </c>
      <c r="I16" s="167">
        <f>J16</f>
        <v/>
      </c>
      <c r="J16" s="156" t="inlineStr">
        <is>
          <t>Ravens</t>
        </is>
      </c>
      <c r="K16" s="156" t="inlineStr">
        <is>
          <t>Derrick Henry</t>
        </is>
      </c>
      <c r="L16" s="156" t="inlineStr">
        <is>
          <t>Justice Hill</t>
        </is>
      </c>
      <c r="M16" s="156" t="inlineStr">
        <is>
          <t>Keaton Mitchell</t>
        </is>
      </c>
      <c r="N16" s="156" t="inlineStr">
        <is>
          <t>Rasheen Ali</t>
        </is>
      </c>
      <c r="O16" s="156" t="inlineStr">
        <is>
          <t>D'Ernest Johnson</t>
        </is>
      </c>
    </row>
    <row r="17" ht="15.6" customHeight="1" s="152">
      <c r="A17" s="167" t="n">
        <v>16</v>
      </c>
      <c r="B17" s="167">
        <f>VLOOKUP(J17,Matrix!AD:AE,2,0)</f>
        <v/>
      </c>
      <c r="C17" s="167">
        <f>IF(H17="",F17,LEFT(F17,H17-1))</f>
        <v/>
      </c>
      <c r="D17" s="167" t="inlineStr">
        <is>
          <t>RB</t>
        </is>
      </c>
      <c r="E17" s="167">
        <f>IF(H17&lt;&gt;"",RIGHT(F17,LEN(F17)-H17-2),"")</f>
        <v/>
      </c>
      <c r="F17" s="167">
        <f>VLOOKUP(I17,$J:$O,G17,0)</f>
        <v/>
      </c>
      <c r="G17" s="167" t="n">
        <v>2</v>
      </c>
      <c r="H17" s="167">
        <f>IFERROR(FIND(" - ",F17),"")</f>
        <v/>
      </c>
      <c r="I17" s="167">
        <f>J17</f>
        <v/>
      </c>
      <c r="J17" s="156" t="inlineStr">
        <is>
          <t>Vikings</t>
        </is>
      </c>
      <c r="K17" s="156" t="inlineStr">
        <is>
          <t>Aaron Jones Sr.</t>
        </is>
      </c>
      <c r="L17" s="156" t="inlineStr">
        <is>
          <t>Jordan Mason</t>
        </is>
      </c>
      <c r="M17" s="156" t="inlineStr">
        <is>
          <t>Ty Chandler</t>
        </is>
      </c>
      <c r="N17" s="156" t="inlineStr">
        <is>
          <t>Zavier Scott</t>
        </is>
      </c>
      <c r="O17" s="156" t="inlineStr">
        <is>
          <t>Tre Stewart</t>
        </is>
      </c>
    </row>
    <row r="18" ht="15.6" customHeight="1" s="152">
      <c r="A18" s="167" t="n">
        <v>17</v>
      </c>
      <c r="B18" s="167">
        <f>VLOOKUP(J18,Matrix!AD:AE,2,0)</f>
        <v/>
      </c>
      <c r="C18" s="167">
        <f>IF(H18="",F18,LEFT(F18,H18-1))</f>
        <v/>
      </c>
      <c r="D18" s="167" t="inlineStr">
        <is>
          <t>RB</t>
        </is>
      </c>
      <c r="E18" s="167">
        <f>IF(H18&lt;&gt;"",RIGHT(F18,LEN(F18)-H18-2),"")</f>
        <v/>
      </c>
      <c r="F18" s="167">
        <f>VLOOKUP(I18,$J:$O,G18,0)</f>
        <v/>
      </c>
      <c r="G18" s="167" t="n">
        <v>2</v>
      </c>
      <c r="H18" s="167">
        <f>IFERROR(FIND(" - ",F18),"")</f>
        <v/>
      </c>
      <c r="I18" s="167">
        <f>J18</f>
        <v/>
      </c>
      <c r="J18" s="156" t="inlineStr">
        <is>
          <t>Commanders</t>
        </is>
      </c>
      <c r="K18" s="156" t="inlineStr">
        <is>
          <t>Jacory Croskey-Merritt</t>
        </is>
      </c>
      <c r="L18" s="156" t="inlineStr">
        <is>
          <t>Brian Robinson Jr.</t>
        </is>
      </c>
      <c r="M18" s="156" t="inlineStr">
        <is>
          <t>Austin Ekeler</t>
        </is>
      </c>
      <c r="N18" s="156" t="inlineStr">
        <is>
          <t>Jeremy McNichols</t>
        </is>
      </c>
      <c r="O18" s="156" t="inlineStr">
        <is>
          <t>Chris Rodriguez Jr.</t>
        </is>
      </c>
    </row>
    <row r="19" ht="15.6" customHeight="1" s="152">
      <c r="A19" s="167" t="n">
        <v>18</v>
      </c>
      <c r="B19" s="167">
        <f>VLOOKUP(J19,Matrix!AD:AE,2,0)</f>
        <v/>
      </c>
      <c r="C19" s="167">
        <f>IF(H19="",F19,LEFT(F19,H19-1))</f>
        <v/>
      </c>
      <c r="D19" s="167" t="inlineStr">
        <is>
          <t>RB</t>
        </is>
      </c>
      <c r="E19" s="167">
        <f>IF(H19&lt;&gt;"",RIGHT(F19,LEN(F19)-H19-2),"")</f>
        <v/>
      </c>
      <c r="F19" s="167">
        <f>VLOOKUP(I19,$J:$O,G19,0)</f>
        <v/>
      </c>
      <c r="G19" s="167" t="n">
        <v>2</v>
      </c>
      <c r="H19" s="167">
        <f>IFERROR(FIND(" - ",F19),"")</f>
        <v/>
      </c>
      <c r="I19" s="167">
        <f>J19</f>
        <v/>
      </c>
      <c r="J19" s="156" t="inlineStr">
        <is>
          <t>Browns</t>
        </is>
      </c>
      <c r="K19" s="156" t="inlineStr">
        <is>
          <t>Quinshon Judkins</t>
        </is>
      </c>
      <c r="L19" s="156" t="inlineStr">
        <is>
          <t>Jerome Ford</t>
        </is>
      </c>
      <c r="M19" s="156" t="inlineStr">
        <is>
          <t>Dylan Sampson</t>
        </is>
      </c>
      <c r="N19" s="156" t="inlineStr">
        <is>
          <t>Pierre Strong Jr.</t>
        </is>
      </c>
      <c r="O19" s="156" t="inlineStr">
        <is>
          <t>Raheim Sanders</t>
        </is>
      </c>
    </row>
    <row r="20" ht="15.6" customHeight="1" s="152">
      <c r="A20" s="167" t="n">
        <v>19</v>
      </c>
      <c r="B20" s="167">
        <f>VLOOKUP(J20,Matrix!AD:AE,2,0)</f>
        <v/>
      </c>
      <c r="C20" s="167">
        <f>IF(H20="",F20,LEFT(F20,H20-1))</f>
        <v/>
      </c>
      <c r="D20" s="167" t="inlineStr">
        <is>
          <t>RB</t>
        </is>
      </c>
      <c r="E20" s="167">
        <f>IF(H20&lt;&gt;"",RIGHT(F20,LEN(F20)-H20-2),"")</f>
        <v/>
      </c>
      <c r="F20" s="167">
        <f>VLOOKUP(I20,$J:$O,G20,0)</f>
        <v/>
      </c>
      <c r="G20" s="167" t="n">
        <v>2</v>
      </c>
      <c r="H20" s="167">
        <f>IFERROR(FIND(" - ",F20),"")</f>
        <v/>
      </c>
      <c r="I20" s="167">
        <f>J20</f>
        <v/>
      </c>
      <c r="J20" s="156" t="inlineStr">
        <is>
          <t>Jaguars</t>
        </is>
      </c>
      <c r="K20" s="156" t="inlineStr">
        <is>
          <t>Travis Etienne Jr.</t>
        </is>
      </c>
      <c r="L20" s="156" t="inlineStr">
        <is>
          <t>Tank Bigsby</t>
        </is>
      </c>
      <c r="M20" s="156" t="inlineStr">
        <is>
          <t>Bhayshul Tuten</t>
        </is>
      </c>
      <c r="N20" s="156" t="inlineStr">
        <is>
          <t>LeQuint Allen Jr.</t>
        </is>
      </c>
      <c r="O20" s="156" t="inlineStr">
        <is>
          <t>Cody Schrader</t>
        </is>
      </c>
    </row>
    <row r="21" ht="15.6" customHeight="1" s="152">
      <c r="A21" s="167" t="n">
        <v>20</v>
      </c>
      <c r="B21" s="167">
        <f>VLOOKUP(J21,Matrix!AD:AE,2,0)</f>
        <v/>
      </c>
      <c r="C21" s="167">
        <f>IF(H21="",F21,LEFT(F21,H21-1))</f>
        <v/>
      </c>
      <c r="D21" s="167" t="inlineStr">
        <is>
          <t>RB</t>
        </is>
      </c>
      <c r="E21" s="167">
        <f>IF(H21&lt;&gt;"",RIGHT(F21,LEN(F21)-H21-2),"")</f>
        <v/>
      </c>
      <c r="F21" s="167">
        <f>VLOOKUP(I21,$J:$O,G21,0)</f>
        <v/>
      </c>
      <c r="G21" s="167" t="n">
        <v>2</v>
      </c>
      <c r="H21" s="167">
        <f>IFERROR(FIND(" - ",F21),"")</f>
        <v/>
      </c>
      <c r="I21" s="167">
        <f>J21</f>
        <v/>
      </c>
      <c r="J21" s="156" t="inlineStr">
        <is>
          <t>Bears</t>
        </is>
      </c>
      <c r="K21" s="156" t="inlineStr">
        <is>
          <t>D'Andre Swift</t>
        </is>
      </c>
      <c r="L21" s="156" t="inlineStr">
        <is>
          <t>Roschon Johnson</t>
        </is>
      </c>
      <c r="M21" s="156" t="inlineStr">
        <is>
          <t>Kyle Monangai</t>
        </is>
      </c>
      <c r="N21" s="156" t="inlineStr">
        <is>
          <t>Travis Homer</t>
        </is>
      </c>
      <c r="O21" s="156" t="inlineStr">
        <is>
          <t>Ian Wheeler</t>
        </is>
      </c>
    </row>
    <row r="22" ht="15.6" customHeight="1" s="152">
      <c r="A22" s="167" t="n">
        <v>21</v>
      </c>
      <c r="B22" s="167">
        <f>VLOOKUP(J22,Matrix!AD:AE,2,0)</f>
        <v/>
      </c>
      <c r="C22" s="167">
        <f>IF(H22="",F22,LEFT(F22,H22-1))</f>
        <v/>
      </c>
      <c r="D22" s="167" t="inlineStr">
        <is>
          <t>RB</t>
        </is>
      </c>
      <c r="E22" s="167">
        <f>IF(H22&lt;&gt;"",RIGHT(F22,LEN(F22)-H22-2),"")</f>
        <v/>
      </c>
      <c r="F22" s="167">
        <f>VLOOKUP(I22,$J:$O,G22,0)</f>
        <v/>
      </c>
      <c r="G22" s="167" t="n">
        <v>2</v>
      </c>
      <c r="H22" s="167">
        <f>IFERROR(FIND(" - ",F22),"")</f>
        <v/>
      </c>
      <c r="I22" s="167">
        <f>J22</f>
        <v/>
      </c>
      <c r="J22" s="156" t="inlineStr">
        <is>
          <t>Patriots</t>
        </is>
      </c>
      <c r="K22" s="156" t="inlineStr">
        <is>
          <t>Rhamondre Stevenson</t>
        </is>
      </c>
      <c r="L22" s="156" t="inlineStr">
        <is>
          <t>TreVeyon Henderson</t>
        </is>
      </c>
      <c r="M22" s="156" t="inlineStr">
        <is>
          <t>Antonio Gibson</t>
        </is>
      </c>
      <c r="N22" s="156" t="inlineStr">
        <is>
          <t>Lan Larison</t>
        </is>
      </c>
      <c r="O22" s="156" t="inlineStr">
        <is>
          <t>Terrell Jennings</t>
        </is>
      </c>
    </row>
    <row r="23" ht="15.6" customHeight="1" s="152">
      <c r="A23" s="167" t="n">
        <v>22</v>
      </c>
      <c r="B23" s="167">
        <f>VLOOKUP(J23,Matrix!AD:AE,2,0)</f>
        <v/>
      </c>
      <c r="C23" s="167">
        <f>IF(H23="",F23,LEFT(F23,H23-1))</f>
        <v/>
      </c>
      <c r="D23" s="167" t="inlineStr">
        <is>
          <t>RB</t>
        </is>
      </c>
      <c r="E23" s="167">
        <f>IF(H23&lt;&gt;"",RIGHT(F23,LEN(F23)-H23-2),"")</f>
        <v/>
      </c>
      <c r="F23" s="167">
        <f>VLOOKUP(I23,$J:$O,G23,0)</f>
        <v/>
      </c>
      <c r="G23" s="167" t="n">
        <v>2</v>
      </c>
      <c r="H23" s="167">
        <f>IFERROR(FIND(" - ",F23),"")</f>
        <v/>
      </c>
      <c r="I23" s="167">
        <f>J23</f>
        <v/>
      </c>
      <c r="J23" s="156" t="inlineStr">
        <is>
          <t>Bills</t>
        </is>
      </c>
      <c r="K23" s="156" t="inlineStr">
        <is>
          <t>James Cook</t>
        </is>
      </c>
      <c r="L23" s="156" t="inlineStr">
        <is>
          <t>Ray Davis</t>
        </is>
      </c>
      <c r="M23" s="156" t="inlineStr">
        <is>
          <t>Ty Johnson</t>
        </is>
      </c>
      <c r="N23" s="156" t="inlineStr">
        <is>
          <t>Darrynton Evans</t>
        </is>
      </c>
      <c r="O23" s="156" t="inlineStr">
        <is>
          <t>Frank Gore</t>
        </is>
      </c>
    </row>
    <row r="24" ht="15.6" customHeight="1" s="152">
      <c r="A24" s="167" t="n">
        <v>23</v>
      </c>
      <c r="B24" s="167">
        <f>VLOOKUP(J24,Matrix!AD:AE,2,0)</f>
        <v/>
      </c>
      <c r="C24" s="167">
        <f>IF(H24="",F24,LEFT(F24,H24-1))</f>
        <v/>
      </c>
      <c r="D24" s="167" t="inlineStr">
        <is>
          <t>RB</t>
        </is>
      </c>
      <c r="E24" s="167">
        <f>IF(H24&lt;&gt;"",RIGHT(F24,LEN(F24)-H24-2),"")</f>
        <v/>
      </c>
      <c r="F24" s="167">
        <f>VLOOKUP(I24,$J:$O,G24,0)</f>
        <v/>
      </c>
      <c r="G24" s="167" t="n">
        <v>2</v>
      </c>
      <c r="H24" s="167">
        <f>IFERROR(FIND(" - ",F24),"")</f>
        <v/>
      </c>
      <c r="I24" s="167">
        <f>J24</f>
        <v/>
      </c>
      <c r="J24" s="156" t="inlineStr">
        <is>
          <t>Seahawks</t>
        </is>
      </c>
      <c r="K24" s="156" t="inlineStr">
        <is>
          <t>Kenneth Walker III</t>
        </is>
      </c>
      <c r="L24" s="156" t="inlineStr">
        <is>
          <t>Zach Charbonnet</t>
        </is>
      </c>
      <c r="M24" s="156" t="inlineStr">
        <is>
          <t>George Holani</t>
        </is>
      </c>
      <c r="N24" s="156" t="inlineStr">
        <is>
          <t>Damien Martinez</t>
        </is>
      </c>
      <c r="O24" s="156" t="inlineStr">
        <is>
          <t>Kenny McIntosh</t>
        </is>
      </c>
    </row>
    <row r="25" ht="15.6" customHeight="1" s="152">
      <c r="A25" s="167" t="n">
        <v>24</v>
      </c>
      <c r="B25" s="167">
        <f>VLOOKUP(J25,Matrix!AD:AE,2,0)</f>
        <v/>
      </c>
      <c r="C25" s="167">
        <f>IF(H25="",F25,LEFT(F25,H25-1))</f>
        <v/>
      </c>
      <c r="D25" s="167" t="inlineStr">
        <is>
          <t>RB</t>
        </is>
      </c>
      <c r="E25" s="167">
        <f>IF(H25&lt;&gt;"",RIGHT(F25,LEN(F25)-H25-2),"")</f>
        <v/>
      </c>
      <c r="F25" s="167">
        <f>VLOOKUP(I25,$J:$O,G25,0)</f>
        <v/>
      </c>
      <c r="G25" s="167" t="n">
        <v>2</v>
      </c>
      <c r="H25" s="167">
        <f>IFERROR(FIND(" - ",F25),"")</f>
        <v/>
      </c>
      <c r="I25" s="167">
        <f>J25</f>
        <v/>
      </c>
      <c r="J25" s="156" t="inlineStr">
        <is>
          <t>Rams</t>
        </is>
      </c>
      <c r="K25" s="156" t="inlineStr">
        <is>
          <t>Kyren Williams</t>
        </is>
      </c>
      <c r="L25" s="156" t="inlineStr">
        <is>
          <t>Blake Corum</t>
        </is>
      </c>
      <c r="M25" s="156" t="inlineStr">
        <is>
          <t>Jarquez Hunter</t>
        </is>
      </c>
      <c r="N25" s="156" t="inlineStr">
        <is>
          <t>Ronnie Rivers</t>
        </is>
      </c>
      <c r="O25" s="156" t="inlineStr">
        <is>
          <t>Cody Schrader</t>
        </is>
      </c>
    </row>
    <row r="26" ht="15.6" customHeight="1" s="152">
      <c r="A26" s="167" t="n">
        <v>25</v>
      </c>
      <c r="B26" s="167">
        <f>VLOOKUP(J26,Matrix!AD:AE,2,0)</f>
        <v/>
      </c>
      <c r="C26" s="167">
        <f>IF(H26="",F26,LEFT(F26,H26-1))</f>
        <v/>
      </c>
      <c r="D26" s="167" t="inlineStr">
        <is>
          <t>RB</t>
        </is>
      </c>
      <c r="E26" s="167">
        <f>IF(H26&lt;&gt;"",RIGHT(F26,LEN(F26)-H26-2),"")</f>
        <v/>
      </c>
      <c r="F26" s="167">
        <f>VLOOKUP(I26,$J:$O,G26,0)</f>
        <v/>
      </c>
      <c r="G26" s="167" t="n">
        <v>2</v>
      </c>
      <c r="H26" s="167">
        <f>IFERROR(FIND(" - ",F26),"")</f>
        <v/>
      </c>
      <c r="I26" s="167">
        <f>J26</f>
        <v/>
      </c>
      <c r="J26" s="156" t="inlineStr">
        <is>
          <t>Broncos</t>
        </is>
      </c>
      <c r="K26" s="156" t="inlineStr">
        <is>
          <t>J.K. Dobbins</t>
        </is>
      </c>
      <c r="L26" s="156" t="inlineStr">
        <is>
          <t>RJ Harvey</t>
        </is>
      </c>
      <c r="M26" s="156" t="inlineStr">
        <is>
          <t>Jaleel McLaughlin</t>
        </is>
      </c>
      <c r="N26" s="156" t="inlineStr">
        <is>
          <t>Tyler Badie</t>
        </is>
      </c>
      <c r="O26" s="156" t="inlineStr">
        <is>
          <t>Audric Estime</t>
        </is>
      </c>
    </row>
    <row r="27" ht="15.6" customHeight="1" s="152">
      <c r="A27" s="167" t="n">
        <v>26</v>
      </c>
      <c r="B27" s="167">
        <f>VLOOKUP(J27,Matrix!AD:AE,2,0)</f>
        <v/>
      </c>
      <c r="C27" s="167">
        <f>IF(H27="",F27,LEFT(F27,H27-1))</f>
        <v/>
      </c>
      <c r="D27" s="167" t="inlineStr">
        <is>
          <t>RB</t>
        </is>
      </c>
      <c r="E27" s="167">
        <f>IF(H27&lt;&gt;"",RIGHT(F27,LEN(F27)-H27-2),"")</f>
        <v/>
      </c>
      <c r="F27" s="167">
        <f>VLOOKUP(I27,$J:$O,G27,0)</f>
        <v/>
      </c>
      <c r="G27" s="167" t="n">
        <v>2</v>
      </c>
      <c r="H27" s="167">
        <f>IFERROR(FIND(" - ",F27),"")</f>
        <v/>
      </c>
      <c r="I27" s="167">
        <f>J27</f>
        <v/>
      </c>
      <c r="J27" s="156" t="inlineStr">
        <is>
          <t>Eagles</t>
        </is>
      </c>
      <c r="K27" s="156" t="inlineStr">
        <is>
          <t>Saquon Barkley</t>
        </is>
      </c>
      <c r="L27" s="156" t="inlineStr">
        <is>
          <t>Will Shipley</t>
        </is>
      </c>
      <c r="M27" s="156" t="inlineStr">
        <is>
          <t>AJ Dillon</t>
        </is>
      </c>
      <c r="N27" s="156" t="inlineStr">
        <is>
          <t>Tank Bigsby</t>
        </is>
      </c>
      <c r="O27" s="156" t="inlineStr">
        <is>
          <t>Montrell Johnson Jr.</t>
        </is>
      </c>
    </row>
    <row r="28" ht="15.6" customHeight="1" s="152">
      <c r="A28" s="167" t="n">
        <v>27</v>
      </c>
      <c r="B28" s="167">
        <f>VLOOKUP(J28,Matrix!AD:AE,2,0)</f>
        <v/>
      </c>
      <c r="C28" s="167">
        <f>IF(H28="",F28,LEFT(F28,H28-1))</f>
        <v/>
      </c>
      <c r="D28" s="167" t="inlineStr">
        <is>
          <t>RB</t>
        </is>
      </c>
      <c r="E28" s="167">
        <f>IF(H28&lt;&gt;"",RIGHT(F28,LEN(F28)-H28-2),"")</f>
        <v/>
      </c>
      <c r="F28" s="167">
        <f>VLOOKUP(I28,$J:$O,G28,0)</f>
        <v/>
      </c>
      <c r="G28" s="167" t="n">
        <v>2</v>
      </c>
      <c r="H28" s="167">
        <f>IFERROR(FIND(" - ",F28),"")</f>
        <v/>
      </c>
      <c r="I28" s="167">
        <f>J28</f>
        <v/>
      </c>
      <c r="J28" s="156" t="inlineStr">
        <is>
          <t>Falcons</t>
        </is>
      </c>
      <c r="K28" s="156" t="inlineStr">
        <is>
          <t>Bijan Robinson</t>
        </is>
      </c>
      <c r="L28" s="156" t="inlineStr">
        <is>
          <t>Tyler Allgeier</t>
        </is>
      </c>
      <c r="M28" s="156" t="inlineStr">
        <is>
          <t>Carlos Washington Jr.</t>
        </is>
      </c>
      <c r="N28" s="156" t="inlineStr">
        <is>
          <t>Nathan Carter</t>
        </is>
      </c>
      <c r="O28" s="156" t="inlineStr">
        <is>
          <t>Elijah Dotson</t>
        </is>
      </c>
    </row>
    <row r="29" ht="15.6" customHeight="1" s="152">
      <c r="A29" s="167" t="n">
        <v>28</v>
      </c>
      <c r="B29" s="167">
        <f>VLOOKUP(J29,Matrix!AD:AE,2,0)</f>
        <v/>
      </c>
      <c r="C29" s="167">
        <f>IF(H29="",F29,LEFT(F29,H29-1))</f>
        <v/>
      </c>
      <c r="D29" s="167" t="inlineStr">
        <is>
          <t>RB</t>
        </is>
      </c>
      <c r="E29" s="167">
        <f>IF(H29&lt;&gt;"",RIGHT(F29,LEN(F29)-H29-2),"")</f>
        <v/>
      </c>
      <c r="F29" s="167">
        <f>VLOOKUP(I29,$J:$O,G29,0)</f>
        <v/>
      </c>
      <c r="G29" s="167" t="n">
        <v>2</v>
      </c>
      <c r="H29" s="167">
        <f>IFERROR(FIND(" - ",F29),"")</f>
        <v/>
      </c>
      <c r="I29" s="167">
        <f>J29</f>
        <v/>
      </c>
      <c r="J29" s="156" t="inlineStr">
        <is>
          <t>Chargers</t>
        </is>
      </c>
      <c r="K29" s="156" t="inlineStr">
        <is>
          <t>Omarion Hampton</t>
        </is>
      </c>
      <c r="L29" s="156" t="inlineStr">
        <is>
          <t>Najee Harris</t>
        </is>
      </c>
      <c r="M29" s="156" t="inlineStr">
        <is>
          <t>Kimani Vidal</t>
        </is>
      </c>
      <c r="N29" s="156" t="inlineStr">
        <is>
          <t>Hassan Haskins</t>
        </is>
      </c>
      <c r="O29" s="156" t="inlineStr">
        <is>
          <t>Jaret Patterson</t>
        </is>
      </c>
    </row>
    <row r="30" ht="15.6" customHeight="1" s="152">
      <c r="A30" s="167" t="n">
        <v>29</v>
      </c>
      <c r="B30" s="167">
        <f>VLOOKUP(J30,Matrix!AD:AE,2,0)</f>
        <v/>
      </c>
      <c r="C30" s="167">
        <f>IF(H30="",F30,LEFT(F30,H30-1))</f>
        <v/>
      </c>
      <c r="D30" s="167" t="inlineStr">
        <is>
          <t>RB</t>
        </is>
      </c>
      <c r="E30" s="167">
        <f>IF(H30&lt;&gt;"",RIGHT(F30,LEN(F30)-H30-2),"")</f>
        <v/>
      </c>
      <c r="F30" s="167">
        <f>VLOOKUP(I30,$J:$O,G30,0)</f>
        <v/>
      </c>
      <c r="G30" s="167" t="n">
        <v>2</v>
      </c>
      <c r="H30" s="167">
        <f>IFERROR(FIND(" - ",F30),"")</f>
        <v/>
      </c>
      <c r="I30" s="167">
        <f>J30</f>
        <v/>
      </c>
      <c r="J30" s="156" t="inlineStr">
        <is>
          <t>Packers</t>
        </is>
      </c>
      <c r="K30" s="156" t="inlineStr">
        <is>
          <t>Josh Jacobs</t>
        </is>
      </c>
      <c r="L30" s="156" t="inlineStr">
        <is>
          <t>Emanuel Wilson</t>
        </is>
      </c>
      <c r="M30" s="156" t="inlineStr">
        <is>
          <t>Chris Brooks</t>
        </is>
      </c>
      <c r="N30" s="156" t="inlineStr">
        <is>
          <t>MarShawn Lloyd</t>
        </is>
      </c>
      <c r="O30" s="156" t="inlineStr">
        <is>
          <t>Amar Johnson</t>
        </is>
      </c>
    </row>
    <row r="31" ht="15.6" customHeight="1" s="152">
      <c r="A31" s="167" t="n">
        <v>30</v>
      </c>
      <c r="B31" s="167">
        <f>VLOOKUP(J31,Matrix!AD:AE,2,0)</f>
        <v/>
      </c>
      <c r="C31" s="167">
        <f>IF(H31="",F31,LEFT(F31,H31-1))</f>
        <v/>
      </c>
      <c r="D31" s="167" t="inlineStr">
        <is>
          <t>RB</t>
        </is>
      </c>
      <c r="E31" s="167">
        <f>IF(H31&lt;&gt;"",RIGHT(F31,LEN(F31)-H31-2),"")</f>
        <v/>
      </c>
      <c r="F31" s="167">
        <f>VLOOKUP(I31,$J:$O,G31,0)</f>
        <v/>
      </c>
      <c r="G31" s="167" t="n">
        <v>2</v>
      </c>
      <c r="H31" s="167">
        <f>IFERROR(FIND(" - ",F31),"")</f>
        <v/>
      </c>
      <c r="I31" s="167">
        <f>J31</f>
        <v/>
      </c>
      <c r="J31" s="156" t="inlineStr">
        <is>
          <t>Jets</t>
        </is>
      </c>
      <c r="K31" s="156" t="inlineStr">
        <is>
          <t>Breece Hall</t>
        </is>
      </c>
      <c r="L31" s="156" t="inlineStr">
        <is>
          <t>Braelon Allen</t>
        </is>
      </c>
      <c r="M31" s="156" t="inlineStr">
        <is>
          <t>Isaiah Davis</t>
        </is>
      </c>
      <c r="N31" s="156" t="inlineStr">
        <is>
          <t>Kene Nwangwu</t>
        </is>
      </c>
      <c r="O31" s="156" t="inlineStr">
        <is>
          <t>Donovan Edwards</t>
        </is>
      </c>
    </row>
    <row r="32" ht="15.6" customHeight="1" s="152">
      <c r="A32" s="167" t="n">
        <v>31</v>
      </c>
      <c r="B32" s="167">
        <f>VLOOKUP(J32,Matrix!AD:AE,2,0)</f>
        <v/>
      </c>
      <c r="C32" s="167">
        <f>IF(H32="",F32,LEFT(F32,H32-1))</f>
        <v/>
      </c>
      <c r="D32" s="167" t="inlineStr">
        <is>
          <t>RB</t>
        </is>
      </c>
      <c r="E32" s="167">
        <f>IF(H32&lt;&gt;"",RIGHT(F32,LEN(F32)-H32-2),"")</f>
        <v/>
      </c>
      <c r="F32" s="167">
        <f>VLOOKUP(I32,$J:$O,G32,0)</f>
        <v/>
      </c>
      <c r="G32" s="167" t="n">
        <v>2</v>
      </c>
      <c r="H32" s="167">
        <f>IFERROR(FIND(" - ",F32),"")</f>
        <v/>
      </c>
      <c r="I32" s="167">
        <f>J32</f>
        <v/>
      </c>
      <c r="J32" s="156" t="inlineStr">
        <is>
          <t>Colts</t>
        </is>
      </c>
      <c r="K32" s="156" t="inlineStr">
        <is>
          <t>Jonathan Taylor</t>
        </is>
      </c>
      <c r="L32" s="156" t="inlineStr">
        <is>
          <t>Tyler Goodson</t>
        </is>
      </c>
      <c r="M32" s="156" t="inlineStr">
        <is>
          <t>DJ Giddens</t>
        </is>
      </c>
      <c r="N32" s="156" t="inlineStr">
        <is>
          <t>Khalil Herbert</t>
        </is>
      </c>
      <c r="O32" s="156" t="inlineStr">
        <is>
          <t>Salvon Ahmed</t>
        </is>
      </c>
    </row>
    <row r="33" ht="15.6" customHeight="1" s="152">
      <c r="A33" s="167" t="n">
        <v>32</v>
      </c>
      <c r="B33" s="167">
        <f>VLOOKUP(J33,Matrix!AD:AE,2,0)</f>
        <v/>
      </c>
      <c r="C33" s="167">
        <f>IF(H33="",F33,LEFT(F33,H33-1))</f>
        <v/>
      </c>
      <c r="D33" s="167" t="inlineStr">
        <is>
          <t>RB</t>
        </is>
      </c>
      <c r="E33" s="167">
        <f>IF(H33&lt;&gt;"",RIGHT(F33,LEN(F33)-H33-2),"")</f>
        <v/>
      </c>
      <c r="F33" s="167">
        <f>VLOOKUP(I33,$J:$O,G33,0)</f>
        <v/>
      </c>
      <c r="G33" s="167" t="n">
        <v>2</v>
      </c>
      <c r="H33" s="167">
        <f>IFERROR(FIND(" - ",F33),"")</f>
        <v/>
      </c>
      <c r="I33" s="167">
        <f>J33</f>
        <v/>
      </c>
      <c r="J33" s="156" t="inlineStr">
        <is>
          <t>Saints</t>
        </is>
      </c>
      <c r="K33" s="156" t="inlineStr">
        <is>
          <t>Alvin Kamara</t>
        </is>
      </c>
      <c r="L33" s="156" t="inlineStr">
        <is>
          <t>Kendre Miller</t>
        </is>
      </c>
      <c r="M33" s="156" t="inlineStr">
        <is>
          <t>Devin Neal</t>
        </is>
      </c>
      <c r="N33" s="156" t="inlineStr">
        <is>
          <t>Velus Jones Jr.</t>
        </is>
      </c>
      <c r="O33" s="156" t="inlineStr">
        <is>
          <t>Cam Akers</t>
        </is>
      </c>
    </row>
    <row r="34" ht="14.4" customHeight="1" s="152">
      <c r="A34" s="167" t="n">
        <v>33</v>
      </c>
      <c r="B34" s="167">
        <f>B2</f>
        <v/>
      </c>
      <c r="C34" s="167">
        <f>IF(H34="",F34,LEFT(F34,H34-1))</f>
        <v/>
      </c>
      <c r="D34" s="167" t="inlineStr">
        <is>
          <t>RB</t>
        </is>
      </c>
      <c r="E34" s="167">
        <f>IF(H34&lt;&gt;"",RIGHT(F34,LEN(F34)-H34-2),"")</f>
        <v/>
      </c>
      <c r="F34" s="167">
        <f>VLOOKUP(I34,$J:$O,G34,0)</f>
        <v/>
      </c>
      <c r="G34" s="167">
        <f>G2+1</f>
        <v/>
      </c>
      <c r="H34" s="167">
        <f>IFERROR(FIND(" - ",F34),"")</f>
        <v/>
      </c>
      <c r="I34" s="167">
        <f>I2</f>
        <v/>
      </c>
    </row>
    <row r="35" ht="14.4" customHeight="1" s="152">
      <c r="A35" s="167" t="n">
        <v>34</v>
      </c>
      <c r="B35" s="167">
        <f>B3</f>
        <v/>
      </c>
      <c r="C35" s="167">
        <f>IF(H35="",F35,LEFT(F35,H35-1))</f>
        <v/>
      </c>
      <c r="D35" s="167" t="inlineStr">
        <is>
          <t>RB</t>
        </is>
      </c>
      <c r="E35" s="167">
        <f>IF(H35&lt;&gt;"",RIGHT(F35,LEN(F35)-H35-2),"")</f>
        <v/>
      </c>
      <c r="F35" s="167">
        <f>VLOOKUP(I35,$J:$O,G35,0)</f>
        <v/>
      </c>
      <c r="G35" s="167">
        <f>G3+1</f>
        <v/>
      </c>
      <c r="H35" s="167">
        <f>IFERROR(FIND(" - ",F35),"")</f>
        <v/>
      </c>
      <c r="I35" s="167">
        <f>I3</f>
        <v/>
      </c>
    </row>
    <row r="36" ht="14.4" customHeight="1" s="152">
      <c r="A36" s="167" t="n">
        <v>35</v>
      </c>
      <c r="B36" s="167">
        <f>B4</f>
        <v/>
      </c>
      <c r="C36" s="167">
        <f>IF(H36="",F36,LEFT(F36,H36-1))</f>
        <v/>
      </c>
      <c r="D36" s="167" t="inlineStr">
        <is>
          <t>RB</t>
        </is>
      </c>
      <c r="E36" s="167">
        <f>IF(H36&lt;&gt;"",RIGHT(F36,LEN(F36)-H36-2),"")</f>
        <v/>
      </c>
      <c r="F36" s="167">
        <f>VLOOKUP(I36,$J:$O,G36,0)</f>
        <v/>
      </c>
      <c r="G36" s="167">
        <f>G4+1</f>
        <v/>
      </c>
      <c r="H36" s="167">
        <f>IFERROR(FIND(" - ",F36),"")</f>
        <v/>
      </c>
      <c r="I36" s="167">
        <f>I4</f>
        <v/>
      </c>
    </row>
    <row r="37" ht="14.4" customHeight="1" s="152">
      <c r="A37" s="167" t="n">
        <v>36</v>
      </c>
      <c r="B37" s="167">
        <f>B5</f>
        <v/>
      </c>
      <c r="C37" s="167">
        <f>IF(H37="",F37,LEFT(F37,H37-1))</f>
        <v/>
      </c>
      <c r="D37" s="167" t="inlineStr">
        <is>
          <t>RB</t>
        </is>
      </c>
      <c r="E37" s="167">
        <f>IF(H37&lt;&gt;"",RIGHT(F37,LEN(F37)-H37-2),"")</f>
        <v/>
      </c>
      <c r="F37" s="167">
        <f>VLOOKUP(I37,$J:$O,G37,0)</f>
        <v/>
      </c>
      <c r="G37" s="167">
        <f>G5+1</f>
        <v/>
      </c>
      <c r="H37" s="167">
        <f>IFERROR(FIND(" - ",F37),"")</f>
        <v/>
      </c>
      <c r="I37" s="167">
        <f>I5</f>
        <v/>
      </c>
    </row>
    <row r="38" ht="14.4" customHeight="1" s="152">
      <c r="A38" s="167" t="n">
        <v>37</v>
      </c>
      <c r="B38" s="167">
        <f>B6</f>
        <v/>
      </c>
      <c r="C38" s="167">
        <f>IF(H38="",F38,LEFT(F38,H38-1))</f>
        <v/>
      </c>
      <c r="D38" s="167" t="inlineStr">
        <is>
          <t>RB</t>
        </is>
      </c>
      <c r="E38" s="167">
        <f>IF(H38&lt;&gt;"",RIGHT(F38,LEN(F38)-H38-2),"")</f>
        <v/>
      </c>
      <c r="F38" s="167">
        <f>VLOOKUP(I38,$J:$O,G38,0)</f>
        <v/>
      </c>
      <c r="G38" s="167">
        <f>G6+1</f>
        <v/>
      </c>
      <c r="H38" s="167">
        <f>IFERROR(FIND(" - ",F38),"")</f>
        <v/>
      </c>
      <c r="I38" s="167">
        <f>I6</f>
        <v/>
      </c>
    </row>
    <row r="39" ht="14.4" customHeight="1" s="152">
      <c r="A39" s="167" t="n">
        <v>38</v>
      </c>
      <c r="B39" s="167">
        <f>B7</f>
        <v/>
      </c>
      <c r="C39" s="167">
        <f>IF(H39="",F39,LEFT(F39,H39-1))</f>
        <v/>
      </c>
      <c r="D39" s="167" t="inlineStr">
        <is>
          <t>RB</t>
        </is>
      </c>
      <c r="E39" s="167">
        <f>IF(H39&lt;&gt;"",RIGHT(F39,LEN(F39)-H39-2),"")</f>
        <v/>
      </c>
      <c r="F39" s="167">
        <f>VLOOKUP(I39,$J:$O,G39,0)</f>
        <v/>
      </c>
      <c r="G39" s="167">
        <f>G7+1</f>
        <v/>
      </c>
      <c r="H39" s="167">
        <f>IFERROR(FIND(" - ",F39),"")</f>
        <v/>
      </c>
      <c r="I39" s="167">
        <f>I7</f>
        <v/>
      </c>
    </row>
    <row r="40" ht="14.4" customHeight="1" s="152">
      <c r="A40" s="167" t="n">
        <v>39</v>
      </c>
      <c r="B40" s="167">
        <f>B8</f>
        <v/>
      </c>
      <c r="C40" s="167">
        <f>IF(H40="",F40,LEFT(F40,H40-1))</f>
        <v/>
      </c>
      <c r="D40" s="167" t="inlineStr">
        <is>
          <t>RB</t>
        </is>
      </c>
      <c r="E40" s="167">
        <f>IF(H40&lt;&gt;"",RIGHT(F40,LEN(F40)-H40-2),"")</f>
        <v/>
      </c>
      <c r="F40" s="167">
        <f>VLOOKUP(I40,$J:$O,G40,0)</f>
        <v/>
      </c>
      <c r="G40" s="167">
        <f>G8+1</f>
        <v/>
      </c>
      <c r="H40" s="167">
        <f>IFERROR(FIND(" - ",F40),"")</f>
        <v/>
      </c>
      <c r="I40" s="167">
        <f>I8</f>
        <v/>
      </c>
    </row>
    <row r="41" ht="14.4" customHeight="1" s="152">
      <c r="A41" s="167" t="n">
        <v>40</v>
      </c>
      <c r="B41" s="167">
        <f>B9</f>
        <v/>
      </c>
      <c r="C41" s="167">
        <f>IF(H41="",F41,LEFT(F41,H41-1))</f>
        <v/>
      </c>
      <c r="D41" s="167" t="inlineStr">
        <is>
          <t>RB</t>
        </is>
      </c>
      <c r="E41" s="167">
        <f>IF(H41&lt;&gt;"",RIGHT(F41,LEN(F41)-H41-2),"")</f>
        <v/>
      </c>
      <c r="F41" s="167">
        <f>VLOOKUP(I41,$J:$O,G41,0)</f>
        <v/>
      </c>
      <c r="G41" s="167">
        <f>G9+1</f>
        <v/>
      </c>
      <c r="H41" s="167">
        <f>IFERROR(FIND(" - ",F41),"")</f>
        <v/>
      </c>
      <c r="I41" s="167">
        <f>I9</f>
        <v/>
      </c>
    </row>
    <row r="42" ht="14.4" customHeight="1" s="152">
      <c r="A42" s="167" t="n">
        <v>41</v>
      </c>
      <c r="B42" s="167">
        <f>B10</f>
        <v/>
      </c>
      <c r="C42" s="167">
        <f>IF(H42="",F42,LEFT(F42,H42-1))</f>
        <v/>
      </c>
      <c r="D42" s="167" t="inlineStr">
        <is>
          <t>RB</t>
        </is>
      </c>
      <c r="E42" s="167">
        <f>IF(H42&lt;&gt;"",RIGHT(F42,LEN(F42)-H42-2),"")</f>
        <v/>
      </c>
      <c r="F42" s="167">
        <f>VLOOKUP(I42,$J:$O,G42,0)</f>
        <v/>
      </c>
      <c r="G42" s="167">
        <f>G10+1</f>
        <v/>
      </c>
      <c r="H42" s="167">
        <f>IFERROR(FIND(" - ",F42),"")</f>
        <v/>
      </c>
      <c r="I42" s="167">
        <f>I10</f>
        <v/>
      </c>
    </row>
    <row r="43" ht="14.4" customHeight="1" s="152">
      <c r="A43" s="167" t="n">
        <v>42</v>
      </c>
      <c r="B43" s="167">
        <f>B11</f>
        <v/>
      </c>
      <c r="C43" s="167">
        <f>IF(H43="",F43,LEFT(F43,H43-1))</f>
        <v/>
      </c>
      <c r="D43" s="167" t="inlineStr">
        <is>
          <t>RB</t>
        </is>
      </c>
      <c r="E43" s="167">
        <f>IF(H43&lt;&gt;"",RIGHT(F43,LEN(F43)-H43-2),"")</f>
        <v/>
      </c>
      <c r="F43" s="167">
        <f>VLOOKUP(I43,$J:$O,G43,0)</f>
        <v/>
      </c>
      <c r="G43" s="167">
        <f>G11+1</f>
        <v/>
      </c>
      <c r="H43" s="167">
        <f>IFERROR(FIND(" - ",F43),"")</f>
        <v/>
      </c>
      <c r="I43" s="167">
        <f>I11</f>
        <v/>
      </c>
    </row>
    <row r="44" ht="14.4" customHeight="1" s="152">
      <c r="A44" s="167" t="n">
        <v>43</v>
      </c>
      <c r="B44" s="167">
        <f>B12</f>
        <v/>
      </c>
      <c r="C44" s="167">
        <f>IF(H44="",F44,LEFT(F44,H44-1))</f>
        <v/>
      </c>
      <c r="D44" s="167" t="inlineStr">
        <is>
          <t>RB</t>
        </is>
      </c>
      <c r="E44" s="167">
        <f>IF(H44&lt;&gt;"",RIGHT(F44,LEN(F44)-H44-2),"")</f>
        <v/>
      </c>
      <c r="F44" s="167">
        <f>VLOOKUP(I44,$J:$O,G44,0)</f>
        <v/>
      </c>
      <c r="G44" s="167">
        <f>G12+1</f>
        <v/>
      </c>
      <c r="H44" s="167">
        <f>IFERROR(FIND(" - ",F44),"")</f>
        <v/>
      </c>
      <c r="I44" s="167">
        <f>I12</f>
        <v/>
      </c>
    </row>
    <row r="45" ht="14.4" customHeight="1" s="152">
      <c r="A45" s="167" t="n">
        <v>44</v>
      </c>
      <c r="B45" s="167">
        <f>B13</f>
        <v/>
      </c>
      <c r="C45" s="167">
        <f>IF(H45="",F45,LEFT(F45,H45-1))</f>
        <v/>
      </c>
      <c r="D45" s="167" t="inlineStr">
        <is>
          <t>RB</t>
        </is>
      </c>
      <c r="E45" s="167">
        <f>IF(H45&lt;&gt;"",RIGHT(F45,LEN(F45)-H45-2),"")</f>
        <v/>
      </c>
      <c r="F45" s="167">
        <f>VLOOKUP(I45,$J:$O,G45,0)</f>
        <v/>
      </c>
      <c r="G45" s="167">
        <f>G13+1</f>
        <v/>
      </c>
      <c r="H45" s="167">
        <f>IFERROR(FIND(" - ",F45),"")</f>
        <v/>
      </c>
      <c r="I45" s="167">
        <f>I13</f>
        <v/>
      </c>
    </row>
    <row r="46" ht="14.4" customHeight="1" s="152">
      <c r="A46" s="167" t="n">
        <v>45</v>
      </c>
      <c r="B46" s="167">
        <f>B14</f>
        <v/>
      </c>
      <c r="C46" s="167">
        <f>IF(H46="",F46,LEFT(F46,H46-1))</f>
        <v/>
      </c>
      <c r="D46" s="167" t="inlineStr">
        <is>
          <t>RB</t>
        </is>
      </c>
      <c r="E46" s="167">
        <f>IF(H46&lt;&gt;"",RIGHT(F46,LEN(F46)-H46-2),"")</f>
        <v/>
      </c>
      <c r="F46" s="167">
        <f>VLOOKUP(I46,$J:$O,G46,0)</f>
        <v/>
      </c>
      <c r="G46" s="167">
        <f>G14+1</f>
        <v/>
      </c>
      <c r="H46" s="167">
        <f>IFERROR(FIND(" - ",F46),"")</f>
        <v/>
      </c>
      <c r="I46" s="167">
        <f>I14</f>
        <v/>
      </c>
    </row>
    <row r="47" ht="14.4" customHeight="1" s="152">
      <c r="A47" s="167" t="n">
        <v>46</v>
      </c>
      <c r="B47" s="167">
        <f>B15</f>
        <v/>
      </c>
      <c r="C47" s="167">
        <f>IF(H47="",F47,LEFT(F47,H47-1))</f>
        <v/>
      </c>
      <c r="D47" s="167" t="inlineStr">
        <is>
          <t>RB</t>
        </is>
      </c>
      <c r="E47" s="167">
        <f>IF(H47&lt;&gt;"",RIGHT(F47,LEN(F47)-H47-2),"")</f>
        <v/>
      </c>
      <c r="F47" s="167">
        <f>VLOOKUP(I47,$J:$O,G47,0)</f>
        <v/>
      </c>
      <c r="G47" s="167">
        <f>G15+1</f>
        <v/>
      </c>
      <c r="H47" s="167">
        <f>IFERROR(FIND(" - ",F47),"")</f>
        <v/>
      </c>
      <c r="I47" s="167">
        <f>I15</f>
        <v/>
      </c>
    </row>
    <row r="48" ht="14.4" customHeight="1" s="152">
      <c r="A48" s="167" t="n">
        <v>47</v>
      </c>
      <c r="B48" s="167">
        <f>B16</f>
        <v/>
      </c>
      <c r="C48" s="167">
        <f>IF(H48="",F48,LEFT(F48,H48-1))</f>
        <v/>
      </c>
      <c r="D48" s="167" t="inlineStr">
        <is>
          <t>RB</t>
        </is>
      </c>
      <c r="E48" s="167">
        <f>IF(H48&lt;&gt;"",RIGHT(F48,LEN(F48)-H48-2),"")</f>
        <v/>
      </c>
      <c r="F48" s="167">
        <f>VLOOKUP(I48,$J:$O,G48,0)</f>
        <v/>
      </c>
      <c r="G48" s="167">
        <f>G16+1</f>
        <v/>
      </c>
      <c r="H48" s="167">
        <f>IFERROR(FIND(" - ",F48),"")</f>
        <v/>
      </c>
      <c r="I48" s="167">
        <f>I16</f>
        <v/>
      </c>
    </row>
    <row r="49" ht="14.4" customHeight="1" s="152">
      <c r="A49" s="167" t="n">
        <v>48</v>
      </c>
      <c r="B49" s="167">
        <f>B17</f>
        <v/>
      </c>
      <c r="C49" s="167">
        <f>IF(H49="",F49,LEFT(F49,H49-1))</f>
        <v/>
      </c>
      <c r="D49" s="167" t="inlineStr">
        <is>
          <t>RB</t>
        </is>
      </c>
      <c r="E49" s="167">
        <f>IF(H49&lt;&gt;"",RIGHT(F49,LEN(F49)-H49-2),"")</f>
        <v/>
      </c>
      <c r="F49" s="167">
        <f>VLOOKUP(I49,$J:$O,G49,0)</f>
        <v/>
      </c>
      <c r="G49" s="167">
        <f>G17+1</f>
        <v/>
      </c>
      <c r="H49" s="167">
        <f>IFERROR(FIND(" - ",F49),"")</f>
        <v/>
      </c>
      <c r="I49" s="167">
        <f>I17</f>
        <v/>
      </c>
    </row>
    <row r="50" ht="14.4" customHeight="1" s="152">
      <c r="A50" s="167" t="n">
        <v>49</v>
      </c>
      <c r="B50" s="167">
        <f>B18</f>
        <v/>
      </c>
      <c r="C50" s="167">
        <f>IF(H50="",F50,LEFT(F50,H50-1))</f>
        <v/>
      </c>
      <c r="D50" s="167" t="inlineStr">
        <is>
          <t>RB</t>
        </is>
      </c>
      <c r="E50" s="167">
        <f>IF(H50&lt;&gt;"",RIGHT(F50,LEN(F50)-H50-2),"")</f>
        <v/>
      </c>
      <c r="F50" s="167">
        <f>VLOOKUP(I50,$J:$O,G50,0)</f>
        <v/>
      </c>
      <c r="G50" s="167">
        <f>G18+1</f>
        <v/>
      </c>
      <c r="H50" s="167">
        <f>IFERROR(FIND(" - ",F50),"")</f>
        <v/>
      </c>
      <c r="I50" s="167">
        <f>I18</f>
        <v/>
      </c>
    </row>
    <row r="51" ht="14.4" customHeight="1" s="152">
      <c r="A51" s="167" t="n">
        <v>50</v>
      </c>
      <c r="B51" s="167">
        <f>B19</f>
        <v/>
      </c>
      <c r="C51" s="167">
        <f>IF(H51="",F51,LEFT(F51,H51-1))</f>
        <v/>
      </c>
      <c r="D51" s="167" t="inlineStr">
        <is>
          <t>RB</t>
        </is>
      </c>
      <c r="E51" s="167">
        <f>IF(H51&lt;&gt;"",RIGHT(F51,LEN(F51)-H51-2),"")</f>
        <v/>
      </c>
      <c r="F51" s="167">
        <f>VLOOKUP(I51,$J:$O,G51,0)</f>
        <v/>
      </c>
      <c r="G51" s="167">
        <f>G19+1</f>
        <v/>
      </c>
      <c r="H51" s="167">
        <f>IFERROR(FIND(" - ",F51),"")</f>
        <v/>
      </c>
      <c r="I51" s="167">
        <f>I19</f>
        <v/>
      </c>
    </row>
    <row r="52" ht="14.4" customHeight="1" s="152">
      <c r="A52" s="167" t="n">
        <v>51</v>
      </c>
      <c r="B52" s="167">
        <f>B20</f>
        <v/>
      </c>
      <c r="C52" s="167">
        <f>IF(H52="",F52,LEFT(F52,H52-1))</f>
        <v/>
      </c>
      <c r="D52" s="167" t="inlineStr">
        <is>
          <t>RB</t>
        </is>
      </c>
      <c r="E52" s="167">
        <f>IF(H52&lt;&gt;"",RIGHT(F52,LEN(F52)-H52-2),"")</f>
        <v/>
      </c>
      <c r="F52" s="167">
        <f>VLOOKUP(I52,$J:$O,G52,0)</f>
        <v/>
      </c>
      <c r="G52" s="167">
        <f>G20+1</f>
        <v/>
      </c>
      <c r="H52" s="167">
        <f>IFERROR(FIND(" - ",F52),"")</f>
        <v/>
      </c>
      <c r="I52" s="167">
        <f>I20</f>
        <v/>
      </c>
    </row>
    <row r="53" ht="14.4" customHeight="1" s="152">
      <c r="A53" s="167" t="n">
        <v>52</v>
      </c>
      <c r="B53" s="167">
        <f>B21</f>
        <v/>
      </c>
      <c r="C53" s="167">
        <f>IF(H53="",F53,LEFT(F53,H53-1))</f>
        <v/>
      </c>
      <c r="D53" s="167" t="inlineStr">
        <is>
          <t>RB</t>
        </is>
      </c>
      <c r="E53" s="167">
        <f>IF(H53&lt;&gt;"",RIGHT(F53,LEN(F53)-H53-2),"")</f>
        <v/>
      </c>
      <c r="F53" s="167">
        <f>VLOOKUP(I53,$J:$O,G53,0)</f>
        <v/>
      </c>
      <c r="G53" s="167">
        <f>G21+1</f>
        <v/>
      </c>
      <c r="H53" s="167">
        <f>IFERROR(FIND(" - ",F53),"")</f>
        <v/>
      </c>
      <c r="I53" s="167">
        <f>I21</f>
        <v/>
      </c>
    </row>
    <row r="54" ht="14.4" customHeight="1" s="152">
      <c r="A54" s="167" t="n">
        <v>53</v>
      </c>
      <c r="B54" s="167">
        <f>B22</f>
        <v/>
      </c>
      <c r="C54" s="167">
        <f>IF(H54="",F54,LEFT(F54,H54-1))</f>
        <v/>
      </c>
      <c r="D54" s="167" t="inlineStr">
        <is>
          <t>RB</t>
        </is>
      </c>
      <c r="E54" s="167">
        <f>IF(H54&lt;&gt;"",RIGHT(F54,LEN(F54)-H54-2),"")</f>
        <v/>
      </c>
      <c r="F54" s="167">
        <f>VLOOKUP(I54,$J:$O,G54,0)</f>
        <v/>
      </c>
      <c r="G54" s="167">
        <f>G22+1</f>
        <v/>
      </c>
      <c r="H54" s="167">
        <f>IFERROR(FIND(" - ",F54),"")</f>
        <v/>
      </c>
      <c r="I54" s="167">
        <f>I22</f>
        <v/>
      </c>
    </row>
    <row r="55" ht="14.4" customHeight="1" s="152">
      <c r="A55" s="167" t="n">
        <v>54</v>
      </c>
      <c r="B55" s="167">
        <f>B23</f>
        <v/>
      </c>
      <c r="C55" s="167">
        <f>IF(H55="",F55,LEFT(F55,H55-1))</f>
        <v/>
      </c>
      <c r="D55" s="167" t="inlineStr">
        <is>
          <t>RB</t>
        </is>
      </c>
      <c r="E55" s="167">
        <f>IF(H55&lt;&gt;"",RIGHT(F55,LEN(F55)-H55-2),"")</f>
        <v/>
      </c>
      <c r="F55" s="167">
        <f>VLOOKUP(I55,$J:$O,G55,0)</f>
        <v/>
      </c>
      <c r="G55" s="167">
        <f>G23+1</f>
        <v/>
      </c>
      <c r="H55" s="167">
        <f>IFERROR(FIND(" - ",F55),"")</f>
        <v/>
      </c>
      <c r="I55" s="167">
        <f>I23</f>
        <v/>
      </c>
    </row>
    <row r="56" ht="14.4" customHeight="1" s="152">
      <c r="A56" s="167" t="n">
        <v>55</v>
      </c>
      <c r="B56" s="167">
        <f>B24</f>
        <v/>
      </c>
      <c r="C56" s="167">
        <f>IF(H56="",F56,LEFT(F56,H56-1))</f>
        <v/>
      </c>
      <c r="D56" s="167" t="inlineStr">
        <is>
          <t>RB</t>
        </is>
      </c>
      <c r="E56" s="167">
        <f>IF(H56&lt;&gt;"",RIGHT(F56,LEN(F56)-H56-2),"")</f>
        <v/>
      </c>
      <c r="F56" s="167">
        <f>VLOOKUP(I56,$J:$O,G56,0)</f>
        <v/>
      </c>
      <c r="G56" s="167">
        <f>G24+1</f>
        <v/>
      </c>
      <c r="H56" s="167">
        <f>IFERROR(FIND(" - ",F56),"")</f>
        <v/>
      </c>
      <c r="I56" s="167">
        <f>I24</f>
        <v/>
      </c>
    </row>
    <row r="57" ht="14.4" customHeight="1" s="152">
      <c r="A57" s="167" t="n">
        <v>56</v>
      </c>
      <c r="B57" s="167">
        <f>B25</f>
        <v/>
      </c>
      <c r="C57" s="167">
        <f>IF(H57="",F57,LEFT(F57,H57-1))</f>
        <v/>
      </c>
      <c r="D57" s="167" t="inlineStr">
        <is>
          <t>RB</t>
        </is>
      </c>
      <c r="E57" s="167">
        <f>IF(H57&lt;&gt;"",RIGHT(F57,LEN(F57)-H57-2),"")</f>
        <v/>
      </c>
      <c r="F57" s="167">
        <f>VLOOKUP(I57,$J:$O,G57,0)</f>
        <v/>
      </c>
      <c r="G57" s="167">
        <f>G25+1</f>
        <v/>
      </c>
      <c r="H57" s="167">
        <f>IFERROR(FIND(" - ",F57),"")</f>
        <v/>
      </c>
      <c r="I57" s="167">
        <f>I25</f>
        <v/>
      </c>
    </row>
    <row r="58" ht="14.4" customHeight="1" s="152">
      <c r="A58" s="167" t="n">
        <v>57</v>
      </c>
      <c r="B58" s="167">
        <f>B26</f>
        <v/>
      </c>
      <c r="C58" s="167">
        <f>IF(H58="",F58,LEFT(F58,H58-1))</f>
        <v/>
      </c>
      <c r="D58" s="167" t="inlineStr">
        <is>
          <t>RB</t>
        </is>
      </c>
      <c r="E58" s="167">
        <f>IF(H58&lt;&gt;"",RIGHT(F58,LEN(F58)-H58-2),"")</f>
        <v/>
      </c>
      <c r="F58" s="167">
        <f>VLOOKUP(I58,$J:$O,G58,0)</f>
        <v/>
      </c>
      <c r="G58" s="167">
        <f>G26+1</f>
        <v/>
      </c>
      <c r="H58" s="167">
        <f>IFERROR(FIND(" - ",F58),"")</f>
        <v/>
      </c>
      <c r="I58" s="167">
        <f>I26</f>
        <v/>
      </c>
    </row>
    <row r="59" ht="14.4" customHeight="1" s="152">
      <c r="A59" s="167" t="n">
        <v>58</v>
      </c>
      <c r="B59" s="167">
        <f>B27</f>
        <v/>
      </c>
      <c r="C59" s="167">
        <f>IF(H59="",F59,LEFT(F59,H59-1))</f>
        <v/>
      </c>
      <c r="D59" s="167" t="inlineStr">
        <is>
          <t>RB</t>
        </is>
      </c>
      <c r="E59" s="167">
        <f>IF(H59&lt;&gt;"",RIGHT(F59,LEN(F59)-H59-2),"")</f>
        <v/>
      </c>
      <c r="F59" s="167">
        <f>VLOOKUP(I59,$J:$O,G59,0)</f>
        <v/>
      </c>
      <c r="G59" s="167">
        <f>G27+1</f>
        <v/>
      </c>
      <c r="H59" s="167">
        <f>IFERROR(FIND(" - ",F59),"")</f>
        <v/>
      </c>
      <c r="I59" s="167">
        <f>I27</f>
        <v/>
      </c>
    </row>
    <row r="60" ht="14.4" customHeight="1" s="152">
      <c r="A60" s="167" t="n">
        <v>59</v>
      </c>
      <c r="B60" s="167">
        <f>B28</f>
        <v/>
      </c>
      <c r="C60" s="167">
        <f>IF(H60="",F60,LEFT(F60,H60-1))</f>
        <v/>
      </c>
      <c r="D60" s="167" t="inlineStr">
        <is>
          <t>RB</t>
        </is>
      </c>
      <c r="E60" s="167">
        <f>IF(H60&lt;&gt;"",RIGHT(F60,LEN(F60)-H60-2),"")</f>
        <v/>
      </c>
      <c r="F60" s="167">
        <f>VLOOKUP(I60,$J:$O,G60,0)</f>
        <v/>
      </c>
      <c r="G60" s="167">
        <f>G28+1</f>
        <v/>
      </c>
      <c r="H60" s="167">
        <f>IFERROR(FIND(" - ",F60),"")</f>
        <v/>
      </c>
      <c r="I60" s="167">
        <f>I28</f>
        <v/>
      </c>
    </row>
    <row r="61" ht="14.4" customHeight="1" s="152">
      <c r="A61" s="167" t="n">
        <v>60</v>
      </c>
      <c r="B61" s="167">
        <f>B29</f>
        <v/>
      </c>
      <c r="C61" s="167">
        <f>IF(H61="",F61,LEFT(F61,H61-1))</f>
        <v/>
      </c>
      <c r="D61" s="167" t="inlineStr">
        <is>
          <t>RB</t>
        </is>
      </c>
      <c r="E61" s="167">
        <f>IF(H61&lt;&gt;"",RIGHT(F61,LEN(F61)-H61-2),"")</f>
        <v/>
      </c>
      <c r="F61" s="167">
        <f>VLOOKUP(I61,$J:$O,G61,0)</f>
        <v/>
      </c>
      <c r="G61" s="167">
        <f>G29+1</f>
        <v/>
      </c>
      <c r="H61" s="167">
        <f>IFERROR(FIND(" - ",F61),"")</f>
        <v/>
      </c>
      <c r="I61" s="167">
        <f>I29</f>
        <v/>
      </c>
    </row>
    <row r="62" ht="14.4" customHeight="1" s="152">
      <c r="A62" s="167" t="n">
        <v>61</v>
      </c>
      <c r="B62" s="167">
        <f>B30</f>
        <v/>
      </c>
      <c r="C62" s="167">
        <f>IF(H62="",F62,LEFT(F62,H62-1))</f>
        <v/>
      </c>
      <c r="D62" s="167" t="inlineStr">
        <is>
          <t>RB</t>
        </is>
      </c>
      <c r="E62" s="167">
        <f>IF(H62&lt;&gt;"",RIGHT(F62,LEN(F62)-H62-2),"")</f>
        <v/>
      </c>
      <c r="F62" s="167">
        <f>VLOOKUP(I62,$J:$O,G62,0)</f>
        <v/>
      </c>
      <c r="G62" s="167">
        <f>G30+1</f>
        <v/>
      </c>
      <c r="H62" s="167">
        <f>IFERROR(FIND(" - ",F62),"")</f>
        <v/>
      </c>
      <c r="I62" s="167">
        <f>I30</f>
        <v/>
      </c>
    </row>
    <row r="63" ht="14.4" customHeight="1" s="152">
      <c r="A63" s="167" t="n">
        <v>62</v>
      </c>
      <c r="B63" s="167">
        <f>B31</f>
        <v/>
      </c>
      <c r="C63" s="167">
        <f>IF(H63="",F63,LEFT(F63,H63-1))</f>
        <v/>
      </c>
      <c r="D63" s="167" t="inlineStr">
        <is>
          <t>RB</t>
        </is>
      </c>
      <c r="E63" s="167">
        <f>IF(H63&lt;&gt;"",RIGHT(F63,LEN(F63)-H63-2),"")</f>
        <v/>
      </c>
      <c r="F63" s="167">
        <f>VLOOKUP(I63,$J:$O,G63,0)</f>
        <v/>
      </c>
      <c r="G63" s="167">
        <f>G31+1</f>
        <v/>
      </c>
      <c r="H63" s="167">
        <f>IFERROR(FIND(" - ",F63),"")</f>
        <v/>
      </c>
      <c r="I63" s="167">
        <f>I31</f>
        <v/>
      </c>
    </row>
    <row r="64" ht="14.4" customHeight="1" s="152">
      <c r="A64" s="167" t="n">
        <v>63</v>
      </c>
      <c r="B64" s="167">
        <f>B32</f>
        <v/>
      </c>
      <c r="C64" s="167">
        <f>IF(H64="",F64,LEFT(F64,H64-1))</f>
        <v/>
      </c>
      <c r="D64" s="167" t="inlineStr">
        <is>
          <t>RB</t>
        </is>
      </c>
      <c r="E64" s="167">
        <f>IF(H64&lt;&gt;"",RIGHT(F64,LEN(F64)-H64-2),"")</f>
        <v/>
      </c>
      <c r="F64" s="167">
        <f>VLOOKUP(I64,$J:$O,G64,0)</f>
        <v/>
      </c>
      <c r="G64" s="167">
        <f>G32+1</f>
        <v/>
      </c>
      <c r="H64" s="167">
        <f>IFERROR(FIND(" - ",F64),"")</f>
        <v/>
      </c>
      <c r="I64" s="167">
        <f>I32</f>
        <v/>
      </c>
    </row>
    <row r="65" ht="14.4" customHeight="1" s="152">
      <c r="A65" s="167" t="n">
        <v>64</v>
      </c>
      <c r="B65" s="167">
        <f>B33</f>
        <v/>
      </c>
      <c r="C65" s="167">
        <f>IF(H65="",F65,LEFT(F65,H65-1))</f>
        <v/>
      </c>
      <c r="D65" s="167" t="inlineStr">
        <is>
          <t>RB</t>
        </is>
      </c>
      <c r="E65" s="167">
        <f>IF(H65&lt;&gt;"",RIGHT(F65,LEN(F65)-H65-2),"")</f>
        <v/>
      </c>
      <c r="F65" s="167">
        <f>VLOOKUP(I65,$J:$O,G65,0)</f>
        <v/>
      </c>
      <c r="G65" s="167">
        <f>G33+1</f>
        <v/>
      </c>
      <c r="H65" s="167">
        <f>IFERROR(FIND(" - ",F65),"")</f>
        <v/>
      </c>
      <c r="I65" s="167">
        <f>I33</f>
        <v/>
      </c>
    </row>
    <row r="66" ht="14.4" customHeight="1" s="152">
      <c r="A66" s="167" t="n">
        <v>65</v>
      </c>
      <c r="B66" s="167">
        <f>B34</f>
        <v/>
      </c>
      <c r="C66" s="167">
        <f>IF(H66="",F66,LEFT(F66,H66-1))</f>
        <v/>
      </c>
      <c r="D66" s="167" t="inlineStr">
        <is>
          <t>RB</t>
        </is>
      </c>
      <c r="E66" s="167">
        <f>IF(H66&lt;&gt;"",RIGHT(F66,LEN(F66)-H66-2),"")</f>
        <v/>
      </c>
      <c r="F66" s="167">
        <f>VLOOKUP(I66,$J:$O,G66,0)</f>
        <v/>
      </c>
      <c r="G66" s="167">
        <f>G34+1</f>
        <v/>
      </c>
      <c r="H66" s="167">
        <f>IFERROR(FIND(" - ",F66),"")</f>
        <v/>
      </c>
      <c r="I66" s="167">
        <f>I34</f>
        <v/>
      </c>
    </row>
    <row r="67" ht="14.4" customHeight="1" s="152">
      <c r="A67" s="167" t="n">
        <v>66</v>
      </c>
      <c r="B67" s="167">
        <f>B35</f>
        <v/>
      </c>
      <c r="C67" s="167">
        <f>IF(H67="",F67,LEFT(F67,H67-1))</f>
        <v/>
      </c>
      <c r="D67" s="167" t="inlineStr">
        <is>
          <t>RB</t>
        </is>
      </c>
      <c r="E67" s="167">
        <f>IF(H67&lt;&gt;"",RIGHT(F67,LEN(F67)-H67-2),"")</f>
        <v/>
      </c>
      <c r="F67" s="167">
        <f>VLOOKUP(I67,$J:$O,G67,0)</f>
        <v/>
      </c>
      <c r="G67" s="167">
        <f>G35+1</f>
        <v/>
      </c>
      <c r="H67" s="167">
        <f>IFERROR(FIND(" - ",F67),"")</f>
        <v/>
      </c>
      <c r="I67" s="167">
        <f>I35</f>
        <v/>
      </c>
    </row>
    <row r="68" ht="14.4" customHeight="1" s="152">
      <c r="A68" s="167" t="n">
        <v>67</v>
      </c>
      <c r="B68" s="167">
        <f>B36</f>
        <v/>
      </c>
      <c r="C68" s="167">
        <f>IF(H68="",F68,LEFT(F68,H68-1))</f>
        <v/>
      </c>
      <c r="D68" s="167" t="inlineStr">
        <is>
          <t>RB</t>
        </is>
      </c>
      <c r="E68" s="167">
        <f>IF(H68&lt;&gt;"",RIGHT(F68,LEN(F68)-H68-2),"")</f>
        <v/>
      </c>
      <c r="F68" s="167">
        <f>VLOOKUP(I68,$J:$O,G68,0)</f>
        <v/>
      </c>
      <c r="G68" s="167">
        <f>G36+1</f>
        <v/>
      </c>
      <c r="H68" s="167">
        <f>IFERROR(FIND(" - ",F68),"")</f>
        <v/>
      </c>
      <c r="I68" s="167">
        <f>I36</f>
        <v/>
      </c>
    </row>
    <row r="69" ht="14.4" customHeight="1" s="152">
      <c r="A69" s="167" t="n">
        <v>68</v>
      </c>
      <c r="B69" s="167">
        <f>B37</f>
        <v/>
      </c>
      <c r="C69" s="167">
        <f>IF(H69="",F69,LEFT(F69,H69-1))</f>
        <v/>
      </c>
      <c r="D69" s="167" t="inlineStr">
        <is>
          <t>RB</t>
        </is>
      </c>
      <c r="E69" s="167">
        <f>IF(H69&lt;&gt;"",RIGHT(F69,LEN(F69)-H69-2),"")</f>
        <v/>
      </c>
      <c r="F69" s="167">
        <f>VLOOKUP(I69,$J:$O,G69,0)</f>
        <v/>
      </c>
      <c r="G69" s="167">
        <f>G37+1</f>
        <v/>
      </c>
      <c r="H69" s="167">
        <f>IFERROR(FIND(" - ",F69),"")</f>
        <v/>
      </c>
      <c r="I69" s="167">
        <f>I37</f>
        <v/>
      </c>
    </row>
    <row r="70" ht="14.4" customHeight="1" s="152">
      <c r="A70" s="167" t="n">
        <v>69</v>
      </c>
      <c r="B70" s="167">
        <f>B38</f>
        <v/>
      </c>
      <c r="C70" s="167">
        <f>IF(H70="",F70,LEFT(F70,H70-1))</f>
        <v/>
      </c>
      <c r="D70" s="167" t="inlineStr">
        <is>
          <t>RB</t>
        </is>
      </c>
      <c r="E70" s="167">
        <f>IF(H70&lt;&gt;"",RIGHT(F70,LEN(F70)-H70-2),"")</f>
        <v/>
      </c>
      <c r="F70" s="167">
        <f>VLOOKUP(I70,$J:$O,G70,0)</f>
        <v/>
      </c>
      <c r="G70" s="167">
        <f>G38+1</f>
        <v/>
      </c>
      <c r="H70" s="167">
        <f>IFERROR(FIND(" - ",F70),"")</f>
        <v/>
      </c>
      <c r="I70" s="167">
        <f>I38</f>
        <v/>
      </c>
    </row>
    <row r="71" ht="14.4" customHeight="1" s="152">
      <c r="A71" s="167" t="n">
        <v>70</v>
      </c>
      <c r="B71" s="167">
        <f>B39</f>
        <v/>
      </c>
      <c r="C71" s="167">
        <f>IF(H71="",F71,LEFT(F71,H71-1))</f>
        <v/>
      </c>
      <c r="D71" s="167" t="inlineStr">
        <is>
          <t>RB</t>
        </is>
      </c>
      <c r="E71" s="167">
        <f>IF(H71&lt;&gt;"",RIGHT(F71,LEN(F71)-H71-2),"")</f>
        <v/>
      </c>
      <c r="F71" s="167">
        <f>VLOOKUP(I71,$J:$O,G71,0)</f>
        <v/>
      </c>
      <c r="G71" s="167">
        <f>G39+1</f>
        <v/>
      </c>
      <c r="H71" s="167">
        <f>IFERROR(FIND(" - ",F71),"")</f>
        <v/>
      </c>
      <c r="I71" s="167">
        <f>I39</f>
        <v/>
      </c>
    </row>
    <row r="72" ht="14.4" customHeight="1" s="152">
      <c r="A72" s="167" t="n">
        <v>71</v>
      </c>
      <c r="B72" s="167">
        <f>B40</f>
        <v/>
      </c>
      <c r="C72" s="167">
        <f>IF(H72="",F72,LEFT(F72,H72-1))</f>
        <v/>
      </c>
      <c r="D72" s="167" t="inlineStr">
        <is>
          <t>RB</t>
        </is>
      </c>
      <c r="E72" s="167">
        <f>IF(H72&lt;&gt;"",RIGHT(F72,LEN(F72)-H72-2),"")</f>
        <v/>
      </c>
      <c r="F72" s="167">
        <f>VLOOKUP(I72,$J:$O,G72,0)</f>
        <v/>
      </c>
      <c r="G72" s="167">
        <f>G40+1</f>
        <v/>
      </c>
      <c r="H72" s="167">
        <f>IFERROR(FIND(" - ",F72),"")</f>
        <v/>
      </c>
      <c r="I72" s="167">
        <f>I40</f>
        <v/>
      </c>
    </row>
    <row r="73" ht="14.4" customHeight="1" s="152">
      <c r="A73" s="167" t="n">
        <v>72</v>
      </c>
      <c r="B73" s="167">
        <f>B41</f>
        <v/>
      </c>
      <c r="C73" s="167">
        <f>IF(H73="",F73,LEFT(F73,H73-1))</f>
        <v/>
      </c>
      <c r="D73" s="167" t="inlineStr">
        <is>
          <t>RB</t>
        </is>
      </c>
      <c r="E73" s="167">
        <f>IF(H73&lt;&gt;"",RIGHT(F73,LEN(F73)-H73-2),"")</f>
        <v/>
      </c>
      <c r="F73" s="167">
        <f>VLOOKUP(I73,$J:$O,G73,0)</f>
        <v/>
      </c>
      <c r="G73" s="167">
        <f>G41+1</f>
        <v/>
      </c>
      <c r="H73" s="167">
        <f>IFERROR(FIND(" - ",F73),"")</f>
        <v/>
      </c>
      <c r="I73" s="167">
        <f>I41</f>
        <v/>
      </c>
    </row>
    <row r="74" ht="14.4" customHeight="1" s="152">
      <c r="A74" s="167" t="n">
        <v>73</v>
      </c>
      <c r="B74" s="167">
        <f>B42</f>
        <v/>
      </c>
      <c r="C74" s="167">
        <f>IF(H74="",F74,LEFT(F74,H74-1))</f>
        <v/>
      </c>
      <c r="D74" s="167" t="inlineStr">
        <is>
          <t>RB</t>
        </is>
      </c>
      <c r="E74" s="167">
        <f>IF(H74&lt;&gt;"",RIGHT(F74,LEN(F74)-H74-2),"")</f>
        <v/>
      </c>
      <c r="F74" s="167">
        <f>VLOOKUP(I74,$J:$O,G74,0)</f>
        <v/>
      </c>
      <c r="G74" s="167">
        <f>G42+1</f>
        <v/>
      </c>
      <c r="H74" s="167">
        <f>IFERROR(FIND(" - ",F74),"")</f>
        <v/>
      </c>
      <c r="I74" s="167">
        <f>I42</f>
        <v/>
      </c>
    </row>
    <row r="75" ht="14.4" customHeight="1" s="152">
      <c r="A75" s="167" t="n">
        <v>74</v>
      </c>
      <c r="B75" s="167">
        <f>B43</f>
        <v/>
      </c>
      <c r="C75" s="167">
        <f>IF(H75="",F75,LEFT(F75,H75-1))</f>
        <v/>
      </c>
      <c r="D75" s="167" t="inlineStr">
        <is>
          <t>RB</t>
        </is>
      </c>
      <c r="E75" s="167">
        <f>IF(H75&lt;&gt;"",RIGHT(F75,LEN(F75)-H75-2),"")</f>
        <v/>
      </c>
      <c r="F75" s="167">
        <f>VLOOKUP(I75,$J:$O,G75,0)</f>
        <v/>
      </c>
      <c r="G75" s="167">
        <f>G43+1</f>
        <v/>
      </c>
      <c r="H75" s="167">
        <f>IFERROR(FIND(" - ",F75),"")</f>
        <v/>
      </c>
      <c r="I75" s="167">
        <f>I43</f>
        <v/>
      </c>
    </row>
    <row r="76" ht="14.4" customHeight="1" s="152">
      <c r="A76" s="167" t="n">
        <v>75</v>
      </c>
      <c r="B76" s="167">
        <f>B44</f>
        <v/>
      </c>
      <c r="C76" s="167">
        <f>IF(H76="",F76,LEFT(F76,H76-1))</f>
        <v/>
      </c>
      <c r="D76" s="167" t="inlineStr">
        <is>
          <t>RB</t>
        </is>
      </c>
      <c r="E76" s="167">
        <f>IF(H76&lt;&gt;"",RIGHT(F76,LEN(F76)-H76-2),"")</f>
        <v/>
      </c>
      <c r="F76" s="167">
        <f>VLOOKUP(I76,$J:$O,G76,0)</f>
        <v/>
      </c>
      <c r="G76" s="167">
        <f>G44+1</f>
        <v/>
      </c>
      <c r="H76" s="167">
        <f>IFERROR(FIND(" - ",F76),"")</f>
        <v/>
      </c>
      <c r="I76" s="167">
        <f>I44</f>
        <v/>
      </c>
    </row>
    <row r="77" ht="14.4" customHeight="1" s="152">
      <c r="A77" s="167" t="n">
        <v>76</v>
      </c>
      <c r="B77" s="167">
        <f>B45</f>
        <v/>
      </c>
      <c r="C77" s="167">
        <f>IF(H77="",F77,LEFT(F77,H77-1))</f>
        <v/>
      </c>
      <c r="D77" s="167" t="inlineStr">
        <is>
          <t>RB</t>
        </is>
      </c>
      <c r="E77" s="167">
        <f>IF(H77&lt;&gt;"",RIGHT(F77,LEN(F77)-H77-2),"")</f>
        <v/>
      </c>
      <c r="F77" s="167">
        <f>VLOOKUP(I77,$J:$O,G77,0)</f>
        <v/>
      </c>
      <c r="G77" s="167">
        <f>G45+1</f>
        <v/>
      </c>
      <c r="H77" s="167">
        <f>IFERROR(FIND(" - ",F77),"")</f>
        <v/>
      </c>
      <c r="I77" s="167">
        <f>I45</f>
        <v/>
      </c>
    </row>
    <row r="78" ht="14.4" customHeight="1" s="152">
      <c r="A78" s="167" t="n">
        <v>77</v>
      </c>
      <c r="B78" s="167">
        <f>B46</f>
        <v/>
      </c>
      <c r="C78" s="167">
        <f>IF(H78="",F78,LEFT(F78,H78-1))</f>
        <v/>
      </c>
      <c r="D78" s="167" t="inlineStr">
        <is>
          <t>RB</t>
        </is>
      </c>
      <c r="E78" s="167">
        <f>IF(H78&lt;&gt;"",RIGHT(F78,LEN(F78)-H78-2),"")</f>
        <v/>
      </c>
      <c r="F78" s="167">
        <f>VLOOKUP(I78,$J:$O,G78,0)</f>
        <v/>
      </c>
      <c r="G78" s="167">
        <f>G46+1</f>
        <v/>
      </c>
      <c r="H78" s="167">
        <f>IFERROR(FIND(" - ",F78),"")</f>
        <v/>
      </c>
      <c r="I78" s="167">
        <f>I46</f>
        <v/>
      </c>
    </row>
    <row r="79" ht="14.4" customHeight="1" s="152">
      <c r="A79" s="167" t="n">
        <v>78</v>
      </c>
      <c r="B79" s="167">
        <f>B47</f>
        <v/>
      </c>
      <c r="C79" s="167">
        <f>IF(H79="",F79,LEFT(F79,H79-1))</f>
        <v/>
      </c>
      <c r="D79" s="167" t="inlineStr">
        <is>
          <t>RB</t>
        </is>
      </c>
      <c r="E79" s="167">
        <f>IF(H79&lt;&gt;"",RIGHT(F79,LEN(F79)-H79-2),"")</f>
        <v/>
      </c>
      <c r="F79" s="167">
        <f>VLOOKUP(I79,$J:$O,G79,0)</f>
        <v/>
      </c>
      <c r="G79" s="167">
        <f>G47+1</f>
        <v/>
      </c>
      <c r="H79" s="167">
        <f>IFERROR(FIND(" - ",F79),"")</f>
        <v/>
      </c>
      <c r="I79" s="167">
        <f>I47</f>
        <v/>
      </c>
    </row>
    <row r="80" ht="14.4" customHeight="1" s="152">
      <c r="A80" s="167" t="n">
        <v>79</v>
      </c>
      <c r="B80" s="167">
        <f>B48</f>
        <v/>
      </c>
      <c r="C80" s="167">
        <f>IF(H80="",F80,LEFT(F80,H80-1))</f>
        <v/>
      </c>
      <c r="D80" s="167" t="inlineStr">
        <is>
          <t>RB</t>
        </is>
      </c>
      <c r="E80" s="167">
        <f>IF(H80&lt;&gt;"",RIGHT(F80,LEN(F80)-H80-2),"")</f>
        <v/>
      </c>
      <c r="F80" s="167">
        <f>VLOOKUP(I80,$J:$O,G80,0)</f>
        <v/>
      </c>
      <c r="G80" s="167">
        <f>G48+1</f>
        <v/>
      </c>
      <c r="H80" s="167">
        <f>IFERROR(FIND(" - ",F80),"")</f>
        <v/>
      </c>
      <c r="I80" s="167">
        <f>I48</f>
        <v/>
      </c>
    </row>
    <row r="81" ht="14.4" customHeight="1" s="152">
      <c r="A81" s="167" t="n">
        <v>80</v>
      </c>
      <c r="B81" s="167">
        <f>B49</f>
        <v/>
      </c>
      <c r="C81" s="167">
        <f>IF(H81="",F81,LEFT(F81,H81-1))</f>
        <v/>
      </c>
      <c r="D81" s="167" t="inlineStr">
        <is>
          <t>RB</t>
        </is>
      </c>
      <c r="E81" s="167">
        <f>IF(H81&lt;&gt;"",RIGHT(F81,LEN(F81)-H81-2),"")</f>
        <v/>
      </c>
      <c r="F81" s="167">
        <f>VLOOKUP(I81,$J:$O,G81,0)</f>
        <v/>
      </c>
      <c r="G81" s="167">
        <f>G49+1</f>
        <v/>
      </c>
      <c r="H81" s="167">
        <f>IFERROR(FIND(" - ",F81),"")</f>
        <v/>
      </c>
      <c r="I81" s="167">
        <f>I49</f>
        <v/>
      </c>
    </row>
    <row r="82" ht="14.4" customHeight="1" s="152">
      <c r="A82" s="167" t="n">
        <v>81</v>
      </c>
      <c r="B82" s="167">
        <f>B50</f>
        <v/>
      </c>
      <c r="C82" s="167">
        <f>IF(H82="",F82,LEFT(F82,H82-1))</f>
        <v/>
      </c>
      <c r="D82" s="167" t="inlineStr">
        <is>
          <t>RB</t>
        </is>
      </c>
      <c r="E82" s="167">
        <f>IF(H82&lt;&gt;"",RIGHT(F82,LEN(F82)-H82-2),"")</f>
        <v/>
      </c>
      <c r="F82" s="167">
        <f>VLOOKUP(I82,$J:$O,G82,0)</f>
        <v/>
      </c>
      <c r="G82" s="167">
        <f>G50+1</f>
        <v/>
      </c>
      <c r="H82" s="167">
        <f>IFERROR(FIND(" - ",F82),"")</f>
        <v/>
      </c>
      <c r="I82" s="167">
        <f>I50</f>
        <v/>
      </c>
    </row>
    <row r="83" ht="14.4" customHeight="1" s="152">
      <c r="A83" s="167" t="n">
        <v>82</v>
      </c>
      <c r="B83" s="167">
        <f>B51</f>
        <v/>
      </c>
      <c r="C83" s="167">
        <f>IF(H83="",F83,LEFT(F83,H83-1))</f>
        <v/>
      </c>
      <c r="D83" s="167" t="inlineStr">
        <is>
          <t>RB</t>
        </is>
      </c>
      <c r="E83" s="167">
        <f>IF(H83&lt;&gt;"",RIGHT(F83,LEN(F83)-H83-2),"")</f>
        <v/>
      </c>
      <c r="F83" s="167">
        <f>VLOOKUP(I83,$J:$O,G83,0)</f>
        <v/>
      </c>
      <c r="G83" s="167">
        <f>G51+1</f>
        <v/>
      </c>
      <c r="H83" s="167">
        <f>IFERROR(FIND(" - ",F83),"")</f>
        <v/>
      </c>
      <c r="I83" s="167">
        <f>I51</f>
        <v/>
      </c>
    </row>
    <row r="84" ht="14.4" customHeight="1" s="152">
      <c r="A84" s="167" t="n">
        <v>83</v>
      </c>
      <c r="B84" s="167">
        <f>B52</f>
        <v/>
      </c>
      <c r="C84" s="167">
        <f>IF(H84="",F84,LEFT(F84,H84-1))</f>
        <v/>
      </c>
      <c r="D84" s="167" t="inlineStr">
        <is>
          <t>RB</t>
        </is>
      </c>
      <c r="E84" s="167">
        <f>IF(H84&lt;&gt;"",RIGHT(F84,LEN(F84)-H84-2),"")</f>
        <v/>
      </c>
      <c r="F84" s="167">
        <f>VLOOKUP(I84,$J:$O,G84,0)</f>
        <v/>
      </c>
      <c r="G84" s="167">
        <f>G52+1</f>
        <v/>
      </c>
      <c r="H84" s="167">
        <f>IFERROR(FIND(" - ",F84),"")</f>
        <v/>
      </c>
      <c r="I84" s="167">
        <f>I52</f>
        <v/>
      </c>
    </row>
    <row r="85" ht="14.4" customHeight="1" s="152">
      <c r="A85" s="167" t="n">
        <v>84</v>
      </c>
      <c r="B85" s="167">
        <f>B53</f>
        <v/>
      </c>
      <c r="C85" s="167">
        <f>IF(H85="",F85,LEFT(F85,H85-1))</f>
        <v/>
      </c>
      <c r="D85" s="167" t="inlineStr">
        <is>
          <t>RB</t>
        </is>
      </c>
      <c r="E85" s="167">
        <f>IF(H85&lt;&gt;"",RIGHT(F85,LEN(F85)-H85-2),"")</f>
        <v/>
      </c>
      <c r="F85" s="167">
        <f>VLOOKUP(I85,$J:$O,G85,0)</f>
        <v/>
      </c>
      <c r="G85" s="167">
        <f>G53+1</f>
        <v/>
      </c>
      <c r="H85" s="167">
        <f>IFERROR(FIND(" - ",F85),"")</f>
        <v/>
      </c>
      <c r="I85" s="167">
        <f>I53</f>
        <v/>
      </c>
    </row>
    <row r="86" ht="14.4" customHeight="1" s="152">
      <c r="A86" s="167" t="n">
        <v>85</v>
      </c>
      <c r="B86" s="167">
        <f>B54</f>
        <v/>
      </c>
      <c r="C86" s="167">
        <f>IF(H86="",F86,LEFT(F86,H86-1))</f>
        <v/>
      </c>
      <c r="D86" s="167" t="inlineStr">
        <is>
          <t>RB</t>
        </is>
      </c>
      <c r="E86" s="167">
        <f>IF(H86&lt;&gt;"",RIGHT(F86,LEN(F86)-H86-2),"")</f>
        <v/>
      </c>
      <c r="F86" s="167">
        <f>VLOOKUP(I86,$J:$O,G86,0)</f>
        <v/>
      </c>
      <c r="G86" s="167">
        <f>G54+1</f>
        <v/>
      </c>
      <c r="H86" s="167">
        <f>IFERROR(FIND(" - ",F86),"")</f>
        <v/>
      </c>
      <c r="I86" s="167">
        <f>I54</f>
        <v/>
      </c>
    </row>
    <row r="87" ht="14.4" customHeight="1" s="152">
      <c r="A87" s="167" t="n">
        <v>86</v>
      </c>
      <c r="B87" s="167">
        <f>B55</f>
        <v/>
      </c>
      <c r="C87" s="167">
        <f>IF(H87="",F87,LEFT(F87,H87-1))</f>
        <v/>
      </c>
      <c r="D87" s="167" t="inlineStr">
        <is>
          <t>RB</t>
        </is>
      </c>
      <c r="E87" s="167">
        <f>IF(H87&lt;&gt;"",RIGHT(F87,LEN(F87)-H87-2),"")</f>
        <v/>
      </c>
      <c r="F87" s="167">
        <f>VLOOKUP(I87,$J:$O,G87,0)</f>
        <v/>
      </c>
      <c r="G87" s="167">
        <f>G55+1</f>
        <v/>
      </c>
      <c r="H87" s="167">
        <f>IFERROR(FIND(" - ",F87),"")</f>
        <v/>
      </c>
      <c r="I87" s="167">
        <f>I55</f>
        <v/>
      </c>
    </row>
    <row r="88" ht="14.4" customHeight="1" s="152">
      <c r="A88" s="167" t="n">
        <v>87</v>
      </c>
      <c r="B88" s="167">
        <f>B56</f>
        <v/>
      </c>
      <c r="C88" s="167">
        <f>IF(H88="",F88,LEFT(F88,H88-1))</f>
        <v/>
      </c>
      <c r="D88" s="167" t="inlineStr">
        <is>
          <t>RB</t>
        </is>
      </c>
      <c r="E88" s="167">
        <f>IF(H88&lt;&gt;"",RIGHT(F88,LEN(F88)-H88-2),"")</f>
        <v/>
      </c>
      <c r="F88" s="167">
        <f>VLOOKUP(I88,$J:$O,G88,0)</f>
        <v/>
      </c>
      <c r="G88" s="167">
        <f>G56+1</f>
        <v/>
      </c>
      <c r="H88" s="167">
        <f>IFERROR(FIND(" - ",F88),"")</f>
        <v/>
      </c>
      <c r="I88" s="167">
        <f>I56</f>
        <v/>
      </c>
    </row>
    <row r="89" ht="14.4" customHeight="1" s="152">
      <c r="A89" s="167" t="n">
        <v>88</v>
      </c>
      <c r="B89" s="167">
        <f>B57</f>
        <v/>
      </c>
      <c r="C89" s="167">
        <f>IF(H89="",F89,LEFT(F89,H89-1))</f>
        <v/>
      </c>
      <c r="D89" s="167" t="inlineStr">
        <is>
          <t>RB</t>
        </is>
      </c>
      <c r="E89" s="167">
        <f>IF(H89&lt;&gt;"",RIGHT(F89,LEN(F89)-H89-2),"")</f>
        <v/>
      </c>
      <c r="F89" s="167">
        <f>VLOOKUP(I89,$J:$O,G89,0)</f>
        <v/>
      </c>
      <c r="G89" s="167">
        <f>G57+1</f>
        <v/>
      </c>
      <c r="H89" s="167">
        <f>IFERROR(FIND(" - ",F89),"")</f>
        <v/>
      </c>
      <c r="I89" s="167">
        <f>I57</f>
        <v/>
      </c>
    </row>
    <row r="90" ht="14.4" customHeight="1" s="152">
      <c r="A90" s="167" t="n">
        <v>89</v>
      </c>
      <c r="B90" s="167">
        <f>B58</f>
        <v/>
      </c>
      <c r="C90" s="167">
        <f>IF(H90="",F90,LEFT(F90,H90-1))</f>
        <v/>
      </c>
      <c r="D90" s="167" t="inlineStr">
        <is>
          <t>RB</t>
        </is>
      </c>
      <c r="E90" s="167">
        <f>IF(H90&lt;&gt;"",RIGHT(F90,LEN(F90)-H90-2),"")</f>
        <v/>
      </c>
      <c r="F90" s="167">
        <f>VLOOKUP(I90,$J:$O,G90,0)</f>
        <v/>
      </c>
      <c r="G90" s="167">
        <f>G58+1</f>
        <v/>
      </c>
      <c r="H90" s="167">
        <f>IFERROR(FIND(" - ",F90),"")</f>
        <v/>
      </c>
      <c r="I90" s="167">
        <f>I58</f>
        <v/>
      </c>
    </row>
    <row r="91" ht="14.4" customHeight="1" s="152">
      <c r="A91" s="167" t="n">
        <v>90</v>
      </c>
      <c r="B91" s="167">
        <f>B59</f>
        <v/>
      </c>
      <c r="C91" s="167">
        <f>IF(H91="",F91,LEFT(F91,H91-1))</f>
        <v/>
      </c>
      <c r="D91" s="167" t="inlineStr">
        <is>
          <t>RB</t>
        </is>
      </c>
      <c r="E91" s="167">
        <f>IF(H91&lt;&gt;"",RIGHT(F91,LEN(F91)-H91-2),"")</f>
        <v/>
      </c>
      <c r="F91" s="167">
        <f>VLOOKUP(I91,$J:$O,G91,0)</f>
        <v/>
      </c>
      <c r="G91" s="167">
        <f>G59+1</f>
        <v/>
      </c>
      <c r="H91" s="167">
        <f>IFERROR(FIND(" - ",F91),"")</f>
        <v/>
      </c>
      <c r="I91" s="167">
        <f>I59</f>
        <v/>
      </c>
    </row>
    <row r="92" ht="14.4" customHeight="1" s="152">
      <c r="A92" s="167" t="n">
        <v>91</v>
      </c>
      <c r="B92" s="167">
        <f>B60</f>
        <v/>
      </c>
      <c r="C92" s="167">
        <f>IF(H92="",F92,LEFT(F92,H92-1))</f>
        <v/>
      </c>
      <c r="D92" s="167" t="inlineStr">
        <is>
          <t>RB</t>
        </is>
      </c>
      <c r="E92" s="167">
        <f>IF(H92&lt;&gt;"",RIGHT(F92,LEN(F92)-H92-2),"")</f>
        <v/>
      </c>
      <c r="F92" s="167">
        <f>VLOOKUP(I92,$J:$O,G92,0)</f>
        <v/>
      </c>
      <c r="G92" s="167">
        <f>G60+1</f>
        <v/>
      </c>
      <c r="H92" s="167">
        <f>IFERROR(FIND(" - ",F92),"")</f>
        <v/>
      </c>
      <c r="I92" s="167">
        <f>I60</f>
        <v/>
      </c>
    </row>
    <row r="93" ht="14.4" customHeight="1" s="152">
      <c r="A93" s="167" t="n">
        <v>92</v>
      </c>
      <c r="B93" s="167">
        <f>B61</f>
        <v/>
      </c>
      <c r="C93" s="167">
        <f>IF(H93="",F93,LEFT(F93,H93-1))</f>
        <v/>
      </c>
      <c r="D93" s="167" t="inlineStr">
        <is>
          <t>RB</t>
        </is>
      </c>
      <c r="E93" s="167">
        <f>IF(H93&lt;&gt;"",RIGHT(F93,LEN(F93)-H93-2),"")</f>
        <v/>
      </c>
      <c r="F93" s="167">
        <f>VLOOKUP(I93,$J:$O,G93,0)</f>
        <v/>
      </c>
      <c r="G93" s="167">
        <f>G61+1</f>
        <v/>
      </c>
      <c r="H93" s="167">
        <f>IFERROR(FIND(" - ",F93),"")</f>
        <v/>
      </c>
      <c r="I93" s="167">
        <f>I61</f>
        <v/>
      </c>
    </row>
    <row r="94" ht="14.4" customHeight="1" s="152">
      <c r="A94" s="167" t="n">
        <v>93</v>
      </c>
      <c r="B94" s="167">
        <f>B62</f>
        <v/>
      </c>
      <c r="C94" s="167">
        <f>IF(H94="",F94,LEFT(F94,H94-1))</f>
        <v/>
      </c>
      <c r="D94" s="167" t="inlineStr">
        <is>
          <t>RB</t>
        </is>
      </c>
      <c r="E94" s="167">
        <f>IF(H94&lt;&gt;"",RIGHT(F94,LEN(F94)-H94-2),"")</f>
        <v/>
      </c>
      <c r="F94" s="167">
        <f>VLOOKUP(I94,$J:$O,G94,0)</f>
        <v/>
      </c>
      <c r="G94" s="167">
        <f>G62+1</f>
        <v/>
      </c>
      <c r="H94" s="167">
        <f>IFERROR(FIND(" - ",F94),"")</f>
        <v/>
      </c>
      <c r="I94" s="167">
        <f>I62</f>
        <v/>
      </c>
    </row>
    <row r="95" ht="14.4" customHeight="1" s="152">
      <c r="A95" s="167" t="n">
        <v>94</v>
      </c>
      <c r="B95" s="167">
        <f>B63</f>
        <v/>
      </c>
      <c r="C95" s="167">
        <f>IF(H95="",F95,LEFT(F95,H95-1))</f>
        <v/>
      </c>
      <c r="D95" s="167" t="inlineStr">
        <is>
          <t>RB</t>
        </is>
      </c>
      <c r="E95" s="167">
        <f>IF(H95&lt;&gt;"",RIGHT(F95,LEN(F95)-H95-2),"")</f>
        <v/>
      </c>
      <c r="F95" s="167">
        <f>VLOOKUP(I95,$J:$O,G95,0)</f>
        <v/>
      </c>
      <c r="G95" s="167">
        <f>G63+1</f>
        <v/>
      </c>
      <c r="H95" s="167">
        <f>IFERROR(FIND(" - ",F95),"")</f>
        <v/>
      </c>
      <c r="I95" s="167">
        <f>I63</f>
        <v/>
      </c>
    </row>
    <row r="96" ht="14.4" customHeight="1" s="152">
      <c r="A96" s="167" t="n">
        <v>95</v>
      </c>
      <c r="B96" s="167">
        <f>B64</f>
        <v/>
      </c>
      <c r="C96" s="167">
        <f>IF(H96="",F96,LEFT(F96,H96-1))</f>
        <v/>
      </c>
      <c r="D96" s="167" t="inlineStr">
        <is>
          <t>RB</t>
        </is>
      </c>
      <c r="E96" s="167">
        <f>IF(H96&lt;&gt;"",RIGHT(F96,LEN(F96)-H96-2),"")</f>
        <v/>
      </c>
      <c r="F96" s="167">
        <f>VLOOKUP(I96,$J:$O,G96,0)</f>
        <v/>
      </c>
      <c r="G96" s="167">
        <f>G64+1</f>
        <v/>
      </c>
      <c r="H96" s="167">
        <f>IFERROR(FIND(" - ",F96),"")</f>
        <v/>
      </c>
      <c r="I96" s="167">
        <f>I64</f>
        <v/>
      </c>
    </row>
    <row r="97" ht="14.4" customHeight="1" s="152">
      <c r="A97" s="167" t="n">
        <v>96</v>
      </c>
      <c r="B97" s="167">
        <f>B65</f>
        <v/>
      </c>
      <c r="C97" s="167">
        <f>IF(H97="",F97,LEFT(F97,H97-1))</f>
        <v/>
      </c>
      <c r="D97" s="167" t="inlineStr">
        <is>
          <t>RB</t>
        </is>
      </c>
      <c r="E97" s="167">
        <f>IF(H97&lt;&gt;"",RIGHT(F97,LEN(F97)-H97-2),"")</f>
        <v/>
      </c>
      <c r="F97" s="167">
        <f>VLOOKUP(I97,$J:$O,G97,0)</f>
        <v/>
      </c>
      <c r="G97" s="167">
        <f>G65+1</f>
        <v/>
      </c>
      <c r="H97" s="167">
        <f>IFERROR(FIND(" - ",F97),"")</f>
        <v/>
      </c>
      <c r="I97" s="167">
        <f>I65</f>
        <v/>
      </c>
    </row>
    <row r="98" ht="14.4" customHeight="1" s="152">
      <c r="A98" s="167" t="n">
        <v>97</v>
      </c>
      <c r="B98" s="167">
        <f>B66</f>
        <v/>
      </c>
      <c r="C98" s="167">
        <f>IF(H98="",F98,LEFT(F98,H98-1))</f>
        <v/>
      </c>
      <c r="D98" s="167" t="inlineStr">
        <is>
          <t>RB</t>
        </is>
      </c>
      <c r="E98" s="167">
        <f>IF(H98&lt;&gt;"",RIGHT(F98,LEN(F98)-H98-2),"")</f>
        <v/>
      </c>
      <c r="F98" s="167">
        <f>VLOOKUP(I98,$J:$O,G98,0)</f>
        <v/>
      </c>
      <c r="G98" s="167">
        <f>G66+1</f>
        <v/>
      </c>
      <c r="H98" s="167">
        <f>IFERROR(FIND(" - ",F98),"")</f>
        <v/>
      </c>
      <c r="I98" s="167">
        <f>I66</f>
        <v/>
      </c>
    </row>
    <row r="99" ht="14.4" customHeight="1" s="152">
      <c r="A99" s="167" t="n">
        <v>98</v>
      </c>
      <c r="B99" s="167">
        <f>B67</f>
        <v/>
      </c>
      <c r="C99" s="167">
        <f>IF(H99="",F99,LEFT(F99,H99-1))</f>
        <v/>
      </c>
      <c r="D99" s="167" t="inlineStr">
        <is>
          <t>RB</t>
        </is>
      </c>
      <c r="E99" s="167">
        <f>IF(H99&lt;&gt;"",RIGHT(F99,LEN(F99)-H99-2),"")</f>
        <v/>
      </c>
      <c r="F99" s="167">
        <f>VLOOKUP(I99,$J:$O,G99,0)</f>
        <v/>
      </c>
      <c r="G99" s="167">
        <f>G67+1</f>
        <v/>
      </c>
      <c r="H99" s="167">
        <f>IFERROR(FIND(" - ",F99),"")</f>
        <v/>
      </c>
      <c r="I99" s="167">
        <f>I67</f>
        <v/>
      </c>
    </row>
    <row r="100" ht="14.4" customHeight="1" s="152">
      <c r="A100" s="167" t="n">
        <v>99</v>
      </c>
      <c r="B100" s="167">
        <f>B68</f>
        <v/>
      </c>
      <c r="C100" s="167">
        <f>IF(H100="",F100,LEFT(F100,H100-1))</f>
        <v/>
      </c>
      <c r="D100" s="167" t="inlineStr">
        <is>
          <t>RB</t>
        </is>
      </c>
      <c r="E100" s="167">
        <f>IF(H100&lt;&gt;"",RIGHT(F100,LEN(F100)-H100-2),"")</f>
        <v/>
      </c>
      <c r="F100" s="167">
        <f>VLOOKUP(I100,$J:$O,G100,0)</f>
        <v/>
      </c>
      <c r="G100" s="167">
        <f>G68+1</f>
        <v/>
      </c>
      <c r="H100" s="167">
        <f>IFERROR(FIND(" - ",F100),"")</f>
        <v/>
      </c>
      <c r="I100" s="167">
        <f>I68</f>
        <v/>
      </c>
    </row>
    <row r="101" ht="14.4" customHeight="1" s="152">
      <c r="A101" s="167" t="n">
        <v>100</v>
      </c>
      <c r="B101" s="167">
        <f>B69</f>
        <v/>
      </c>
      <c r="C101" s="167">
        <f>IF(H101="",F101,LEFT(F101,H101-1))</f>
        <v/>
      </c>
      <c r="D101" s="167" t="inlineStr">
        <is>
          <t>RB</t>
        </is>
      </c>
      <c r="E101" s="167">
        <f>IF(H101&lt;&gt;"",RIGHT(F101,LEN(F101)-H101-2),"")</f>
        <v/>
      </c>
      <c r="F101" s="167">
        <f>VLOOKUP(I101,$J:$O,G101,0)</f>
        <v/>
      </c>
      <c r="G101" s="167">
        <f>G69+1</f>
        <v/>
      </c>
      <c r="H101" s="167">
        <f>IFERROR(FIND(" - ",F101),"")</f>
        <v/>
      </c>
      <c r="I101" s="167">
        <f>I69</f>
        <v/>
      </c>
    </row>
    <row r="102" ht="14.4" customHeight="1" s="152">
      <c r="A102" s="167" t="n">
        <v>101</v>
      </c>
      <c r="B102" s="167">
        <f>B70</f>
        <v/>
      </c>
      <c r="C102" s="167">
        <f>IF(H102="",F102,LEFT(F102,H102-1))</f>
        <v/>
      </c>
      <c r="D102" s="167" t="inlineStr">
        <is>
          <t>RB</t>
        </is>
      </c>
      <c r="E102" s="167">
        <f>IF(H102&lt;&gt;"",RIGHT(F102,LEN(F102)-H102-2),"")</f>
        <v/>
      </c>
      <c r="F102" s="167">
        <f>VLOOKUP(I102,$J:$O,G102,0)</f>
        <v/>
      </c>
      <c r="G102" s="167">
        <f>G70+1</f>
        <v/>
      </c>
      <c r="H102" s="167">
        <f>IFERROR(FIND(" - ",F102),"")</f>
        <v/>
      </c>
      <c r="I102" s="167">
        <f>I70</f>
        <v/>
      </c>
    </row>
    <row r="103" ht="14.4" customHeight="1" s="152">
      <c r="A103" s="167" t="n">
        <v>102</v>
      </c>
      <c r="B103" s="167">
        <f>B71</f>
        <v/>
      </c>
      <c r="C103" s="167">
        <f>IF(H103="",F103,LEFT(F103,H103-1))</f>
        <v/>
      </c>
      <c r="D103" s="167" t="inlineStr">
        <is>
          <t>RB</t>
        </is>
      </c>
      <c r="E103" s="167">
        <f>IF(H103&lt;&gt;"",RIGHT(F103,LEN(F103)-H103-2),"")</f>
        <v/>
      </c>
      <c r="F103" s="167">
        <f>VLOOKUP(I103,$J:$O,G103,0)</f>
        <v/>
      </c>
      <c r="G103" s="167">
        <f>G71+1</f>
        <v/>
      </c>
      <c r="H103" s="167">
        <f>IFERROR(FIND(" - ",F103),"")</f>
        <v/>
      </c>
      <c r="I103" s="167">
        <f>I71</f>
        <v/>
      </c>
    </row>
    <row r="104" ht="14.4" customHeight="1" s="152">
      <c r="A104" s="167" t="n">
        <v>103</v>
      </c>
      <c r="B104" s="167">
        <f>B72</f>
        <v/>
      </c>
      <c r="C104" s="167">
        <f>IF(H104="",F104,LEFT(F104,H104-1))</f>
        <v/>
      </c>
      <c r="D104" s="167" t="inlineStr">
        <is>
          <t>RB</t>
        </is>
      </c>
      <c r="E104" s="167">
        <f>IF(H104&lt;&gt;"",RIGHT(F104,LEN(F104)-H104-2),"")</f>
        <v/>
      </c>
      <c r="F104" s="167">
        <f>VLOOKUP(I104,$J:$O,G104,0)</f>
        <v/>
      </c>
      <c r="G104" s="167">
        <f>G72+1</f>
        <v/>
      </c>
      <c r="H104" s="167">
        <f>IFERROR(FIND(" - ",F104),"")</f>
        <v/>
      </c>
      <c r="I104" s="167">
        <f>I72</f>
        <v/>
      </c>
    </row>
    <row r="105" ht="14.4" customHeight="1" s="152">
      <c r="A105" s="167" t="n">
        <v>104</v>
      </c>
      <c r="B105" s="167">
        <f>B73</f>
        <v/>
      </c>
      <c r="C105" s="167">
        <f>IF(H105="",F105,LEFT(F105,H105-1))</f>
        <v/>
      </c>
      <c r="D105" s="167" t="inlineStr">
        <is>
          <t>RB</t>
        </is>
      </c>
      <c r="E105" s="167">
        <f>IF(H105&lt;&gt;"",RIGHT(F105,LEN(F105)-H105-2),"")</f>
        <v/>
      </c>
      <c r="F105" s="167">
        <f>VLOOKUP(I105,$J:$O,G105,0)</f>
        <v/>
      </c>
      <c r="G105" s="167">
        <f>G73+1</f>
        <v/>
      </c>
      <c r="H105" s="167">
        <f>IFERROR(FIND(" - ",F105),"")</f>
        <v/>
      </c>
      <c r="I105" s="167">
        <f>I73</f>
        <v/>
      </c>
    </row>
    <row r="106" ht="14.4" customHeight="1" s="152">
      <c r="A106" s="167" t="n">
        <v>105</v>
      </c>
      <c r="B106" s="167">
        <f>B74</f>
        <v/>
      </c>
      <c r="C106" s="167">
        <f>IF(H106="",F106,LEFT(F106,H106-1))</f>
        <v/>
      </c>
      <c r="D106" s="167" t="inlineStr">
        <is>
          <t>RB</t>
        </is>
      </c>
      <c r="E106" s="167">
        <f>IF(H106&lt;&gt;"",RIGHT(F106,LEN(F106)-H106-2),"")</f>
        <v/>
      </c>
      <c r="F106" s="167">
        <f>VLOOKUP(I106,$J:$O,G106,0)</f>
        <v/>
      </c>
      <c r="G106" s="167">
        <f>G74+1</f>
        <v/>
      </c>
      <c r="H106" s="167">
        <f>IFERROR(FIND(" - ",F106),"")</f>
        <v/>
      </c>
      <c r="I106" s="167">
        <f>I74</f>
        <v/>
      </c>
    </row>
    <row r="107" ht="14.4" customHeight="1" s="152">
      <c r="A107" s="167" t="n">
        <v>106</v>
      </c>
      <c r="B107" s="167">
        <f>B75</f>
        <v/>
      </c>
      <c r="C107" s="167">
        <f>IF(H107="",F107,LEFT(F107,H107-1))</f>
        <v/>
      </c>
      <c r="D107" s="167" t="inlineStr">
        <is>
          <t>RB</t>
        </is>
      </c>
      <c r="E107" s="167">
        <f>IF(H107&lt;&gt;"",RIGHT(F107,LEN(F107)-H107-2),"")</f>
        <v/>
      </c>
      <c r="F107" s="167">
        <f>VLOOKUP(I107,$J:$O,G107,0)</f>
        <v/>
      </c>
      <c r="G107" s="167">
        <f>G75+1</f>
        <v/>
      </c>
      <c r="H107" s="167">
        <f>IFERROR(FIND(" - ",F107),"")</f>
        <v/>
      </c>
      <c r="I107" s="167">
        <f>I75</f>
        <v/>
      </c>
    </row>
    <row r="108" ht="14.4" customHeight="1" s="152">
      <c r="A108" s="167" t="n">
        <v>107</v>
      </c>
      <c r="B108" s="167">
        <f>B76</f>
        <v/>
      </c>
      <c r="C108" s="167">
        <f>IF(H108="",F108,LEFT(F108,H108-1))</f>
        <v/>
      </c>
      <c r="D108" s="167" t="inlineStr">
        <is>
          <t>RB</t>
        </is>
      </c>
      <c r="E108" s="167">
        <f>IF(H108&lt;&gt;"",RIGHT(F108,LEN(F108)-H108-2),"")</f>
        <v/>
      </c>
      <c r="F108" s="167">
        <f>VLOOKUP(I108,$J:$O,G108,0)</f>
        <v/>
      </c>
      <c r="G108" s="167">
        <f>G76+1</f>
        <v/>
      </c>
      <c r="H108" s="167">
        <f>IFERROR(FIND(" - ",F108),"")</f>
        <v/>
      </c>
      <c r="I108" s="167">
        <f>I76</f>
        <v/>
      </c>
    </row>
    <row r="109" ht="14.4" customHeight="1" s="152">
      <c r="A109" s="167" t="n">
        <v>108</v>
      </c>
      <c r="B109" s="167">
        <f>B77</f>
        <v/>
      </c>
      <c r="C109" s="167">
        <f>IF(H109="",F109,LEFT(F109,H109-1))</f>
        <v/>
      </c>
      <c r="D109" s="167" t="inlineStr">
        <is>
          <t>RB</t>
        </is>
      </c>
      <c r="E109" s="167">
        <f>IF(H109&lt;&gt;"",RIGHT(F109,LEN(F109)-H109-2),"")</f>
        <v/>
      </c>
      <c r="F109" s="167">
        <f>VLOOKUP(I109,$J:$O,G109,0)</f>
        <v/>
      </c>
      <c r="G109" s="167">
        <f>G77+1</f>
        <v/>
      </c>
      <c r="H109" s="167">
        <f>IFERROR(FIND(" - ",F109),"")</f>
        <v/>
      </c>
      <c r="I109" s="167">
        <f>I77</f>
        <v/>
      </c>
    </row>
    <row r="110" ht="14.4" customHeight="1" s="152">
      <c r="A110" s="167" t="n">
        <v>109</v>
      </c>
      <c r="B110" s="167">
        <f>B78</f>
        <v/>
      </c>
      <c r="C110" s="167">
        <f>IF(H110="",F110,LEFT(F110,H110-1))</f>
        <v/>
      </c>
      <c r="D110" s="167" t="inlineStr">
        <is>
          <t>RB</t>
        </is>
      </c>
      <c r="E110" s="167">
        <f>IF(H110&lt;&gt;"",RIGHT(F110,LEN(F110)-H110-2),"")</f>
        <v/>
      </c>
      <c r="F110" s="167">
        <f>VLOOKUP(I110,$J:$O,G110,0)</f>
        <v/>
      </c>
      <c r="G110" s="167">
        <f>G78+1</f>
        <v/>
      </c>
      <c r="H110" s="167">
        <f>IFERROR(FIND(" - ",F110),"")</f>
        <v/>
      </c>
      <c r="I110" s="167">
        <f>I78</f>
        <v/>
      </c>
    </row>
    <row r="111" ht="14.4" customHeight="1" s="152">
      <c r="A111" s="167" t="n">
        <v>110</v>
      </c>
      <c r="B111" s="167">
        <f>B79</f>
        <v/>
      </c>
      <c r="C111" s="167">
        <f>IF(H111="",F111,LEFT(F111,H111-1))</f>
        <v/>
      </c>
      <c r="D111" s="167" t="inlineStr">
        <is>
          <t>RB</t>
        </is>
      </c>
      <c r="E111" s="167">
        <f>IF(H111&lt;&gt;"",RIGHT(F111,LEN(F111)-H111-2),"")</f>
        <v/>
      </c>
      <c r="F111" s="167">
        <f>VLOOKUP(I111,$J:$O,G111,0)</f>
        <v/>
      </c>
      <c r="G111" s="167">
        <f>G79+1</f>
        <v/>
      </c>
      <c r="H111" s="167">
        <f>IFERROR(FIND(" - ",F111),"")</f>
        <v/>
      </c>
      <c r="I111" s="167">
        <f>I79</f>
        <v/>
      </c>
    </row>
    <row r="112" ht="14.4" customHeight="1" s="152">
      <c r="A112" s="167" t="n">
        <v>111</v>
      </c>
      <c r="B112" s="167">
        <f>B80</f>
        <v/>
      </c>
      <c r="C112" s="167">
        <f>IF(H112="",F112,LEFT(F112,H112-1))</f>
        <v/>
      </c>
      <c r="D112" s="167" t="inlineStr">
        <is>
          <t>RB</t>
        </is>
      </c>
      <c r="E112" s="167">
        <f>IF(H112&lt;&gt;"",RIGHT(F112,LEN(F112)-H112-2),"")</f>
        <v/>
      </c>
      <c r="F112" s="167">
        <f>VLOOKUP(I112,$J:$O,G112,0)</f>
        <v/>
      </c>
      <c r="G112" s="167">
        <f>G80+1</f>
        <v/>
      </c>
      <c r="H112" s="167">
        <f>IFERROR(FIND(" - ",F112),"")</f>
        <v/>
      </c>
      <c r="I112" s="167">
        <f>I80</f>
        <v/>
      </c>
    </row>
    <row r="113" ht="14.4" customHeight="1" s="152">
      <c r="A113" s="167" t="n">
        <v>112</v>
      </c>
      <c r="B113" s="167">
        <f>B81</f>
        <v/>
      </c>
      <c r="C113" s="167">
        <f>IF(H113="",F113,LEFT(F113,H113-1))</f>
        <v/>
      </c>
      <c r="D113" s="167" t="inlineStr">
        <is>
          <t>RB</t>
        </is>
      </c>
      <c r="E113" s="167">
        <f>IF(H113&lt;&gt;"",RIGHT(F113,LEN(F113)-H113-2),"")</f>
        <v/>
      </c>
      <c r="F113" s="167">
        <f>VLOOKUP(I113,$J:$O,G113,0)</f>
        <v/>
      </c>
      <c r="G113" s="167">
        <f>G81+1</f>
        <v/>
      </c>
      <c r="H113" s="167">
        <f>IFERROR(FIND(" - ",F113),"")</f>
        <v/>
      </c>
      <c r="I113" s="167">
        <f>I81</f>
        <v/>
      </c>
    </row>
    <row r="114" ht="14.4" customHeight="1" s="152">
      <c r="A114" s="167" t="n">
        <v>113</v>
      </c>
      <c r="B114" s="167">
        <f>B82</f>
        <v/>
      </c>
      <c r="C114" s="167">
        <f>IF(H114="",F114,LEFT(F114,H114-1))</f>
        <v/>
      </c>
      <c r="D114" s="167" t="inlineStr">
        <is>
          <t>RB</t>
        </is>
      </c>
      <c r="E114" s="167">
        <f>IF(H114&lt;&gt;"",RIGHT(F114,LEN(F114)-H114-2),"")</f>
        <v/>
      </c>
      <c r="F114" s="167">
        <f>VLOOKUP(I114,$J:$O,G114,0)</f>
        <v/>
      </c>
      <c r="G114" s="167">
        <f>G82+1</f>
        <v/>
      </c>
      <c r="H114" s="167">
        <f>IFERROR(FIND(" - ",F114),"")</f>
        <v/>
      </c>
      <c r="I114" s="167">
        <f>I82</f>
        <v/>
      </c>
    </row>
    <row r="115" ht="14.4" customHeight="1" s="152">
      <c r="A115" s="167" t="n">
        <v>114</v>
      </c>
      <c r="B115" s="167">
        <f>B83</f>
        <v/>
      </c>
      <c r="C115" s="167">
        <f>IF(H115="",F115,LEFT(F115,H115-1))</f>
        <v/>
      </c>
      <c r="D115" s="167" t="inlineStr">
        <is>
          <t>RB</t>
        </is>
      </c>
      <c r="E115" s="167">
        <f>IF(H115&lt;&gt;"",RIGHT(F115,LEN(F115)-H115-2),"")</f>
        <v/>
      </c>
      <c r="F115" s="167">
        <f>VLOOKUP(I115,$J:$O,G115,0)</f>
        <v/>
      </c>
      <c r="G115" s="167">
        <f>G83+1</f>
        <v/>
      </c>
      <c r="H115" s="167">
        <f>IFERROR(FIND(" - ",F115),"")</f>
        <v/>
      </c>
      <c r="I115" s="167">
        <f>I83</f>
        <v/>
      </c>
    </row>
    <row r="116" ht="14.4" customHeight="1" s="152">
      <c r="A116" s="167" t="n">
        <v>115</v>
      </c>
      <c r="B116" s="167">
        <f>B84</f>
        <v/>
      </c>
      <c r="C116" s="167">
        <f>IF(H116="",F116,LEFT(F116,H116-1))</f>
        <v/>
      </c>
      <c r="D116" s="167" t="inlineStr">
        <is>
          <t>RB</t>
        </is>
      </c>
      <c r="E116" s="167">
        <f>IF(H116&lt;&gt;"",RIGHT(F116,LEN(F116)-H116-2),"")</f>
        <v/>
      </c>
      <c r="F116" s="167">
        <f>VLOOKUP(I116,$J:$O,G116,0)</f>
        <v/>
      </c>
      <c r="G116" s="167">
        <f>G84+1</f>
        <v/>
      </c>
      <c r="H116" s="167">
        <f>IFERROR(FIND(" - ",F116),"")</f>
        <v/>
      </c>
      <c r="I116" s="167">
        <f>I84</f>
        <v/>
      </c>
    </row>
    <row r="117" ht="14.4" customHeight="1" s="152">
      <c r="A117" s="167" t="n">
        <v>116</v>
      </c>
      <c r="B117" s="167">
        <f>B85</f>
        <v/>
      </c>
      <c r="C117" s="167">
        <f>IF(H117="",F117,LEFT(F117,H117-1))</f>
        <v/>
      </c>
      <c r="D117" s="167" t="inlineStr">
        <is>
          <t>RB</t>
        </is>
      </c>
      <c r="E117" s="167">
        <f>IF(H117&lt;&gt;"",RIGHT(F117,LEN(F117)-H117-2),"")</f>
        <v/>
      </c>
      <c r="F117" s="167">
        <f>VLOOKUP(I117,$J:$O,G117,0)</f>
        <v/>
      </c>
      <c r="G117" s="167">
        <f>G85+1</f>
        <v/>
      </c>
      <c r="H117" s="167">
        <f>IFERROR(FIND(" - ",F117),"")</f>
        <v/>
      </c>
      <c r="I117" s="167">
        <f>I85</f>
        <v/>
      </c>
    </row>
    <row r="118" ht="14.4" customHeight="1" s="152">
      <c r="A118" s="167" t="n">
        <v>117</v>
      </c>
      <c r="B118" s="167">
        <f>B86</f>
        <v/>
      </c>
      <c r="C118" s="167">
        <f>IF(H118="",F118,LEFT(F118,H118-1))</f>
        <v/>
      </c>
      <c r="D118" s="167" t="inlineStr">
        <is>
          <t>RB</t>
        </is>
      </c>
      <c r="E118" s="167">
        <f>IF(H118&lt;&gt;"",RIGHT(F118,LEN(F118)-H118-2),"")</f>
        <v/>
      </c>
      <c r="F118" s="167">
        <f>VLOOKUP(I118,$J:$O,G118,0)</f>
        <v/>
      </c>
      <c r="G118" s="167">
        <f>G86+1</f>
        <v/>
      </c>
      <c r="H118" s="167">
        <f>IFERROR(FIND(" - ",F118),"")</f>
        <v/>
      </c>
      <c r="I118" s="167">
        <f>I86</f>
        <v/>
      </c>
    </row>
    <row r="119" ht="14.4" customHeight="1" s="152">
      <c r="A119" s="167" t="n">
        <v>118</v>
      </c>
      <c r="B119" s="167">
        <f>B87</f>
        <v/>
      </c>
      <c r="C119" s="167">
        <f>IF(H119="",F119,LEFT(F119,H119-1))</f>
        <v/>
      </c>
      <c r="D119" s="167" t="inlineStr">
        <is>
          <t>RB</t>
        </is>
      </c>
      <c r="E119" s="167">
        <f>IF(H119&lt;&gt;"",RIGHT(F119,LEN(F119)-H119-2),"")</f>
        <v/>
      </c>
      <c r="F119" s="167">
        <f>VLOOKUP(I119,$J:$O,G119,0)</f>
        <v/>
      </c>
      <c r="G119" s="167">
        <f>G87+1</f>
        <v/>
      </c>
      <c r="H119" s="167">
        <f>IFERROR(FIND(" - ",F119),"")</f>
        <v/>
      </c>
      <c r="I119" s="167">
        <f>I87</f>
        <v/>
      </c>
    </row>
    <row r="120" ht="14.4" customHeight="1" s="152">
      <c r="A120" s="167" t="n">
        <v>119</v>
      </c>
      <c r="B120" s="167">
        <f>B88</f>
        <v/>
      </c>
      <c r="C120" s="167">
        <f>IF(H120="",F120,LEFT(F120,H120-1))</f>
        <v/>
      </c>
      <c r="D120" s="167" t="inlineStr">
        <is>
          <t>RB</t>
        </is>
      </c>
      <c r="E120" s="167">
        <f>IF(H120&lt;&gt;"",RIGHT(F120,LEN(F120)-H120-2),"")</f>
        <v/>
      </c>
      <c r="F120" s="167">
        <f>VLOOKUP(I120,$J:$O,G120,0)</f>
        <v/>
      </c>
      <c r="G120" s="167">
        <f>G88+1</f>
        <v/>
      </c>
      <c r="H120" s="167">
        <f>IFERROR(FIND(" - ",F120),"")</f>
        <v/>
      </c>
      <c r="I120" s="167">
        <f>I88</f>
        <v/>
      </c>
    </row>
    <row r="121" ht="14.4" customHeight="1" s="152">
      <c r="A121" s="167" t="n">
        <v>120</v>
      </c>
      <c r="B121" s="167">
        <f>B89</f>
        <v/>
      </c>
      <c r="C121" s="167">
        <f>IF(H121="",F121,LEFT(F121,H121-1))</f>
        <v/>
      </c>
      <c r="D121" s="167" t="inlineStr">
        <is>
          <t>RB</t>
        </is>
      </c>
      <c r="E121" s="167">
        <f>IF(H121&lt;&gt;"",RIGHT(F121,LEN(F121)-H121-2),"")</f>
        <v/>
      </c>
      <c r="F121" s="167">
        <f>VLOOKUP(I121,$J:$O,G121,0)</f>
        <v/>
      </c>
      <c r="G121" s="167">
        <f>G89+1</f>
        <v/>
      </c>
      <c r="H121" s="167">
        <f>IFERROR(FIND(" - ",F121),"")</f>
        <v/>
      </c>
      <c r="I121" s="167">
        <f>I89</f>
        <v/>
      </c>
    </row>
    <row r="122" ht="14.4" customHeight="1" s="152">
      <c r="A122" s="167" t="n">
        <v>121</v>
      </c>
      <c r="B122" s="167">
        <f>B90</f>
        <v/>
      </c>
      <c r="C122" s="167">
        <f>IF(H122="",F122,LEFT(F122,H122-1))</f>
        <v/>
      </c>
      <c r="D122" s="167" t="inlineStr">
        <is>
          <t>RB</t>
        </is>
      </c>
      <c r="E122" s="167">
        <f>IF(H122&lt;&gt;"",RIGHT(F122,LEN(F122)-H122-2),"")</f>
        <v/>
      </c>
      <c r="F122" s="167">
        <f>VLOOKUP(I122,$J:$O,G122,0)</f>
        <v/>
      </c>
      <c r="G122" s="167">
        <f>G90+1</f>
        <v/>
      </c>
      <c r="H122" s="167">
        <f>IFERROR(FIND(" - ",F122),"")</f>
        <v/>
      </c>
      <c r="I122" s="167">
        <f>I90</f>
        <v/>
      </c>
    </row>
    <row r="123" ht="14.4" customHeight="1" s="152">
      <c r="A123" s="167" t="n">
        <v>122</v>
      </c>
      <c r="B123" s="167">
        <f>B91</f>
        <v/>
      </c>
      <c r="C123" s="167">
        <f>IF(H123="",F123,LEFT(F123,H123-1))</f>
        <v/>
      </c>
      <c r="D123" s="167" t="inlineStr">
        <is>
          <t>RB</t>
        </is>
      </c>
      <c r="E123" s="167">
        <f>IF(H123&lt;&gt;"",RIGHT(F123,LEN(F123)-H123-2),"")</f>
        <v/>
      </c>
      <c r="F123" s="167">
        <f>VLOOKUP(I123,$J:$O,G123,0)</f>
        <v/>
      </c>
      <c r="G123" s="167">
        <f>G91+1</f>
        <v/>
      </c>
      <c r="H123" s="167">
        <f>IFERROR(FIND(" - ",F123),"")</f>
        <v/>
      </c>
      <c r="I123" s="167">
        <f>I91</f>
        <v/>
      </c>
    </row>
    <row r="124" ht="14.4" customHeight="1" s="152">
      <c r="A124" s="167" t="n">
        <v>123</v>
      </c>
      <c r="B124" s="167">
        <f>B92</f>
        <v/>
      </c>
      <c r="C124" s="167">
        <f>IF(H124="",F124,LEFT(F124,H124-1))</f>
        <v/>
      </c>
      <c r="D124" s="167" t="inlineStr">
        <is>
          <t>RB</t>
        </is>
      </c>
      <c r="E124" s="167">
        <f>IF(H124&lt;&gt;"",RIGHT(F124,LEN(F124)-H124-2),"")</f>
        <v/>
      </c>
      <c r="F124" s="167">
        <f>VLOOKUP(I124,$J:$O,G124,0)</f>
        <v/>
      </c>
      <c r="G124" s="167">
        <f>G92+1</f>
        <v/>
      </c>
      <c r="H124" s="167">
        <f>IFERROR(FIND(" - ",F124),"")</f>
        <v/>
      </c>
      <c r="I124" s="167">
        <f>I92</f>
        <v/>
      </c>
    </row>
    <row r="125" ht="14.4" customHeight="1" s="152">
      <c r="A125" s="167" t="n">
        <v>124</v>
      </c>
      <c r="B125" s="167">
        <f>B93</f>
        <v/>
      </c>
      <c r="C125" s="167">
        <f>IF(H125="",F125,LEFT(F125,H125-1))</f>
        <v/>
      </c>
      <c r="D125" s="167" t="inlineStr">
        <is>
          <t>RB</t>
        </is>
      </c>
      <c r="E125" s="167">
        <f>IF(H125&lt;&gt;"",RIGHT(F125,LEN(F125)-H125-2),"")</f>
        <v/>
      </c>
      <c r="F125" s="167">
        <f>VLOOKUP(I125,$J:$O,G125,0)</f>
        <v/>
      </c>
      <c r="G125" s="167">
        <f>G93+1</f>
        <v/>
      </c>
      <c r="H125" s="167">
        <f>IFERROR(FIND(" - ",F125),"")</f>
        <v/>
      </c>
      <c r="I125" s="167">
        <f>I93</f>
        <v/>
      </c>
    </row>
    <row r="126" ht="14.4" customHeight="1" s="152">
      <c r="A126" s="167" t="n">
        <v>125</v>
      </c>
      <c r="B126" s="167">
        <f>B94</f>
        <v/>
      </c>
      <c r="C126" s="167">
        <f>IF(H126="",F126,LEFT(F126,H126-1))</f>
        <v/>
      </c>
      <c r="D126" s="167" t="inlineStr">
        <is>
          <t>RB</t>
        </is>
      </c>
      <c r="E126" s="167">
        <f>IF(H126&lt;&gt;"",RIGHT(F126,LEN(F126)-H126-2),"")</f>
        <v/>
      </c>
      <c r="F126" s="167">
        <f>VLOOKUP(I126,$J:$O,G126,0)</f>
        <v/>
      </c>
      <c r="G126" s="167">
        <f>G94+1</f>
        <v/>
      </c>
      <c r="H126" s="167">
        <f>IFERROR(FIND(" - ",F126),"")</f>
        <v/>
      </c>
      <c r="I126" s="167">
        <f>I94</f>
        <v/>
      </c>
    </row>
    <row r="127" ht="14.4" customHeight="1" s="152">
      <c r="A127" s="167" t="n">
        <v>126</v>
      </c>
      <c r="B127" s="167">
        <f>B95</f>
        <v/>
      </c>
      <c r="C127" s="167">
        <f>IF(H127="",F127,LEFT(F127,H127-1))</f>
        <v/>
      </c>
      <c r="D127" s="167" t="inlineStr">
        <is>
          <t>RB</t>
        </is>
      </c>
      <c r="E127" s="167">
        <f>IF(H127&lt;&gt;"",RIGHT(F127,LEN(F127)-H127-2),"")</f>
        <v/>
      </c>
      <c r="F127" s="167">
        <f>VLOOKUP(I127,$J:$O,G127,0)</f>
        <v/>
      </c>
      <c r="G127" s="167">
        <f>G95+1</f>
        <v/>
      </c>
      <c r="H127" s="167">
        <f>IFERROR(FIND(" - ",F127),"")</f>
        <v/>
      </c>
      <c r="I127" s="167">
        <f>I95</f>
        <v/>
      </c>
    </row>
    <row r="128" ht="14.4" customHeight="1" s="152">
      <c r="A128" s="167" t="n">
        <v>127</v>
      </c>
      <c r="B128" s="167">
        <f>B96</f>
        <v/>
      </c>
      <c r="C128" s="167">
        <f>IF(H128="",F128,LEFT(F128,H128-1))</f>
        <v/>
      </c>
      <c r="D128" s="167" t="inlineStr">
        <is>
          <t>RB</t>
        </is>
      </c>
      <c r="E128" s="167">
        <f>IF(H128&lt;&gt;"",RIGHT(F128,LEN(F128)-H128-2),"")</f>
        <v/>
      </c>
      <c r="F128" s="167">
        <f>VLOOKUP(I128,$J:$O,G128,0)</f>
        <v/>
      </c>
      <c r="G128" s="167">
        <f>G96+1</f>
        <v/>
      </c>
      <c r="H128" s="167">
        <f>IFERROR(FIND(" - ",F128),"")</f>
        <v/>
      </c>
      <c r="I128" s="167">
        <f>I96</f>
        <v/>
      </c>
    </row>
    <row r="129" ht="14.4" customHeight="1" s="152">
      <c r="A129" s="167" t="n">
        <v>128</v>
      </c>
      <c r="B129" s="167">
        <f>B97</f>
        <v/>
      </c>
      <c r="C129" s="167">
        <f>IF(H129="",F129,LEFT(F129,H129-1))</f>
        <v/>
      </c>
      <c r="D129" s="167" t="inlineStr">
        <is>
          <t>RB</t>
        </is>
      </c>
      <c r="E129" s="167">
        <f>IF(H129&lt;&gt;"",RIGHT(F129,LEN(F129)-H129-2),"")</f>
        <v/>
      </c>
      <c r="F129" s="167">
        <f>VLOOKUP(I129,$J:$O,G129,0)</f>
        <v/>
      </c>
      <c r="G129" s="167">
        <f>G97+1</f>
        <v/>
      </c>
      <c r="H129" s="167">
        <f>IFERROR(FIND(" - ",F129),"")</f>
        <v/>
      </c>
      <c r="I129" s="167">
        <f>I97</f>
        <v/>
      </c>
    </row>
    <row r="130" ht="14.4" customHeight="1" s="152">
      <c r="A130" s="167" t="n">
        <v>129</v>
      </c>
      <c r="B130" s="167">
        <f>B98</f>
        <v/>
      </c>
      <c r="C130" s="167">
        <f>IF(H130="",F130,LEFT(F130,H130-1))</f>
        <v/>
      </c>
      <c r="D130" s="167" t="inlineStr">
        <is>
          <t>RB</t>
        </is>
      </c>
      <c r="E130" s="167">
        <f>IF(H130&lt;&gt;"",RIGHT(F130,LEN(F130)-H130-2),"")</f>
        <v/>
      </c>
      <c r="F130" s="167">
        <f>VLOOKUP(I130,$J:$O,G130,0)</f>
        <v/>
      </c>
      <c r="G130" s="167">
        <f>G98+1</f>
        <v/>
      </c>
      <c r="H130" s="167">
        <f>IFERROR(FIND(" - ",F130),"")</f>
        <v/>
      </c>
      <c r="I130" s="167">
        <f>I98</f>
        <v/>
      </c>
    </row>
    <row r="131" ht="14.4" customHeight="1" s="152">
      <c r="A131" s="167" t="n">
        <v>130</v>
      </c>
      <c r="B131" s="167">
        <f>B99</f>
        <v/>
      </c>
      <c r="C131" s="167">
        <f>IF(H131="",F131,LEFT(F131,H131-1))</f>
        <v/>
      </c>
      <c r="D131" s="167" t="inlineStr">
        <is>
          <t>RB</t>
        </is>
      </c>
      <c r="E131" s="167">
        <f>IF(H131&lt;&gt;"",RIGHT(F131,LEN(F131)-H131-2),"")</f>
        <v/>
      </c>
      <c r="F131" s="167">
        <f>VLOOKUP(I131,$J:$O,G131,0)</f>
        <v/>
      </c>
      <c r="G131" s="167">
        <f>G99+1</f>
        <v/>
      </c>
      <c r="H131" s="167">
        <f>IFERROR(FIND(" - ",F131),"")</f>
        <v/>
      </c>
      <c r="I131" s="167">
        <f>I99</f>
        <v/>
      </c>
    </row>
    <row r="132" ht="14.4" customHeight="1" s="152">
      <c r="A132" s="167" t="n">
        <v>131</v>
      </c>
      <c r="B132" s="167">
        <f>B100</f>
        <v/>
      </c>
      <c r="C132" s="167">
        <f>IF(H132="",F132,LEFT(F132,H132-1))</f>
        <v/>
      </c>
      <c r="D132" s="167" t="inlineStr">
        <is>
          <t>RB</t>
        </is>
      </c>
      <c r="E132" s="167">
        <f>IF(H132&lt;&gt;"",RIGHT(F132,LEN(F132)-H132-2),"")</f>
        <v/>
      </c>
      <c r="F132" s="167">
        <f>VLOOKUP(I132,$J:$O,G132,0)</f>
        <v/>
      </c>
      <c r="G132" s="167">
        <f>G100+1</f>
        <v/>
      </c>
      <c r="H132" s="167">
        <f>IFERROR(FIND(" - ",F132),"")</f>
        <v/>
      </c>
      <c r="I132" s="167">
        <f>I100</f>
        <v/>
      </c>
    </row>
    <row r="133" ht="14.4" customHeight="1" s="152">
      <c r="A133" s="167" t="n">
        <v>132</v>
      </c>
      <c r="B133" s="167">
        <f>B101</f>
        <v/>
      </c>
      <c r="C133" s="167">
        <f>IF(H133="",F133,LEFT(F133,H133-1))</f>
        <v/>
      </c>
      <c r="D133" s="167" t="inlineStr">
        <is>
          <t>RB</t>
        </is>
      </c>
      <c r="E133" s="167">
        <f>IF(H133&lt;&gt;"",RIGHT(F133,LEN(F133)-H133-2),"")</f>
        <v/>
      </c>
      <c r="F133" s="167">
        <f>VLOOKUP(I133,$J:$O,G133,0)</f>
        <v/>
      </c>
      <c r="G133" s="167">
        <f>G101+1</f>
        <v/>
      </c>
      <c r="H133" s="167">
        <f>IFERROR(FIND(" - ",F133),"")</f>
        <v/>
      </c>
      <c r="I133" s="167">
        <f>I101</f>
        <v/>
      </c>
    </row>
    <row r="134" ht="14.4" customHeight="1" s="152">
      <c r="A134" s="167" t="n">
        <v>133</v>
      </c>
      <c r="B134" s="167">
        <f>B102</f>
        <v/>
      </c>
      <c r="C134" s="167">
        <f>IF(H134="",F134,LEFT(F134,H134-1))</f>
        <v/>
      </c>
      <c r="D134" s="167" t="inlineStr">
        <is>
          <t>RB</t>
        </is>
      </c>
      <c r="E134" s="167">
        <f>IF(H134&lt;&gt;"",RIGHT(F134,LEN(F134)-H134-2),"")</f>
        <v/>
      </c>
      <c r="F134" s="167">
        <f>VLOOKUP(I134,$J:$O,G134,0)</f>
        <v/>
      </c>
      <c r="G134" s="167">
        <f>G102+1</f>
        <v/>
      </c>
      <c r="H134" s="167">
        <f>IFERROR(FIND(" - ",F134),"")</f>
        <v/>
      </c>
      <c r="I134" s="167">
        <f>I102</f>
        <v/>
      </c>
    </row>
    <row r="135" ht="14.4" customHeight="1" s="152">
      <c r="A135" s="167" t="n">
        <v>134</v>
      </c>
      <c r="B135" s="167">
        <f>B103</f>
        <v/>
      </c>
      <c r="C135" s="167">
        <f>IF(H135="",F135,LEFT(F135,H135-1))</f>
        <v/>
      </c>
      <c r="D135" s="167" t="inlineStr">
        <is>
          <t>RB</t>
        </is>
      </c>
      <c r="E135" s="167">
        <f>IF(H135&lt;&gt;"",RIGHT(F135,LEN(F135)-H135-2),"")</f>
        <v/>
      </c>
      <c r="F135" s="167">
        <f>VLOOKUP(I135,$J:$O,G135,0)</f>
        <v/>
      </c>
      <c r="G135" s="167">
        <f>G103+1</f>
        <v/>
      </c>
      <c r="H135" s="167">
        <f>IFERROR(FIND(" - ",F135),"")</f>
        <v/>
      </c>
      <c r="I135" s="167">
        <f>I103</f>
        <v/>
      </c>
    </row>
    <row r="136" ht="14.4" customHeight="1" s="152">
      <c r="A136" s="167" t="n">
        <v>135</v>
      </c>
      <c r="B136" s="167">
        <f>B104</f>
        <v/>
      </c>
      <c r="C136" s="167">
        <f>IF(H136="",F136,LEFT(F136,H136-1))</f>
        <v/>
      </c>
      <c r="D136" s="167" t="inlineStr">
        <is>
          <t>RB</t>
        </is>
      </c>
      <c r="E136" s="167">
        <f>IF(H136&lt;&gt;"",RIGHT(F136,LEN(F136)-H136-2),"")</f>
        <v/>
      </c>
      <c r="F136" s="167">
        <f>VLOOKUP(I136,$J:$O,G136,0)</f>
        <v/>
      </c>
      <c r="G136" s="167">
        <f>G104+1</f>
        <v/>
      </c>
      <c r="H136" s="167">
        <f>IFERROR(FIND(" - ",F136),"")</f>
        <v/>
      </c>
      <c r="I136" s="167">
        <f>I104</f>
        <v/>
      </c>
    </row>
    <row r="137" ht="14.4" customHeight="1" s="152">
      <c r="A137" s="167" t="n">
        <v>136</v>
      </c>
      <c r="B137" s="167">
        <f>B105</f>
        <v/>
      </c>
      <c r="C137" s="167">
        <f>IF(H137="",F137,LEFT(F137,H137-1))</f>
        <v/>
      </c>
      <c r="D137" s="167" t="inlineStr">
        <is>
          <t>RB</t>
        </is>
      </c>
      <c r="E137" s="167">
        <f>IF(H137&lt;&gt;"",RIGHT(F137,LEN(F137)-H137-2),"")</f>
        <v/>
      </c>
      <c r="F137" s="167">
        <f>VLOOKUP(I137,$J:$O,G137,0)</f>
        <v/>
      </c>
      <c r="G137" s="167">
        <f>G105+1</f>
        <v/>
      </c>
      <c r="H137" s="167">
        <f>IFERROR(FIND(" - ",F137),"")</f>
        <v/>
      </c>
      <c r="I137" s="167">
        <f>I105</f>
        <v/>
      </c>
    </row>
    <row r="138" ht="14.4" customHeight="1" s="152">
      <c r="A138" s="167" t="n">
        <v>137</v>
      </c>
      <c r="B138" s="167">
        <f>B106</f>
        <v/>
      </c>
      <c r="C138" s="167">
        <f>IF(H138="",F138,LEFT(F138,H138-1))</f>
        <v/>
      </c>
      <c r="D138" s="167" t="inlineStr">
        <is>
          <t>RB</t>
        </is>
      </c>
      <c r="E138" s="167">
        <f>IF(H138&lt;&gt;"",RIGHT(F138,LEN(F138)-H138-2),"")</f>
        <v/>
      </c>
      <c r="F138" s="167">
        <f>VLOOKUP(I138,$J:$O,G138,0)</f>
        <v/>
      </c>
      <c r="G138" s="167">
        <f>G106+1</f>
        <v/>
      </c>
      <c r="H138" s="167">
        <f>IFERROR(FIND(" - ",F138),"")</f>
        <v/>
      </c>
      <c r="I138" s="167">
        <f>I106</f>
        <v/>
      </c>
    </row>
    <row r="139" ht="14.4" customHeight="1" s="152">
      <c r="A139" s="167" t="n">
        <v>138</v>
      </c>
      <c r="B139" s="167">
        <f>B107</f>
        <v/>
      </c>
      <c r="C139" s="167">
        <f>IF(H139="",F139,LEFT(F139,H139-1))</f>
        <v/>
      </c>
      <c r="D139" s="167" t="inlineStr">
        <is>
          <t>RB</t>
        </is>
      </c>
      <c r="E139" s="167">
        <f>IF(H139&lt;&gt;"",RIGHT(F139,LEN(F139)-H139-2),"")</f>
        <v/>
      </c>
      <c r="F139" s="167">
        <f>VLOOKUP(I139,$J:$O,G139,0)</f>
        <v/>
      </c>
      <c r="G139" s="167">
        <f>G107+1</f>
        <v/>
      </c>
      <c r="H139" s="167">
        <f>IFERROR(FIND(" - ",F139),"")</f>
        <v/>
      </c>
      <c r="I139" s="167">
        <f>I107</f>
        <v/>
      </c>
    </row>
    <row r="140" ht="14.4" customHeight="1" s="152">
      <c r="A140" s="167" t="n">
        <v>139</v>
      </c>
      <c r="B140" s="167">
        <f>B108</f>
        <v/>
      </c>
      <c r="C140" s="167">
        <f>IF(H140="",F140,LEFT(F140,H140-1))</f>
        <v/>
      </c>
      <c r="D140" s="167" t="inlineStr">
        <is>
          <t>RB</t>
        </is>
      </c>
      <c r="E140" s="167">
        <f>IF(H140&lt;&gt;"",RIGHT(F140,LEN(F140)-H140-2),"")</f>
        <v/>
      </c>
      <c r="F140" s="167">
        <f>VLOOKUP(I140,$J:$O,G140,0)</f>
        <v/>
      </c>
      <c r="G140" s="167">
        <f>G108+1</f>
        <v/>
      </c>
      <c r="H140" s="167">
        <f>IFERROR(FIND(" - ",F140),"")</f>
        <v/>
      </c>
      <c r="I140" s="167">
        <f>I108</f>
        <v/>
      </c>
    </row>
    <row r="141" ht="14.4" customHeight="1" s="152">
      <c r="A141" s="167" t="n">
        <v>140</v>
      </c>
      <c r="B141" s="167">
        <f>B109</f>
        <v/>
      </c>
      <c r="C141" s="167">
        <f>IF(H141="",F141,LEFT(F141,H141-1))</f>
        <v/>
      </c>
      <c r="D141" s="167" t="inlineStr">
        <is>
          <t>RB</t>
        </is>
      </c>
      <c r="E141" s="167">
        <f>IF(H141&lt;&gt;"",RIGHT(F141,LEN(F141)-H141-2),"")</f>
        <v/>
      </c>
      <c r="F141" s="167">
        <f>VLOOKUP(I141,$J:$O,G141,0)</f>
        <v/>
      </c>
      <c r="G141" s="167">
        <f>G109+1</f>
        <v/>
      </c>
      <c r="H141" s="167">
        <f>IFERROR(FIND(" - ",F141),"")</f>
        <v/>
      </c>
      <c r="I141" s="167">
        <f>I109</f>
        <v/>
      </c>
    </row>
    <row r="142" ht="14.4" customHeight="1" s="152">
      <c r="A142" s="167" t="n">
        <v>141</v>
      </c>
      <c r="B142" s="167">
        <f>B110</f>
        <v/>
      </c>
      <c r="C142" s="167">
        <f>IF(H142="",F142,LEFT(F142,H142-1))</f>
        <v/>
      </c>
      <c r="D142" s="167" t="inlineStr">
        <is>
          <t>RB</t>
        </is>
      </c>
      <c r="E142" s="167">
        <f>IF(H142&lt;&gt;"",RIGHT(F142,LEN(F142)-H142-2),"")</f>
        <v/>
      </c>
      <c r="F142" s="167">
        <f>VLOOKUP(I142,$J:$O,G142,0)</f>
        <v/>
      </c>
      <c r="G142" s="167">
        <f>G110+1</f>
        <v/>
      </c>
      <c r="H142" s="167">
        <f>IFERROR(FIND(" - ",F142),"")</f>
        <v/>
      </c>
      <c r="I142" s="167">
        <f>I110</f>
        <v/>
      </c>
    </row>
    <row r="143" ht="14.4" customHeight="1" s="152">
      <c r="A143" s="167" t="n">
        <v>142</v>
      </c>
      <c r="B143" s="167">
        <f>B111</f>
        <v/>
      </c>
      <c r="C143" s="167">
        <f>IF(H143="",F143,LEFT(F143,H143-1))</f>
        <v/>
      </c>
      <c r="D143" s="167" t="inlineStr">
        <is>
          <t>RB</t>
        </is>
      </c>
      <c r="E143" s="167">
        <f>IF(H143&lt;&gt;"",RIGHT(F143,LEN(F143)-H143-2),"")</f>
        <v/>
      </c>
      <c r="F143" s="167">
        <f>VLOOKUP(I143,$J:$O,G143,0)</f>
        <v/>
      </c>
      <c r="G143" s="167">
        <f>G111+1</f>
        <v/>
      </c>
      <c r="H143" s="167">
        <f>IFERROR(FIND(" - ",F143),"")</f>
        <v/>
      </c>
      <c r="I143" s="167">
        <f>I111</f>
        <v/>
      </c>
    </row>
    <row r="144" ht="14.4" customHeight="1" s="152">
      <c r="A144" s="167" t="n">
        <v>143</v>
      </c>
      <c r="B144" s="167">
        <f>B112</f>
        <v/>
      </c>
      <c r="C144" s="167">
        <f>IF(H144="",F144,LEFT(F144,H144-1))</f>
        <v/>
      </c>
      <c r="D144" s="167" t="inlineStr">
        <is>
          <t>RB</t>
        </is>
      </c>
      <c r="E144" s="167">
        <f>IF(H144&lt;&gt;"",RIGHT(F144,LEN(F144)-H144-2),"")</f>
        <v/>
      </c>
      <c r="F144" s="167">
        <f>VLOOKUP(I144,$J:$O,G144,0)</f>
        <v/>
      </c>
      <c r="G144" s="167">
        <f>G112+1</f>
        <v/>
      </c>
      <c r="H144" s="167">
        <f>IFERROR(FIND(" - ",F144),"")</f>
        <v/>
      </c>
      <c r="I144" s="167">
        <f>I112</f>
        <v/>
      </c>
    </row>
    <row r="145" ht="14.4" customHeight="1" s="152">
      <c r="A145" s="167" t="n">
        <v>144</v>
      </c>
      <c r="B145" s="167">
        <f>B113</f>
        <v/>
      </c>
      <c r="C145" s="167">
        <f>IF(H145="",F145,LEFT(F145,H145-1))</f>
        <v/>
      </c>
      <c r="D145" s="167" t="inlineStr">
        <is>
          <t>RB</t>
        </is>
      </c>
      <c r="E145" s="167">
        <f>IF(H145&lt;&gt;"",RIGHT(F145,LEN(F145)-H145-2),"")</f>
        <v/>
      </c>
      <c r="F145" s="167">
        <f>VLOOKUP(I145,$J:$O,G145,0)</f>
        <v/>
      </c>
      <c r="G145" s="167">
        <f>G113+1</f>
        <v/>
      </c>
      <c r="H145" s="167">
        <f>IFERROR(FIND(" - ",F145),"")</f>
        <v/>
      </c>
      <c r="I145" s="167">
        <f>I113</f>
        <v/>
      </c>
    </row>
    <row r="146" ht="14.4" customHeight="1" s="152">
      <c r="A146" s="167" t="n">
        <v>145</v>
      </c>
      <c r="B146" s="167">
        <f>B114</f>
        <v/>
      </c>
      <c r="C146" s="167">
        <f>IF(H146="",F146,LEFT(F146,H146-1))</f>
        <v/>
      </c>
      <c r="D146" s="167" t="inlineStr">
        <is>
          <t>RB</t>
        </is>
      </c>
      <c r="E146" s="167">
        <f>IF(H146&lt;&gt;"",RIGHT(F146,LEN(F146)-H146-2),"")</f>
        <v/>
      </c>
      <c r="F146" s="167">
        <f>VLOOKUP(I146,$J:$O,G146,0)</f>
        <v/>
      </c>
      <c r="G146" s="167">
        <f>G114+1</f>
        <v/>
      </c>
      <c r="H146" s="167">
        <f>IFERROR(FIND(" - ",F146),"")</f>
        <v/>
      </c>
      <c r="I146" s="167">
        <f>I114</f>
        <v/>
      </c>
    </row>
    <row r="147" ht="14.4" customHeight="1" s="152">
      <c r="A147" s="167" t="n">
        <v>146</v>
      </c>
      <c r="B147" s="167">
        <f>B115</f>
        <v/>
      </c>
      <c r="C147" s="167">
        <f>IF(H147="",F147,LEFT(F147,H147-1))</f>
        <v/>
      </c>
      <c r="D147" s="167" t="inlineStr">
        <is>
          <t>RB</t>
        </is>
      </c>
      <c r="E147" s="167">
        <f>IF(H147&lt;&gt;"",RIGHT(F147,LEN(F147)-H147-2),"")</f>
        <v/>
      </c>
      <c r="F147" s="167">
        <f>VLOOKUP(I147,$J:$O,G147,0)</f>
        <v/>
      </c>
      <c r="G147" s="167">
        <f>G115+1</f>
        <v/>
      </c>
      <c r="H147" s="167">
        <f>IFERROR(FIND(" - ",F147),"")</f>
        <v/>
      </c>
      <c r="I147" s="167">
        <f>I115</f>
        <v/>
      </c>
    </row>
    <row r="148" ht="14.4" customHeight="1" s="152">
      <c r="A148" s="167" t="n">
        <v>147</v>
      </c>
      <c r="B148" s="167">
        <f>B116</f>
        <v/>
      </c>
      <c r="C148" s="167">
        <f>IF(H148="",F148,LEFT(F148,H148-1))</f>
        <v/>
      </c>
      <c r="D148" s="167" t="inlineStr">
        <is>
          <t>RB</t>
        </is>
      </c>
      <c r="E148" s="167">
        <f>IF(H148&lt;&gt;"",RIGHT(F148,LEN(F148)-H148-2),"")</f>
        <v/>
      </c>
      <c r="F148" s="167">
        <f>VLOOKUP(I148,$J:$O,G148,0)</f>
        <v/>
      </c>
      <c r="G148" s="167">
        <f>G116+1</f>
        <v/>
      </c>
      <c r="H148" s="167">
        <f>IFERROR(FIND(" - ",F148),"")</f>
        <v/>
      </c>
      <c r="I148" s="167">
        <f>I116</f>
        <v/>
      </c>
    </row>
    <row r="149" ht="14.4" customHeight="1" s="152">
      <c r="A149" s="167" t="n">
        <v>148</v>
      </c>
      <c r="B149" s="167">
        <f>B117</f>
        <v/>
      </c>
      <c r="C149" s="167">
        <f>IF(H149="",F149,LEFT(F149,H149-1))</f>
        <v/>
      </c>
      <c r="D149" s="167" t="inlineStr">
        <is>
          <t>RB</t>
        </is>
      </c>
      <c r="E149" s="167">
        <f>IF(H149&lt;&gt;"",RIGHT(F149,LEN(F149)-H149-2),"")</f>
        <v/>
      </c>
      <c r="F149" s="167">
        <f>VLOOKUP(I149,$J:$O,G149,0)</f>
        <v/>
      </c>
      <c r="G149" s="167">
        <f>G117+1</f>
        <v/>
      </c>
      <c r="H149" s="167">
        <f>IFERROR(FIND(" - ",F149),"")</f>
        <v/>
      </c>
      <c r="I149" s="167">
        <f>I117</f>
        <v/>
      </c>
    </row>
    <row r="150" ht="14.4" customHeight="1" s="152">
      <c r="A150" s="167" t="n">
        <v>149</v>
      </c>
      <c r="B150" s="167">
        <f>B118</f>
        <v/>
      </c>
      <c r="C150" s="167">
        <f>IF(H150="",F150,LEFT(F150,H150-1))</f>
        <v/>
      </c>
      <c r="D150" s="167" t="inlineStr">
        <is>
          <t>RB</t>
        </is>
      </c>
      <c r="E150" s="167">
        <f>IF(H150&lt;&gt;"",RIGHT(F150,LEN(F150)-H150-2),"")</f>
        <v/>
      </c>
      <c r="F150" s="167">
        <f>VLOOKUP(I150,$J:$O,G150,0)</f>
        <v/>
      </c>
      <c r="G150" s="167">
        <f>G118+1</f>
        <v/>
      </c>
      <c r="H150" s="167">
        <f>IFERROR(FIND(" - ",F150),"")</f>
        <v/>
      </c>
      <c r="I150" s="167">
        <f>I118</f>
        <v/>
      </c>
    </row>
    <row r="151" ht="14.4" customHeight="1" s="152">
      <c r="A151" s="167" t="n">
        <v>150</v>
      </c>
      <c r="B151" s="167">
        <f>B119</f>
        <v/>
      </c>
      <c r="C151" s="167">
        <f>IF(H151="",F151,LEFT(F151,H151-1))</f>
        <v/>
      </c>
      <c r="D151" s="167" t="inlineStr">
        <is>
          <t>RB</t>
        </is>
      </c>
      <c r="E151" s="167">
        <f>IF(H151&lt;&gt;"",RIGHT(F151,LEN(F151)-H151-2),"")</f>
        <v/>
      </c>
      <c r="F151" s="167">
        <f>VLOOKUP(I151,$J:$O,G151,0)</f>
        <v/>
      </c>
      <c r="G151" s="167">
        <f>G119+1</f>
        <v/>
      </c>
      <c r="H151" s="167">
        <f>IFERROR(FIND(" - ",F151),"")</f>
        <v/>
      </c>
      <c r="I151" s="167">
        <f>I119</f>
        <v/>
      </c>
    </row>
    <row r="152" ht="14.4" customHeight="1" s="152">
      <c r="A152" s="167" t="n">
        <v>151</v>
      </c>
      <c r="B152" s="167">
        <f>B120</f>
        <v/>
      </c>
      <c r="C152" s="167">
        <f>IF(H152="",F152,LEFT(F152,H152-1))</f>
        <v/>
      </c>
      <c r="D152" s="167" t="inlineStr">
        <is>
          <t>RB</t>
        </is>
      </c>
      <c r="E152" s="167">
        <f>IF(H152&lt;&gt;"",RIGHT(F152,LEN(F152)-H152-2),"")</f>
        <v/>
      </c>
      <c r="F152" s="167">
        <f>VLOOKUP(I152,$J:$O,G152,0)</f>
        <v/>
      </c>
      <c r="G152" s="167">
        <f>G120+1</f>
        <v/>
      </c>
      <c r="H152" s="167">
        <f>IFERROR(FIND(" - ",F152),"")</f>
        <v/>
      </c>
      <c r="I152" s="167">
        <f>I120</f>
        <v/>
      </c>
    </row>
    <row r="153" ht="14.4" customHeight="1" s="152">
      <c r="A153" s="167" t="n">
        <v>152</v>
      </c>
      <c r="B153" s="167">
        <f>B121</f>
        <v/>
      </c>
      <c r="C153" s="167">
        <f>IF(H153="",F153,LEFT(F153,H153-1))</f>
        <v/>
      </c>
      <c r="D153" s="167" t="inlineStr">
        <is>
          <t>RB</t>
        </is>
      </c>
      <c r="E153" s="167">
        <f>IF(H153&lt;&gt;"",RIGHT(F153,LEN(F153)-H153-2),"")</f>
        <v/>
      </c>
      <c r="F153" s="167">
        <f>VLOOKUP(I153,$J:$O,G153,0)</f>
        <v/>
      </c>
      <c r="G153" s="167">
        <f>G121+1</f>
        <v/>
      </c>
      <c r="H153" s="167">
        <f>IFERROR(FIND(" - ",F153),"")</f>
        <v/>
      </c>
      <c r="I153" s="167">
        <f>I121</f>
        <v/>
      </c>
    </row>
    <row r="154" ht="14.4" customHeight="1" s="152">
      <c r="A154" s="167" t="n">
        <v>153</v>
      </c>
      <c r="B154" s="167">
        <f>B122</f>
        <v/>
      </c>
      <c r="C154" s="167">
        <f>IF(H154="",F154,LEFT(F154,H154-1))</f>
        <v/>
      </c>
      <c r="D154" s="167" t="inlineStr">
        <is>
          <t>RB</t>
        </is>
      </c>
      <c r="E154" s="167">
        <f>IF(H154&lt;&gt;"",RIGHT(F154,LEN(F154)-H154-2),"")</f>
        <v/>
      </c>
      <c r="F154" s="167">
        <f>VLOOKUP(I154,$J:$O,G154,0)</f>
        <v/>
      </c>
      <c r="G154" s="167">
        <f>G122+1</f>
        <v/>
      </c>
      <c r="H154" s="167">
        <f>IFERROR(FIND(" - ",F154),"")</f>
        <v/>
      </c>
      <c r="I154" s="167">
        <f>I122</f>
        <v/>
      </c>
    </row>
    <row r="155" ht="14.4" customHeight="1" s="152">
      <c r="A155" s="167" t="n">
        <v>154</v>
      </c>
      <c r="B155" s="167">
        <f>B123</f>
        <v/>
      </c>
      <c r="C155" s="167">
        <f>IF(H155="",F155,LEFT(F155,H155-1))</f>
        <v/>
      </c>
      <c r="D155" s="167" t="inlineStr">
        <is>
          <t>RB</t>
        </is>
      </c>
      <c r="E155" s="167">
        <f>IF(H155&lt;&gt;"",RIGHT(F155,LEN(F155)-H155-2),"")</f>
        <v/>
      </c>
      <c r="F155" s="167">
        <f>VLOOKUP(I155,$J:$O,G155,0)</f>
        <v/>
      </c>
      <c r="G155" s="167">
        <f>G123+1</f>
        <v/>
      </c>
      <c r="H155" s="167">
        <f>IFERROR(FIND(" - ",F155),"")</f>
        <v/>
      </c>
      <c r="I155" s="167">
        <f>I123</f>
        <v/>
      </c>
    </row>
    <row r="156" ht="14.4" customHeight="1" s="152">
      <c r="A156" s="167" t="n">
        <v>155</v>
      </c>
      <c r="B156" s="167">
        <f>B124</f>
        <v/>
      </c>
      <c r="C156" s="167">
        <f>IF(H156="",F156,LEFT(F156,H156-1))</f>
        <v/>
      </c>
      <c r="D156" s="167" t="inlineStr">
        <is>
          <t>RB</t>
        </is>
      </c>
      <c r="E156" s="167">
        <f>IF(H156&lt;&gt;"",RIGHT(F156,LEN(F156)-H156-2),"")</f>
        <v/>
      </c>
      <c r="F156" s="167">
        <f>VLOOKUP(I156,$J:$O,G156,0)</f>
        <v/>
      </c>
      <c r="G156" s="167">
        <f>G124+1</f>
        <v/>
      </c>
      <c r="H156" s="167">
        <f>IFERROR(FIND(" - ",F156),"")</f>
        <v/>
      </c>
      <c r="I156" s="167">
        <f>I124</f>
        <v/>
      </c>
    </row>
    <row r="157" ht="14.4" customHeight="1" s="152">
      <c r="A157" s="167" t="n">
        <v>156</v>
      </c>
      <c r="B157" s="167">
        <f>B125</f>
        <v/>
      </c>
      <c r="C157" s="167">
        <f>IF(H157="",F157,LEFT(F157,H157-1))</f>
        <v/>
      </c>
      <c r="D157" s="167" t="inlineStr">
        <is>
          <t>RB</t>
        </is>
      </c>
      <c r="E157" s="167">
        <f>IF(H157&lt;&gt;"",RIGHT(F157,LEN(F157)-H157-2),"")</f>
        <v/>
      </c>
      <c r="F157" s="167">
        <f>VLOOKUP(I157,$J:$O,G157,0)</f>
        <v/>
      </c>
      <c r="G157" s="167">
        <f>G125+1</f>
        <v/>
      </c>
      <c r="H157" s="167">
        <f>IFERROR(FIND(" - ",F157),"")</f>
        <v/>
      </c>
      <c r="I157" s="167">
        <f>I125</f>
        <v/>
      </c>
    </row>
    <row r="158" ht="14.4" customHeight="1" s="152">
      <c r="A158" s="167" t="n">
        <v>157</v>
      </c>
      <c r="B158" s="167">
        <f>B126</f>
        <v/>
      </c>
      <c r="C158" s="167">
        <f>IF(H158="",F158,LEFT(F158,H158-1))</f>
        <v/>
      </c>
      <c r="D158" s="167" t="inlineStr">
        <is>
          <t>RB</t>
        </is>
      </c>
      <c r="E158" s="167">
        <f>IF(H158&lt;&gt;"",RIGHT(F158,LEN(F158)-H158-2),"")</f>
        <v/>
      </c>
      <c r="F158" s="167">
        <f>VLOOKUP(I158,$J:$O,G158,0)</f>
        <v/>
      </c>
      <c r="G158" s="167">
        <f>G126+1</f>
        <v/>
      </c>
      <c r="H158" s="167">
        <f>IFERROR(FIND(" - ",F158),"")</f>
        <v/>
      </c>
      <c r="I158" s="167">
        <f>I126</f>
        <v/>
      </c>
    </row>
    <row r="159" ht="14.4" customHeight="1" s="152">
      <c r="A159" s="167" t="n">
        <v>158</v>
      </c>
      <c r="B159" s="167">
        <f>B127</f>
        <v/>
      </c>
      <c r="C159" s="167">
        <f>IF(H159="",F159,LEFT(F159,H159-1))</f>
        <v/>
      </c>
      <c r="D159" s="167" t="inlineStr">
        <is>
          <t>RB</t>
        </is>
      </c>
      <c r="E159" s="167">
        <f>IF(H159&lt;&gt;"",RIGHT(F159,LEN(F159)-H159-2),"")</f>
        <v/>
      </c>
      <c r="F159" s="167">
        <f>VLOOKUP(I159,$J:$O,G159,0)</f>
        <v/>
      </c>
      <c r="G159" s="167">
        <f>G127+1</f>
        <v/>
      </c>
      <c r="H159" s="167">
        <f>IFERROR(FIND(" - ",F159),"")</f>
        <v/>
      </c>
      <c r="I159" s="167">
        <f>I127</f>
        <v/>
      </c>
    </row>
    <row r="160" ht="14.4" customHeight="1" s="152">
      <c r="A160" s="167" t="n">
        <v>159</v>
      </c>
      <c r="B160" s="167">
        <f>B128</f>
        <v/>
      </c>
      <c r="C160" s="167">
        <f>IF(H160="",F160,LEFT(F160,H160-1))</f>
        <v/>
      </c>
      <c r="D160" s="167" t="inlineStr">
        <is>
          <t>RB</t>
        </is>
      </c>
      <c r="E160" s="167">
        <f>IF(H160&lt;&gt;"",RIGHT(F160,LEN(F160)-H160-2),"")</f>
        <v/>
      </c>
      <c r="F160" s="167">
        <f>VLOOKUP(I160,$J:$O,G160,0)</f>
        <v/>
      </c>
      <c r="G160" s="167">
        <f>G128+1</f>
        <v/>
      </c>
      <c r="H160" s="167">
        <f>IFERROR(FIND(" - ",F160),"")</f>
        <v/>
      </c>
      <c r="I160" s="167">
        <f>I128</f>
        <v/>
      </c>
    </row>
    <row r="161" ht="14.4" customHeight="1" s="152">
      <c r="A161" s="167" t="n">
        <v>160</v>
      </c>
      <c r="B161" s="167">
        <f>B129</f>
        <v/>
      </c>
      <c r="C161" s="167">
        <f>IF(H161="",F161,LEFT(F161,H161-1))</f>
        <v/>
      </c>
      <c r="D161" s="167" t="inlineStr">
        <is>
          <t>RB</t>
        </is>
      </c>
      <c r="E161" s="167">
        <f>IF(H161&lt;&gt;"",RIGHT(F161,LEN(F161)-H161-2),"")</f>
        <v/>
      </c>
      <c r="F161" s="167">
        <f>VLOOKUP(I161,$J:$O,G161,0)</f>
        <v/>
      </c>
      <c r="G161" s="167">
        <f>G129+1</f>
        <v/>
      </c>
      <c r="H161" s="167">
        <f>IFERROR(FIND(" - ",F161),"")</f>
        <v/>
      </c>
      <c r="I161" s="167">
        <f>I129</f>
        <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tabColor rgb="FF7030A0"/>
    <outlinePr summaryBelow="1" summaryRight="1"/>
    <pageSetUpPr fitToPage="0"/>
  </sheetPr>
  <dimension ref="A1:X289"/>
  <sheetViews>
    <sheetView showFormulas="0" showGridLines="1" showRowColHeaders="1" showZeros="1" rightToLeft="0" tabSelected="0" showOutlineSymbols="1" defaultGridColor="1" view="normal" topLeftCell="J1" colorId="64" zoomScale="95" zoomScaleNormal="95" zoomScalePageLayoutView="100" workbookViewId="0">
      <pane xSplit="0" ySplit="1" topLeftCell="A2" activePane="bottomLeft" state="frozen"/>
      <selection pane="topLeft" activeCell="J1" activeCellId="0" sqref="J1"/>
      <selection pane="bottomLeft" activeCell="R27" activeCellId="0" sqref="R27"/>
    </sheetView>
  </sheetViews>
  <sheetFormatPr baseColWidth="8" defaultColWidth="8.796875" defaultRowHeight="14.4" zeroHeight="0" outlineLevelRow="0"/>
  <cols>
    <col width="13.66" customWidth="1" style="156" min="2" max="2"/>
    <col width="24.44" customWidth="1" style="156" min="3" max="3"/>
    <col width="16.33" customWidth="1" style="156" min="5" max="5"/>
    <col width="19.65" customWidth="1" style="156" min="6" max="6"/>
    <col width="15.56" customWidth="1" style="156" min="9" max="9"/>
    <col width="13.89" customWidth="1" style="156" min="10" max="10"/>
    <col width="27.45" customWidth="1" style="156" min="11" max="11"/>
    <col width="32.34" customWidth="1" style="156" min="12" max="12"/>
    <col width="24.87" customWidth="1" style="156" min="13" max="13"/>
    <col width="28.98" customWidth="1" style="156" min="14" max="14"/>
    <col width="23.66" customWidth="1" style="156" min="15" max="15"/>
    <col width="27.65" customWidth="1" style="156" min="16" max="16"/>
    <col width="18.66" customWidth="1" style="156" min="17" max="17"/>
    <col width="18" customWidth="1" style="156" min="18" max="18"/>
    <col width="17.33" customWidth="1" style="156" min="19" max="19"/>
    <col width="21.56" customWidth="1" style="212" min="21" max="21"/>
    <col width="9.130000000000001" customWidth="1" style="212" min="22" max="23"/>
  </cols>
  <sheetData>
    <row r="1" ht="15.6" customHeight="1" s="152">
      <c r="A1" s="167" t="inlineStr">
        <is>
          <t>Ref No</t>
        </is>
      </c>
      <c r="B1" s="167" t="inlineStr">
        <is>
          <t>Team ABB</t>
        </is>
      </c>
      <c r="C1" s="167" t="inlineStr">
        <is>
          <t>Streamlined Name</t>
        </is>
      </c>
      <c r="D1" s="167" t="inlineStr">
        <is>
          <t>Position</t>
        </is>
      </c>
      <c r="E1" s="167" t="inlineStr">
        <is>
          <t>Injury Type</t>
        </is>
      </c>
      <c r="F1" s="167" t="inlineStr">
        <is>
          <t>Raw Name</t>
        </is>
      </c>
      <c r="G1" s="167" t="inlineStr">
        <is>
          <t>Col Ref</t>
        </is>
      </c>
      <c r="H1" s="167" t="inlineStr">
        <is>
          <t>Find Injury</t>
        </is>
      </c>
      <c r="I1" s="167" t="inlineStr">
        <is>
          <t>Raw Team Name</t>
        </is>
      </c>
      <c r="J1" s="156" t="inlineStr">
        <is>
          <t>Team</t>
        </is>
      </c>
      <c r="K1" s="156" t="inlineStr">
        <is>
          <t>WR #1</t>
        </is>
      </c>
      <c r="L1" s="156" t="inlineStr">
        <is>
          <t>WR #2</t>
        </is>
      </c>
      <c r="M1" s="156" t="inlineStr">
        <is>
          <t>WR #3</t>
        </is>
      </c>
      <c r="N1" s="156" t="inlineStr">
        <is>
          <t>WR #4</t>
        </is>
      </c>
      <c r="O1" s="156" t="inlineStr">
        <is>
          <t>WR #5</t>
        </is>
      </c>
      <c r="P1" s="156" t="inlineStr">
        <is>
          <t>WR #6</t>
        </is>
      </c>
      <c r="Q1" s="156" t="inlineStr">
        <is>
          <t>WR #7</t>
        </is>
      </c>
      <c r="R1" s="156" t="inlineStr">
        <is>
          <t>WR #8</t>
        </is>
      </c>
      <c r="S1" s="156" t="inlineStr">
        <is>
          <t>WR #9</t>
        </is>
      </c>
    </row>
    <row r="2" ht="15.6" customHeight="1" s="152">
      <c r="A2" s="167" t="n">
        <v>1</v>
      </c>
      <c r="B2" s="167">
        <f>VLOOKUP(J2,Matrix!AD:AE,2,0)</f>
        <v/>
      </c>
      <c r="C2" s="167">
        <f>IF(H2="",F2,LEFT(F2,H2-1))</f>
        <v/>
      </c>
      <c r="D2" s="167" t="inlineStr">
        <is>
          <t>WR</t>
        </is>
      </c>
      <c r="E2" s="167">
        <f>IF(H2&lt;&gt;"",RIGHT(F2,LEN(F2)-H2-2),"")</f>
        <v/>
      </c>
      <c r="F2" s="167">
        <f>VLOOKUP(I2,$J:$S,G2,0)</f>
        <v/>
      </c>
      <c r="G2" s="167" t="n">
        <v>2</v>
      </c>
      <c r="H2" s="167">
        <f>IFERROR(FIND(" - ",F2),"")</f>
        <v/>
      </c>
      <c r="I2" s="167">
        <f>J2</f>
        <v/>
      </c>
      <c r="J2" s="156" t="inlineStr">
        <is>
          <t>Cowboys</t>
        </is>
      </c>
      <c r="K2" s="156" t="inlineStr">
        <is>
          <t>CeeDee Lamb</t>
        </is>
      </c>
      <c r="L2" s="156" t="inlineStr">
        <is>
          <t>George Pickens</t>
        </is>
      </c>
      <c r="M2" s="156" t="inlineStr">
        <is>
          <t>Jalen Tolbert</t>
        </is>
      </c>
      <c r="N2" s="156" t="inlineStr">
        <is>
          <t>KaVontae Turpin</t>
        </is>
      </c>
      <c r="O2" s="156" t="inlineStr">
        <is>
          <t>Jonathan Mingo</t>
        </is>
      </c>
      <c r="P2" s="156" t="inlineStr">
        <is>
          <t>Trent Taylor</t>
        </is>
      </c>
      <c r="Q2" s="156" t="inlineStr">
        <is>
          <t>Russell Gage</t>
        </is>
      </c>
      <c r="R2" s="156" t="inlineStr">
        <is>
          <t>Isaiah Hodgins</t>
        </is>
      </c>
      <c r="S2" s="156" t="inlineStr">
        <is>
          <t>Terique Owens</t>
        </is>
      </c>
    </row>
    <row r="3" ht="15.6" customHeight="1" s="152">
      <c r="A3" s="167" t="n">
        <v>2</v>
      </c>
      <c r="B3" s="167">
        <f>VLOOKUP(J3,Matrix!AD:AE,2,0)</f>
        <v/>
      </c>
      <c r="C3" s="167">
        <f>IF(H3="",F3,LEFT(F3,H3-1))</f>
        <v/>
      </c>
      <c r="D3" s="167" t="inlineStr">
        <is>
          <t>WR</t>
        </is>
      </c>
      <c r="E3" s="167">
        <f>IF(H3&lt;&gt;"",RIGHT(F3,LEN(F3)-H3-2),"")</f>
        <v/>
      </c>
      <c r="F3" s="167">
        <f>VLOOKUP(I3,$J:$S,G3,0)</f>
        <v/>
      </c>
      <c r="G3" s="167" t="n">
        <v>2</v>
      </c>
      <c r="H3" s="167">
        <f>IFERROR(FIND(" - ",F3),"")</f>
        <v/>
      </c>
      <c r="I3" s="167">
        <f>J3</f>
        <v/>
      </c>
      <c r="J3" s="156" t="inlineStr">
        <is>
          <t>Chiefs</t>
        </is>
      </c>
      <c r="K3" s="156" t="inlineStr">
        <is>
          <t>Xavier Worthy</t>
        </is>
      </c>
      <c r="L3" s="156" t="inlineStr">
        <is>
          <t>Rashee Rice</t>
        </is>
      </c>
      <c r="M3" s="156" t="inlineStr">
        <is>
          <t>Hollywood Brown</t>
        </is>
      </c>
      <c r="N3" s="156" t="inlineStr">
        <is>
          <t>JuJu Smith-Schuster</t>
        </is>
      </c>
      <c r="O3" s="156" t="inlineStr">
        <is>
          <t>Tyquan Thornton</t>
        </is>
      </c>
      <c r="P3" s="156" t="inlineStr">
        <is>
          <t>Samori Toure</t>
        </is>
      </c>
      <c r="Q3" s="156" t="inlineStr">
        <is>
          <t>John Jackson</t>
        </is>
      </c>
      <c r="R3" s="156" t="inlineStr">
        <is>
          <t>DeAndre Carter - IR</t>
        </is>
      </c>
      <c r="S3" s="156" t="inlineStr">
        <is>
          <t>Nsimba Webster - IR</t>
        </is>
      </c>
      <c r="X3" s="212" t="n"/>
    </row>
    <row r="4" ht="15.6" customHeight="1" s="152">
      <c r="A4" s="167" t="n">
        <v>3</v>
      </c>
      <c r="B4" s="167">
        <f>VLOOKUP(J4,Matrix!AD:AE,2,0)</f>
        <v/>
      </c>
      <c r="C4" s="167">
        <f>IF(H4="",F4,LEFT(F4,H4-1))</f>
        <v/>
      </c>
      <c r="D4" s="167" t="inlineStr">
        <is>
          <t>WR</t>
        </is>
      </c>
      <c r="E4" s="167">
        <f>IF(H4&lt;&gt;"",RIGHT(F4,LEN(F4)-H4-2),"")</f>
        <v/>
      </c>
      <c r="F4" s="167">
        <f>VLOOKUP(I4,$J:$S,G4,0)</f>
        <v/>
      </c>
      <c r="G4" s="167" t="n">
        <v>2</v>
      </c>
      <c r="H4" s="167">
        <f>IFERROR(FIND(" - ",F4),"")</f>
        <v/>
      </c>
      <c r="I4" s="167">
        <f>J4</f>
        <v/>
      </c>
      <c r="J4" s="156" t="inlineStr">
        <is>
          <t>Buccaneers</t>
        </is>
      </c>
      <c r="K4" s="156" t="inlineStr">
        <is>
          <t>Mike Evans</t>
        </is>
      </c>
      <c r="L4" s="156" t="inlineStr">
        <is>
          <t>Chris Godwin</t>
        </is>
      </c>
      <c r="M4" s="156" t="inlineStr">
        <is>
          <t>Chris Godwin Jr.</t>
        </is>
      </c>
      <c r="N4" s="156" t="inlineStr">
        <is>
          <t>Emeka Egbuka</t>
        </is>
      </c>
      <c r="O4" s="156" t="inlineStr">
        <is>
          <t>Tez Johnson</t>
        </is>
      </c>
      <c r="P4" s="156" t="inlineStr">
        <is>
          <t>Isaiah Williams</t>
        </is>
      </c>
      <c r="Q4" s="156" t="inlineStr">
        <is>
          <t>Kendric Pryor</t>
        </is>
      </c>
      <c r="R4" s="156" t="inlineStr">
        <is>
          <t>Cole Burgess</t>
        </is>
      </c>
      <c r="X4" s="212" t="n"/>
    </row>
    <row r="5" ht="15.6" customHeight="1" s="152">
      <c r="A5" s="167" t="n">
        <v>4</v>
      </c>
      <c r="B5" s="167">
        <f>VLOOKUP(J5,Matrix!AD:AE,2,0)</f>
        <v/>
      </c>
      <c r="C5" s="167">
        <f>IF(H5="",F5,LEFT(F5,H5-1))</f>
        <v/>
      </c>
      <c r="D5" s="167" t="inlineStr">
        <is>
          <t>WR</t>
        </is>
      </c>
      <c r="E5" s="167">
        <f>IF(H5&lt;&gt;"",RIGHT(F5,LEN(F5)-H5-2),"")</f>
        <v/>
      </c>
      <c r="F5" s="167">
        <f>VLOOKUP(I5,$J:$S,G5,0)</f>
        <v/>
      </c>
      <c r="G5" s="167" t="n">
        <v>2</v>
      </c>
      <c r="H5" s="167">
        <f>IFERROR(FIND(" - ",F5),"")</f>
        <v/>
      </c>
      <c r="I5" s="167">
        <f>J5</f>
        <v/>
      </c>
      <c r="J5" s="156" t="inlineStr">
        <is>
          <t>Bengals</t>
        </is>
      </c>
      <c r="K5" s="156" t="inlineStr">
        <is>
          <t>Ja'Marr Chase</t>
        </is>
      </c>
      <c r="L5" s="156" t="inlineStr">
        <is>
          <t>Tee Higgins</t>
        </is>
      </c>
      <c r="M5" s="156" t="inlineStr">
        <is>
          <t>Andrei Iosivas</t>
        </is>
      </c>
      <c r="N5" s="156" t="inlineStr">
        <is>
          <t>Jermaine Burton</t>
        </is>
      </c>
      <c r="O5" s="156" t="inlineStr">
        <is>
          <t>Mitchell Tinsley</t>
        </is>
      </c>
      <c r="X5" s="212" t="n"/>
    </row>
    <row r="6" ht="15.6" customHeight="1" s="152">
      <c r="A6" s="167" t="n">
        <v>5</v>
      </c>
      <c r="B6" s="167">
        <f>VLOOKUP(J6,Matrix!AD:AE,2,0)</f>
        <v/>
      </c>
      <c r="C6" s="167">
        <f>IF(H6="",F6,LEFT(F6,H6-1))</f>
        <v/>
      </c>
      <c r="D6" s="167" t="inlineStr">
        <is>
          <t>WR</t>
        </is>
      </c>
      <c r="E6" s="167">
        <f>IF(H6&lt;&gt;"",RIGHT(F6,LEN(F6)-H6-2),"")</f>
        <v/>
      </c>
      <c r="F6" s="167">
        <f>VLOOKUP(I6,$J:$S,G6,0)</f>
        <v/>
      </c>
      <c r="G6" s="167" t="n">
        <v>2</v>
      </c>
      <c r="H6" s="167">
        <f>IFERROR(FIND(" - ",F6),"")</f>
        <v/>
      </c>
      <c r="I6" s="167">
        <f>J6</f>
        <v/>
      </c>
      <c r="J6" s="156" t="inlineStr">
        <is>
          <t>Dolphins</t>
        </is>
      </c>
      <c r="K6" s="156" t="inlineStr">
        <is>
          <t>Tyreek Hill</t>
        </is>
      </c>
      <c r="L6" s="156" t="inlineStr">
        <is>
          <t>Jaylen Waddle</t>
        </is>
      </c>
      <c r="M6" s="156" t="inlineStr">
        <is>
          <t>Malik Washington</t>
        </is>
      </c>
      <c r="N6" s="156" t="inlineStr">
        <is>
          <t>Nick Westbrook-Ikhine</t>
        </is>
      </c>
      <c r="O6" s="156" t="inlineStr">
        <is>
          <t>Dee Eskridge</t>
        </is>
      </c>
      <c r="X6" s="212" t="n"/>
    </row>
    <row r="7" ht="15.6" customHeight="1" s="152">
      <c r="A7" s="167" t="n">
        <v>6</v>
      </c>
      <c r="B7" s="167">
        <f>VLOOKUP(J7,Matrix!AD:AE,2,0)</f>
        <v/>
      </c>
      <c r="C7" s="167">
        <f>IF(H7="",F7,LEFT(F7,H7-1))</f>
        <v/>
      </c>
      <c r="D7" s="167" t="inlineStr">
        <is>
          <t>WR</t>
        </is>
      </c>
      <c r="E7" s="167">
        <f>IF(H7&lt;&gt;"",RIGHT(F7,LEN(F7)-H7-2),"")</f>
        <v/>
      </c>
      <c r="F7" s="167">
        <f>VLOOKUP(I7,$J:$S,G7,0)</f>
        <v/>
      </c>
      <c r="G7" s="167" t="n">
        <v>2</v>
      </c>
      <c r="H7" s="167">
        <f>IFERROR(FIND(" - ",F7),"")</f>
        <v/>
      </c>
      <c r="I7" s="167">
        <f>J7</f>
        <v/>
      </c>
      <c r="J7" s="156" t="inlineStr">
        <is>
          <t>Panthers</t>
        </is>
      </c>
      <c r="K7" s="156" t="inlineStr">
        <is>
          <t>Tetairoa McMillan</t>
        </is>
      </c>
      <c r="L7" s="156" t="inlineStr">
        <is>
          <t>Xavier Legette</t>
        </is>
      </c>
      <c r="M7" s="156" t="inlineStr">
        <is>
          <t>Adam Thielen</t>
        </is>
      </c>
      <c r="N7" s="156" t="inlineStr">
        <is>
          <t>Jalen Coker</t>
        </is>
      </c>
      <c r="O7" s="156" t="inlineStr">
        <is>
          <t>David Moore</t>
        </is>
      </c>
      <c r="P7" s="156" t="inlineStr">
        <is>
          <t>Kaden Davis</t>
        </is>
      </c>
      <c r="Q7" s="156" t="inlineStr">
        <is>
          <t>Cedric Tillman - IR</t>
        </is>
      </c>
      <c r="R7" s="156" t="inlineStr">
        <is>
          <t>David Bell - IR</t>
        </is>
      </c>
      <c r="X7" s="212" t="n"/>
    </row>
    <row r="8" ht="15.6" customHeight="1" s="152">
      <c r="A8" s="167" t="n">
        <v>7</v>
      </c>
      <c r="B8" s="167">
        <f>VLOOKUP(J8,Matrix!AD:AE,2,0)</f>
        <v/>
      </c>
      <c r="C8" s="167">
        <f>IF(H8="",F8,LEFT(F8,H8-1))</f>
        <v/>
      </c>
      <c r="D8" s="167" t="inlineStr">
        <is>
          <t>WR</t>
        </is>
      </c>
      <c r="E8" s="167">
        <f>IF(H8&lt;&gt;"",RIGHT(F8,LEN(F8)-H8-2),"")</f>
        <v/>
      </c>
      <c r="F8" s="167">
        <f>VLOOKUP(I8,$J:$S,G8,0)</f>
        <v/>
      </c>
      <c r="G8" s="167" t="n">
        <v>2</v>
      </c>
      <c r="H8" s="167">
        <f>IFERROR(FIND(" - ",F8),"")</f>
        <v/>
      </c>
      <c r="I8" s="167">
        <f>J8</f>
        <v/>
      </c>
      <c r="J8" s="156" t="inlineStr">
        <is>
          <t>Raiders</t>
        </is>
      </c>
      <c r="K8" s="156" t="inlineStr">
        <is>
          <t>Jakobi Meyers</t>
        </is>
      </c>
      <c r="L8" s="156" t="inlineStr">
        <is>
          <t>Tre Tucker</t>
        </is>
      </c>
      <c r="M8" s="156" t="inlineStr">
        <is>
          <t>Amari Cooper</t>
        </is>
      </c>
      <c r="N8" s="156" t="inlineStr">
        <is>
          <t>Dont'e Thornton Jr.</t>
        </is>
      </c>
      <c r="O8" s="156" t="inlineStr">
        <is>
          <t>Jack Bech</t>
        </is>
      </c>
      <c r="P8" s="156" t="inlineStr">
        <is>
          <t>Rakim Jarrett</t>
        </is>
      </c>
      <c r="Q8" s="156" t="inlineStr">
        <is>
          <t>Kameron Johnson</t>
        </is>
      </c>
      <c r="R8" s="156" t="inlineStr">
        <is>
          <t>Chris Godwin - IR</t>
        </is>
      </c>
      <c r="X8" s="212" t="n"/>
    </row>
    <row r="9" ht="15.6" customHeight="1" s="152">
      <c r="A9" s="167" t="n">
        <v>8</v>
      </c>
      <c r="B9" s="167">
        <f>VLOOKUP(J9,Matrix!AD:AE,2,0)</f>
        <v/>
      </c>
      <c r="C9" s="167">
        <f>IF(H9="",F9,LEFT(F9,H9-1))</f>
        <v/>
      </c>
      <c r="D9" s="167" t="inlineStr">
        <is>
          <t>WR</t>
        </is>
      </c>
      <c r="E9" s="167">
        <f>IF(H9&lt;&gt;"",RIGHT(F9,LEN(F9)-H9-2),"")</f>
        <v/>
      </c>
      <c r="F9" s="167">
        <f>VLOOKUP(I9,$J:$S,G9,0)</f>
        <v/>
      </c>
      <c r="G9" s="167" t="n">
        <v>2</v>
      </c>
      <c r="H9" s="167">
        <f>IFERROR(FIND(" - ",F9),"")</f>
        <v/>
      </c>
      <c r="I9" s="167">
        <f>J9</f>
        <v/>
      </c>
      <c r="J9" s="156" t="inlineStr">
        <is>
          <t>Cardinals</t>
        </is>
      </c>
      <c r="K9" s="156" t="inlineStr">
        <is>
          <t>Marvin Harrison Jr.</t>
        </is>
      </c>
      <c r="L9" s="156" t="inlineStr">
        <is>
          <t>Michael Wilson</t>
        </is>
      </c>
      <c r="M9" s="156" t="inlineStr">
        <is>
          <t>Zay Jones</t>
        </is>
      </c>
      <c r="N9" s="156" t="inlineStr">
        <is>
          <t>Greg Dortch</t>
        </is>
      </c>
      <c r="O9" s="156" t="inlineStr">
        <is>
          <t>Xavier Weaver</t>
        </is>
      </c>
      <c r="P9" s="156" t="inlineStr">
        <is>
          <t>Xavier Weaver</t>
        </is>
      </c>
      <c r="Q9" s="156" t="inlineStr">
        <is>
          <t>Andre Baccellia</t>
        </is>
      </c>
      <c r="R9" s="156" t="inlineStr">
        <is>
          <t>Tejhaun Palmer</t>
        </is>
      </c>
      <c r="X9" s="212" t="n"/>
    </row>
    <row r="10" ht="15.6" customHeight="1" s="152">
      <c r="A10" s="167" t="n">
        <v>9</v>
      </c>
      <c r="B10" s="167">
        <f>VLOOKUP(J10,Matrix!AD:AE,2,0)</f>
        <v/>
      </c>
      <c r="C10" s="167">
        <f>IF(H10="",F10,LEFT(F10,H10-1))</f>
        <v/>
      </c>
      <c r="D10" s="167" t="inlineStr">
        <is>
          <t>WR</t>
        </is>
      </c>
      <c r="E10" s="167">
        <f>IF(H10&lt;&gt;"",RIGHT(F10,LEN(F10)-H10-2),"")</f>
        <v/>
      </c>
      <c r="F10" s="167">
        <f>VLOOKUP(I10,$J:$S,G10,0)</f>
        <v/>
      </c>
      <c r="G10" s="167" t="n">
        <v>2</v>
      </c>
      <c r="H10" s="167">
        <f>IFERROR(FIND(" - ",F10),"")</f>
        <v/>
      </c>
      <c r="I10" s="167">
        <f>J10</f>
        <v/>
      </c>
      <c r="J10" s="156" t="inlineStr">
        <is>
          <t>Steelers</t>
        </is>
      </c>
      <c r="K10" s="156" t="inlineStr">
        <is>
          <t>DK Metcalf</t>
        </is>
      </c>
      <c r="L10" s="156" t="inlineStr">
        <is>
          <t>Calvin Austin III</t>
        </is>
      </c>
      <c r="M10" s="156" t="inlineStr">
        <is>
          <t>Robert Woods</t>
        </is>
      </c>
      <c r="N10" s="156" t="inlineStr">
        <is>
          <t>Roman Wilson</t>
        </is>
      </c>
      <c r="O10" s="156" t="inlineStr">
        <is>
          <t>Scotty Miller</t>
        </is>
      </c>
      <c r="P10" s="156" t="inlineStr">
        <is>
          <t>Simi Fehoko - IR-R</t>
        </is>
      </c>
      <c r="Q10" s="156" t="inlineStr">
        <is>
          <t>Brenden Rice - IR</t>
        </is>
      </c>
      <c r="R10" s="156" t="inlineStr">
        <is>
          <t>Jalen Reagor - IR</t>
        </is>
      </c>
      <c r="X10" s="212" t="n"/>
    </row>
    <row r="11" ht="15.6" customHeight="1" s="152">
      <c r="A11" s="167" t="n">
        <v>10</v>
      </c>
      <c r="B11" s="167">
        <f>VLOOKUP(J11,Matrix!AD:AE,2,0)</f>
        <v/>
      </c>
      <c r="C11" s="167">
        <f>IF(H11="",F11,LEFT(F11,H11-1))</f>
        <v/>
      </c>
      <c r="D11" s="167" t="inlineStr">
        <is>
          <t>WR</t>
        </is>
      </c>
      <c r="E11" s="167">
        <f>IF(H11&lt;&gt;"",RIGHT(F11,LEN(F11)-H11-2),"")</f>
        <v/>
      </c>
      <c r="F11" s="167">
        <f>VLOOKUP(I11,$J:$S,G11,0)</f>
        <v/>
      </c>
      <c r="G11" s="167" t="n">
        <v>2</v>
      </c>
      <c r="H11" s="167">
        <f>IFERROR(FIND(" - ",F11),"")</f>
        <v/>
      </c>
      <c r="I11" s="167">
        <f>J11</f>
        <v/>
      </c>
      <c r="J11" s="156" t="inlineStr">
        <is>
          <t>Giants</t>
        </is>
      </c>
      <c r="K11" s="156" t="inlineStr">
        <is>
          <t>Malik Nabers</t>
        </is>
      </c>
      <c r="L11" s="156" t="inlineStr">
        <is>
          <t>Wan'Dale Robinson</t>
        </is>
      </c>
      <c r="M11" s="156" t="inlineStr">
        <is>
          <t>Darius Slayton</t>
        </is>
      </c>
      <c r="N11" s="156" t="inlineStr">
        <is>
          <t>Jalin Hyatt</t>
        </is>
      </c>
      <c r="O11" s="156" t="inlineStr">
        <is>
          <t>Lil'Jordan Humphrey</t>
        </is>
      </c>
      <c r="P11" s="156" t="inlineStr">
        <is>
          <t>Nikko Remigio</t>
        </is>
      </c>
      <c r="Q11" s="156" t="inlineStr">
        <is>
          <t>Mecole Hardman - IR-R</t>
        </is>
      </c>
      <c r="R11" s="156" t="inlineStr">
        <is>
          <t>Skyy Moore - IR</t>
        </is>
      </c>
      <c r="S11" s="156" t="inlineStr">
        <is>
          <t>Rashee Rice - IR</t>
        </is>
      </c>
      <c r="X11" s="212" t="n"/>
    </row>
    <row r="12" ht="15.6" customHeight="1" s="152">
      <c r="A12" s="167" t="n">
        <v>11</v>
      </c>
      <c r="B12" s="167">
        <f>VLOOKUP(J12,Matrix!AD:AE,2,0)</f>
        <v/>
      </c>
      <c r="C12" s="167">
        <f>IF(H12="",F12,LEFT(F12,H12-1))</f>
        <v/>
      </c>
      <c r="D12" s="167" t="inlineStr">
        <is>
          <t>WR</t>
        </is>
      </c>
      <c r="E12" s="167">
        <f>IF(H12&lt;&gt;"",RIGHT(F12,LEN(F12)-H12-2),"")</f>
        <v/>
      </c>
      <c r="F12" s="167">
        <f>VLOOKUP(I12,$J:$S,G12,0)</f>
        <v/>
      </c>
      <c r="G12" s="167" t="n">
        <v>2</v>
      </c>
      <c r="H12" s="167">
        <f>IFERROR(FIND(" - ",F12),"")</f>
        <v/>
      </c>
      <c r="I12" s="167">
        <f>J12</f>
        <v/>
      </c>
      <c r="J12" s="156" t="inlineStr">
        <is>
          <t>Titans</t>
        </is>
      </c>
      <c r="K12" s="156" t="inlineStr">
        <is>
          <t>Calvin Ridley</t>
        </is>
      </c>
      <c r="L12" s="156" t="inlineStr">
        <is>
          <t>Tyler Lockett</t>
        </is>
      </c>
      <c r="M12" s="156" t="inlineStr">
        <is>
          <t>Elic Ayomanor</t>
        </is>
      </c>
      <c r="N12" s="156" t="inlineStr">
        <is>
          <t>Van Jefferson</t>
        </is>
      </c>
      <c r="O12" s="156" t="inlineStr">
        <is>
          <t>Chimere Dike</t>
        </is>
      </c>
      <c r="P12" s="156" t="inlineStr">
        <is>
          <t>Anthony Gould</t>
        </is>
      </c>
      <c r="Q12" s="156" t="inlineStr">
        <is>
          <t>D.J. Montgomery</t>
        </is>
      </c>
      <c r="R12" s="156" t="inlineStr">
        <is>
          <t>Laquon Treadwell</t>
        </is>
      </c>
      <c r="S12" s="156" t="inlineStr">
        <is>
          <t>Juwann Winfree - IR</t>
        </is>
      </c>
      <c r="X12" s="212" t="n"/>
    </row>
    <row r="13" ht="15.6" customHeight="1" s="152">
      <c r="A13" s="167" t="n">
        <v>12</v>
      </c>
      <c r="B13" s="167">
        <f>VLOOKUP(J13,Matrix!AD:AE,2,0)</f>
        <v/>
      </c>
      <c r="C13" s="167">
        <f>IF(H13="",F13,LEFT(F13,H13-1))</f>
        <v/>
      </c>
      <c r="D13" s="167" t="inlineStr">
        <is>
          <t>WR</t>
        </is>
      </c>
      <c r="E13" s="167">
        <f>IF(H13&lt;&gt;"",RIGHT(F13,LEN(F13)-H13-2),"")</f>
        <v/>
      </c>
      <c r="F13" s="167">
        <f>VLOOKUP(I13,$J:$S,G13,0)</f>
        <v/>
      </c>
      <c r="G13" s="167" t="n">
        <v>2</v>
      </c>
      <c r="H13" s="167">
        <f>IFERROR(FIND(" - ",F13),"")</f>
        <v/>
      </c>
      <c r="I13" s="167">
        <f>J13</f>
        <v/>
      </c>
      <c r="J13" s="156" t="inlineStr">
        <is>
          <t>49ers</t>
        </is>
      </c>
      <c r="K13" s="156" t="inlineStr">
        <is>
          <t>Jauan Jennings</t>
        </is>
      </c>
      <c r="L13" s="156" t="inlineStr">
        <is>
          <t>Brandon Aiyuk</t>
        </is>
      </c>
      <c r="M13" s="156" t="inlineStr">
        <is>
          <t>Ricky Pearsall</t>
        </is>
      </c>
      <c r="N13" s="156" t="inlineStr">
        <is>
          <t>Marquez Valdes-Scantling</t>
        </is>
      </c>
      <c r="O13" s="156" t="inlineStr">
        <is>
          <t>Russell Gage Jr.</t>
        </is>
      </c>
      <c r="P13" s="156" t="inlineStr">
        <is>
          <t>K.J. Osborn - Ques</t>
        </is>
      </c>
      <c r="Q13" s="156" t="inlineStr">
        <is>
          <t>Noah Brown - IR</t>
        </is>
      </c>
      <c r="X13" s="212" t="n"/>
    </row>
    <row r="14" ht="15.6" customHeight="1" s="152">
      <c r="A14" s="167" t="n">
        <v>13</v>
      </c>
      <c r="B14" s="167">
        <f>VLOOKUP(J14,Matrix!AD:AE,2,0)</f>
        <v/>
      </c>
      <c r="C14" s="167">
        <f>IF(H14="",F14,LEFT(F14,H14-1))</f>
        <v/>
      </c>
      <c r="D14" s="167" t="inlineStr">
        <is>
          <t>WR</t>
        </is>
      </c>
      <c r="E14" s="167">
        <f>IF(H14&lt;&gt;"",RIGHT(F14,LEN(F14)-H14-2),"")</f>
        <v/>
      </c>
      <c r="F14" s="167">
        <f>VLOOKUP(I14,$J:$S,G14,0)</f>
        <v/>
      </c>
      <c r="G14" s="167" t="n">
        <v>2</v>
      </c>
      <c r="H14" s="167">
        <f>IFERROR(FIND(" - ",F14),"")</f>
        <v/>
      </c>
      <c r="I14" s="167">
        <f>J14</f>
        <v/>
      </c>
      <c r="J14" s="156" t="inlineStr">
        <is>
          <t>Lions</t>
        </is>
      </c>
      <c r="K14" s="156" t="inlineStr">
        <is>
          <t>Amon-Ra St. Brown</t>
        </is>
      </c>
      <c r="L14" s="156" t="inlineStr">
        <is>
          <t>Jameson Williams</t>
        </is>
      </c>
      <c r="M14" s="156" t="inlineStr">
        <is>
          <t>Tim Patrick</t>
        </is>
      </c>
      <c r="N14" s="156" t="inlineStr">
        <is>
          <t>Kalif Raymond</t>
        </is>
      </c>
      <c r="O14" s="156" t="inlineStr">
        <is>
          <t>Isaac TeSlaa</t>
        </is>
      </c>
      <c r="P14" s="156" t="inlineStr">
        <is>
          <t>Jonathan Mingo</t>
        </is>
      </c>
      <c r="Q14" s="156" t="inlineStr">
        <is>
          <t>Jalen Moreno-Cropper</t>
        </is>
      </c>
      <c r="R14" s="156" t="inlineStr">
        <is>
          <t>Kelvin Harmon</t>
        </is>
      </c>
      <c r="S14" s="156" t="inlineStr">
        <is>
          <t>Seth Williams</t>
        </is>
      </c>
      <c r="X14" s="212" t="n"/>
    </row>
    <row r="15" ht="15.6" customHeight="1" s="152">
      <c r="A15" s="167" t="n">
        <v>14</v>
      </c>
      <c r="B15" s="167">
        <f>VLOOKUP(J15,Matrix!AD:AE,2,0)</f>
        <v/>
      </c>
      <c r="C15" s="167">
        <f>IF(H15="",F15,LEFT(F15,H15-1))</f>
        <v/>
      </c>
      <c r="D15" s="167" t="inlineStr">
        <is>
          <t>WR</t>
        </is>
      </c>
      <c r="E15" s="167">
        <f>IF(H15&lt;&gt;"",RIGHT(F15,LEN(F15)-H15-2),"")</f>
        <v/>
      </c>
      <c r="F15" s="167">
        <f>VLOOKUP(I15,$J:$S,G15,0)</f>
        <v/>
      </c>
      <c r="G15" s="167" t="n">
        <v>2</v>
      </c>
      <c r="H15" s="167">
        <f>IFERROR(FIND(" - ",F15),"")</f>
        <v/>
      </c>
      <c r="I15" s="167">
        <f>J15</f>
        <v/>
      </c>
      <c r="J15" s="156" t="inlineStr">
        <is>
          <t>Texans</t>
        </is>
      </c>
      <c r="K15" s="156" t="inlineStr">
        <is>
          <t>Nico Collins</t>
        </is>
      </c>
      <c r="L15" s="156" t="inlineStr">
        <is>
          <t>Christian Kirk</t>
        </is>
      </c>
      <c r="M15" s="156" t="inlineStr">
        <is>
          <t>Jayden Higgins</t>
        </is>
      </c>
      <c r="N15" s="156" t="inlineStr">
        <is>
          <t>Tank Dell</t>
        </is>
      </c>
      <c r="O15" s="156" t="inlineStr">
        <is>
          <t>Jaylin Noel</t>
        </is>
      </c>
      <c r="P15" s="156" t="inlineStr">
        <is>
          <t>Erik Ezukanma</t>
        </is>
      </c>
      <c r="Q15" s="156" t="inlineStr">
        <is>
          <t>Tarik Black</t>
        </is>
      </c>
      <c r="R15" s="156" t="inlineStr">
        <is>
          <t>Braxton Berrios - IR</t>
        </is>
      </c>
      <c r="S15" s="156" t="inlineStr">
        <is>
          <t>Tahj Washington - IR</t>
        </is>
      </c>
      <c r="X15" s="212" t="n"/>
    </row>
    <row r="16" ht="15.6" customHeight="1" s="152">
      <c r="A16" s="167" t="n">
        <v>15</v>
      </c>
      <c r="B16" s="167">
        <f>VLOOKUP(J16,Matrix!AD:AE,2,0)</f>
        <v/>
      </c>
      <c r="C16" s="167">
        <f>IF(H16="",F16,LEFT(F16,H16-1))</f>
        <v/>
      </c>
      <c r="D16" s="167" t="inlineStr">
        <is>
          <t>WR</t>
        </is>
      </c>
      <c r="E16" s="167">
        <f>IF(H16&lt;&gt;"",RIGHT(F16,LEN(F16)-H16-2),"")</f>
        <v/>
      </c>
      <c r="F16" s="167">
        <f>VLOOKUP(I16,$J:$S,G16,0)</f>
        <v/>
      </c>
      <c r="G16" s="167" t="n">
        <v>2</v>
      </c>
      <c r="H16" s="167">
        <f>IFERROR(FIND(" - ",F16),"")</f>
        <v/>
      </c>
      <c r="I16" s="167">
        <f>J16</f>
        <v/>
      </c>
      <c r="J16" s="156" t="inlineStr">
        <is>
          <t>Ravens</t>
        </is>
      </c>
      <c r="K16" s="156" t="inlineStr">
        <is>
          <t>Zay Flowers</t>
        </is>
      </c>
      <c r="L16" s="156" t="inlineStr">
        <is>
          <t>Rashod Bateman</t>
        </is>
      </c>
      <c r="M16" s="156" t="inlineStr">
        <is>
          <t>DeAndre Hopkins</t>
        </is>
      </c>
      <c r="N16" s="156" t="inlineStr">
        <is>
          <t>Tylan Wallace</t>
        </is>
      </c>
      <c r="O16" s="156" t="inlineStr">
        <is>
          <t>Devontez Walker</t>
        </is>
      </c>
      <c r="P16" s="156" t="inlineStr">
        <is>
          <t>Britain Covey - IR</t>
        </is>
      </c>
      <c r="X16" s="212" t="n"/>
    </row>
    <row r="17" ht="15.6" customHeight="1" s="152">
      <c r="A17" s="167" t="n">
        <v>16</v>
      </c>
      <c r="B17" s="167">
        <f>VLOOKUP(J17,Matrix!AD:AE,2,0)</f>
        <v/>
      </c>
      <c r="C17" s="167">
        <f>IF(H17="",F17,LEFT(F17,H17-1))</f>
        <v/>
      </c>
      <c r="D17" s="167" t="inlineStr">
        <is>
          <t>WR</t>
        </is>
      </c>
      <c r="E17" s="167">
        <f>IF(H17&lt;&gt;"",RIGHT(F17,LEN(F17)-H17-2),"")</f>
        <v/>
      </c>
      <c r="F17" s="167">
        <f>VLOOKUP(I17,$J:$S,G17,0)</f>
        <v/>
      </c>
      <c r="G17" s="167" t="n">
        <v>2</v>
      </c>
      <c r="H17" s="167">
        <f>IFERROR(FIND(" - ",F17),"")</f>
        <v/>
      </c>
      <c r="I17" s="167">
        <f>J17</f>
        <v/>
      </c>
      <c r="J17" s="156" t="inlineStr">
        <is>
          <t>Vikings</t>
        </is>
      </c>
      <c r="K17" s="156" t="inlineStr">
        <is>
          <t>Justin Jefferson</t>
        </is>
      </c>
      <c r="L17" s="156" t="inlineStr">
        <is>
          <t>Jordan Addison</t>
        </is>
      </c>
      <c r="M17" s="156" t="inlineStr">
        <is>
          <t>Adam Thielen</t>
        </is>
      </c>
      <c r="N17" s="156" t="inlineStr">
        <is>
          <t>Jalen Nailor</t>
        </is>
      </c>
      <c r="O17" s="156" t="inlineStr">
        <is>
          <t>Tai Felton</t>
        </is>
      </c>
      <c r="P17" s="156" t="inlineStr">
        <is>
          <t>Casey Washington</t>
        </is>
      </c>
      <c r="Q17" s="156" t="inlineStr">
        <is>
          <t>Dylan Drummond</t>
        </is>
      </c>
      <c r="R17" s="156" t="inlineStr">
        <is>
          <t>Phillip Dorsett</t>
        </is>
      </c>
      <c r="S17" s="156" t="inlineStr">
        <is>
          <t>Jesse Matthews</t>
        </is>
      </c>
      <c r="X17" s="212" t="n"/>
    </row>
    <row r="18" ht="15.6" customHeight="1" s="152">
      <c r="A18" s="167" t="n">
        <v>17</v>
      </c>
      <c r="B18" s="167">
        <f>VLOOKUP(J18,Matrix!AD:AE,2,0)</f>
        <v/>
      </c>
      <c r="C18" s="167">
        <f>IF(H18="",F18,LEFT(F18,H18-1))</f>
        <v/>
      </c>
      <c r="D18" s="167" t="inlineStr">
        <is>
          <t>WR</t>
        </is>
      </c>
      <c r="E18" s="167">
        <f>IF(H18&lt;&gt;"",RIGHT(F18,LEN(F18)-H18-2),"")</f>
        <v/>
      </c>
      <c r="F18" s="167">
        <f>VLOOKUP(I18,$J:$S,G18,0)</f>
        <v/>
      </c>
      <c r="G18" s="167" t="n">
        <v>2</v>
      </c>
      <c r="H18" s="167">
        <f>IFERROR(FIND(" - ",F18),"")</f>
        <v/>
      </c>
      <c r="I18" s="167">
        <f>J18</f>
        <v/>
      </c>
      <c r="J18" s="156" t="inlineStr">
        <is>
          <t>Commanders</t>
        </is>
      </c>
      <c r="K18" s="156" t="inlineStr">
        <is>
          <t>Terry McLaurin</t>
        </is>
      </c>
      <c r="L18" s="156" t="inlineStr">
        <is>
          <t>Deebo Samuel</t>
        </is>
      </c>
      <c r="M18" s="156" t="inlineStr">
        <is>
          <t>Deebo Samuel Sr.</t>
        </is>
      </c>
      <c r="N18" s="156" t="inlineStr">
        <is>
          <t>Noah Brown</t>
        </is>
      </c>
      <c r="O18" s="156" t="inlineStr">
        <is>
          <t>Luke McCaffrey</t>
        </is>
      </c>
      <c r="P18" s="156" t="inlineStr">
        <is>
          <t>Bryce Ford-Wheaton</t>
        </is>
      </c>
      <c r="Q18" s="156" t="inlineStr">
        <is>
          <t>Gunner Olszewski - IR</t>
        </is>
      </c>
      <c r="X18" s="212" t="n"/>
    </row>
    <row r="19" ht="15.6" customHeight="1" s="152">
      <c r="A19" s="167" t="n">
        <v>18</v>
      </c>
      <c r="B19" s="167">
        <f>VLOOKUP(J19,Matrix!AD:AE,2,0)</f>
        <v/>
      </c>
      <c r="C19" s="167">
        <f>IF(H19="",F19,LEFT(F19,H19-1))</f>
        <v/>
      </c>
      <c r="D19" s="167" t="inlineStr">
        <is>
          <t>WR</t>
        </is>
      </c>
      <c r="E19" s="167">
        <f>IF(H19&lt;&gt;"",RIGHT(F19,LEN(F19)-H19-2),"")</f>
        <v/>
      </c>
      <c r="F19" s="167">
        <f>VLOOKUP(I19,$J:$S,G19,0)</f>
        <v/>
      </c>
      <c r="G19" s="167" t="n">
        <v>2</v>
      </c>
      <c r="H19" s="167">
        <f>IFERROR(FIND(" - ",F19),"")</f>
        <v/>
      </c>
      <c r="I19" s="167">
        <f>J19</f>
        <v/>
      </c>
      <c r="J19" s="156" t="inlineStr">
        <is>
          <t>Browns</t>
        </is>
      </c>
      <c r="K19" s="156" t="inlineStr">
        <is>
          <t>Jerry Jeudy</t>
        </is>
      </c>
      <c r="L19" s="156" t="inlineStr">
        <is>
          <t>Cedric Tillman</t>
        </is>
      </c>
      <c r="M19" s="156" t="inlineStr">
        <is>
          <t>Jamari Thrash</t>
        </is>
      </c>
      <c r="N19" s="156" t="inlineStr">
        <is>
          <t>Diontae Johnson</t>
        </is>
      </c>
      <c r="O19" s="156" t="inlineStr">
        <is>
          <t>Isaiah Bond</t>
        </is>
      </c>
      <c r="P19" s="156" t="inlineStr">
        <is>
          <t>Joshua Cephus</t>
        </is>
      </c>
      <c r="Q19" s="156" t="inlineStr">
        <is>
          <t>Austin Trammell</t>
        </is>
      </c>
      <c r="R19" s="156" t="inlineStr">
        <is>
          <t>Christian Kirk - IR</t>
        </is>
      </c>
      <c r="S19" s="156" t="inlineStr">
        <is>
          <t>Gabe Davis - IR</t>
        </is>
      </c>
      <c r="X19" s="212" t="n"/>
    </row>
    <row r="20" ht="15.6" customHeight="1" s="152">
      <c r="A20" s="167" t="n">
        <v>19</v>
      </c>
      <c r="B20" s="167">
        <f>VLOOKUP(J20,Matrix!AD:AE,2,0)</f>
        <v/>
      </c>
      <c r="C20" s="167">
        <f>IF(H20="",F20,LEFT(F20,H20-1))</f>
        <v/>
      </c>
      <c r="D20" s="167" t="inlineStr">
        <is>
          <t>WR</t>
        </is>
      </c>
      <c r="E20" s="167">
        <f>IF(H20&lt;&gt;"",RIGHT(F20,LEN(F20)-H20-2),"")</f>
        <v/>
      </c>
      <c r="F20" s="167">
        <f>VLOOKUP(I20,$J:$S,G20,0)</f>
        <v/>
      </c>
      <c r="G20" s="167" t="n">
        <v>2</v>
      </c>
      <c r="H20" s="167">
        <f>IFERROR(FIND(" - ",F20),"")</f>
        <v/>
      </c>
      <c r="I20" s="167">
        <f>J20</f>
        <v/>
      </c>
      <c r="J20" s="156" t="inlineStr">
        <is>
          <t>Jaguars</t>
        </is>
      </c>
      <c r="K20" s="156" t="inlineStr">
        <is>
          <t>Brian Thomas Jr.</t>
        </is>
      </c>
      <c r="L20" s="156" t="inlineStr">
        <is>
          <t>Travis Hunter</t>
        </is>
      </c>
      <c r="M20" s="156" t="inlineStr">
        <is>
          <t>Dyami Brown</t>
        </is>
      </c>
      <c r="N20" s="156" t="inlineStr">
        <is>
          <t>Parker Washington</t>
        </is>
      </c>
      <c r="O20" s="156" t="inlineStr">
        <is>
          <t>Joshua Cephus</t>
        </is>
      </c>
      <c r="P20" s="156" t="inlineStr">
        <is>
          <t>Malik Taylor - IR</t>
        </is>
      </c>
      <c r="Q20" s="156" t="inlineStr">
        <is>
          <t>Irvin Charles - IR</t>
        </is>
      </c>
      <c r="R20" s="156" t="inlineStr">
        <is>
          <t>Marcus Riley - IR</t>
        </is>
      </c>
      <c r="S20" s="156" t="inlineStr">
        <is>
          <t>Brandon Smith</t>
        </is>
      </c>
      <c r="X20" s="212" t="n"/>
    </row>
    <row r="21" ht="15.6" customHeight="1" s="152">
      <c r="A21" s="167" t="n">
        <v>20</v>
      </c>
      <c r="B21" s="167">
        <f>VLOOKUP(J21,Matrix!AD:AE,2,0)</f>
        <v/>
      </c>
      <c r="C21" s="167">
        <f>IF(H21="",F21,LEFT(F21,H21-1))</f>
        <v/>
      </c>
      <c r="D21" s="167" t="inlineStr">
        <is>
          <t>WR</t>
        </is>
      </c>
      <c r="E21" s="167">
        <f>IF(H21&lt;&gt;"",RIGHT(F21,LEN(F21)-H21-2),"")</f>
        <v/>
      </c>
      <c r="F21" s="167">
        <f>VLOOKUP(I21,$J:$S,G21,0)</f>
        <v/>
      </c>
      <c r="G21" s="167" t="n">
        <v>2</v>
      </c>
      <c r="H21" s="167">
        <f>IFERROR(FIND(" - ",F21),"")</f>
        <v/>
      </c>
      <c r="I21" s="167">
        <f>J21</f>
        <v/>
      </c>
      <c r="J21" s="156" t="inlineStr">
        <is>
          <t>Bears</t>
        </is>
      </c>
      <c r="K21" s="156" t="inlineStr">
        <is>
          <t>DJ Moore</t>
        </is>
      </c>
      <c r="L21" s="156" t="inlineStr">
        <is>
          <t>Rome Odunze</t>
        </is>
      </c>
      <c r="M21" s="156" t="inlineStr">
        <is>
          <t>Luther Burden III</t>
        </is>
      </c>
      <c r="N21" s="156" t="inlineStr">
        <is>
          <t>Olamide Zaccheaus</t>
        </is>
      </c>
      <c r="O21" s="156" t="inlineStr">
        <is>
          <t>Jahdae Walker</t>
        </is>
      </c>
      <c r="P21" s="156" t="inlineStr">
        <is>
          <t>Antoine Green - IR</t>
        </is>
      </c>
      <c r="X21" s="212" t="n"/>
    </row>
    <row r="22" ht="15.6" customHeight="1" s="152">
      <c r="A22" s="167" t="n">
        <v>21</v>
      </c>
      <c r="B22" s="167">
        <f>VLOOKUP(J22,Matrix!AD:AE,2,0)</f>
        <v/>
      </c>
      <c r="C22" s="167">
        <f>IF(H22="",F22,LEFT(F22,H22-1))</f>
        <v/>
      </c>
      <c r="D22" s="167" t="inlineStr">
        <is>
          <t>WR</t>
        </is>
      </c>
      <c r="E22" s="167">
        <f>IF(H22&lt;&gt;"",RIGHT(F22,LEN(F22)-H22-2),"")</f>
        <v/>
      </c>
      <c r="F22" s="167">
        <f>VLOOKUP(I22,$J:$S,G22,0)</f>
        <v/>
      </c>
      <c r="G22" s="167" t="n">
        <v>2</v>
      </c>
      <c r="H22" s="167">
        <f>IFERROR(FIND(" - ",F22),"")</f>
        <v/>
      </c>
      <c r="I22" s="167">
        <f>J22</f>
        <v/>
      </c>
      <c r="J22" s="156" t="inlineStr">
        <is>
          <t>Patriots</t>
        </is>
      </c>
      <c r="K22" s="156" t="inlineStr">
        <is>
          <t>Stefon Diggs</t>
        </is>
      </c>
      <c r="L22" s="156" t="inlineStr">
        <is>
          <t>Kayshon Boutte</t>
        </is>
      </c>
      <c r="M22" s="156" t="inlineStr">
        <is>
          <t>DeMario Douglas</t>
        </is>
      </c>
      <c r="N22" s="156" t="inlineStr">
        <is>
          <t>Kyle Williams</t>
        </is>
      </c>
      <c r="O22" s="156" t="inlineStr">
        <is>
          <t>Mack Hollins</t>
        </is>
      </c>
      <c r="P22" s="156" t="inlineStr">
        <is>
          <t>Christian Watson - Out</t>
        </is>
      </c>
      <c r="X22" s="212" t="n"/>
    </row>
    <row r="23" ht="15.6" customHeight="1" s="152">
      <c r="A23" s="167" t="n">
        <v>22</v>
      </c>
      <c r="B23" s="167">
        <f>VLOOKUP(J23,Matrix!AD:AE,2,0)</f>
        <v/>
      </c>
      <c r="C23" s="167">
        <f>IF(H23="",F23,LEFT(F23,H23-1))</f>
        <v/>
      </c>
      <c r="D23" s="167" t="inlineStr">
        <is>
          <t>WR</t>
        </is>
      </c>
      <c r="E23" s="167">
        <f>IF(H23&lt;&gt;"",RIGHT(F23,LEN(F23)-H23-2),"")</f>
        <v/>
      </c>
      <c r="F23" s="167">
        <f>VLOOKUP(I23,$J:$S,G23,0)</f>
        <v/>
      </c>
      <c r="G23" s="167" t="n">
        <v>2</v>
      </c>
      <c r="H23" s="167">
        <f>IFERROR(FIND(" - ",F23),"")</f>
        <v/>
      </c>
      <c r="I23" s="167">
        <f>J23</f>
        <v/>
      </c>
      <c r="J23" s="156" t="inlineStr">
        <is>
          <t>Bills</t>
        </is>
      </c>
      <c r="K23" s="156" t="inlineStr">
        <is>
          <t>Keon Coleman</t>
        </is>
      </c>
      <c r="L23" s="156" t="inlineStr">
        <is>
          <t>Khalil Shakir</t>
        </is>
      </c>
      <c r="M23" s="156" t="inlineStr">
        <is>
          <t>Joshua Palmer</t>
        </is>
      </c>
      <c r="N23" s="156" t="inlineStr">
        <is>
          <t>Elijah Moore</t>
        </is>
      </c>
      <c r="O23" s="156" t="inlineStr">
        <is>
          <t>Curtis Samuel</t>
        </is>
      </c>
      <c r="P23" s="156" t="inlineStr">
        <is>
          <t>Deven Thompkins</t>
        </is>
      </c>
      <c r="Q23" s="156" t="inlineStr">
        <is>
          <t>T.J. Luther</t>
        </is>
      </c>
      <c r="R23" s="156" t="inlineStr">
        <is>
          <t>Dax Milne</t>
        </is>
      </c>
      <c r="X23" s="212" t="n"/>
    </row>
    <row r="24" ht="15.6" customHeight="1" s="152">
      <c r="A24" s="167" t="n">
        <v>23</v>
      </c>
      <c r="B24" s="167">
        <f>VLOOKUP(J24,Matrix!AD:AE,2,0)</f>
        <v/>
      </c>
      <c r="C24" s="167">
        <f>IF(H24="",F24,LEFT(F24,H24-1))</f>
        <v/>
      </c>
      <c r="D24" s="167" t="inlineStr">
        <is>
          <t>WR</t>
        </is>
      </c>
      <c r="E24" s="167">
        <f>IF(H24&lt;&gt;"",RIGHT(F24,LEN(F24)-H24-2),"")</f>
        <v/>
      </c>
      <c r="F24" s="167">
        <f>VLOOKUP(I24,$J:$S,G24,0)</f>
        <v/>
      </c>
      <c r="G24" s="167" t="n">
        <v>2</v>
      </c>
      <c r="H24" s="167">
        <f>IFERROR(FIND(" - ",F24),"")</f>
        <v/>
      </c>
      <c r="I24" s="167">
        <f>J24</f>
        <v/>
      </c>
      <c r="J24" s="156" t="inlineStr">
        <is>
          <t>Seahawks</t>
        </is>
      </c>
      <c r="K24" s="156" t="inlineStr">
        <is>
          <t>Jaxon Smith-Njigba</t>
        </is>
      </c>
      <c r="L24" s="156" t="inlineStr">
        <is>
          <t>Cooper Kupp</t>
        </is>
      </c>
      <c r="M24" s="156" t="inlineStr">
        <is>
          <t>Tory Horton</t>
        </is>
      </c>
      <c r="N24" s="156" t="inlineStr">
        <is>
          <t>Marquez Valdes-Scantling</t>
        </is>
      </c>
      <c r="O24" s="156" t="inlineStr">
        <is>
          <t>Jake Bobo</t>
        </is>
      </c>
      <c r="P24" s="156" t="inlineStr">
        <is>
          <t>Ja'Lynn Polk - IR</t>
        </is>
      </c>
      <c r="Q24" s="156" t="inlineStr">
        <is>
          <t>JaQuae Jackson - IR</t>
        </is>
      </c>
      <c r="X24" s="212" t="n"/>
    </row>
    <row r="25" ht="15.6" customHeight="1" s="152">
      <c r="A25" s="167" t="n">
        <v>24</v>
      </c>
      <c r="B25" s="167">
        <f>VLOOKUP(J25,Matrix!AD:AE,2,0)</f>
        <v/>
      </c>
      <c r="C25" s="167">
        <f>IF(H25="",F25,LEFT(F25,H25-1))</f>
        <v/>
      </c>
      <c r="D25" s="167" t="inlineStr">
        <is>
          <t>WR</t>
        </is>
      </c>
      <c r="E25" s="167">
        <f>IF(H25&lt;&gt;"",RIGHT(F25,LEN(F25)-H25-2),"")</f>
        <v/>
      </c>
      <c r="F25" s="167">
        <f>VLOOKUP(I25,$J:$S,G25,0)</f>
        <v/>
      </c>
      <c r="G25" s="167" t="n">
        <v>2</v>
      </c>
      <c r="H25" s="167">
        <f>IFERROR(FIND(" - ",F25),"")</f>
        <v/>
      </c>
      <c r="I25" s="167">
        <f>J25</f>
        <v/>
      </c>
      <c r="J25" s="156" t="inlineStr">
        <is>
          <t>Rams</t>
        </is>
      </c>
      <c r="K25" s="156" t="inlineStr">
        <is>
          <t>Puka Nacua</t>
        </is>
      </c>
      <c r="L25" s="156" t="inlineStr">
        <is>
          <t>Davante Adams</t>
        </is>
      </c>
      <c r="M25" s="156" t="inlineStr">
        <is>
          <t>Tutu Atwell</t>
        </is>
      </c>
      <c r="N25" s="156" t="inlineStr">
        <is>
          <t>Jordan Whittington</t>
        </is>
      </c>
      <c r="O25" s="156" t="inlineStr">
        <is>
          <t>Konata Mumpfield</t>
        </is>
      </c>
      <c r="P25" s="156" t="inlineStr">
        <is>
          <t>Tyreik McAllister</t>
        </is>
      </c>
      <c r="Q25" s="156" t="inlineStr">
        <is>
          <t>Shedrick Jackson</t>
        </is>
      </c>
      <c r="R25" s="156" t="inlineStr">
        <is>
          <t>DJ Turner - IR</t>
        </is>
      </c>
      <c r="S25" s="156" t="inlineStr">
        <is>
          <t>Jeff Foreman - IR</t>
        </is>
      </c>
      <c r="X25" s="212" t="n"/>
    </row>
    <row r="26" ht="15.6" customHeight="1" s="152">
      <c r="A26" s="167" t="n">
        <v>25</v>
      </c>
      <c r="B26" s="167">
        <f>VLOOKUP(J26,Matrix!AD:AE,2,0)</f>
        <v/>
      </c>
      <c r="C26" s="167">
        <f>IF(H26="",F26,LEFT(F26,H26-1))</f>
        <v/>
      </c>
      <c r="D26" s="167" t="inlineStr">
        <is>
          <t>WR</t>
        </is>
      </c>
      <c r="E26" s="167">
        <f>IF(H26&lt;&gt;"",RIGHT(F26,LEN(F26)-H26-2),"")</f>
        <v/>
      </c>
      <c r="F26" s="167">
        <f>VLOOKUP(I26,$J:$S,G26,0)</f>
        <v/>
      </c>
      <c r="G26" s="167" t="n">
        <v>2</v>
      </c>
      <c r="H26" s="167">
        <f>IFERROR(FIND(" - ",F26),"")</f>
        <v/>
      </c>
      <c r="I26" s="167">
        <f>J26</f>
        <v/>
      </c>
      <c r="J26" s="156" t="inlineStr">
        <is>
          <t>Broncos</t>
        </is>
      </c>
      <c r="K26" s="156" t="inlineStr">
        <is>
          <t>Courtland Sutton</t>
        </is>
      </c>
      <c r="L26" s="156" t="inlineStr">
        <is>
          <t>Marvin Mims Jr.</t>
        </is>
      </c>
      <c r="M26" s="156" t="inlineStr">
        <is>
          <t>Troy Franklin</t>
        </is>
      </c>
      <c r="N26" s="156" t="inlineStr">
        <is>
          <t>Devaughn Vele</t>
        </is>
      </c>
      <c r="O26" s="156" t="inlineStr">
        <is>
          <t>Pat Bryant</t>
        </is>
      </c>
      <c r="P26" s="156" t="inlineStr">
        <is>
          <t>Tyler Johnson</t>
        </is>
      </c>
      <c r="Q26" s="156" t="inlineStr">
        <is>
          <t>Xavier Smith</t>
        </is>
      </c>
      <c r="X26" s="212" t="n"/>
    </row>
    <row r="27" ht="15.6" customHeight="1" s="152">
      <c r="A27" s="167" t="n">
        <v>26</v>
      </c>
      <c r="B27" s="167">
        <f>VLOOKUP(J27,Matrix!AD:AE,2,0)</f>
        <v/>
      </c>
      <c r="C27" s="167">
        <f>IF(H27="",F27,LEFT(F27,H27-1))</f>
        <v/>
      </c>
      <c r="D27" s="167" t="inlineStr">
        <is>
          <t>WR</t>
        </is>
      </c>
      <c r="E27" s="167">
        <f>IF(H27&lt;&gt;"",RIGHT(F27,LEN(F27)-H27-2),"")</f>
        <v/>
      </c>
      <c r="F27" s="167">
        <f>VLOOKUP(I27,$J:$S,G27,0)</f>
        <v/>
      </c>
      <c r="G27" s="167" t="n">
        <v>2</v>
      </c>
      <c r="H27" s="167">
        <f>IFERROR(FIND(" - ",F27),"")</f>
        <v/>
      </c>
      <c r="I27" s="167">
        <f>J27</f>
        <v/>
      </c>
      <c r="J27" s="156" t="inlineStr">
        <is>
          <t>Eagles</t>
        </is>
      </c>
      <c r="K27" s="156" t="inlineStr">
        <is>
          <t>A.J. Brown</t>
        </is>
      </c>
      <c r="L27" s="156" t="inlineStr">
        <is>
          <t>DeVonta Smith</t>
        </is>
      </c>
      <c r="M27" s="156" t="inlineStr">
        <is>
          <t>Jahan Dotson</t>
        </is>
      </c>
      <c r="N27" s="156" t="inlineStr">
        <is>
          <t>Johnny Wilson</t>
        </is>
      </c>
      <c r="O27" s="156" t="inlineStr">
        <is>
          <t>John Metchie III</t>
        </is>
      </c>
      <c r="P27" s="156" t="inlineStr">
        <is>
          <t>Steven Sims</t>
        </is>
      </c>
      <c r="Q27" s="156" t="inlineStr">
        <is>
          <t>Deonte Harty - IR-R</t>
        </is>
      </c>
    </row>
    <row r="28" ht="15.6" customHeight="1" s="152">
      <c r="A28" s="167" t="n">
        <v>27</v>
      </c>
      <c r="B28" s="167">
        <f>VLOOKUP(J28,Matrix!AD:AE,2,0)</f>
        <v/>
      </c>
      <c r="C28" s="167">
        <f>IF(H28="",F28,LEFT(F28,H28-1))</f>
        <v/>
      </c>
      <c r="D28" s="167" t="inlineStr">
        <is>
          <t>WR</t>
        </is>
      </c>
      <c r="E28" s="167">
        <f>IF(H28&lt;&gt;"",RIGHT(F28,LEN(F28)-H28-2),"")</f>
        <v/>
      </c>
      <c r="F28" s="167">
        <f>VLOOKUP(I28,$J:$S,G28,0)</f>
        <v/>
      </c>
      <c r="G28" s="167" t="n">
        <v>2</v>
      </c>
      <c r="H28" s="167">
        <f>IFERROR(FIND(" - ",F28),"")</f>
        <v/>
      </c>
      <c r="I28" s="167">
        <f>J28</f>
        <v/>
      </c>
      <c r="J28" s="156" t="inlineStr">
        <is>
          <t>Falcons</t>
        </is>
      </c>
      <c r="K28" s="156" t="inlineStr">
        <is>
          <t>Drake London</t>
        </is>
      </c>
      <c r="L28" s="156" t="inlineStr">
        <is>
          <t>Darnell Mooney</t>
        </is>
      </c>
      <c r="M28" s="156" t="inlineStr">
        <is>
          <t>Ray-Ray McCloud III</t>
        </is>
      </c>
      <c r="N28" s="156" t="inlineStr">
        <is>
          <t>KhaDarel Hodge</t>
        </is>
      </c>
      <c r="O28" s="156" t="inlineStr">
        <is>
          <t>Casey Washington</t>
        </is>
      </c>
      <c r="P28" s="156" t="inlineStr">
        <is>
          <t>Chris Olave - IR-R</t>
        </is>
      </c>
      <c r="Q28" s="156" t="inlineStr">
        <is>
          <t>Bub Means - IR</t>
        </is>
      </c>
      <c r="R28" s="156" t="inlineStr">
        <is>
          <t>Rashid Shaheed - IR</t>
        </is>
      </c>
      <c r="X28" s="212" t="n"/>
    </row>
    <row r="29" ht="15.6" customHeight="1" s="152">
      <c r="A29" s="167" t="n">
        <v>28</v>
      </c>
      <c r="B29" s="167">
        <f>VLOOKUP(J29,Matrix!AD:AE,2,0)</f>
        <v/>
      </c>
      <c r="C29" s="167">
        <f>IF(H29="",F29,LEFT(F29,H29-1))</f>
        <v/>
      </c>
      <c r="D29" s="167" t="inlineStr">
        <is>
          <t>WR</t>
        </is>
      </c>
      <c r="E29" s="167">
        <f>IF(H29&lt;&gt;"",RIGHT(F29,LEN(F29)-H29-2),"")</f>
        <v/>
      </c>
      <c r="F29" s="167">
        <f>VLOOKUP(I29,$J:$S,G29,0)</f>
        <v/>
      </c>
      <c r="G29" s="167" t="n">
        <v>2</v>
      </c>
      <c r="H29" s="167">
        <f>IFERROR(FIND(" - ",F29),"")</f>
        <v/>
      </c>
      <c r="I29" s="167">
        <f>J29</f>
        <v/>
      </c>
      <c r="J29" s="156" t="inlineStr">
        <is>
          <t>Chargers</t>
        </is>
      </c>
      <c r="K29" s="156" t="inlineStr">
        <is>
          <t>Ladd McConkey</t>
        </is>
      </c>
      <c r="L29" s="156" t="inlineStr">
        <is>
          <t>Quentin Johnston</t>
        </is>
      </c>
      <c r="M29" s="156" t="inlineStr">
        <is>
          <t>Keenan Allen</t>
        </is>
      </c>
      <c r="N29" s="156" t="inlineStr">
        <is>
          <t>Tre Harris</t>
        </is>
      </c>
      <c r="O29" s="156" t="inlineStr">
        <is>
          <t>Tre' Harris</t>
        </is>
      </c>
      <c r="P29" s="156" t="inlineStr">
        <is>
          <t>Jaelon Darden</t>
        </is>
      </c>
      <c r="Q29" s="156" t="inlineStr">
        <is>
          <t>Cody White</t>
        </is>
      </c>
      <c r="R29" s="156" t="inlineStr">
        <is>
          <t>John Rhys Plumlee</t>
        </is>
      </c>
      <c r="S29" s="156" t="inlineStr">
        <is>
          <t>Cornell Powell</t>
        </is>
      </c>
      <c r="X29" s="212" t="n"/>
    </row>
    <row r="30" ht="15.6" customHeight="1" s="152">
      <c r="A30" s="167" t="n">
        <v>29</v>
      </c>
      <c r="B30" s="167">
        <f>VLOOKUP(J30,Matrix!AD:AE,2,0)</f>
        <v/>
      </c>
      <c r="C30" s="167">
        <f>IF(H30="",F30,LEFT(F30,H30-1))</f>
        <v/>
      </c>
      <c r="D30" s="167" t="inlineStr">
        <is>
          <t>WR</t>
        </is>
      </c>
      <c r="E30" s="167">
        <f>IF(H30&lt;&gt;"",RIGHT(F30,LEN(F30)-H30-2),"")</f>
        <v/>
      </c>
      <c r="F30" s="167">
        <f>VLOOKUP(I30,$J:$S,G30,0)</f>
        <v/>
      </c>
      <c r="G30" s="167" t="n">
        <v>2</v>
      </c>
      <c r="H30" s="167">
        <f>IFERROR(FIND(" - ",F30),"")</f>
        <v/>
      </c>
      <c r="I30" s="167">
        <f>J30</f>
        <v/>
      </c>
      <c r="J30" s="156" t="inlineStr">
        <is>
          <t>Packers</t>
        </is>
      </c>
      <c r="K30" s="156" t="inlineStr">
        <is>
          <t>Matthew Golden</t>
        </is>
      </c>
      <c r="L30" s="156" t="inlineStr">
        <is>
          <t>Jayden Reed</t>
        </is>
      </c>
      <c r="M30" s="156" t="inlineStr">
        <is>
          <t>Romeo Doubs</t>
        </is>
      </c>
      <c r="N30" s="156" t="inlineStr">
        <is>
          <t>Dontayvion Wicks</t>
        </is>
      </c>
      <c r="O30" s="156" t="inlineStr">
        <is>
          <t>Christian Watson</t>
        </is>
      </c>
      <c r="P30" s="156" t="inlineStr">
        <is>
          <t>Ben Skowronek</t>
        </is>
      </c>
      <c r="Q30" s="156" t="inlineStr">
        <is>
          <t>Roman Wilson - IR-R</t>
        </is>
      </c>
      <c r="X30" s="212" t="n"/>
    </row>
    <row r="31" ht="15.6" customHeight="1" s="152">
      <c r="A31" s="167" t="n">
        <v>30</v>
      </c>
      <c r="B31" s="167">
        <f>VLOOKUP(J31,Matrix!AD:AE,2,0)</f>
        <v/>
      </c>
      <c r="C31" s="167">
        <f>IF(H31="",F31,LEFT(F31,H31-1))</f>
        <v/>
      </c>
      <c r="D31" s="167" t="inlineStr">
        <is>
          <t>WR</t>
        </is>
      </c>
      <c r="E31" s="167">
        <f>IF(H31&lt;&gt;"",RIGHT(F31,LEN(F31)-H31-2),"")</f>
        <v/>
      </c>
      <c r="F31" s="167">
        <f>VLOOKUP(I31,$J:$S,G31,0)</f>
        <v/>
      </c>
      <c r="G31" s="167" t="n">
        <v>2</v>
      </c>
      <c r="H31" s="167">
        <f>IFERROR(FIND(" - ",F31),"")</f>
        <v/>
      </c>
      <c r="I31" s="167">
        <f>J31</f>
        <v/>
      </c>
      <c r="J31" s="156" t="inlineStr">
        <is>
          <t>Jets</t>
        </is>
      </c>
      <c r="K31" s="156" t="inlineStr">
        <is>
          <t>Garrett Wilson</t>
        </is>
      </c>
      <c r="L31" s="156" t="inlineStr">
        <is>
          <t>Josh Reynolds</t>
        </is>
      </c>
      <c r="M31" s="156" t="inlineStr">
        <is>
          <t>Allen Lazard</t>
        </is>
      </c>
      <c r="N31" s="156" t="inlineStr">
        <is>
          <t>Tyler Johnson</t>
        </is>
      </c>
      <c r="O31" s="156" t="inlineStr">
        <is>
          <t>Arian Smith</t>
        </is>
      </c>
      <c r="P31" s="156" t="inlineStr">
        <is>
          <t>Stefon Diggs - IR</t>
        </is>
      </c>
      <c r="Q31" s="156" t="inlineStr">
        <is>
          <t>Tank Dell - IR</t>
        </is>
      </c>
      <c r="X31" s="212" t="n"/>
    </row>
    <row r="32" ht="15.6" customHeight="1" s="152">
      <c r="A32" s="167" t="n">
        <v>31</v>
      </c>
      <c r="B32" s="167">
        <f>VLOOKUP(J32,Matrix!AD:AE,2,0)</f>
        <v/>
      </c>
      <c r="C32" s="167">
        <f>IF(H32="",F32,LEFT(F32,H32-1))</f>
        <v/>
      </c>
      <c r="D32" s="167" t="inlineStr">
        <is>
          <t>WR</t>
        </is>
      </c>
      <c r="E32" s="167">
        <f>IF(H32&lt;&gt;"",RIGHT(F32,LEN(F32)-H32-2),"")</f>
        <v/>
      </c>
      <c r="F32" s="167">
        <f>VLOOKUP(I32,$J:$S,G32,0)</f>
        <v/>
      </c>
      <c r="G32" s="167" t="n">
        <v>2</v>
      </c>
      <c r="H32" s="167">
        <f>IFERROR(FIND(" - ",F32),"")</f>
        <v/>
      </c>
      <c r="I32" s="167">
        <f>J32</f>
        <v/>
      </c>
      <c r="J32" s="156" t="inlineStr">
        <is>
          <t>Colts</t>
        </is>
      </c>
      <c r="K32" s="156" t="inlineStr">
        <is>
          <t>Michael Pittman Jr.</t>
        </is>
      </c>
      <c r="L32" s="156" t="inlineStr">
        <is>
          <t>Josh Downs</t>
        </is>
      </c>
      <c r="M32" s="156" t="inlineStr">
        <is>
          <t>Alec Pierce</t>
        </is>
      </c>
      <c r="N32" s="156" t="inlineStr">
        <is>
          <t>Adonai Mitchell</t>
        </is>
      </c>
      <c r="O32" s="156" t="inlineStr">
        <is>
          <t>Ashton Dulin</t>
        </is>
      </c>
      <c r="P32" s="156" t="inlineStr">
        <is>
          <t>Tay Martin</t>
        </is>
      </c>
      <c r="Q32" s="156" t="inlineStr">
        <is>
          <t>Jha'Quan Jackson</t>
        </is>
      </c>
      <c r="R32" s="156" t="inlineStr">
        <is>
          <t>Stanley Morgan</t>
        </is>
      </c>
      <c r="S32" s="156" t="inlineStr">
        <is>
          <t>Colton Dowell - PUP-R</t>
        </is>
      </c>
      <c r="X32" s="212" t="n"/>
    </row>
    <row r="33" ht="15.6" customHeight="1" s="152">
      <c r="A33" s="167" t="n">
        <v>32</v>
      </c>
      <c r="B33" s="167">
        <f>VLOOKUP(J33,Matrix!AD:AE,2,0)</f>
        <v/>
      </c>
      <c r="C33" s="167">
        <f>IF(H33="",F33,LEFT(F33,H33-1))</f>
        <v/>
      </c>
      <c r="D33" s="167" t="inlineStr">
        <is>
          <t>WR</t>
        </is>
      </c>
      <c r="E33" s="167">
        <f>IF(H33&lt;&gt;"",RIGHT(F33,LEN(F33)-H33-2),"")</f>
        <v/>
      </c>
      <c r="F33" s="167">
        <f>VLOOKUP(I33,$J:$S,G33,0)</f>
        <v/>
      </c>
      <c r="G33" s="167" t="n">
        <v>2</v>
      </c>
      <c r="H33" s="167">
        <f>IFERROR(FIND(" - ",F33),"")</f>
        <v/>
      </c>
      <c r="I33" s="167">
        <f>J33</f>
        <v/>
      </c>
      <c r="J33" s="156" t="inlineStr">
        <is>
          <t>Saints</t>
        </is>
      </c>
      <c r="K33" s="156" t="inlineStr">
        <is>
          <t>Chris Olave</t>
        </is>
      </c>
      <c r="L33" s="156" t="inlineStr">
        <is>
          <t>Rashid Shaheed</t>
        </is>
      </c>
      <c r="M33" s="156" t="inlineStr">
        <is>
          <t>Brandin Cooks</t>
        </is>
      </c>
      <c r="N33" s="156" t="inlineStr">
        <is>
          <t>Cedrick Wilson Jr.</t>
        </is>
      </c>
      <c r="O33" s="156" t="inlineStr">
        <is>
          <t>Devaughn Vele</t>
        </is>
      </c>
      <c r="X33" s="212" t="n"/>
    </row>
    <row r="34" ht="14.4" customHeight="1" s="152">
      <c r="A34" s="167" t="n">
        <v>33</v>
      </c>
      <c r="B34" s="167">
        <f>B2</f>
        <v/>
      </c>
      <c r="C34" s="167">
        <f>IF(H34="",F34,LEFT(F34,H34-1))</f>
        <v/>
      </c>
      <c r="D34" s="167" t="inlineStr">
        <is>
          <t>WR</t>
        </is>
      </c>
      <c r="E34" s="167">
        <f>IF(H34&lt;&gt;"",RIGHT(F34,LEN(F34)-H34-2),"")</f>
        <v/>
      </c>
      <c r="F34" s="167">
        <f>VLOOKUP(I34,$J:$S,G34,0)</f>
        <v/>
      </c>
      <c r="G34" s="167">
        <f>G2+1</f>
        <v/>
      </c>
      <c r="H34" s="167">
        <f>IFERROR(FIND(" - ",F34),"")</f>
        <v/>
      </c>
      <c r="I34" s="167">
        <f>I2</f>
        <v/>
      </c>
      <c r="X34" s="212" t="n"/>
    </row>
    <row r="35" ht="14.4" customHeight="1" s="152">
      <c r="A35" s="167" t="n">
        <v>34</v>
      </c>
      <c r="B35" s="167">
        <f>B3</f>
        <v/>
      </c>
      <c r="C35" s="167">
        <f>IF(H35="",F35,LEFT(F35,H35-1))</f>
        <v/>
      </c>
      <c r="D35" s="167" t="inlineStr">
        <is>
          <t>WR</t>
        </is>
      </c>
      <c r="E35" s="167">
        <f>IF(H35&lt;&gt;"",RIGHT(F35,LEN(F35)-H35-2),"")</f>
        <v/>
      </c>
      <c r="F35" s="167">
        <f>VLOOKUP(I35,$J:$S,G35,0)</f>
        <v/>
      </c>
      <c r="G35" s="167">
        <f>G3+1</f>
        <v/>
      </c>
      <c r="H35" s="167">
        <f>IFERROR(FIND(" - ",F35),"")</f>
        <v/>
      </c>
      <c r="I35" s="167">
        <f>I3</f>
        <v/>
      </c>
      <c r="X35" s="212" t="n"/>
    </row>
    <row r="36" ht="14.4" customHeight="1" s="152">
      <c r="A36" s="167" t="n">
        <v>35</v>
      </c>
      <c r="B36" s="167">
        <f>B4</f>
        <v/>
      </c>
      <c r="C36" s="167">
        <f>IF(H36="",F36,LEFT(F36,H36-1))</f>
        <v/>
      </c>
      <c r="D36" s="167" t="inlineStr">
        <is>
          <t>WR</t>
        </is>
      </c>
      <c r="E36" s="167">
        <f>IF(H36&lt;&gt;"",RIGHT(F36,LEN(F36)-H36-2),"")</f>
        <v/>
      </c>
      <c r="F36" s="167">
        <f>VLOOKUP(I36,$J:$S,G36,0)</f>
        <v/>
      </c>
      <c r="G36" s="167">
        <f>G4+1</f>
        <v/>
      </c>
      <c r="H36" s="167">
        <f>IFERROR(FIND(" - ",F36),"")</f>
        <v/>
      </c>
      <c r="I36" s="167">
        <f>I4</f>
        <v/>
      </c>
      <c r="X36" s="212" t="n"/>
    </row>
    <row r="37" ht="14.4" customHeight="1" s="152">
      <c r="A37" s="167" t="n">
        <v>36</v>
      </c>
      <c r="B37" s="167">
        <f>B5</f>
        <v/>
      </c>
      <c r="C37" s="167">
        <f>IF(H37="",F37,LEFT(F37,H37-1))</f>
        <v/>
      </c>
      <c r="D37" s="167" t="inlineStr">
        <is>
          <t>WR</t>
        </is>
      </c>
      <c r="E37" s="167">
        <f>IF(H37&lt;&gt;"",RIGHT(F37,LEN(F37)-H37-2),"")</f>
        <v/>
      </c>
      <c r="F37" s="167">
        <f>VLOOKUP(I37,$J:$S,G37,0)</f>
        <v/>
      </c>
      <c r="G37" s="167">
        <f>G5+1</f>
        <v/>
      </c>
      <c r="H37" s="167">
        <f>IFERROR(FIND(" - ",F37),"")</f>
        <v/>
      </c>
      <c r="I37" s="167">
        <f>I5</f>
        <v/>
      </c>
      <c r="X37" s="212" t="n"/>
    </row>
    <row r="38" ht="14.4" customHeight="1" s="152">
      <c r="A38" s="167" t="n">
        <v>37</v>
      </c>
      <c r="B38" s="167">
        <f>B6</f>
        <v/>
      </c>
      <c r="C38" s="167">
        <f>IF(H38="",F38,LEFT(F38,H38-1))</f>
        <v/>
      </c>
      <c r="D38" s="167" t="inlineStr">
        <is>
          <t>WR</t>
        </is>
      </c>
      <c r="E38" s="167">
        <f>IF(H38&lt;&gt;"",RIGHT(F38,LEN(F38)-H38-2),"")</f>
        <v/>
      </c>
      <c r="F38" s="167">
        <f>VLOOKUP(I38,$J:$S,G38,0)</f>
        <v/>
      </c>
      <c r="G38" s="167">
        <f>G6+1</f>
        <v/>
      </c>
      <c r="H38" s="167">
        <f>IFERROR(FIND(" - ",F38),"")</f>
        <v/>
      </c>
      <c r="I38" s="167">
        <f>I6</f>
        <v/>
      </c>
      <c r="X38" s="212" t="n"/>
    </row>
    <row r="39" ht="14.4" customHeight="1" s="152">
      <c r="A39" s="167" t="n">
        <v>38</v>
      </c>
      <c r="B39" s="167">
        <f>B7</f>
        <v/>
      </c>
      <c r="C39" s="167">
        <f>IF(H39="",F39,LEFT(F39,H39-1))</f>
        <v/>
      </c>
      <c r="D39" s="167" t="inlineStr">
        <is>
          <t>WR</t>
        </is>
      </c>
      <c r="E39" s="167">
        <f>IF(H39&lt;&gt;"",RIGHT(F39,LEN(F39)-H39-2),"")</f>
        <v/>
      </c>
      <c r="F39" s="167">
        <f>VLOOKUP(I39,$J:$S,G39,0)</f>
        <v/>
      </c>
      <c r="G39" s="167">
        <f>G7+1</f>
        <v/>
      </c>
      <c r="H39" s="167">
        <f>IFERROR(FIND(" - ",F39),"")</f>
        <v/>
      </c>
      <c r="I39" s="167">
        <f>I7</f>
        <v/>
      </c>
      <c r="X39" s="212" t="n"/>
    </row>
    <row r="40" ht="14.4" customHeight="1" s="152">
      <c r="A40" s="167" t="n">
        <v>39</v>
      </c>
      <c r="B40" s="167">
        <f>B8</f>
        <v/>
      </c>
      <c r="C40" s="167">
        <f>IF(H40="",F40,LEFT(F40,H40-1))</f>
        <v/>
      </c>
      <c r="D40" s="167" t="inlineStr">
        <is>
          <t>WR</t>
        </is>
      </c>
      <c r="E40" s="167">
        <f>IF(H40&lt;&gt;"",RIGHT(F40,LEN(F40)-H40-2),"")</f>
        <v/>
      </c>
      <c r="F40" s="167">
        <f>VLOOKUP(I40,$J:$S,G40,0)</f>
        <v/>
      </c>
      <c r="G40" s="167">
        <f>G8+1</f>
        <v/>
      </c>
      <c r="H40" s="167">
        <f>IFERROR(FIND(" - ",F40),"")</f>
        <v/>
      </c>
      <c r="I40" s="167">
        <f>I8</f>
        <v/>
      </c>
    </row>
    <row r="41" ht="14.4" customHeight="1" s="152">
      <c r="A41" s="167" t="n">
        <v>40</v>
      </c>
      <c r="B41" s="167">
        <f>B9</f>
        <v/>
      </c>
      <c r="C41" s="167">
        <f>IF(H41="",F41,LEFT(F41,H41-1))</f>
        <v/>
      </c>
      <c r="D41" s="167" t="inlineStr">
        <is>
          <t>WR</t>
        </is>
      </c>
      <c r="E41" s="167">
        <f>IF(H41&lt;&gt;"",RIGHT(F41,LEN(F41)-H41-2),"")</f>
        <v/>
      </c>
      <c r="F41" s="167">
        <f>VLOOKUP(I41,$J:$S,G41,0)</f>
        <v/>
      </c>
      <c r="G41" s="167">
        <f>G9+1</f>
        <v/>
      </c>
      <c r="H41" s="167">
        <f>IFERROR(FIND(" - ",F41),"")</f>
        <v/>
      </c>
      <c r="I41" s="167">
        <f>I9</f>
        <v/>
      </c>
    </row>
    <row r="42" ht="14.4" customHeight="1" s="152">
      <c r="A42" s="167" t="n">
        <v>41</v>
      </c>
      <c r="B42" s="167">
        <f>B10</f>
        <v/>
      </c>
      <c r="C42" s="167">
        <f>IF(H42="",F42,LEFT(F42,H42-1))</f>
        <v/>
      </c>
      <c r="D42" s="167" t="inlineStr">
        <is>
          <t>WR</t>
        </is>
      </c>
      <c r="E42" s="167">
        <f>IF(H42&lt;&gt;"",RIGHT(F42,LEN(F42)-H42-2),"")</f>
        <v/>
      </c>
      <c r="F42" s="167">
        <f>VLOOKUP(I42,$J:$S,G42,0)</f>
        <v/>
      </c>
      <c r="G42" s="167">
        <f>G10+1</f>
        <v/>
      </c>
      <c r="H42" s="167">
        <f>IFERROR(FIND(" - ",F42),"")</f>
        <v/>
      </c>
      <c r="I42" s="167">
        <f>I10</f>
        <v/>
      </c>
    </row>
    <row r="43" ht="14.4" customHeight="1" s="152">
      <c r="A43" s="167" t="n">
        <v>42</v>
      </c>
      <c r="B43" s="167">
        <f>B11</f>
        <v/>
      </c>
      <c r="C43" s="167">
        <f>IF(H43="",F43,LEFT(F43,H43-1))</f>
        <v/>
      </c>
      <c r="D43" s="167" t="inlineStr">
        <is>
          <t>WR</t>
        </is>
      </c>
      <c r="E43" s="167">
        <f>IF(H43&lt;&gt;"",RIGHT(F43,LEN(F43)-H43-2),"")</f>
        <v/>
      </c>
      <c r="F43" s="167">
        <f>VLOOKUP(I43,$J:$S,G43,0)</f>
        <v/>
      </c>
      <c r="G43" s="167">
        <f>G11+1</f>
        <v/>
      </c>
      <c r="H43" s="167">
        <f>IFERROR(FIND(" - ",F43),"")</f>
        <v/>
      </c>
      <c r="I43" s="167">
        <f>I11</f>
        <v/>
      </c>
    </row>
    <row r="44" ht="14.4" customHeight="1" s="152">
      <c r="A44" s="167" t="n">
        <v>43</v>
      </c>
      <c r="B44" s="167">
        <f>B12</f>
        <v/>
      </c>
      <c r="C44" s="167">
        <f>IF(H44="",F44,LEFT(F44,H44-1))</f>
        <v/>
      </c>
      <c r="D44" s="167" t="inlineStr">
        <is>
          <t>WR</t>
        </is>
      </c>
      <c r="E44" s="167">
        <f>IF(H44&lt;&gt;"",RIGHT(F44,LEN(F44)-H44-2),"")</f>
        <v/>
      </c>
      <c r="F44" s="167">
        <f>VLOOKUP(I44,$J:$S,G44,0)</f>
        <v/>
      </c>
      <c r="G44" s="167">
        <f>G12+1</f>
        <v/>
      </c>
      <c r="H44" s="167">
        <f>IFERROR(FIND(" - ",F44),"")</f>
        <v/>
      </c>
      <c r="I44" s="167">
        <f>I12</f>
        <v/>
      </c>
    </row>
    <row r="45" ht="14.4" customHeight="1" s="152">
      <c r="A45" s="167" t="n">
        <v>44</v>
      </c>
      <c r="B45" s="167">
        <f>B13</f>
        <v/>
      </c>
      <c r="C45" s="167">
        <f>IF(H45="",F45,LEFT(F45,H45-1))</f>
        <v/>
      </c>
      <c r="D45" s="167" t="inlineStr">
        <is>
          <t>WR</t>
        </is>
      </c>
      <c r="E45" s="167">
        <f>IF(H45&lt;&gt;"",RIGHT(F45,LEN(F45)-H45-2),"")</f>
        <v/>
      </c>
      <c r="F45" s="167">
        <f>VLOOKUP(I45,$J:$S,G45,0)</f>
        <v/>
      </c>
      <c r="G45" s="167">
        <f>G13+1</f>
        <v/>
      </c>
      <c r="H45" s="167">
        <f>IFERROR(FIND(" - ",F45),"")</f>
        <v/>
      </c>
      <c r="I45" s="167">
        <f>I13</f>
        <v/>
      </c>
    </row>
    <row r="46" ht="14.4" customHeight="1" s="152">
      <c r="A46" s="167" t="n">
        <v>45</v>
      </c>
      <c r="B46" s="167">
        <f>B14</f>
        <v/>
      </c>
      <c r="C46" s="167">
        <f>IF(H46="",F46,LEFT(F46,H46-1))</f>
        <v/>
      </c>
      <c r="D46" s="167" t="inlineStr">
        <is>
          <t>WR</t>
        </is>
      </c>
      <c r="E46" s="167">
        <f>IF(H46&lt;&gt;"",RIGHT(F46,LEN(F46)-H46-2),"")</f>
        <v/>
      </c>
      <c r="F46" s="167">
        <f>VLOOKUP(I46,$J:$S,G46,0)</f>
        <v/>
      </c>
      <c r="G46" s="167">
        <f>G14+1</f>
        <v/>
      </c>
      <c r="H46" s="167">
        <f>IFERROR(FIND(" - ",F46),"")</f>
        <v/>
      </c>
      <c r="I46" s="167">
        <f>I14</f>
        <v/>
      </c>
    </row>
    <row r="47" ht="14.4" customHeight="1" s="152">
      <c r="A47" s="167" t="n">
        <v>46</v>
      </c>
      <c r="B47" s="167">
        <f>B15</f>
        <v/>
      </c>
      <c r="C47" s="167">
        <f>IF(H47="",F47,LEFT(F47,H47-1))</f>
        <v/>
      </c>
      <c r="D47" s="167" t="inlineStr">
        <is>
          <t>WR</t>
        </is>
      </c>
      <c r="E47" s="167">
        <f>IF(H47&lt;&gt;"",RIGHT(F47,LEN(F47)-H47-2),"")</f>
        <v/>
      </c>
      <c r="F47" s="167">
        <f>VLOOKUP(I47,$J:$S,G47,0)</f>
        <v/>
      </c>
      <c r="G47" s="167">
        <f>G15+1</f>
        <v/>
      </c>
      <c r="H47" s="167">
        <f>IFERROR(FIND(" - ",F47),"")</f>
        <v/>
      </c>
      <c r="I47" s="167">
        <f>I15</f>
        <v/>
      </c>
    </row>
    <row r="48" ht="14.4" customHeight="1" s="152">
      <c r="A48" s="167" t="n">
        <v>47</v>
      </c>
      <c r="B48" s="167">
        <f>B16</f>
        <v/>
      </c>
      <c r="C48" s="167">
        <f>IF(H48="",F48,LEFT(F48,H48-1))</f>
        <v/>
      </c>
      <c r="D48" s="167" t="inlineStr">
        <is>
          <t>WR</t>
        </is>
      </c>
      <c r="E48" s="167">
        <f>IF(H48&lt;&gt;"",RIGHT(F48,LEN(F48)-H48-2),"")</f>
        <v/>
      </c>
      <c r="F48" s="167">
        <f>VLOOKUP(I48,$J:$S,G48,0)</f>
        <v/>
      </c>
      <c r="G48" s="167">
        <f>G16+1</f>
        <v/>
      </c>
      <c r="H48" s="167">
        <f>IFERROR(FIND(" - ",F48),"")</f>
        <v/>
      </c>
      <c r="I48" s="167">
        <f>I16</f>
        <v/>
      </c>
    </row>
    <row r="49" ht="14.4" customHeight="1" s="152">
      <c r="A49" s="167" t="n">
        <v>48</v>
      </c>
      <c r="B49" s="167">
        <f>B17</f>
        <v/>
      </c>
      <c r="C49" s="167">
        <f>IF(H49="",F49,LEFT(F49,H49-1))</f>
        <v/>
      </c>
      <c r="D49" s="167" t="inlineStr">
        <is>
          <t>WR</t>
        </is>
      </c>
      <c r="E49" s="167">
        <f>IF(H49&lt;&gt;"",RIGHT(F49,LEN(F49)-H49-2),"")</f>
        <v/>
      </c>
      <c r="F49" s="167">
        <f>VLOOKUP(I49,$J:$S,G49,0)</f>
        <v/>
      </c>
      <c r="G49" s="167">
        <f>G17+1</f>
        <v/>
      </c>
      <c r="H49" s="167">
        <f>IFERROR(FIND(" - ",F49),"")</f>
        <v/>
      </c>
      <c r="I49" s="167">
        <f>I17</f>
        <v/>
      </c>
    </row>
    <row r="50" ht="14.4" customHeight="1" s="152">
      <c r="A50" s="167" t="n">
        <v>49</v>
      </c>
      <c r="B50" s="167">
        <f>B18</f>
        <v/>
      </c>
      <c r="C50" s="167">
        <f>IF(H50="",F50,LEFT(F50,H50-1))</f>
        <v/>
      </c>
      <c r="D50" s="167" t="inlineStr">
        <is>
          <t>WR</t>
        </is>
      </c>
      <c r="E50" s="167">
        <f>IF(H50&lt;&gt;"",RIGHT(F50,LEN(F50)-H50-2),"")</f>
        <v/>
      </c>
      <c r="F50" s="167">
        <f>VLOOKUP(I50,$J:$S,G50,0)</f>
        <v/>
      </c>
      <c r="G50" s="167">
        <f>G18+1</f>
        <v/>
      </c>
      <c r="H50" s="167">
        <f>IFERROR(FIND(" - ",F50),"")</f>
        <v/>
      </c>
      <c r="I50" s="167">
        <f>I18</f>
        <v/>
      </c>
    </row>
    <row r="51" ht="14.4" customHeight="1" s="152">
      <c r="A51" s="167" t="n">
        <v>50</v>
      </c>
      <c r="B51" s="167">
        <f>B19</f>
        <v/>
      </c>
      <c r="C51" s="167">
        <f>IF(H51="",F51,LEFT(F51,H51-1))</f>
        <v/>
      </c>
      <c r="D51" s="167" t="inlineStr">
        <is>
          <t>WR</t>
        </is>
      </c>
      <c r="E51" s="167">
        <f>IF(H51&lt;&gt;"",RIGHT(F51,LEN(F51)-H51-2),"")</f>
        <v/>
      </c>
      <c r="F51" s="167">
        <f>VLOOKUP(I51,$J:$S,G51,0)</f>
        <v/>
      </c>
      <c r="G51" s="167">
        <f>G19+1</f>
        <v/>
      </c>
      <c r="H51" s="167">
        <f>IFERROR(FIND(" - ",F51),"")</f>
        <v/>
      </c>
      <c r="I51" s="167">
        <f>I19</f>
        <v/>
      </c>
    </row>
    <row r="52" ht="14.4" customHeight="1" s="152">
      <c r="A52" s="167" t="n">
        <v>51</v>
      </c>
      <c r="B52" s="167">
        <f>B20</f>
        <v/>
      </c>
      <c r="C52" s="167">
        <f>IF(H52="",F52,LEFT(F52,H52-1))</f>
        <v/>
      </c>
      <c r="D52" s="167" t="inlineStr">
        <is>
          <t>WR</t>
        </is>
      </c>
      <c r="E52" s="167">
        <f>IF(H52&lt;&gt;"",RIGHT(F52,LEN(F52)-H52-2),"")</f>
        <v/>
      </c>
      <c r="F52" s="167">
        <f>VLOOKUP(I52,$J:$S,G52,0)</f>
        <v/>
      </c>
      <c r="G52" s="167">
        <f>G20+1</f>
        <v/>
      </c>
      <c r="H52" s="167">
        <f>IFERROR(FIND(" - ",F52),"")</f>
        <v/>
      </c>
      <c r="I52" s="167">
        <f>I20</f>
        <v/>
      </c>
    </row>
    <row r="53" ht="14.4" customHeight="1" s="152">
      <c r="A53" s="167" t="n">
        <v>52</v>
      </c>
      <c r="B53" s="167">
        <f>B21</f>
        <v/>
      </c>
      <c r="C53" s="167">
        <f>IF(H53="",F53,LEFT(F53,H53-1))</f>
        <v/>
      </c>
      <c r="D53" s="167" t="inlineStr">
        <is>
          <t>WR</t>
        </is>
      </c>
      <c r="E53" s="167">
        <f>IF(H53&lt;&gt;"",RIGHT(F53,LEN(F53)-H53-2),"")</f>
        <v/>
      </c>
      <c r="F53" s="167">
        <f>VLOOKUP(I53,$J:$S,G53,0)</f>
        <v/>
      </c>
      <c r="G53" s="167">
        <f>G21+1</f>
        <v/>
      </c>
      <c r="H53" s="167">
        <f>IFERROR(FIND(" - ",F53),"")</f>
        <v/>
      </c>
      <c r="I53" s="167">
        <f>I21</f>
        <v/>
      </c>
    </row>
    <row r="54" ht="14.4" customHeight="1" s="152">
      <c r="A54" s="167" t="n">
        <v>53</v>
      </c>
      <c r="B54" s="167">
        <f>B22</f>
        <v/>
      </c>
      <c r="C54" s="167">
        <f>IF(H54="",F54,LEFT(F54,H54-1))</f>
        <v/>
      </c>
      <c r="D54" s="167" t="inlineStr">
        <is>
          <t>WR</t>
        </is>
      </c>
      <c r="E54" s="167">
        <f>IF(H54&lt;&gt;"",RIGHT(F54,LEN(F54)-H54-2),"")</f>
        <v/>
      </c>
      <c r="F54" s="167">
        <f>VLOOKUP(I54,$J:$S,G54,0)</f>
        <v/>
      </c>
      <c r="G54" s="167">
        <f>G22+1</f>
        <v/>
      </c>
      <c r="H54" s="167">
        <f>IFERROR(FIND(" - ",F54),"")</f>
        <v/>
      </c>
      <c r="I54" s="167">
        <f>I22</f>
        <v/>
      </c>
    </row>
    <row r="55" ht="14.4" customHeight="1" s="152">
      <c r="A55" s="167" t="n">
        <v>54</v>
      </c>
      <c r="B55" s="167">
        <f>B23</f>
        <v/>
      </c>
      <c r="C55" s="167">
        <f>IF(H55="",F55,LEFT(F55,H55-1))</f>
        <v/>
      </c>
      <c r="D55" s="167" t="inlineStr">
        <is>
          <t>WR</t>
        </is>
      </c>
      <c r="E55" s="167">
        <f>IF(H55&lt;&gt;"",RIGHT(F55,LEN(F55)-H55-2),"")</f>
        <v/>
      </c>
      <c r="F55" s="167">
        <f>VLOOKUP(I55,$J:$S,G55,0)</f>
        <v/>
      </c>
      <c r="G55" s="167">
        <f>G23+1</f>
        <v/>
      </c>
      <c r="H55" s="167">
        <f>IFERROR(FIND(" - ",F55),"")</f>
        <v/>
      </c>
      <c r="I55" s="167">
        <f>I23</f>
        <v/>
      </c>
    </row>
    <row r="56" ht="14.4" customHeight="1" s="152">
      <c r="A56" s="167" t="n">
        <v>55</v>
      </c>
      <c r="B56" s="167">
        <f>B24</f>
        <v/>
      </c>
      <c r="C56" s="167">
        <f>IF(H56="",F56,LEFT(F56,H56-1))</f>
        <v/>
      </c>
      <c r="D56" s="167" t="inlineStr">
        <is>
          <t>WR</t>
        </is>
      </c>
      <c r="E56" s="167">
        <f>IF(H56&lt;&gt;"",RIGHT(F56,LEN(F56)-H56-2),"")</f>
        <v/>
      </c>
      <c r="F56" s="167">
        <f>VLOOKUP(I56,$J:$S,G56,0)</f>
        <v/>
      </c>
      <c r="G56" s="167">
        <f>G24+1</f>
        <v/>
      </c>
      <c r="H56" s="167">
        <f>IFERROR(FIND(" - ",F56),"")</f>
        <v/>
      </c>
      <c r="I56" s="167">
        <f>I24</f>
        <v/>
      </c>
    </row>
    <row r="57" ht="14.4" customHeight="1" s="152">
      <c r="A57" s="167" t="n">
        <v>56</v>
      </c>
      <c r="B57" s="167">
        <f>B25</f>
        <v/>
      </c>
      <c r="C57" s="167">
        <f>IF(H57="",F57,LEFT(F57,H57-1))</f>
        <v/>
      </c>
      <c r="D57" s="167" t="inlineStr">
        <is>
          <t>WR</t>
        </is>
      </c>
      <c r="E57" s="167">
        <f>IF(H57&lt;&gt;"",RIGHT(F57,LEN(F57)-H57-2),"")</f>
        <v/>
      </c>
      <c r="F57" s="167">
        <f>VLOOKUP(I57,$J:$S,G57,0)</f>
        <v/>
      </c>
      <c r="G57" s="167">
        <f>G25+1</f>
        <v/>
      </c>
      <c r="H57" s="167">
        <f>IFERROR(FIND(" - ",F57),"")</f>
        <v/>
      </c>
      <c r="I57" s="167">
        <f>I25</f>
        <v/>
      </c>
    </row>
    <row r="58" ht="14.4" customHeight="1" s="152">
      <c r="A58" s="167" t="n">
        <v>57</v>
      </c>
      <c r="B58" s="167">
        <f>B26</f>
        <v/>
      </c>
      <c r="C58" s="167">
        <f>IF(H58="",F58,LEFT(F58,H58-1))</f>
        <v/>
      </c>
      <c r="D58" s="167" t="inlineStr">
        <is>
          <t>WR</t>
        </is>
      </c>
      <c r="E58" s="167">
        <f>IF(H58&lt;&gt;"",RIGHT(F58,LEN(F58)-H58-2),"")</f>
        <v/>
      </c>
      <c r="F58" s="167">
        <f>VLOOKUP(I58,$J:$S,G58,0)</f>
        <v/>
      </c>
      <c r="G58" s="167">
        <f>G26+1</f>
        <v/>
      </c>
      <c r="H58" s="167">
        <f>IFERROR(FIND(" - ",F58),"")</f>
        <v/>
      </c>
      <c r="I58" s="167">
        <f>I26</f>
        <v/>
      </c>
    </row>
    <row r="59" ht="14.4" customHeight="1" s="152">
      <c r="A59" s="167" t="n">
        <v>58</v>
      </c>
      <c r="B59" s="167">
        <f>B27</f>
        <v/>
      </c>
      <c r="C59" s="167">
        <f>IF(H59="",F59,LEFT(F59,H59-1))</f>
        <v/>
      </c>
      <c r="D59" s="167" t="inlineStr">
        <is>
          <t>WR</t>
        </is>
      </c>
      <c r="E59" s="167">
        <f>IF(H59&lt;&gt;"",RIGHT(F59,LEN(F59)-H59-2),"")</f>
        <v/>
      </c>
      <c r="F59" s="167">
        <f>VLOOKUP(I59,$J:$S,G59,0)</f>
        <v/>
      </c>
      <c r="G59" s="167">
        <f>G27+1</f>
        <v/>
      </c>
      <c r="H59" s="167">
        <f>IFERROR(FIND(" - ",F59),"")</f>
        <v/>
      </c>
      <c r="I59" s="167">
        <f>I27</f>
        <v/>
      </c>
    </row>
    <row r="60" ht="14.4" customHeight="1" s="152">
      <c r="A60" s="167" t="n">
        <v>59</v>
      </c>
      <c r="B60" s="167">
        <f>B28</f>
        <v/>
      </c>
      <c r="C60" s="167">
        <f>IF(H60="",F60,LEFT(F60,H60-1))</f>
        <v/>
      </c>
      <c r="D60" s="167" t="inlineStr">
        <is>
          <t>WR</t>
        </is>
      </c>
      <c r="E60" s="167">
        <f>IF(H60&lt;&gt;"",RIGHT(F60,LEN(F60)-H60-2),"")</f>
        <v/>
      </c>
      <c r="F60" s="167">
        <f>VLOOKUP(I60,$J:$S,G60,0)</f>
        <v/>
      </c>
      <c r="G60" s="167">
        <f>G28+1</f>
        <v/>
      </c>
      <c r="H60" s="167">
        <f>IFERROR(FIND(" - ",F60),"")</f>
        <v/>
      </c>
      <c r="I60" s="167">
        <f>I28</f>
        <v/>
      </c>
    </row>
    <row r="61" ht="14.4" customHeight="1" s="152">
      <c r="A61" s="167" t="n">
        <v>60</v>
      </c>
      <c r="B61" s="167">
        <f>B29</f>
        <v/>
      </c>
      <c r="C61" s="167">
        <f>IF(H61="",F61,LEFT(F61,H61-1))</f>
        <v/>
      </c>
      <c r="D61" s="167" t="inlineStr">
        <is>
          <t>WR</t>
        </is>
      </c>
      <c r="E61" s="167">
        <f>IF(H61&lt;&gt;"",RIGHT(F61,LEN(F61)-H61-2),"")</f>
        <v/>
      </c>
      <c r="F61" s="167">
        <f>VLOOKUP(I61,$J:$S,G61,0)</f>
        <v/>
      </c>
      <c r="G61" s="167">
        <f>G29+1</f>
        <v/>
      </c>
      <c r="H61" s="167">
        <f>IFERROR(FIND(" - ",F61),"")</f>
        <v/>
      </c>
      <c r="I61" s="167">
        <f>I29</f>
        <v/>
      </c>
    </row>
    <row r="62" ht="14.4" customHeight="1" s="152">
      <c r="A62" s="167" t="n">
        <v>61</v>
      </c>
      <c r="B62" s="167">
        <f>B30</f>
        <v/>
      </c>
      <c r="C62" s="167">
        <f>IF(H62="",F62,LEFT(F62,H62-1))</f>
        <v/>
      </c>
      <c r="D62" s="167" t="inlineStr">
        <is>
          <t>WR</t>
        </is>
      </c>
      <c r="E62" s="167">
        <f>IF(H62&lt;&gt;"",RIGHT(F62,LEN(F62)-H62-2),"")</f>
        <v/>
      </c>
      <c r="F62" s="167">
        <f>VLOOKUP(I62,$J:$S,G62,0)</f>
        <v/>
      </c>
      <c r="G62" s="167">
        <f>G30+1</f>
        <v/>
      </c>
      <c r="H62" s="167">
        <f>IFERROR(FIND(" - ",F62),"")</f>
        <v/>
      </c>
      <c r="I62" s="167">
        <f>I30</f>
        <v/>
      </c>
    </row>
    <row r="63" ht="14.4" customHeight="1" s="152">
      <c r="A63" s="167" t="n">
        <v>62</v>
      </c>
      <c r="B63" s="167">
        <f>B31</f>
        <v/>
      </c>
      <c r="C63" s="167">
        <f>IF(H63="",F63,LEFT(F63,H63-1))</f>
        <v/>
      </c>
      <c r="D63" s="167" t="inlineStr">
        <is>
          <t>WR</t>
        </is>
      </c>
      <c r="E63" s="167">
        <f>IF(H63&lt;&gt;"",RIGHT(F63,LEN(F63)-H63-2),"")</f>
        <v/>
      </c>
      <c r="F63" s="167">
        <f>VLOOKUP(I63,$J:$S,G63,0)</f>
        <v/>
      </c>
      <c r="G63" s="167">
        <f>G31+1</f>
        <v/>
      </c>
      <c r="H63" s="167">
        <f>IFERROR(FIND(" - ",F63),"")</f>
        <v/>
      </c>
      <c r="I63" s="167">
        <f>I31</f>
        <v/>
      </c>
    </row>
    <row r="64" ht="14.4" customHeight="1" s="152">
      <c r="A64" s="167" t="n">
        <v>63</v>
      </c>
      <c r="B64" s="167">
        <f>B32</f>
        <v/>
      </c>
      <c r="C64" s="167">
        <f>IF(H64="",F64,LEFT(F64,H64-1))</f>
        <v/>
      </c>
      <c r="D64" s="167" t="inlineStr">
        <is>
          <t>WR</t>
        </is>
      </c>
      <c r="E64" s="167">
        <f>IF(H64&lt;&gt;"",RIGHT(F64,LEN(F64)-H64-2),"")</f>
        <v/>
      </c>
      <c r="F64" s="167">
        <f>VLOOKUP(I64,$J:$S,G64,0)</f>
        <v/>
      </c>
      <c r="G64" s="167">
        <f>G32+1</f>
        <v/>
      </c>
      <c r="H64" s="167">
        <f>IFERROR(FIND(" - ",F64),"")</f>
        <v/>
      </c>
      <c r="I64" s="167">
        <f>I32</f>
        <v/>
      </c>
    </row>
    <row r="65" ht="14.4" customHeight="1" s="152">
      <c r="A65" s="167" t="n">
        <v>64</v>
      </c>
      <c r="B65" s="167">
        <f>B33</f>
        <v/>
      </c>
      <c r="C65" s="167">
        <f>IF(H65="",F65,LEFT(F65,H65-1))</f>
        <v/>
      </c>
      <c r="D65" s="167" t="inlineStr">
        <is>
          <t>WR</t>
        </is>
      </c>
      <c r="E65" s="167">
        <f>IF(H65&lt;&gt;"",RIGHT(F65,LEN(F65)-H65-2),"")</f>
        <v/>
      </c>
      <c r="F65" s="167">
        <f>VLOOKUP(I65,$J:$S,G65,0)</f>
        <v/>
      </c>
      <c r="G65" s="167">
        <f>G33+1</f>
        <v/>
      </c>
      <c r="H65" s="167">
        <f>IFERROR(FIND(" - ",F65),"")</f>
        <v/>
      </c>
      <c r="I65" s="167">
        <f>I33</f>
        <v/>
      </c>
    </row>
    <row r="66" ht="14.4" customHeight="1" s="152">
      <c r="A66" s="167" t="n">
        <v>65</v>
      </c>
      <c r="B66" s="167">
        <f>B34</f>
        <v/>
      </c>
      <c r="C66" s="167">
        <f>IF(H66="",F66,LEFT(F66,H66-1))</f>
        <v/>
      </c>
      <c r="D66" s="167" t="inlineStr">
        <is>
          <t>WR</t>
        </is>
      </c>
      <c r="E66" s="167">
        <f>IF(H66&lt;&gt;"",RIGHT(F66,LEN(F66)-H66-2),"")</f>
        <v/>
      </c>
      <c r="F66" s="167">
        <f>VLOOKUP(I66,$J:$S,G66,0)</f>
        <v/>
      </c>
      <c r="G66" s="167">
        <f>G34+1</f>
        <v/>
      </c>
      <c r="H66" s="167">
        <f>IFERROR(FIND(" - ",F66),"")</f>
        <v/>
      </c>
      <c r="I66" s="167">
        <f>I34</f>
        <v/>
      </c>
    </row>
    <row r="67" ht="14.4" customHeight="1" s="152">
      <c r="A67" s="167" t="n">
        <v>66</v>
      </c>
      <c r="B67" s="167">
        <f>B35</f>
        <v/>
      </c>
      <c r="C67" s="167">
        <f>IF(H67="",F67,LEFT(F67,H67-1))</f>
        <v/>
      </c>
      <c r="D67" s="167" t="inlineStr">
        <is>
          <t>WR</t>
        </is>
      </c>
      <c r="E67" s="167">
        <f>IF(H67&lt;&gt;"",RIGHT(F67,LEN(F67)-H67-2),"")</f>
        <v/>
      </c>
      <c r="F67" s="167">
        <f>VLOOKUP(I67,$J:$S,G67,0)</f>
        <v/>
      </c>
      <c r="G67" s="167">
        <f>G35+1</f>
        <v/>
      </c>
      <c r="H67" s="167">
        <f>IFERROR(FIND(" - ",F67),"")</f>
        <v/>
      </c>
      <c r="I67" s="167">
        <f>I35</f>
        <v/>
      </c>
    </row>
    <row r="68" ht="14.4" customHeight="1" s="152">
      <c r="A68" s="167" t="n">
        <v>67</v>
      </c>
      <c r="B68" s="167">
        <f>B36</f>
        <v/>
      </c>
      <c r="C68" s="167">
        <f>IF(H68="",F68,LEFT(F68,H68-1))</f>
        <v/>
      </c>
      <c r="D68" s="167" t="inlineStr">
        <is>
          <t>WR</t>
        </is>
      </c>
      <c r="E68" s="167">
        <f>IF(H68&lt;&gt;"",RIGHT(F68,LEN(F68)-H68-2),"")</f>
        <v/>
      </c>
      <c r="F68" s="167">
        <f>VLOOKUP(I68,$J:$S,G68,0)</f>
        <v/>
      </c>
      <c r="G68" s="167">
        <f>G36+1</f>
        <v/>
      </c>
      <c r="H68" s="167">
        <f>IFERROR(FIND(" - ",F68),"")</f>
        <v/>
      </c>
      <c r="I68" s="167">
        <f>I36</f>
        <v/>
      </c>
    </row>
    <row r="69" ht="14.4" customHeight="1" s="152">
      <c r="A69" s="167" t="n">
        <v>68</v>
      </c>
      <c r="B69" s="167">
        <f>B37</f>
        <v/>
      </c>
      <c r="C69" s="167">
        <f>IF(H69="",F69,LEFT(F69,H69-1))</f>
        <v/>
      </c>
      <c r="D69" s="167" t="inlineStr">
        <is>
          <t>WR</t>
        </is>
      </c>
      <c r="E69" s="167">
        <f>IF(H69&lt;&gt;"",RIGHT(F69,LEN(F69)-H69-2),"")</f>
        <v/>
      </c>
      <c r="F69" s="167">
        <f>VLOOKUP(I69,$J:$S,G69,0)</f>
        <v/>
      </c>
      <c r="G69" s="167">
        <f>G37+1</f>
        <v/>
      </c>
      <c r="H69" s="167">
        <f>IFERROR(FIND(" - ",F69),"")</f>
        <v/>
      </c>
      <c r="I69" s="167">
        <f>I37</f>
        <v/>
      </c>
    </row>
    <row r="70" ht="14.4" customHeight="1" s="152">
      <c r="A70" s="167" t="n">
        <v>69</v>
      </c>
      <c r="B70" s="167">
        <f>B38</f>
        <v/>
      </c>
      <c r="C70" s="167">
        <f>IF(H70="",F70,LEFT(F70,H70-1))</f>
        <v/>
      </c>
      <c r="D70" s="167" t="inlineStr">
        <is>
          <t>WR</t>
        </is>
      </c>
      <c r="E70" s="167">
        <f>IF(H70&lt;&gt;"",RIGHT(F70,LEN(F70)-H70-2),"")</f>
        <v/>
      </c>
      <c r="F70" s="167">
        <f>VLOOKUP(I70,$J:$S,G70,0)</f>
        <v/>
      </c>
      <c r="G70" s="167">
        <f>G38+1</f>
        <v/>
      </c>
      <c r="H70" s="167">
        <f>IFERROR(FIND(" - ",F70),"")</f>
        <v/>
      </c>
      <c r="I70" s="167">
        <f>I38</f>
        <v/>
      </c>
    </row>
    <row r="71" ht="14.4" customHeight="1" s="152">
      <c r="A71" s="167" t="n">
        <v>70</v>
      </c>
      <c r="B71" s="167">
        <f>B39</f>
        <v/>
      </c>
      <c r="C71" s="167">
        <f>IF(H71="",F71,LEFT(F71,H71-1))</f>
        <v/>
      </c>
      <c r="D71" s="167" t="inlineStr">
        <is>
          <t>WR</t>
        </is>
      </c>
      <c r="E71" s="167">
        <f>IF(H71&lt;&gt;"",RIGHT(F71,LEN(F71)-H71-2),"")</f>
        <v/>
      </c>
      <c r="F71" s="167">
        <f>VLOOKUP(I71,$J:$S,G71,0)</f>
        <v/>
      </c>
      <c r="G71" s="167">
        <f>G39+1</f>
        <v/>
      </c>
      <c r="H71" s="167">
        <f>IFERROR(FIND(" - ",F71),"")</f>
        <v/>
      </c>
      <c r="I71" s="167">
        <f>I39</f>
        <v/>
      </c>
    </row>
    <row r="72" ht="14.4" customHeight="1" s="152">
      <c r="A72" s="167" t="n">
        <v>71</v>
      </c>
      <c r="B72" s="167">
        <f>B40</f>
        <v/>
      </c>
      <c r="C72" s="167">
        <f>IF(H72="",F72,LEFT(F72,H72-1))</f>
        <v/>
      </c>
      <c r="D72" s="167" t="inlineStr">
        <is>
          <t>WR</t>
        </is>
      </c>
      <c r="E72" s="167">
        <f>IF(H72&lt;&gt;"",RIGHT(F72,LEN(F72)-H72-2),"")</f>
        <v/>
      </c>
      <c r="F72" s="167">
        <f>VLOOKUP(I72,$J:$S,G72,0)</f>
        <v/>
      </c>
      <c r="G72" s="167">
        <f>G40+1</f>
        <v/>
      </c>
      <c r="H72" s="167">
        <f>IFERROR(FIND(" - ",F72),"")</f>
        <v/>
      </c>
      <c r="I72" s="167">
        <f>I40</f>
        <v/>
      </c>
    </row>
    <row r="73" ht="14.4" customHeight="1" s="152">
      <c r="A73" s="167" t="n">
        <v>72</v>
      </c>
      <c r="B73" s="167">
        <f>B41</f>
        <v/>
      </c>
      <c r="C73" s="167">
        <f>IF(H73="",F73,LEFT(F73,H73-1))</f>
        <v/>
      </c>
      <c r="D73" s="167" t="inlineStr">
        <is>
          <t>WR</t>
        </is>
      </c>
      <c r="E73" s="167">
        <f>IF(H73&lt;&gt;"",RIGHT(F73,LEN(F73)-H73-2),"")</f>
        <v/>
      </c>
      <c r="F73" s="167">
        <f>VLOOKUP(I73,$J:$S,G73,0)</f>
        <v/>
      </c>
      <c r="G73" s="167">
        <f>G41+1</f>
        <v/>
      </c>
      <c r="H73" s="167">
        <f>IFERROR(FIND(" - ",F73),"")</f>
        <v/>
      </c>
      <c r="I73" s="167">
        <f>I41</f>
        <v/>
      </c>
    </row>
    <row r="74" ht="14.4" customHeight="1" s="152">
      <c r="A74" s="167" t="n">
        <v>73</v>
      </c>
      <c r="B74" s="167">
        <f>B42</f>
        <v/>
      </c>
      <c r="C74" s="167">
        <f>IF(H74="",F74,LEFT(F74,H74-1))</f>
        <v/>
      </c>
      <c r="D74" s="167" t="inlineStr">
        <is>
          <t>WR</t>
        </is>
      </c>
      <c r="E74" s="167">
        <f>IF(H74&lt;&gt;"",RIGHT(F74,LEN(F74)-H74-2),"")</f>
        <v/>
      </c>
      <c r="F74" s="167">
        <f>VLOOKUP(I74,$J:$S,G74,0)</f>
        <v/>
      </c>
      <c r="G74" s="167">
        <f>G42+1</f>
        <v/>
      </c>
      <c r="H74" s="167">
        <f>IFERROR(FIND(" - ",F74),"")</f>
        <v/>
      </c>
      <c r="I74" s="167">
        <f>I42</f>
        <v/>
      </c>
    </row>
    <row r="75" ht="14.4" customHeight="1" s="152">
      <c r="A75" s="167" t="n">
        <v>74</v>
      </c>
      <c r="B75" s="167">
        <f>B43</f>
        <v/>
      </c>
      <c r="C75" s="167">
        <f>IF(H75="",F75,LEFT(F75,H75-1))</f>
        <v/>
      </c>
      <c r="D75" s="167" t="inlineStr">
        <is>
          <t>WR</t>
        </is>
      </c>
      <c r="E75" s="167">
        <f>IF(H75&lt;&gt;"",RIGHT(F75,LEN(F75)-H75-2),"")</f>
        <v/>
      </c>
      <c r="F75" s="167">
        <f>VLOOKUP(I75,$J:$S,G75,0)</f>
        <v/>
      </c>
      <c r="G75" s="167">
        <f>G43+1</f>
        <v/>
      </c>
      <c r="H75" s="167">
        <f>IFERROR(FIND(" - ",F75),"")</f>
        <v/>
      </c>
      <c r="I75" s="167">
        <f>I43</f>
        <v/>
      </c>
    </row>
    <row r="76" ht="14.4" customHeight="1" s="152">
      <c r="A76" s="167" t="n">
        <v>75</v>
      </c>
      <c r="B76" s="167">
        <f>B44</f>
        <v/>
      </c>
      <c r="C76" s="167">
        <f>IF(H76="",F76,LEFT(F76,H76-1))</f>
        <v/>
      </c>
      <c r="D76" s="167" t="inlineStr">
        <is>
          <t>WR</t>
        </is>
      </c>
      <c r="E76" s="167">
        <f>IF(H76&lt;&gt;"",RIGHT(F76,LEN(F76)-H76-2),"")</f>
        <v/>
      </c>
      <c r="F76" s="167">
        <f>VLOOKUP(I76,$J:$S,G76,0)</f>
        <v/>
      </c>
      <c r="G76" s="167">
        <f>G44+1</f>
        <v/>
      </c>
      <c r="H76" s="167">
        <f>IFERROR(FIND(" - ",F76),"")</f>
        <v/>
      </c>
      <c r="I76" s="167">
        <f>I44</f>
        <v/>
      </c>
    </row>
    <row r="77" ht="14.4" customHeight="1" s="152">
      <c r="A77" s="167" t="n">
        <v>76</v>
      </c>
      <c r="B77" s="167">
        <f>B45</f>
        <v/>
      </c>
      <c r="C77" s="167">
        <f>IF(H77="",F77,LEFT(F77,H77-1))</f>
        <v/>
      </c>
      <c r="D77" s="167" t="inlineStr">
        <is>
          <t>WR</t>
        </is>
      </c>
      <c r="E77" s="167">
        <f>IF(H77&lt;&gt;"",RIGHT(F77,LEN(F77)-H77-2),"")</f>
        <v/>
      </c>
      <c r="F77" s="167">
        <f>VLOOKUP(I77,$J:$S,G77,0)</f>
        <v/>
      </c>
      <c r="G77" s="167">
        <f>G45+1</f>
        <v/>
      </c>
      <c r="H77" s="167">
        <f>IFERROR(FIND(" - ",F77),"")</f>
        <v/>
      </c>
      <c r="I77" s="167">
        <f>I45</f>
        <v/>
      </c>
    </row>
    <row r="78" ht="14.4" customHeight="1" s="152">
      <c r="A78" s="167" t="n">
        <v>77</v>
      </c>
      <c r="B78" s="167">
        <f>B46</f>
        <v/>
      </c>
      <c r="C78" s="167">
        <f>IF(H78="",F78,LEFT(F78,H78-1))</f>
        <v/>
      </c>
      <c r="D78" s="167" t="inlineStr">
        <is>
          <t>WR</t>
        </is>
      </c>
      <c r="E78" s="167">
        <f>IF(H78&lt;&gt;"",RIGHT(F78,LEN(F78)-H78-2),"")</f>
        <v/>
      </c>
      <c r="F78" s="167">
        <f>VLOOKUP(I78,$J:$S,G78,0)</f>
        <v/>
      </c>
      <c r="G78" s="167">
        <f>G46+1</f>
        <v/>
      </c>
      <c r="H78" s="167">
        <f>IFERROR(FIND(" - ",F78),"")</f>
        <v/>
      </c>
      <c r="I78" s="167">
        <f>I46</f>
        <v/>
      </c>
    </row>
    <row r="79" ht="14.4" customHeight="1" s="152">
      <c r="A79" s="167" t="n">
        <v>78</v>
      </c>
      <c r="B79" s="167">
        <f>B47</f>
        <v/>
      </c>
      <c r="C79" s="167">
        <f>IF(H79="",F79,LEFT(F79,H79-1))</f>
        <v/>
      </c>
      <c r="D79" s="167" t="inlineStr">
        <is>
          <t>WR</t>
        </is>
      </c>
      <c r="E79" s="167">
        <f>IF(H79&lt;&gt;"",RIGHT(F79,LEN(F79)-H79-2),"")</f>
        <v/>
      </c>
      <c r="F79" s="167">
        <f>VLOOKUP(I79,$J:$S,G79,0)</f>
        <v/>
      </c>
      <c r="G79" s="167">
        <f>G47+1</f>
        <v/>
      </c>
      <c r="H79" s="167">
        <f>IFERROR(FIND(" - ",F79),"")</f>
        <v/>
      </c>
      <c r="I79" s="167">
        <f>I47</f>
        <v/>
      </c>
    </row>
    <row r="80" ht="14.4" customHeight="1" s="152">
      <c r="A80" s="167" t="n">
        <v>79</v>
      </c>
      <c r="B80" s="167">
        <f>B48</f>
        <v/>
      </c>
      <c r="C80" s="167">
        <f>IF(H80="",F80,LEFT(F80,H80-1))</f>
        <v/>
      </c>
      <c r="D80" s="167" t="inlineStr">
        <is>
          <t>WR</t>
        </is>
      </c>
      <c r="E80" s="167">
        <f>IF(H80&lt;&gt;"",RIGHT(F80,LEN(F80)-H80-2),"")</f>
        <v/>
      </c>
      <c r="F80" s="167">
        <f>VLOOKUP(I80,$J:$S,G80,0)</f>
        <v/>
      </c>
      <c r="G80" s="167">
        <f>G48+1</f>
        <v/>
      </c>
      <c r="H80" s="167">
        <f>IFERROR(FIND(" - ",F80),"")</f>
        <v/>
      </c>
      <c r="I80" s="167">
        <f>I48</f>
        <v/>
      </c>
    </row>
    <row r="81" ht="14.4" customHeight="1" s="152">
      <c r="A81" s="167" t="n">
        <v>80</v>
      </c>
      <c r="B81" s="167">
        <f>B49</f>
        <v/>
      </c>
      <c r="C81" s="167">
        <f>IF(H81="",F81,LEFT(F81,H81-1))</f>
        <v/>
      </c>
      <c r="D81" s="167" t="inlineStr">
        <is>
          <t>WR</t>
        </is>
      </c>
      <c r="E81" s="167">
        <f>IF(H81&lt;&gt;"",RIGHT(F81,LEN(F81)-H81-2),"")</f>
        <v/>
      </c>
      <c r="F81" s="167">
        <f>VLOOKUP(I81,$J:$S,G81,0)</f>
        <v/>
      </c>
      <c r="G81" s="167">
        <f>G49+1</f>
        <v/>
      </c>
      <c r="H81" s="167">
        <f>IFERROR(FIND(" - ",F81),"")</f>
        <v/>
      </c>
      <c r="I81" s="167">
        <f>I49</f>
        <v/>
      </c>
    </row>
    <row r="82" ht="14.4" customHeight="1" s="152">
      <c r="A82" s="167" t="n">
        <v>81</v>
      </c>
      <c r="B82" s="167">
        <f>B50</f>
        <v/>
      </c>
      <c r="C82" s="167">
        <f>IF(H82="",F82,LEFT(F82,H82-1))</f>
        <v/>
      </c>
      <c r="D82" s="167" t="inlineStr">
        <is>
          <t>WR</t>
        </is>
      </c>
      <c r="E82" s="167">
        <f>IF(H82&lt;&gt;"",RIGHT(F82,LEN(F82)-H82-2),"")</f>
        <v/>
      </c>
      <c r="F82" s="167">
        <f>VLOOKUP(I82,$J:$S,G82,0)</f>
        <v/>
      </c>
      <c r="G82" s="167">
        <f>G50+1</f>
        <v/>
      </c>
      <c r="H82" s="167">
        <f>IFERROR(FIND(" - ",F82),"")</f>
        <v/>
      </c>
      <c r="I82" s="167">
        <f>I50</f>
        <v/>
      </c>
    </row>
    <row r="83" ht="14.4" customHeight="1" s="152">
      <c r="A83" s="167" t="n">
        <v>82</v>
      </c>
      <c r="B83" s="167">
        <f>B51</f>
        <v/>
      </c>
      <c r="C83" s="167">
        <f>IF(H83="",F83,LEFT(F83,H83-1))</f>
        <v/>
      </c>
      <c r="D83" s="167" t="inlineStr">
        <is>
          <t>WR</t>
        </is>
      </c>
      <c r="E83" s="167">
        <f>IF(H83&lt;&gt;"",RIGHT(F83,LEN(F83)-H83-2),"")</f>
        <v/>
      </c>
      <c r="F83" s="167">
        <f>VLOOKUP(I83,$J:$S,G83,0)</f>
        <v/>
      </c>
      <c r="G83" s="167">
        <f>G51+1</f>
        <v/>
      </c>
      <c r="H83" s="167">
        <f>IFERROR(FIND(" - ",F83),"")</f>
        <v/>
      </c>
      <c r="I83" s="167">
        <f>I51</f>
        <v/>
      </c>
    </row>
    <row r="84" ht="14.4" customHeight="1" s="152">
      <c r="A84" s="167" t="n">
        <v>83</v>
      </c>
      <c r="B84" s="167">
        <f>B52</f>
        <v/>
      </c>
      <c r="C84" s="167">
        <f>IF(H84="",F84,LEFT(F84,H84-1))</f>
        <v/>
      </c>
      <c r="D84" s="167" t="inlineStr">
        <is>
          <t>WR</t>
        </is>
      </c>
      <c r="E84" s="167">
        <f>IF(H84&lt;&gt;"",RIGHT(F84,LEN(F84)-H84-2),"")</f>
        <v/>
      </c>
      <c r="F84" s="167">
        <f>VLOOKUP(I84,$J:$S,G84,0)</f>
        <v/>
      </c>
      <c r="G84" s="167">
        <f>G52+1</f>
        <v/>
      </c>
      <c r="H84" s="167">
        <f>IFERROR(FIND(" - ",F84),"")</f>
        <v/>
      </c>
      <c r="I84" s="167">
        <f>I52</f>
        <v/>
      </c>
    </row>
    <row r="85" ht="14.4" customHeight="1" s="152">
      <c r="A85" s="167" t="n">
        <v>84</v>
      </c>
      <c r="B85" s="167">
        <f>B53</f>
        <v/>
      </c>
      <c r="C85" s="167">
        <f>IF(H85="",F85,LEFT(F85,H85-1))</f>
        <v/>
      </c>
      <c r="D85" s="167" t="inlineStr">
        <is>
          <t>WR</t>
        </is>
      </c>
      <c r="E85" s="167">
        <f>IF(H85&lt;&gt;"",RIGHT(F85,LEN(F85)-H85-2),"")</f>
        <v/>
      </c>
      <c r="F85" s="167">
        <f>VLOOKUP(I85,$J:$S,G85,0)</f>
        <v/>
      </c>
      <c r="G85" s="167">
        <f>G53+1</f>
        <v/>
      </c>
      <c r="H85" s="167">
        <f>IFERROR(FIND(" - ",F85),"")</f>
        <v/>
      </c>
      <c r="I85" s="167">
        <f>I53</f>
        <v/>
      </c>
    </row>
    <row r="86" ht="14.4" customHeight="1" s="152">
      <c r="A86" s="167" t="n">
        <v>85</v>
      </c>
      <c r="B86" s="167">
        <f>B54</f>
        <v/>
      </c>
      <c r="C86" s="167">
        <f>IF(H86="",F86,LEFT(F86,H86-1))</f>
        <v/>
      </c>
      <c r="D86" s="167" t="inlineStr">
        <is>
          <t>WR</t>
        </is>
      </c>
      <c r="E86" s="167">
        <f>IF(H86&lt;&gt;"",RIGHT(F86,LEN(F86)-H86-2),"")</f>
        <v/>
      </c>
      <c r="F86" s="167">
        <f>VLOOKUP(I86,$J:$S,G86,0)</f>
        <v/>
      </c>
      <c r="G86" s="167">
        <f>G54+1</f>
        <v/>
      </c>
      <c r="H86" s="167">
        <f>IFERROR(FIND(" - ",F86),"")</f>
        <v/>
      </c>
      <c r="I86" s="167">
        <f>I54</f>
        <v/>
      </c>
    </row>
    <row r="87" ht="14.4" customHeight="1" s="152">
      <c r="A87" s="167" t="n">
        <v>86</v>
      </c>
      <c r="B87" s="167">
        <f>B55</f>
        <v/>
      </c>
      <c r="C87" s="167">
        <f>IF(H87="",F87,LEFT(F87,H87-1))</f>
        <v/>
      </c>
      <c r="D87" s="167" t="inlineStr">
        <is>
          <t>WR</t>
        </is>
      </c>
      <c r="E87" s="167">
        <f>IF(H87&lt;&gt;"",RIGHT(F87,LEN(F87)-H87-2),"")</f>
        <v/>
      </c>
      <c r="F87" s="167">
        <f>VLOOKUP(I87,$J:$S,G87,0)</f>
        <v/>
      </c>
      <c r="G87" s="167">
        <f>G55+1</f>
        <v/>
      </c>
      <c r="H87" s="167">
        <f>IFERROR(FIND(" - ",F87),"")</f>
        <v/>
      </c>
      <c r="I87" s="167">
        <f>I55</f>
        <v/>
      </c>
    </row>
    <row r="88" ht="14.4" customHeight="1" s="152">
      <c r="A88" s="167" t="n">
        <v>87</v>
      </c>
      <c r="B88" s="167">
        <f>B56</f>
        <v/>
      </c>
      <c r="C88" s="167">
        <f>IF(H88="",F88,LEFT(F88,H88-1))</f>
        <v/>
      </c>
      <c r="D88" s="167" t="inlineStr">
        <is>
          <t>WR</t>
        </is>
      </c>
      <c r="E88" s="167">
        <f>IF(H88&lt;&gt;"",RIGHT(F88,LEN(F88)-H88-2),"")</f>
        <v/>
      </c>
      <c r="F88" s="167">
        <f>VLOOKUP(I88,$J:$S,G88,0)</f>
        <v/>
      </c>
      <c r="G88" s="167">
        <f>G56+1</f>
        <v/>
      </c>
      <c r="H88" s="167">
        <f>IFERROR(FIND(" - ",F88),"")</f>
        <v/>
      </c>
      <c r="I88" s="167">
        <f>I56</f>
        <v/>
      </c>
    </row>
    <row r="89" ht="14.4" customHeight="1" s="152">
      <c r="A89" s="167" t="n">
        <v>88</v>
      </c>
      <c r="B89" s="167">
        <f>B57</f>
        <v/>
      </c>
      <c r="C89" s="167">
        <f>IF(H89="",F89,LEFT(F89,H89-1))</f>
        <v/>
      </c>
      <c r="D89" s="167" t="inlineStr">
        <is>
          <t>WR</t>
        </is>
      </c>
      <c r="E89" s="167">
        <f>IF(H89&lt;&gt;"",RIGHT(F89,LEN(F89)-H89-2),"")</f>
        <v/>
      </c>
      <c r="F89" s="167">
        <f>VLOOKUP(I89,$J:$S,G89,0)</f>
        <v/>
      </c>
      <c r="G89" s="167">
        <f>G57+1</f>
        <v/>
      </c>
      <c r="H89" s="167">
        <f>IFERROR(FIND(" - ",F89),"")</f>
        <v/>
      </c>
      <c r="I89" s="167">
        <f>I57</f>
        <v/>
      </c>
    </row>
    <row r="90" ht="14.4" customHeight="1" s="152">
      <c r="A90" s="167" t="n">
        <v>89</v>
      </c>
      <c r="B90" s="167">
        <f>B58</f>
        <v/>
      </c>
      <c r="C90" s="167">
        <f>IF(H90="",F90,LEFT(F90,H90-1))</f>
        <v/>
      </c>
      <c r="D90" s="167" t="inlineStr">
        <is>
          <t>WR</t>
        </is>
      </c>
      <c r="E90" s="167">
        <f>IF(H90&lt;&gt;"",RIGHT(F90,LEN(F90)-H90-2),"")</f>
        <v/>
      </c>
      <c r="F90" s="167">
        <f>VLOOKUP(I90,$J:$S,G90,0)</f>
        <v/>
      </c>
      <c r="G90" s="167">
        <f>G58+1</f>
        <v/>
      </c>
      <c r="H90" s="167">
        <f>IFERROR(FIND(" - ",F90),"")</f>
        <v/>
      </c>
      <c r="I90" s="167">
        <f>I58</f>
        <v/>
      </c>
    </row>
    <row r="91" ht="14.4" customHeight="1" s="152">
      <c r="A91" s="167" t="n">
        <v>90</v>
      </c>
      <c r="B91" s="167">
        <f>B59</f>
        <v/>
      </c>
      <c r="C91" s="167">
        <f>IF(H91="",F91,LEFT(F91,H91-1))</f>
        <v/>
      </c>
      <c r="D91" s="167" t="inlineStr">
        <is>
          <t>WR</t>
        </is>
      </c>
      <c r="E91" s="167">
        <f>IF(H91&lt;&gt;"",RIGHT(F91,LEN(F91)-H91-2),"")</f>
        <v/>
      </c>
      <c r="F91" s="167">
        <f>VLOOKUP(I91,$J:$S,G91,0)</f>
        <v/>
      </c>
      <c r="G91" s="167">
        <f>G59+1</f>
        <v/>
      </c>
      <c r="H91" s="167">
        <f>IFERROR(FIND(" - ",F91),"")</f>
        <v/>
      </c>
      <c r="I91" s="167">
        <f>I59</f>
        <v/>
      </c>
    </row>
    <row r="92" ht="14.4" customHeight="1" s="152">
      <c r="A92" s="167" t="n">
        <v>91</v>
      </c>
      <c r="B92" s="167">
        <f>B60</f>
        <v/>
      </c>
      <c r="C92" s="167">
        <f>IF(H92="",F92,LEFT(F92,H92-1))</f>
        <v/>
      </c>
      <c r="D92" s="167" t="inlineStr">
        <is>
          <t>WR</t>
        </is>
      </c>
      <c r="E92" s="167">
        <f>IF(H92&lt;&gt;"",RIGHT(F92,LEN(F92)-H92-2),"")</f>
        <v/>
      </c>
      <c r="F92" s="167">
        <f>VLOOKUP(I92,$J:$S,G92,0)</f>
        <v/>
      </c>
      <c r="G92" s="167">
        <f>G60+1</f>
        <v/>
      </c>
      <c r="H92" s="167">
        <f>IFERROR(FIND(" - ",F92),"")</f>
        <v/>
      </c>
      <c r="I92" s="167">
        <f>I60</f>
        <v/>
      </c>
    </row>
    <row r="93" ht="14.4" customHeight="1" s="152">
      <c r="A93" s="167" t="n">
        <v>92</v>
      </c>
      <c r="B93" s="167">
        <f>B61</f>
        <v/>
      </c>
      <c r="C93" s="167">
        <f>IF(H93="",F93,LEFT(F93,H93-1))</f>
        <v/>
      </c>
      <c r="D93" s="167" t="inlineStr">
        <is>
          <t>WR</t>
        </is>
      </c>
      <c r="E93" s="167">
        <f>IF(H93&lt;&gt;"",RIGHT(F93,LEN(F93)-H93-2),"")</f>
        <v/>
      </c>
      <c r="F93" s="167">
        <f>VLOOKUP(I93,$J:$S,G93,0)</f>
        <v/>
      </c>
      <c r="G93" s="167">
        <f>G61+1</f>
        <v/>
      </c>
      <c r="H93" s="167">
        <f>IFERROR(FIND(" - ",F93),"")</f>
        <v/>
      </c>
      <c r="I93" s="167">
        <f>I61</f>
        <v/>
      </c>
    </row>
    <row r="94" ht="14.4" customHeight="1" s="152">
      <c r="A94" s="167" t="n">
        <v>93</v>
      </c>
      <c r="B94" s="167">
        <f>B62</f>
        <v/>
      </c>
      <c r="C94" s="167">
        <f>IF(H94="",F94,LEFT(F94,H94-1))</f>
        <v/>
      </c>
      <c r="D94" s="167" t="inlineStr">
        <is>
          <t>WR</t>
        </is>
      </c>
      <c r="E94" s="167">
        <f>IF(H94&lt;&gt;"",RIGHT(F94,LEN(F94)-H94-2),"")</f>
        <v/>
      </c>
      <c r="F94" s="167">
        <f>VLOOKUP(I94,$J:$S,G94,0)</f>
        <v/>
      </c>
      <c r="G94" s="167">
        <f>G62+1</f>
        <v/>
      </c>
      <c r="H94" s="167">
        <f>IFERROR(FIND(" - ",F94),"")</f>
        <v/>
      </c>
      <c r="I94" s="167">
        <f>I62</f>
        <v/>
      </c>
    </row>
    <row r="95" ht="14.4" customHeight="1" s="152">
      <c r="A95" s="167" t="n">
        <v>94</v>
      </c>
      <c r="B95" s="167">
        <f>B63</f>
        <v/>
      </c>
      <c r="C95" s="167">
        <f>IF(H95="",F95,LEFT(F95,H95-1))</f>
        <v/>
      </c>
      <c r="D95" s="167" t="inlineStr">
        <is>
          <t>WR</t>
        </is>
      </c>
      <c r="E95" s="167">
        <f>IF(H95&lt;&gt;"",RIGHT(F95,LEN(F95)-H95-2),"")</f>
        <v/>
      </c>
      <c r="F95" s="167">
        <f>VLOOKUP(I95,$J:$S,G95,0)</f>
        <v/>
      </c>
      <c r="G95" s="167">
        <f>G63+1</f>
        <v/>
      </c>
      <c r="H95" s="167">
        <f>IFERROR(FIND(" - ",F95),"")</f>
        <v/>
      </c>
      <c r="I95" s="167">
        <f>I63</f>
        <v/>
      </c>
    </row>
    <row r="96" ht="14.4" customHeight="1" s="152">
      <c r="A96" s="167" t="n">
        <v>95</v>
      </c>
      <c r="B96" s="167">
        <f>B64</f>
        <v/>
      </c>
      <c r="C96" s="167">
        <f>IF(H96="",F96,LEFT(F96,H96-1))</f>
        <v/>
      </c>
      <c r="D96" s="167" t="inlineStr">
        <is>
          <t>WR</t>
        </is>
      </c>
      <c r="E96" s="167">
        <f>IF(H96&lt;&gt;"",RIGHT(F96,LEN(F96)-H96-2),"")</f>
        <v/>
      </c>
      <c r="F96" s="167">
        <f>VLOOKUP(I96,$J:$S,G96,0)</f>
        <v/>
      </c>
      <c r="G96" s="167">
        <f>G64+1</f>
        <v/>
      </c>
      <c r="H96" s="167">
        <f>IFERROR(FIND(" - ",F96),"")</f>
        <v/>
      </c>
      <c r="I96" s="167">
        <f>I64</f>
        <v/>
      </c>
    </row>
    <row r="97" ht="14.4" customHeight="1" s="152">
      <c r="A97" s="167" t="n">
        <v>96</v>
      </c>
      <c r="B97" s="167">
        <f>B65</f>
        <v/>
      </c>
      <c r="C97" s="167">
        <f>IF(H97="",F97,LEFT(F97,H97-1))</f>
        <v/>
      </c>
      <c r="D97" s="167" t="inlineStr">
        <is>
          <t>WR</t>
        </is>
      </c>
      <c r="E97" s="167">
        <f>IF(H97&lt;&gt;"",RIGHT(F97,LEN(F97)-H97-2),"")</f>
        <v/>
      </c>
      <c r="F97" s="167">
        <f>VLOOKUP(I97,$J:$S,G97,0)</f>
        <v/>
      </c>
      <c r="G97" s="167">
        <f>G65+1</f>
        <v/>
      </c>
      <c r="H97" s="167">
        <f>IFERROR(FIND(" - ",F97),"")</f>
        <v/>
      </c>
      <c r="I97" s="167">
        <f>I65</f>
        <v/>
      </c>
    </row>
    <row r="98" ht="14.4" customHeight="1" s="152">
      <c r="A98" s="167" t="n">
        <v>97</v>
      </c>
      <c r="B98" s="167">
        <f>B66</f>
        <v/>
      </c>
      <c r="C98" s="167">
        <f>IF(H98="",F98,LEFT(F98,H98-1))</f>
        <v/>
      </c>
      <c r="D98" s="167" t="inlineStr">
        <is>
          <t>WR</t>
        </is>
      </c>
      <c r="E98" s="167">
        <f>IF(H98&lt;&gt;"",RIGHT(F98,LEN(F98)-H98-2),"")</f>
        <v/>
      </c>
      <c r="F98" s="167">
        <f>VLOOKUP(I98,$J:$S,G98,0)</f>
        <v/>
      </c>
      <c r="G98" s="167">
        <f>G66+1</f>
        <v/>
      </c>
      <c r="H98" s="167">
        <f>IFERROR(FIND(" - ",F98),"")</f>
        <v/>
      </c>
      <c r="I98" s="167">
        <f>I66</f>
        <v/>
      </c>
    </row>
    <row r="99" ht="14.4" customHeight="1" s="152">
      <c r="A99" s="167" t="n">
        <v>98</v>
      </c>
      <c r="B99" s="167">
        <f>B67</f>
        <v/>
      </c>
      <c r="C99" s="167">
        <f>IF(H99="",F99,LEFT(F99,H99-1))</f>
        <v/>
      </c>
      <c r="D99" s="167" t="inlineStr">
        <is>
          <t>WR</t>
        </is>
      </c>
      <c r="E99" s="167">
        <f>IF(H99&lt;&gt;"",RIGHT(F99,LEN(F99)-H99-2),"")</f>
        <v/>
      </c>
      <c r="F99" s="167">
        <f>VLOOKUP(I99,$J:$S,G99,0)</f>
        <v/>
      </c>
      <c r="G99" s="167">
        <f>G67+1</f>
        <v/>
      </c>
      <c r="H99" s="167">
        <f>IFERROR(FIND(" - ",F99),"")</f>
        <v/>
      </c>
      <c r="I99" s="167">
        <f>I67</f>
        <v/>
      </c>
    </row>
    <row r="100" ht="14.4" customHeight="1" s="152">
      <c r="A100" s="167" t="n">
        <v>99</v>
      </c>
      <c r="B100" s="167">
        <f>B68</f>
        <v/>
      </c>
      <c r="C100" s="167">
        <f>IF(H100="",F100,LEFT(F100,H100-1))</f>
        <v/>
      </c>
      <c r="D100" s="167" t="inlineStr">
        <is>
          <t>WR</t>
        </is>
      </c>
      <c r="E100" s="167">
        <f>IF(H100&lt;&gt;"",RIGHT(F100,LEN(F100)-H100-2),"")</f>
        <v/>
      </c>
      <c r="F100" s="167">
        <f>VLOOKUP(I100,$J:$S,G100,0)</f>
        <v/>
      </c>
      <c r="G100" s="167">
        <f>G68+1</f>
        <v/>
      </c>
      <c r="H100" s="167">
        <f>IFERROR(FIND(" - ",F100),"")</f>
        <v/>
      </c>
      <c r="I100" s="167">
        <f>I68</f>
        <v/>
      </c>
    </row>
    <row r="101" ht="14.4" customHeight="1" s="152">
      <c r="A101" s="167" t="n">
        <v>100</v>
      </c>
      <c r="B101" s="167">
        <f>B69</f>
        <v/>
      </c>
      <c r="C101" s="167">
        <f>IF(H101="",F101,LEFT(F101,H101-1))</f>
        <v/>
      </c>
      <c r="D101" s="167" t="inlineStr">
        <is>
          <t>WR</t>
        </is>
      </c>
      <c r="E101" s="167">
        <f>IF(H101&lt;&gt;"",RIGHT(F101,LEN(F101)-H101-2),"")</f>
        <v/>
      </c>
      <c r="F101" s="167">
        <f>VLOOKUP(I101,$J:$S,G101,0)</f>
        <v/>
      </c>
      <c r="G101" s="167">
        <f>G69+1</f>
        <v/>
      </c>
      <c r="H101" s="167">
        <f>IFERROR(FIND(" - ",F101),"")</f>
        <v/>
      </c>
      <c r="I101" s="167">
        <f>I69</f>
        <v/>
      </c>
    </row>
    <row r="102" ht="14.4" customHeight="1" s="152">
      <c r="A102" s="167" t="n">
        <v>101</v>
      </c>
      <c r="B102" s="167">
        <f>B70</f>
        <v/>
      </c>
      <c r="C102" s="167">
        <f>IF(H102="",F102,LEFT(F102,H102-1))</f>
        <v/>
      </c>
      <c r="D102" s="167" t="inlineStr">
        <is>
          <t>WR</t>
        </is>
      </c>
      <c r="E102" s="167">
        <f>IF(H102&lt;&gt;"",RIGHT(F102,LEN(F102)-H102-2),"")</f>
        <v/>
      </c>
      <c r="F102" s="167">
        <f>VLOOKUP(I102,$J:$S,G102,0)</f>
        <v/>
      </c>
      <c r="G102" s="167">
        <f>G70+1</f>
        <v/>
      </c>
      <c r="H102" s="167">
        <f>IFERROR(FIND(" - ",F102),"")</f>
        <v/>
      </c>
      <c r="I102" s="167">
        <f>I70</f>
        <v/>
      </c>
    </row>
    <row r="103" ht="14.4" customHeight="1" s="152">
      <c r="A103" s="167" t="n">
        <v>102</v>
      </c>
      <c r="B103" s="167">
        <f>B71</f>
        <v/>
      </c>
      <c r="C103" s="167">
        <f>IF(H103="",F103,LEFT(F103,H103-1))</f>
        <v/>
      </c>
      <c r="D103" s="167" t="inlineStr">
        <is>
          <t>WR</t>
        </is>
      </c>
      <c r="E103" s="167">
        <f>IF(H103&lt;&gt;"",RIGHT(F103,LEN(F103)-H103-2),"")</f>
        <v/>
      </c>
      <c r="F103" s="167">
        <f>VLOOKUP(I103,$J:$S,G103,0)</f>
        <v/>
      </c>
      <c r="G103" s="167">
        <f>G71+1</f>
        <v/>
      </c>
      <c r="H103" s="167">
        <f>IFERROR(FIND(" - ",F103),"")</f>
        <v/>
      </c>
      <c r="I103" s="167">
        <f>I71</f>
        <v/>
      </c>
    </row>
    <row r="104" ht="14.4" customHeight="1" s="152">
      <c r="A104" s="167" t="n">
        <v>103</v>
      </c>
      <c r="B104" s="167">
        <f>B72</f>
        <v/>
      </c>
      <c r="C104" s="167">
        <f>IF(H104="",F104,LEFT(F104,H104-1))</f>
        <v/>
      </c>
      <c r="D104" s="167" t="inlineStr">
        <is>
          <t>WR</t>
        </is>
      </c>
      <c r="E104" s="167">
        <f>IF(H104&lt;&gt;"",RIGHT(F104,LEN(F104)-H104-2),"")</f>
        <v/>
      </c>
      <c r="F104" s="167">
        <f>VLOOKUP(I104,$J:$S,G104,0)</f>
        <v/>
      </c>
      <c r="G104" s="167">
        <f>G72+1</f>
        <v/>
      </c>
      <c r="H104" s="167">
        <f>IFERROR(FIND(" - ",F104),"")</f>
        <v/>
      </c>
      <c r="I104" s="167">
        <f>I72</f>
        <v/>
      </c>
    </row>
    <row r="105" ht="14.4" customHeight="1" s="152">
      <c r="A105" s="167" t="n">
        <v>104</v>
      </c>
      <c r="B105" s="167">
        <f>B73</f>
        <v/>
      </c>
      <c r="C105" s="167">
        <f>IF(H105="",F105,LEFT(F105,H105-1))</f>
        <v/>
      </c>
      <c r="D105" s="167" t="inlineStr">
        <is>
          <t>WR</t>
        </is>
      </c>
      <c r="E105" s="167">
        <f>IF(H105&lt;&gt;"",RIGHT(F105,LEN(F105)-H105-2),"")</f>
        <v/>
      </c>
      <c r="F105" s="167">
        <f>VLOOKUP(I105,$J:$S,G105,0)</f>
        <v/>
      </c>
      <c r="G105" s="167">
        <f>G73+1</f>
        <v/>
      </c>
      <c r="H105" s="167">
        <f>IFERROR(FIND(" - ",F105),"")</f>
        <v/>
      </c>
      <c r="I105" s="167">
        <f>I73</f>
        <v/>
      </c>
    </row>
    <row r="106" ht="14.4" customHeight="1" s="152">
      <c r="A106" s="167" t="n">
        <v>105</v>
      </c>
      <c r="B106" s="167">
        <f>B74</f>
        <v/>
      </c>
      <c r="C106" s="167">
        <f>IF(H106="",F106,LEFT(F106,H106-1))</f>
        <v/>
      </c>
      <c r="D106" s="167" t="inlineStr">
        <is>
          <t>WR</t>
        </is>
      </c>
      <c r="E106" s="167">
        <f>IF(H106&lt;&gt;"",RIGHT(F106,LEN(F106)-H106-2),"")</f>
        <v/>
      </c>
      <c r="F106" s="167">
        <f>VLOOKUP(I106,$J:$S,G106,0)</f>
        <v/>
      </c>
      <c r="G106" s="167">
        <f>G74+1</f>
        <v/>
      </c>
      <c r="H106" s="167">
        <f>IFERROR(FIND(" - ",F106),"")</f>
        <v/>
      </c>
      <c r="I106" s="167">
        <f>I74</f>
        <v/>
      </c>
    </row>
    <row r="107" ht="14.4" customHeight="1" s="152">
      <c r="A107" s="167" t="n">
        <v>106</v>
      </c>
      <c r="B107" s="167">
        <f>B75</f>
        <v/>
      </c>
      <c r="C107" s="167">
        <f>IF(H107="",F107,LEFT(F107,H107-1))</f>
        <v/>
      </c>
      <c r="D107" s="167" t="inlineStr">
        <is>
          <t>WR</t>
        </is>
      </c>
      <c r="E107" s="167">
        <f>IF(H107&lt;&gt;"",RIGHT(F107,LEN(F107)-H107-2),"")</f>
        <v/>
      </c>
      <c r="F107" s="167">
        <f>VLOOKUP(I107,$J:$S,G107,0)</f>
        <v/>
      </c>
      <c r="G107" s="167">
        <f>G75+1</f>
        <v/>
      </c>
      <c r="H107" s="167">
        <f>IFERROR(FIND(" - ",F107),"")</f>
        <v/>
      </c>
      <c r="I107" s="167">
        <f>I75</f>
        <v/>
      </c>
    </row>
    <row r="108" ht="14.4" customHeight="1" s="152">
      <c r="A108" s="167" t="n">
        <v>107</v>
      </c>
      <c r="B108" s="167">
        <f>B76</f>
        <v/>
      </c>
      <c r="C108" s="167">
        <f>IF(H108="",F108,LEFT(F108,H108-1))</f>
        <v/>
      </c>
      <c r="D108" s="167" t="inlineStr">
        <is>
          <t>WR</t>
        </is>
      </c>
      <c r="E108" s="167">
        <f>IF(H108&lt;&gt;"",RIGHT(F108,LEN(F108)-H108-2),"")</f>
        <v/>
      </c>
      <c r="F108" s="167">
        <f>VLOOKUP(I108,$J:$S,G108,0)</f>
        <v/>
      </c>
      <c r="G108" s="167">
        <f>G76+1</f>
        <v/>
      </c>
      <c r="H108" s="167">
        <f>IFERROR(FIND(" - ",F108),"")</f>
        <v/>
      </c>
      <c r="I108" s="167">
        <f>I76</f>
        <v/>
      </c>
    </row>
    <row r="109" ht="14.4" customHeight="1" s="152">
      <c r="A109" s="167" t="n">
        <v>108</v>
      </c>
      <c r="B109" s="167">
        <f>B77</f>
        <v/>
      </c>
      <c r="C109" s="167">
        <f>IF(H109="",F109,LEFT(F109,H109-1))</f>
        <v/>
      </c>
      <c r="D109" s="167" t="inlineStr">
        <is>
          <t>WR</t>
        </is>
      </c>
      <c r="E109" s="167">
        <f>IF(H109&lt;&gt;"",RIGHT(F109,LEN(F109)-H109-2),"")</f>
        <v/>
      </c>
      <c r="F109" s="167">
        <f>VLOOKUP(I109,$J:$S,G109,0)</f>
        <v/>
      </c>
      <c r="G109" s="167">
        <f>G77+1</f>
        <v/>
      </c>
      <c r="H109" s="167">
        <f>IFERROR(FIND(" - ",F109),"")</f>
        <v/>
      </c>
      <c r="I109" s="167">
        <f>I77</f>
        <v/>
      </c>
    </row>
    <row r="110" ht="14.4" customHeight="1" s="152">
      <c r="A110" s="167" t="n">
        <v>109</v>
      </c>
      <c r="B110" s="167">
        <f>B78</f>
        <v/>
      </c>
      <c r="C110" s="167">
        <f>IF(H110="",F110,LEFT(F110,H110-1))</f>
        <v/>
      </c>
      <c r="D110" s="167" t="inlineStr">
        <is>
          <t>WR</t>
        </is>
      </c>
      <c r="E110" s="167">
        <f>IF(H110&lt;&gt;"",RIGHT(F110,LEN(F110)-H110-2),"")</f>
        <v/>
      </c>
      <c r="F110" s="167">
        <f>VLOOKUP(I110,$J:$S,G110,0)</f>
        <v/>
      </c>
      <c r="G110" s="167">
        <f>G78+1</f>
        <v/>
      </c>
      <c r="H110" s="167">
        <f>IFERROR(FIND(" - ",F110),"")</f>
        <v/>
      </c>
      <c r="I110" s="167">
        <f>I78</f>
        <v/>
      </c>
    </row>
    <row r="111" ht="14.4" customHeight="1" s="152">
      <c r="A111" s="167" t="n">
        <v>110</v>
      </c>
      <c r="B111" s="167">
        <f>B79</f>
        <v/>
      </c>
      <c r="C111" s="167">
        <f>IF(H111="",F111,LEFT(F111,H111-1))</f>
        <v/>
      </c>
      <c r="D111" s="167" t="inlineStr">
        <is>
          <t>WR</t>
        </is>
      </c>
      <c r="E111" s="167">
        <f>IF(H111&lt;&gt;"",RIGHT(F111,LEN(F111)-H111-2),"")</f>
        <v/>
      </c>
      <c r="F111" s="167">
        <f>VLOOKUP(I111,$J:$S,G111,0)</f>
        <v/>
      </c>
      <c r="G111" s="167">
        <f>G79+1</f>
        <v/>
      </c>
      <c r="H111" s="167">
        <f>IFERROR(FIND(" - ",F111),"")</f>
        <v/>
      </c>
      <c r="I111" s="167">
        <f>I79</f>
        <v/>
      </c>
    </row>
    <row r="112" ht="14.4" customHeight="1" s="152">
      <c r="A112" s="167" t="n">
        <v>111</v>
      </c>
      <c r="B112" s="167">
        <f>B80</f>
        <v/>
      </c>
      <c r="C112" s="167">
        <f>IF(H112="",F112,LEFT(F112,H112-1))</f>
        <v/>
      </c>
      <c r="D112" s="167" t="inlineStr">
        <is>
          <t>WR</t>
        </is>
      </c>
      <c r="E112" s="167">
        <f>IF(H112&lt;&gt;"",RIGHT(F112,LEN(F112)-H112-2),"")</f>
        <v/>
      </c>
      <c r="F112" s="167">
        <f>VLOOKUP(I112,$J:$S,G112,0)</f>
        <v/>
      </c>
      <c r="G112" s="167">
        <f>G80+1</f>
        <v/>
      </c>
      <c r="H112" s="167">
        <f>IFERROR(FIND(" - ",F112),"")</f>
        <v/>
      </c>
      <c r="I112" s="167">
        <f>I80</f>
        <v/>
      </c>
    </row>
    <row r="113" ht="14.4" customHeight="1" s="152">
      <c r="A113" s="167" t="n">
        <v>112</v>
      </c>
      <c r="B113" s="167">
        <f>B81</f>
        <v/>
      </c>
      <c r="C113" s="167">
        <f>IF(H113="",F113,LEFT(F113,H113-1))</f>
        <v/>
      </c>
      <c r="D113" s="167" t="inlineStr">
        <is>
          <t>WR</t>
        </is>
      </c>
      <c r="E113" s="167">
        <f>IF(H113&lt;&gt;"",RIGHT(F113,LEN(F113)-H113-2),"")</f>
        <v/>
      </c>
      <c r="F113" s="167">
        <f>VLOOKUP(I113,$J:$S,G113,0)</f>
        <v/>
      </c>
      <c r="G113" s="167">
        <f>G81+1</f>
        <v/>
      </c>
      <c r="H113" s="167">
        <f>IFERROR(FIND(" - ",F113),"")</f>
        <v/>
      </c>
      <c r="I113" s="167">
        <f>I81</f>
        <v/>
      </c>
    </row>
    <row r="114" ht="14.4" customHeight="1" s="152">
      <c r="A114" s="167" t="n">
        <v>113</v>
      </c>
      <c r="B114" s="167">
        <f>B82</f>
        <v/>
      </c>
      <c r="C114" s="167">
        <f>IF(H114="",F114,LEFT(F114,H114-1))</f>
        <v/>
      </c>
      <c r="D114" s="167" t="inlineStr">
        <is>
          <t>WR</t>
        </is>
      </c>
      <c r="E114" s="167">
        <f>IF(H114&lt;&gt;"",RIGHT(F114,LEN(F114)-H114-2),"")</f>
        <v/>
      </c>
      <c r="F114" s="167">
        <f>VLOOKUP(I114,$J:$S,G114,0)</f>
        <v/>
      </c>
      <c r="G114" s="167">
        <f>G82+1</f>
        <v/>
      </c>
      <c r="H114" s="167">
        <f>IFERROR(FIND(" - ",F114),"")</f>
        <v/>
      </c>
      <c r="I114" s="167">
        <f>I82</f>
        <v/>
      </c>
    </row>
    <row r="115" ht="14.4" customHeight="1" s="152">
      <c r="A115" s="167" t="n">
        <v>114</v>
      </c>
      <c r="B115" s="167">
        <f>B83</f>
        <v/>
      </c>
      <c r="C115" s="167">
        <f>IF(H115="",F115,LEFT(F115,H115-1))</f>
        <v/>
      </c>
      <c r="D115" s="167" t="inlineStr">
        <is>
          <t>WR</t>
        </is>
      </c>
      <c r="E115" s="167">
        <f>IF(H115&lt;&gt;"",RIGHT(F115,LEN(F115)-H115-2),"")</f>
        <v/>
      </c>
      <c r="F115" s="167">
        <f>VLOOKUP(I115,$J:$S,G115,0)</f>
        <v/>
      </c>
      <c r="G115" s="167">
        <f>G83+1</f>
        <v/>
      </c>
      <c r="H115" s="167">
        <f>IFERROR(FIND(" - ",F115),"")</f>
        <v/>
      </c>
      <c r="I115" s="167">
        <f>I83</f>
        <v/>
      </c>
    </row>
    <row r="116" ht="14.4" customHeight="1" s="152">
      <c r="A116" s="167" t="n">
        <v>115</v>
      </c>
      <c r="B116" s="167">
        <f>B84</f>
        <v/>
      </c>
      <c r="C116" s="167">
        <f>IF(H116="",F116,LEFT(F116,H116-1))</f>
        <v/>
      </c>
      <c r="D116" s="167" t="inlineStr">
        <is>
          <t>WR</t>
        </is>
      </c>
      <c r="E116" s="167">
        <f>IF(H116&lt;&gt;"",RIGHT(F116,LEN(F116)-H116-2),"")</f>
        <v/>
      </c>
      <c r="F116" s="167">
        <f>VLOOKUP(I116,$J:$S,G116,0)</f>
        <v/>
      </c>
      <c r="G116" s="167">
        <f>G84+1</f>
        <v/>
      </c>
      <c r="H116" s="167">
        <f>IFERROR(FIND(" - ",F116),"")</f>
        <v/>
      </c>
      <c r="I116" s="167">
        <f>I84</f>
        <v/>
      </c>
    </row>
    <row r="117" ht="14.4" customHeight="1" s="152">
      <c r="A117" s="167" t="n">
        <v>116</v>
      </c>
      <c r="B117" s="167">
        <f>B85</f>
        <v/>
      </c>
      <c r="C117" s="167">
        <f>IF(H117="",F117,LEFT(F117,H117-1))</f>
        <v/>
      </c>
      <c r="D117" s="167" t="inlineStr">
        <is>
          <t>WR</t>
        </is>
      </c>
      <c r="E117" s="167">
        <f>IF(H117&lt;&gt;"",RIGHT(F117,LEN(F117)-H117-2),"")</f>
        <v/>
      </c>
      <c r="F117" s="167">
        <f>VLOOKUP(I117,$J:$S,G117,0)</f>
        <v/>
      </c>
      <c r="G117" s="167">
        <f>G85+1</f>
        <v/>
      </c>
      <c r="H117" s="167">
        <f>IFERROR(FIND(" - ",F117),"")</f>
        <v/>
      </c>
      <c r="I117" s="167">
        <f>I85</f>
        <v/>
      </c>
    </row>
    <row r="118" ht="14.4" customHeight="1" s="152">
      <c r="A118" s="167" t="n">
        <v>117</v>
      </c>
      <c r="B118" s="167">
        <f>B86</f>
        <v/>
      </c>
      <c r="C118" s="167">
        <f>IF(H118="",F118,LEFT(F118,H118-1))</f>
        <v/>
      </c>
      <c r="D118" s="167" t="inlineStr">
        <is>
          <t>WR</t>
        </is>
      </c>
      <c r="E118" s="167">
        <f>IF(H118&lt;&gt;"",RIGHT(F118,LEN(F118)-H118-2),"")</f>
        <v/>
      </c>
      <c r="F118" s="167">
        <f>VLOOKUP(I118,$J:$S,G118,0)</f>
        <v/>
      </c>
      <c r="G118" s="167">
        <f>G86+1</f>
        <v/>
      </c>
      <c r="H118" s="167">
        <f>IFERROR(FIND(" - ",F118),"")</f>
        <v/>
      </c>
      <c r="I118" s="167">
        <f>I86</f>
        <v/>
      </c>
    </row>
    <row r="119" ht="14.4" customHeight="1" s="152">
      <c r="A119" s="167" t="n">
        <v>118</v>
      </c>
      <c r="B119" s="167">
        <f>B87</f>
        <v/>
      </c>
      <c r="C119" s="167">
        <f>IF(H119="",F119,LEFT(F119,H119-1))</f>
        <v/>
      </c>
      <c r="D119" s="167" t="inlineStr">
        <is>
          <t>WR</t>
        </is>
      </c>
      <c r="E119" s="167">
        <f>IF(H119&lt;&gt;"",RIGHT(F119,LEN(F119)-H119-2),"")</f>
        <v/>
      </c>
      <c r="F119" s="167">
        <f>VLOOKUP(I119,$J:$S,G119,0)</f>
        <v/>
      </c>
      <c r="G119" s="167">
        <f>G87+1</f>
        <v/>
      </c>
      <c r="H119" s="167">
        <f>IFERROR(FIND(" - ",F119),"")</f>
        <v/>
      </c>
      <c r="I119" s="167">
        <f>I87</f>
        <v/>
      </c>
    </row>
    <row r="120" ht="14.4" customHeight="1" s="152">
      <c r="A120" s="167" t="n">
        <v>119</v>
      </c>
      <c r="B120" s="167">
        <f>B88</f>
        <v/>
      </c>
      <c r="C120" s="167">
        <f>IF(H120="",F120,LEFT(F120,H120-1))</f>
        <v/>
      </c>
      <c r="D120" s="167" t="inlineStr">
        <is>
          <t>WR</t>
        </is>
      </c>
      <c r="E120" s="167">
        <f>IF(H120&lt;&gt;"",RIGHT(F120,LEN(F120)-H120-2),"")</f>
        <v/>
      </c>
      <c r="F120" s="167">
        <f>VLOOKUP(I120,$J:$S,G120,0)</f>
        <v/>
      </c>
      <c r="G120" s="167">
        <f>G88+1</f>
        <v/>
      </c>
      <c r="H120" s="167">
        <f>IFERROR(FIND(" - ",F120),"")</f>
        <v/>
      </c>
      <c r="I120" s="167">
        <f>I88</f>
        <v/>
      </c>
    </row>
    <row r="121" ht="14.4" customHeight="1" s="152">
      <c r="A121" s="167" t="n">
        <v>120</v>
      </c>
      <c r="B121" s="167">
        <f>B89</f>
        <v/>
      </c>
      <c r="C121" s="167">
        <f>IF(H121="",F121,LEFT(F121,H121-1))</f>
        <v/>
      </c>
      <c r="D121" s="167" t="inlineStr">
        <is>
          <t>WR</t>
        </is>
      </c>
      <c r="E121" s="167">
        <f>IF(H121&lt;&gt;"",RIGHT(F121,LEN(F121)-H121-2),"")</f>
        <v/>
      </c>
      <c r="F121" s="167">
        <f>VLOOKUP(I121,$J:$S,G121,0)</f>
        <v/>
      </c>
      <c r="G121" s="167">
        <f>G89+1</f>
        <v/>
      </c>
      <c r="H121" s="167">
        <f>IFERROR(FIND(" - ",F121),"")</f>
        <v/>
      </c>
      <c r="I121" s="167">
        <f>I89</f>
        <v/>
      </c>
    </row>
    <row r="122" ht="14.4" customHeight="1" s="152">
      <c r="A122" s="167" t="n">
        <v>121</v>
      </c>
      <c r="B122" s="167">
        <f>B90</f>
        <v/>
      </c>
      <c r="C122" s="167">
        <f>IF(H122="",F122,LEFT(F122,H122-1))</f>
        <v/>
      </c>
      <c r="D122" s="167" t="inlineStr">
        <is>
          <t>WR</t>
        </is>
      </c>
      <c r="E122" s="167">
        <f>IF(H122&lt;&gt;"",RIGHT(F122,LEN(F122)-H122-2),"")</f>
        <v/>
      </c>
      <c r="F122" s="167">
        <f>VLOOKUP(I122,$J:$S,G122,0)</f>
        <v/>
      </c>
      <c r="G122" s="167">
        <f>G90+1</f>
        <v/>
      </c>
      <c r="H122" s="167">
        <f>IFERROR(FIND(" - ",F122),"")</f>
        <v/>
      </c>
      <c r="I122" s="167">
        <f>I90</f>
        <v/>
      </c>
    </row>
    <row r="123" ht="14.4" customHeight="1" s="152">
      <c r="A123" s="167" t="n">
        <v>122</v>
      </c>
      <c r="B123" s="167">
        <f>B91</f>
        <v/>
      </c>
      <c r="C123" s="167">
        <f>IF(H123="",F123,LEFT(F123,H123-1))</f>
        <v/>
      </c>
      <c r="D123" s="167" t="inlineStr">
        <is>
          <t>WR</t>
        </is>
      </c>
      <c r="E123" s="167">
        <f>IF(H123&lt;&gt;"",RIGHT(F123,LEN(F123)-H123-2),"")</f>
        <v/>
      </c>
      <c r="F123" s="167">
        <f>VLOOKUP(I123,$J:$S,G123,0)</f>
        <v/>
      </c>
      <c r="G123" s="167">
        <f>G91+1</f>
        <v/>
      </c>
      <c r="H123" s="167">
        <f>IFERROR(FIND(" - ",F123),"")</f>
        <v/>
      </c>
      <c r="I123" s="167">
        <f>I91</f>
        <v/>
      </c>
    </row>
    <row r="124" ht="14.4" customHeight="1" s="152">
      <c r="A124" s="167" t="n">
        <v>123</v>
      </c>
      <c r="B124" s="167">
        <f>B92</f>
        <v/>
      </c>
      <c r="C124" s="167">
        <f>IF(H124="",F124,LEFT(F124,H124-1))</f>
        <v/>
      </c>
      <c r="D124" s="167" t="inlineStr">
        <is>
          <t>WR</t>
        </is>
      </c>
      <c r="E124" s="167">
        <f>IF(H124&lt;&gt;"",RIGHT(F124,LEN(F124)-H124-2),"")</f>
        <v/>
      </c>
      <c r="F124" s="167">
        <f>VLOOKUP(I124,$J:$S,G124,0)</f>
        <v/>
      </c>
      <c r="G124" s="167">
        <f>G92+1</f>
        <v/>
      </c>
      <c r="H124" s="167">
        <f>IFERROR(FIND(" - ",F124),"")</f>
        <v/>
      </c>
      <c r="I124" s="167">
        <f>I92</f>
        <v/>
      </c>
    </row>
    <row r="125" ht="14.4" customHeight="1" s="152">
      <c r="A125" s="167" t="n">
        <v>124</v>
      </c>
      <c r="B125" s="167">
        <f>B93</f>
        <v/>
      </c>
      <c r="C125" s="167">
        <f>IF(H125="",F125,LEFT(F125,H125-1))</f>
        <v/>
      </c>
      <c r="D125" s="167" t="inlineStr">
        <is>
          <t>WR</t>
        </is>
      </c>
      <c r="E125" s="167">
        <f>IF(H125&lt;&gt;"",RIGHT(F125,LEN(F125)-H125-2),"")</f>
        <v/>
      </c>
      <c r="F125" s="167">
        <f>VLOOKUP(I125,$J:$S,G125,0)</f>
        <v/>
      </c>
      <c r="G125" s="167">
        <f>G93+1</f>
        <v/>
      </c>
      <c r="H125" s="167">
        <f>IFERROR(FIND(" - ",F125),"")</f>
        <v/>
      </c>
      <c r="I125" s="167">
        <f>I93</f>
        <v/>
      </c>
    </row>
    <row r="126" ht="14.4" customHeight="1" s="152">
      <c r="A126" s="167" t="n">
        <v>125</v>
      </c>
      <c r="B126" s="167">
        <f>B94</f>
        <v/>
      </c>
      <c r="C126" s="167">
        <f>IF(H126="",F126,LEFT(F126,H126-1))</f>
        <v/>
      </c>
      <c r="D126" s="167" t="inlineStr">
        <is>
          <t>WR</t>
        </is>
      </c>
      <c r="E126" s="167">
        <f>IF(H126&lt;&gt;"",RIGHT(F126,LEN(F126)-H126-2),"")</f>
        <v/>
      </c>
      <c r="F126" s="167">
        <f>VLOOKUP(I126,$J:$S,G126,0)</f>
        <v/>
      </c>
      <c r="G126" s="167">
        <f>G94+1</f>
        <v/>
      </c>
      <c r="H126" s="167">
        <f>IFERROR(FIND(" - ",F126),"")</f>
        <v/>
      </c>
      <c r="I126" s="167">
        <f>I94</f>
        <v/>
      </c>
    </row>
    <row r="127" ht="14.4" customHeight="1" s="152">
      <c r="A127" s="167" t="n">
        <v>126</v>
      </c>
      <c r="B127" s="167">
        <f>B95</f>
        <v/>
      </c>
      <c r="C127" s="167">
        <f>IF(H127="",F127,LEFT(F127,H127-1))</f>
        <v/>
      </c>
      <c r="D127" s="167" t="inlineStr">
        <is>
          <t>WR</t>
        </is>
      </c>
      <c r="E127" s="167">
        <f>IF(H127&lt;&gt;"",RIGHT(F127,LEN(F127)-H127-2),"")</f>
        <v/>
      </c>
      <c r="F127" s="167">
        <f>VLOOKUP(I127,$J:$S,G127,0)</f>
        <v/>
      </c>
      <c r="G127" s="167">
        <f>G95+1</f>
        <v/>
      </c>
      <c r="H127" s="167">
        <f>IFERROR(FIND(" - ",F127),"")</f>
        <v/>
      </c>
      <c r="I127" s="167">
        <f>I95</f>
        <v/>
      </c>
    </row>
    <row r="128" ht="14.4" customHeight="1" s="152">
      <c r="A128" s="167" t="n">
        <v>127</v>
      </c>
      <c r="B128" s="167">
        <f>B96</f>
        <v/>
      </c>
      <c r="C128" s="167">
        <f>IF(H128="",F128,LEFT(F128,H128-1))</f>
        <v/>
      </c>
      <c r="D128" s="167" t="inlineStr">
        <is>
          <t>WR</t>
        </is>
      </c>
      <c r="E128" s="167">
        <f>IF(H128&lt;&gt;"",RIGHT(F128,LEN(F128)-H128-2),"")</f>
        <v/>
      </c>
      <c r="F128" s="167">
        <f>VLOOKUP(I128,$J:$S,G128,0)</f>
        <v/>
      </c>
      <c r="G128" s="167">
        <f>G96+1</f>
        <v/>
      </c>
      <c r="H128" s="167">
        <f>IFERROR(FIND(" - ",F128),"")</f>
        <v/>
      </c>
      <c r="I128" s="167">
        <f>I96</f>
        <v/>
      </c>
    </row>
    <row r="129" ht="14.4" customHeight="1" s="152">
      <c r="A129" s="167" t="n">
        <v>128</v>
      </c>
      <c r="B129" s="167">
        <f>B97</f>
        <v/>
      </c>
      <c r="C129" s="167">
        <f>IF(H129="",F129,LEFT(F129,H129-1))</f>
        <v/>
      </c>
      <c r="D129" s="167" t="inlineStr">
        <is>
          <t>WR</t>
        </is>
      </c>
      <c r="E129" s="167">
        <f>IF(H129&lt;&gt;"",RIGHT(F129,LEN(F129)-H129-2),"")</f>
        <v/>
      </c>
      <c r="F129" s="167">
        <f>VLOOKUP(I129,$J:$S,G129,0)</f>
        <v/>
      </c>
      <c r="G129" s="167">
        <f>G97+1</f>
        <v/>
      </c>
      <c r="H129" s="167">
        <f>IFERROR(FIND(" - ",F129),"")</f>
        <v/>
      </c>
      <c r="I129" s="167">
        <f>I97</f>
        <v/>
      </c>
    </row>
    <row r="130" ht="14.4" customHeight="1" s="152">
      <c r="A130" s="167" t="n">
        <v>129</v>
      </c>
      <c r="B130" s="167">
        <f>B98</f>
        <v/>
      </c>
      <c r="C130" s="167">
        <f>IF(H130="",F130,LEFT(F130,H130-1))</f>
        <v/>
      </c>
      <c r="D130" s="167" t="inlineStr">
        <is>
          <t>WR</t>
        </is>
      </c>
      <c r="E130" s="167">
        <f>IF(H130&lt;&gt;"",RIGHT(F130,LEN(F130)-H130-2),"")</f>
        <v/>
      </c>
      <c r="F130" s="167">
        <f>VLOOKUP(I130,$J:$S,G130,0)</f>
        <v/>
      </c>
      <c r="G130" s="167">
        <f>G98+1</f>
        <v/>
      </c>
      <c r="H130" s="167">
        <f>IFERROR(FIND(" - ",F130),"")</f>
        <v/>
      </c>
      <c r="I130" s="167">
        <f>I98</f>
        <v/>
      </c>
    </row>
    <row r="131" ht="14.4" customHeight="1" s="152">
      <c r="A131" s="167" t="n">
        <v>130</v>
      </c>
      <c r="B131" s="167">
        <f>B99</f>
        <v/>
      </c>
      <c r="C131" s="167">
        <f>IF(H131="",F131,LEFT(F131,H131-1))</f>
        <v/>
      </c>
      <c r="D131" s="167" t="inlineStr">
        <is>
          <t>WR</t>
        </is>
      </c>
      <c r="E131" s="167">
        <f>IF(H131&lt;&gt;"",RIGHT(F131,LEN(F131)-H131-2),"")</f>
        <v/>
      </c>
      <c r="F131" s="167">
        <f>VLOOKUP(I131,$J:$S,G131,0)</f>
        <v/>
      </c>
      <c r="G131" s="167">
        <f>G99+1</f>
        <v/>
      </c>
      <c r="H131" s="167">
        <f>IFERROR(FIND(" - ",F131),"")</f>
        <v/>
      </c>
      <c r="I131" s="167">
        <f>I99</f>
        <v/>
      </c>
    </row>
    <row r="132" ht="14.4" customHeight="1" s="152">
      <c r="A132" s="167" t="n">
        <v>131</v>
      </c>
      <c r="B132" s="167">
        <f>B100</f>
        <v/>
      </c>
      <c r="C132" s="167">
        <f>IF(H132="",F132,LEFT(F132,H132-1))</f>
        <v/>
      </c>
      <c r="D132" s="167" t="inlineStr">
        <is>
          <t>WR</t>
        </is>
      </c>
      <c r="E132" s="167">
        <f>IF(H132&lt;&gt;"",RIGHT(F132,LEN(F132)-H132-2),"")</f>
        <v/>
      </c>
      <c r="F132" s="167">
        <f>VLOOKUP(I132,$J:$S,G132,0)</f>
        <v/>
      </c>
      <c r="G132" s="167">
        <f>G100+1</f>
        <v/>
      </c>
      <c r="H132" s="167">
        <f>IFERROR(FIND(" - ",F132),"")</f>
        <v/>
      </c>
      <c r="I132" s="167">
        <f>I100</f>
        <v/>
      </c>
    </row>
    <row r="133" ht="14.4" customHeight="1" s="152">
      <c r="A133" s="167" t="n">
        <v>132</v>
      </c>
      <c r="B133" s="167">
        <f>B101</f>
        <v/>
      </c>
      <c r="C133" s="167">
        <f>IF(H133="",F133,LEFT(F133,H133-1))</f>
        <v/>
      </c>
      <c r="D133" s="167" t="inlineStr">
        <is>
          <t>WR</t>
        </is>
      </c>
      <c r="E133" s="167">
        <f>IF(H133&lt;&gt;"",RIGHT(F133,LEN(F133)-H133-2),"")</f>
        <v/>
      </c>
      <c r="F133" s="167">
        <f>VLOOKUP(I133,$J:$S,G133,0)</f>
        <v/>
      </c>
      <c r="G133" s="167">
        <f>G101+1</f>
        <v/>
      </c>
      <c r="H133" s="167">
        <f>IFERROR(FIND(" - ",F133),"")</f>
        <v/>
      </c>
      <c r="I133" s="167">
        <f>I101</f>
        <v/>
      </c>
    </row>
    <row r="134" ht="14.4" customHeight="1" s="152">
      <c r="A134" s="167" t="n">
        <v>133</v>
      </c>
      <c r="B134" s="167">
        <f>B102</f>
        <v/>
      </c>
      <c r="C134" s="167">
        <f>IF(H134="",F134,LEFT(F134,H134-1))</f>
        <v/>
      </c>
      <c r="D134" s="167" t="inlineStr">
        <is>
          <t>WR</t>
        </is>
      </c>
      <c r="E134" s="167">
        <f>IF(H134&lt;&gt;"",RIGHT(F134,LEN(F134)-H134-2),"")</f>
        <v/>
      </c>
      <c r="F134" s="167">
        <f>VLOOKUP(I134,$J:$S,G134,0)</f>
        <v/>
      </c>
      <c r="G134" s="167">
        <f>G102+1</f>
        <v/>
      </c>
      <c r="H134" s="167">
        <f>IFERROR(FIND(" - ",F134),"")</f>
        <v/>
      </c>
      <c r="I134" s="167">
        <f>I102</f>
        <v/>
      </c>
    </row>
    <row r="135" ht="14.4" customHeight="1" s="152">
      <c r="A135" s="167" t="n">
        <v>134</v>
      </c>
      <c r="B135" s="167">
        <f>B103</f>
        <v/>
      </c>
      <c r="C135" s="167">
        <f>IF(H135="",F135,LEFT(F135,H135-1))</f>
        <v/>
      </c>
      <c r="D135" s="167" t="inlineStr">
        <is>
          <t>WR</t>
        </is>
      </c>
      <c r="E135" s="167">
        <f>IF(H135&lt;&gt;"",RIGHT(F135,LEN(F135)-H135-2),"")</f>
        <v/>
      </c>
      <c r="F135" s="167">
        <f>VLOOKUP(I135,$J:$S,G135,0)</f>
        <v/>
      </c>
      <c r="G135" s="167">
        <f>G103+1</f>
        <v/>
      </c>
      <c r="H135" s="167">
        <f>IFERROR(FIND(" - ",F135),"")</f>
        <v/>
      </c>
      <c r="I135" s="167">
        <f>I103</f>
        <v/>
      </c>
    </row>
    <row r="136" ht="14.4" customHeight="1" s="152">
      <c r="A136" s="167" t="n">
        <v>135</v>
      </c>
      <c r="B136" s="167">
        <f>B104</f>
        <v/>
      </c>
      <c r="C136" s="167">
        <f>IF(H136="",F136,LEFT(F136,H136-1))</f>
        <v/>
      </c>
      <c r="D136" s="167" t="inlineStr">
        <is>
          <t>WR</t>
        </is>
      </c>
      <c r="E136" s="167">
        <f>IF(H136&lt;&gt;"",RIGHT(F136,LEN(F136)-H136-2),"")</f>
        <v/>
      </c>
      <c r="F136" s="167">
        <f>VLOOKUP(I136,$J:$S,G136,0)</f>
        <v/>
      </c>
      <c r="G136" s="167">
        <f>G104+1</f>
        <v/>
      </c>
      <c r="H136" s="167">
        <f>IFERROR(FIND(" - ",F136),"")</f>
        <v/>
      </c>
      <c r="I136" s="167">
        <f>I104</f>
        <v/>
      </c>
    </row>
    <row r="137" ht="14.4" customHeight="1" s="152">
      <c r="A137" s="167" t="n">
        <v>136</v>
      </c>
      <c r="B137" s="167">
        <f>B105</f>
        <v/>
      </c>
      <c r="C137" s="167">
        <f>IF(H137="",F137,LEFT(F137,H137-1))</f>
        <v/>
      </c>
      <c r="D137" s="167" t="inlineStr">
        <is>
          <t>WR</t>
        </is>
      </c>
      <c r="E137" s="167">
        <f>IF(H137&lt;&gt;"",RIGHT(F137,LEN(F137)-H137-2),"")</f>
        <v/>
      </c>
      <c r="F137" s="167">
        <f>VLOOKUP(I137,$J:$S,G137,0)</f>
        <v/>
      </c>
      <c r="G137" s="167">
        <f>G105+1</f>
        <v/>
      </c>
      <c r="H137" s="167">
        <f>IFERROR(FIND(" - ",F137),"")</f>
        <v/>
      </c>
      <c r="I137" s="167">
        <f>I105</f>
        <v/>
      </c>
    </row>
    <row r="138" ht="14.4" customHeight="1" s="152">
      <c r="A138" s="167" t="n">
        <v>137</v>
      </c>
      <c r="B138" s="167">
        <f>B106</f>
        <v/>
      </c>
      <c r="C138" s="167">
        <f>IF(H138="",F138,LEFT(F138,H138-1))</f>
        <v/>
      </c>
      <c r="D138" s="167" t="inlineStr">
        <is>
          <t>WR</t>
        </is>
      </c>
      <c r="E138" s="167">
        <f>IF(H138&lt;&gt;"",RIGHT(F138,LEN(F138)-H138-2),"")</f>
        <v/>
      </c>
      <c r="F138" s="167">
        <f>VLOOKUP(I138,$J:$S,G138,0)</f>
        <v/>
      </c>
      <c r="G138" s="167">
        <f>G106+1</f>
        <v/>
      </c>
      <c r="H138" s="167">
        <f>IFERROR(FIND(" - ",F138),"")</f>
        <v/>
      </c>
      <c r="I138" s="167">
        <f>I106</f>
        <v/>
      </c>
    </row>
    <row r="139" ht="14.4" customHeight="1" s="152">
      <c r="A139" s="167" t="n">
        <v>138</v>
      </c>
      <c r="B139" s="167">
        <f>B107</f>
        <v/>
      </c>
      <c r="C139" s="167">
        <f>IF(H139="",F139,LEFT(F139,H139-1))</f>
        <v/>
      </c>
      <c r="D139" s="167" t="inlineStr">
        <is>
          <t>WR</t>
        </is>
      </c>
      <c r="E139" s="167">
        <f>IF(H139&lt;&gt;"",RIGHT(F139,LEN(F139)-H139-2),"")</f>
        <v/>
      </c>
      <c r="F139" s="167">
        <f>VLOOKUP(I139,$J:$S,G139,0)</f>
        <v/>
      </c>
      <c r="G139" s="167">
        <f>G107+1</f>
        <v/>
      </c>
      <c r="H139" s="167">
        <f>IFERROR(FIND(" - ",F139),"")</f>
        <v/>
      </c>
      <c r="I139" s="167">
        <f>I107</f>
        <v/>
      </c>
    </row>
    <row r="140" ht="14.4" customHeight="1" s="152">
      <c r="A140" s="167" t="n">
        <v>139</v>
      </c>
      <c r="B140" s="167">
        <f>B108</f>
        <v/>
      </c>
      <c r="C140" s="167">
        <f>IF(H140="",F140,LEFT(F140,H140-1))</f>
        <v/>
      </c>
      <c r="D140" s="167" t="inlineStr">
        <is>
          <t>WR</t>
        </is>
      </c>
      <c r="E140" s="167">
        <f>IF(H140&lt;&gt;"",RIGHT(F140,LEN(F140)-H140-2),"")</f>
        <v/>
      </c>
      <c r="F140" s="167">
        <f>VLOOKUP(I140,$J:$S,G140,0)</f>
        <v/>
      </c>
      <c r="G140" s="167">
        <f>G108+1</f>
        <v/>
      </c>
      <c r="H140" s="167">
        <f>IFERROR(FIND(" - ",F140),"")</f>
        <v/>
      </c>
      <c r="I140" s="167">
        <f>I108</f>
        <v/>
      </c>
    </row>
    <row r="141" ht="14.4" customHeight="1" s="152">
      <c r="A141" s="167" t="n">
        <v>140</v>
      </c>
      <c r="B141" s="167">
        <f>B109</f>
        <v/>
      </c>
      <c r="C141" s="167">
        <f>IF(H141="",F141,LEFT(F141,H141-1))</f>
        <v/>
      </c>
      <c r="D141" s="167" t="inlineStr">
        <is>
          <t>WR</t>
        </is>
      </c>
      <c r="E141" s="167">
        <f>IF(H141&lt;&gt;"",RIGHT(F141,LEN(F141)-H141-2),"")</f>
        <v/>
      </c>
      <c r="F141" s="167">
        <f>VLOOKUP(I141,$J:$S,G141,0)</f>
        <v/>
      </c>
      <c r="G141" s="167">
        <f>G109+1</f>
        <v/>
      </c>
      <c r="H141" s="167">
        <f>IFERROR(FIND(" - ",F141),"")</f>
        <v/>
      </c>
      <c r="I141" s="167">
        <f>I109</f>
        <v/>
      </c>
    </row>
    <row r="142" ht="14.4" customHeight="1" s="152">
      <c r="A142" s="167" t="n">
        <v>141</v>
      </c>
      <c r="B142" s="167">
        <f>B110</f>
        <v/>
      </c>
      <c r="C142" s="167">
        <f>IF(H142="",F142,LEFT(F142,H142-1))</f>
        <v/>
      </c>
      <c r="D142" s="167" t="inlineStr">
        <is>
          <t>WR</t>
        </is>
      </c>
      <c r="E142" s="167">
        <f>IF(H142&lt;&gt;"",RIGHT(F142,LEN(F142)-H142-2),"")</f>
        <v/>
      </c>
      <c r="F142" s="167">
        <f>VLOOKUP(I142,$J:$S,G142,0)</f>
        <v/>
      </c>
      <c r="G142" s="167">
        <f>G110+1</f>
        <v/>
      </c>
      <c r="H142" s="167">
        <f>IFERROR(FIND(" - ",F142),"")</f>
        <v/>
      </c>
      <c r="I142" s="167">
        <f>I110</f>
        <v/>
      </c>
    </row>
    <row r="143" ht="14.4" customHeight="1" s="152">
      <c r="A143" s="167" t="n">
        <v>142</v>
      </c>
      <c r="B143" s="167">
        <f>B111</f>
        <v/>
      </c>
      <c r="C143" s="167">
        <f>IF(H143="",F143,LEFT(F143,H143-1))</f>
        <v/>
      </c>
      <c r="D143" s="167" t="inlineStr">
        <is>
          <t>WR</t>
        </is>
      </c>
      <c r="E143" s="167">
        <f>IF(H143&lt;&gt;"",RIGHT(F143,LEN(F143)-H143-2),"")</f>
        <v/>
      </c>
      <c r="F143" s="167">
        <f>VLOOKUP(I143,$J:$S,G143,0)</f>
        <v/>
      </c>
      <c r="G143" s="167">
        <f>G111+1</f>
        <v/>
      </c>
      <c r="H143" s="167">
        <f>IFERROR(FIND(" - ",F143),"")</f>
        <v/>
      </c>
      <c r="I143" s="167">
        <f>I111</f>
        <v/>
      </c>
    </row>
    <row r="144" ht="14.4" customHeight="1" s="152">
      <c r="A144" s="167" t="n">
        <v>143</v>
      </c>
      <c r="B144" s="167">
        <f>B112</f>
        <v/>
      </c>
      <c r="C144" s="167">
        <f>IF(H144="",F144,LEFT(F144,H144-1))</f>
        <v/>
      </c>
      <c r="D144" s="167" t="inlineStr">
        <is>
          <t>WR</t>
        </is>
      </c>
      <c r="E144" s="167">
        <f>IF(H144&lt;&gt;"",RIGHT(F144,LEN(F144)-H144-2),"")</f>
        <v/>
      </c>
      <c r="F144" s="167">
        <f>VLOOKUP(I144,$J:$S,G144,0)</f>
        <v/>
      </c>
      <c r="G144" s="167">
        <f>G112+1</f>
        <v/>
      </c>
      <c r="H144" s="167">
        <f>IFERROR(FIND(" - ",F144),"")</f>
        <v/>
      </c>
      <c r="I144" s="167">
        <f>I112</f>
        <v/>
      </c>
    </row>
    <row r="145" ht="14.4" customHeight="1" s="152">
      <c r="A145" s="167" t="n">
        <v>144</v>
      </c>
      <c r="B145" s="167">
        <f>B113</f>
        <v/>
      </c>
      <c r="C145" s="167">
        <f>IF(H145="",F145,LEFT(F145,H145-1))</f>
        <v/>
      </c>
      <c r="D145" s="167" t="inlineStr">
        <is>
          <t>WR</t>
        </is>
      </c>
      <c r="E145" s="167">
        <f>IF(H145&lt;&gt;"",RIGHT(F145,LEN(F145)-H145-2),"")</f>
        <v/>
      </c>
      <c r="F145" s="167">
        <f>VLOOKUP(I145,$J:$S,G145,0)</f>
        <v/>
      </c>
      <c r="G145" s="167">
        <f>G113+1</f>
        <v/>
      </c>
      <c r="H145" s="167">
        <f>IFERROR(FIND(" - ",F145),"")</f>
        <v/>
      </c>
      <c r="I145" s="167">
        <f>I113</f>
        <v/>
      </c>
    </row>
    <row r="146" ht="14.4" customHeight="1" s="152">
      <c r="A146" s="167" t="n">
        <v>145</v>
      </c>
      <c r="B146" s="167">
        <f>B114</f>
        <v/>
      </c>
      <c r="C146" s="167">
        <f>IF(H146="",F146,LEFT(F146,H146-1))</f>
        <v/>
      </c>
      <c r="D146" s="167" t="inlineStr">
        <is>
          <t>WR</t>
        </is>
      </c>
      <c r="E146" s="167">
        <f>IF(H146&lt;&gt;"",RIGHT(F146,LEN(F146)-H146-2),"")</f>
        <v/>
      </c>
      <c r="F146" s="167">
        <f>VLOOKUP(I146,$J:$S,G146,0)</f>
        <v/>
      </c>
      <c r="G146" s="167">
        <f>G114+1</f>
        <v/>
      </c>
      <c r="H146" s="167">
        <f>IFERROR(FIND(" - ",F146),"")</f>
        <v/>
      </c>
      <c r="I146" s="167">
        <f>I114</f>
        <v/>
      </c>
    </row>
    <row r="147" ht="14.4" customHeight="1" s="152">
      <c r="A147" s="167" t="n">
        <v>146</v>
      </c>
      <c r="B147" s="167">
        <f>B115</f>
        <v/>
      </c>
      <c r="C147" s="167">
        <f>IF(H147="",F147,LEFT(F147,H147-1))</f>
        <v/>
      </c>
      <c r="D147" s="167" t="inlineStr">
        <is>
          <t>WR</t>
        </is>
      </c>
      <c r="E147" s="167">
        <f>IF(H147&lt;&gt;"",RIGHT(F147,LEN(F147)-H147-2),"")</f>
        <v/>
      </c>
      <c r="F147" s="167">
        <f>VLOOKUP(I147,$J:$S,G147,0)</f>
        <v/>
      </c>
      <c r="G147" s="167">
        <f>G115+1</f>
        <v/>
      </c>
      <c r="H147" s="167">
        <f>IFERROR(FIND(" - ",F147),"")</f>
        <v/>
      </c>
      <c r="I147" s="167">
        <f>I115</f>
        <v/>
      </c>
    </row>
    <row r="148" ht="14.4" customHeight="1" s="152">
      <c r="A148" s="167" t="n">
        <v>147</v>
      </c>
      <c r="B148" s="167">
        <f>B116</f>
        <v/>
      </c>
      <c r="C148" s="167">
        <f>IF(H148="",F148,LEFT(F148,H148-1))</f>
        <v/>
      </c>
      <c r="D148" s="167" t="inlineStr">
        <is>
          <t>WR</t>
        </is>
      </c>
      <c r="E148" s="167">
        <f>IF(H148&lt;&gt;"",RIGHT(F148,LEN(F148)-H148-2),"")</f>
        <v/>
      </c>
      <c r="F148" s="167">
        <f>VLOOKUP(I148,$J:$S,G148,0)</f>
        <v/>
      </c>
      <c r="G148" s="167">
        <f>G116+1</f>
        <v/>
      </c>
      <c r="H148" s="167">
        <f>IFERROR(FIND(" - ",F148),"")</f>
        <v/>
      </c>
      <c r="I148" s="167">
        <f>I116</f>
        <v/>
      </c>
    </row>
    <row r="149" ht="14.4" customHeight="1" s="152">
      <c r="A149" s="167" t="n">
        <v>148</v>
      </c>
      <c r="B149" s="167">
        <f>B117</f>
        <v/>
      </c>
      <c r="C149" s="167">
        <f>IF(H149="",F149,LEFT(F149,H149-1))</f>
        <v/>
      </c>
      <c r="D149" s="167" t="inlineStr">
        <is>
          <t>WR</t>
        </is>
      </c>
      <c r="E149" s="167">
        <f>IF(H149&lt;&gt;"",RIGHT(F149,LEN(F149)-H149-2),"")</f>
        <v/>
      </c>
      <c r="F149" s="167">
        <f>VLOOKUP(I149,$J:$S,G149,0)</f>
        <v/>
      </c>
      <c r="G149" s="167">
        <f>G117+1</f>
        <v/>
      </c>
      <c r="H149" s="167">
        <f>IFERROR(FIND(" - ",F149),"")</f>
        <v/>
      </c>
      <c r="I149" s="167">
        <f>I117</f>
        <v/>
      </c>
    </row>
    <row r="150" ht="14.4" customHeight="1" s="152">
      <c r="A150" s="167" t="n">
        <v>149</v>
      </c>
      <c r="B150" s="167">
        <f>B118</f>
        <v/>
      </c>
      <c r="C150" s="167">
        <f>IF(H150="",F150,LEFT(F150,H150-1))</f>
        <v/>
      </c>
      <c r="D150" s="167" t="inlineStr">
        <is>
          <t>WR</t>
        </is>
      </c>
      <c r="E150" s="167">
        <f>IF(H150&lt;&gt;"",RIGHT(F150,LEN(F150)-H150-2),"")</f>
        <v/>
      </c>
      <c r="F150" s="167">
        <f>VLOOKUP(I150,$J:$S,G150,0)</f>
        <v/>
      </c>
      <c r="G150" s="167">
        <f>G118+1</f>
        <v/>
      </c>
      <c r="H150" s="167">
        <f>IFERROR(FIND(" - ",F150),"")</f>
        <v/>
      </c>
      <c r="I150" s="167">
        <f>I118</f>
        <v/>
      </c>
    </row>
    <row r="151" ht="14.4" customHeight="1" s="152">
      <c r="A151" s="167" t="n">
        <v>150</v>
      </c>
      <c r="B151" s="167">
        <f>B119</f>
        <v/>
      </c>
      <c r="C151" s="167">
        <f>IF(H151="",F151,LEFT(F151,H151-1))</f>
        <v/>
      </c>
      <c r="D151" s="167" t="inlineStr">
        <is>
          <t>WR</t>
        </is>
      </c>
      <c r="E151" s="167">
        <f>IF(H151&lt;&gt;"",RIGHT(F151,LEN(F151)-H151-2),"")</f>
        <v/>
      </c>
      <c r="F151" s="167">
        <f>VLOOKUP(I151,$J:$S,G151,0)</f>
        <v/>
      </c>
      <c r="G151" s="167">
        <f>G119+1</f>
        <v/>
      </c>
      <c r="H151" s="167">
        <f>IFERROR(FIND(" - ",F151),"")</f>
        <v/>
      </c>
      <c r="I151" s="167">
        <f>I119</f>
        <v/>
      </c>
    </row>
    <row r="152" ht="14.4" customHeight="1" s="152">
      <c r="A152" s="167" t="n">
        <v>151</v>
      </c>
      <c r="B152" s="167">
        <f>B120</f>
        <v/>
      </c>
      <c r="C152" s="167">
        <f>IF(H152="",F152,LEFT(F152,H152-1))</f>
        <v/>
      </c>
      <c r="D152" s="167" t="inlineStr">
        <is>
          <t>WR</t>
        </is>
      </c>
      <c r="E152" s="167">
        <f>IF(H152&lt;&gt;"",RIGHT(F152,LEN(F152)-H152-2),"")</f>
        <v/>
      </c>
      <c r="F152" s="167">
        <f>VLOOKUP(I152,$J:$S,G152,0)</f>
        <v/>
      </c>
      <c r="G152" s="167">
        <f>G120+1</f>
        <v/>
      </c>
      <c r="H152" s="167">
        <f>IFERROR(FIND(" - ",F152),"")</f>
        <v/>
      </c>
      <c r="I152" s="167">
        <f>I120</f>
        <v/>
      </c>
    </row>
    <row r="153" ht="14.4" customHeight="1" s="152">
      <c r="A153" s="167" t="n">
        <v>152</v>
      </c>
      <c r="B153" s="167">
        <f>B121</f>
        <v/>
      </c>
      <c r="C153" s="167">
        <f>IF(H153="",F153,LEFT(F153,H153-1))</f>
        <v/>
      </c>
      <c r="D153" s="167" t="inlineStr">
        <is>
          <t>WR</t>
        </is>
      </c>
      <c r="E153" s="167">
        <f>IF(H153&lt;&gt;"",RIGHT(F153,LEN(F153)-H153-2),"")</f>
        <v/>
      </c>
      <c r="F153" s="167">
        <f>VLOOKUP(I153,$J:$S,G153,0)</f>
        <v/>
      </c>
      <c r="G153" s="167">
        <f>G121+1</f>
        <v/>
      </c>
      <c r="H153" s="167">
        <f>IFERROR(FIND(" - ",F153),"")</f>
        <v/>
      </c>
      <c r="I153" s="167">
        <f>I121</f>
        <v/>
      </c>
    </row>
    <row r="154" ht="14.4" customHeight="1" s="152">
      <c r="A154" s="167" t="n">
        <v>153</v>
      </c>
      <c r="B154" s="167">
        <f>B122</f>
        <v/>
      </c>
      <c r="C154" s="167">
        <f>IF(H154="",F154,LEFT(F154,H154-1))</f>
        <v/>
      </c>
      <c r="D154" s="167" t="inlineStr">
        <is>
          <t>WR</t>
        </is>
      </c>
      <c r="E154" s="167">
        <f>IF(H154&lt;&gt;"",RIGHT(F154,LEN(F154)-H154-2),"")</f>
        <v/>
      </c>
      <c r="F154" s="167">
        <f>VLOOKUP(I154,$J:$S,G154,0)</f>
        <v/>
      </c>
      <c r="G154" s="167">
        <f>G122+1</f>
        <v/>
      </c>
      <c r="H154" s="167">
        <f>IFERROR(FIND(" - ",F154),"")</f>
        <v/>
      </c>
      <c r="I154" s="167">
        <f>I122</f>
        <v/>
      </c>
    </row>
    <row r="155" ht="14.4" customHeight="1" s="152">
      <c r="A155" s="167" t="n">
        <v>154</v>
      </c>
      <c r="B155" s="167">
        <f>B123</f>
        <v/>
      </c>
      <c r="C155" s="167">
        <f>IF(H155="",F155,LEFT(F155,H155-1))</f>
        <v/>
      </c>
      <c r="D155" s="167" t="inlineStr">
        <is>
          <t>WR</t>
        </is>
      </c>
      <c r="E155" s="167">
        <f>IF(H155&lt;&gt;"",RIGHT(F155,LEN(F155)-H155-2),"")</f>
        <v/>
      </c>
      <c r="F155" s="167">
        <f>VLOOKUP(I155,$J:$S,G155,0)</f>
        <v/>
      </c>
      <c r="G155" s="167">
        <f>G123+1</f>
        <v/>
      </c>
      <c r="H155" s="167">
        <f>IFERROR(FIND(" - ",F155),"")</f>
        <v/>
      </c>
      <c r="I155" s="167">
        <f>I123</f>
        <v/>
      </c>
    </row>
    <row r="156" ht="14.4" customHeight="1" s="152">
      <c r="A156" s="167" t="n">
        <v>155</v>
      </c>
      <c r="B156" s="167">
        <f>B124</f>
        <v/>
      </c>
      <c r="C156" s="167">
        <f>IF(H156="",F156,LEFT(F156,H156-1))</f>
        <v/>
      </c>
      <c r="D156" s="167" t="inlineStr">
        <is>
          <t>WR</t>
        </is>
      </c>
      <c r="E156" s="167">
        <f>IF(H156&lt;&gt;"",RIGHT(F156,LEN(F156)-H156-2),"")</f>
        <v/>
      </c>
      <c r="F156" s="167">
        <f>VLOOKUP(I156,$J:$S,G156,0)</f>
        <v/>
      </c>
      <c r="G156" s="167">
        <f>G124+1</f>
        <v/>
      </c>
      <c r="H156" s="167">
        <f>IFERROR(FIND(" - ",F156),"")</f>
        <v/>
      </c>
      <c r="I156" s="167">
        <f>I124</f>
        <v/>
      </c>
    </row>
    <row r="157" ht="14.4" customHeight="1" s="152">
      <c r="A157" s="167" t="n">
        <v>156</v>
      </c>
      <c r="B157" s="167">
        <f>B125</f>
        <v/>
      </c>
      <c r="C157" s="167">
        <f>IF(H157="",F157,LEFT(F157,H157-1))</f>
        <v/>
      </c>
      <c r="D157" s="167" t="inlineStr">
        <is>
          <t>WR</t>
        </is>
      </c>
      <c r="E157" s="167">
        <f>IF(H157&lt;&gt;"",RIGHT(F157,LEN(F157)-H157-2),"")</f>
        <v/>
      </c>
      <c r="F157" s="167">
        <f>VLOOKUP(I157,$J:$S,G157,0)</f>
        <v/>
      </c>
      <c r="G157" s="167">
        <f>G125+1</f>
        <v/>
      </c>
      <c r="H157" s="167">
        <f>IFERROR(FIND(" - ",F157),"")</f>
        <v/>
      </c>
      <c r="I157" s="167">
        <f>I125</f>
        <v/>
      </c>
    </row>
    <row r="158" ht="14.4" customHeight="1" s="152">
      <c r="A158" s="167" t="n">
        <v>157</v>
      </c>
      <c r="B158" s="167">
        <f>B126</f>
        <v/>
      </c>
      <c r="C158" s="167">
        <f>IF(H158="",F158,LEFT(F158,H158-1))</f>
        <v/>
      </c>
      <c r="D158" s="167" t="inlineStr">
        <is>
          <t>WR</t>
        </is>
      </c>
      <c r="E158" s="167">
        <f>IF(H158&lt;&gt;"",RIGHT(F158,LEN(F158)-H158-2),"")</f>
        <v/>
      </c>
      <c r="F158" s="167">
        <f>VLOOKUP(I158,$J:$S,G158,0)</f>
        <v/>
      </c>
      <c r="G158" s="167">
        <f>G126+1</f>
        <v/>
      </c>
      <c r="H158" s="167">
        <f>IFERROR(FIND(" - ",F158),"")</f>
        <v/>
      </c>
      <c r="I158" s="167">
        <f>I126</f>
        <v/>
      </c>
    </row>
    <row r="159" ht="14.4" customHeight="1" s="152">
      <c r="A159" s="167" t="n">
        <v>158</v>
      </c>
      <c r="B159" s="167">
        <f>B127</f>
        <v/>
      </c>
      <c r="C159" s="167">
        <f>IF(H159="",F159,LEFT(F159,H159-1))</f>
        <v/>
      </c>
      <c r="D159" s="167" t="inlineStr">
        <is>
          <t>WR</t>
        </is>
      </c>
      <c r="E159" s="167">
        <f>IF(H159&lt;&gt;"",RIGHT(F159,LEN(F159)-H159-2),"")</f>
        <v/>
      </c>
      <c r="F159" s="167">
        <f>VLOOKUP(I159,$J:$S,G159,0)</f>
        <v/>
      </c>
      <c r="G159" s="167">
        <f>G127+1</f>
        <v/>
      </c>
      <c r="H159" s="167">
        <f>IFERROR(FIND(" - ",F159),"")</f>
        <v/>
      </c>
      <c r="I159" s="167">
        <f>I127</f>
        <v/>
      </c>
    </row>
    <row r="160" ht="14.4" customHeight="1" s="152">
      <c r="A160" s="167" t="n">
        <v>159</v>
      </c>
      <c r="B160" s="167">
        <f>B128</f>
        <v/>
      </c>
      <c r="C160" s="167">
        <f>IF(H160="",F160,LEFT(F160,H160-1))</f>
        <v/>
      </c>
      <c r="D160" s="167" t="inlineStr">
        <is>
          <t>WR</t>
        </is>
      </c>
      <c r="E160" s="167">
        <f>IF(H160&lt;&gt;"",RIGHT(F160,LEN(F160)-H160-2),"")</f>
        <v/>
      </c>
      <c r="F160" s="167">
        <f>VLOOKUP(I160,$J:$S,G160,0)</f>
        <v/>
      </c>
      <c r="G160" s="167">
        <f>G128+1</f>
        <v/>
      </c>
      <c r="H160" s="167">
        <f>IFERROR(FIND(" - ",F160),"")</f>
        <v/>
      </c>
      <c r="I160" s="167">
        <f>I128</f>
        <v/>
      </c>
    </row>
    <row r="161" ht="14.4" customHeight="1" s="152">
      <c r="A161" s="167" t="n">
        <v>160</v>
      </c>
      <c r="B161" s="167">
        <f>B129</f>
        <v/>
      </c>
      <c r="C161" s="167">
        <f>IF(H161="",F161,LEFT(F161,H161-1))</f>
        <v/>
      </c>
      <c r="D161" s="167" t="inlineStr">
        <is>
          <t>WR</t>
        </is>
      </c>
      <c r="E161" s="167">
        <f>IF(H161&lt;&gt;"",RIGHT(F161,LEN(F161)-H161-2),"")</f>
        <v/>
      </c>
      <c r="F161" s="167">
        <f>VLOOKUP(I161,$J:$S,G161,0)</f>
        <v/>
      </c>
      <c r="G161" s="167">
        <f>G129+1</f>
        <v/>
      </c>
      <c r="H161" s="167">
        <f>IFERROR(FIND(" - ",F161),"")</f>
        <v/>
      </c>
      <c r="I161" s="167">
        <f>I129</f>
        <v/>
      </c>
    </row>
    <row r="162" ht="14.4" customHeight="1" s="152">
      <c r="A162" s="167" t="n">
        <v>161</v>
      </c>
      <c r="B162" s="167">
        <f>B130</f>
        <v/>
      </c>
      <c r="C162" s="167">
        <f>IF(H162="",F162,LEFT(F162,H162-1))</f>
        <v/>
      </c>
      <c r="D162" s="167" t="inlineStr">
        <is>
          <t>WR</t>
        </is>
      </c>
      <c r="E162" s="167">
        <f>IF(H162&lt;&gt;"",RIGHT(F162,LEN(F162)-H162-2),"")</f>
        <v/>
      </c>
      <c r="F162" s="167">
        <f>VLOOKUP(I162,$J:$S,G162,0)</f>
        <v/>
      </c>
      <c r="G162" s="167">
        <f>G130+1</f>
        <v/>
      </c>
      <c r="H162" s="167">
        <f>IFERROR(FIND(" - ",F162),"")</f>
        <v/>
      </c>
      <c r="I162" s="167">
        <f>I130</f>
        <v/>
      </c>
    </row>
    <row r="163" ht="14.4" customHeight="1" s="152">
      <c r="A163" s="167" t="n">
        <v>162</v>
      </c>
      <c r="B163" s="167">
        <f>B131</f>
        <v/>
      </c>
      <c r="C163" s="167">
        <f>IF(H163="",F163,LEFT(F163,H163-1))</f>
        <v/>
      </c>
      <c r="D163" s="167" t="inlineStr">
        <is>
          <t>WR</t>
        </is>
      </c>
      <c r="E163" s="167">
        <f>IF(H163&lt;&gt;"",RIGHT(F163,LEN(F163)-H163-2),"")</f>
        <v/>
      </c>
      <c r="F163" s="167">
        <f>VLOOKUP(I163,$J:$S,G163,0)</f>
        <v/>
      </c>
      <c r="G163" s="167">
        <f>G131+1</f>
        <v/>
      </c>
      <c r="H163" s="167">
        <f>IFERROR(FIND(" - ",F163),"")</f>
        <v/>
      </c>
      <c r="I163" s="167">
        <f>I131</f>
        <v/>
      </c>
    </row>
    <row r="164" ht="14.4" customHeight="1" s="152">
      <c r="A164" s="167" t="n">
        <v>163</v>
      </c>
      <c r="B164" s="167">
        <f>B132</f>
        <v/>
      </c>
      <c r="C164" s="167">
        <f>IF(H164="",F164,LEFT(F164,H164-1))</f>
        <v/>
      </c>
      <c r="D164" s="167" t="inlineStr">
        <is>
          <t>WR</t>
        </is>
      </c>
      <c r="E164" s="167">
        <f>IF(H164&lt;&gt;"",RIGHT(F164,LEN(F164)-H164-2),"")</f>
        <v/>
      </c>
      <c r="F164" s="167">
        <f>VLOOKUP(I164,$J:$S,G164,0)</f>
        <v/>
      </c>
      <c r="G164" s="167">
        <f>G132+1</f>
        <v/>
      </c>
      <c r="H164" s="167">
        <f>IFERROR(FIND(" - ",F164),"")</f>
        <v/>
      </c>
      <c r="I164" s="167">
        <f>I132</f>
        <v/>
      </c>
    </row>
    <row r="165" ht="14.4" customHeight="1" s="152">
      <c r="A165" s="167" t="n">
        <v>164</v>
      </c>
      <c r="B165" s="167">
        <f>B133</f>
        <v/>
      </c>
      <c r="C165" s="167">
        <f>IF(H165="",F165,LEFT(F165,H165-1))</f>
        <v/>
      </c>
      <c r="D165" s="167" t="inlineStr">
        <is>
          <t>WR</t>
        </is>
      </c>
      <c r="E165" s="167">
        <f>IF(H165&lt;&gt;"",RIGHT(F165,LEN(F165)-H165-2),"")</f>
        <v/>
      </c>
      <c r="F165" s="167">
        <f>VLOOKUP(I165,$J:$S,G165,0)</f>
        <v/>
      </c>
      <c r="G165" s="167">
        <f>G133+1</f>
        <v/>
      </c>
      <c r="H165" s="167">
        <f>IFERROR(FIND(" - ",F165),"")</f>
        <v/>
      </c>
      <c r="I165" s="167">
        <f>I133</f>
        <v/>
      </c>
    </row>
    <row r="166" ht="14.4" customHeight="1" s="152">
      <c r="A166" s="167" t="n">
        <v>165</v>
      </c>
      <c r="B166" s="167">
        <f>B134</f>
        <v/>
      </c>
      <c r="C166" s="167">
        <f>IF(H166="",F166,LEFT(F166,H166-1))</f>
        <v/>
      </c>
      <c r="D166" s="167" t="inlineStr">
        <is>
          <t>WR</t>
        </is>
      </c>
      <c r="E166" s="167">
        <f>IF(H166&lt;&gt;"",RIGHT(F166,LEN(F166)-H166-2),"")</f>
        <v/>
      </c>
      <c r="F166" s="167">
        <f>VLOOKUP(I166,$J:$S,G166,0)</f>
        <v/>
      </c>
      <c r="G166" s="167">
        <f>G134+1</f>
        <v/>
      </c>
      <c r="H166" s="167">
        <f>IFERROR(FIND(" - ",F166),"")</f>
        <v/>
      </c>
      <c r="I166" s="167">
        <f>I134</f>
        <v/>
      </c>
    </row>
    <row r="167" ht="14.4" customHeight="1" s="152">
      <c r="A167" s="167" t="n">
        <v>166</v>
      </c>
      <c r="B167" s="167">
        <f>B135</f>
        <v/>
      </c>
      <c r="C167" s="167">
        <f>IF(H167="",F167,LEFT(F167,H167-1))</f>
        <v/>
      </c>
      <c r="D167" s="167" t="inlineStr">
        <is>
          <t>WR</t>
        </is>
      </c>
      <c r="E167" s="167">
        <f>IF(H167&lt;&gt;"",RIGHT(F167,LEN(F167)-H167-2),"")</f>
        <v/>
      </c>
      <c r="F167" s="167">
        <f>VLOOKUP(I167,$J:$S,G167,0)</f>
        <v/>
      </c>
      <c r="G167" s="167">
        <f>G135+1</f>
        <v/>
      </c>
      <c r="H167" s="167">
        <f>IFERROR(FIND(" - ",F167),"")</f>
        <v/>
      </c>
      <c r="I167" s="167">
        <f>I135</f>
        <v/>
      </c>
    </row>
    <row r="168" ht="14.4" customHeight="1" s="152">
      <c r="A168" s="167" t="n">
        <v>167</v>
      </c>
      <c r="B168" s="167">
        <f>B136</f>
        <v/>
      </c>
      <c r="C168" s="167">
        <f>IF(H168="",F168,LEFT(F168,H168-1))</f>
        <v/>
      </c>
      <c r="D168" s="167" t="inlineStr">
        <is>
          <t>WR</t>
        </is>
      </c>
      <c r="E168" s="167">
        <f>IF(H168&lt;&gt;"",RIGHT(F168,LEN(F168)-H168-2),"")</f>
        <v/>
      </c>
      <c r="F168" s="167">
        <f>VLOOKUP(I168,$J:$S,G168,0)</f>
        <v/>
      </c>
      <c r="G168" s="167">
        <f>G136+1</f>
        <v/>
      </c>
      <c r="H168" s="167">
        <f>IFERROR(FIND(" - ",F168),"")</f>
        <v/>
      </c>
      <c r="I168" s="167">
        <f>I136</f>
        <v/>
      </c>
    </row>
    <row r="169" ht="14.4" customHeight="1" s="152">
      <c r="A169" s="167" t="n">
        <v>168</v>
      </c>
      <c r="B169" s="167">
        <f>B137</f>
        <v/>
      </c>
      <c r="C169" s="167">
        <f>IF(H169="",F169,LEFT(F169,H169-1))</f>
        <v/>
      </c>
      <c r="D169" s="167" t="inlineStr">
        <is>
          <t>WR</t>
        </is>
      </c>
      <c r="E169" s="167">
        <f>IF(H169&lt;&gt;"",RIGHT(F169,LEN(F169)-H169-2),"")</f>
        <v/>
      </c>
      <c r="F169" s="167">
        <f>VLOOKUP(I169,$J:$S,G169,0)</f>
        <v/>
      </c>
      <c r="G169" s="167">
        <f>G137+1</f>
        <v/>
      </c>
      <c r="H169" s="167">
        <f>IFERROR(FIND(" - ",F169),"")</f>
        <v/>
      </c>
      <c r="I169" s="167">
        <f>I137</f>
        <v/>
      </c>
    </row>
    <row r="170" ht="14.4" customHeight="1" s="152">
      <c r="A170" s="167" t="n">
        <v>169</v>
      </c>
      <c r="B170" s="167">
        <f>B138</f>
        <v/>
      </c>
      <c r="C170" s="167">
        <f>IF(H170="",F170,LEFT(F170,H170-1))</f>
        <v/>
      </c>
      <c r="D170" s="167" t="inlineStr">
        <is>
          <t>WR</t>
        </is>
      </c>
      <c r="E170" s="167">
        <f>IF(H170&lt;&gt;"",RIGHT(F170,LEN(F170)-H170-2),"")</f>
        <v/>
      </c>
      <c r="F170" s="167">
        <f>VLOOKUP(I170,$J:$S,G170,0)</f>
        <v/>
      </c>
      <c r="G170" s="167">
        <f>G138+1</f>
        <v/>
      </c>
      <c r="H170" s="167">
        <f>IFERROR(FIND(" - ",F170),"")</f>
        <v/>
      </c>
      <c r="I170" s="167">
        <f>I138</f>
        <v/>
      </c>
    </row>
    <row r="171" ht="14.4" customHeight="1" s="152">
      <c r="A171" s="167" t="n">
        <v>170</v>
      </c>
      <c r="B171" s="167">
        <f>B139</f>
        <v/>
      </c>
      <c r="C171" s="167">
        <f>IF(H171="",F171,LEFT(F171,H171-1))</f>
        <v/>
      </c>
      <c r="D171" s="167" t="inlineStr">
        <is>
          <t>WR</t>
        </is>
      </c>
      <c r="E171" s="167">
        <f>IF(H171&lt;&gt;"",RIGHT(F171,LEN(F171)-H171-2),"")</f>
        <v/>
      </c>
      <c r="F171" s="167">
        <f>VLOOKUP(I171,$J:$S,G171,0)</f>
        <v/>
      </c>
      <c r="G171" s="167">
        <f>G139+1</f>
        <v/>
      </c>
      <c r="H171" s="167">
        <f>IFERROR(FIND(" - ",F171),"")</f>
        <v/>
      </c>
      <c r="I171" s="167">
        <f>I139</f>
        <v/>
      </c>
    </row>
    <row r="172" ht="14.4" customHeight="1" s="152">
      <c r="A172" s="167" t="n">
        <v>171</v>
      </c>
      <c r="B172" s="167">
        <f>B140</f>
        <v/>
      </c>
      <c r="C172" s="167">
        <f>IF(H172="",F172,LEFT(F172,H172-1))</f>
        <v/>
      </c>
      <c r="D172" s="167" t="inlineStr">
        <is>
          <t>WR</t>
        </is>
      </c>
      <c r="E172" s="167">
        <f>IF(H172&lt;&gt;"",RIGHT(F172,LEN(F172)-H172-2),"")</f>
        <v/>
      </c>
      <c r="F172" s="167">
        <f>VLOOKUP(I172,$J:$S,G172,0)</f>
        <v/>
      </c>
      <c r="G172" s="167">
        <f>G140+1</f>
        <v/>
      </c>
      <c r="H172" s="167">
        <f>IFERROR(FIND(" - ",F172),"")</f>
        <v/>
      </c>
      <c r="I172" s="167">
        <f>I140</f>
        <v/>
      </c>
    </row>
    <row r="173" ht="14.4" customHeight="1" s="152">
      <c r="A173" s="167" t="n">
        <v>172</v>
      </c>
      <c r="B173" s="167">
        <f>B141</f>
        <v/>
      </c>
      <c r="C173" s="167">
        <f>IF(H173="",F173,LEFT(F173,H173-1))</f>
        <v/>
      </c>
      <c r="D173" s="167" t="inlineStr">
        <is>
          <t>WR</t>
        </is>
      </c>
      <c r="E173" s="167">
        <f>IF(H173&lt;&gt;"",RIGHT(F173,LEN(F173)-H173-2),"")</f>
        <v/>
      </c>
      <c r="F173" s="167">
        <f>VLOOKUP(I173,$J:$S,G173,0)</f>
        <v/>
      </c>
      <c r="G173" s="167">
        <f>G141+1</f>
        <v/>
      </c>
      <c r="H173" s="167">
        <f>IFERROR(FIND(" - ",F173),"")</f>
        <v/>
      </c>
      <c r="I173" s="167">
        <f>I141</f>
        <v/>
      </c>
    </row>
    <row r="174" ht="14.4" customHeight="1" s="152">
      <c r="A174" s="167" t="n">
        <v>173</v>
      </c>
      <c r="B174" s="167">
        <f>B142</f>
        <v/>
      </c>
      <c r="C174" s="167">
        <f>IF(H174="",F174,LEFT(F174,H174-1))</f>
        <v/>
      </c>
      <c r="D174" s="167" t="inlineStr">
        <is>
          <t>WR</t>
        </is>
      </c>
      <c r="E174" s="167">
        <f>IF(H174&lt;&gt;"",RIGHT(F174,LEN(F174)-H174-2),"")</f>
        <v/>
      </c>
      <c r="F174" s="167">
        <f>VLOOKUP(I174,$J:$S,G174,0)</f>
        <v/>
      </c>
      <c r="G174" s="167">
        <f>G142+1</f>
        <v/>
      </c>
      <c r="H174" s="167">
        <f>IFERROR(FIND(" - ",F174),"")</f>
        <v/>
      </c>
      <c r="I174" s="167">
        <f>I142</f>
        <v/>
      </c>
    </row>
    <row r="175" ht="14.4" customHeight="1" s="152">
      <c r="A175" s="167" t="n">
        <v>174</v>
      </c>
      <c r="B175" s="167">
        <f>B143</f>
        <v/>
      </c>
      <c r="C175" s="167">
        <f>IF(H175="",F175,LEFT(F175,H175-1))</f>
        <v/>
      </c>
      <c r="D175" s="167" t="inlineStr">
        <is>
          <t>WR</t>
        </is>
      </c>
      <c r="E175" s="167">
        <f>IF(H175&lt;&gt;"",RIGHT(F175,LEN(F175)-H175-2),"")</f>
        <v/>
      </c>
      <c r="F175" s="167">
        <f>VLOOKUP(I175,$J:$S,G175,0)</f>
        <v/>
      </c>
      <c r="G175" s="167">
        <f>G143+1</f>
        <v/>
      </c>
      <c r="H175" s="167">
        <f>IFERROR(FIND(" - ",F175),"")</f>
        <v/>
      </c>
      <c r="I175" s="167">
        <f>I143</f>
        <v/>
      </c>
    </row>
    <row r="176" ht="14.4" customHeight="1" s="152">
      <c r="A176" s="167" t="n">
        <v>175</v>
      </c>
      <c r="B176" s="167">
        <f>B144</f>
        <v/>
      </c>
      <c r="C176" s="167">
        <f>IF(H176="",F176,LEFT(F176,H176-1))</f>
        <v/>
      </c>
      <c r="D176" s="167" t="inlineStr">
        <is>
          <t>WR</t>
        </is>
      </c>
      <c r="E176" s="167">
        <f>IF(H176&lt;&gt;"",RIGHT(F176,LEN(F176)-H176-2),"")</f>
        <v/>
      </c>
      <c r="F176" s="167">
        <f>VLOOKUP(I176,$J:$S,G176,0)</f>
        <v/>
      </c>
      <c r="G176" s="167">
        <f>G144+1</f>
        <v/>
      </c>
      <c r="H176" s="167">
        <f>IFERROR(FIND(" - ",F176),"")</f>
        <v/>
      </c>
      <c r="I176" s="167">
        <f>I144</f>
        <v/>
      </c>
    </row>
    <row r="177" ht="14.4" customHeight="1" s="152">
      <c r="A177" s="167" t="n">
        <v>176</v>
      </c>
      <c r="B177" s="167">
        <f>B145</f>
        <v/>
      </c>
      <c r="C177" s="167">
        <f>IF(H177="",F177,LEFT(F177,H177-1))</f>
        <v/>
      </c>
      <c r="D177" s="167" t="inlineStr">
        <is>
          <t>WR</t>
        </is>
      </c>
      <c r="E177" s="167">
        <f>IF(H177&lt;&gt;"",RIGHT(F177,LEN(F177)-H177-2),"")</f>
        <v/>
      </c>
      <c r="F177" s="167">
        <f>VLOOKUP(I177,$J:$S,G177,0)</f>
        <v/>
      </c>
      <c r="G177" s="167">
        <f>G145+1</f>
        <v/>
      </c>
      <c r="H177" s="167">
        <f>IFERROR(FIND(" - ",F177),"")</f>
        <v/>
      </c>
      <c r="I177" s="167">
        <f>I145</f>
        <v/>
      </c>
    </row>
    <row r="178" ht="14.4" customHeight="1" s="152">
      <c r="A178" s="167" t="n">
        <v>177</v>
      </c>
      <c r="B178" s="167">
        <f>B146</f>
        <v/>
      </c>
      <c r="C178" s="167">
        <f>IF(H178="",F178,LEFT(F178,H178-1))</f>
        <v/>
      </c>
      <c r="D178" s="167" t="inlineStr">
        <is>
          <t>WR</t>
        </is>
      </c>
      <c r="E178" s="167">
        <f>IF(H178&lt;&gt;"",RIGHT(F178,LEN(F178)-H178-2),"")</f>
        <v/>
      </c>
      <c r="F178" s="167">
        <f>VLOOKUP(I178,$J:$S,G178,0)</f>
        <v/>
      </c>
      <c r="G178" s="167">
        <f>G146+1</f>
        <v/>
      </c>
      <c r="H178" s="167">
        <f>IFERROR(FIND(" - ",F178),"")</f>
        <v/>
      </c>
      <c r="I178" s="167">
        <f>I146</f>
        <v/>
      </c>
    </row>
    <row r="179" ht="14.4" customHeight="1" s="152">
      <c r="A179" s="167" t="n">
        <v>178</v>
      </c>
      <c r="B179" s="167">
        <f>B147</f>
        <v/>
      </c>
      <c r="C179" s="167">
        <f>IF(H179="",F179,LEFT(F179,H179-1))</f>
        <v/>
      </c>
      <c r="D179" s="167" t="inlineStr">
        <is>
          <t>WR</t>
        </is>
      </c>
      <c r="E179" s="167">
        <f>IF(H179&lt;&gt;"",RIGHT(F179,LEN(F179)-H179-2),"")</f>
        <v/>
      </c>
      <c r="F179" s="167">
        <f>VLOOKUP(I179,$J:$S,G179,0)</f>
        <v/>
      </c>
      <c r="G179" s="167">
        <f>G147+1</f>
        <v/>
      </c>
      <c r="H179" s="167">
        <f>IFERROR(FIND(" - ",F179),"")</f>
        <v/>
      </c>
      <c r="I179" s="167">
        <f>I147</f>
        <v/>
      </c>
    </row>
    <row r="180" ht="14.4" customHeight="1" s="152">
      <c r="A180" s="167" t="n">
        <v>179</v>
      </c>
      <c r="B180" s="167">
        <f>B148</f>
        <v/>
      </c>
      <c r="C180" s="167">
        <f>IF(H180="",F180,LEFT(F180,H180-1))</f>
        <v/>
      </c>
      <c r="D180" s="167" t="inlineStr">
        <is>
          <t>WR</t>
        </is>
      </c>
      <c r="E180" s="167">
        <f>IF(H180&lt;&gt;"",RIGHT(F180,LEN(F180)-H180-2),"")</f>
        <v/>
      </c>
      <c r="F180" s="167">
        <f>VLOOKUP(I180,$J:$S,G180,0)</f>
        <v/>
      </c>
      <c r="G180" s="167">
        <f>G148+1</f>
        <v/>
      </c>
      <c r="H180" s="167">
        <f>IFERROR(FIND(" - ",F180),"")</f>
        <v/>
      </c>
      <c r="I180" s="167">
        <f>I148</f>
        <v/>
      </c>
    </row>
    <row r="181" ht="14.4" customHeight="1" s="152">
      <c r="A181" s="167" t="n">
        <v>180</v>
      </c>
      <c r="B181" s="167">
        <f>B149</f>
        <v/>
      </c>
      <c r="C181" s="167">
        <f>IF(H181="",F181,LEFT(F181,H181-1))</f>
        <v/>
      </c>
      <c r="D181" s="167" t="inlineStr">
        <is>
          <t>WR</t>
        </is>
      </c>
      <c r="E181" s="167">
        <f>IF(H181&lt;&gt;"",RIGHT(F181,LEN(F181)-H181-2),"")</f>
        <v/>
      </c>
      <c r="F181" s="167">
        <f>VLOOKUP(I181,$J:$S,G181,0)</f>
        <v/>
      </c>
      <c r="G181" s="167">
        <f>G149+1</f>
        <v/>
      </c>
      <c r="H181" s="167">
        <f>IFERROR(FIND(" - ",F181),"")</f>
        <v/>
      </c>
      <c r="I181" s="167">
        <f>I149</f>
        <v/>
      </c>
    </row>
    <row r="182" ht="14.4" customHeight="1" s="152">
      <c r="A182" s="167" t="n">
        <v>181</v>
      </c>
      <c r="B182" s="167">
        <f>B150</f>
        <v/>
      </c>
      <c r="C182" s="167">
        <f>IF(H182="",F182,LEFT(F182,H182-1))</f>
        <v/>
      </c>
      <c r="D182" s="167" t="inlineStr">
        <is>
          <t>WR</t>
        </is>
      </c>
      <c r="E182" s="167">
        <f>IF(H182&lt;&gt;"",RIGHT(F182,LEN(F182)-H182-2),"")</f>
        <v/>
      </c>
      <c r="F182" s="167">
        <f>VLOOKUP(I182,$J:$S,G182,0)</f>
        <v/>
      </c>
      <c r="G182" s="167">
        <f>G150+1</f>
        <v/>
      </c>
      <c r="H182" s="167">
        <f>IFERROR(FIND(" - ",F182),"")</f>
        <v/>
      </c>
      <c r="I182" s="167">
        <f>I150</f>
        <v/>
      </c>
    </row>
    <row r="183" ht="14.4" customHeight="1" s="152">
      <c r="A183" s="167" t="n">
        <v>182</v>
      </c>
      <c r="B183" s="167">
        <f>B151</f>
        <v/>
      </c>
      <c r="C183" s="167">
        <f>IF(H183="",F183,LEFT(F183,H183-1))</f>
        <v/>
      </c>
      <c r="D183" s="167" t="inlineStr">
        <is>
          <t>WR</t>
        </is>
      </c>
      <c r="E183" s="167">
        <f>IF(H183&lt;&gt;"",RIGHT(F183,LEN(F183)-H183-2),"")</f>
        <v/>
      </c>
      <c r="F183" s="167">
        <f>VLOOKUP(I183,$J:$S,G183,0)</f>
        <v/>
      </c>
      <c r="G183" s="167">
        <f>G151+1</f>
        <v/>
      </c>
      <c r="H183" s="167">
        <f>IFERROR(FIND(" - ",F183),"")</f>
        <v/>
      </c>
      <c r="I183" s="167">
        <f>I151</f>
        <v/>
      </c>
    </row>
    <row r="184" ht="14.4" customHeight="1" s="152">
      <c r="A184" s="167" t="n">
        <v>183</v>
      </c>
      <c r="B184" s="167">
        <f>B152</f>
        <v/>
      </c>
      <c r="C184" s="167">
        <f>IF(H184="",F184,LEFT(F184,H184-1))</f>
        <v/>
      </c>
      <c r="D184" s="167" t="inlineStr">
        <is>
          <t>WR</t>
        </is>
      </c>
      <c r="E184" s="167">
        <f>IF(H184&lt;&gt;"",RIGHT(F184,LEN(F184)-H184-2),"")</f>
        <v/>
      </c>
      <c r="F184" s="167">
        <f>VLOOKUP(I184,$J:$S,G184,0)</f>
        <v/>
      </c>
      <c r="G184" s="167">
        <f>G152+1</f>
        <v/>
      </c>
      <c r="H184" s="167">
        <f>IFERROR(FIND(" - ",F184),"")</f>
        <v/>
      </c>
      <c r="I184" s="167">
        <f>I152</f>
        <v/>
      </c>
    </row>
    <row r="185" ht="14.4" customHeight="1" s="152">
      <c r="A185" s="167" t="n">
        <v>184</v>
      </c>
      <c r="B185" s="167">
        <f>B153</f>
        <v/>
      </c>
      <c r="C185" s="167">
        <f>IF(H185="",F185,LEFT(F185,H185-1))</f>
        <v/>
      </c>
      <c r="D185" s="167" t="inlineStr">
        <is>
          <t>WR</t>
        </is>
      </c>
      <c r="E185" s="167">
        <f>IF(H185&lt;&gt;"",RIGHT(F185,LEN(F185)-H185-2),"")</f>
        <v/>
      </c>
      <c r="F185" s="167">
        <f>VLOOKUP(I185,$J:$S,G185,0)</f>
        <v/>
      </c>
      <c r="G185" s="167">
        <f>G153+1</f>
        <v/>
      </c>
      <c r="H185" s="167">
        <f>IFERROR(FIND(" - ",F185),"")</f>
        <v/>
      </c>
      <c r="I185" s="167">
        <f>I153</f>
        <v/>
      </c>
    </row>
    <row r="186" ht="14.4" customHeight="1" s="152">
      <c r="A186" s="167" t="n">
        <v>185</v>
      </c>
      <c r="B186" s="167">
        <f>B154</f>
        <v/>
      </c>
      <c r="C186" s="167">
        <f>IF(H186="",F186,LEFT(F186,H186-1))</f>
        <v/>
      </c>
      <c r="D186" s="167" t="inlineStr">
        <is>
          <t>WR</t>
        </is>
      </c>
      <c r="E186" s="167">
        <f>IF(H186&lt;&gt;"",RIGHT(F186,LEN(F186)-H186-2),"")</f>
        <v/>
      </c>
      <c r="F186" s="167">
        <f>VLOOKUP(I186,$J:$S,G186,0)</f>
        <v/>
      </c>
      <c r="G186" s="167">
        <f>G154+1</f>
        <v/>
      </c>
      <c r="H186" s="167">
        <f>IFERROR(FIND(" - ",F186),"")</f>
        <v/>
      </c>
      <c r="I186" s="167">
        <f>I154</f>
        <v/>
      </c>
    </row>
    <row r="187" ht="14.4" customHeight="1" s="152">
      <c r="A187" s="167" t="n">
        <v>186</v>
      </c>
      <c r="B187" s="167">
        <f>B155</f>
        <v/>
      </c>
      <c r="C187" s="167">
        <f>IF(H187="",F187,LEFT(F187,H187-1))</f>
        <v/>
      </c>
      <c r="D187" s="167" t="inlineStr">
        <is>
          <t>WR</t>
        </is>
      </c>
      <c r="E187" s="167">
        <f>IF(H187&lt;&gt;"",RIGHT(F187,LEN(F187)-H187-2),"")</f>
        <v/>
      </c>
      <c r="F187" s="167">
        <f>VLOOKUP(I187,$J:$S,G187,0)</f>
        <v/>
      </c>
      <c r="G187" s="167">
        <f>G155+1</f>
        <v/>
      </c>
      <c r="H187" s="167">
        <f>IFERROR(FIND(" - ",F187),"")</f>
        <v/>
      </c>
      <c r="I187" s="167">
        <f>I155</f>
        <v/>
      </c>
    </row>
    <row r="188" ht="14.4" customHeight="1" s="152">
      <c r="A188" s="167" t="n">
        <v>187</v>
      </c>
      <c r="B188" s="167">
        <f>B156</f>
        <v/>
      </c>
      <c r="C188" s="167">
        <f>IF(H188="",F188,LEFT(F188,H188-1))</f>
        <v/>
      </c>
      <c r="D188" s="167" t="inlineStr">
        <is>
          <t>WR</t>
        </is>
      </c>
      <c r="E188" s="167">
        <f>IF(H188&lt;&gt;"",RIGHT(F188,LEN(F188)-H188-2),"")</f>
        <v/>
      </c>
      <c r="F188" s="167">
        <f>VLOOKUP(I188,$J:$S,G188,0)</f>
        <v/>
      </c>
      <c r="G188" s="167">
        <f>G156+1</f>
        <v/>
      </c>
      <c r="H188" s="167">
        <f>IFERROR(FIND(" - ",F188),"")</f>
        <v/>
      </c>
      <c r="I188" s="167">
        <f>I156</f>
        <v/>
      </c>
    </row>
    <row r="189" ht="14.4" customHeight="1" s="152">
      <c r="A189" s="167" t="n">
        <v>188</v>
      </c>
      <c r="B189" s="167">
        <f>B157</f>
        <v/>
      </c>
      <c r="C189" s="167">
        <f>IF(H189="",F189,LEFT(F189,H189-1))</f>
        <v/>
      </c>
      <c r="D189" s="167" t="inlineStr">
        <is>
          <t>WR</t>
        </is>
      </c>
      <c r="E189" s="167">
        <f>IF(H189&lt;&gt;"",RIGHT(F189,LEN(F189)-H189-2),"")</f>
        <v/>
      </c>
      <c r="F189" s="167">
        <f>VLOOKUP(I189,$J:$S,G189,0)</f>
        <v/>
      </c>
      <c r="G189" s="167">
        <f>G157+1</f>
        <v/>
      </c>
      <c r="H189" s="167">
        <f>IFERROR(FIND(" - ",F189),"")</f>
        <v/>
      </c>
      <c r="I189" s="167">
        <f>I157</f>
        <v/>
      </c>
    </row>
    <row r="190" ht="14.4" customHeight="1" s="152">
      <c r="A190" s="167" t="n">
        <v>189</v>
      </c>
      <c r="B190" s="167">
        <f>B158</f>
        <v/>
      </c>
      <c r="C190" s="167">
        <f>IF(H190="",F190,LEFT(F190,H190-1))</f>
        <v/>
      </c>
      <c r="D190" s="167" t="inlineStr">
        <is>
          <t>WR</t>
        </is>
      </c>
      <c r="E190" s="167">
        <f>IF(H190&lt;&gt;"",RIGHT(F190,LEN(F190)-H190-2),"")</f>
        <v/>
      </c>
      <c r="F190" s="167">
        <f>VLOOKUP(I190,$J:$S,G190,0)</f>
        <v/>
      </c>
      <c r="G190" s="167">
        <f>G158+1</f>
        <v/>
      </c>
      <c r="H190" s="167">
        <f>IFERROR(FIND(" - ",F190),"")</f>
        <v/>
      </c>
      <c r="I190" s="167">
        <f>I158</f>
        <v/>
      </c>
    </row>
    <row r="191" ht="14.4" customHeight="1" s="152">
      <c r="A191" s="167" t="n">
        <v>190</v>
      </c>
      <c r="B191" s="167">
        <f>B159</f>
        <v/>
      </c>
      <c r="C191" s="167">
        <f>IF(H191="",F191,LEFT(F191,H191-1))</f>
        <v/>
      </c>
      <c r="D191" s="167" t="inlineStr">
        <is>
          <t>WR</t>
        </is>
      </c>
      <c r="E191" s="167">
        <f>IF(H191&lt;&gt;"",RIGHT(F191,LEN(F191)-H191-2),"")</f>
        <v/>
      </c>
      <c r="F191" s="167">
        <f>VLOOKUP(I191,$J:$S,G191,0)</f>
        <v/>
      </c>
      <c r="G191" s="167">
        <f>G159+1</f>
        <v/>
      </c>
      <c r="H191" s="167">
        <f>IFERROR(FIND(" - ",F191),"")</f>
        <v/>
      </c>
      <c r="I191" s="167">
        <f>I159</f>
        <v/>
      </c>
    </row>
    <row r="192" ht="14.4" customHeight="1" s="152">
      <c r="A192" s="167" t="n">
        <v>191</v>
      </c>
      <c r="B192" s="167">
        <f>B160</f>
        <v/>
      </c>
      <c r="C192" s="167">
        <f>IF(H192="",F192,LEFT(F192,H192-1))</f>
        <v/>
      </c>
      <c r="D192" s="167" t="inlineStr">
        <is>
          <t>WR</t>
        </is>
      </c>
      <c r="E192" s="167">
        <f>IF(H192&lt;&gt;"",RIGHT(F192,LEN(F192)-H192-2),"")</f>
        <v/>
      </c>
      <c r="F192" s="167">
        <f>VLOOKUP(I192,$J:$S,G192,0)</f>
        <v/>
      </c>
      <c r="G192" s="167">
        <f>G160+1</f>
        <v/>
      </c>
      <c r="H192" s="167">
        <f>IFERROR(FIND(" - ",F192),"")</f>
        <v/>
      </c>
      <c r="I192" s="167">
        <f>I160</f>
        <v/>
      </c>
    </row>
    <row r="193" ht="14.4" customHeight="1" s="152">
      <c r="A193" s="167" t="n">
        <v>192</v>
      </c>
      <c r="B193" s="167">
        <f>B161</f>
        <v/>
      </c>
      <c r="C193" s="167">
        <f>IF(H193="",F193,LEFT(F193,H193-1))</f>
        <v/>
      </c>
      <c r="D193" s="167" t="inlineStr">
        <is>
          <t>WR</t>
        </is>
      </c>
      <c r="E193" s="167">
        <f>IF(H193&lt;&gt;"",RIGHT(F193,LEN(F193)-H193-2),"")</f>
        <v/>
      </c>
      <c r="F193" s="167">
        <f>VLOOKUP(I193,$J:$S,G193,0)</f>
        <v/>
      </c>
      <c r="G193" s="167">
        <f>G161+1</f>
        <v/>
      </c>
      <c r="H193" s="167">
        <f>IFERROR(FIND(" - ",F193),"")</f>
        <v/>
      </c>
      <c r="I193" s="167">
        <f>I161</f>
        <v/>
      </c>
    </row>
    <row r="194" ht="14.4" customHeight="1" s="152">
      <c r="A194" s="167" t="n">
        <v>193</v>
      </c>
      <c r="B194" s="167">
        <f>B162</f>
        <v/>
      </c>
      <c r="C194" s="167">
        <f>IF(H194="",F194,LEFT(F194,H194-1))</f>
        <v/>
      </c>
      <c r="D194" s="167" t="inlineStr">
        <is>
          <t>WR</t>
        </is>
      </c>
      <c r="E194" s="167">
        <f>IF(H194&lt;&gt;"",RIGHT(F194,LEN(F194)-H194-2),"")</f>
        <v/>
      </c>
      <c r="F194" s="167">
        <f>VLOOKUP(I194,$J:$S,G194,0)</f>
        <v/>
      </c>
      <c r="G194" s="167">
        <f>G162+1</f>
        <v/>
      </c>
      <c r="H194" s="167">
        <f>IFERROR(FIND(" - ",F194),"")</f>
        <v/>
      </c>
      <c r="I194" s="167">
        <f>I162</f>
        <v/>
      </c>
    </row>
    <row r="195" ht="14.4" customHeight="1" s="152">
      <c r="A195" s="167" t="n">
        <v>194</v>
      </c>
      <c r="B195" s="167">
        <f>B163</f>
        <v/>
      </c>
      <c r="C195" s="167">
        <f>IF(H195="",F195,LEFT(F195,H195-1))</f>
        <v/>
      </c>
      <c r="D195" s="167" t="inlineStr">
        <is>
          <t>WR</t>
        </is>
      </c>
      <c r="E195" s="167">
        <f>IF(H195&lt;&gt;"",RIGHT(F195,LEN(F195)-H195-2),"")</f>
        <v/>
      </c>
      <c r="F195" s="167">
        <f>VLOOKUP(I195,$J:$S,G195,0)</f>
        <v/>
      </c>
      <c r="G195" s="167">
        <f>G163+1</f>
        <v/>
      </c>
      <c r="H195" s="167">
        <f>IFERROR(FIND(" - ",F195),"")</f>
        <v/>
      </c>
      <c r="I195" s="167">
        <f>I163</f>
        <v/>
      </c>
    </row>
    <row r="196" ht="14.4" customHeight="1" s="152">
      <c r="A196" s="167" t="n">
        <v>195</v>
      </c>
      <c r="B196" s="167">
        <f>B164</f>
        <v/>
      </c>
      <c r="C196" s="167">
        <f>IF(H196="",F196,LEFT(F196,H196-1))</f>
        <v/>
      </c>
      <c r="D196" s="167" t="inlineStr">
        <is>
          <t>WR</t>
        </is>
      </c>
      <c r="E196" s="167">
        <f>IF(H196&lt;&gt;"",RIGHT(F196,LEN(F196)-H196-2),"")</f>
        <v/>
      </c>
      <c r="F196" s="167">
        <f>VLOOKUP(I196,$J:$S,G196,0)</f>
        <v/>
      </c>
      <c r="G196" s="167">
        <f>G164+1</f>
        <v/>
      </c>
      <c r="H196" s="167">
        <f>IFERROR(FIND(" - ",F196),"")</f>
        <v/>
      </c>
      <c r="I196" s="167">
        <f>I164</f>
        <v/>
      </c>
    </row>
    <row r="197" ht="14.4" customHeight="1" s="152">
      <c r="A197" s="167" t="n">
        <v>196</v>
      </c>
      <c r="B197" s="167">
        <f>B165</f>
        <v/>
      </c>
      <c r="C197" s="167">
        <f>IF(H197="",F197,LEFT(F197,H197-1))</f>
        <v/>
      </c>
      <c r="D197" s="167" t="inlineStr">
        <is>
          <t>WR</t>
        </is>
      </c>
      <c r="E197" s="167">
        <f>IF(H197&lt;&gt;"",RIGHT(F197,LEN(F197)-H197-2),"")</f>
        <v/>
      </c>
      <c r="F197" s="167">
        <f>VLOOKUP(I197,$J:$S,G197,0)</f>
        <v/>
      </c>
      <c r="G197" s="167">
        <f>G165+1</f>
        <v/>
      </c>
      <c r="H197" s="167">
        <f>IFERROR(FIND(" - ",F197),"")</f>
        <v/>
      </c>
      <c r="I197" s="167">
        <f>I165</f>
        <v/>
      </c>
    </row>
    <row r="198" ht="14.4" customHeight="1" s="152">
      <c r="A198" s="167" t="n">
        <v>197</v>
      </c>
      <c r="B198" s="167">
        <f>B166</f>
        <v/>
      </c>
      <c r="C198" s="167">
        <f>IF(H198="",F198,LEFT(F198,H198-1))</f>
        <v/>
      </c>
      <c r="D198" s="167" t="inlineStr">
        <is>
          <t>WR</t>
        </is>
      </c>
      <c r="E198" s="167">
        <f>IF(H198&lt;&gt;"",RIGHT(F198,LEN(F198)-H198-2),"")</f>
        <v/>
      </c>
      <c r="F198" s="167">
        <f>VLOOKUP(I198,$J:$S,G198,0)</f>
        <v/>
      </c>
      <c r="G198" s="167">
        <f>G166+1</f>
        <v/>
      </c>
      <c r="H198" s="167">
        <f>IFERROR(FIND(" - ",F198),"")</f>
        <v/>
      </c>
      <c r="I198" s="167">
        <f>I166</f>
        <v/>
      </c>
    </row>
    <row r="199" ht="14.4" customHeight="1" s="152">
      <c r="A199" s="167" t="n">
        <v>198</v>
      </c>
      <c r="B199" s="167">
        <f>B167</f>
        <v/>
      </c>
      <c r="C199" s="167">
        <f>IF(H199="",F199,LEFT(F199,H199-1))</f>
        <v/>
      </c>
      <c r="D199" s="167" t="inlineStr">
        <is>
          <t>WR</t>
        </is>
      </c>
      <c r="E199" s="167">
        <f>IF(H199&lt;&gt;"",RIGHT(F199,LEN(F199)-H199-2),"")</f>
        <v/>
      </c>
      <c r="F199" s="167">
        <f>VLOOKUP(I199,$J:$S,G199,0)</f>
        <v/>
      </c>
      <c r="G199" s="167">
        <f>G167+1</f>
        <v/>
      </c>
      <c r="H199" s="167">
        <f>IFERROR(FIND(" - ",F199),"")</f>
        <v/>
      </c>
      <c r="I199" s="167">
        <f>I167</f>
        <v/>
      </c>
    </row>
    <row r="200" ht="14.4" customHeight="1" s="152">
      <c r="A200" s="167" t="n">
        <v>199</v>
      </c>
      <c r="B200" s="167">
        <f>B168</f>
        <v/>
      </c>
      <c r="C200" s="167">
        <f>IF(H200="",F200,LEFT(F200,H200-1))</f>
        <v/>
      </c>
      <c r="D200" s="167" t="inlineStr">
        <is>
          <t>WR</t>
        </is>
      </c>
      <c r="E200" s="167">
        <f>IF(H200&lt;&gt;"",RIGHT(F200,LEN(F200)-H200-2),"")</f>
        <v/>
      </c>
      <c r="F200" s="167">
        <f>VLOOKUP(I200,$J:$S,G200,0)</f>
        <v/>
      </c>
      <c r="G200" s="167">
        <f>G168+1</f>
        <v/>
      </c>
      <c r="H200" s="167">
        <f>IFERROR(FIND(" - ",F200),"")</f>
        <v/>
      </c>
      <c r="I200" s="167">
        <f>I168</f>
        <v/>
      </c>
    </row>
    <row r="201" ht="14.4" customHeight="1" s="152">
      <c r="A201" s="167" t="n">
        <v>200</v>
      </c>
      <c r="B201" s="167">
        <f>B169</f>
        <v/>
      </c>
      <c r="C201" s="167">
        <f>IF(H201="",F201,LEFT(F201,H201-1))</f>
        <v/>
      </c>
      <c r="D201" s="167" t="inlineStr">
        <is>
          <t>WR</t>
        </is>
      </c>
      <c r="E201" s="167">
        <f>IF(H201&lt;&gt;"",RIGHT(F201,LEN(F201)-H201-2),"")</f>
        <v/>
      </c>
      <c r="F201" s="167">
        <f>VLOOKUP(I201,$J:$S,G201,0)</f>
        <v/>
      </c>
      <c r="G201" s="167">
        <f>G169+1</f>
        <v/>
      </c>
      <c r="H201" s="167">
        <f>IFERROR(FIND(" - ",F201),"")</f>
        <v/>
      </c>
      <c r="I201" s="167">
        <f>I169</f>
        <v/>
      </c>
    </row>
    <row r="202" ht="14.4" customHeight="1" s="152">
      <c r="A202" s="167" t="n">
        <v>201</v>
      </c>
      <c r="B202" s="167">
        <f>B170</f>
        <v/>
      </c>
      <c r="C202" s="167">
        <f>IF(H202="",F202,LEFT(F202,H202-1))</f>
        <v/>
      </c>
      <c r="D202" s="167" t="inlineStr">
        <is>
          <t>WR</t>
        </is>
      </c>
      <c r="E202" s="167">
        <f>IF(H202&lt;&gt;"",RIGHT(F202,LEN(F202)-H202-2),"")</f>
        <v/>
      </c>
      <c r="F202" s="167">
        <f>VLOOKUP(I202,$J:$S,G202,0)</f>
        <v/>
      </c>
      <c r="G202" s="167">
        <f>G170+1</f>
        <v/>
      </c>
      <c r="H202" s="167">
        <f>IFERROR(FIND(" - ",F202),"")</f>
        <v/>
      </c>
      <c r="I202" s="167">
        <f>I170</f>
        <v/>
      </c>
    </row>
    <row r="203" ht="14.4" customHeight="1" s="152">
      <c r="A203" s="167" t="n">
        <v>202</v>
      </c>
      <c r="B203" s="167">
        <f>B171</f>
        <v/>
      </c>
      <c r="C203" s="167">
        <f>IF(H203="",F203,LEFT(F203,H203-1))</f>
        <v/>
      </c>
      <c r="D203" s="167" t="inlineStr">
        <is>
          <t>WR</t>
        </is>
      </c>
      <c r="E203" s="167">
        <f>IF(H203&lt;&gt;"",RIGHT(F203,LEN(F203)-H203-2),"")</f>
        <v/>
      </c>
      <c r="F203" s="167">
        <f>VLOOKUP(I203,$J:$S,G203,0)</f>
        <v/>
      </c>
      <c r="G203" s="167">
        <f>G171+1</f>
        <v/>
      </c>
      <c r="H203" s="167">
        <f>IFERROR(FIND(" - ",F203),"")</f>
        <v/>
      </c>
      <c r="I203" s="167">
        <f>I171</f>
        <v/>
      </c>
    </row>
    <row r="204" ht="14.4" customHeight="1" s="152">
      <c r="A204" s="167" t="n">
        <v>203</v>
      </c>
      <c r="B204" s="167">
        <f>B172</f>
        <v/>
      </c>
      <c r="C204" s="167">
        <f>IF(H204="",F204,LEFT(F204,H204-1))</f>
        <v/>
      </c>
      <c r="D204" s="167" t="inlineStr">
        <is>
          <t>WR</t>
        </is>
      </c>
      <c r="E204" s="167">
        <f>IF(H204&lt;&gt;"",RIGHT(F204,LEN(F204)-H204-2),"")</f>
        <v/>
      </c>
      <c r="F204" s="167">
        <f>VLOOKUP(I204,$J:$S,G204,0)</f>
        <v/>
      </c>
      <c r="G204" s="167">
        <f>G172+1</f>
        <v/>
      </c>
      <c r="H204" s="167">
        <f>IFERROR(FIND(" - ",F204),"")</f>
        <v/>
      </c>
      <c r="I204" s="167">
        <f>I172</f>
        <v/>
      </c>
    </row>
    <row r="205" ht="14.4" customHeight="1" s="152">
      <c r="A205" s="167" t="n">
        <v>204</v>
      </c>
      <c r="B205" s="167">
        <f>B173</f>
        <v/>
      </c>
      <c r="C205" s="167">
        <f>IF(H205="",F205,LEFT(F205,H205-1))</f>
        <v/>
      </c>
      <c r="D205" s="167" t="inlineStr">
        <is>
          <t>WR</t>
        </is>
      </c>
      <c r="E205" s="167">
        <f>IF(H205&lt;&gt;"",RIGHT(F205,LEN(F205)-H205-2),"")</f>
        <v/>
      </c>
      <c r="F205" s="167">
        <f>VLOOKUP(I205,$J:$S,G205,0)</f>
        <v/>
      </c>
      <c r="G205" s="167">
        <f>G173+1</f>
        <v/>
      </c>
      <c r="H205" s="167">
        <f>IFERROR(FIND(" - ",F205),"")</f>
        <v/>
      </c>
      <c r="I205" s="167">
        <f>I173</f>
        <v/>
      </c>
    </row>
    <row r="206" ht="14.4" customHeight="1" s="152">
      <c r="A206" s="167" t="n">
        <v>205</v>
      </c>
      <c r="B206" s="167">
        <f>B174</f>
        <v/>
      </c>
      <c r="C206" s="167">
        <f>IF(H206="",F206,LEFT(F206,H206-1))</f>
        <v/>
      </c>
      <c r="D206" s="167" t="inlineStr">
        <is>
          <t>WR</t>
        </is>
      </c>
      <c r="E206" s="167">
        <f>IF(H206&lt;&gt;"",RIGHT(F206,LEN(F206)-H206-2),"")</f>
        <v/>
      </c>
      <c r="F206" s="167">
        <f>VLOOKUP(I206,$J:$S,G206,0)</f>
        <v/>
      </c>
      <c r="G206" s="167">
        <f>G174+1</f>
        <v/>
      </c>
      <c r="H206" s="167">
        <f>IFERROR(FIND(" - ",F206),"")</f>
        <v/>
      </c>
      <c r="I206" s="167">
        <f>I174</f>
        <v/>
      </c>
    </row>
    <row r="207" ht="14.4" customHeight="1" s="152">
      <c r="A207" s="167" t="n">
        <v>206</v>
      </c>
      <c r="B207" s="167">
        <f>B175</f>
        <v/>
      </c>
      <c r="C207" s="167">
        <f>IF(H207="",F207,LEFT(F207,H207-1))</f>
        <v/>
      </c>
      <c r="D207" s="167" t="inlineStr">
        <is>
          <t>WR</t>
        </is>
      </c>
      <c r="E207" s="167">
        <f>IF(H207&lt;&gt;"",RIGHT(F207,LEN(F207)-H207-2),"")</f>
        <v/>
      </c>
      <c r="F207" s="167">
        <f>VLOOKUP(I207,$J:$S,G207,0)</f>
        <v/>
      </c>
      <c r="G207" s="167">
        <f>G175+1</f>
        <v/>
      </c>
      <c r="H207" s="167">
        <f>IFERROR(FIND(" - ",F207),"")</f>
        <v/>
      </c>
      <c r="I207" s="167">
        <f>I175</f>
        <v/>
      </c>
    </row>
    <row r="208" ht="14.4" customHeight="1" s="152">
      <c r="A208" s="167" t="n">
        <v>207</v>
      </c>
      <c r="B208" s="167">
        <f>B176</f>
        <v/>
      </c>
      <c r="C208" s="167">
        <f>IF(H208="",F208,LEFT(F208,H208-1))</f>
        <v/>
      </c>
      <c r="D208" s="167" t="inlineStr">
        <is>
          <t>WR</t>
        </is>
      </c>
      <c r="E208" s="167">
        <f>IF(H208&lt;&gt;"",RIGHT(F208,LEN(F208)-H208-2),"")</f>
        <v/>
      </c>
      <c r="F208" s="167">
        <f>VLOOKUP(I208,$J:$S,G208,0)</f>
        <v/>
      </c>
      <c r="G208" s="167">
        <f>G176+1</f>
        <v/>
      </c>
      <c r="H208" s="167">
        <f>IFERROR(FIND(" - ",F208),"")</f>
        <v/>
      </c>
      <c r="I208" s="167">
        <f>I176</f>
        <v/>
      </c>
    </row>
    <row r="209" ht="14.4" customHeight="1" s="152">
      <c r="A209" s="167" t="n">
        <v>208</v>
      </c>
      <c r="B209" s="167">
        <f>B177</f>
        <v/>
      </c>
      <c r="C209" s="167">
        <f>IF(H209="",F209,LEFT(F209,H209-1))</f>
        <v/>
      </c>
      <c r="D209" s="167" t="inlineStr">
        <is>
          <t>WR</t>
        </is>
      </c>
      <c r="E209" s="167">
        <f>IF(H209&lt;&gt;"",RIGHT(F209,LEN(F209)-H209-2),"")</f>
        <v/>
      </c>
      <c r="F209" s="167">
        <f>VLOOKUP(I209,$J:$S,G209,0)</f>
        <v/>
      </c>
      <c r="G209" s="167">
        <f>G177+1</f>
        <v/>
      </c>
      <c r="H209" s="167">
        <f>IFERROR(FIND(" - ",F209),"")</f>
        <v/>
      </c>
      <c r="I209" s="167">
        <f>I177</f>
        <v/>
      </c>
    </row>
    <row r="210" ht="14.4" customHeight="1" s="152">
      <c r="A210" s="167" t="n">
        <v>209</v>
      </c>
      <c r="B210" s="167">
        <f>B178</f>
        <v/>
      </c>
      <c r="C210" s="167">
        <f>IF(H210="",F210,LEFT(F210,H210-1))</f>
        <v/>
      </c>
      <c r="D210" s="167" t="inlineStr">
        <is>
          <t>WR</t>
        </is>
      </c>
      <c r="E210" s="167">
        <f>IF(H210&lt;&gt;"",RIGHT(F210,LEN(F210)-H210-2),"")</f>
        <v/>
      </c>
      <c r="F210" s="167">
        <f>VLOOKUP(I210,$J:$S,G210,0)</f>
        <v/>
      </c>
      <c r="G210" s="167">
        <f>G178+1</f>
        <v/>
      </c>
      <c r="H210" s="167">
        <f>IFERROR(FIND(" - ",F210),"")</f>
        <v/>
      </c>
      <c r="I210" s="167">
        <f>I178</f>
        <v/>
      </c>
    </row>
    <row r="211" ht="14.4" customHeight="1" s="152">
      <c r="A211" s="167" t="n">
        <v>210</v>
      </c>
      <c r="B211" s="167">
        <f>B179</f>
        <v/>
      </c>
      <c r="C211" s="167">
        <f>IF(H211="",F211,LEFT(F211,H211-1))</f>
        <v/>
      </c>
      <c r="D211" s="167" t="inlineStr">
        <is>
          <t>WR</t>
        </is>
      </c>
      <c r="E211" s="167">
        <f>IF(H211&lt;&gt;"",RIGHT(F211,LEN(F211)-H211-2),"")</f>
        <v/>
      </c>
      <c r="F211" s="167">
        <f>VLOOKUP(I211,$J:$S,G211,0)</f>
        <v/>
      </c>
      <c r="G211" s="167">
        <f>G179+1</f>
        <v/>
      </c>
      <c r="H211" s="167">
        <f>IFERROR(FIND(" - ",F211),"")</f>
        <v/>
      </c>
      <c r="I211" s="167">
        <f>I179</f>
        <v/>
      </c>
    </row>
    <row r="212" ht="14.4" customHeight="1" s="152">
      <c r="A212" s="167" t="n">
        <v>211</v>
      </c>
      <c r="B212" s="167">
        <f>B180</f>
        <v/>
      </c>
      <c r="C212" s="167">
        <f>IF(H212="",F212,LEFT(F212,H212-1))</f>
        <v/>
      </c>
      <c r="D212" s="167" t="inlineStr">
        <is>
          <t>WR</t>
        </is>
      </c>
      <c r="E212" s="167">
        <f>IF(H212&lt;&gt;"",RIGHT(F212,LEN(F212)-H212-2),"")</f>
        <v/>
      </c>
      <c r="F212" s="167">
        <f>VLOOKUP(I212,$J:$S,G212,0)</f>
        <v/>
      </c>
      <c r="G212" s="167">
        <f>G180+1</f>
        <v/>
      </c>
      <c r="H212" s="167">
        <f>IFERROR(FIND(" - ",F212),"")</f>
        <v/>
      </c>
      <c r="I212" s="167">
        <f>I180</f>
        <v/>
      </c>
    </row>
    <row r="213" ht="14.4" customHeight="1" s="152">
      <c r="A213" s="167" t="n">
        <v>212</v>
      </c>
      <c r="B213" s="167">
        <f>B181</f>
        <v/>
      </c>
      <c r="C213" s="167">
        <f>IF(H213="",F213,LEFT(F213,H213-1))</f>
        <v/>
      </c>
      <c r="D213" s="167" t="inlineStr">
        <is>
          <t>WR</t>
        </is>
      </c>
      <c r="E213" s="167">
        <f>IF(H213&lt;&gt;"",RIGHT(F213,LEN(F213)-H213-2),"")</f>
        <v/>
      </c>
      <c r="F213" s="167">
        <f>VLOOKUP(I213,$J:$S,G213,0)</f>
        <v/>
      </c>
      <c r="G213" s="167">
        <f>G181+1</f>
        <v/>
      </c>
      <c r="H213" s="167">
        <f>IFERROR(FIND(" - ",F213),"")</f>
        <v/>
      </c>
      <c r="I213" s="167">
        <f>I181</f>
        <v/>
      </c>
    </row>
    <row r="214" ht="14.4" customHeight="1" s="152">
      <c r="A214" s="167" t="n">
        <v>213</v>
      </c>
      <c r="B214" s="167">
        <f>B182</f>
        <v/>
      </c>
      <c r="C214" s="167">
        <f>IF(H214="",F214,LEFT(F214,H214-1))</f>
        <v/>
      </c>
      <c r="D214" s="167" t="inlineStr">
        <is>
          <t>WR</t>
        </is>
      </c>
      <c r="E214" s="167">
        <f>IF(H214&lt;&gt;"",RIGHT(F214,LEN(F214)-H214-2),"")</f>
        <v/>
      </c>
      <c r="F214" s="167">
        <f>VLOOKUP(I214,$J:$S,G214,0)</f>
        <v/>
      </c>
      <c r="G214" s="167">
        <f>G182+1</f>
        <v/>
      </c>
      <c r="H214" s="167">
        <f>IFERROR(FIND(" - ",F214),"")</f>
        <v/>
      </c>
      <c r="I214" s="167">
        <f>I182</f>
        <v/>
      </c>
    </row>
    <row r="215" ht="14.4" customHeight="1" s="152">
      <c r="A215" s="167" t="n">
        <v>214</v>
      </c>
      <c r="B215" s="167">
        <f>B183</f>
        <v/>
      </c>
      <c r="C215" s="167">
        <f>IF(H215="",F215,LEFT(F215,H215-1))</f>
        <v/>
      </c>
      <c r="D215" s="167" t="inlineStr">
        <is>
          <t>WR</t>
        </is>
      </c>
      <c r="E215" s="167">
        <f>IF(H215&lt;&gt;"",RIGHT(F215,LEN(F215)-H215-2),"")</f>
        <v/>
      </c>
      <c r="F215" s="167">
        <f>VLOOKUP(I215,$J:$S,G215,0)</f>
        <v/>
      </c>
      <c r="G215" s="167">
        <f>G183+1</f>
        <v/>
      </c>
      <c r="H215" s="167">
        <f>IFERROR(FIND(" - ",F215),"")</f>
        <v/>
      </c>
      <c r="I215" s="167">
        <f>I183</f>
        <v/>
      </c>
    </row>
    <row r="216" ht="14.4" customHeight="1" s="152">
      <c r="A216" s="167" t="n">
        <v>215</v>
      </c>
      <c r="B216" s="167">
        <f>B184</f>
        <v/>
      </c>
      <c r="C216" s="167">
        <f>IF(H216="",F216,LEFT(F216,H216-1))</f>
        <v/>
      </c>
      <c r="D216" s="167" t="inlineStr">
        <is>
          <t>WR</t>
        </is>
      </c>
      <c r="E216" s="167">
        <f>IF(H216&lt;&gt;"",RIGHT(F216,LEN(F216)-H216-2),"")</f>
        <v/>
      </c>
      <c r="F216" s="167">
        <f>VLOOKUP(I216,$J:$S,G216,0)</f>
        <v/>
      </c>
      <c r="G216" s="167">
        <f>G184+1</f>
        <v/>
      </c>
      <c r="H216" s="167">
        <f>IFERROR(FIND(" - ",F216),"")</f>
        <v/>
      </c>
      <c r="I216" s="167">
        <f>I184</f>
        <v/>
      </c>
    </row>
    <row r="217" ht="14.4" customHeight="1" s="152">
      <c r="A217" s="167" t="n">
        <v>216</v>
      </c>
      <c r="B217" s="167">
        <f>B185</f>
        <v/>
      </c>
      <c r="C217" s="167">
        <f>IF(H217="",F217,LEFT(F217,H217-1))</f>
        <v/>
      </c>
      <c r="D217" s="167" t="inlineStr">
        <is>
          <t>WR</t>
        </is>
      </c>
      <c r="E217" s="167">
        <f>IF(H217&lt;&gt;"",RIGHT(F217,LEN(F217)-H217-2),"")</f>
        <v/>
      </c>
      <c r="F217" s="167">
        <f>VLOOKUP(I217,$J:$S,G217,0)</f>
        <v/>
      </c>
      <c r="G217" s="167">
        <f>G185+1</f>
        <v/>
      </c>
      <c r="H217" s="167">
        <f>IFERROR(FIND(" - ",F217),"")</f>
        <v/>
      </c>
      <c r="I217" s="167">
        <f>I185</f>
        <v/>
      </c>
    </row>
    <row r="218" ht="14.4" customHeight="1" s="152">
      <c r="A218" s="167" t="n">
        <v>217</v>
      </c>
      <c r="B218" s="167">
        <f>B186</f>
        <v/>
      </c>
      <c r="C218" s="167">
        <f>IF(H218="",F218,LEFT(F218,H218-1))</f>
        <v/>
      </c>
      <c r="D218" s="167" t="inlineStr">
        <is>
          <t>WR</t>
        </is>
      </c>
      <c r="E218" s="167">
        <f>IF(H218&lt;&gt;"",RIGHT(F218,LEN(F218)-H218-2),"")</f>
        <v/>
      </c>
      <c r="F218" s="167">
        <f>VLOOKUP(I218,$J:$S,G218,0)</f>
        <v/>
      </c>
      <c r="G218" s="167">
        <f>G186+1</f>
        <v/>
      </c>
      <c r="H218" s="167">
        <f>IFERROR(FIND(" - ",F218),"")</f>
        <v/>
      </c>
      <c r="I218" s="167">
        <f>I186</f>
        <v/>
      </c>
    </row>
    <row r="219" ht="14.4" customHeight="1" s="152">
      <c r="A219" s="167" t="n">
        <v>218</v>
      </c>
      <c r="B219" s="167">
        <f>B187</f>
        <v/>
      </c>
      <c r="C219" s="167">
        <f>IF(H219="",F219,LEFT(F219,H219-1))</f>
        <v/>
      </c>
      <c r="D219" s="167" t="inlineStr">
        <is>
          <t>WR</t>
        </is>
      </c>
      <c r="E219" s="167">
        <f>IF(H219&lt;&gt;"",RIGHT(F219,LEN(F219)-H219-2),"")</f>
        <v/>
      </c>
      <c r="F219" s="167">
        <f>VLOOKUP(I219,$J:$S,G219,0)</f>
        <v/>
      </c>
      <c r="G219" s="167">
        <f>G187+1</f>
        <v/>
      </c>
      <c r="H219" s="167">
        <f>IFERROR(FIND(" - ",F219),"")</f>
        <v/>
      </c>
      <c r="I219" s="167">
        <f>I187</f>
        <v/>
      </c>
    </row>
    <row r="220" ht="14.4" customHeight="1" s="152">
      <c r="A220" s="167" t="n">
        <v>219</v>
      </c>
      <c r="B220" s="167">
        <f>B188</f>
        <v/>
      </c>
      <c r="C220" s="167">
        <f>IF(H220="",F220,LEFT(F220,H220-1))</f>
        <v/>
      </c>
      <c r="D220" s="167" t="inlineStr">
        <is>
          <t>WR</t>
        </is>
      </c>
      <c r="E220" s="167">
        <f>IF(H220&lt;&gt;"",RIGHT(F220,LEN(F220)-H220-2),"")</f>
        <v/>
      </c>
      <c r="F220" s="167">
        <f>VLOOKUP(I220,$J:$S,G220,0)</f>
        <v/>
      </c>
      <c r="G220" s="167">
        <f>G188+1</f>
        <v/>
      </c>
      <c r="H220" s="167">
        <f>IFERROR(FIND(" - ",F220),"")</f>
        <v/>
      </c>
      <c r="I220" s="167">
        <f>I188</f>
        <v/>
      </c>
    </row>
    <row r="221" ht="14.4" customHeight="1" s="152">
      <c r="A221" s="167" t="n">
        <v>220</v>
      </c>
      <c r="B221" s="167">
        <f>B189</f>
        <v/>
      </c>
      <c r="C221" s="167">
        <f>IF(H221="",F221,LEFT(F221,H221-1))</f>
        <v/>
      </c>
      <c r="D221" s="167" t="inlineStr">
        <is>
          <t>WR</t>
        </is>
      </c>
      <c r="E221" s="167">
        <f>IF(H221&lt;&gt;"",RIGHT(F221,LEN(F221)-H221-2),"")</f>
        <v/>
      </c>
      <c r="F221" s="167">
        <f>VLOOKUP(I221,$J:$S,G221,0)</f>
        <v/>
      </c>
      <c r="G221" s="167">
        <f>G189+1</f>
        <v/>
      </c>
      <c r="H221" s="167">
        <f>IFERROR(FIND(" - ",F221),"")</f>
        <v/>
      </c>
      <c r="I221" s="167">
        <f>I189</f>
        <v/>
      </c>
    </row>
    <row r="222" ht="14.4" customHeight="1" s="152">
      <c r="A222" s="167" t="n">
        <v>221</v>
      </c>
      <c r="B222" s="167">
        <f>B190</f>
        <v/>
      </c>
      <c r="C222" s="167">
        <f>IF(H222="",F222,LEFT(F222,H222-1))</f>
        <v/>
      </c>
      <c r="D222" s="167" t="inlineStr">
        <is>
          <t>WR</t>
        </is>
      </c>
      <c r="E222" s="167">
        <f>IF(H222&lt;&gt;"",RIGHT(F222,LEN(F222)-H222-2),"")</f>
        <v/>
      </c>
      <c r="F222" s="167">
        <f>VLOOKUP(I222,$J:$S,G222,0)</f>
        <v/>
      </c>
      <c r="G222" s="167">
        <f>G190+1</f>
        <v/>
      </c>
      <c r="H222" s="167">
        <f>IFERROR(FIND(" - ",F222),"")</f>
        <v/>
      </c>
      <c r="I222" s="167">
        <f>I190</f>
        <v/>
      </c>
    </row>
    <row r="223" ht="14.4" customHeight="1" s="152">
      <c r="A223" s="167" t="n">
        <v>222</v>
      </c>
      <c r="B223" s="167">
        <f>B191</f>
        <v/>
      </c>
      <c r="C223" s="167">
        <f>IF(H223="",F223,LEFT(F223,H223-1))</f>
        <v/>
      </c>
      <c r="D223" s="167" t="inlineStr">
        <is>
          <t>WR</t>
        </is>
      </c>
      <c r="E223" s="167">
        <f>IF(H223&lt;&gt;"",RIGHT(F223,LEN(F223)-H223-2),"")</f>
        <v/>
      </c>
      <c r="F223" s="167">
        <f>VLOOKUP(I223,$J:$S,G223,0)</f>
        <v/>
      </c>
      <c r="G223" s="167">
        <f>G191+1</f>
        <v/>
      </c>
      <c r="H223" s="167">
        <f>IFERROR(FIND(" - ",F223),"")</f>
        <v/>
      </c>
      <c r="I223" s="167">
        <f>I191</f>
        <v/>
      </c>
    </row>
    <row r="224" ht="14.4" customHeight="1" s="152">
      <c r="A224" s="167" t="n">
        <v>223</v>
      </c>
      <c r="B224" s="167">
        <f>B192</f>
        <v/>
      </c>
      <c r="C224" s="167">
        <f>IF(H224="",F224,LEFT(F224,H224-1))</f>
        <v/>
      </c>
      <c r="D224" s="167" t="inlineStr">
        <is>
          <t>WR</t>
        </is>
      </c>
      <c r="E224" s="167">
        <f>IF(H224&lt;&gt;"",RIGHT(F224,LEN(F224)-H224-2),"")</f>
        <v/>
      </c>
      <c r="F224" s="167">
        <f>VLOOKUP(I224,$J:$S,G224,0)</f>
        <v/>
      </c>
      <c r="G224" s="167">
        <f>G192+1</f>
        <v/>
      </c>
      <c r="H224" s="167">
        <f>IFERROR(FIND(" - ",F224),"")</f>
        <v/>
      </c>
      <c r="I224" s="167">
        <f>I192</f>
        <v/>
      </c>
    </row>
    <row r="225" ht="14.4" customHeight="1" s="152">
      <c r="A225" s="167" t="n">
        <v>224</v>
      </c>
      <c r="B225" s="167">
        <f>B193</f>
        <v/>
      </c>
      <c r="C225" s="167">
        <f>IF(H225="",F225,LEFT(F225,H225-1))</f>
        <v/>
      </c>
      <c r="D225" s="167" t="inlineStr">
        <is>
          <t>WR</t>
        </is>
      </c>
      <c r="E225" s="167">
        <f>IF(H225&lt;&gt;"",RIGHT(F225,LEN(F225)-H225-2),"")</f>
        <v/>
      </c>
      <c r="F225" s="167">
        <f>VLOOKUP(I225,$J:$S,G225,0)</f>
        <v/>
      </c>
      <c r="G225" s="167">
        <f>G193+1</f>
        <v/>
      </c>
      <c r="H225" s="167">
        <f>IFERROR(FIND(" - ",F225),"")</f>
        <v/>
      </c>
      <c r="I225" s="167">
        <f>I193</f>
        <v/>
      </c>
    </row>
    <row r="226" ht="14.4" customHeight="1" s="152">
      <c r="A226" s="167" t="n">
        <v>225</v>
      </c>
      <c r="B226" s="167">
        <f>B194</f>
        <v/>
      </c>
      <c r="C226" s="167">
        <f>IF(H226="",F226,LEFT(F226,H226-1))</f>
        <v/>
      </c>
      <c r="D226" s="167" t="inlineStr">
        <is>
          <t>WR</t>
        </is>
      </c>
      <c r="E226" s="167">
        <f>IF(H226&lt;&gt;"",RIGHT(F226,LEN(F226)-H226-2),"")</f>
        <v/>
      </c>
      <c r="F226" s="167">
        <f>VLOOKUP(I226,$J:$S,G226,0)</f>
        <v/>
      </c>
      <c r="G226" s="167">
        <f>G194+1</f>
        <v/>
      </c>
      <c r="H226" s="167">
        <f>IFERROR(FIND(" - ",F226),"")</f>
        <v/>
      </c>
      <c r="I226" s="167">
        <f>I194</f>
        <v/>
      </c>
    </row>
    <row r="227" ht="14.4" customHeight="1" s="152">
      <c r="A227" s="167" t="n">
        <v>226</v>
      </c>
      <c r="B227" s="167">
        <f>B195</f>
        <v/>
      </c>
      <c r="C227" s="167">
        <f>IF(H227="",F227,LEFT(F227,H227-1))</f>
        <v/>
      </c>
      <c r="D227" s="167" t="inlineStr">
        <is>
          <t>WR</t>
        </is>
      </c>
      <c r="E227" s="167">
        <f>IF(H227&lt;&gt;"",RIGHT(F227,LEN(F227)-H227-2),"")</f>
        <v/>
      </c>
      <c r="F227" s="167">
        <f>VLOOKUP(I227,$J:$S,G227,0)</f>
        <v/>
      </c>
      <c r="G227" s="167">
        <f>G195+1</f>
        <v/>
      </c>
      <c r="H227" s="167">
        <f>IFERROR(FIND(" - ",F227),"")</f>
        <v/>
      </c>
      <c r="I227" s="167">
        <f>I195</f>
        <v/>
      </c>
    </row>
    <row r="228" ht="14.4" customHeight="1" s="152">
      <c r="A228" s="167" t="n">
        <v>227</v>
      </c>
      <c r="B228" s="167">
        <f>B196</f>
        <v/>
      </c>
      <c r="C228" s="167">
        <f>IF(H228="",F228,LEFT(F228,H228-1))</f>
        <v/>
      </c>
      <c r="D228" s="167" t="inlineStr">
        <is>
          <t>WR</t>
        </is>
      </c>
      <c r="E228" s="167">
        <f>IF(H228&lt;&gt;"",RIGHT(F228,LEN(F228)-H228-2),"")</f>
        <v/>
      </c>
      <c r="F228" s="167">
        <f>VLOOKUP(I228,$J:$S,G228,0)</f>
        <v/>
      </c>
      <c r="G228" s="167">
        <f>G196+1</f>
        <v/>
      </c>
      <c r="H228" s="167">
        <f>IFERROR(FIND(" - ",F228),"")</f>
        <v/>
      </c>
      <c r="I228" s="167">
        <f>I196</f>
        <v/>
      </c>
    </row>
    <row r="229" ht="14.4" customHeight="1" s="152">
      <c r="A229" s="167" t="n">
        <v>228</v>
      </c>
      <c r="B229" s="167">
        <f>B197</f>
        <v/>
      </c>
      <c r="C229" s="167">
        <f>IF(H229="",F229,LEFT(F229,H229-1))</f>
        <v/>
      </c>
      <c r="D229" s="167" t="inlineStr">
        <is>
          <t>WR</t>
        </is>
      </c>
      <c r="E229" s="167">
        <f>IF(H229&lt;&gt;"",RIGHT(F229,LEN(F229)-H229-2),"")</f>
        <v/>
      </c>
      <c r="F229" s="167">
        <f>VLOOKUP(I229,$J:$S,G229,0)</f>
        <v/>
      </c>
      <c r="G229" s="167">
        <f>G197+1</f>
        <v/>
      </c>
      <c r="H229" s="167">
        <f>IFERROR(FIND(" - ",F229),"")</f>
        <v/>
      </c>
      <c r="I229" s="167">
        <f>I197</f>
        <v/>
      </c>
    </row>
    <row r="230" ht="14.4" customHeight="1" s="152">
      <c r="A230" s="167" t="n">
        <v>229</v>
      </c>
      <c r="B230" s="167">
        <f>B198</f>
        <v/>
      </c>
      <c r="C230" s="167">
        <f>IF(H230="",F230,LEFT(F230,H230-1))</f>
        <v/>
      </c>
      <c r="D230" s="167" t="inlineStr">
        <is>
          <t>WR</t>
        </is>
      </c>
      <c r="E230" s="167">
        <f>IF(H230&lt;&gt;"",RIGHT(F230,LEN(F230)-H230-2),"")</f>
        <v/>
      </c>
      <c r="F230" s="167">
        <f>VLOOKUP(I230,$J:$S,G230,0)</f>
        <v/>
      </c>
      <c r="G230" s="167">
        <f>G198+1</f>
        <v/>
      </c>
      <c r="H230" s="167">
        <f>IFERROR(FIND(" - ",F230),"")</f>
        <v/>
      </c>
      <c r="I230" s="167">
        <f>I198</f>
        <v/>
      </c>
    </row>
    <row r="231" ht="14.4" customHeight="1" s="152">
      <c r="A231" s="167" t="n">
        <v>230</v>
      </c>
      <c r="B231" s="167">
        <f>B199</f>
        <v/>
      </c>
      <c r="C231" s="167">
        <f>IF(H231="",F231,LEFT(F231,H231-1))</f>
        <v/>
      </c>
      <c r="D231" s="167" t="inlineStr">
        <is>
          <t>WR</t>
        </is>
      </c>
      <c r="E231" s="167">
        <f>IF(H231&lt;&gt;"",RIGHT(F231,LEN(F231)-H231-2),"")</f>
        <v/>
      </c>
      <c r="F231" s="167">
        <f>VLOOKUP(I231,$J:$S,G231,0)</f>
        <v/>
      </c>
      <c r="G231" s="167">
        <f>G199+1</f>
        <v/>
      </c>
      <c r="H231" s="167">
        <f>IFERROR(FIND(" - ",F231),"")</f>
        <v/>
      </c>
      <c r="I231" s="167">
        <f>I199</f>
        <v/>
      </c>
    </row>
    <row r="232" ht="14.4" customHeight="1" s="152">
      <c r="A232" s="167" t="n">
        <v>231</v>
      </c>
      <c r="B232" s="167">
        <f>B200</f>
        <v/>
      </c>
      <c r="C232" s="167">
        <f>IF(H232="",F232,LEFT(F232,H232-1))</f>
        <v/>
      </c>
      <c r="D232" s="167" t="inlineStr">
        <is>
          <t>WR</t>
        </is>
      </c>
      <c r="E232" s="167">
        <f>IF(H232&lt;&gt;"",RIGHT(F232,LEN(F232)-H232-2),"")</f>
        <v/>
      </c>
      <c r="F232" s="167">
        <f>VLOOKUP(I232,$J:$S,G232,0)</f>
        <v/>
      </c>
      <c r="G232" s="167">
        <f>G200+1</f>
        <v/>
      </c>
      <c r="H232" s="167">
        <f>IFERROR(FIND(" - ",F232),"")</f>
        <v/>
      </c>
      <c r="I232" s="167">
        <f>I200</f>
        <v/>
      </c>
    </row>
    <row r="233" ht="14.4" customHeight="1" s="152">
      <c r="A233" s="167" t="n">
        <v>232</v>
      </c>
      <c r="B233" s="167">
        <f>B201</f>
        <v/>
      </c>
      <c r="C233" s="167">
        <f>IF(H233="",F233,LEFT(F233,H233-1))</f>
        <v/>
      </c>
      <c r="D233" s="167" t="inlineStr">
        <is>
          <t>WR</t>
        </is>
      </c>
      <c r="E233" s="167">
        <f>IF(H233&lt;&gt;"",RIGHT(F233,LEN(F233)-H233-2),"")</f>
        <v/>
      </c>
      <c r="F233" s="167">
        <f>VLOOKUP(I233,$J:$S,G233,0)</f>
        <v/>
      </c>
      <c r="G233" s="167">
        <f>G201+1</f>
        <v/>
      </c>
      <c r="H233" s="167">
        <f>IFERROR(FIND(" - ",F233),"")</f>
        <v/>
      </c>
      <c r="I233" s="167">
        <f>I201</f>
        <v/>
      </c>
    </row>
    <row r="234" ht="14.4" customHeight="1" s="152">
      <c r="A234" s="167" t="n">
        <v>233</v>
      </c>
      <c r="B234" s="167">
        <f>B202</f>
        <v/>
      </c>
      <c r="C234" s="167">
        <f>IF(H234="",F234,LEFT(F234,H234-1))</f>
        <v/>
      </c>
      <c r="D234" s="167" t="inlineStr">
        <is>
          <t>WR</t>
        </is>
      </c>
      <c r="E234" s="167">
        <f>IF(H234&lt;&gt;"",RIGHT(F234,LEN(F234)-H234-2),"")</f>
        <v/>
      </c>
      <c r="F234" s="167">
        <f>VLOOKUP(I234,$J:$S,G234,0)</f>
        <v/>
      </c>
      <c r="G234" s="167">
        <f>G202+1</f>
        <v/>
      </c>
      <c r="H234" s="167">
        <f>IFERROR(FIND(" - ",F234),"")</f>
        <v/>
      </c>
      <c r="I234" s="167">
        <f>I202</f>
        <v/>
      </c>
    </row>
    <row r="235" ht="14.4" customHeight="1" s="152">
      <c r="A235" s="167" t="n">
        <v>234</v>
      </c>
      <c r="B235" s="167">
        <f>B203</f>
        <v/>
      </c>
      <c r="C235" s="167">
        <f>IF(H235="",F235,LEFT(F235,H235-1))</f>
        <v/>
      </c>
      <c r="D235" s="167" t="inlineStr">
        <is>
          <t>WR</t>
        </is>
      </c>
      <c r="E235" s="167">
        <f>IF(H235&lt;&gt;"",RIGHT(F235,LEN(F235)-H235-2),"")</f>
        <v/>
      </c>
      <c r="F235" s="167">
        <f>VLOOKUP(I235,$J:$S,G235,0)</f>
        <v/>
      </c>
      <c r="G235" s="167">
        <f>G203+1</f>
        <v/>
      </c>
      <c r="H235" s="167">
        <f>IFERROR(FIND(" - ",F235),"")</f>
        <v/>
      </c>
      <c r="I235" s="167">
        <f>I203</f>
        <v/>
      </c>
    </row>
    <row r="236" ht="14.4" customHeight="1" s="152">
      <c r="A236" s="167" t="n">
        <v>235</v>
      </c>
      <c r="B236" s="167">
        <f>B204</f>
        <v/>
      </c>
      <c r="C236" s="167">
        <f>IF(H236="",F236,LEFT(F236,H236-1))</f>
        <v/>
      </c>
      <c r="D236" s="167" t="inlineStr">
        <is>
          <t>WR</t>
        </is>
      </c>
      <c r="E236" s="167">
        <f>IF(H236&lt;&gt;"",RIGHT(F236,LEN(F236)-H236-2),"")</f>
        <v/>
      </c>
      <c r="F236" s="167">
        <f>VLOOKUP(I236,$J:$S,G236,0)</f>
        <v/>
      </c>
      <c r="G236" s="167">
        <f>G204+1</f>
        <v/>
      </c>
      <c r="H236" s="167">
        <f>IFERROR(FIND(" - ",F236),"")</f>
        <v/>
      </c>
      <c r="I236" s="167">
        <f>I204</f>
        <v/>
      </c>
    </row>
    <row r="237" ht="14.4" customHeight="1" s="152">
      <c r="A237" s="167" t="n">
        <v>236</v>
      </c>
      <c r="B237" s="167">
        <f>B205</f>
        <v/>
      </c>
      <c r="C237" s="167">
        <f>IF(H237="",F237,LEFT(F237,H237-1))</f>
        <v/>
      </c>
      <c r="D237" s="167" t="inlineStr">
        <is>
          <t>WR</t>
        </is>
      </c>
      <c r="E237" s="167">
        <f>IF(H237&lt;&gt;"",RIGHT(F237,LEN(F237)-H237-2),"")</f>
        <v/>
      </c>
      <c r="F237" s="167">
        <f>VLOOKUP(I237,$J:$S,G237,0)</f>
        <v/>
      </c>
      <c r="G237" s="167">
        <f>G205+1</f>
        <v/>
      </c>
      <c r="H237" s="167">
        <f>IFERROR(FIND(" - ",F237),"")</f>
        <v/>
      </c>
      <c r="I237" s="167">
        <f>I205</f>
        <v/>
      </c>
    </row>
    <row r="238" ht="14.4" customHeight="1" s="152">
      <c r="A238" s="167" t="n">
        <v>237</v>
      </c>
      <c r="B238" s="167">
        <f>B206</f>
        <v/>
      </c>
      <c r="C238" s="167">
        <f>IF(H238="",F238,LEFT(F238,H238-1))</f>
        <v/>
      </c>
      <c r="D238" s="167" t="inlineStr">
        <is>
          <t>WR</t>
        </is>
      </c>
      <c r="E238" s="167">
        <f>IF(H238&lt;&gt;"",RIGHT(F238,LEN(F238)-H238-2),"")</f>
        <v/>
      </c>
      <c r="F238" s="167">
        <f>VLOOKUP(I238,$J:$S,G238,0)</f>
        <v/>
      </c>
      <c r="G238" s="167">
        <f>G206+1</f>
        <v/>
      </c>
      <c r="H238" s="167">
        <f>IFERROR(FIND(" - ",F238),"")</f>
        <v/>
      </c>
      <c r="I238" s="167">
        <f>I206</f>
        <v/>
      </c>
    </row>
    <row r="239" ht="14.4" customHeight="1" s="152">
      <c r="A239" s="167" t="n">
        <v>238</v>
      </c>
      <c r="B239" s="167">
        <f>B207</f>
        <v/>
      </c>
      <c r="C239" s="167">
        <f>IF(H239="",F239,LEFT(F239,H239-1))</f>
        <v/>
      </c>
      <c r="D239" s="167" t="inlineStr">
        <is>
          <t>WR</t>
        </is>
      </c>
      <c r="E239" s="167">
        <f>IF(H239&lt;&gt;"",RIGHT(F239,LEN(F239)-H239-2),"")</f>
        <v/>
      </c>
      <c r="F239" s="167">
        <f>VLOOKUP(I239,$J:$S,G239,0)</f>
        <v/>
      </c>
      <c r="G239" s="167">
        <f>G207+1</f>
        <v/>
      </c>
      <c r="H239" s="167">
        <f>IFERROR(FIND(" - ",F239),"")</f>
        <v/>
      </c>
      <c r="I239" s="167">
        <f>I207</f>
        <v/>
      </c>
    </row>
    <row r="240" ht="14.4" customHeight="1" s="152">
      <c r="A240" s="167" t="n">
        <v>239</v>
      </c>
      <c r="B240" s="167">
        <f>B208</f>
        <v/>
      </c>
      <c r="C240" s="167">
        <f>IF(H240="",F240,LEFT(F240,H240-1))</f>
        <v/>
      </c>
      <c r="D240" s="167" t="inlineStr">
        <is>
          <t>WR</t>
        </is>
      </c>
      <c r="E240" s="167">
        <f>IF(H240&lt;&gt;"",RIGHT(F240,LEN(F240)-H240-2),"")</f>
        <v/>
      </c>
      <c r="F240" s="167">
        <f>VLOOKUP(I240,$J:$S,G240,0)</f>
        <v/>
      </c>
      <c r="G240" s="167">
        <f>G208+1</f>
        <v/>
      </c>
      <c r="H240" s="167">
        <f>IFERROR(FIND(" - ",F240),"")</f>
        <v/>
      </c>
      <c r="I240" s="167">
        <f>I208</f>
        <v/>
      </c>
    </row>
    <row r="241" ht="14.4" customHeight="1" s="152">
      <c r="A241" s="167" t="n">
        <v>240</v>
      </c>
      <c r="B241" s="167">
        <f>B209</f>
        <v/>
      </c>
      <c r="C241" s="167">
        <f>IF(H241="",F241,LEFT(F241,H241-1))</f>
        <v/>
      </c>
      <c r="D241" s="167" t="inlineStr">
        <is>
          <t>WR</t>
        </is>
      </c>
      <c r="E241" s="167">
        <f>IF(H241&lt;&gt;"",RIGHT(F241,LEN(F241)-H241-2),"")</f>
        <v/>
      </c>
      <c r="F241" s="167">
        <f>VLOOKUP(I241,$J:$S,G241,0)</f>
        <v/>
      </c>
      <c r="G241" s="167">
        <f>G209+1</f>
        <v/>
      </c>
      <c r="H241" s="167">
        <f>IFERROR(FIND(" - ",F241),"")</f>
        <v/>
      </c>
      <c r="I241" s="167">
        <f>I209</f>
        <v/>
      </c>
    </row>
    <row r="242" ht="14.4" customHeight="1" s="152">
      <c r="A242" s="167" t="n">
        <v>241</v>
      </c>
      <c r="B242" s="167">
        <f>B210</f>
        <v/>
      </c>
      <c r="C242" s="167">
        <f>IF(H242="",F242,LEFT(F242,H242-1))</f>
        <v/>
      </c>
      <c r="D242" s="167" t="inlineStr">
        <is>
          <t>WR</t>
        </is>
      </c>
      <c r="E242" s="167">
        <f>IF(H242&lt;&gt;"",RIGHT(F242,LEN(F242)-H242-2),"")</f>
        <v/>
      </c>
      <c r="F242" s="167">
        <f>VLOOKUP(I242,$J:$S,G242,0)</f>
        <v/>
      </c>
      <c r="G242" s="167">
        <f>G210+1</f>
        <v/>
      </c>
      <c r="H242" s="167">
        <f>IFERROR(FIND(" - ",F242),"")</f>
        <v/>
      </c>
      <c r="I242" s="167">
        <f>I210</f>
        <v/>
      </c>
    </row>
    <row r="243" ht="14.4" customHeight="1" s="152">
      <c r="A243" s="167" t="n">
        <v>242</v>
      </c>
      <c r="B243" s="167">
        <f>B211</f>
        <v/>
      </c>
      <c r="C243" s="167">
        <f>IF(H243="",F243,LEFT(F243,H243-1))</f>
        <v/>
      </c>
      <c r="D243" s="167" t="inlineStr">
        <is>
          <t>WR</t>
        </is>
      </c>
      <c r="E243" s="167">
        <f>IF(H243&lt;&gt;"",RIGHT(F243,LEN(F243)-H243-2),"")</f>
        <v/>
      </c>
      <c r="F243" s="167">
        <f>VLOOKUP(I243,$J:$S,G243,0)</f>
        <v/>
      </c>
      <c r="G243" s="167">
        <f>G211+1</f>
        <v/>
      </c>
      <c r="H243" s="167">
        <f>IFERROR(FIND(" - ",F243),"")</f>
        <v/>
      </c>
      <c r="I243" s="167">
        <f>I211</f>
        <v/>
      </c>
    </row>
    <row r="244" ht="14.4" customHeight="1" s="152">
      <c r="A244" s="167" t="n">
        <v>243</v>
      </c>
      <c r="B244" s="167">
        <f>B212</f>
        <v/>
      </c>
      <c r="C244" s="167">
        <f>IF(H244="",F244,LEFT(F244,H244-1))</f>
        <v/>
      </c>
      <c r="D244" s="167" t="inlineStr">
        <is>
          <t>WR</t>
        </is>
      </c>
      <c r="E244" s="167">
        <f>IF(H244&lt;&gt;"",RIGHT(F244,LEN(F244)-H244-2),"")</f>
        <v/>
      </c>
      <c r="F244" s="167">
        <f>VLOOKUP(I244,$J:$S,G244,0)</f>
        <v/>
      </c>
      <c r="G244" s="167">
        <f>G212+1</f>
        <v/>
      </c>
      <c r="H244" s="167">
        <f>IFERROR(FIND(" - ",F244),"")</f>
        <v/>
      </c>
      <c r="I244" s="167">
        <f>I212</f>
        <v/>
      </c>
    </row>
    <row r="245" ht="14.4" customHeight="1" s="152">
      <c r="A245" s="167" t="n">
        <v>244</v>
      </c>
      <c r="B245" s="167">
        <f>B213</f>
        <v/>
      </c>
      <c r="C245" s="167">
        <f>IF(H245="",F245,LEFT(F245,H245-1))</f>
        <v/>
      </c>
      <c r="D245" s="167" t="inlineStr">
        <is>
          <t>WR</t>
        </is>
      </c>
      <c r="E245" s="167">
        <f>IF(H245&lt;&gt;"",RIGHT(F245,LEN(F245)-H245-2),"")</f>
        <v/>
      </c>
      <c r="F245" s="167">
        <f>VLOOKUP(I245,$J:$S,G245,0)</f>
        <v/>
      </c>
      <c r="G245" s="167">
        <f>G213+1</f>
        <v/>
      </c>
      <c r="H245" s="167">
        <f>IFERROR(FIND(" - ",F245),"")</f>
        <v/>
      </c>
      <c r="I245" s="167">
        <f>I213</f>
        <v/>
      </c>
    </row>
    <row r="246" ht="14.4" customHeight="1" s="152">
      <c r="A246" s="167" t="n">
        <v>245</v>
      </c>
      <c r="B246" s="167">
        <f>B214</f>
        <v/>
      </c>
      <c r="C246" s="167">
        <f>IF(H246="",F246,LEFT(F246,H246-1))</f>
        <v/>
      </c>
      <c r="D246" s="167" t="inlineStr">
        <is>
          <t>WR</t>
        </is>
      </c>
      <c r="E246" s="167">
        <f>IF(H246&lt;&gt;"",RIGHT(F246,LEN(F246)-H246-2),"")</f>
        <v/>
      </c>
      <c r="F246" s="167">
        <f>VLOOKUP(I246,$J:$S,G246,0)</f>
        <v/>
      </c>
      <c r="G246" s="167">
        <f>G214+1</f>
        <v/>
      </c>
      <c r="H246" s="167">
        <f>IFERROR(FIND(" - ",F246),"")</f>
        <v/>
      </c>
      <c r="I246" s="167">
        <f>I214</f>
        <v/>
      </c>
    </row>
    <row r="247" ht="14.4" customHeight="1" s="152">
      <c r="A247" s="167" t="n">
        <v>246</v>
      </c>
      <c r="B247" s="167">
        <f>B215</f>
        <v/>
      </c>
      <c r="C247" s="167">
        <f>IF(H247="",F247,LEFT(F247,H247-1))</f>
        <v/>
      </c>
      <c r="D247" s="167" t="inlineStr">
        <is>
          <t>WR</t>
        </is>
      </c>
      <c r="E247" s="167">
        <f>IF(H247&lt;&gt;"",RIGHT(F247,LEN(F247)-H247-2),"")</f>
        <v/>
      </c>
      <c r="F247" s="167">
        <f>VLOOKUP(I247,$J:$S,G247,0)</f>
        <v/>
      </c>
      <c r="G247" s="167">
        <f>G215+1</f>
        <v/>
      </c>
      <c r="H247" s="167">
        <f>IFERROR(FIND(" - ",F247),"")</f>
        <v/>
      </c>
      <c r="I247" s="167">
        <f>I215</f>
        <v/>
      </c>
    </row>
    <row r="248" ht="14.4" customHeight="1" s="152">
      <c r="A248" s="167" t="n">
        <v>247</v>
      </c>
      <c r="B248" s="167">
        <f>B216</f>
        <v/>
      </c>
      <c r="C248" s="167">
        <f>IF(H248="",F248,LEFT(F248,H248-1))</f>
        <v/>
      </c>
      <c r="D248" s="167" t="inlineStr">
        <is>
          <t>WR</t>
        </is>
      </c>
      <c r="E248" s="167">
        <f>IF(H248&lt;&gt;"",RIGHT(F248,LEN(F248)-H248-2),"")</f>
        <v/>
      </c>
      <c r="F248" s="167">
        <f>VLOOKUP(I248,$J:$S,G248,0)</f>
        <v/>
      </c>
      <c r="G248" s="167">
        <f>G216+1</f>
        <v/>
      </c>
      <c r="H248" s="167">
        <f>IFERROR(FIND(" - ",F248),"")</f>
        <v/>
      </c>
      <c r="I248" s="167">
        <f>I216</f>
        <v/>
      </c>
    </row>
    <row r="249" ht="14.4" customHeight="1" s="152">
      <c r="A249" s="167" t="n">
        <v>248</v>
      </c>
      <c r="B249" s="167">
        <f>B217</f>
        <v/>
      </c>
      <c r="C249" s="167">
        <f>IF(H249="",F249,LEFT(F249,H249-1))</f>
        <v/>
      </c>
      <c r="D249" s="167" t="inlineStr">
        <is>
          <t>WR</t>
        </is>
      </c>
      <c r="E249" s="167">
        <f>IF(H249&lt;&gt;"",RIGHT(F249,LEN(F249)-H249-2),"")</f>
        <v/>
      </c>
      <c r="F249" s="167">
        <f>VLOOKUP(I249,$J:$S,G249,0)</f>
        <v/>
      </c>
      <c r="G249" s="167">
        <f>G217+1</f>
        <v/>
      </c>
      <c r="H249" s="167">
        <f>IFERROR(FIND(" - ",F249),"")</f>
        <v/>
      </c>
      <c r="I249" s="167">
        <f>I217</f>
        <v/>
      </c>
    </row>
    <row r="250" ht="14.4" customHeight="1" s="152">
      <c r="A250" s="167" t="n">
        <v>249</v>
      </c>
      <c r="B250" s="167">
        <f>B218</f>
        <v/>
      </c>
      <c r="C250" s="167">
        <f>IF(H250="",F250,LEFT(F250,H250-1))</f>
        <v/>
      </c>
      <c r="D250" s="167" t="inlineStr">
        <is>
          <t>WR</t>
        </is>
      </c>
      <c r="E250" s="167">
        <f>IF(H250&lt;&gt;"",RIGHT(F250,LEN(F250)-H250-2),"")</f>
        <v/>
      </c>
      <c r="F250" s="167">
        <f>VLOOKUP(I250,$J:$S,G250,0)</f>
        <v/>
      </c>
      <c r="G250" s="167">
        <f>G218+1</f>
        <v/>
      </c>
      <c r="H250" s="167">
        <f>IFERROR(FIND(" - ",F250),"")</f>
        <v/>
      </c>
      <c r="I250" s="167">
        <f>I218</f>
        <v/>
      </c>
    </row>
    <row r="251" ht="14.4" customHeight="1" s="152">
      <c r="A251" s="167" t="n">
        <v>250</v>
      </c>
      <c r="B251" s="167">
        <f>B219</f>
        <v/>
      </c>
      <c r="C251" s="167">
        <f>IF(H251="",F251,LEFT(F251,H251-1))</f>
        <v/>
      </c>
      <c r="D251" s="167" t="inlineStr">
        <is>
          <t>WR</t>
        </is>
      </c>
      <c r="E251" s="167">
        <f>IF(H251&lt;&gt;"",RIGHT(F251,LEN(F251)-H251-2),"")</f>
        <v/>
      </c>
      <c r="F251" s="167">
        <f>VLOOKUP(I251,$J:$S,G251,0)</f>
        <v/>
      </c>
      <c r="G251" s="167">
        <f>G219+1</f>
        <v/>
      </c>
      <c r="H251" s="167">
        <f>IFERROR(FIND(" - ",F251),"")</f>
        <v/>
      </c>
      <c r="I251" s="167">
        <f>I219</f>
        <v/>
      </c>
    </row>
    <row r="252" ht="14.4" customHeight="1" s="152">
      <c r="A252" s="167" t="n">
        <v>251</v>
      </c>
      <c r="B252" s="167">
        <f>B220</f>
        <v/>
      </c>
      <c r="C252" s="167">
        <f>IF(H252="",F252,LEFT(F252,H252-1))</f>
        <v/>
      </c>
      <c r="D252" s="167" t="inlineStr">
        <is>
          <t>WR</t>
        </is>
      </c>
      <c r="E252" s="167">
        <f>IF(H252&lt;&gt;"",RIGHT(F252,LEN(F252)-H252-2),"")</f>
        <v/>
      </c>
      <c r="F252" s="167">
        <f>VLOOKUP(I252,$J:$S,G252,0)</f>
        <v/>
      </c>
      <c r="G252" s="167">
        <f>G220+1</f>
        <v/>
      </c>
      <c r="H252" s="167">
        <f>IFERROR(FIND(" - ",F252),"")</f>
        <v/>
      </c>
      <c r="I252" s="167">
        <f>I220</f>
        <v/>
      </c>
    </row>
    <row r="253" ht="14.4" customHeight="1" s="152">
      <c r="A253" s="167" t="n">
        <v>252</v>
      </c>
      <c r="B253" s="167">
        <f>B221</f>
        <v/>
      </c>
      <c r="C253" s="167">
        <f>IF(H253="",F253,LEFT(F253,H253-1))</f>
        <v/>
      </c>
      <c r="D253" s="167" t="inlineStr">
        <is>
          <t>WR</t>
        </is>
      </c>
      <c r="E253" s="167">
        <f>IF(H253&lt;&gt;"",RIGHT(F253,LEN(F253)-H253-2),"")</f>
        <v/>
      </c>
      <c r="F253" s="167">
        <f>VLOOKUP(I253,$J:$S,G253,0)</f>
        <v/>
      </c>
      <c r="G253" s="167">
        <f>G221+1</f>
        <v/>
      </c>
      <c r="H253" s="167">
        <f>IFERROR(FIND(" - ",F253),"")</f>
        <v/>
      </c>
      <c r="I253" s="167">
        <f>I221</f>
        <v/>
      </c>
    </row>
    <row r="254" ht="14.4" customHeight="1" s="152">
      <c r="A254" s="167" t="n">
        <v>253</v>
      </c>
      <c r="B254" s="167">
        <f>B222</f>
        <v/>
      </c>
      <c r="C254" s="167">
        <f>IF(H254="",F254,LEFT(F254,H254-1))</f>
        <v/>
      </c>
      <c r="D254" s="167" t="inlineStr">
        <is>
          <t>WR</t>
        </is>
      </c>
      <c r="E254" s="167">
        <f>IF(H254&lt;&gt;"",RIGHT(F254,LEN(F254)-H254-2),"")</f>
        <v/>
      </c>
      <c r="F254" s="167">
        <f>VLOOKUP(I254,$J:$S,G254,0)</f>
        <v/>
      </c>
      <c r="G254" s="167">
        <f>G222+1</f>
        <v/>
      </c>
      <c r="H254" s="167">
        <f>IFERROR(FIND(" - ",F254),"")</f>
        <v/>
      </c>
      <c r="I254" s="167">
        <f>I222</f>
        <v/>
      </c>
    </row>
    <row r="255" ht="14.4" customHeight="1" s="152">
      <c r="A255" s="167" t="n">
        <v>254</v>
      </c>
      <c r="B255" s="167">
        <f>B223</f>
        <v/>
      </c>
      <c r="C255" s="167">
        <f>IF(H255="",F255,LEFT(F255,H255-1))</f>
        <v/>
      </c>
      <c r="D255" s="167" t="inlineStr">
        <is>
          <t>WR</t>
        </is>
      </c>
      <c r="E255" s="167">
        <f>IF(H255&lt;&gt;"",RIGHT(F255,LEN(F255)-H255-2),"")</f>
        <v/>
      </c>
      <c r="F255" s="167">
        <f>VLOOKUP(I255,$J:$S,G255,0)</f>
        <v/>
      </c>
      <c r="G255" s="167">
        <f>G223+1</f>
        <v/>
      </c>
      <c r="H255" s="167">
        <f>IFERROR(FIND(" - ",F255),"")</f>
        <v/>
      </c>
      <c r="I255" s="167">
        <f>I223</f>
        <v/>
      </c>
    </row>
    <row r="256" ht="14.4" customHeight="1" s="152">
      <c r="A256" s="167" t="n">
        <v>255</v>
      </c>
      <c r="B256" s="167">
        <f>B224</f>
        <v/>
      </c>
      <c r="C256" s="167">
        <f>IF(H256="",F256,LEFT(F256,H256-1))</f>
        <v/>
      </c>
      <c r="D256" s="167" t="inlineStr">
        <is>
          <t>WR</t>
        </is>
      </c>
      <c r="E256" s="167">
        <f>IF(H256&lt;&gt;"",RIGHT(F256,LEN(F256)-H256-2),"")</f>
        <v/>
      </c>
      <c r="F256" s="167">
        <f>VLOOKUP(I256,$J:$S,G256,0)</f>
        <v/>
      </c>
      <c r="G256" s="167">
        <f>G224+1</f>
        <v/>
      </c>
      <c r="H256" s="167">
        <f>IFERROR(FIND(" - ",F256),"")</f>
        <v/>
      </c>
      <c r="I256" s="167">
        <f>I224</f>
        <v/>
      </c>
    </row>
    <row r="257" ht="14.4" customHeight="1" s="152">
      <c r="A257" s="167" t="n">
        <v>256</v>
      </c>
      <c r="B257" s="167">
        <f>B225</f>
        <v/>
      </c>
      <c r="C257" s="167">
        <f>IF(H257="",F257,LEFT(F257,H257-1))</f>
        <v/>
      </c>
      <c r="D257" s="167" t="inlineStr">
        <is>
          <t>WR</t>
        </is>
      </c>
      <c r="E257" s="167">
        <f>IF(H257&lt;&gt;"",RIGHT(F257,LEN(F257)-H257-2),"")</f>
        <v/>
      </c>
      <c r="F257" s="167">
        <f>VLOOKUP(I257,$J:$S,G257,0)</f>
        <v/>
      </c>
      <c r="G257" s="167">
        <f>G225+1</f>
        <v/>
      </c>
      <c r="H257" s="167">
        <f>IFERROR(FIND(" - ",F257),"")</f>
        <v/>
      </c>
      <c r="I257" s="167">
        <f>I225</f>
        <v/>
      </c>
    </row>
    <row r="258" ht="14.4" customHeight="1" s="152">
      <c r="A258" s="167" t="n">
        <v>257</v>
      </c>
      <c r="B258" s="167">
        <f>B226</f>
        <v/>
      </c>
      <c r="C258" s="167">
        <f>IF(H258="",F258,LEFT(F258,H258-1))</f>
        <v/>
      </c>
      <c r="D258" s="167" t="inlineStr">
        <is>
          <t>WR</t>
        </is>
      </c>
      <c r="E258" s="167">
        <f>IF(H258&lt;&gt;"",RIGHT(F258,LEN(F258)-H258-2),"")</f>
        <v/>
      </c>
      <c r="F258" s="167">
        <f>VLOOKUP(I258,$J:$S,G258,0)</f>
        <v/>
      </c>
      <c r="G258" s="167">
        <f>G226+1</f>
        <v/>
      </c>
      <c r="H258" s="167">
        <f>IFERROR(FIND(" - ",F258),"")</f>
        <v/>
      </c>
      <c r="I258" s="167">
        <f>I226</f>
        <v/>
      </c>
    </row>
    <row r="259" ht="14.4" customHeight="1" s="152">
      <c r="A259" s="167" t="n">
        <v>258</v>
      </c>
      <c r="B259" s="167">
        <f>B227</f>
        <v/>
      </c>
      <c r="C259" s="167">
        <f>IF(H259="",F259,LEFT(F259,H259-1))</f>
        <v/>
      </c>
      <c r="D259" s="167" t="inlineStr">
        <is>
          <t>WR</t>
        </is>
      </c>
      <c r="E259" s="167">
        <f>IF(H259&lt;&gt;"",RIGHT(F259,LEN(F259)-H259-2),"")</f>
        <v/>
      </c>
      <c r="F259" s="167">
        <f>VLOOKUP(I259,$J:$S,G259,0)</f>
        <v/>
      </c>
      <c r="G259" s="167">
        <f>G227+1</f>
        <v/>
      </c>
      <c r="H259" s="167">
        <f>IFERROR(FIND(" - ",F259),"")</f>
        <v/>
      </c>
      <c r="I259" s="167">
        <f>I227</f>
        <v/>
      </c>
    </row>
    <row r="260" ht="14.4" customHeight="1" s="152">
      <c r="A260" s="167" t="n">
        <v>259</v>
      </c>
      <c r="B260" s="167">
        <f>B228</f>
        <v/>
      </c>
      <c r="C260" s="167">
        <f>IF(H260="",F260,LEFT(F260,H260-1))</f>
        <v/>
      </c>
      <c r="D260" s="167" t="inlineStr">
        <is>
          <t>WR</t>
        </is>
      </c>
      <c r="E260" s="167">
        <f>IF(H260&lt;&gt;"",RIGHT(F260,LEN(F260)-H260-2),"")</f>
        <v/>
      </c>
      <c r="F260" s="167">
        <f>VLOOKUP(I260,$J:$S,G260,0)</f>
        <v/>
      </c>
      <c r="G260" s="167">
        <f>G228+1</f>
        <v/>
      </c>
      <c r="H260" s="167">
        <f>IFERROR(FIND(" - ",F260),"")</f>
        <v/>
      </c>
      <c r="I260" s="167">
        <f>I228</f>
        <v/>
      </c>
    </row>
    <row r="261" ht="14.4" customHeight="1" s="152">
      <c r="A261" s="167" t="n">
        <v>260</v>
      </c>
      <c r="B261" s="167">
        <f>B229</f>
        <v/>
      </c>
      <c r="C261" s="167">
        <f>IF(H261="",F261,LEFT(F261,H261-1))</f>
        <v/>
      </c>
      <c r="D261" s="167" t="inlineStr">
        <is>
          <t>WR</t>
        </is>
      </c>
      <c r="E261" s="167">
        <f>IF(H261&lt;&gt;"",RIGHT(F261,LEN(F261)-H261-2),"")</f>
        <v/>
      </c>
      <c r="F261" s="167">
        <f>VLOOKUP(I261,$J:$S,G261,0)</f>
        <v/>
      </c>
      <c r="G261" s="167">
        <f>G229+1</f>
        <v/>
      </c>
      <c r="H261" s="167">
        <f>IFERROR(FIND(" - ",F261),"")</f>
        <v/>
      </c>
      <c r="I261" s="167">
        <f>I229</f>
        <v/>
      </c>
    </row>
    <row r="262" ht="14.4" customHeight="1" s="152">
      <c r="A262" s="167" t="n">
        <v>261</v>
      </c>
      <c r="B262" s="167">
        <f>B230</f>
        <v/>
      </c>
      <c r="C262" s="167">
        <f>IF(H262="",F262,LEFT(F262,H262-1))</f>
        <v/>
      </c>
      <c r="D262" s="167" t="inlineStr">
        <is>
          <t>WR</t>
        </is>
      </c>
      <c r="E262" s="167">
        <f>IF(H262&lt;&gt;"",RIGHT(F262,LEN(F262)-H262-2),"")</f>
        <v/>
      </c>
      <c r="F262" s="167">
        <f>VLOOKUP(I262,$J:$S,G262,0)</f>
        <v/>
      </c>
      <c r="G262" s="167">
        <f>G230+1</f>
        <v/>
      </c>
      <c r="H262" s="167">
        <f>IFERROR(FIND(" - ",F262),"")</f>
        <v/>
      </c>
      <c r="I262" s="167">
        <f>I230</f>
        <v/>
      </c>
    </row>
    <row r="263" ht="14.4" customHeight="1" s="152">
      <c r="A263" s="167" t="n">
        <v>262</v>
      </c>
      <c r="B263" s="167">
        <f>B231</f>
        <v/>
      </c>
      <c r="C263" s="167">
        <f>IF(H263="",F263,LEFT(F263,H263-1))</f>
        <v/>
      </c>
      <c r="D263" s="167" t="inlineStr">
        <is>
          <t>WR</t>
        </is>
      </c>
      <c r="E263" s="167">
        <f>IF(H263&lt;&gt;"",RIGHT(F263,LEN(F263)-H263-2),"")</f>
        <v/>
      </c>
      <c r="F263" s="167">
        <f>VLOOKUP(I263,$J:$S,G263,0)</f>
        <v/>
      </c>
      <c r="G263" s="167">
        <f>G231+1</f>
        <v/>
      </c>
      <c r="H263" s="167">
        <f>IFERROR(FIND(" - ",F263),"")</f>
        <v/>
      </c>
      <c r="I263" s="167">
        <f>I231</f>
        <v/>
      </c>
    </row>
    <row r="264" ht="14.4" customHeight="1" s="152">
      <c r="A264" s="167" t="n">
        <v>263</v>
      </c>
      <c r="B264" s="167">
        <f>B232</f>
        <v/>
      </c>
      <c r="C264" s="167">
        <f>IF(H264="",F264,LEFT(F264,H264-1))</f>
        <v/>
      </c>
      <c r="D264" s="167" t="inlineStr">
        <is>
          <t>WR</t>
        </is>
      </c>
      <c r="E264" s="167">
        <f>IF(H264&lt;&gt;"",RIGHT(F264,LEN(F264)-H264-2),"")</f>
        <v/>
      </c>
      <c r="F264" s="167">
        <f>VLOOKUP(I264,$J:$S,G264,0)</f>
        <v/>
      </c>
      <c r="G264" s="167">
        <f>G232+1</f>
        <v/>
      </c>
      <c r="H264" s="167">
        <f>IFERROR(FIND(" - ",F264),"")</f>
        <v/>
      </c>
      <c r="I264" s="167">
        <f>I232</f>
        <v/>
      </c>
    </row>
    <row r="265" ht="14.4" customHeight="1" s="152">
      <c r="A265" s="167" t="n">
        <v>264</v>
      </c>
      <c r="B265" s="167">
        <f>B233</f>
        <v/>
      </c>
      <c r="C265" s="167">
        <f>IF(H265="",F265,LEFT(F265,H265-1))</f>
        <v/>
      </c>
      <c r="D265" s="167" t="inlineStr">
        <is>
          <t>WR</t>
        </is>
      </c>
      <c r="E265" s="167">
        <f>IF(H265&lt;&gt;"",RIGHT(F265,LEN(F265)-H265-2),"")</f>
        <v/>
      </c>
      <c r="F265" s="167">
        <f>VLOOKUP(I265,$J:$S,G265,0)</f>
        <v/>
      </c>
      <c r="G265" s="167">
        <f>G233+1</f>
        <v/>
      </c>
      <c r="H265" s="167">
        <f>IFERROR(FIND(" - ",F265),"")</f>
        <v/>
      </c>
      <c r="I265" s="167">
        <f>I233</f>
        <v/>
      </c>
    </row>
    <row r="266" ht="14.4" customHeight="1" s="152">
      <c r="A266" s="167" t="n">
        <v>265</v>
      </c>
      <c r="B266" s="167">
        <f>B234</f>
        <v/>
      </c>
      <c r="C266" s="167">
        <f>IF(H266="",F266,LEFT(F266,H266-1))</f>
        <v/>
      </c>
      <c r="D266" s="167" t="inlineStr">
        <is>
          <t>WR</t>
        </is>
      </c>
      <c r="E266" s="167">
        <f>IF(H266&lt;&gt;"",RIGHT(F266,LEN(F266)-H266-2),"")</f>
        <v/>
      </c>
      <c r="F266" s="167">
        <f>VLOOKUP(I266,$J:$S,G266,0)</f>
        <v/>
      </c>
      <c r="G266" s="167">
        <f>G234+1</f>
        <v/>
      </c>
      <c r="H266" s="167">
        <f>IFERROR(FIND(" - ",F266),"")</f>
        <v/>
      </c>
      <c r="I266" s="167">
        <f>I234</f>
        <v/>
      </c>
    </row>
    <row r="267" ht="14.4" customHeight="1" s="152">
      <c r="A267" s="167" t="n">
        <v>266</v>
      </c>
      <c r="B267" s="167">
        <f>B235</f>
        <v/>
      </c>
      <c r="C267" s="167">
        <f>IF(H267="",F267,LEFT(F267,H267-1))</f>
        <v/>
      </c>
      <c r="D267" s="167" t="inlineStr">
        <is>
          <t>WR</t>
        </is>
      </c>
      <c r="E267" s="167">
        <f>IF(H267&lt;&gt;"",RIGHT(F267,LEN(F267)-H267-2),"")</f>
        <v/>
      </c>
      <c r="F267" s="167">
        <f>VLOOKUP(I267,$J:$S,G267,0)</f>
        <v/>
      </c>
      <c r="G267" s="167">
        <f>G235+1</f>
        <v/>
      </c>
      <c r="H267" s="167">
        <f>IFERROR(FIND(" - ",F267),"")</f>
        <v/>
      </c>
      <c r="I267" s="167">
        <f>I235</f>
        <v/>
      </c>
    </row>
    <row r="268" ht="14.4" customHeight="1" s="152">
      <c r="A268" s="167" t="n">
        <v>267</v>
      </c>
      <c r="B268" s="167">
        <f>B236</f>
        <v/>
      </c>
      <c r="C268" s="167">
        <f>IF(H268="",F268,LEFT(F268,H268-1))</f>
        <v/>
      </c>
      <c r="D268" s="167" t="inlineStr">
        <is>
          <t>WR</t>
        </is>
      </c>
      <c r="E268" s="167">
        <f>IF(H268&lt;&gt;"",RIGHT(F268,LEN(F268)-H268-2),"")</f>
        <v/>
      </c>
      <c r="F268" s="167">
        <f>VLOOKUP(I268,$J:$S,G268,0)</f>
        <v/>
      </c>
      <c r="G268" s="167">
        <f>G236+1</f>
        <v/>
      </c>
      <c r="H268" s="167">
        <f>IFERROR(FIND(" - ",F268),"")</f>
        <v/>
      </c>
      <c r="I268" s="167">
        <f>I236</f>
        <v/>
      </c>
    </row>
    <row r="269" ht="14.4" customHeight="1" s="152">
      <c r="A269" s="167" t="n">
        <v>268</v>
      </c>
      <c r="B269" s="167">
        <f>B237</f>
        <v/>
      </c>
      <c r="C269" s="167">
        <f>IF(H269="",F269,LEFT(F269,H269-1))</f>
        <v/>
      </c>
      <c r="D269" s="167" t="inlineStr">
        <is>
          <t>WR</t>
        </is>
      </c>
      <c r="E269" s="167">
        <f>IF(H269&lt;&gt;"",RIGHT(F269,LEN(F269)-H269-2),"")</f>
        <v/>
      </c>
      <c r="F269" s="167">
        <f>VLOOKUP(I269,$J:$S,G269,0)</f>
        <v/>
      </c>
      <c r="G269" s="167">
        <f>G237+1</f>
        <v/>
      </c>
      <c r="H269" s="167">
        <f>IFERROR(FIND(" - ",F269),"")</f>
        <v/>
      </c>
      <c r="I269" s="167">
        <f>I237</f>
        <v/>
      </c>
    </row>
    <row r="270" ht="14.4" customHeight="1" s="152">
      <c r="A270" s="167" t="n">
        <v>269</v>
      </c>
      <c r="B270" s="167">
        <f>B238</f>
        <v/>
      </c>
      <c r="C270" s="167">
        <f>IF(H270="",F270,LEFT(F270,H270-1))</f>
        <v/>
      </c>
      <c r="D270" s="167" t="inlineStr">
        <is>
          <t>WR</t>
        </is>
      </c>
      <c r="E270" s="167">
        <f>IF(H270&lt;&gt;"",RIGHT(F270,LEN(F270)-H270-2),"")</f>
        <v/>
      </c>
      <c r="F270" s="167">
        <f>VLOOKUP(I270,$J:$S,G270,0)</f>
        <v/>
      </c>
      <c r="G270" s="167">
        <f>G238+1</f>
        <v/>
      </c>
      <c r="H270" s="167">
        <f>IFERROR(FIND(" - ",F270),"")</f>
        <v/>
      </c>
      <c r="I270" s="167">
        <f>I238</f>
        <v/>
      </c>
    </row>
    <row r="271" ht="14.4" customHeight="1" s="152">
      <c r="A271" s="167" t="n">
        <v>270</v>
      </c>
      <c r="B271" s="167">
        <f>B239</f>
        <v/>
      </c>
      <c r="C271" s="167">
        <f>IF(H271="",F271,LEFT(F271,H271-1))</f>
        <v/>
      </c>
      <c r="D271" s="167" t="inlineStr">
        <is>
          <t>WR</t>
        </is>
      </c>
      <c r="E271" s="167">
        <f>IF(H271&lt;&gt;"",RIGHT(F271,LEN(F271)-H271-2),"")</f>
        <v/>
      </c>
      <c r="F271" s="167">
        <f>VLOOKUP(I271,$J:$S,G271,0)</f>
        <v/>
      </c>
      <c r="G271" s="167">
        <f>G239+1</f>
        <v/>
      </c>
      <c r="H271" s="167">
        <f>IFERROR(FIND(" - ",F271),"")</f>
        <v/>
      </c>
      <c r="I271" s="167">
        <f>I239</f>
        <v/>
      </c>
    </row>
    <row r="272" ht="14.4" customHeight="1" s="152">
      <c r="A272" s="167" t="n">
        <v>271</v>
      </c>
      <c r="B272" s="167">
        <f>B240</f>
        <v/>
      </c>
      <c r="C272" s="167">
        <f>IF(H272="",F272,LEFT(F272,H272-1))</f>
        <v/>
      </c>
      <c r="D272" s="167" t="inlineStr">
        <is>
          <t>WR</t>
        </is>
      </c>
      <c r="E272" s="167">
        <f>IF(H272&lt;&gt;"",RIGHT(F272,LEN(F272)-H272-2),"")</f>
        <v/>
      </c>
      <c r="F272" s="167">
        <f>VLOOKUP(I272,$J:$S,G272,0)</f>
        <v/>
      </c>
      <c r="G272" s="167">
        <f>G240+1</f>
        <v/>
      </c>
      <c r="H272" s="167">
        <f>IFERROR(FIND(" - ",F272),"")</f>
        <v/>
      </c>
      <c r="I272" s="167">
        <f>I240</f>
        <v/>
      </c>
    </row>
    <row r="273" ht="14.4" customHeight="1" s="152">
      <c r="A273" s="167" t="n">
        <v>272</v>
      </c>
      <c r="B273" s="167">
        <f>B241</f>
        <v/>
      </c>
      <c r="C273" s="167">
        <f>IF(H273="",F273,LEFT(F273,H273-1))</f>
        <v/>
      </c>
      <c r="D273" s="167" t="inlineStr">
        <is>
          <t>WR</t>
        </is>
      </c>
      <c r="E273" s="167">
        <f>IF(H273&lt;&gt;"",RIGHT(F273,LEN(F273)-H273-2),"")</f>
        <v/>
      </c>
      <c r="F273" s="167">
        <f>VLOOKUP(I273,$J:$S,G273,0)</f>
        <v/>
      </c>
      <c r="G273" s="167">
        <f>G241+1</f>
        <v/>
      </c>
      <c r="H273" s="167">
        <f>IFERROR(FIND(" - ",F273),"")</f>
        <v/>
      </c>
      <c r="I273" s="167">
        <f>I241</f>
        <v/>
      </c>
    </row>
    <row r="274" ht="14.4" customHeight="1" s="152">
      <c r="A274" s="167" t="n">
        <v>273</v>
      </c>
      <c r="B274" s="167">
        <f>B242</f>
        <v/>
      </c>
      <c r="C274" s="167">
        <f>IF(H274="",F274,LEFT(F274,H274-1))</f>
        <v/>
      </c>
      <c r="D274" s="167" t="inlineStr">
        <is>
          <t>WR</t>
        </is>
      </c>
      <c r="E274" s="167">
        <f>IF(H274&lt;&gt;"",RIGHT(F274,LEN(F274)-H274-2),"")</f>
        <v/>
      </c>
      <c r="F274" s="167">
        <f>VLOOKUP(I274,$J:$S,G274,0)</f>
        <v/>
      </c>
      <c r="G274" s="167">
        <f>G242+1</f>
        <v/>
      </c>
      <c r="H274" s="167">
        <f>IFERROR(FIND(" - ",F274),"")</f>
        <v/>
      </c>
      <c r="I274" s="167">
        <f>I242</f>
        <v/>
      </c>
    </row>
    <row r="275" ht="14.4" customHeight="1" s="152">
      <c r="A275" s="167" t="n">
        <v>274</v>
      </c>
      <c r="B275" s="167">
        <f>B243</f>
        <v/>
      </c>
      <c r="C275" s="167">
        <f>IF(H275="",F275,LEFT(F275,H275-1))</f>
        <v/>
      </c>
      <c r="D275" s="167" t="inlineStr">
        <is>
          <t>WR</t>
        </is>
      </c>
      <c r="E275" s="167">
        <f>IF(H275&lt;&gt;"",RIGHT(F275,LEN(F275)-H275-2),"")</f>
        <v/>
      </c>
      <c r="F275" s="167">
        <f>VLOOKUP(I275,$J:$S,G275,0)</f>
        <v/>
      </c>
      <c r="G275" s="167">
        <f>G243+1</f>
        <v/>
      </c>
      <c r="H275" s="167">
        <f>IFERROR(FIND(" - ",F275),"")</f>
        <v/>
      </c>
      <c r="I275" s="167">
        <f>I243</f>
        <v/>
      </c>
    </row>
    <row r="276" ht="14.4" customHeight="1" s="152">
      <c r="A276" s="167" t="n">
        <v>275</v>
      </c>
      <c r="B276" s="167">
        <f>B244</f>
        <v/>
      </c>
      <c r="C276" s="167">
        <f>IF(H276="",F276,LEFT(F276,H276-1))</f>
        <v/>
      </c>
      <c r="D276" s="167" t="inlineStr">
        <is>
          <t>WR</t>
        </is>
      </c>
      <c r="E276" s="167">
        <f>IF(H276&lt;&gt;"",RIGHT(F276,LEN(F276)-H276-2),"")</f>
        <v/>
      </c>
      <c r="F276" s="167">
        <f>VLOOKUP(I276,$J:$S,G276,0)</f>
        <v/>
      </c>
      <c r="G276" s="167">
        <f>G244+1</f>
        <v/>
      </c>
      <c r="H276" s="167">
        <f>IFERROR(FIND(" - ",F276),"")</f>
        <v/>
      </c>
      <c r="I276" s="167">
        <f>I244</f>
        <v/>
      </c>
    </row>
    <row r="277" ht="14.4" customHeight="1" s="152">
      <c r="A277" s="167" t="n">
        <v>276</v>
      </c>
      <c r="B277" s="167">
        <f>B245</f>
        <v/>
      </c>
      <c r="C277" s="167">
        <f>IF(H277="",F277,LEFT(F277,H277-1))</f>
        <v/>
      </c>
      <c r="D277" s="167" t="inlineStr">
        <is>
          <t>WR</t>
        </is>
      </c>
      <c r="E277" s="167">
        <f>IF(H277&lt;&gt;"",RIGHT(F277,LEN(F277)-H277-2),"")</f>
        <v/>
      </c>
      <c r="F277" s="167">
        <f>VLOOKUP(I277,$J:$S,G277,0)</f>
        <v/>
      </c>
      <c r="G277" s="167">
        <f>G245+1</f>
        <v/>
      </c>
      <c r="H277" s="167">
        <f>IFERROR(FIND(" - ",F277),"")</f>
        <v/>
      </c>
      <c r="I277" s="167">
        <f>I245</f>
        <v/>
      </c>
    </row>
    <row r="278" ht="14.4" customHeight="1" s="152">
      <c r="A278" s="167" t="n">
        <v>277</v>
      </c>
      <c r="B278" s="167">
        <f>B246</f>
        <v/>
      </c>
      <c r="C278" s="167">
        <f>IF(H278="",F278,LEFT(F278,H278-1))</f>
        <v/>
      </c>
      <c r="D278" s="167" t="inlineStr">
        <is>
          <t>WR</t>
        </is>
      </c>
      <c r="E278" s="167">
        <f>IF(H278&lt;&gt;"",RIGHT(F278,LEN(F278)-H278-2),"")</f>
        <v/>
      </c>
      <c r="F278" s="167">
        <f>VLOOKUP(I278,$J:$S,G278,0)</f>
        <v/>
      </c>
      <c r="G278" s="167">
        <f>G246+1</f>
        <v/>
      </c>
      <c r="H278" s="167">
        <f>IFERROR(FIND(" - ",F278),"")</f>
        <v/>
      </c>
      <c r="I278" s="167">
        <f>I246</f>
        <v/>
      </c>
    </row>
    <row r="279" ht="14.4" customHeight="1" s="152">
      <c r="A279" s="167" t="n">
        <v>278</v>
      </c>
      <c r="B279" s="167">
        <f>B247</f>
        <v/>
      </c>
      <c r="C279" s="167">
        <f>IF(H279="",F279,LEFT(F279,H279-1))</f>
        <v/>
      </c>
      <c r="D279" s="167" t="inlineStr">
        <is>
          <t>WR</t>
        </is>
      </c>
      <c r="E279" s="167">
        <f>IF(H279&lt;&gt;"",RIGHT(F279,LEN(F279)-H279-2),"")</f>
        <v/>
      </c>
      <c r="F279" s="167">
        <f>VLOOKUP(I279,$J:$S,G279,0)</f>
        <v/>
      </c>
      <c r="G279" s="167">
        <f>G247+1</f>
        <v/>
      </c>
      <c r="H279" s="167">
        <f>IFERROR(FIND(" - ",F279),"")</f>
        <v/>
      </c>
      <c r="I279" s="167">
        <f>I247</f>
        <v/>
      </c>
    </row>
    <row r="280" ht="14.4" customHeight="1" s="152">
      <c r="A280" s="167" t="n">
        <v>279</v>
      </c>
      <c r="B280" s="167">
        <f>B248</f>
        <v/>
      </c>
      <c r="C280" s="167">
        <f>IF(H280="",F280,LEFT(F280,H280-1))</f>
        <v/>
      </c>
      <c r="D280" s="167" t="inlineStr">
        <is>
          <t>WR</t>
        </is>
      </c>
      <c r="E280" s="167">
        <f>IF(H280&lt;&gt;"",RIGHT(F280,LEN(F280)-H280-2),"")</f>
        <v/>
      </c>
      <c r="F280" s="167">
        <f>VLOOKUP(I280,$J:$S,G280,0)</f>
        <v/>
      </c>
      <c r="G280" s="167">
        <f>G248+1</f>
        <v/>
      </c>
      <c r="H280" s="167">
        <f>IFERROR(FIND(" - ",F280),"")</f>
        <v/>
      </c>
      <c r="I280" s="167">
        <f>I248</f>
        <v/>
      </c>
    </row>
    <row r="281" ht="14.4" customHeight="1" s="152">
      <c r="A281" s="167" t="n">
        <v>280</v>
      </c>
      <c r="B281" s="167">
        <f>B249</f>
        <v/>
      </c>
      <c r="C281" s="167">
        <f>IF(H281="",F281,LEFT(F281,H281-1))</f>
        <v/>
      </c>
      <c r="D281" s="167" t="inlineStr">
        <is>
          <t>WR</t>
        </is>
      </c>
      <c r="E281" s="167">
        <f>IF(H281&lt;&gt;"",RIGHT(F281,LEN(F281)-H281-2),"")</f>
        <v/>
      </c>
      <c r="F281" s="167">
        <f>VLOOKUP(I281,$J:$S,G281,0)</f>
        <v/>
      </c>
      <c r="G281" s="167">
        <f>G249+1</f>
        <v/>
      </c>
      <c r="H281" s="167">
        <f>IFERROR(FIND(" - ",F281),"")</f>
        <v/>
      </c>
      <c r="I281" s="167">
        <f>I249</f>
        <v/>
      </c>
    </row>
    <row r="282" ht="14.4" customHeight="1" s="152">
      <c r="A282" s="167" t="n">
        <v>281</v>
      </c>
      <c r="B282" s="167">
        <f>B250</f>
        <v/>
      </c>
      <c r="C282" s="167">
        <f>IF(H282="",F282,LEFT(F282,H282-1))</f>
        <v/>
      </c>
      <c r="D282" s="167" t="inlineStr">
        <is>
          <t>WR</t>
        </is>
      </c>
      <c r="E282" s="167">
        <f>IF(H282&lt;&gt;"",RIGHT(F282,LEN(F282)-H282-2),"")</f>
        <v/>
      </c>
      <c r="F282" s="167">
        <f>VLOOKUP(I282,$J:$S,G282,0)</f>
        <v/>
      </c>
      <c r="G282" s="167">
        <f>G250+1</f>
        <v/>
      </c>
      <c r="H282" s="167">
        <f>IFERROR(FIND(" - ",F282),"")</f>
        <v/>
      </c>
      <c r="I282" s="167">
        <f>I250</f>
        <v/>
      </c>
    </row>
    <row r="283" ht="14.4" customHeight="1" s="152">
      <c r="A283" s="167" t="n">
        <v>282</v>
      </c>
      <c r="B283" s="167">
        <f>B251</f>
        <v/>
      </c>
      <c r="C283" s="167">
        <f>IF(H283="",F283,LEFT(F283,H283-1))</f>
        <v/>
      </c>
      <c r="D283" s="167" t="inlineStr">
        <is>
          <t>WR</t>
        </is>
      </c>
      <c r="E283" s="167">
        <f>IF(H283&lt;&gt;"",RIGHT(F283,LEN(F283)-H283-2),"")</f>
        <v/>
      </c>
      <c r="F283" s="167">
        <f>VLOOKUP(I283,$J:$S,G283,0)</f>
        <v/>
      </c>
      <c r="G283" s="167">
        <f>G251+1</f>
        <v/>
      </c>
      <c r="H283" s="167">
        <f>IFERROR(FIND(" - ",F283),"")</f>
        <v/>
      </c>
      <c r="I283" s="167">
        <f>I251</f>
        <v/>
      </c>
    </row>
    <row r="284" ht="14.4" customHeight="1" s="152">
      <c r="A284" s="167" t="n">
        <v>283</v>
      </c>
      <c r="B284" s="167">
        <f>B252</f>
        <v/>
      </c>
      <c r="C284" s="167">
        <f>IF(H284="",F284,LEFT(F284,H284-1))</f>
        <v/>
      </c>
      <c r="D284" s="167" t="inlineStr">
        <is>
          <t>WR</t>
        </is>
      </c>
      <c r="E284" s="167">
        <f>IF(H284&lt;&gt;"",RIGHT(F284,LEN(F284)-H284-2),"")</f>
        <v/>
      </c>
      <c r="F284" s="167">
        <f>VLOOKUP(I284,$J:$S,G284,0)</f>
        <v/>
      </c>
      <c r="G284" s="167">
        <f>G252+1</f>
        <v/>
      </c>
      <c r="H284" s="167">
        <f>IFERROR(FIND(" - ",F284),"")</f>
        <v/>
      </c>
      <c r="I284" s="167">
        <f>I252</f>
        <v/>
      </c>
    </row>
    <row r="285" ht="14.4" customHeight="1" s="152">
      <c r="A285" s="167" t="n">
        <v>284</v>
      </c>
      <c r="B285" s="167">
        <f>B253</f>
        <v/>
      </c>
      <c r="C285" s="167">
        <f>IF(H285="",F285,LEFT(F285,H285-1))</f>
        <v/>
      </c>
      <c r="D285" s="167" t="inlineStr">
        <is>
          <t>WR</t>
        </is>
      </c>
      <c r="E285" s="167">
        <f>IF(H285&lt;&gt;"",RIGHT(F285,LEN(F285)-H285-2),"")</f>
        <v/>
      </c>
      <c r="F285" s="167">
        <f>VLOOKUP(I285,$J:$S,G285,0)</f>
        <v/>
      </c>
      <c r="G285" s="167">
        <f>G253+1</f>
        <v/>
      </c>
      <c r="H285" s="167">
        <f>IFERROR(FIND(" - ",F285),"")</f>
        <v/>
      </c>
      <c r="I285" s="167">
        <f>I253</f>
        <v/>
      </c>
    </row>
    <row r="286" ht="14.4" customHeight="1" s="152">
      <c r="A286" s="167" t="n">
        <v>285</v>
      </c>
      <c r="B286" s="167">
        <f>B254</f>
        <v/>
      </c>
      <c r="C286" s="167">
        <f>IF(H286="",F286,LEFT(F286,H286-1))</f>
        <v/>
      </c>
      <c r="D286" s="167" t="inlineStr">
        <is>
          <t>WR</t>
        </is>
      </c>
      <c r="E286" s="167">
        <f>IF(H286&lt;&gt;"",RIGHT(F286,LEN(F286)-H286-2),"")</f>
        <v/>
      </c>
      <c r="F286" s="167">
        <f>VLOOKUP(I286,$J:$S,G286,0)</f>
        <v/>
      </c>
      <c r="G286" s="167">
        <f>G254+1</f>
        <v/>
      </c>
      <c r="H286" s="167">
        <f>IFERROR(FIND(" - ",F286),"")</f>
        <v/>
      </c>
      <c r="I286" s="167">
        <f>I254</f>
        <v/>
      </c>
    </row>
    <row r="287" ht="14.4" customHeight="1" s="152">
      <c r="A287" s="167" t="n">
        <v>286</v>
      </c>
      <c r="B287" s="167">
        <f>B255</f>
        <v/>
      </c>
      <c r="C287" s="167">
        <f>IF(H287="",F287,LEFT(F287,H287-1))</f>
        <v/>
      </c>
      <c r="D287" s="167" t="inlineStr">
        <is>
          <t>WR</t>
        </is>
      </c>
      <c r="E287" s="167">
        <f>IF(H287&lt;&gt;"",RIGHT(F287,LEN(F287)-H287-2),"")</f>
        <v/>
      </c>
      <c r="F287" s="167">
        <f>VLOOKUP(I287,$J:$S,G287,0)</f>
        <v/>
      </c>
      <c r="G287" s="167">
        <f>G255+1</f>
        <v/>
      </c>
      <c r="H287" s="167">
        <f>IFERROR(FIND(" - ",F287),"")</f>
        <v/>
      </c>
      <c r="I287" s="167">
        <f>I255</f>
        <v/>
      </c>
    </row>
    <row r="288" ht="14.4" customHeight="1" s="152">
      <c r="A288" s="167" t="n">
        <v>287</v>
      </c>
      <c r="B288" s="167">
        <f>B256</f>
        <v/>
      </c>
      <c r="C288" s="167">
        <f>IF(H288="",F288,LEFT(F288,H288-1))</f>
        <v/>
      </c>
      <c r="D288" s="167" t="inlineStr">
        <is>
          <t>WR</t>
        </is>
      </c>
      <c r="E288" s="167">
        <f>IF(H288&lt;&gt;"",RIGHT(F288,LEN(F288)-H288-2),"")</f>
        <v/>
      </c>
      <c r="F288" s="167">
        <f>VLOOKUP(I288,$J:$S,G288,0)</f>
        <v/>
      </c>
      <c r="G288" s="167">
        <f>G256+1</f>
        <v/>
      </c>
      <c r="H288" s="167">
        <f>IFERROR(FIND(" - ",F288),"")</f>
        <v/>
      </c>
      <c r="I288" s="167">
        <f>I256</f>
        <v/>
      </c>
    </row>
    <row r="289" ht="14.4" customHeight="1" s="152">
      <c r="A289" s="167" t="n">
        <v>288</v>
      </c>
      <c r="B289" s="167">
        <f>B257</f>
        <v/>
      </c>
      <c r="C289" s="167">
        <f>IF(H289="",F289,LEFT(F289,H289-1))</f>
        <v/>
      </c>
      <c r="D289" s="167" t="inlineStr">
        <is>
          <t>WR</t>
        </is>
      </c>
      <c r="E289" s="167">
        <f>IF(H289&lt;&gt;"",RIGHT(F289,LEN(F289)-H289-2),"")</f>
        <v/>
      </c>
      <c r="F289" s="167">
        <f>VLOOKUP(I289,$J:$S,G289,0)</f>
        <v/>
      </c>
      <c r="G289" s="167">
        <f>G257+1</f>
        <v/>
      </c>
      <c r="H289" s="167">
        <f>IFERROR(FIND(" - ",F289),"")</f>
        <v/>
      </c>
      <c r="I289" s="167">
        <f>I257</f>
        <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tabColor rgb="FF7030A0"/>
    <outlinePr summaryBelow="1" summaryRight="1"/>
    <pageSetUpPr fitToPage="0"/>
  </sheetPr>
  <dimension ref="A1:O161"/>
  <sheetViews>
    <sheetView showFormulas="0" showGridLines="1"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J2" activeCellId="0" sqref="J2"/>
    </sheetView>
  </sheetViews>
  <sheetFormatPr baseColWidth="8" defaultColWidth="8.796875" defaultRowHeight="14.4" zeroHeight="0" outlineLevelRow="0"/>
  <cols>
    <col width="13.66" customWidth="1" style="156" min="2" max="2"/>
    <col width="33" customWidth="1" style="156" min="3" max="3"/>
    <col width="16.33" customWidth="1" style="156" min="5" max="5"/>
    <col width="25.11" customWidth="1" style="156" min="6" max="6"/>
    <col width="15.56" customWidth="1" style="156" min="9" max="9"/>
    <col width="15.88" customWidth="1" style="156" min="10" max="10"/>
    <col width="19.57" customWidth="1" style="156" min="11" max="11"/>
    <col width="19.33" customWidth="1" style="156" min="12" max="12"/>
    <col width="19.45" customWidth="1" style="156" min="13" max="13"/>
    <col width="26.13" customWidth="1" style="156" min="14" max="14"/>
    <col width="17.33" customWidth="1" style="156" min="15" max="15"/>
  </cols>
  <sheetData>
    <row r="1" ht="15.6" customHeight="1" s="152">
      <c r="A1" s="167" t="inlineStr">
        <is>
          <t>Ref No</t>
        </is>
      </c>
      <c r="B1" s="167" t="inlineStr">
        <is>
          <t>Team ABB</t>
        </is>
      </c>
      <c r="C1" s="167" t="inlineStr">
        <is>
          <t>Streamlined Name</t>
        </is>
      </c>
      <c r="D1" s="167" t="inlineStr">
        <is>
          <t>Position</t>
        </is>
      </c>
      <c r="E1" s="167" t="inlineStr">
        <is>
          <t>Injury Type</t>
        </is>
      </c>
      <c r="F1" s="167" t="inlineStr">
        <is>
          <t>Raw Name</t>
        </is>
      </c>
      <c r="G1" s="167" t="inlineStr">
        <is>
          <t>Col Ref</t>
        </is>
      </c>
      <c r="H1" s="167" t="inlineStr">
        <is>
          <t>Find Injury</t>
        </is>
      </c>
      <c r="I1" s="167" t="inlineStr">
        <is>
          <t>Raw Team Name</t>
        </is>
      </c>
      <c r="J1" s="156" t="inlineStr">
        <is>
          <t>Team</t>
        </is>
      </c>
      <c r="K1" s="156" t="inlineStr">
        <is>
          <t>TE #1</t>
        </is>
      </c>
      <c r="L1" s="156" t="inlineStr">
        <is>
          <t>TE #2</t>
        </is>
      </c>
      <c r="M1" s="156" t="inlineStr">
        <is>
          <t>TE #3</t>
        </is>
      </c>
      <c r="N1" s="156" t="inlineStr">
        <is>
          <t>TE #4</t>
        </is>
      </c>
      <c r="O1" s="156" t="inlineStr">
        <is>
          <t>TE #5</t>
        </is>
      </c>
    </row>
    <row r="2" ht="15.6" customHeight="1" s="152">
      <c r="A2" s="167" t="n">
        <v>1</v>
      </c>
      <c r="B2" s="167">
        <f>VLOOKUP(J2,Matrix!AD:AE,2,0)</f>
        <v/>
      </c>
      <c r="C2" s="167">
        <f>IF(H2="",F2,LEFT(F2,H2-1))</f>
        <v/>
      </c>
      <c r="D2" s="167" t="inlineStr">
        <is>
          <t>TE</t>
        </is>
      </c>
      <c r="E2" s="167">
        <f>IF(H2&lt;&gt;"",RIGHT(F2,LEN(F2)-H2-2),"")</f>
        <v/>
      </c>
      <c r="F2" s="167">
        <f>VLOOKUP(I2,$J:$O,G2,0)</f>
        <v/>
      </c>
      <c r="G2" s="167" t="n">
        <v>2</v>
      </c>
      <c r="H2" s="167">
        <f>IFERROR(FIND(" - ",F2),"")</f>
        <v/>
      </c>
      <c r="I2" s="167">
        <f>J2</f>
        <v/>
      </c>
      <c r="J2" s="156" t="inlineStr">
        <is>
          <t>Cowboys</t>
        </is>
      </c>
      <c r="K2" s="156" t="inlineStr">
        <is>
          <t>Jake Ferguson</t>
        </is>
      </c>
      <c r="L2" s="156" t="inlineStr">
        <is>
          <t>Luke Schoonmaker</t>
        </is>
      </c>
      <c r="M2" s="156" t="inlineStr">
        <is>
          <t>Brevyn Spann-Ford</t>
        </is>
      </c>
      <c r="N2" s="156" t="inlineStr">
        <is>
          <t>John Stephens Jr.</t>
        </is>
      </c>
      <c r="O2" s="156" t="inlineStr">
        <is>
          <t>Princeton Fant</t>
        </is>
      </c>
    </row>
    <row r="3" ht="15.6" customHeight="1" s="152">
      <c r="A3" s="167" t="n">
        <v>2</v>
      </c>
      <c r="B3" s="167">
        <f>VLOOKUP(J3,Matrix!AD:AE,2,0)</f>
        <v/>
      </c>
      <c r="C3" s="167">
        <f>IF(H3="",F3,LEFT(F3,H3-1))</f>
        <v/>
      </c>
      <c r="D3" s="167" t="inlineStr">
        <is>
          <t>TE</t>
        </is>
      </c>
      <c r="E3" s="167">
        <f>IF(H3&lt;&gt;"",RIGHT(F3,LEN(F3)-H3-2),"")</f>
        <v/>
      </c>
      <c r="F3" s="167">
        <f>VLOOKUP(I3,$J:$O,G3,0)</f>
        <v/>
      </c>
      <c r="G3" s="167" t="n">
        <v>2</v>
      </c>
      <c r="H3" s="167">
        <f>IFERROR(FIND(" - ",F3),"")</f>
        <v/>
      </c>
      <c r="I3" s="167">
        <f>J3</f>
        <v/>
      </c>
      <c r="J3" s="156" t="inlineStr">
        <is>
          <t>Chiefs</t>
        </is>
      </c>
      <c r="K3" s="156" t="inlineStr">
        <is>
          <t>Travis Kelce</t>
        </is>
      </c>
      <c r="L3" s="156" t="inlineStr">
        <is>
          <t>Noah Gray</t>
        </is>
      </c>
      <c r="M3" s="156" t="inlineStr">
        <is>
          <t>Robert Tonyan</t>
        </is>
      </c>
      <c r="N3" s="156" t="inlineStr">
        <is>
          <t>Jared Wiley</t>
        </is>
      </c>
      <c r="O3" s="156" t="inlineStr">
        <is>
          <t>Jake Briningstool</t>
        </is>
      </c>
    </row>
    <row r="4" ht="15.6" customHeight="1" s="152">
      <c r="A4" s="167" t="n">
        <v>3</v>
      </c>
      <c r="B4" s="167">
        <f>VLOOKUP(J4,Matrix!AD:AE,2,0)</f>
        <v/>
      </c>
      <c r="C4" s="167">
        <f>IF(H4="",F4,LEFT(F4,H4-1))</f>
        <v/>
      </c>
      <c r="D4" s="167" t="inlineStr">
        <is>
          <t>TE</t>
        </is>
      </c>
      <c r="E4" s="167">
        <f>IF(H4&lt;&gt;"",RIGHT(F4,LEN(F4)-H4-2),"")</f>
        <v/>
      </c>
      <c r="F4" s="167">
        <f>VLOOKUP(I4,$J:$O,G4,0)</f>
        <v/>
      </c>
      <c r="G4" s="167" t="n">
        <v>2</v>
      </c>
      <c r="H4" s="167">
        <f>IFERROR(FIND(" - ",F4),"")</f>
        <v/>
      </c>
      <c r="I4" s="167">
        <f>J4</f>
        <v/>
      </c>
      <c r="J4" s="156" t="inlineStr">
        <is>
          <t>Buccaneers</t>
        </is>
      </c>
      <c r="K4" s="156" t="inlineStr">
        <is>
          <t>Cade Otton</t>
        </is>
      </c>
      <c r="L4" s="156" t="inlineStr">
        <is>
          <t>Payne Durham</t>
        </is>
      </c>
      <c r="M4" s="156" t="inlineStr">
        <is>
          <t>Ko Kieft</t>
        </is>
      </c>
      <c r="N4" s="156" t="inlineStr">
        <is>
          <t>Devin Culp</t>
        </is>
      </c>
      <c r="O4" s="156" t="inlineStr">
        <is>
          <t>Tanner Taula</t>
        </is>
      </c>
    </row>
    <row r="5" ht="15.6" customHeight="1" s="152">
      <c r="A5" s="167" t="n">
        <v>4</v>
      </c>
      <c r="B5" s="167">
        <f>VLOOKUP(J5,Matrix!AD:AE,2,0)</f>
        <v/>
      </c>
      <c r="C5" s="167">
        <f>IF(H5="",F5,LEFT(F5,H5-1))</f>
        <v/>
      </c>
      <c r="D5" s="167" t="inlineStr">
        <is>
          <t>TE</t>
        </is>
      </c>
      <c r="E5" s="167">
        <f>IF(H5&lt;&gt;"",RIGHT(F5,LEN(F5)-H5-2),"")</f>
        <v/>
      </c>
      <c r="F5" s="167">
        <f>VLOOKUP(I5,$J:$O,G5,0)</f>
        <v/>
      </c>
      <c r="G5" s="167" t="n">
        <v>2</v>
      </c>
      <c r="H5" s="167">
        <f>IFERROR(FIND(" - ",F5),"")</f>
        <v/>
      </c>
      <c r="I5" s="167">
        <f>J5</f>
        <v/>
      </c>
      <c r="J5" s="156" t="inlineStr">
        <is>
          <t>Bengals</t>
        </is>
      </c>
      <c r="K5" s="156" t="inlineStr">
        <is>
          <t>Mike Gesicki</t>
        </is>
      </c>
      <c r="L5" s="156" t="inlineStr">
        <is>
          <t>Noah Fant</t>
        </is>
      </c>
      <c r="M5" s="156" t="inlineStr">
        <is>
          <t>Drew Sample</t>
        </is>
      </c>
      <c r="N5" s="156" t="inlineStr">
        <is>
          <t>Erick All Jr.</t>
        </is>
      </c>
      <c r="O5" s="156" t="inlineStr">
        <is>
          <t>Tanner Hudson</t>
        </is>
      </c>
    </row>
    <row r="6" ht="15.6" customHeight="1" s="152">
      <c r="A6" s="167" t="n">
        <v>5</v>
      </c>
      <c r="B6" s="167">
        <f>VLOOKUP(J6,Matrix!AD:AE,2,0)</f>
        <v/>
      </c>
      <c r="C6" s="167">
        <f>IF(H6="",F6,LEFT(F6,H6-1))</f>
        <v/>
      </c>
      <c r="D6" s="167" t="inlineStr">
        <is>
          <t>TE</t>
        </is>
      </c>
      <c r="E6" s="167">
        <f>IF(H6&lt;&gt;"",RIGHT(F6,LEN(F6)-H6-2),"")</f>
        <v/>
      </c>
      <c r="F6" s="167">
        <f>VLOOKUP(I6,$J:$O,G6,0)</f>
        <v/>
      </c>
      <c r="G6" s="167" t="n">
        <v>2</v>
      </c>
      <c r="H6" s="167">
        <f>IFERROR(FIND(" - ",F6),"")</f>
        <v/>
      </c>
      <c r="I6" s="167">
        <f>J6</f>
        <v/>
      </c>
      <c r="J6" s="156" t="inlineStr">
        <is>
          <t>Dolphins</t>
        </is>
      </c>
      <c r="K6" s="156" t="inlineStr">
        <is>
          <t>Darren Waller</t>
        </is>
      </c>
      <c r="L6" s="156" t="inlineStr">
        <is>
          <t>Julian Hill</t>
        </is>
      </c>
      <c r="M6" s="156" t="inlineStr">
        <is>
          <t>Pharaoh Brown</t>
        </is>
      </c>
      <c r="N6" s="156" t="inlineStr">
        <is>
          <t>Tanner Conner</t>
        </is>
      </c>
      <c r="O6" s="156" t="inlineStr">
        <is>
          <t>Jalin Conyers</t>
        </is>
      </c>
    </row>
    <row r="7" ht="15.6" customHeight="1" s="152">
      <c r="A7" s="167" t="n">
        <v>6</v>
      </c>
      <c r="B7" s="167">
        <f>VLOOKUP(J7,Matrix!AD:AE,2,0)</f>
        <v/>
      </c>
      <c r="C7" s="167">
        <f>IF(H7="",F7,LEFT(F7,H7-1))</f>
        <v/>
      </c>
      <c r="D7" s="167" t="inlineStr">
        <is>
          <t>TE</t>
        </is>
      </c>
      <c r="E7" s="167">
        <f>IF(H7&lt;&gt;"",RIGHT(F7,LEN(F7)-H7-2),"")</f>
        <v/>
      </c>
      <c r="F7" s="167">
        <f>VLOOKUP(I7,$J:$O,G7,0)</f>
        <v/>
      </c>
      <c r="G7" s="167" t="n">
        <v>2</v>
      </c>
      <c r="H7" s="167">
        <f>IFERROR(FIND(" - ",F7),"")</f>
        <v/>
      </c>
      <c r="I7" s="167">
        <f>J7</f>
        <v/>
      </c>
      <c r="J7" s="156" t="inlineStr">
        <is>
          <t>Panthers</t>
        </is>
      </c>
      <c r="K7" s="156" t="inlineStr">
        <is>
          <t>Ja'Tavion Sanders</t>
        </is>
      </c>
      <c r="L7" s="156" t="inlineStr">
        <is>
          <t>Tommy Tremble</t>
        </is>
      </c>
      <c r="M7" s="156" t="inlineStr">
        <is>
          <t>Mitchell Evans</t>
        </is>
      </c>
      <c r="N7" s="156" t="inlineStr">
        <is>
          <t>James Mitchell</t>
        </is>
      </c>
      <c r="O7" s="156" t="inlineStr">
        <is>
          <t>Dominique Dafney</t>
        </is>
      </c>
    </row>
    <row r="8" ht="15.6" customHeight="1" s="152">
      <c r="A8" s="167" t="n">
        <v>7</v>
      </c>
      <c r="B8" s="167">
        <f>VLOOKUP(J8,Matrix!AD:AE,2,0)</f>
        <v/>
      </c>
      <c r="C8" s="167">
        <f>IF(H8="",F8,LEFT(F8,H8-1))</f>
        <v/>
      </c>
      <c r="D8" s="167" t="inlineStr">
        <is>
          <t>TE</t>
        </is>
      </c>
      <c r="E8" s="167">
        <f>IF(H8&lt;&gt;"",RIGHT(F8,LEN(F8)-H8-2),"")</f>
        <v/>
      </c>
      <c r="F8" s="167">
        <f>VLOOKUP(I8,$J:$O,G8,0)</f>
        <v/>
      </c>
      <c r="G8" s="167" t="n">
        <v>2</v>
      </c>
      <c r="H8" s="167">
        <f>IFERROR(FIND(" - ",F8),"")</f>
        <v/>
      </c>
      <c r="I8" s="167">
        <f>J8</f>
        <v/>
      </c>
      <c r="J8" s="156" t="inlineStr">
        <is>
          <t>Raiders</t>
        </is>
      </c>
      <c r="K8" s="156" t="inlineStr">
        <is>
          <t>Brock Bowers</t>
        </is>
      </c>
      <c r="L8" s="156" t="inlineStr">
        <is>
          <t>Michael Mayer</t>
        </is>
      </c>
      <c r="M8" s="156" t="inlineStr">
        <is>
          <t>Ian Thomas</t>
        </is>
      </c>
      <c r="N8" s="156" t="inlineStr">
        <is>
          <t>Qadir Ismail</t>
        </is>
      </c>
      <c r="O8" s="156" t="inlineStr">
        <is>
          <t>Albert Okwuegbunam</t>
        </is>
      </c>
    </row>
    <row r="9" ht="15.6" customHeight="1" s="152">
      <c r="A9" s="167" t="n">
        <v>8</v>
      </c>
      <c r="B9" s="167">
        <f>VLOOKUP(J9,Matrix!AD:AE,2,0)</f>
        <v/>
      </c>
      <c r="C9" s="167">
        <f>IF(H9="",F9,LEFT(F9,H9-1))</f>
        <v/>
      </c>
      <c r="D9" s="167" t="inlineStr">
        <is>
          <t>TE</t>
        </is>
      </c>
      <c r="E9" s="167">
        <f>IF(H9&lt;&gt;"",RIGHT(F9,LEN(F9)-H9-2),"")</f>
        <v/>
      </c>
      <c r="F9" s="167">
        <f>VLOOKUP(I9,$J:$O,G9,0)</f>
        <v/>
      </c>
      <c r="G9" s="167" t="n">
        <v>2</v>
      </c>
      <c r="H9" s="167">
        <f>IFERROR(FIND(" - ",F9),"")</f>
        <v/>
      </c>
      <c r="I9" s="167">
        <f>J9</f>
        <v/>
      </c>
      <c r="J9" s="156" t="inlineStr">
        <is>
          <t>Cardinals</t>
        </is>
      </c>
      <c r="K9" s="156" t="inlineStr">
        <is>
          <t>Trey McBride</t>
        </is>
      </c>
      <c r="L9" s="156" t="inlineStr">
        <is>
          <t>Elijah Higgins</t>
        </is>
      </c>
      <c r="M9" s="156" t="inlineStr">
        <is>
          <t>Tip Reiman</t>
        </is>
      </c>
      <c r="N9" s="156" t="inlineStr">
        <is>
          <t>Travis Vokolek</t>
        </is>
      </c>
      <c r="O9" s="156" t="inlineStr">
        <is>
          <t>Josiah Deguara</t>
        </is>
      </c>
    </row>
    <row r="10" ht="15.6" customHeight="1" s="152">
      <c r="A10" s="167" t="n">
        <v>9</v>
      </c>
      <c r="B10" s="167">
        <f>VLOOKUP(J10,Matrix!AD:AE,2,0)</f>
        <v/>
      </c>
      <c r="C10" s="167">
        <f>IF(H10="",F10,LEFT(F10,H10-1))</f>
        <v/>
      </c>
      <c r="D10" s="167" t="inlineStr">
        <is>
          <t>TE</t>
        </is>
      </c>
      <c r="E10" s="167">
        <f>IF(H10&lt;&gt;"",RIGHT(F10,LEN(F10)-H10-2),"")</f>
        <v/>
      </c>
      <c r="F10" s="167">
        <f>VLOOKUP(I10,$J:$O,G10,0)</f>
        <v/>
      </c>
      <c r="G10" s="167" t="n">
        <v>2</v>
      </c>
      <c r="H10" s="167">
        <f>IFERROR(FIND(" - ",F10),"")</f>
        <v/>
      </c>
      <c r="I10" s="167">
        <f>J10</f>
        <v/>
      </c>
      <c r="J10" s="156" t="inlineStr">
        <is>
          <t>Steelers</t>
        </is>
      </c>
      <c r="K10" s="156" t="inlineStr">
        <is>
          <t>Jonnu Smith</t>
        </is>
      </c>
      <c r="L10" s="156" t="inlineStr">
        <is>
          <t>Pat Freiermuth</t>
        </is>
      </c>
      <c r="M10" s="156" t="inlineStr">
        <is>
          <t>Darnell Washington</t>
        </is>
      </c>
      <c r="N10" s="156" t="inlineStr">
        <is>
          <t>Connor Heyward</t>
        </is>
      </c>
      <c r="O10" s="156" t="inlineStr">
        <is>
          <t>Donald Parham Jr.</t>
        </is>
      </c>
    </row>
    <row r="11" ht="15.6" customHeight="1" s="152">
      <c r="A11" s="167" t="n">
        <v>10</v>
      </c>
      <c r="B11" s="167">
        <f>VLOOKUP(J11,Matrix!AD:AE,2,0)</f>
        <v/>
      </c>
      <c r="C11" s="167">
        <f>IF(H11="",F11,LEFT(F11,H11-1))</f>
        <v/>
      </c>
      <c r="D11" s="167" t="inlineStr">
        <is>
          <t>TE</t>
        </is>
      </c>
      <c r="E11" s="167">
        <f>IF(H11&lt;&gt;"",RIGHT(F11,LEN(F11)-H11-2),"")</f>
        <v/>
      </c>
      <c r="F11" s="167">
        <f>VLOOKUP(I11,$J:$O,G11,0)</f>
        <v/>
      </c>
      <c r="G11" s="167" t="n">
        <v>2</v>
      </c>
      <c r="H11" s="167">
        <f>IFERROR(FIND(" - ",F11),"")</f>
        <v/>
      </c>
      <c r="I11" s="167">
        <f>J11</f>
        <v/>
      </c>
      <c r="J11" s="156" t="inlineStr">
        <is>
          <t>Giants</t>
        </is>
      </c>
      <c r="K11" s="156" t="inlineStr">
        <is>
          <t>Theo Johnson</t>
        </is>
      </c>
      <c r="L11" s="156" t="inlineStr">
        <is>
          <t>Daniel Bellinger</t>
        </is>
      </c>
      <c r="M11" s="156" t="inlineStr">
        <is>
          <t>Peyton Hendershot</t>
        </is>
      </c>
      <c r="N11" s="156" t="inlineStr">
        <is>
          <t>Greg Dulcich</t>
        </is>
      </c>
      <c r="O11" s="156" t="inlineStr">
        <is>
          <t>Thomas Fidone II</t>
        </is>
      </c>
    </row>
    <row r="12" ht="15.6" customHeight="1" s="152">
      <c r="A12" s="167" t="n">
        <v>11</v>
      </c>
      <c r="B12" s="167">
        <f>VLOOKUP(J12,Matrix!AD:AE,2,0)</f>
        <v/>
      </c>
      <c r="C12" s="167">
        <f>IF(H12="",F12,LEFT(F12,H12-1))</f>
        <v/>
      </c>
      <c r="D12" s="167" t="inlineStr">
        <is>
          <t>TE</t>
        </is>
      </c>
      <c r="E12" s="167">
        <f>IF(H12&lt;&gt;"",RIGHT(F12,LEN(F12)-H12-2),"")</f>
        <v/>
      </c>
      <c r="F12" s="167">
        <f>VLOOKUP(I12,$J:$O,G12,0)</f>
        <v/>
      </c>
      <c r="G12" s="167" t="n">
        <v>2</v>
      </c>
      <c r="H12" s="167">
        <f>IFERROR(FIND(" - ",F12),"")</f>
        <v/>
      </c>
      <c r="I12" s="167">
        <f>J12</f>
        <v/>
      </c>
      <c r="J12" s="156" t="inlineStr">
        <is>
          <t>Titans</t>
        </is>
      </c>
      <c r="K12" s="156" t="inlineStr">
        <is>
          <t>Chig Okonkwo</t>
        </is>
      </c>
      <c r="L12" s="156" t="inlineStr">
        <is>
          <t>Gunnar Helm</t>
        </is>
      </c>
      <c r="M12" s="156" t="inlineStr">
        <is>
          <t>Josh Whyle</t>
        </is>
      </c>
      <c r="N12" s="156" t="inlineStr">
        <is>
          <t>David Martin-Robinson</t>
        </is>
      </c>
      <c r="O12" s="156" t="inlineStr">
        <is>
          <t>Thomas Odukoya</t>
        </is>
      </c>
    </row>
    <row r="13" ht="15.6" customHeight="1" s="152">
      <c r="A13" s="167" t="n">
        <v>12</v>
      </c>
      <c r="B13" s="167">
        <f>VLOOKUP(J13,Matrix!AD:AE,2,0)</f>
        <v/>
      </c>
      <c r="C13" s="167">
        <f>IF(H13="",F13,LEFT(F13,H13-1))</f>
        <v/>
      </c>
      <c r="D13" s="167" t="inlineStr">
        <is>
          <t>TE</t>
        </is>
      </c>
      <c r="E13" s="167">
        <f>IF(H13&lt;&gt;"",RIGHT(F13,LEN(F13)-H13-2),"")</f>
        <v/>
      </c>
      <c r="F13" s="167">
        <f>VLOOKUP(I13,$J:$O,G13,0)</f>
        <v/>
      </c>
      <c r="G13" s="167" t="n">
        <v>2</v>
      </c>
      <c r="H13" s="167">
        <f>IFERROR(FIND(" - ",F13),"")</f>
        <v/>
      </c>
      <c r="I13" s="167">
        <f>J13</f>
        <v/>
      </c>
      <c r="J13" s="156" t="inlineStr">
        <is>
          <t>49ers</t>
        </is>
      </c>
      <c r="K13" s="156" t="inlineStr">
        <is>
          <t>Jake Tonges</t>
        </is>
      </c>
      <c r="L13" s="156" t="inlineStr">
        <is>
          <t>George Kittle</t>
        </is>
      </c>
      <c r="M13" s="156" t="inlineStr">
        <is>
          <t>Luke Farrell</t>
        </is>
      </c>
      <c r="N13" s="156" t="inlineStr">
        <is>
          <t>Ross Dwelley</t>
        </is>
      </c>
      <c r="O13" s="156" t="inlineStr">
        <is>
          <t>Brayden Willis</t>
        </is>
      </c>
    </row>
    <row r="14" ht="15.6" customHeight="1" s="152">
      <c r="A14" s="167" t="n">
        <v>13</v>
      </c>
      <c r="B14" s="167">
        <f>VLOOKUP(J14,Matrix!AD:AE,2,0)</f>
        <v/>
      </c>
      <c r="C14" s="167">
        <f>IF(H14="",F14,LEFT(F14,H14-1))</f>
        <v/>
      </c>
      <c r="D14" s="167" t="inlineStr">
        <is>
          <t>TE</t>
        </is>
      </c>
      <c r="E14" s="167">
        <f>IF(H14&lt;&gt;"",RIGHT(F14,LEN(F14)-H14-2),"")</f>
        <v/>
      </c>
      <c r="F14" s="167">
        <f>VLOOKUP(I14,$J:$O,G14,0)</f>
        <v/>
      </c>
      <c r="G14" s="167" t="n">
        <v>2</v>
      </c>
      <c r="H14" s="167">
        <f>IFERROR(FIND(" - ",F14),"")</f>
        <v/>
      </c>
      <c r="I14" s="167">
        <f>J14</f>
        <v/>
      </c>
      <c r="J14" s="156" t="inlineStr">
        <is>
          <t>Lions</t>
        </is>
      </c>
      <c r="K14" s="156" t="inlineStr">
        <is>
          <t>Sam LaPorta</t>
        </is>
      </c>
      <c r="L14" s="156" t="inlineStr">
        <is>
          <t>Brock Wright</t>
        </is>
      </c>
      <c r="M14" s="156" t="inlineStr">
        <is>
          <t>Shane Zylstra</t>
        </is>
      </c>
      <c r="N14" s="156" t="inlineStr">
        <is>
          <t>Kenny Yeboah</t>
        </is>
      </c>
      <c r="O14" s="156" t="inlineStr">
        <is>
          <t>Zach Horton</t>
        </is>
      </c>
    </row>
    <row r="15" ht="15.6" customHeight="1" s="152">
      <c r="A15" s="167" t="n">
        <v>14</v>
      </c>
      <c r="B15" s="167">
        <f>VLOOKUP(J15,Matrix!AD:AE,2,0)</f>
        <v/>
      </c>
      <c r="C15" s="167">
        <f>IF(H15="",F15,LEFT(F15,H15-1))</f>
        <v/>
      </c>
      <c r="D15" s="167" t="inlineStr">
        <is>
          <t>TE</t>
        </is>
      </c>
      <c r="E15" s="167">
        <f>IF(H15&lt;&gt;"",RIGHT(F15,LEN(F15)-H15-2),"")</f>
        <v/>
      </c>
      <c r="F15" s="167">
        <f>VLOOKUP(I15,$J:$O,G15,0)</f>
        <v/>
      </c>
      <c r="G15" s="167" t="n">
        <v>2</v>
      </c>
      <c r="H15" s="167">
        <f>IFERROR(FIND(" - ",F15),"")</f>
        <v/>
      </c>
      <c r="I15" s="167">
        <f>J15</f>
        <v/>
      </c>
      <c r="J15" s="156" t="inlineStr">
        <is>
          <t>Texans</t>
        </is>
      </c>
      <c r="K15" s="156" t="inlineStr">
        <is>
          <t>Dalton Schultz</t>
        </is>
      </c>
      <c r="L15" s="156" t="inlineStr">
        <is>
          <t>Cade Stover</t>
        </is>
      </c>
      <c r="M15" s="156" t="inlineStr">
        <is>
          <t>Brevin Jordan</t>
        </is>
      </c>
      <c r="N15" s="156" t="inlineStr">
        <is>
          <t>Harrison Bryant</t>
        </is>
      </c>
      <c r="O15" s="156" t="inlineStr">
        <is>
          <t>Irv Smith Jr.</t>
        </is>
      </c>
    </row>
    <row r="16" ht="15.6" customHeight="1" s="152">
      <c r="A16" s="167" t="n">
        <v>15</v>
      </c>
      <c r="B16" s="167">
        <f>VLOOKUP(J16,Matrix!AD:AE,2,0)</f>
        <v/>
      </c>
      <c r="C16" s="167">
        <f>IF(H16="",F16,LEFT(F16,H16-1))</f>
        <v/>
      </c>
      <c r="D16" s="167" t="inlineStr">
        <is>
          <t>TE</t>
        </is>
      </c>
      <c r="E16" s="167">
        <f>IF(H16&lt;&gt;"",RIGHT(F16,LEN(F16)-H16-2),"")</f>
        <v/>
      </c>
      <c r="F16" s="167">
        <f>VLOOKUP(I16,$J:$O,G16,0)</f>
        <v/>
      </c>
      <c r="G16" s="167" t="n">
        <v>2</v>
      </c>
      <c r="H16" s="167">
        <f>IFERROR(FIND(" - ",F16),"")</f>
        <v/>
      </c>
      <c r="I16" s="167">
        <f>J16</f>
        <v/>
      </c>
      <c r="J16" s="156" t="inlineStr">
        <is>
          <t>Ravens</t>
        </is>
      </c>
      <c r="K16" s="156" t="inlineStr">
        <is>
          <t>Mark Andrews</t>
        </is>
      </c>
      <c r="L16" s="156" t="inlineStr">
        <is>
          <t>Isaiah Likely</t>
        </is>
      </c>
      <c r="M16" s="156" t="inlineStr">
        <is>
          <t>Charlie Kolar</t>
        </is>
      </c>
      <c r="N16" s="156" t="inlineStr">
        <is>
          <t>Zaire Mitchell-Paden</t>
        </is>
      </c>
      <c r="O16" s="156" t="inlineStr">
        <is>
          <t>Scotty Washington</t>
        </is>
      </c>
    </row>
    <row r="17" ht="15.6" customHeight="1" s="152">
      <c r="A17" s="167" t="n">
        <v>16</v>
      </c>
      <c r="B17" s="167">
        <f>VLOOKUP(J17,Matrix!AD:AE,2,0)</f>
        <v/>
      </c>
      <c r="C17" s="167">
        <f>IF(H17="",F17,LEFT(F17,H17-1))</f>
        <v/>
      </c>
      <c r="D17" s="167" t="inlineStr">
        <is>
          <t>TE</t>
        </is>
      </c>
      <c r="E17" s="167">
        <f>IF(H17&lt;&gt;"",RIGHT(F17,LEN(F17)-H17-2),"")</f>
        <v/>
      </c>
      <c r="F17" s="167">
        <f>VLOOKUP(I17,$J:$O,G17,0)</f>
        <v/>
      </c>
      <c r="G17" s="167" t="n">
        <v>2</v>
      </c>
      <c r="H17" s="167">
        <f>IFERROR(FIND(" - ",F17),"")</f>
        <v/>
      </c>
      <c r="I17" s="167">
        <f>J17</f>
        <v/>
      </c>
      <c r="J17" s="156" t="inlineStr">
        <is>
          <t>Vikings</t>
        </is>
      </c>
      <c r="K17" s="156" t="inlineStr">
        <is>
          <t>T.J. Hockenson</t>
        </is>
      </c>
      <c r="L17" s="156" t="inlineStr">
        <is>
          <t>Josh Oliver</t>
        </is>
      </c>
      <c r="M17" s="156" t="inlineStr">
        <is>
          <t>Gavin Bartholomew</t>
        </is>
      </c>
      <c r="N17" s="156" t="inlineStr">
        <is>
          <t>Nick Vannett</t>
        </is>
      </c>
      <c r="O17" s="156" t="inlineStr">
        <is>
          <t>Giovanni Ricci</t>
        </is>
      </c>
    </row>
    <row r="18" ht="15.6" customHeight="1" s="152">
      <c r="A18" s="167" t="n">
        <v>17</v>
      </c>
      <c r="B18" s="167">
        <f>VLOOKUP(J18,Matrix!AD:AE,2,0)</f>
        <v/>
      </c>
      <c r="C18" s="167">
        <f>IF(H18="",F18,LEFT(F18,H18-1))</f>
        <v/>
      </c>
      <c r="D18" s="167" t="inlineStr">
        <is>
          <t>TE</t>
        </is>
      </c>
      <c r="E18" s="167">
        <f>IF(H18&lt;&gt;"",RIGHT(F18,LEN(F18)-H18-2),"")</f>
        <v/>
      </c>
      <c r="F18" s="167">
        <f>VLOOKUP(I18,$J:$O,G18,0)</f>
        <v/>
      </c>
      <c r="G18" s="167" t="n">
        <v>2</v>
      </c>
      <c r="H18" s="167">
        <f>IFERROR(FIND(" - ",F18),"")</f>
        <v/>
      </c>
      <c r="I18" s="167">
        <f>J18</f>
        <v/>
      </c>
      <c r="J18" s="156" t="inlineStr">
        <is>
          <t>Commanders</t>
        </is>
      </c>
      <c r="K18" s="156" t="inlineStr">
        <is>
          <t>Zach Ertz</t>
        </is>
      </c>
      <c r="L18" s="156" t="inlineStr">
        <is>
          <t>John Bates</t>
        </is>
      </c>
      <c r="M18" s="156" t="inlineStr">
        <is>
          <t>Ben Sinnott</t>
        </is>
      </c>
      <c r="N18" s="156" t="inlineStr">
        <is>
          <t>Colson Yankoff</t>
        </is>
      </c>
      <c r="O18" s="156" t="inlineStr">
        <is>
          <t>Lawrence Cager</t>
        </is>
      </c>
    </row>
    <row r="19" ht="15.6" customHeight="1" s="152">
      <c r="A19" s="167" t="n">
        <v>18</v>
      </c>
      <c r="B19" s="167">
        <f>VLOOKUP(J19,Matrix!AD:AE,2,0)</f>
        <v/>
      </c>
      <c r="C19" s="167">
        <f>IF(H19="",F19,LEFT(F19,H19-1))</f>
        <v/>
      </c>
      <c r="D19" s="167" t="inlineStr">
        <is>
          <t>TE</t>
        </is>
      </c>
      <c r="E19" s="167">
        <f>IF(H19&lt;&gt;"",RIGHT(F19,LEN(F19)-H19-2),"")</f>
        <v/>
      </c>
      <c r="F19" s="167">
        <f>VLOOKUP(I19,$J:$O,G19,0)</f>
        <v/>
      </c>
      <c r="G19" s="167" t="n">
        <v>2</v>
      </c>
      <c r="H19" s="167">
        <f>IFERROR(FIND(" - ",F19),"")</f>
        <v/>
      </c>
      <c r="I19" s="167">
        <f>J19</f>
        <v/>
      </c>
      <c r="J19" s="156" t="inlineStr">
        <is>
          <t>Browns</t>
        </is>
      </c>
      <c r="K19" s="156" t="inlineStr">
        <is>
          <t>David Njoku</t>
        </is>
      </c>
      <c r="L19" s="156" t="inlineStr">
        <is>
          <t>Harold Fannin Jr.</t>
        </is>
      </c>
      <c r="M19" s="156" t="inlineStr">
        <is>
          <t>Blake Whiteheart</t>
        </is>
      </c>
      <c r="N19" s="156" t="inlineStr">
        <is>
          <t>Brenden Bates</t>
        </is>
      </c>
      <c r="O19" s="156" t="inlineStr">
        <is>
          <t>Sal Cannella</t>
        </is>
      </c>
    </row>
    <row r="20" ht="15.6" customHeight="1" s="152">
      <c r="A20" s="167" t="n">
        <v>19</v>
      </c>
      <c r="B20" s="167">
        <f>VLOOKUP(J20,Matrix!AD:AE,2,0)</f>
        <v/>
      </c>
      <c r="C20" s="167">
        <f>IF(H20="",F20,LEFT(F20,H20-1))</f>
        <v/>
      </c>
      <c r="D20" s="167" t="inlineStr">
        <is>
          <t>TE</t>
        </is>
      </c>
      <c r="E20" s="167">
        <f>IF(H20&lt;&gt;"",RIGHT(F20,LEN(F20)-H20-2),"")</f>
        <v/>
      </c>
      <c r="F20" s="167">
        <f>VLOOKUP(I20,$J:$O,G20,0)</f>
        <v/>
      </c>
      <c r="G20" s="167" t="n">
        <v>2</v>
      </c>
      <c r="H20" s="167">
        <f>IFERROR(FIND(" - ",F20),"")</f>
        <v/>
      </c>
      <c r="I20" s="167">
        <f>J20</f>
        <v/>
      </c>
      <c r="J20" s="156" t="inlineStr">
        <is>
          <t>Jaguars</t>
        </is>
      </c>
      <c r="K20" s="156" t="inlineStr">
        <is>
          <t>Brenton Strange</t>
        </is>
      </c>
      <c r="L20" s="156" t="inlineStr">
        <is>
          <t>Hunter Long</t>
        </is>
      </c>
      <c r="M20" s="156" t="inlineStr">
        <is>
          <t>Johnny Mundt</t>
        </is>
      </c>
      <c r="N20" s="156" t="inlineStr">
        <is>
          <t>Quintin Morris</t>
        </is>
      </c>
      <c r="O20" s="156" t="inlineStr">
        <is>
          <t>Patrick Herbert</t>
        </is>
      </c>
    </row>
    <row r="21" ht="15.6" customHeight="1" s="152">
      <c r="A21" s="167" t="n">
        <v>20</v>
      </c>
      <c r="B21" s="167">
        <f>VLOOKUP(J21,Matrix!AD:AE,2,0)</f>
        <v/>
      </c>
      <c r="C21" s="167">
        <f>IF(H21="",F21,LEFT(F21,H21-1))</f>
        <v/>
      </c>
      <c r="D21" s="167" t="inlineStr">
        <is>
          <t>TE</t>
        </is>
      </c>
      <c r="E21" s="167">
        <f>IF(H21&lt;&gt;"",RIGHT(F21,LEN(F21)-H21-2),"")</f>
        <v/>
      </c>
      <c r="F21" s="167">
        <f>VLOOKUP(I21,$J:$O,G21,0)</f>
        <v/>
      </c>
      <c r="G21" s="167" t="n">
        <v>2</v>
      </c>
      <c r="H21" s="167">
        <f>IFERROR(FIND(" - ",F21),"")</f>
        <v/>
      </c>
      <c r="I21" s="167">
        <f>J21</f>
        <v/>
      </c>
      <c r="J21" s="156" t="inlineStr">
        <is>
          <t>Bears</t>
        </is>
      </c>
      <c r="K21" s="156" t="inlineStr">
        <is>
          <t>Cole Kmet</t>
        </is>
      </c>
      <c r="L21" s="156" t="inlineStr">
        <is>
          <t>Colston Loveland</t>
        </is>
      </c>
      <c r="M21" s="156" t="inlineStr">
        <is>
          <t>Durham Smythe</t>
        </is>
      </c>
      <c r="N21" s="156" t="inlineStr">
        <is>
          <t>Stephen Carlson</t>
        </is>
      </c>
      <c r="O21" s="156" t="inlineStr">
        <is>
          <t>Joel Wilson</t>
        </is>
      </c>
    </row>
    <row r="22" ht="15.6" customHeight="1" s="152">
      <c r="A22" s="167" t="n">
        <v>21</v>
      </c>
      <c r="B22" s="167">
        <f>VLOOKUP(J22,Matrix!AD:AE,2,0)</f>
        <v/>
      </c>
      <c r="C22" s="167">
        <f>IF(H22="",F22,LEFT(F22,H22-1))</f>
        <v/>
      </c>
      <c r="D22" s="167" t="inlineStr">
        <is>
          <t>TE</t>
        </is>
      </c>
      <c r="E22" s="167">
        <f>IF(H22&lt;&gt;"",RIGHT(F22,LEN(F22)-H22-2),"")</f>
        <v/>
      </c>
      <c r="F22" s="167">
        <f>VLOOKUP(I22,$J:$O,G22,0)</f>
        <v/>
      </c>
      <c r="G22" s="167" t="n">
        <v>2</v>
      </c>
      <c r="H22" s="167">
        <f>IFERROR(FIND(" - ",F22),"")</f>
        <v/>
      </c>
      <c r="I22" s="167">
        <f>J22</f>
        <v/>
      </c>
      <c r="J22" s="156" t="inlineStr">
        <is>
          <t>Patriots</t>
        </is>
      </c>
      <c r="K22" s="156" t="inlineStr">
        <is>
          <t>Hunter Henry</t>
        </is>
      </c>
      <c r="L22" s="156" t="inlineStr">
        <is>
          <t>Austin Hooper</t>
        </is>
      </c>
      <c r="M22" s="156" t="inlineStr">
        <is>
          <t>Jaheim Bell</t>
        </is>
      </c>
      <c r="N22" s="156" t="inlineStr">
        <is>
          <t>Jack Westover</t>
        </is>
      </c>
      <c r="O22" s="156" t="inlineStr">
        <is>
          <t>Gee Scott Jr.</t>
        </is>
      </c>
    </row>
    <row r="23" ht="15.6" customHeight="1" s="152">
      <c r="A23" s="167" t="n">
        <v>22</v>
      </c>
      <c r="B23" s="167">
        <f>VLOOKUP(J23,Matrix!AD:AE,2,0)</f>
        <v/>
      </c>
      <c r="C23" s="167">
        <f>IF(H23="",F23,LEFT(F23,H23-1))</f>
        <v/>
      </c>
      <c r="D23" s="167" t="inlineStr">
        <is>
          <t>TE</t>
        </is>
      </c>
      <c r="E23" s="167">
        <f>IF(H23&lt;&gt;"",RIGHT(F23,LEN(F23)-H23-2),"")</f>
        <v/>
      </c>
      <c r="F23" s="167">
        <f>VLOOKUP(I23,$J:$O,G23,0)</f>
        <v/>
      </c>
      <c r="G23" s="167" t="n">
        <v>2</v>
      </c>
      <c r="H23" s="167">
        <f>IFERROR(FIND(" - ",F23),"")</f>
        <v/>
      </c>
      <c r="I23" s="167">
        <f>J23</f>
        <v/>
      </c>
      <c r="J23" s="156" t="inlineStr">
        <is>
          <t>Bills</t>
        </is>
      </c>
      <c r="K23" s="156" t="inlineStr">
        <is>
          <t>Dalton Kincaid</t>
        </is>
      </c>
      <c r="L23" s="156" t="inlineStr">
        <is>
          <t>Dawson Knox</t>
        </is>
      </c>
      <c r="M23" s="156" t="inlineStr">
        <is>
          <t>Jackson Hawes</t>
        </is>
      </c>
      <c r="N23" s="156" t="inlineStr">
        <is>
          <t>Zach Davidson</t>
        </is>
      </c>
      <c r="O23" s="156" t="inlineStr">
        <is>
          <t>Keleki Latu</t>
        </is>
      </c>
    </row>
    <row r="24" ht="15.6" customHeight="1" s="152">
      <c r="A24" s="167" t="n">
        <v>23</v>
      </c>
      <c r="B24" s="167">
        <f>VLOOKUP(J24,Matrix!AD:AE,2,0)</f>
        <v/>
      </c>
      <c r="C24" s="167">
        <f>IF(H24="",F24,LEFT(F24,H24-1))</f>
        <v/>
      </c>
      <c r="D24" s="167" t="inlineStr">
        <is>
          <t>TE</t>
        </is>
      </c>
      <c r="E24" s="167">
        <f>IF(H24&lt;&gt;"",RIGHT(F24,LEN(F24)-H24-2),"")</f>
        <v/>
      </c>
      <c r="F24" s="167">
        <f>VLOOKUP(I24,$J:$O,G24,0)</f>
        <v/>
      </c>
      <c r="G24" s="167" t="n">
        <v>2</v>
      </c>
      <c r="H24" s="167">
        <f>IFERROR(FIND(" - ",F24),"")</f>
        <v/>
      </c>
      <c r="I24" s="167">
        <f>J24</f>
        <v/>
      </c>
      <c r="J24" s="156" t="inlineStr">
        <is>
          <t>Seahawks</t>
        </is>
      </c>
      <c r="K24" s="156" t="inlineStr">
        <is>
          <t>AJ Barner</t>
        </is>
      </c>
      <c r="L24" s="156" t="inlineStr">
        <is>
          <t>Elijah Arroyo</t>
        </is>
      </c>
      <c r="M24" s="156" t="inlineStr">
        <is>
          <t>Eric Saubert</t>
        </is>
      </c>
      <c r="N24" s="156" t="inlineStr">
        <is>
          <t>Nick Kallerup</t>
        </is>
      </c>
      <c r="O24" s="156" t="inlineStr">
        <is>
          <t>Marshall Lang</t>
        </is>
      </c>
    </row>
    <row r="25" ht="15.6" customHeight="1" s="152">
      <c r="A25" s="167" t="n">
        <v>24</v>
      </c>
      <c r="B25" s="167">
        <f>VLOOKUP(J25,Matrix!AD:AE,2,0)</f>
        <v/>
      </c>
      <c r="C25" s="167">
        <f>IF(H25="",F25,LEFT(F25,H25-1))</f>
        <v/>
      </c>
      <c r="D25" s="167" t="inlineStr">
        <is>
          <t>TE</t>
        </is>
      </c>
      <c r="E25" s="167">
        <f>IF(H25&lt;&gt;"",RIGHT(F25,LEN(F25)-H25-2),"")</f>
        <v/>
      </c>
      <c r="F25" s="167">
        <f>VLOOKUP(I25,$J:$O,G25,0)</f>
        <v/>
      </c>
      <c r="G25" s="167" t="n">
        <v>2</v>
      </c>
      <c r="H25" s="167">
        <f>IFERROR(FIND(" - ",F25),"")</f>
        <v/>
      </c>
      <c r="I25" s="167">
        <f>J25</f>
        <v/>
      </c>
      <c r="J25" s="156" t="inlineStr">
        <is>
          <t>Rams</t>
        </is>
      </c>
      <c r="K25" s="156" t="inlineStr">
        <is>
          <t>Tyler Higbee</t>
        </is>
      </c>
      <c r="L25" s="156" t="inlineStr">
        <is>
          <t>Terrance Ferguson</t>
        </is>
      </c>
      <c r="M25" s="156" t="inlineStr">
        <is>
          <t>Colby Parkinson</t>
        </is>
      </c>
      <c r="N25" s="156" t="inlineStr">
        <is>
          <t>Davis Allen</t>
        </is>
      </c>
      <c r="O25" s="156" t="inlineStr">
        <is>
          <t>Anthony Torres</t>
        </is>
      </c>
    </row>
    <row r="26" ht="15.6" customHeight="1" s="152">
      <c r="A26" s="167" t="n">
        <v>25</v>
      </c>
      <c r="B26" s="167">
        <f>VLOOKUP(J26,Matrix!AD:AE,2,0)</f>
        <v/>
      </c>
      <c r="C26" s="167">
        <f>IF(H26="",F26,LEFT(F26,H26-1))</f>
        <v/>
      </c>
      <c r="D26" s="167" t="inlineStr">
        <is>
          <t>TE</t>
        </is>
      </c>
      <c r="E26" s="167">
        <f>IF(H26&lt;&gt;"",RIGHT(F26,LEN(F26)-H26-2),"")</f>
        <v/>
      </c>
      <c r="F26" s="167">
        <f>VLOOKUP(I26,$J:$O,G26,0)</f>
        <v/>
      </c>
      <c r="G26" s="167" t="n">
        <v>2</v>
      </c>
      <c r="H26" s="167">
        <f>IFERROR(FIND(" - ",F26),"")</f>
        <v/>
      </c>
      <c r="I26" s="167">
        <f>J26</f>
        <v/>
      </c>
      <c r="J26" s="156" t="inlineStr">
        <is>
          <t>Broncos</t>
        </is>
      </c>
      <c r="K26" s="156" t="inlineStr">
        <is>
          <t>Evan Engram</t>
        </is>
      </c>
      <c r="L26" s="156" t="inlineStr">
        <is>
          <t>Adam Trautman</t>
        </is>
      </c>
      <c r="M26" s="156" t="inlineStr">
        <is>
          <t>Nate Adkins</t>
        </is>
      </c>
      <c r="N26" s="156" t="inlineStr">
        <is>
          <t>Lucas Krull</t>
        </is>
      </c>
      <c r="O26" s="156" t="inlineStr">
        <is>
          <t>Caleb Lohner</t>
        </is>
      </c>
    </row>
    <row r="27" ht="15.6" customHeight="1" s="152">
      <c r="A27" s="167" t="n">
        <v>26</v>
      </c>
      <c r="B27" s="167">
        <f>VLOOKUP(J27,Matrix!AD:AE,2,0)</f>
        <v/>
      </c>
      <c r="C27" s="167">
        <f>IF(H27="",F27,LEFT(F27,H27-1))</f>
        <v/>
      </c>
      <c r="D27" s="167" t="inlineStr">
        <is>
          <t>TE</t>
        </is>
      </c>
      <c r="E27" s="167">
        <f>IF(H27&lt;&gt;"",RIGHT(F27,LEN(F27)-H27-2),"")</f>
        <v/>
      </c>
      <c r="F27" s="167">
        <f>VLOOKUP(I27,$J:$O,G27,0)</f>
        <v/>
      </c>
      <c r="G27" s="167" t="n">
        <v>2</v>
      </c>
      <c r="H27" s="167">
        <f>IFERROR(FIND(" - ",F27),"")</f>
        <v/>
      </c>
      <c r="I27" s="167">
        <f>J27</f>
        <v/>
      </c>
      <c r="J27" s="156" t="inlineStr">
        <is>
          <t>Eagles</t>
        </is>
      </c>
      <c r="K27" s="156" t="inlineStr">
        <is>
          <t>Dallas Goedert</t>
        </is>
      </c>
      <c r="L27" s="156" t="inlineStr">
        <is>
          <t>Grant Calcaterra</t>
        </is>
      </c>
      <c r="M27" s="156" t="inlineStr">
        <is>
          <t>Kylen Granson</t>
        </is>
      </c>
      <c r="N27" s="156" t="inlineStr">
        <is>
          <t>Harrison Bryant</t>
        </is>
      </c>
      <c r="O27" s="156" t="inlineStr">
        <is>
          <t>E.J. Jenkins</t>
        </is>
      </c>
    </row>
    <row r="28" ht="15.6" customHeight="1" s="152">
      <c r="A28" s="167" t="n">
        <v>27</v>
      </c>
      <c r="B28" s="167">
        <f>VLOOKUP(J28,Matrix!AD:AE,2,0)</f>
        <v/>
      </c>
      <c r="C28" s="167">
        <f>IF(H28="",F28,LEFT(F28,H28-1))</f>
        <v/>
      </c>
      <c r="D28" s="167" t="inlineStr">
        <is>
          <t>TE</t>
        </is>
      </c>
      <c r="E28" s="167">
        <f>IF(H28&lt;&gt;"",RIGHT(F28,LEN(F28)-H28-2),"")</f>
        <v/>
      </c>
      <c r="F28" s="167">
        <f>VLOOKUP(I28,$J:$O,G28,0)</f>
        <v/>
      </c>
      <c r="G28" s="167" t="n">
        <v>2</v>
      </c>
      <c r="H28" s="167">
        <f>IFERROR(FIND(" - ",F28),"")</f>
        <v/>
      </c>
      <c r="I28" s="167">
        <f>J28</f>
        <v/>
      </c>
      <c r="J28" s="156" t="inlineStr">
        <is>
          <t>Falcons</t>
        </is>
      </c>
      <c r="K28" s="156" t="inlineStr">
        <is>
          <t>Kyle Pitts Sr.</t>
        </is>
      </c>
      <c r="L28" s="156" t="inlineStr">
        <is>
          <t>Charlie Woerner</t>
        </is>
      </c>
      <c r="M28" s="156" t="inlineStr">
        <is>
          <t>Teagan Quitoriano</t>
        </is>
      </c>
      <c r="N28" s="156" t="inlineStr">
        <is>
          <t>Feleipe Franks</t>
        </is>
      </c>
      <c r="O28" s="156" t="inlineStr">
        <is>
          <t>Nikola Kalinic</t>
        </is>
      </c>
    </row>
    <row r="29" ht="15.6" customHeight="1" s="152">
      <c r="A29" s="167" t="n">
        <v>28</v>
      </c>
      <c r="B29" s="167">
        <f>VLOOKUP(J29,Matrix!AD:AE,2,0)</f>
        <v/>
      </c>
      <c r="C29" s="167">
        <f>IF(H29="",F29,LEFT(F29,H29-1))</f>
        <v/>
      </c>
      <c r="D29" s="167" t="inlineStr">
        <is>
          <t>TE</t>
        </is>
      </c>
      <c r="E29" s="167">
        <f>IF(H29&lt;&gt;"",RIGHT(F29,LEN(F29)-H29-2),"")</f>
        <v/>
      </c>
      <c r="F29" s="167">
        <f>VLOOKUP(I29,$J:$O,G29,0)</f>
        <v/>
      </c>
      <c r="G29" s="167" t="n">
        <v>2</v>
      </c>
      <c r="H29" s="167">
        <f>IFERROR(FIND(" - ",F29),"")</f>
        <v/>
      </c>
      <c r="I29" s="167">
        <f>J29</f>
        <v/>
      </c>
      <c r="J29" s="156" t="inlineStr">
        <is>
          <t>Chargers</t>
        </is>
      </c>
      <c r="K29" s="156" t="inlineStr">
        <is>
          <t>Will Dissly</t>
        </is>
      </c>
      <c r="L29" s="156" t="inlineStr">
        <is>
          <t>Tyler Conklin</t>
        </is>
      </c>
      <c r="M29" s="156" t="inlineStr">
        <is>
          <t>Oronde Gadsden II</t>
        </is>
      </c>
      <c r="N29" s="156" t="inlineStr">
        <is>
          <t>Tucker Fisk</t>
        </is>
      </c>
      <c r="O29" s="156" t="inlineStr">
        <is>
          <t>Stevo Klotz</t>
        </is>
      </c>
    </row>
    <row r="30" ht="15.6" customHeight="1" s="152">
      <c r="A30" s="167" t="n">
        <v>29</v>
      </c>
      <c r="B30" s="167">
        <f>VLOOKUP(J30,Matrix!AD:AE,2,0)</f>
        <v/>
      </c>
      <c r="C30" s="167">
        <f>IF(H30="",F30,LEFT(F30,H30-1))</f>
        <v/>
      </c>
      <c r="D30" s="167" t="inlineStr">
        <is>
          <t>TE</t>
        </is>
      </c>
      <c r="E30" s="167">
        <f>IF(H30&lt;&gt;"",RIGHT(F30,LEN(F30)-H30-2),"")</f>
        <v/>
      </c>
      <c r="F30" s="167">
        <f>VLOOKUP(I30,$J:$O,G30,0)</f>
        <v/>
      </c>
      <c r="G30" s="167" t="n">
        <v>2</v>
      </c>
      <c r="H30" s="167">
        <f>IFERROR(FIND(" - ",F30),"")</f>
        <v/>
      </c>
      <c r="I30" s="167">
        <f>J30</f>
        <v/>
      </c>
      <c r="J30" s="156" t="inlineStr">
        <is>
          <t>Packers</t>
        </is>
      </c>
      <c r="K30" s="156" t="inlineStr">
        <is>
          <t>Tucker Kraft</t>
        </is>
      </c>
      <c r="L30" s="156" t="inlineStr">
        <is>
          <t>Luke Musgrave</t>
        </is>
      </c>
      <c r="M30" s="156" t="inlineStr">
        <is>
          <t>John FitzPatrick</t>
        </is>
      </c>
      <c r="N30" s="156" t="inlineStr">
        <is>
          <t>Ben Sims</t>
        </is>
      </c>
      <c r="O30" s="156" t="inlineStr">
        <is>
          <t>Messiah Swinson</t>
        </is>
      </c>
    </row>
    <row r="31" ht="15.6" customHeight="1" s="152">
      <c r="A31" s="167" t="n">
        <v>30</v>
      </c>
      <c r="B31" s="167">
        <f>VLOOKUP(J31,Matrix!AD:AE,2,0)</f>
        <v/>
      </c>
      <c r="C31" s="167">
        <f>IF(H31="",F31,LEFT(F31,H31-1))</f>
        <v/>
      </c>
      <c r="D31" s="167" t="inlineStr">
        <is>
          <t>TE</t>
        </is>
      </c>
      <c r="E31" s="167">
        <f>IF(H31&lt;&gt;"",RIGHT(F31,LEN(F31)-H31-2),"")</f>
        <v/>
      </c>
      <c r="F31" s="167">
        <f>VLOOKUP(I31,$J:$O,G31,0)</f>
        <v/>
      </c>
      <c r="G31" s="167" t="n">
        <v>2</v>
      </c>
      <c r="H31" s="167">
        <f>IFERROR(FIND(" - ",F31),"")</f>
        <v/>
      </c>
      <c r="I31" s="167">
        <f>J31</f>
        <v/>
      </c>
      <c r="J31" s="156" t="inlineStr">
        <is>
          <t>Jets</t>
        </is>
      </c>
      <c r="K31" s="156" t="inlineStr">
        <is>
          <t>Mason Taylor</t>
        </is>
      </c>
      <c r="L31" s="156" t="inlineStr">
        <is>
          <t>Jeremy Ruckert</t>
        </is>
      </c>
      <c r="M31" s="156" t="inlineStr">
        <is>
          <t>Stone Smartt</t>
        </is>
      </c>
      <c r="N31" s="156" t="inlineStr">
        <is>
          <t>Zack Kuntz</t>
        </is>
      </c>
      <c r="O31" s="156" t="inlineStr">
        <is>
          <t>Jelani Woods</t>
        </is>
      </c>
    </row>
    <row r="32" ht="15.6" customHeight="1" s="152">
      <c r="A32" s="167" t="n">
        <v>31</v>
      </c>
      <c r="B32" s="167">
        <f>VLOOKUP(J32,Matrix!AD:AE,2,0)</f>
        <v/>
      </c>
      <c r="C32" s="167">
        <f>IF(H32="",F32,LEFT(F32,H32-1))</f>
        <v/>
      </c>
      <c r="D32" s="167" t="inlineStr">
        <is>
          <t>TE</t>
        </is>
      </c>
      <c r="E32" s="167">
        <f>IF(H32&lt;&gt;"",RIGHT(F32,LEN(F32)-H32-2),"")</f>
        <v/>
      </c>
      <c r="F32" s="167">
        <f>VLOOKUP(I32,$J:$O,G32,0)</f>
        <v/>
      </c>
      <c r="G32" s="167" t="n">
        <v>2</v>
      </c>
      <c r="H32" s="167">
        <f>IFERROR(FIND(" - ",F32),"")</f>
        <v/>
      </c>
      <c r="I32" s="167">
        <f>J32</f>
        <v/>
      </c>
      <c r="J32" s="156" t="inlineStr">
        <is>
          <t>Colts</t>
        </is>
      </c>
      <c r="K32" s="156" t="inlineStr">
        <is>
          <t>Tyler Warren</t>
        </is>
      </c>
      <c r="L32" s="156" t="inlineStr">
        <is>
          <t>Mo Alie-Cox</t>
        </is>
      </c>
      <c r="M32" s="156" t="inlineStr">
        <is>
          <t>Drew Ogletree</t>
        </is>
      </c>
      <c r="N32" s="156" t="inlineStr">
        <is>
          <t>Will Mallory</t>
        </is>
      </c>
      <c r="O32" s="156" t="inlineStr">
        <is>
          <t>Jelani Woods</t>
        </is>
      </c>
    </row>
    <row r="33" ht="15.6" customHeight="1" s="152">
      <c r="A33" s="167" t="n">
        <v>32</v>
      </c>
      <c r="B33" s="167">
        <f>VLOOKUP(J33,Matrix!AD:AE,2,0)</f>
        <v/>
      </c>
      <c r="C33" s="167">
        <f>IF(H33="",F33,LEFT(F33,H33-1))</f>
        <v/>
      </c>
      <c r="D33" s="167" t="inlineStr">
        <is>
          <t>TE</t>
        </is>
      </c>
      <c r="E33" s="167">
        <f>IF(H33&lt;&gt;"",RIGHT(F33,LEN(F33)-H33-2),"")</f>
        <v/>
      </c>
      <c r="F33" s="167">
        <f>VLOOKUP(I33,$J:$O,G33,0)</f>
        <v/>
      </c>
      <c r="G33" s="167" t="n">
        <v>2</v>
      </c>
      <c r="H33" s="167">
        <f>IFERROR(FIND(" - ",F33),"")</f>
        <v/>
      </c>
      <c r="I33" s="167">
        <f>J33</f>
        <v/>
      </c>
      <c r="J33" s="156" t="inlineStr">
        <is>
          <t>Saints</t>
        </is>
      </c>
      <c r="K33" s="156" t="inlineStr">
        <is>
          <t>Juwan Johnson</t>
        </is>
      </c>
      <c r="L33" s="156" t="inlineStr">
        <is>
          <t>Moliki Matavao</t>
        </is>
      </c>
      <c r="M33" s="156" t="inlineStr">
        <is>
          <t>Taysom Hill</t>
        </is>
      </c>
      <c r="N33" s="156" t="inlineStr">
        <is>
          <t>Jack Stoll</t>
        </is>
      </c>
      <c r="O33" s="156" t="inlineStr">
        <is>
          <t>Foster Moreau</t>
        </is>
      </c>
    </row>
    <row r="34" ht="14.4" customHeight="1" s="152">
      <c r="A34" s="167" t="n">
        <v>33</v>
      </c>
      <c r="B34" s="167">
        <f>B2</f>
        <v/>
      </c>
      <c r="C34" s="167">
        <f>IF(H34="",F34,LEFT(F34,H34-1))</f>
        <v/>
      </c>
      <c r="D34" s="167" t="inlineStr">
        <is>
          <t>TE</t>
        </is>
      </c>
      <c r="E34" s="167">
        <f>IF(H34&lt;&gt;"",RIGHT(F34,LEN(F34)-H34-2),"")</f>
        <v/>
      </c>
      <c r="F34" s="167">
        <f>VLOOKUP(I34,$J:$O,G34,0)</f>
        <v/>
      </c>
      <c r="G34" s="167">
        <f>G2+1</f>
        <v/>
      </c>
      <c r="H34" s="167">
        <f>IFERROR(FIND(" - ",F34),"")</f>
        <v/>
      </c>
      <c r="I34" s="167">
        <f>I2</f>
        <v/>
      </c>
    </row>
    <row r="35" ht="14.4" customHeight="1" s="152">
      <c r="A35" s="167" t="n">
        <v>34</v>
      </c>
      <c r="B35" s="167">
        <f>B3</f>
        <v/>
      </c>
      <c r="C35" s="167">
        <f>IF(H35="",F35,LEFT(F35,H35-1))</f>
        <v/>
      </c>
      <c r="D35" s="167" t="inlineStr">
        <is>
          <t>TE</t>
        </is>
      </c>
      <c r="E35" s="167">
        <f>IF(H35&lt;&gt;"",RIGHT(F35,LEN(F35)-H35-2),"")</f>
        <v/>
      </c>
      <c r="F35" s="167">
        <f>VLOOKUP(I35,$J:$O,G35,0)</f>
        <v/>
      </c>
      <c r="G35" s="167">
        <f>G3+1</f>
        <v/>
      </c>
      <c r="H35" s="167">
        <f>IFERROR(FIND(" - ",F35),"")</f>
        <v/>
      </c>
      <c r="I35" s="167">
        <f>I3</f>
        <v/>
      </c>
    </row>
    <row r="36" ht="14.4" customHeight="1" s="152">
      <c r="A36" s="167" t="n">
        <v>35</v>
      </c>
      <c r="B36" s="167">
        <f>B4</f>
        <v/>
      </c>
      <c r="C36" s="167">
        <f>IF(H36="",F36,LEFT(F36,H36-1))</f>
        <v/>
      </c>
      <c r="D36" s="167" t="inlineStr">
        <is>
          <t>TE</t>
        </is>
      </c>
      <c r="E36" s="167">
        <f>IF(H36&lt;&gt;"",RIGHT(F36,LEN(F36)-H36-2),"")</f>
        <v/>
      </c>
      <c r="F36" s="167">
        <f>VLOOKUP(I36,$J:$O,G36,0)</f>
        <v/>
      </c>
      <c r="G36" s="167">
        <f>G4+1</f>
        <v/>
      </c>
      <c r="H36" s="167">
        <f>IFERROR(FIND(" - ",F36),"")</f>
        <v/>
      </c>
      <c r="I36" s="167">
        <f>I4</f>
        <v/>
      </c>
    </row>
    <row r="37" ht="14.4" customHeight="1" s="152">
      <c r="A37" s="167" t="n">
        <v>36</v>
      </c>
      <c r="B37" s="167">
        <f>B5</f>
        <v/>
      </c>
      <c r="C37" s="167">
        <f>IF(H37="",F37,LEFT(F37,H37-1))</f>
        <v/>
      </c>
      <c r="D37" s="167" t="inlineStr">
        <is>
          <t>TE</t>
        </is>
      </c>
      <c r="E37" s="167">
        <f>IF(H37&lt;&gt;"",RIGHT(F37,LEN(F37)-H37-2),"")</f>
        <v/>
      </c>
      <c r="F37" s="167">
        <f>VLOOKUP(I37,$J:$O,G37,0)</f>
        <v/>
      </c>
      <c r="G37" s="167">
        <f>G5+1</f>
        <v/>
      </c>
      <c r="H37" s="167">
        <f>IFERROR(FIND(" - ",F37),"")</f>
        <v/>
      </c>
      <c r="I37" s="167">
        <f>I5</f>
        <v/>
      </c>
    </row>
    <row r="38" ht="14.4" customHeight="1" s="152">
      <c r="A38" s="167" t="n">
        <v>37</v>
      </c>
      <c r="B38" s="167">
        <f>B6</f>
        <v/>
      </c>
      <c r="C38" s="167">
        <f>IF(H38="",F38,LEFT(F38,H38-1))</f>
        <v/>
      </c>
      <c r="D38" s="167" t="inlineStr">
        <is>
          <t>TE</t>
        </is>
      </c>
      <c r="E38" s="167">
        <f>IF(H38&lt;&gt;"",RIGHT(F38,LEN(F38)-H38-2),"")</f>
        <v/>
      </c>
      <c r="F38" s="167">
        <f>VLOOKUP(I38,$J:$O,G38,0)</f>
        <v/>
      </c>
      <c r="G38" s="167">
        <f>G6+1</f>
        <v/>
      </c>
      <c r="H38" s="167">
        <f>IFERROR(FIND(" - ",F38),"")</f>
        <v/>
      </c>
      <c r="I38" s="167">
        <f>I6</f>
        <v/>
      </c>
    </row>
    <row r="39" ht="14.4" customHeight="1" s="152">
      <c r="A39" s="167" t="n">
        <v>38</v>
      </c>
      <c r="B39" s="167">
        <f>B7</f>
        <v/>
      </c>
      <c r="C39" s="167">
        <f>IF(H39="",F39,LEFT(F39,H39-1))</f>
        <v/>
      </c>
      <c r="D39" s="167" t="inlineStr">
        <is>
          <t>TE</t>
        </is>
      </c>
      <c r="E39" s="167">
        <f>IF(H39&lt;&gt;"",RIGHT(F39,LEN(F39)-H39-2),"")</f>
        <v/>
      </c>
      <c r="F39" s="167">
        <f>VLOOKUP(I39,$J:$O,G39,0)</f>
        <v/>
      </c>
      <c r="G39" s="167">
        <f>G7+1</f>
        <v/>
      </c>
      <c r="H39" s="167">
        <f>IFERROR(FIND(" - ",F39),"")</f>
        <v/>
      </c>
      <c r="I39" s="167">
        <f>I7</f>
        <v/>
      </c>
    </row>
    <row r="40" ht="14.4" customHeight="1" s="152">
      <c r="A40" s="167" t="n">
        <v>39</v>
      </c>
      <c r="B40" s="167">
        <f>B8</f>
        <v/>
      </c>
      <c r="C40" s="167">
        <f>IF(H40="",F40,LEFT(F40,H40-1))</f>
        <v/>
      </c>
      <c r="D40" s="167" t="inlineStr">
        <is>
          <t>TE</t>
        </is>
      </c>
      <c r="E40" s="167">
        <f>IF(H40&lt;&gt;"",RIGHT(F40,LEN(F40)-H40-2),"")</f>
        <v/>
      </c>
      <c r="F40" s="167">
        <f>VLOOKUP(I40,$J:$O,G40,0)</f>
        <v/>
      </c>
      <c r="G40" s="167">
        <f>G8+1</f>
        <v/>
      </c>
      <c r="H40" s="167">
        <f>IFERROR(FIND(" - ",F40),"")</f>
        <v/>
      </c>
      <c r="I40" s="167">
        <f>I8</f>
        <v/>
      </c>
    </row>
    <row r="41" ht="14.4" customHeight="1" s="152">
      <c r="A41" s="167" t="n">
        <v>40</v>
      </c>
      <c r="B41" s="167">
        <f>B9</f>
        <v/>
      </c>
      <c r="C41" s="167">
        <f>IF(H41="",F41,LEFT(F41,H41-1))</f>
        <v/>
      </c>
      <c r="D41" s="167" t="inlineStr">
        <is>
          <t>TE</t>
        </is>
      </c>
      <c r="E41" s="167">
        <f>IF(H41&lt;&gt;"",RIGHT(F41,LEN(F41)-H41-2),"")</f>
        <v/>
      </c>
      <c r="F41" s="167">
        <f>VLOOKUP(I41,$J:$O,G41,0)</f>
        <v/>
      </c>
      <c r="G41" s="167">
        <f>G9+1</f>
        <v/>
      </c>
      <c r="H41" s="167">
        <f>IFERROR(FIND(" - ",F41),"")</f>
        <v/>
      </c>
      <c r="I41" s="167">
        <f>I9</f>
        <v/>
      </c>
    </row>
    <row r="42" ht="14.4" customHeight="1" s="152">
      <c r="A42" s="167" t="n">
        <v>41</v>
      </c>
      <c r="B42" s="167">
        <f>B10</f>
        <v/>
      </c>
      <c r="C42" s="167">
        <f>IF(H42="",F42,LEFT(F42,H42-1))</f>
        <v/>
      </c>
      <c r="D42" s="167" t="inlineStr">
        <is>
          <t>TE</t>
        </is>
      </c>
      <c r="E42" s="167">
        <f>IF(H42&lt;&gt;"",RIGHT(F42,LEN(F42)-H42-2),"")</f>
        <v/>
      </c>
      <c r="F42" s="167">
        <f>VLOOKUP(I42,$J:$O,G42,0)</f>
        <v/>
      </c>
      <c r="G42" s="167">
        <f>G10+1</f>
        <v/>
      </c>
      <c r="H42" s="167">
        <f>IFERROR(FIND(" - ",F42),"")</f>
        <v/>
      </c>
      <c r="I42" s="167">
        <f>I10</f>
        <v/>
      </c>
    </row>
    <row r="43" ht="14.4" customHeight="1" s="152">
      <c r="A43" s="167" t="n">
        <v>42</v>
      </c>
      <c r="B43" s="167">
        <f>B11</f>
        <v/>
      </c>
      <c r="C43" s="167">
        <f>IF(H43="",F43,LEFT(F43,H43-1))</f>
        <v/>
      </c>
      <c r="D43" s="167" t="inlineStr">
        <is>
          <t>TE</t>
        </is>
      </c>
      <c r="E43" s="167">
        <f>IF(H43&lt;&gt;"",RIGHT(F43,LEN(F43)-H43-2),"")</f>
        <v/>
      </c>
      <c r="F43" s="167">
        <f>VLOOKUP(I43,$J:$O,G43,0)</f>
        <v/>
      </c>
      <c r="G43" s="167">
        <f>G11+1</f>
        <v/>
      </c>
      <c r="H43" s="167">
        <f>IFERROR(FIND(" - ",F43),"")</f>
        <v/>
      </c>
      <c r="I43" s="167">
        <f>I11</f>
        <v/>
      </c>
    </row>
    <row r="44" ht="14.4" customHeight="1" s="152">
      <c r="A44" s="167" t="n">
        <v>43</v>
      </c>
      <c r="B44" s="167">
        <f>B12</f>
        <v/>
      </c>
      <c r="C44" s="167">
        <f>IF(H44="",F44,LEFT(F44,H44-1))</f>
        <v/>
      </c>
      <c r="D44" s="167" t="inlineStr">
        <is>
          <t>TE</t>
        </is>
      </c>
      <c r="E44" s="167">
        <f>IF(H44&lt;&gt;"",RIGHT(F44,LEN(F44)-H44-2),"")</f>
        <v/>
      </c>
      <c r="F44" s="167">
        <f>VLOOKUP(I44,$J:$O,G44,0)</f>
        <v/>
      </c>
      <c r="G44" s="167">
        <f>G12+1</f>
        <v/>
      </c>
      <c r="H44" s="167">
        <f>IFERROR(FIND(" - ",F44),"")</f>
        <v/>
      </c>
      <c r="I44" s="167">
        <f>I12</f>
        <v/>
      </c>
    </row>
    <row r="45" ht="14.4" customHeight="1" s="152">
      <c r="A45" s="167" t="n">
        <v>44</v>
      </c>
      <c r="B45" s="167">
        <f>B13</f>
        <v/>
      </c>
      <c r="C45" s="167">
        <f>IF(H45="",F45,LEFT(F45,H45-1))</f>
        <v/>
      </c>
      <c r="D45" s="167" t="inlineStr">
        <is>
          <t>TE</t>
        </is>
      </c>
      <c r="E45" s="167">
        <f>IF(H45&lt;&gt;"",RIGHT(F45,LEN(F45)-H45-2),"")</f>
        <v/>
      </c>
      <c r="F45" s="167">
        <f>VLOOKUP(I45,$J:$O,G45,0)</f>
        <v/>
      </c>
      <c r="G45" s="167">
        <f>G13+1</f>
        <v/>
      </c>
      <c r="H45" s="167">
        <f>IFERROR(FIND(" - ",F45),"")</f>
        <v/>
      </c>
      <c r="I45" s="167">
        <f>I13</f>
        <v/>
      </c>
    </row>
    <row r="46" ht="14.4" customHeight="1" s="152">
      <c r="A46" s="167" t="n">
        <v>45</v>
      </c>
      <c r="B46" s="167">
        <f>B14</f>
        <v/>
      </c>
      <c r="C46" s="167">
        <f>IF(H46="",F46,LEFT(F46,H46-1))</f>
        <v/>
      </c>
      <c r="D46" s="167" t="inlineStr">
        <is>
          <t>TE</t>
        </is>
      </c>
      <c r="E46" s="167">
        <f>IF(H46&lt;&gt;"",RIGHT(F46,LEN(F46)-H46-2),"")</f>
        <v/>
      </c>
      <c r="F46" s="167">
        <f>VLOOKUP(I46,$J:$O,G46,0)</f>
        <v/>
      </c>
      <c r="G46" s="167">
        <f>G14+1</f>
        <v/>
      </c>
      <c r="H46" s="167">
        <f>IFERROR(FIND(" - ",F46),"")</f>
        <v/>
      </c>
      <c r="I46" s="167">
        <f>I14</f>
        <v/>
      </c>
    </row>
    <row r="47" ht="14.4" customHeight="1" s="152">
      <c r="A47" s="167" t="n">
        <v>46</v>
      </c>
      <c r="B47" s="167">
        <f>B15</f>
        <v/>
      </c>
      <c r="C47" s="167">
        <f>IF(H47="",F47,LEFT(F47,H47-1))</f>
        <v/>
      </c>
      <c r="D47" s="167" t="inlineStr">
        <is>
          <t>TE</t>
        </is>
      </c>
      <c r="E47" s="167">
        <f>IF(H47&lt;&gt;"",RIGHT(F47,LEN(F47)-H47-2),"")</f>
        <v/>
      </c>
      <c r="F47" s="167">
        <f>VLOOKUP(I47,$J:$O,G47,0)</f>
        <v/>
      </c>
      <c r="G47" s="167">
        <f>G15+1</f>
        <v/>
      </c>
      <c r="H47" s="167">
        <f>IFERROR(FIND(" - ",F47),"")</f>
        <v/>
      </c>
      <c r="I47" s="167">
        <f>I15</f>
        <v/>
      </c>
    </row>
    <row r="48" ht="14.4" customHeight="1" s="152">
      <c r="A48" s="167" t="n">
        <v>47</v>
      </c>
      <c r="B48" s="167">
        <f>B16</f>
        <v/>
      </c>
      <c r="C48" s="167">
        <f>IF(H48="",F48,LEFT(F48,H48-1))</f>
        <v/>
      </c>
      <c r="D48" s="167" t="inlineStr">
        <is>
          <t>TE</t>
        </is>
      </c>
      <c r="E48" s="167">
        <f>IF(H48&lt;&gt;"",RIGHT(F48,LEN(F48)-H48-2),"")</f>
        <v/>
      </c>
      <c r="F48" s="167">
        <f>VLOOKUP(I48,$J:$O,G48,0)</f>
        <v/>
      </c>
      <c r="G48" s="167">
        <f>G16+1</f>
        <v/>
      </c>
      <c r="H48" s="167">
        <f>IFERROR(FIND(" - ",F48),"")</f>
        <v/>
      </c>
      <c r="I48" s="167">
        <f>I16</f>
        <v/>
      </c>
    </row>
    <row r="49" ht="14.4" customHeight="1" s="152">
      <c r="A49" s="167" t="n">
        <v>48</v>
      </c>
      <c r="B49" s="167">
        <f>B17</f>
        <v/>
      </c>
      <c r="C49" s="167">
        <f>IF(H49="",F49,LEFT(F49,H49-1))</f>
        <v/>
      </c>
      <c r="D49" s="167" t="inlineStr">
        <is>
          <t>TE</t>
        </is>
      </c>
      <c r="E49" s="167">
        <f>IF(H49&lt;&gt;"",RIGHT(F49,LEN(F49)-H49-2),"")</f>
        <v/>
      </c>
      <c r="F49" s="167">
        <f>VLOOKUP(I49,$J:$O,G49,0)</f>
        <v/>
      </c>
      <c r="G49" s="167">
        <f>G17+1</f>
        <v/>
      </c>
      <c r="H49" s="167">
        <f>IFERROR(FIND(" - ",F49),"")</f>
        <v/>
      </c>
      <c r="I49" s="167">
        <f>I17</f>
        <v/>
      </c>
    </row>
    <row r="50" ht="14.4" customHeight="1" s="152">
      <c r="A50" s="167" t="n">
        <v>49</v>
      </c>
      <c r="B50" s="167">
        <f>B18</f>
        <v/>
      </c>
      <c r="C50" s="167">
        <f>IF(H50="",F50,LEFT(F50,H50-1))</f>
        <v/>
      </c>
      <c r="D50" s="167" t="inlineStr">
        <is>
          <t>TE</t>
        </is>
      </c>
      <c r="E50" s="167">
        <f>IF(H50&lt;&gt;"",RIGHT(F50,LEN(F50)-H50-2),"")</f>
        <v/>
      </c>
      <c r="F50" s="167">
        <f>VLOOKUP(I50,$J:$O,G50,0)</f>
        <v/>
      </c>
      <c r="G50" s="167">
        <f>G18+1</f>
        <v/>
      </c>
      <c r="H50" s="167">
        <f>IFERROR(FIND(" - ",F50),"")</f>
        <v/>
      </c>
      <c r="I50" s="167">
        <f>I18</f>
        <v/>
      </c>
    </row>
    <row r="51" ht="14.4" customHeight="1" s="152">
      <c r="A51" s="167" t="n">
        <v>50</v>
      </c>
      <c r="B51" s="167">
        <f>B19</f>
        <v/>
      </c>
      <c r="C51" s="167">
        <f>IF(H51="",F51,LEFT(F51,H51-1))</f>
        <v/>
      </c>
      <c r="D51" s="167" t="inlineStr">
        <is>
          <t>TE</t>
        </is>
      </c>
      <c r="E51" s="167">
        <f>IF(H51&lt;&gt;"",RIGHT(F51,LEN(F51)-H51-2),"")</f>
        <v/>
      </c>
      <c r="F51" s="167">
        <f>VLOOKUP(I51,$J:$O,G51,0)</f>
        <v/>
      </c>
      <c r="G51" s="167">
        <f>G19+1</f>
        <v/>
      </c>
      <c r="H51" s="167">
        <f>IFERROR(FIND(" - ",F51),"")</f>
        <v/>
      </c>
      <c r="I51" s="167">
        <f>I19</f>
        <v/>
      </c>
    </row>
    <row r="52" ht="14.4" customHeight="1" s="152">
      <c r="A52" s="167" t="n">
        <v>51</v>
      </c>
      <c r="B52" s="167">
        <f>B20</f>
        <v/>
      </c>
      <c r="C52" s="167">
        <f>IF(H52="",F52,LEFT(F52,H52-1))</f>
        <v/>
      </c>
      <c r="D52" s="167" t="inlineStr">
        <is>
          <t>TE</t>
        </is>
      </c>
      <c r="E52" s="167">
        <f>IF(H52&lt;&gt;"",RIGHT(F52,LEN(F52)-H52-2),"")</f>
        <v/>
      </c>
      <c r="F52" s="167">
        <f>VLOOKUP(I52,$J:$O,G52,0)</f>
        <v/>
      </c>
      <c r="G52" s="167">
        <f>G20+1</f>
        <v/>
      </c>
      <c r="H52" s="167">
        <f>IFERROR(FIND(" - ",F52),"")</f>
        <v/>
      </c>
      <c r="I52" s="167">
        <f>I20</f>
        <v/>
      </c>
    </row>
    <row r="53" ht="14.4" customHeight="1" s="152">
      <c r="A53" s="167" t="n">
        <v>52</v>
      </c>
      <c r="B53" s="167">
        <f>B21</f>
        <v/>
      </c>
      <c r="C53" s="167">
        <f>IF(H53="",F53,LEFT(F53,H53-1))</f>
        <v/>
      </c>
      <c r="D53" s="167" t="inlineStr">
        <is>
          <t>TE</t>
        </is>
      </c>
      <c r="E53" s="167">
        <f>IF(H53&lt;&gt;"",RIGHT(F53,LEN(F53)-H53-2),"")</f>
        <v/>
      </c>
      <c r="F53" s="167">
        <f>VLOOKUP(I53,$J:$O,G53,0)</f>
        <v/>
      </c>
      <c r="G53" s="167">
        <f>G21+1</f>
        <v/>
      </c>
      <c r="H53" s="167">
        <f>IFERROR(FIND(" - ",F53),"")</f>
        <v/>
      </c>
      <c r="I53" s="167">
        <f>I21</f>
        <v/>
      </c>
    </row>
    <row r="54" ht="14.4" customHeight="1" s="152">
      <c r="A54" s="167" t="n">
        <v>53</v>
      </c>
      <c r="B54" s="167">
        <f>B22</f>
        <v/>
      </c>
      <c r="C54" s="167">
        <f>IF(H54="",F54,LEFT(F54,H54-1))</f>
        <v/>
      </c>
      <c r="D54" s="167" t="inlineStr">
        <is>
          <t>TE</t>
        </is>
      </c>
      <c r="E54" s="167">
        <f>IF(H54&lt;&gt;"",RIGHT(F54,LEN(F54)-H54-2),"")</f>
        <v/>
      </c>
      <c r="F54" s="167">
        <f>VLOOKUP(I54,$J:$O,G54,0)</f>
        <v/>
      </c>
      <c r="G54" s="167">
        <f>G22+1</f>
        <v/>
      </c>
      <c r="H54" s="167">
        <f>IFERROR(FIND(" - ",F54),"")</f>
        <v/>
      </c>
      <c r="I54" s="167">
        <f>I22</f>
        <v/>
      </c>
    </row>
    <row r="55" ht="14.4" customHeight="1" s="152">
      <c r="A55" s="167" t="n">
        <v>54</v>
      </c>
      <c r="B55" s="167">
        <f>B23</f>
        <v/>
      </c>
      <c r="C55" s="167">
        <f>IF(H55="",F55,LEFT(F55,H55-1))</f>
        <v/>
      </c>
      <c r="D55" s="167" t="inlineStr">
        <is>
          <t>TE</t>
        </is>
      </c>
      <c r="E55" s="167">
        <f>IF(H55&lt;&gt;"",RIGHT(F55,LEN(F55)-H55-2),"")</f>
        <v/>
      </c>
      <c r="F55" s="167">
        <f>VLOOKUP(I55,$J:$O,G55,0)</f>
        <v/>
      </c>
      <c r="G55" s="167">
        <f>G23+1</f>
        <v/>
      </c>
      <c r="H55" s="167">
        <f>IFERROR(FIND(" - ",F55),"")</f>
        <v/>
      </c>
      <c r="I55" s="167">
        <f>I23</f>
        <v/>
      </c>
    </row>
    <row r="56" ht="14.4" customHeight="1" s="152">
      <c r="A56" s="167" t="n">
        <v>55</v>
      </c>
      <c r="B56" s="167">
        <f>B24</f>
        <v/>
      </c>
      <c r="C56" s="167">
        <f>IF(H56="",F56,LEFT(F56,H56-1))</f>
        <v/>
      </c>
      <c r="D56" s="167" t="inlineStr">
        <is>
          <t>TE</t>
        </is>
      </c>
      <c r="E56" s="167">
        <f>IF(H56&lt;&gt;"",RIGHT(F56,LEN(F56)-H56-2),"")</f>
        <v/>
      </c>
      <c r="F56" s="167">
        <f>VLOOKUP(I56,$J:$O,G56,0)</f>
        <v/>
      </c>
      <c r="G56" s="167">
        <f>G24+1</f>
        <v/>
      </c>
      <c r="H56" s="167">
        <f>IFERROR(FIND(" - ",F56),"")</f>
        <v/>
      </c>
      <c r="I56" s="167">
        <f>I24</f>
        <v/>
      </c>
    </row>
    <row r="57" ht="14.4" customHeight="1" s="152">
      <c r="A57" s="167" t="n">
        <v>56</v>
      </c>
      <c r="B57" s="167">
        <f>B25</f>
        <v/>
      </c>
      <c r="C57" s="167">
        <f>IF(H57="",F57,LEFT(F57,H57-1))</f>
        <v/>
      </c>
      <c r="D57" s="167" t="inlineStr">
        <is>
          <t>TE</t>
        </is>
      </c>
      <c r="E57" s="167">
        <f>IF(H57&lt;&gt;"",RIGHT(F57,LEN(F57)-H57-2),"")</f>
        <v/>
      </c>
      <c r="F57" s="167">
        <f>VLOOKUP(I57,$J:$O,G57,0)</f>
        <v/>
      </c>
      <c r="G57" s="167">
        <f>G25+1</f>
        <v/>
      </c>
      <c r="H57" s="167">
        <f>IFERROR(FIND(" - ",F57),"")</f>
        <v/>
      </c>
      <c r="I57" s="167">
        <f>I25</f>
        <v/>
      </c>
    </row>
    <row r="58" ht="14.4" customHeight="1" s="152">
      <c r="A58" s="167" t="n">
        <v>57</v>
      </c>
      <c r="B58" s="167">
        <f>B26</f>
        <v/>
      </c>
      <c r="C58" s="167">
        <f>IF(H58="",F58,LEFT(F58,H58-1))</f>
        <v/>
      </c>
      <c r="D58" s="167" t="inlineStr">
        <is>
          <t>TE</t>
        </is>
      </c>
      <c r="E58" s="167">
        <f>IF(H58&lt;&gt;"",RIGHT(F58,LEN(F58)-H58-2),"")</f>
        <v/>
      </c>
      <c r="F58" s="167">
        <f>VLOOKUP(I58,$J:$O,G58,0)</f>
        <v/>
      </c>
      <c r="G58" s="167">
        <f>G26+1</f>
        <v/>
      </c>
      <c r="H58" s="167">
        <f>IFERROR(FIND(" - ",F58),"")</f>
        <v/>
      </c>
      <c r="I58" s="167">
        <f>I26</f>
        <v/>
      </c>
    </row>
    <row r="59" ht="14.4" customHeight="1" s="152">
      <c r="A59" s="167" t="n">
        <v>58</v>
      </c>
      <c r="B59" s="167">
        <f>B27</f>
        <v/>
      </c>
      <c r="C59" s="167">
        <f>IF(H59="",F59,LEFT(F59,H59-1))</f>
        <v/>
      </c>
      <c r="D59" s="167" t="inlineStr">
        <is>
          <t>TE</t>
        </is>
      </c>
      <c r="E59" s="167">
        <f>IF(H59&lt;&gt;"",RIGHT(F59,LEN(F59)-H59-2),"")</f>
        <v/>
      </c>
      <c r="F59" s="167">
        <f>VLOOKUP(I59,$J:$O,G59,0)</f>
        <v/>
      </c>
      <c r="G59" s="167">
        <f>G27+1</f>
        <v/>
      </c>
      <c r="H59" s="167">
        <f>IFERROR(FIND(" - ",F59),"")</f>
        <v/>
      </c>
      <c r="I59" s="167">
        <f>I27</f>
        <v/>
      </c>
    </row>
    <row r="60" ht="14.4" customHeight="1" s="152">
      <c r="A60" s="167" t="n">
        <v>59</v>
      </c>
      <c r="B60" s="167">
        <f>B28</f>
        <v/>
      </c>
      <c r="C60" s="167">
        <f>IF(H60="",F60,LEFT(F60,H60-1))</f>
        <v/>
      </c>
      <c r="D60" s="167" t="inlineStr">
        <is>
          <t>TE</t>
        </is>
      </c>
      <c r="E60" s="167">
        <f>IF(H60&lt;&gt;"",RIGHT(F60,LEN(F60)-H60-2),"")</f>
        <v/>
      </c>
      <c r="F60" s="167">
        <f>VLOOKUP(I60,$J:$O,G60,0)</f>
        <v/>
      </c>
      <c r="G60" s="167">
        <f>G28+1</f>
        <v/>
      </c>
      <c r="H60" s="167">
        <f>IFERROR(FIND(" - ",F60),"")</f>
        <v/>
      </c>
      <c r="I60" s="167">
        <f>I28</f>
        <v/>
      </c>
    </row>
    <row r="61" ht="14.4" customHeight="1" s="152">
      <c r="A61" s="167" t="n">
        <v>60</v>
      </c>
      <c r="B61" s="167">
        <f>B29</f>
        <v/>
      </c>
      <c r="C61" s="167">
        <f>IF(H61="",F61,LEFT(F61,H61-1))</f>
        <v/>
      </c>
      <c r="D61" s="167" t="inlineStr">
        <is>
          <t>TE</t>
        </is>
      </c>
      <c r="E61" s="167">
        <f>IF(H61&lt;&gt;"",RIGHT(F61,LEN(F61)-H61-2),"")</f>
        <v/>
      </c>
      <c r="F61" s="167">
        <f>VLOOKUP(I61,$J:$O,G61,0)</f>
        <v/>
      </c>
      <c r="G61" s="167">
        <f>G29+1</f>
        <v/>
      </c>
      <c r="H61" s="167">
        <f>IFERROR(FIND(" - ",F61),"")</f>
        <v/>
      </c>
      <c r="I61" s="167">
        <f>I29</f>
        <v/>
      </c>
    </row>
    <row r="62" ht="14.4" customHeight="1" s="152">
      <c r="A62" s="167" t="n">
        <v>61</v>
      </c>
      <c r="B62" s="167">
        <f>B30</f>
        <v/>
      </c>
      <c r="C62" s="167">
        <f>IF(H62="",F62,LEFT(F62,H62-1))</f>
        <v/>
      </c>
      <c r="D62" s="167" t="inlineStr">
        <is>
          <t>TE</t>
        </is>
      </c>
      <c r="E62" s="167">
        <f>IF(H62&lt;&gt;"",RIGHT(F62,LEN(F62)-H62-2),"")</f>
        <v/>
      </c>
      <c r="F62" s="167">
        <f>VLOOKUP(I62,$J:$O,G62,0)</f>
        <v/>
      </c>
      <c r="G62" s="167">
        <f>G30+1</f>
        <v/>
      </c>
      <c r="H62" s="167">
        <f>IFERROR(FIND(" - ",F62),"")</f>
        <v/>
      </c>
      <c r="I62" s="167">
        <f>I30</f>
        <v/>
      </c>
    </row>
    <row r="63" ht="14.4" customHeight="1" s="152">
      <c r="A63" s="167" t="n">
        <v>62</v>
      </c>
      <c r="B63" s="167">
        <f>B31</f>
        <v/>
      </c>
      <c r="C63" s="167">
        <f>IF(H63="",F63,LEFT(F63,H63-1))</f>
        <v/>
      </c>
      <c r="D63" s="167" t="inlineStr">
        <is>
          <t>TE</t>
        </is>
      </c>
      <c r="E63" s="167">
        <f>IF(H63&lt;&gt;"",RIGHT(F63,LEN(F63)-H63-2),"")</f>
        <v/>
      </c>
      <c r="F63" s="167">
        <f>VLOOKUP(I63,$J:$O,G63,0)</f>
        <v/>
      </c>
      <c r="G63" s="167">
        <f>G31+1</f>
        <v/>
      </c>
      <c r="H63" s="167">
        <f>IFERROR(FIND(" - ",F63),"")</f>
        <v/>
      </c>
      <c r="I63" s="167">
        <f>I31</f>
        <v/>
      </c>
    </row>
    <row r="64" ht="14.4" customHeight="1" s="152">
      <c r="A64" s="167" t="n">
        <v>63</v>
      </c>
      <c r="B64" s="167">
        <f>B32</f>
        <v/>
      </c>
      <c r="C64" s="167">
        <f>IF(H64="",F64,LEFT(F64,H64-1))</f>
        <v/>
      </c>
      <c r="D64" s="167" t="inlineStr">
        <is>
          <t>TE</t>
        </is>
      </c>
      <c r="E64" s="167">
        <f>IF(H64&lt;&gt;"",RIGHT(F64,LEN(F64)-H64-2),"")</f>
        <v/>
      </c>
      <c r="F64" s="167">
        <f>VLOOKUP(I64,$J:$O,G64,0)</f>
        <v/>
      </c>
      <c r="G64" s="167">
        <f>G32+1</f>
        <v/>
      </c>
      <c r="H64" s="167">
        <f>IFERROR(FIND(" - ",F64),"")</f>
        <v/>
      </c>
      <c r="I64" s="167">
        <f>I32</f>
        <v/>
      </c>
    </row>
    <row r="65" ht="14.4" customHeight="1" s="152">
      <c r="A65" s="167" t="n">
        <v>64</v>
      </c>
      <c r="B65" s="167">
        <f>B33</f>
        <v/>
      </c>
      <c r="C65" s="167">
        <f>IF(H65="",F65,LEFT(F65,H65-1))</f>
        <v/>
      </c>
      <c r="D65" s="167" t="inlineStr">
        <is>
          <t>TE</t>
        </is>
      </c>
      <c r="E65" s="167">
        <f>IF(H65&lt;&gt;"",RIGHT(F65,LEN(F65)-H65-2),"")</f>
        <v/>
      </c>
      <c r="F65" s="167">
        <f>VLOOKUP(I65,$J:$O,G65,0)</f>
        <v/>
      </c>
      <c r="G65" s="167">
        <f>G33+1</f>
        <v/>
      </c>
      <c r="H65" s="167">
        <f>IFERROR(FIND(" - ",F65),"")</f>
        <v/>
      </c>
      <c r="I65" s="167">
        <f>I33</f>
        <v/>
      </c>
    </row>
    <row r="66" ht="14.4" customHeight="1" s="152">
      <c r="A66" s="167" t="n">
        <v>65</v>
      </c>
      <c r="B66" s="167">
        <f>B34</f>
        <v/>
      </c>
      <c r="C66" s="167">
        <f>IF(H66="",F66,LEFT(F66,H66-1))</f>
        <v/>
      </c>
      <c r="D66" s="167" t="inlineStr">
        <is>
          <t>TE</t>
        </is>
      </c>
      <c r="E66" s="167">
        <f>IF(H66&lt;&gt;"",RIGHT(F66,LEN(F66)-H66-2),"")</f>
        <v/>
      </c>
      <c r="F66" s="167">
        <f>VLOOKUP(I66,$J:$O,G66,0)</f>
        <v/>
      </c>
      <c r="G66" s="167">
        <f>G34+1</f>
        <v/>
      </c>
      <c r="H66" s="167">
        <f>IFERROR(FIND(" - ",F66),"")</f>
        <v/>
      </c>
      <c r="I66" s="167">
        <f>I34</f>
        <v/>
      </c>
    </row>
    <row r="67" ht="14.4" customHeight="1" s="152">
      <c r="A67" s="167" t="n">
        <v>66</v>
      </c>
      <c r="B67" s="167">
        <f>B35</f>
        <v/>
      </c>
      <c r="C67" s="167">
        <f>IF(H67="",F67,LEFT(F67,H67-1))</f>
        <v/>
      </c>
      <c r="D67" s="167" t="inlineStr">
        <is>
          <t>TE</t>
        </is>
      </c>
      <c r="E67" s="167">
        <f>IF(H67&lt;&gt;"",RIGHT(F67,LEN(F67)-H67-2),"")</f>
        <v/>
      </c>
      <c r="F67" s="167">
        <f>VLOOKUP(I67,$J:$O,G67,0)</f>
        <v/>
      </c>
      <c r="G67" s="167">
        <f>G35+1</f>
        <v/>
      </c>
      <c r="H67" s="167">
        <f>IFERROR(FIND(" - ",F67),"")</f>
        <v/>
      </c>
      <c r="I67" s="167">
        <f>I35</f>
        <v/>
      </c>
    </row>
    <row r="68" ht="14.4" customHeight="1" s="152">
      <c r="A68" s="167" t="n">
        <v>67</v>
      </c>
      <c r="B68" s="167">
        <f>B36</f>
        <v/>
      </c>
      <c r="C68" s="167">
        <f>IF(H68="",F68,LEFT(F68,H68-1))</f>
        <v/>
      </c>
      <c r="D68" s="167" t="inlineStr">
        <is>
          <t>TE</t>
        </is>
      </c>
      <c r="E68" s="167">
        <f>IF(H68&lt;&gt;"",RIGHT(F68,LEN(F68)-H68-2),"")</f>
        <v/>
      </c>
      <c r="F68" s="167">
        <f>VLOOKUP(I68,$J:$O,G68,0)</f>
        <v/>
      </c>
      <c r="G68" s="167">
        <f>G36+1</f>
        <v/>
      </c>
      <c r="H68" s="167">
        <f>IFERROR(FIND(" - ",F68),"")</f>
        <v/>
      </c>
      <c r="I68" s="167">
        <f>I36</f>
        <v/>
      </c>
    </row>
    <row r="69" ht="14.4" customHeight="1" s="152">
      <c r="A69" s="167" t="n">
        <v>68</v>
      </c>
      <c r="B69" s="167">
        <f>B37</f>
        <v/>
      </c>
      <c r="C69" s="167">
        <f>IF(H69="",F69,LEFT(F69,H69-1))</f>
        <v/>
      </c>
      <c r="D69" s="167" t="inlineStr">
        <is>
          <t>TE</t>
        </is>
      </c>
      <c r="E69" s="167">
        <f>IF(H69&lt;&gt;"",RIGHT(F69,LEN(F69)-H69-2),"")</f>
        <v/>
      </c>
      <c r="F69" s="167">
        <f>VLOOKUP(I69,$J:$O,G69,0)</f>
        <v/>
      </c>
      <c r="G69" s="167">
        <f>G37+1</f>
        <v/>
      </c>
      <c r="H69" s="167">
        <f>IFERROR(FIND(" - ",F69),"")</f>
        <v/>
      </c>
      <c r="I69" s="167">
        <f>I37</f>
        <v/>
      </c>
    </row>
    <row r="70" ht="14.4" customHeight="1" s="152">
      <c r="A70" s="167" t="n">
        <v>69</v>
      </c>
      <c r="B70" s="167">
        <f>B38</f>
        <v/>
      </c>
      <c r="C70" s="167">
        <f>IF(H70="",F70,LEFT(F70,H70-1))</f>
        <v/>
      </c>
      <c r="D70" s="167" t="inlineStr">
        <is>
          <t>TE</t>
        </is>
      </c>
      <c r="E70" s="167">
        <f>IF(H70&lt;&gt;"",RIGHT(F70,LEN(F70)-H70-2),"")</f>
        <v/>
      </c>
      <c r="F70" s="167">
        <f>VLOOKUP(I70,$J:$O,G70,0)</f>
        <v/>
      </c>
      <c r="G70" s="167">
        <f>G38+1</f>
        <v/>
      </c>
      <c r="H70" s="167">
        <f>IFERROR(FIND(" - ",F70),"")</f>
        <v/>
      </c>
      <c r="I70" s="167">
        <f>I38</f>
        <v/>
      </c>
    </row>
    <row r="71" ht="14.4" customHeight="1" s="152">
      <c r="A71" s="167" t="n">
        <v>70</v>
      </c>
      <c r="B71" s="167">
        <f>B39</f>
        <v/>
      </c>
      <c r="C71" s="167">
        <f>IF(H71="",F71,LEFT(F71,H71-1))</f>
        <v/>
      </c>
      <c r="D71" s="167" t="inlineStr">
        <is>
          <t>TE</t>
        </is>
      </c>
      <c r="E71" s="167">
        <f>IF(H71&lt;&gt;"",RIGHT(F71,LEN(F71)-H71-2),"")</f>
        <v/>
      </c>
      <c r="F71" s="167">
        <f>VLOOKUP(I71,$J:$O,G71,0)</f>
        <v/>
      </c>
      <c r="G71" s="167">
        <f>G39+1</f>
        <v/>
      </c>
      <c r="H71" s="167">
        <f>IFERROR(FIND(" - ",F71),"")</f>
        <v/>
      </c>
      <c r="I71" s="167">
        <f>I39</f>
        <v/>
      </c>
    </row>
    <row r="72" ht="14.4" customHeight="1" s="152">
      <c r="A72" s="167" t="n">
        <v>71</v>
      </c>
      <c r="B72" s="167">
        <f>B40</f>
        <v/>
      </c>
      <c r="C72" s="167">
        <f>IF(H72="",F72,LEFT(F72,H72-1))</f>
        <v/>
      </c>
      <c r="D72" s="167" t="inlineStr">
        <is>
          <t>TE</t>
        </is>
      </c>
      <c r="E72" s="167">
        <f>IF(H72&lt;&gt;"",RIGHT(F72,LEN(F72)-H72-2),"")</f>
        <v/>
      </c>
      <c r="F72" s="167">
        <f>VLOOKUP(I72,$J:$O,G72,0)</f>
        <v/>
      </c>
      <c r="G72" s="167">
        <f>G40+1</f>
        <v/>
      </c>
      <c r="H72" s="167">
        <f>IFERROR(FIND(" - ",F72),"")</f>
        <v/>
      </c>
      <c r="I72" s="167">
        <f>I40</f>
        <v/>
      </c>
    </row>
    <row r="73" ht="14.4" customHeight="1" s="152">
      <c r="A73" s="167" t="n">
        <v>72</v>
      </c>
      <c r="B73" s="167">
        <f>B41</f>
        <v/>
      </c>
      <c r="C73" s="167">
        <f>IF(H73="",F73,LEFT(F73,H73-1))</f>
        <v/>
      </c>
      <c r="D73" s="167" t="inlineStr">
        <is>
          <t>TE</t>
        </is>
      </c>
      <c r="E73" s="167">
        <f>IF(H73&lt;&gt;"",RIGHT(F73,LEN(F73)-H73-2),"")</f>
        <v/>
      </c>
      <c r="F73" s="167">
        <f>VLOOKUP(I73,$J:$O,G73,0)</f>
        <v/>
      </c>
      <c r="G73" s="167">
        <f>G41+1</f>
        <v/>
      </c>
      <c r="H73" s="167">
        <f>IFERROR(FIND(" - ",F73),"")</f>
        <v/>
      </c>
      <c r="I73" s="167">
        <f>I41</f>
        <v/>
      </c>
    </row>
    <row r="74" ht="14.4" customHeight="1" s="152">
      <c r="A74" s="167" t="n">
        <v>73</v>
      </c>
      <c r="B74" s="167">
        <f>B42</f>
        <v/>
      </c>
      <c r="C74" s="167">
        <f>IF(H74="",F74,LEFT(F74,H74-1))</f>
        <v/>
      </c>
      <c r="D74" s="167" t="inlineStr">
        <is>
          <t>TE</t>
        </is>
      </c>
      <c r="E74" s="167">
        <f>IF(H74&lt;&gt;"",RIGHT(F74,LEN(F74)-H74-2),"")</f>
        <v/>
      </c>
      <c r="F74" s="167">
        <f>VLOOKUP(I74,$J:$O,G74,0)</f>
        <v/>
      </c>
      <c r="G74" s="167">
        <f>G42+1</f>
        <v/>
      </c>
      <c r="H74" s="167">
        <f>IFERROR(FIND(" - ",F74),"")</f>
        <v/>
      </c>
      <c r="I74" s="167">
        <f>I42</f>
        <v/>
      </c>
    </row>
    <row r="75" ht="14.4" customHeight="1" s="152">
      <c r="A75" s="167" t="n">
        <v>74</v>
      </c>
      <c r="B75" s="167">
        <f>B43</f>
        <v/>
      </c>
      <c r="C75" s="167">
        <f>IF(H75="",F75,LEFT(F75,H75-1))</f>
        <v/>
      </c>
      <c r="D75" s="167" t="inlineStr">
        <is>
          <t>TE</t>
        </is>
      </c>
      <c r="E75" s="167">
        <f>IF(H75&lt;&gt;"",RIGHT(F75,LEN(F75)-H75-2),"")</f>
        <v/>
      </c>
      <c r="F75" s="167">
        <f>VLOOKUP(I75,$J:$O,G75,0)</f>
        <v/>
      </c>
      <c r="G75" s="167">
        <f>G43+1</f>
        <v/>
      </c>
      <c r="H75" s="167">
        <f>IFERROR(FIND(" - ",F75),"")</f>
        <v/>
      </c>
      <c r="I75" s="167">
        <f>I43</f>
        <v/>
      </c>
    </row>
    <row r="76" ht="14.4" customHeight="1" s="152">
      <c r="A76" s="167" t="n">
        <v>75</v>
      </c>
      <c r="B76" s="167">
        <f>B44</f>
        <v/>
      </c>
      <c r="C76" s="167">
        <f>IF(H76="",F76,LEFT(F76,H76-1))</f>
        <v/>
      </c>
      <c r="D76" s="167" t="inlineStr">
        <is>
          <t>TE</t>
        </is>
      </c>
      <c r="E76" s="167">
        <f>IF(H76&lt;&gt;"",RIGHT(F76,LEN(F76)-H76-2),"")</f>
        <v/>
      </c>
      <c r="F76" s="167">
        <f>VLOOKUP(I76,$J:$O,G76,0)</f>
        <v/>
      </c>
      <c r="G76" s="167">
        <f>G44+1</f>
        <v/>
      </c>
      <c r="H76" s="167">
        <f>IFERROR(FIND(" - ",F76),"")</f>
        <v/>
      </c>
      <c r="I76" s="167">
        <f>I44</f>
        <v/>
      </c>
    </row>
    <row r="77" ht="14.4" customHeight="1" s="152">
      <c r="A77" s="167" t="n">
        <v>76</v>
      </c>
      <c r="B77" s="167">
        <f>B45</f>
        <v/>
      </c>
      <c r="C77" s="167">
        <f>IF(H77="",F77,LEFT(F77,H77-1))</f>
        <v/>
      </c>
      <c r="D77" s="167" t="inlineStr">
        <is>
          <t>TE</t>
        </is>
      </c>
      <c r="E77" s="167">
        <f>IF(H77&lt;&gt;"",RIGHT(F77,LEN(F77)-H77-2),"")</f>
        <v/>
      </c>
      <c r="F77" s="167">
        <f>VLOOKUP(I77,$J:$O,G77,0)</f>
        <v/>
      </c>
      <c r="G77" s="167">
        <f>G45+1</f>
        <v/>
      </c>
      <c r="H77" s="167">
        <f>IFERROR(FIND(" - ",F77),"")</f>
        <v/>
      </c>
      <c r="I77" s="167">
        <f>I45</f>
        <v/>
      </c>
    </row>
    <row r="78" ht="14.4" customHeight="1" s="152">
      <c r="A78" s="167" t="n">
        <v>77</v>
      </c>
      <c r="B78" s="167">
        <f>B46</f>
        <v/>
      </c>
      <c r="C78" s="167">
        <f>IF(H78="",F78,LEFT(F78,H78-1))</f>
        <v/>
      </c>
      <c r="D78" s="167" t="inlineStr">
        <is>
          <t>TE</t>
        </is>
      </c>
      <c r="E78" s="167">
        <f>IF(H78&lt;&gt;"",RIGHT(F78,LEN(F78)-H78-2),"")</f>
        <v/>
      </c>
      <c r="F78" s="167">
        <f>VLOOKUP(I78,$J:$O,G78,0)</f>
        <v/>
      </c>
      <c r="G78" s="167">
        <f>G46+1</f>
        <v/>
      </c>
      <c r="H78" s="167">
        <f>IFERROR(FIND(" - ",F78),"")</f>
        <v/>
      </c>
      <c r="I78" s="167">
        <f>I46</f>
        <v/>
      </c>
    </row>
    <row r="79" ht="14.4" customHeight="1" s="152">
      <c r="A79" s="167" t="n">
        <v>78</v>
      </c>
      <c r="B79" s="167">
        <f>B47</f>
        <v/>
      </c>
      <c r="C79" s="167">
        <f>IF(H79="",F79,LEFT(F79,H79-1))</f>
        <v/>
      </c>
      <c r="D79" s="167" t="inlineStr">
        <is>
          <t>TE</t>
        </is>
      </c>
      <c r="E79" s="167">
        <f>IF(H79&lt;&gt;"",RIGHT(F79,LEN(F79)-H79-2),"")</f>
        <v/>
      </c>
      <c r="F79" s="167">
        <f>VLOOKUP(I79,$J:$O,G79,0)</f>
        <v/>
      </c>
      <c r="G79" s="167">
        <f>G47+1</f>
        <v/>
      </c>
      <c r="H79" s="167">
        <f>IFERROR(FIND(" - ",F79),"")</f>
        <v/>
      </c>
      <c r="I79" s="167">
        <f>I47</f>
        <v/>
      </c>
    </row>
    <row r="80" ht="14.4" customHeight="1" s="152">
      <c r="A80" s="167" t="n">
        <v>79</v>
      </c>
      <c r="B80" s="167">
        <f>B48</f>
        <v/>
      </c>
      <c r="C80" s="167">
        <f>IF(H80="",F80,LEFT(F80,H80-1))</f>
        <v/>
      </c>
      <c r="D80" s="167" t="inlineStr">
        <is>
          <t>TE</t>
        </is>
      </c>
      <c r="E80" s="167">
        <f>IF(H80&lt;&gt;"",RIGHT(F80,LEN(F80)-H80-2),"")</f>
        <v/>
      </c>
      <c r="F80" s="167">
        <f>VLOOKUP(I80,$J:$O,G80,0)</f>
        <v/>
      </c>
      <c r="G80" s="167">
        <f>G48+1</f>
        <v/>
      </c>
      <c r="H80" s="167">
        <f>IFERROR(FIND(" - ",F80),"")</f>
        <v/>
      </c>
      <c r="I80" s="167">
        <f>I48</f>
        <v/>
      </c>
    </row>
    <row r="81" ht="14.4" customHeight="1" s="152">
      <c r="A81" s="167" t="n">
        <v>80</v>
      </c>
      <c r="B81" s="167">
        <f>B49</f>
        <v/>
      </c>
      <c r="C81" s="167">
        <f>IF(H81="",F81,LEFT(F81,H81-1))</f>
        <v/>
      </c>
      <c r="D81" s="167" t="inlineStr">
        <is>
          <t>TE</t>
        </is>
      </c>
      <c r="E81" s="167">
        <f>IF(H81&lt;&gt;"",RIGHT(F81,LEN(F81)-H81-2),"")</f>
        <v/>
      </c>
      <c r="F81" s="167">
        <f>VLOOKUP(I81,$J:$O,G81,0)</f>
        <v/>
      </c>
      <c r="G81" s="167">
        <f>G49+1</f>
        <v/>
      </c>
      <c r="H81" s="167">
        <f>IFERROR(FIND(" - ",F81),"")</f>
        <v/>
      </c>
      <c r="I81" s="167">
        <f>I49</f>
        <v/>
      </c>
    </row>
    <row r="82" ht="14.4" customHeight="1" s="152">
      <c r="A82" s="167" t="n">
        <v>81</v>
      </c>
      <c r="B82" s="167">
        <f>B50</f>
        <v/>
      </c>
      <c r="C82" s="167">
        <f>IF(H82="",F82,LEFT(F82,H82-1))</f>
        <v/>
      </c>
      <c r="D82" s="167" t="inlineStr">
        <is>
          <t>TE</t>
        </is>
      </c>
      <c r="E82" s="167">
        <f>IF(H82&lt;&gt;"",RIGHT(F82,LEN(F82)-H82-2),"")</f>
        <v/>
      </c>
      <c r="F82" s="167">
        <f>VLOOKUP(I82,$J:$O,G82,0)</f>
        <v/>
      </c>
      <c r="G82" s="167">
        <f>G50+1</f>
        <v/>
      </c>
      <c r="H82" s="167">
        <f>IFERROR(FIND(" - ",F82),"")</f>
        <v/>
      </c>
      <c r="I82" s="167">
        <f>I50</f>
        <v/>
      </c>
    </row>
    <row r="83" ht="14.4" customHeight="1" s="152">
      <c r="A83" s="167" t="n">
        <v>82</v>
      </c>
      <c r="B83" s="167">
        <f>B51</f>
        <v/>
      </c>
      <c r="C83" s="167">
        <f>IF(H83="",F83,LEFT(F83,H83-1))</f>
        <v/>
      </c>
      <c r="D83" s="167" t="inlineStr">
        <is>
          <t>TE</t>
        </is>
      </c>
      <c r="E83" s="167">
        <f>IF(H83&lt;&gt;"",RIGHT(F83,LEN(F83)-H83-2),"")</f>
        <v/>
      </c>
      <c r="F83" s="167">
        <f>VLOOKUP(I83,$J:$O,G83,0)</f>
        <v/>
      </c>
      <c r="G83" s="167">
        <f>G51+1</f>
        <v/>
      </c>
      <c r="H83" s="167">
        <f>IFERROR(FIND(" - ",F83),"")</f>
        <v/>
      </c>
      <c r="I83" s="167">
        <f>I51</f>
        <v/>
      </c>
    </row>
    <row r="84" ht="14.4" customHeight="1" s="152">
      <c r="A84" s="167" t="n">
        <v>83</v>
      </c>
      <c r="B84" s="167">
        <f>B52</f>
        <v/>
      </c>
      <c r="C84" s="167">
        <f>IF(H84="",F84,LEFT(F84,H84-1))</f>
        <v/>
      </c>
      <c r="D84" s="167" t="inlineStr">
        <is>
          <t>TE</t>
        </is>
      </c>
      <c r="E84" s="167">
        <f>IF(H84&lt;&gt;"",RIGHT(F84,LEN(F84)-H84-2),"")</f>
        <v/>
      </c>
      <c r="F84" s="167">
        <f>VLOOKUP(I84,$J:$O,G84,0)</f>
        <v/>
      </c>
      <c r="G84" s="167">
        <f>G52+1</f>
        <v/>
      </c>
      <c r="H84" s="167">
        <f>IFERROR(FIND(" - ",F84),"")</f>
        <v/>
      </c>
      <c r="I84" s="167">
        <f>I52</f>
        <v/>
      </c>
    </row>
    <row r="85" ht="14.4" customHeight="1" s="152">
      <c r="A85" s="167" t="n">
        <v>84</v>
      </c>
      <c r="B85" s="167">
        <f>B53</f>
        <v/>
      </c>
      <c r="C85" s="167">
        <f>IF(H85="",F85,LEFT(F85,H85-1))</f>
        <v/>
      </c>
      <c r="D85" s="167" t="inlineStr">
        <is>
          <t>TE</t>
        </is>
      </c>
      <c r="E85" s="167">
        <f>IF(H85&lt;&gt;"",RIGHT(F85,LEN(F85)-H85-2),"")</f>
        <v/>
      </c>
      <c r="F85" s="167">
        <f>VLOOKUP(I85,$J:$O,G85,0)</f>
        <v/>
      </c>
      <c r="G85" s="167">
        <f>G53+1</f>
        <v/>
      </c>
      <c r="H85" s="167">
        <f>IFERROR(FIND(" - ",F85),"")</f>
        <v/>
      </c>
      <c r="I85" s="167">
        <f>I53</f>
        <v/>
      </c>
    </row>
    <row r="86" ht="14.4" customHeight="1" s="152">
      <c r="A86" s="167" t="n">
        <v>85</v>
      </c>
      <c r="B86" s="167">
        <f>B54</f>
        <v/>
      </c>
      <c r="C86" s="167">
        <f>IF(H86="",F86,LEFT(F86,H86-1))</f>
        <v/>
      </c>
      <c r="D86" s="167" t="inlineStr">
        <is>
          <t>TE</t>
        </is>
      </c>
      <c r="E86" s="167">
        <f>IF(H86&lt;&gt;"",RIGHT(F86,LEN(F86)-H86-2),"")</f>
        <v/>
      </c>
      <c r="F86" s="167">
        <f>VLOOKUP(I86,$J:$O,G86,0)</f>
        <v/>
      </c>
      <c r="G86" s="167">
        <f>G54+1</f>
        <v/>
      </c>
      <c r="H86" s="167">
        <f>IFERROR(FIND(" - ",F86),"")</f>
        <v/>
      </c>
      <c r="I86" s="167">
        <f>I54</f>
        <v/>
      </c>
    </row>
    <row r="87" ht="14.4" customHeight="1" s="152">
      <c r="A87" s="167" t="n">
        <v>86</v>
      </c>
      <c r="B87" s="167">
        <f>B55</f>
        <v/>
      </c>
      <c r="C87" s="167">
        <f>IF(H87="",F87,LEFT(F87,H87-1))</f>
        <v/>
      </c>
      <c r="D87" s="167" t="inlineStr">
        <is>
          <t>TE</t>
        </is>
      </c>
      <c r="E87" s="167">
        <f>IF(H87&lt;&gt;"",RIGHT(F87,LEN(F87)-H87-2),"")</f>
        <v/>
      </c>
      <c r="F87" s="167">
        <f>VLOOKUP(I87,$J:$O,G87,0)</f>
        <v/>
      </c>
      <c r="G87" s="167">
        <f>G55+1</f>
        <v/>
      </c>
      <c r="H87" s="167">
        <f>IFERROR(FIND(" - ",F87),"")</f>
        <v/>
      </c>
      <c r="I87" s="167">
        <f>I55</f>
        <v/>
      </c>
    </row>
    <row r="88" ht="14.4" customHeight="1" s="152">
      <c r="A88" s="167" t="n">
        <v>87</v>
      </c>
      <c r="B88" s="167">
        <f>B56</f>
        <v/>
      </c>
      <c r="C88" s="167">
        <f>IF(H88="",F88,LEFT(F88,H88-1))</f>
        <v/>
      </c>
      <c r="D88" s="167" t="inlineStr">
        <is>
          <t>TE</t>
        </is>
      </c>
      <c r="E88" s="167">
        <f>IF(H88&lt;&gt;"",RIGHT(F88,LEN(F88)-H88-2),"")</f>
        <v/>
      </c>
      <c r="F88" s="167">
        <f>VLOOKUP(I88,$J:$O,G88,0)</f>
        <v/>
      </c>
      <c r="G88" s="167">
        <f>G56+1</f>
        <v/>
      </c>
      <c r="H88" s="167">
        <f>IFERROR(FIND(" - ",F88),"")</f>
        <v/>
      </c>
      <c r="I88" s="167">
        <f>I56</f>
        <v/>
      </c>
    </row>
    <row r="89" ht="14.4" customHeight="1" s="152">
      <c r="A89" s="167" t="n">
        <v>88</v>
      </c>
      <c r="B89" s="167">
        <f>B57</f>
        <v/>
      </c>
      <c r="C89" s="167">
        <f>IF(H89="",F89,LEFT(F89,H89-1))</f>
        <v/>
      </c>
      <c r="D89" s="167" t="inlineStr">
        <is>
          <t>TE</t>
        </is>
      </c>
      <c r="E89" s="167">
        <f>IF(H89&lt;&gt;"",RIGHT(F89,LEN(F89)-H89-2),"")</f>
        <v/>
      </c>
      <c r="F89" s="167">
        <f>VLOOKUP(I89,$J:$O,G89,0)</f>
        <v/>
      </c>
      <c r="G89" s="167">
        <f>G57+1</f>
        <v/>
      </c>
      <c r="H89" s="167">
        <f>IFERROR(FIND(" - ",F89),"")</f>
        <v/>
      </c>
      <c r="I89" s="167">
        <f>I57</f>
        <v/>
      </c>
    </row>
    <row r="90" ht="14.4" customHeight="1" s="152">
      <c r="A90" s="167" t="n">
        <v>89</v>
      </c>
      <c r="B90" s="167">
        <f>B58</f>
        <v/>
      </c>
      <c r="C90" s="167">
        <f>IF(H90="",F90,LEFT(F90,H90-1))</f>
        <v/>
      </c>
      <c r="D90" s="167" t="inlineStr">
        <is>
          <t>TE</t>
        </is>
      </c>
      <c r="E90" s="167">
        <f>IF(H90&lt;&gt;"",RIGHT(F90,LEN(F90)-H90-2),"")</f>
        <v/>
      </c>
      <c r="F90" s="167">
        <f>VLOOKUP(I90,$J:$O,G90,0)</f>
        <v/>
      </c>
      <c r="G90" s="167">
        <f>G58+1</f>
        <v/>
      </c>
      <c r="H90" s="167">
        <f>IFERROR(FIND(" - ",F90),"")</f>
        <v/>
      </c>
      <c r="I90" s="167">
        <f>I58</f>
        <v/>
      </c>
    </row>
    <row r="91" ht="14.4" customHeight="1" s="152">
      <c r="A91" s="167" t="n">
        <v>90</v>
      </c>
      <c r="B91" s="167">
        <f>B59</f>
        <v/>
      </c>
      <c r="C91" s="167">
        <f>IF(H91="",F91,LEFT(F91,H91-1))</f>
        <v/>
      </c>
      <c r="D91" s="167" t="inlineStr">
        <is>
          <t>TE</t>
        </is>
      </c>
      <c r="E91" s="167">
        <f>IF(H91&lt;&gt;"",RIGHT(F91,LEN(F91)-H91-2),"")</f>
        <v/>
      </c>
      <c r="F91" s="167">
        <f>VLOOKUP(I91,$J:$O,G91,0)</f>
        <v/>
      </c>
      <c r="G91" s="167">
        <f>G59+1</f>
        <v/>
      </c>
      <c r="H91" s="167">
        <f>IFERROR(FIND(" - ",F91),"")</f>
        <v/>
      </c>
      <c r="I91" s="167">
        <f>I59</f>
        <v/>
      </c>
    </row>
    <row r="92" ht="14.4" customHeight="1" s="152">
      <c r="A92" s="167" t="n">
        <v>91</v>
      </c>
      <c r="B92" s="167">
        <f>B60</f>
        <v/>
      </c>
      <c r="C92" s="167">
        <f>IF(H92="",F92,LEFT(F92,H92-1))</f>
        <v/>
      </c>
      <c r="D92" s="167" t="inlineStr">
        <is>
          <t>TE</t>
        </is>
      </c>
      <c r="E92" s="167">
        <f>IF(H92&lt;&gt;"",RIGHT(F92,LEN(F92)-H92-2),"")</f>
        <v/>
      </c>
      <c r="F92" s="167">
        <f>VLOOKUP(I92,$J:$O,G92,0)</f>
        <v/>
      </c>
      <c r="G92" s="167">
        <f>G60+1</f>
        <v/>
      </c>
      <c r="H92" s="167">
        <f>IFERROR(FIND(" - ",F92),"")</f>
        <v/>
      </c>
      <c r="I92" s="167">
        <f>I60</f>
        <v/>
      </c>
    </row>
    <row r="93" ht="14.4" customHeight="1" s="152">
      <c r="A93" s="167" t="n">
        <v>92</v>
      </c>
      <c r="B93" s="167">
        <f>B61</f>
        <v/>
      </c>
      <c r="C93" s="167">
        <f>IF(H93="",F93,LEFT(F93,H93-1))</f>
        <v/>
      </c>
      <c r="D93" s="167" t="inlineStr">
        <is>
          <t>TE</t>
        </is>
      </c>
      <c r="E93" s="167">
        <f>IF(H93&lt;&gt;"",RIGHT(F93,LEN(F93)-H93-2),"")</f>
        <v/>
      </c>
      <c r="F93" s="167">
        <f>VLOOKUP(I93,$J:$O,G93,0)</f>
        <v/>
      </c>
      <c r="G93" s="167">
        <f>G61+1</f>
        <v/>
      </c>
      <c r="H93" s="167">
        <f>IFERROR(FIND(" - ",F93),"")</f>
        <v/>
      </c>
      <c r="I93" s="167">
        <f>I61</f>
        <v/>
      </c>
    </row>
    <row r="94" ht="14.4" customHeight="1" s="152">
      <c r="A94" s="167" t="n">
        <v>93</v>
      </c>
      <c r="B94" s="167">
        <f>B62</f>
        <v/>
      </c>
      <c r="C94" s="167">
        <f>IF(H94="",F94,LEFT(F94,H94-1))</f>
        <v/>
      </c>
      <c r="D94" s="167" t="inlineStr">
        <is>
          <t>TE</t>
        </is>
      </c>
      <c r="E94" s="167">
        <f>IF(H94&lt;&gt;"",RIGHT(F94,LEN(F94)-H94-2),"")</f>
        <v/>
      </c>
      <c r="F94" s="167">
        <f>VLOOKUP(I94,$J:$O,G94,0)</f>
        <v/>
      </c>
      <c r="G94" s="167">
        <f>G62+1</f>
        <v/>
      </c>
      <c r="H94" s="167">
        <f>IFERROR(FIND(" - ",F94),"")</f>
        <v/>
      </c>
      <c r="I94" s="167">
        <f>I62</f>
        <v/>
      </c>
    </row>
    <row r="95" ht="14.4" customHeight="1" s="152">
      <c r="A95" s="167" t="n">
        <v>94</v>
      </c>
      <c r="B95" s="167">
        <f>B63</f>
        <v/>
      </c>
      <c r="C95" s="167">
        <f>IF(H95="",F95,LEFT(F95,H95-1))</f>
        <v/>
      </c>
      <c r="D95" s="167" t="inlineStr">
        <is>
          <t>TE</t>
        </is>
      </c>
      <c r="E95" s="167">
        <f>IF(H95&lt;&gt;"",RIGHT(F95,LEN(F95)-H95-2),"")</f>
        <v/>
      </c>
      <c r="F95" s="167">
        <f>VLOOKUP(I95,$J:$O,G95,0)</f>
        <v/>
      </c>
      <c r="G95" s="167">
        <f>G63+1</f>
        <v/>
      </c>
      <c r="H95" s="167">
        <f>IFERROR(FIND(" - ",F95),"")</f>
        <v/>
      </c>
      <c r="I95" s="167">
        <f>I63</f>
        <v/>
      </c>
    </row>
    <row r="96" ht="14.4" customHeight="1" s="152">
      <c r="A96" s="167" t="n">
        <v>95</v>
      </c>
      <c r="B96" s="167">
        <f>B64</f>
        <v/>
      </c>
      <c r="C96" s="167">
        <f>IF(H96="",F96,LEFT(F96,H96-1))</f>
        <v/>
      </c>
      <c r="D96" s="167" t="inlineStr">
        <is>
          <t>TE</t>
        </is>
      </c>
      <c r="E96" s="167">
        <f>IF(H96&lt;&gt;"",RIGHT(F96,LEN(F96)-H96-2),"")</f>
        <v/>
      </c>
      <c r="F96" s="167">
        <f>VLOOKUP(I96,$J:$O,G96,0)</f>
        <v/>
      </c>
      <c r="G96" s="167">
        <f>G64+1</f>
        <v/>
      </c>
      <c r="H96" s="167">
        <f>IFERROR(FIND(" - ",F96),"")</f>
        <v/>
      </c>
      <c r="I96" s="167">
        <f>I64</f>
        <v/>
      </c>
    </row>
    <row r="97" ht="14.4" customHeight="1" s="152">
      <c r="A97" s="167" t="n">
        <v>96</v>
      </c>
      <c r="B97" s="167">
        <f>B65</f>
        <v/>
      </c>
      <c r="C97" s="167">
        <f>IF(H97="",F97,LEFT(F97,H97-1))</f>
        <v/>
      </c>
      <c r="D97" s="167" t="inlineStr">
        <is>
          <t>TE</t>
        </is>
      </c>
      <c r="E97" s="167">
        <f>IF(H97&lt;&gt;"",RIGHT(F97,LEN(F97)-H97-2),"")</f>
        <v/>
      </c>
      <c r="F97" s="167">
        <f>VLOOKUP(I97,$J:$O,G97,0)</f>
        <v/>
      </c>
      <c r="G97" s="167">
        <f>G65+1</f>
        <v/>
      </c>
      <c r="H97" s="167">
        <f>IFERROR(FIND(" - ",F97),"")</f>
        <v/>
      </c>
      <c r="I97" s="167">
        <f>I65</f>
        <v/>
      </c>
    </row>
    <row r="98" ht="14.4" customHeight="1" s="152">
      <c r="A98" s="167" t="n">
        <v>97</v>
      </c>
      <c r="B98" s="167">
        <f>B66</f>
        <v/>
      </c>
      <c r="C98" s="167">
        <f>IF(H98="",F98,LEFT(F98,H98-1))</f>
        <v/>
      </c>
      <c r="D98" s="167" t="inlineStr">
        <is>
          <t>TE</t>
        </is>
      </c>
      <c r="E98" s="167">
        <f>IF(H98&lt;&gt;"",RIGHT(F98,LEN(F98)-H98-2),"")</f>
        <v/>
      </c>
      <c r="F98" s="167">
        <f>VLOOKUP(I98,$J:$O,G98,0)</f>
        <v/>
      </c>
      <c r="G98" s="167">
        <f>G66+1</f>
        <v/>
      </c>
      <c r="H98" s="167">
        <f>IFERROR(FIND(" - ",F98),"")</f>
        <v/>
      </c>
      <c r="I98" s="167">
        <f>I66</f>
        <v/>
      </c>
    </row>
    <row r="99" ht="14.4" customHeight="1" s="152">
      <c r="A99" s="167" t="n">
        <v>98</v>
      </c>
      <c r="B99" s="167">
        <f>B67</f>
        <v/>
      </c>
      <c r="C99" s="167">
        <f>IF(H99="",F99,LEFT(F99,H99-1))</f>
        <v/>
      </c>
      <c r="D99" s="167" t="inlineStr">
        <is>
          <t>TE</t>
        </is>
      </c>
      <c r="E99" s="167">
        <f>IF(H99&lt;&gt;"",RIGHT(F99,LEN(F99)-H99-2),"")</f>
        <v/>
      </c>
      <c r="F99" s="167">
        <f>VLOOKUP(I99,$J:$O,G99,0)</f>
        <v/>
      </c>
      <c r="G99" s="167">
        <f>G67+1</f>
        <v/>
      </c>
      <c r="H99" s="167">
        <f>IFERROR(FIND(" - ",F99),"")</f>
        <v/>
      </c>
      <c r="I99" s="167">
        <f>I67</f>
        <v/>
      </c>
    </row>
    <row r="100" ht="14.4" customHeight="1" s="152">
      <c r="A100" s="167" t="n">
        <v>99</v>
      </c>
      <c r="B100" s="167">
        <f>B68</f>
        <v/>
      </c>
      <c r="C100" s="167">
        <f>IF(H100="",F100,LEFT(F100,H100-1))</f>
        <v/>
      </c>
      <c r="D100" s="167" t="inlineStr">
        <is>
          <t>TE</t>
        </is>
      </c>
      <c r="E100" s="167">
        <f>IF(H100&lt;&gt;"",RIGHT(F100,LEN(F100)-H100-2),"")</f>
        <v/>
      </c>
      <c r="F100" s="167">
        <f>VLOOKUP(I100,$J:$O,G100,0)</f>
        <v/>
      </c>
      <c r="G100" s="167">
        <f>G68+1</f>
        <v/>
      </c>
      <c r="H100" s="167">
        <f>IFERROR(FIND(" - ",F100),"")</f>
        <v/>
      </c>
      <c r="I100" s="167">
        <f>I68</f>
        <v/>
      </c>
    </row>
    <row r="101" ht="14.4" customHeight="1" s="152">
      <c r="A101" s="167" t="n">
        <v>100</v>
      </c>
      <c r="B101" s="167">
        <f>B69</f>
        <v/>
      </c>
      <c r="C101" s="167">
        <f>IF(H101="",F101,LEFT(F101,H101-1))</f>
        <v/>
      </c>
      <c r="D101" s="167" t="inlineStr">
        <is>
          <t>TE</t>
        </is>
      </c>
      <c r="E101" s="167">
        <f>IF(H101&lt;&gt;"",RIGHT(F101,LEN(F101)-H101-2),"")</f>
        <v/>
      </c>
      <c r="F101" s="167">
        <f>VLOOKUP(I101,$J:$O,G101,0)</f>
        <v/>
      </c>
      <c r="G101" s="167">
        <f>G69+1</f>
        <v/>
      </c>
      <c r="H101" s="167">
        <f>IFERROR(FIND(" - ",F101),"")</f>
        <v/>
      </c>
      <c r="I101" s="167">
        <f>I69</f>
        <v/>
      </c>
    </row>
    <row r="102" ht="14.4" customHeight="1" s="152">
      <c r="A102" s="167" t="n">
        <v>101</v>
      </c>
      <c r="B102" s="167">
        <f>B70</f>
        <v/>
      </c>
      <c r="C102" s="167">
        <f>IF(H102="",F102,LEFT(F102,H102-1))</f>
        <v/>
      </c>
      <c r="D102" s="167" t="inlineStr">
        <is>
          <t>TE</t>
        </is>
      </c>
      <c r="E102" s="167">
        <f>IF(H102&lt;&gt;"",RIGHT(F102,LEN(F102)-H102-2),"")</f>
        <v/>
      </c>
      <c r="F102" s="167">
        <f>VLOOKUP(I102,$J:$O,G102,0)</f>
        <v/>
      </c>
      <c r="G102" s="167">
        <f>G70+1</f>
        <v/>
      </c>
      <c r="H102" s="167">
        <f>IFERROR(FIND(" - ",F102),"")</f>
        <v/>
      </c>
      <c r="I102" s="167">
        <f>I70</f>
        <v/>
      </c>
    </row>
    <row r="103" ht="14.4" customHeight="1" s="152">
      <c r="A103" s="167" t="n">
        <v>102</v>
      </c>
      <c r="B103" s="167">
        <f>B71</f>
        <v/>
      </c>
      <c r="C103" s="167">
        <f>IF(H103="",F103,LEFT(F103,H103-1))</f>
        <v/>
      </c>
      <c r="D103" s="167" t="inlineStr">
        <is>
          <t>TE</t>
        </is>
      </c>
      <c r="E103" s="167">
        <f>IF(H103&lt;&gt;"",RIGHT(F103,LEN(F103)-H103-2),"")</f>
        <v/>
      </c>
      <c r="F103" s="167">
        <f>VLOOKUP(I103,$J:$O,G103,0)</f>
        <v/>
      </c>
      <c r="G103" s="167">
        <f>G71+1</f>
        <v/>
      </c>
      <c r="H103" s="167">
        <f>IFERROR(FIND(" - ",F103),"")</f>
        <v/>
      </c>
      <c r="I103" s="167">
        <f>I71</f>
        <v/>
      </c>
    </row>
    <row r="104" ht="14.4" customHeight="1" s="152">
      <c r="A104" s="167" t="n">
        <v>103</v>
      </c>
      <c r="B104" s="167">
        <f>B72</f>
        <v/>
      </c>
      <c r="C104" s="167">
        <f>IF(H104="",F104,LEFT(F104,H104-1))</f>
        <v/>
      </c>
      <c r="D104" s="167" t="inlineStr">
        <is>
          <t>TE</t>
        </is>
      </c>
      <c r="E104" s="167">
        <f>IF(H104&lt;&gt;"",RIGHT(F104,LEN(F104)-H104-2),"")</f>
        <v/>
      </c>
      <c r="F104" s="167">
        <f>VLOOKUP(I104,$J:$O,G104,0)</f>
        <v/>
      </c>
      <c r="G104" s="167">
        <f>G72+1</f>
        <v/>
      </c>
      <c r="H104" s="167">
        <f>IFERROR(FIND(" - ",F104),"")</f>
        <v/>
      </c>
      <c r="I104" s="167">
        <f>I72</f>
        <v/>
      </c>
    </row>
    <row r="105" ht="14.4" customHeight="1" s="152">
      <c r="A105" s="167" t="n">
        <v>104</v>
      </c>
      <c r="B105" s="167">
        <f>B73</f>
        <v/>
      </c>
      <c r="C105" s="167">
        <f>IF(H105="",F105,LEFT(F105,H105-1))</f>
        <v/>
      </c>
      <c r="D105" s="167" t="inlineStr">
        <is>
          <t>TE</t>
        </is>
      </c>
      <c r="E105" s="167">
        <f>IF(H105&lt;&gt;"",RIGHT(F105,LEN(F105)-H105-2),"")</f>
        <v/>
      </c>
      <c r="F105" s="167">
        <f>VLOOKUP(I105,$J:$O,G105,0)</f>
        <v/>
      </c>
      <c r="G105" s="167">
        <f>G73+1</f>
        <v/>
      </c>
      <c r="H105" s="167">
        <f>IFERROR(FIND(" - ",F105),"")</f>
        <v/>
      </c>
      <c r="I105" s="167">
        <f>I73</f>
        <v/>
      </c>
    </row>
    <row r="106" ht="14.4" customHeight="1" s="152">
      <c r="A106" s="167" t="n">
        <v>105</v>
      </c>
      <c r="B106" s="167">
        <f>B74</f>
        <v/>
      </c>
      <c r="C106" s="167">
        <f>IF(H106="",F106,LEFT(F106,H106-1))</f>
        <v/>
      </c>
      <c r="D106" s="167" t="inlineStr">
        <is>
          <t>TE</t>
        </is>
      </c>
      <c r="E106" s="167">
        <f>IF(H106&lt;&gt;"",RIGHT(F106,LEN(F106)-H106-2),"")</f>
        <v/>
      </c>
      <c r="F106" s="167">
        <f>VLOOKUP(I106,$J:$O,G106,0)</f>
        <v/>
      </c>
      <c r="G106" s="167">
        <f>G74+1</f>
        <v/>
      </c>
      <c r="H106" s="167">
        <f>IFERROR(FIND(" - ",F106),"")</f>
        <v/>
      </c>
      <c r="I106" s="167">
        <f>I74</f>
        <v/>
      </c>
    </row>
    <row r="107" ht="14.4" customHeight="1" s="152">
      <c r="A107" s="167" t="n">
        <v>106</v>
      </c>
      <c r="B107" s="167">
        <f>B75</f>
        <v/>
      </c>
      <c r="C107" s="167">
        <f>IF(H107="",F107,LEFT(F107,H107-1))</f>
        <v/>
      </c>
      <c r="D107" s="167" t="inlineStr">
        <is>
          <t>TE</t>
        </is>
      </c>
      <c r="E107" s="167">
        <f>IF(H107&lt;&gt;"",RIGHT(F107,LEN(F107)-H107-2),"")</f>
        <v/>
      </c>
      <c r="F107" s="167">
        <f>VLOOKUP(I107,$J:$O,G107,0)</f>
        <v/>
      </c>
      <c r="G107" s="167">
        <f>G75+1</f>
        <v/>
      </c>
      <c r="H107" s="167">
        <f>IFERROR(FIND(" - ",F107),"")</f>
        <v/>
      </c>
      <c r="I107" s="167">
        <f>I75</f>
        <v/>
      </c>
    </row>
    <row r="108" ht="14.4" customHeight="1" s="152">
      <c r="A108" s="167" t="n">
        <v>107</v>
      </c>
      <c r="B108" s="167">
        <f>B76</f>
        <v/>
      </c>
      <c r="C108" s="167">
        <f>IF(H108="",F108,LEFT(F108,H108-1))</f>
        <v/>
      </c>
      <c r="D108" s="167" t="inlineStr">
        <is>
          <t>TE</t>
        </is>
      </c>
      <c r="E108" s="167">
        <f>IF(H108&lt;&gt;"",RIGHT(F108,LEN(F108)-H108-2),"")</f>
        <v/>
      </c>
      <c r="F108" s="167">
        <f>VLOOKUP(I108,$J:$O,G108,0)</f>
        <v/>
      </c>
      <c r="G108" s="167">
        <f>G76+1</f>
        <v/>
      </c>
      <c r="H108" s="167">
        <f>IFERROR(FIND(" - ",F108),"")</f>
        <v/>
      </c>
      <c r="I108" s="167">
        <f>I76</f>
        <v/>
      </c>
    </row>
    <row r="109" ht="14.4" customHeight="1" s="152">
      <c r="A109" s="167" t="n">
        <v>108</v>
      </c>
      <c r="B109" s="167">
        <f>B77</f>
        <v/>
      </c>
      <c r="C109" s="167">
        <f>IF(H109="",F109,LEFT(F109,H109-1))</f>
        <v/>
      </c>
      <c r="D109" s="167" t="inlineStr">
        <is>
          <t>TE</t>
        </is>
      </c>
      <c r="E109" s="167">
        <f>IF(H109&lt;&gt;"",RIGHT(F109,LEN(F109)-H109-2),"")</f>
        <v/>
      </c>
      <c r="F109" s="167">
        <f>VLOOKUP(I109,$J:$O,G109,0)</f>
        <v/>
      </c>
      <c r="G109" s="167">
        <f>G77+1</f>
        <v/>
      </c>
      <c r="H109" s="167">
        <f>IFERROR(FIND(" - ",F109),"")</f>
        <v/>
      </c>
      <c r="I109" s="167">
        <f>I77</f>
        <v/>
      </c>
    </row>
    <row r="110" ht="14.4" customHeight="1" s="152">
      <c r="A110" s="167" t="n">
        <v>109</v>
      </c>
      <c r="B110" s="167">
        <f>B78</f>
        <v/>
      </c>
      <c r="C110" s="167">
        <f>IF(H110="",F110,LEFT(F110,H110-1))</f>
        <v/>
      </c>
      <c r="D110" s="167" t="inlineStr">
        <is>
          <t>TE</t>
        </is>
      </c>
      <c r="E110" s="167">
        <f>IF(H110&lt;&gt;"",RIGHT(F110,LEN(F110)-H110-2),"")</f>
        <v/>
      </c>
      <c r="F110" s="167">
        <f>VLOOKUP(I110,$J:$O,G110,0)</f>
        <v/>
      </c>
      <c r="G110" s="167">
        <f>G78+1</f>
        <v/>
      </c>
      <c r="H110" s="167">
        <f>IFERROR(FIND(" - ",F110),"")</f>
        <v/>
      </c>
      <c r="I110" s="167">
        <f>I78</f>
        <v/>
      </c>
    </row>
    <row r="111" ht="14.4" customHeight="1" s="152">
      <c r="A111" s="167" t="n">
        <v>110</v>
      </c>
      <c r="B111" s="167">
        <f>B79</f>
        <v/>
      </c>
      <c r="C111" s="167">
        <f>IF(H111="",F111,LEFT(F111,H111-1))</f>
        <v/>
      </c>
      <c r="D111" s="167" t="inlineStr">
        <is>
          <t>TE</t>
        </is>
      </c>
      <c r="E111" s="167">
        <f>IF(H111&lt;&gt;"",RIGHT(F111,LEN(F111)-H111-2),"")</f>
        <v/>
      </c>
      <c r="F111" s="167">
        <f>VLOOKUP(I111,$J:$O,G111,0)</f>
        <v/>
      </c>
      <c r="G111" s="167">
        <f>G79+1</f>
        <v/>
      </c>
      <c r="H111" s="167">
        <f>IFERROR(FIND(" - ",F111),"")</f>
        <v/>
      </c>
      <c r="I111" s="167">
        <f>I79</f>
        <v/>
      </c>
    </row>
    <row r="112" ht="14.4" customHeight="1" s="152">
      <c r="A112" s="167" t="n">
        <v>111</v>
      </c>
      <c r="B112" s="167">
        <f>B80</f>
        <v/>
      </c>
      <c r="C112" s="167">
        <f>IF(H112="",F112,LEFT(F112,H112-1))</f>
        <v/>
      </c>
      <c r="D112" s="167" t="inlineStr">
        <is>
          <t>TE</t>
        </is>
      </c>
      <c r="E112" s="167">
        <f>IF(H112&lt;&gt;"",RIGHT(F112,LEN(F112)-H112-2),"")</f>
        <v/>
      </c>
      <c r="F112" s="167">
        <f>VLOOKUP(I112,$J:$O,G112,0)</f>
        <v/>
      </c>
      <c r="G112" s="167">
        <f>G80+1</f>
        <v/>
      </c>
      <c r="H112" s="167">
        <f>IFERROR(FIND(" - ",F112),"")</f>
        <v/>
      </c>
      <c r="I112" s="167">
        <f>I80</f>
        <v/>
      </c>
    </row>
    <row r="113" ht="14.4" customHeight="1" s="152">
      <c r="A113" s="167" t="n">
        <v>112</v>
      </c>
      <c r="B113" s="167">
        <f>B81</f>
        <v/>
      </c>
      <c r="C113" s="167">
        <f>IF(H113="",F113,LEFT(F113,H113-1))</f>
        <v/>
      </c>
      <c r="D113" s="167" t="inlineStr">
        <is>
          <t>TE</t>
        </is>
      </c>
      <c r="E113" s="167">
        <f>IF(H113&lt;&gt;"",RIGHT(F113,LEN(F113)-H113-2),"")</f>
        <v/>
      </c>
      <c r="F113" s="167">
        <f>VLOOKUP(I113,$J:$O,G113,0)</f>
        <v/>
      </c>
      <c r="G113" s="167">
        <f>G81+1</f>
        <v/>
      </c>
      <c r="H113" s="167">
        <f>IFERROR(FIND(" - ",F113),"")</f>
        <v/>
      </c>
      <c r="I113" s="167">
        <f>I81</f>
        <v/>
      </c>
    </row>
    <row r="114" ht="14.4" customHeight="1" s="152">
      <c r="A114" s="167" t="n">
        <v>113</v>
      </c>
      <c r="B114" s="167">
        <f>B82</f>
        <v/>
      </c>
      <c r="C114" s="167">
        <f>IF(H114="",F114,LEFT(F114,H114-1))</f>
        <v/>
      </c>
      <c r="D114" s="167" t="inlineStr">
        <is>
          <t>TE</t>
        </is>
      </c>
      <c r="E114" s="167">
        <f>IF(H114&lt;&gt;"",RIGHT(F114,LEN(F114)-H114-2),"")</f>
        <v/>
      </c>
      <c r="F114" s="167">
        <f>VLOOKUP(I114,$J:$O,G114,0)</f>
        <v/>
      </c>
      <c r="G114" s="167">
        <f>G82+1</f>
        <v/>
      </c>
      <c r="H114" s="167">
        <f>IFERROR(FIND(" - ",F114),"")</f>
        <v/>
      </c>
      <c r="I114" s="167">
        <f>I82</f>
        <v/>
      </c>
    </row>
    <row r="115" ht="14.4" customHeight="1" s="152">
      <c r="A115" s="167" t="n">
        <v>114</v>
      </c>
      <c r="B115" s="167">
        <f>B83</f>
        <v/>
      </c>
      <c r="C115" s="167">
        <f>IF(H115="",F115,LEFT(F115,H115-1))</f>
        <v/>
      </c>
      <c r="D115" s="167" t="inlineStr">
        <is>
          <t>TE</t>
        </is>
      </c>
      <c r="E115" s="167">
        <f>IF(H115&lt;&gt;"",RIGHT(F115,LEN(F115)-H115-2),"")</f>
        <v/>
      </c>
      <c r="F115" s="167">
        <f>VLOOKUP(I115,$J:$O,G115,0)</f>
        <v/>
      </c>
      <c r="G115" s="167">
        <f>G83+1</f>
        <v/>
      </c>
      <c r="H115" s="167">
        <f>IFERROR(FIND(" - ",F115),"")</f>
        <v/>
      </c>
      <c r="I115" s="167">
        <f>I83</f>
        <v/>
      </c>
    </row>
    <row r="116" ht="14.4" customHeight="1" s="152">
      <c r="A116" s="167" t="n">
        <v>115</v>
      </c>
      <c r="B116" s="167">
        <f>B84</f>
        <v/>
      </c>
      <c r="C116" s="167">
        <f>IF(H116="",F116,LEFT(F116,H116-1))</f>
        <v/>
      </c>
      <c r="D116" s="167" t="inlineStr">
        <is>
          <t>TE</t>
        </is>
      </c>
      <c r="E116" s="167">
        <f>IF(H116&lt;&gt;"",RIGHT(F116,LEN(F116)-H116-2),"")</f>
        <v/>
      </c>
      <c r="F116" s="167">
        <f>VLOOKUP(I116,$J:$O,G116,0)</f>
        <v/>
      </c>
      <c r="G116" s="167">
        <f>G84+1</f>
        <v/>
      </c>
      <c r="H116" s="167">
        <f>IFERROR(FIND(" - ",F116),"")</f>
        <v/>
      </c>
      <c r="I116" s="167">
        <f>I84</f>
        <v/>
      </c>
    </row>
    <row r="117" ht="14.4" customHeight="1" s="152">
      <c r="A117" s="167" t="n">
        <v>116</v>
      </c>
      <c r="B117" s="167">
        <f>B85</f>
        <v/>
      </c>
      <c r="C117" s="167">
        <f>IF(H117="",F117,LEFT(F117,H117-1))</f>
        <v/>
      </c>
      <c r="D117" s="167" t="inlineStr">
        <is>
          <t>TE</t>
        </is>
      </c>
      <c r="E117" s="167">
        <f>IF(H117&lt;&gt;"",RIGHT(F117,LEN(F117)-H117-2),"")</f>
        <v/>
      </c>
      <c r="F117" s="167">
        <f>VLOOKUP(I117,$J:$O,G117,0)</f>
        <v/>
      </c>
      <c r="G117" s="167">
        <f>G85+1</f>
        <v/>
      </c>
      <c r="H117" s="167">
        <f>IFERROR(FIND(" - ",F117),"")</f>
        <v/>
      </c>
      <c r="I117" s="167">
        <f>I85</f>
        <v/>
      </c>
    </row>
    <row r="118" ht="14.4" customHeight="1" s="152">
      <c r="A118" s="167" t="n">
        <v>117</v>
      </c>
      <c r="B118" s="167">
        <f>B86</f>
        <v/>
      </c>
      <c r="C118" s="167">
        <f>IF(H118="",F118,LEFT(F118,H118-1))</f>
        <v/>
      </c>
      <c r="D118" s="167" t="inlineStr">
        <is>
          <t>TE</t>
        </is>
      </c>
      <c r="E118" s="167">
        <f>IF(H118&lt;&gt;"",RIGHT(F118,LEN(F118)-H118-2),"")</f>
        <v/>
      </c>
      <c r="F118" s="167">
        <f>VLOOKUP(I118,$J:$O,G118,0)</f>
        <v/>
      </c>
      <c r="G118" s="167">
        <f>G86+1</f>
        <v/>
      </c>
      <c r="H118" s="167">
        <f>IFERROR(FIND(" - ",F118),"")</f>
        <v/>
      </c>
      <c r="I118" s="167">
        <f>I86</f>
        <v/>
      </c>
    </row>
    <row r="119" ht="14.4" customHeight="1" s="152">
      <c r="A119" s="167" t="n">
        <v>118</v>
      </c>
      <c r="B119" s="167">
        <f>B87</f>
        <v/>
      </c>
      <c r="C119" s="167">
        <f>IF(H119="",F119,LEFT(F119,H119-1))</f>
        <v/>
      </c>
      <c r="D119" s="167" t="inlineStr">
        <is>
          <t>TE</t>
        </is>
      </c>
      <c r="E119" s="167">
        <f>IF(H119&lt;&gt;"",RIGHT(F119,LEN(F119)-H119-2),"")</f>
        <v/>
      </c>
      <c r="F119" s="167">
        <f>VLOOKUP(I119,$J:$O,G119,0)</f>
        <v/>
      </c>
      <c r="G119" s="167">
        <f>G87+1</f>
        <v/>
      </c>
      <c r="H119" s="167">
        <f>IFERROR(FIND(" - ",F119),"")</f>
        <v/>
      </c>
      <c r="I119" s="167">
        <f>I87</f>
        <v/>
      </c>
    </row>
    <row r="120" ht="14.4" customHeight="1" s="152">
      <c r="A120" s="167" t="n">
        <v>119</v>
      </c>
      <c r="B120" s="167">
        <f>B88</f>
        <v/>
      </c>
      <c r="C120" s="167">
        <f>IF(H120="",F120,LEFT(F120,H120-1))</f>
        <v/>
      </c>
      <c r="D120" s="167" t="inlineStr">
        <is>
          <t>TE</t>
        </is>
      </c>
      <c r="E120" s="167">
        <f>IF(H120&lt;&gt;"",RIGHT(F120,LEN(F120)-H120-2),"")</f>
        <v/>
      </c>
      <c r="F120" s="167">
        <f>VLOOKUP(I120,$J:$O,G120,0)</f>
        <v/>
      </c>
      <c r="G120" s="167">
        <f>G88+1</f>
        <v/>
      </c>
      <c r="H120" s="167">
        <f>IFERROR(FIND(" - ",F120),"")</f>
        <v/>
      </c>
      <c r="I120" s="167">
        <f>I88</f>
        <v/>
      </c>
    </row>
    <row r="121" ht="14.4" customHeight="1" s="152">
      <c r="A121" s="167" t="n">
        <v>120</v>
      </c>
      <c r="B121" s="167">
        <f>B89</f>
        <v/>
      </c>
      <c r="C121" s="167">
        <f>IF(H121="",F121,LEFT(F121,H121-1))</f>
        <v/>
      </c>
      <c r="D121" s="167" t="inlineStr">
        <is>
          <t>TE</t>
        </is>
      </c>
      <c r="E121" s="167">
        <f>IF(H121&lt;&gt;"",RIGHT(F121,LEN(F121)-H121-2),"")</f>
        <v/>
      </c>
      <c r="F121" s="167">
        <f>VLOOKUP(I121,$J:$O,G121,0)</f>
        <v/>
      </c>
      <c r="G121" s="167">
        <f>G89+1</f>
        <v/>
      </c>
      <c r="H121" s="167">
        <f>IFERROR(FIND(" - ",F121),"")</f>
        <v/>
      </c>
      <c r="I121" s="167">
        <f>I89</f>
        <v/>
      </c>
    </row>
    <row r="122" ht="14.4" customHeight="1" s="152">
      <c r="A122" s="167" t="n">
        <v>121</v>
      </c>
      <c r="B122" s="167">
        <f>B90</f>
        <v/>
      </c>
      <c r="C122" s="167">
        <f>IF(H122="",F122,LEFT(F122,H122-1))</f>
        <v/>
      </c>
      <c r="D122" s="167" t="inlineStr">
        <is>
          <t>TE</t>
        </is>
      </c>
      <c r="E122" s="167">
        <f>IF(H122&lt;&gt;"",RIGHT(F122,LEN(F122)-H122-2),"")</f>
        <v/>
      </c>
      <c r="F122" s="167">
        <f>VLOOKUP(I122,$J:$O,G122,0)</f>
        <v/>
      </c>
      <c r="G122" s="167">
        <f>G90+1</f>
        <v/>
      </c>
      <c r="H122" s="167">
        <f>IFERROR(FIND(" - ",F122),"")</f>
        <v/>
      </c>
      <c r="I122" s="167">
        <f>I90</f>
        <v/>
      </c>
    </row>
    <row r="123" ht="14.4" customHeight="1" s="152">
      <c r="A123" s="167" t="n">
        <v>122</v>
      </c>
      <c r="B123" s="167">
        <f>B91</f>
        <v/>
      </c>
      <c r="C123" s="167">
        <f>IF(H123="",F123,LEFT(F123,H123-1))</f>
        <v/>
      </c>
      <c r="D123" s="167" t="inlineStr">
        <is>
          <t>TE</t>
        </is>
      </c>
      <c r="E123" s="167">
        <f>IF(H123&lt;&gt;"",RIGHT(F123,LEN(F123)-H123-2),"")</f>
        <v/>
      </c>
      <c r="F123" s="167">
        <f>VLOOKUP(I123,$J:$O,G123,0)</f>
        <v/>
      </c>
      <c r="G123" s="167">
        <f>G91+1</f>
        <v/>
      </c>
      <c r="H123" s="167">
        <f>IFERROR(FIND(" - ",F123),"")</f>
        <v/>
      </c>
      <c r="I123" s="167">
        <f>I91</f>
        <v/>
      </c>
    </row>
    <row r="124" ht="14.4" customHeight="1" s="152">
      <c r="A124" s="167" t="n">
        <v>123</v>
      </c>
      <c r="B124" s="167">
        <f>B92</f>
        <v/>
      </c>
      <c r="C124" s="167">
        <f>IF(H124="",F124,LEFT(F124,H124-1))</f>
        <v/>
      </c>
      <c r="D124" s="167" t="inlineStr">
        <is>
          <t>TE</t>
        </is>
      </c>
      <c r="E124" s="167">
        <f>IF(H124&lt;&gt;"",RIGHT(F124,LEN(F124)-H124-2),"")</f>
        <v/>
      </c>
      <c r="F124" s="167">
        <f>VLOOKUP(I124,$J:$O,G124,0)</f>
        <v/>
      </c>
      <c r="G124" s="167">
        <f>G92+1</f>
        <v/>
      </c>
      <c r="H124" s="167">
        <f>IFERROR(FIND(" - ",F124),"")</f>
        <v/>
      </c>
      <c r="I124" s="167">
        <f>I92</f>
        <v/>
      </c>
    </row>
    <row r="125" ht="14.4" customHeight="1" s="152">
      <c r="A125" s="167" t="n">
        <v>124</v>
      </c>
      <c r="B125" s="167">
        <f>B93</f>
        <v/>
      </c>
      <c r="C125" s="167">
        <f>IF(H125="",F125,LEFT(F125,H125-1))</f>
        <v/>
      </c>
      <c r="D125" s="167" t="inlineStr">
        <is>
          <t>TE</t>
        </is>
      </c>
      <c r="E125" s="167">
        <f>IF(H125&lt;&gt;"",RIGHT(F125,LEN(F125)-H125-2),"")</f>
        <v/>
      </c>
      <c r="F125" s="167">
        <f>VLOOKUP(I125,$J:$O,G125,0)</f>
        <v/>
      </c>
      <c r="G125" s="167">
        <f>G93+1</f>
        <v/>
      </c>
      <c r="H125" s="167">
        <f>IFERROR(FIND(" - ",F125),"")</f>
        <v/>
      </c>
      <c r="I125" s="167">
        <f>I93</f>
        <v/>
      </c>
    </row>
    <row r="126" ht="14.4" customHeight="1" s="152">
      <c r="A126" s="167" t="n">
        <v>125</v>
      </c>
      <c r="B126" s="167">
        <f>B94</f>
        <v/>
      </c>
      <c r="C126" s="167">
        <f>IF(H126="",F126,LEFT(F126,H126-1))</f>
        <v/>
      </c>
      <c r="D126" s="167" t="inlineStr">
        <is>
          <t>TE</t>
        </is>
      </c>
      <c r="E126" s="167">
        <f>IF(H126&lt;&gt;"",RIGHT(F126,LEN(F126)-H126-2),"")</f>
        <v/>
      </c>
      <c r="F126" s="167">
        <f>VLOOKUP(I126,$J:$O,G126,0)</f>
        <v/>
      </c>
      <c r="G126" s="167">
        <f>G94+1</f>
        <v/>
      </c>
      <c r="H126" s="167">
        <f>IFERROR(FIND(" - ",F126),"")</f>
        <v/>
      </c>
      <c r="I126" s="167">
        <f>I94</f>
        <v/>
      </c>
    </row>
    <row r="127" ht="14.4" customHeight="1" s="152">
      <c r="A127" s="167" t="n">
        <v>126</v>
      </c>
      <c r="B127" s="167">
        <f>B95</f>
        <v/>
      </c>
      <c r="C127" s="167">
        <f>IF(H127="",F127,LEFT(F127,H127-1))</f>
        <v/>
      </c>
      <c r="D127" s="167" t="inlineStr">
        <is>
          <t>TE</t>
        </is>
      </c>
      <c r="E127" s="167">
        <f>IF(H127&lt;&gt;"",RIGHT(F127,LEN(F127)-H127-2),"")</f>
        <v/>
      </c>
      <c r="F127" s="167">
        <f>VLOOKUP(I127,$J:$O,G127,0)</f>
        <v/>
      </c>
      <c r="G127" s="167">
        <f>G95+1</f>
        <v/>
      </c>
      <c r="H127" s="167">
        <f>IFERROR(FIND(" - ",F127),"")</f>
        <v/>
      </c>
      <c r="I127" s="167">
        <f>I95</f>
        <v/>
      </c>
    </row>
    <row r="128" ht="14.4" customHeight="1" s="152">
      <c r="A128" s="167" t="n">
        <v>127</v>
      </c>
      <c r="B128" s="167">
        <f>B96</f>
        <v/>
      </c>
      <c r="C128" s="167">
        <f>IF(H128="",F128,LEFT(F128,H128-1))</f>
        <v/>
      </c>
      <c r="D128" s="167" t="inlineStr">
        <is>
          <t>TE</t>
        </is>
      </c>
      <c r="E128" s="167">
        <f>IF(H128&lt;&gt;"",RIGHT(F128,LEN(F128)-H128-2),"")</f>
        <v/>
      </c>
      <c r="F128" s="167">
        <f>VLOOKUP(I128,$J:$O,G128,0)</f>
        <v/>
      </c>
      <c r="G128" s="167">
        <f>G96+1</f>
        <v/>
      </c>
      <c r="H128" s="167">
        <f>IFERROR(FIND(" - ",F128),"")</f>
        <v/>
      </c>
      <c r="I128" s="167">
        <f>I96</f>
        <v/>
      </c>
    </row>
    <row r="129" ht="14.4" customHeight="1" s="152">
      <c r="A129" s="167" t="n">
        <v>128</v>
      </c>
      <c r="B129" s="167">
        <f>B97</f>
        <v/>
      </c>
      <c r="C129" s="167">
        <f>IF(H129="",F129,LEFT(F129,H129-1))</f>
        <v/>
      </c>
      <c r="D129" s="167" t="inlineStr">
        <is>
          <t>TE</t>
        </is>
      </c>
      <c r="E129" s="167">
        <f>IF(H129&lt;&gt;"",RIGHT(F129,LEN(F129)-H129-2),"")</f>
        <v/>
      </c>
      <c r="F129" s="167">
        <f>VLOOKUP(I129,$J:$O,G129,0)</f>
        <v/>
      </c>
      <c r="G129" s="167">
        <f>G97+1</f>
        <v/>
      </c>
      <c r="H129" s="167">
        <f>IFERROR(FIND(" - ",F129),"")</f>
        <v/>
      </c>
      <c r="I129" s="167">
        <f>I97</f>
        <v/>
      </c>
    </row>
    <row r="130" ht="14.4" customHeight="1" s="152">
      <c r="A130" s="167" t="n">
        <v>129</v>
      </c>
      <c r="B130" s="167">
        <f>B98</f>
        <v/>
      </c>
      <c r="C130" s="167">
        <f>IF(H130="",F130,LEFT(F130,H130-1))</f>
        <v/>
      </c>
      <c r="D130" s="167" t="inlineStr">
        <is>
          <t>TE</t>
        </is>
      </c>
      <c r="E130" s="167">
        <f>IF(H130&lt;&gt;"",RIGHT(F130,LEN(F130)-H130-2),"")</f>
        <v/>
      </c>
      <c r="F130" s="167">
        <f>VLOOKUP(I130,$J:$O,G130,0)</f>
        <v/>
      </c>
      <c r="G130" s="167">
        <f>G98+1</f>
        <v/>
      </c>
      <c r="H130" s="167">
        <f>IFERROR(FIND(" - ",F130),"")</f>
        <v/>
      </c>
      <c r="I130" s="167">
        <f>I98</f>
        <v/>
      </c>
    </row>
    <row r="131" ht="14.4" customHeight="1" s="152">
      <c r="A131" s="167" t="n">
        <v>130</v>
      </c>
      <c r="B131" s="167">
        <f>B99</f>
        <v/>
      </c>
      <c r="C131" s="167">
        <f>IF(H131="",F131,LEFT(F131,H131-1))</f>
        <v/>
      </c>
      <c r="D131" s="167" t="inlineStr">
        <is>
          <t>TE</t>
        </is>
      </c>
      <c r="E131" s="167">
        <f>IF(H131&lt;&gt;"",RIGHT(F131,LEN(F131)-H131-2),"")</f>
        <v/>
      </c>
      <c r="F131" s="167">
        <f>VLOOKUP(I131,$J:$O,G131,0)</f>
        <v/>
      </c>
      <c r="G131" s="167">
        <f>G99+1</f>
        <v/>
      </c>
      <c r="H131" s="167">
        <f>IFERROR(FIND(" - ",F131),"")</f>
        <v/>
      </c>
      <c r="I131" s="167">
        <f>I99</f>
        <v/>
      </c>
    </row>
    <row r="132" ht="14.4" customHeight="1" s="152">
      <c r="A132" s="167" t="n">
        <v>131</v>
      </c>
      <c r="B132" s="167">
        <f>B100</f>
        <v/>
      </c>
      <c r="C132" s="167">
        <f>IF(H132="",F132,LEFT(F132,H132-1))</f>
        <v/>
      </c>
      <c r="D132" s="167" t="inlineStr">
        <is>
          <t>TE</t>
        </is>
      </c>
      <c r="E132" s="167">
        <f>IF(H132&lt;&gt;"",RIGHT(F132,LEN(F132)-H132-2),"")</f>
        <v/>
      </c>
      <c r="F132" s="167">
        <f>VLOOKUP(I132,$J:$O,G132,0)</f>
        <v/>
      </c>
      <c r="G132" s="167">
        <f>G100+1</f>
        <v/>
      </c>
      <c r="H132" s="167">
        <f>IFERROR(FIND(" - ",F132),"")</f>
        <v/>
      </c>
      <c r="I132" s="167">
        <f>I100</f>
        <v/>
      </c>
    </row>
    <row r="133" ht="14.4" customHeight="1" s="152">
      <c r="A133" s="167" t="n">
        <v>132</v>
      </c>
      <c r="B133" s="167">
        <f>B101</f>
        <v/>
      </c>
      <c r="C133" s="167">
        <f>IF(H133="",F133,LEFT(F133,H133-1))</f>
        <v/>
      </c>
      <c r="D133" s="167" t="inlineStr">
        <is>
          <t>TE</t>
        </is>
      </c>
      <c r="E133" s="167">
        <f>IF(H133&lt;&gt;"",RIGHT(F133,LEN(F133)-H133-2),"")</f>
        <v/>
      </c>
      <c r="F133" s="167">
        <f>VLOOKUP(I133,$J:$O,G133,0)</f>
        <v/>
      </c>
      <c r="G133" s="167">
        <f>G101+1</f>
        <v/>
      </c>
      <c r="H133" s="167">
        <f>IFERROR(FIND(" - ",F133),"")</f>
        <v/>
      </c>
      <c r="I133" s="167">
        <f>I101</f>
        <v/>
      </c>
    </row>
    <row r="134" ht="14.4" customHeight="1" s="152">
      <c r="A134" s="167" t="n">
        <v>133</v>
      </c>
      <c r="B134" s="167">
        <f>B102</f>
        <v/>
      </c>
      <c r="C134" s="167">
        <f>IF(H134="",F134,LEFT(F134,H134-1))</f>
        <v/>
      </c>
      <c r="D134" s="167" t="inlineStr">
        <is>
          <t>TE</t>
        </is>
      </c>
      <c r="E134" s="167">
        <f>IF(H134&lt;&gt;"",RIGHT(F134,LEN(F134)-H134-2),"")</f>
        <v/>
      </c>
      <c r="F134" s="167">
        <f>VLOOKUP(I134,$J:$O,G134,0)</f>
        <v/>
      </c>
      <c r="G134" s="167">
        <f>G102+1</f>
        <v/>
      </c>
      <c r="H134" s="167">
        <f>IFERROR(FIND(" - ",F134),"")</f>
        <v/>
      </c>
      <c r="I134" s="167">
        <f>I102</f>
        <v/>
      </c>
    </row>
    <row r="135" ht="14.4" customHeight="1" s="152">
      <c r="A135" s="167" t="n">
        <v>134</v>
      </c>
      <c r="B135" s="167">
        <f>B103</f>
        <v/>
      </c>
      <c r="C135" s="167">
        <f>IF(H135="",F135,LEFT(F135,H135-1))</f>
        <v/>
      </c>
      <c r="D135" s="167" t="inlineStr">
        <is>
          <t>TE</t>
        </is>
      </c>
      <c r="E135" s="167">
        <f>IF(H135&lt;&gt;"",RIGHT(F135,LEN(F135)-H135-2),"")</f>
        <v/>
      </c>
      <c r="F135" s="167">
        <f>VLOOKUP(I135,$J:$O,G135,0)</f>
        <v/>
      </c>
      <c r="G135" s="167">
        <f>G103+1</f>
        <v/>
      </c>
      <c r="H135" s="167">
        <f>IFERROR(FIND(" - ",F135),"")</f>
        <v/>
      </c>
      <c r="I135" s="167">
        <f>I103</f>
        <v/>
      </c>
    </row>
    <row r="136" ht="14.4" customHeight="1" s="152">
      <c r="A136" s="167" t="n">
        <v>135</v>
      </c>
      <c r="B136" s="167">
        <f>B104</f>
        <v/>
      </c>
      <c r="C136" s="167">
        <f>IF(H136="",F136,LEFT(F136,H136-1))</f>
        <v/>
      </c>
      <c r="D136" s="167" t="inlineStr">
        <is>
          <t>TE</t>
        </is>
      </c>
      <c r="E136" s="167">
        <f>IF(H136&lt;&gt;"",RIGHT(F136,LEN(F136)-H136-2),"")</f>
        <v/>
      </c>
      <c r="F136" s="167">
        <f>VLOOKUP(I136,$J:$O,G136,0)</f>
        <v/>
      </c>
      <c r="G136" s="167">
        <f>G104+1</f>
        <v/>
      </c>
      <c r="H136" s="167">
        <f>IFERROR(FIND(" - ",F136),"")</f>
        <v/>
      </c>
      <c r="I136" s="167">
        <f>I104</f>
        <v/>
      </c>
    </row>
    <row r="137" ht="14.4" customHeight="1" s="152">
      <c r="A137" s="167" t="n">
        <v>136</v>
      </c>
      <c r="B137" s="167">
        <f>B105</f>
        <v/>
      </c>
      <c r="C137" s="167">
        <f>IF(H137="",F137,LEFT(F137,H137-1))</f>
        <v/>
      </c>
      <c r="D137" s="167" t="inlineStr">
        <is>
          <t>TE</t>
        </is>
      </c>
      <c r="E137" s="167">
        <f>IF(H137&lt;&gt;"",RIGHT(F137,LEN(F137)-H137-2),"")</f>
        <v/>
      </c>
      <c r="F137" s="167">
        <f>VLOOKUP(I137,$J:$O,G137,0)</f>
        <v/>
      </c>
      <c r="G137" s="167">
        <f>G105+1</f>
        <v/>
      </c>
      <c r="H137" s="167">
        <f>IFERROR(FIND(" - ",F137),"")</f>
        <v/>
      </c>
      <c r="I137" s="167">
        <f>I105</f>
        <v/>
      </c>
    </row>
    <row r="138" ht="14.4" customHeight="1" s="152">
      <c r="A138" s="167" t="n">
        <v>137</v>
      </c>
      <c r="B138" s="167">
        <f>B106</f>
        <v/>
      </c>
      <c r="C138" s="167">
        <f>IF(H138="",F138,LEFT(F138,H138-1))</f>
        <v/>
      </c>
      <c r="D138" s="167" t="inlineStr">
        <is>
          <t>TE</t>
        </is>
      </c>
      <c r="E138" s="167">
        <f>IF(H138&lt;&gt;"",RIGHT(F138,LEN(F138)-H138-2),"")</f>
        <v/>
      </c>
      <c r="F138" s="167">
        <f>VLOOKUP(I138,$J:$O,G138,0)</f>
        <v/>
      </c>
      <c r="G138" s="167">
        <f>G106+1</f>
        <v/>
      </c>
      <c r="H138" s="167">
        <f>IFERROR(FIND(" - ",F138),"")</f>
        <v/>
      </c>
      <c r="I138" s="167">
        <f>I106</f>
        <v/>
      </c>
    </row>
    <row r="139" ht="14.4" customHeight="1" s="152">
      <c r="A139" s="167" t="n">
        <v>138</v>
      </c>
      <c r="B139" s="167">
        <f>B107</f>
        <v/>
      </c>
      <c r="C139" s="167">
        <f>IF(H139="",F139,LEFT(F139,H139-1))</f>
        <v/>
      </c>
      <c r="D139" s="167" t="inlineStr">
        <is>
          <t>TE</t>
        </is>
      </c>
      <c r="E139" s="167">
        <f>IF(H139&lt;&gt;"",RIGHT(F139,LEN(F139)-H139-2),"")</f>
        <v/>
      </c>
      <c r="F139" s="167">
        <f>VLOOKUP(I139,$J:$O,G139,0)</f>
        <v/>
      </c>
      <c r="G139" s="167">
        <f>G107+1</f>
        <v/>
      </c>
      <c r="H139" s="167">
        <f>IFERROR(FIND(" - ",F139),"")</f>
        <v/>
      </c>
      <c r="I139" s="167">
        <f>I107</f>
        <v/>
      </c>
    </row>
    <row r="140" ht="14.4" customHeight="1" s="152">
      <c r="A140" s="167" t="n">
        <v>139</v>
      </c>
      <c r="B140" s="167">
        <f>B108</f>
        <v/>
      </c>
      <c r="C140" s="167">
        <f>IF(H140="",F140,LEFT(F140,H140-1))</f>
        <v/>
      </c>
      <c r="D140" s="167" t="inlineStr">
        <is>
          <t>TE</t>
        </is>
      </c>
      <c r="E140" s="167">
        <f>IF(H140&lt;&gt;"",RIGHT(F140,LEN(F140)-H140-2),"")</f>
        <v/>
      </c>
      <c r="F140" s="167">
        <f>VLOOKUP(I140,$J:$O,G140,0)</f>
        <v/>
      </c>
      <c r="G140" s="167">
        <f>G108+1</f>
        <v/>
      </c>
      <c r="H140" s="167">
        <f>IFERROR(FIND(" - ",F140),"")</f>
        <v/>
      </c>
      <c r="I140" s="167">
        <f>I108</f>
        <v/>
      </c>
    </row>
    <row r="141" ht="14.4" customHeight="1" s="152">
      <c r="A141" s="167" t="n">
        <v>140</v>
      </c>
      <c r="B141" s="167">
        <f>B109</f>
        <v/>
      </c>
      <c r="C141" s="167">
        <f>IF(H141="",F141,LEFT(F141,H141-1))</f>
        <v/>
      </c>
      <c r="D141" s="167" t="inlineStr">
        <is>
          <t>TE</t>
        </is>
      </c>
      <c r="E141" s="167">
        <f>IF(H141&lt;&gt;"",RIGHT(F141,LEN(F141)-H141-2),"")</f>
        <v/>
      </c>
      <c r="F141" s="167">
        <f>VLOOKUP(I141,$J:$O,G141,0)</f>
        <v/>
      </c>
      <c r="G141" s="167">
        <f>G109+1</f>
        <v/>
      </c>
      <c r="H141" s="167">
        <f>IFERROR(FIND(" - ",F141),"")</f>
        <v/>
      </c>
      <c r="I141" s="167">
        <f>I109</f>
        <v/>
      </c>
    </row>
    <row r="142" ht="14.4" customHeight="1" s="152">
      <c r="A142" s="167" t="n">
        <v>141</v>
      </c>
      <c r="B142" s="167">
        <f>B110</f>
        <v/>
      </c>
      <c r="C142" s="167">
        <f>IF(H142="",F142,LEFT(F142,H142-1))</f>
        <v/>
      </c>
      <c r="D142" s="167" t="inlineStr">
        <is>
          <t>TE</t>
        </is>
      </c>
      <c r="E142" s="167">
        <f>IF(H142&lt;&gt;"",RIGHT(F142,LEN(F142)-H142-2),"")</f>
        <v/>
      </c>
      <c r="F142" s="167">
        <f>VLOOKUP(I142,$J:$O,G142,0)</f>
        <v/>
      </c>
      <c r="G142" s="167">
        <f>G110+1</f>
        <v/>
      </c>
      <c r="H142" s="167">
        <f>IFERROR(FIND(" - ",F142),"")</f>
        <v/>
      </c>
      <c r="I142" s="167">
        <f>I110</f>
        <v/>
      </c>
    </row>
    <row r="143" ht="14.4" customHeight="1" s="152">
      <c r="A143" s="167" t="n">
        <v>142</v>
      </c>
      <c r="B143" s="167">
        <f>B111</f>
        <v/>
      </c>
      <c r="C143" s="167">
        <f>IF(H143="",F143,LEFT(F143,H143-1))</f>
        <v/>
      </c>
      <c r="D143" s="167" t="inlineStr">
        <is>
          <t>TE</t>
        </is>
      </c>
      <c r="E143" s="167">
        <f>IF(H143&lt;&gt;"",RIGHT(F143,LEN(F143)-H143-2),"")</f>
        <v/>
      </c>
      <c r="F143" s="167">
        <f>VLOOKUP(I143,$J:$O,G143,0)</f>
        <v/>
      </c>
      <c r="G143" s="167">
        <f>G111+1</f>
        <v/>
      </c>
      <c r="H143" s="167">
        <f>IFERROR(FIND(" - ",F143),"")</f>
        <v/>
      </c>
      <c r="I143" s="167">
        <f>I111</f>
        <v/>
      </c>
    </row>
    <row r="144" ht="14.4" customHeight="1" s="152">
      <c r="A144" s="167" t="n">
        <v>143</v>
      </c>
      <c r="B144" s="167">
        <f>B112</f>
        <v/>
      </c>
      <c r="C144" s="167">
        <f>IF(H144="",F144,LEFT(F144,H144-1))</f>
        <v/>
      </c>
      <c r="D144" s="167" t="inlineStr">
        <is>
          <t>TE</t>
        </is>
      </c>
      <c r="E144" s="167">
        <f>IF(H144&lt;&gt;"",RIGHT(F144,LEN(F144)-H144-2),"")</f>
        <v/>
      </c>
      <c r="F144" s="167">
        <f>VLOOKUP(I144,$J:$O,G144,0)</f>
        <v/>
      </c>
      <c r="G144" s="167">
        <f>G112+1</f>
        <v/>
      </c>
      <c r="H144" s="167">
        <f>IFERROR(FIND(" - ",F144),"")</f>
        <v/>
      </c>
      <c r="I144" s="167">
        <f>I112</f>
        <v/>
      </c>
    </row>
    <row r="145" ht="14.4" customHeight="1" s="152">
      <c r="A145" s="167" t="n">
        <v>144</v>
      </c>
      <c r="B145" s="167">
        <f>B113</f>
        <v/>
      </c>
      <c r="C145" s="167">
        <f>IF(H145="",F145,LEFT(F145,H145-1))</f>
        <v/>
      </c>
      <c r="D145" s="167" t="inlineStr">
        <is>
          <t>TE</t>
        </is>
      </c>
      <c r="E145" s="167">
        <f>IF(H145&lt;&gt;"",RIGHT(F145,LEN(F145)-H145-2),"")</f>
        <v/>
      </c>
      <c r="F145" s="167">
        <f>VLOOKUP(I145,$J:$O,G145,0)</f>
        <v/>
      </c>
      <c r="G145" s="167">
        <f>G113+1</f>
        <v/>
      </c>
      <c r="H145" s="167">
        <f>IFERROR(FIND(" - ",F145),"")</f>
        <v/>
      </c>
      <c r="I145" s="167">
        <f>I113</f>
        <v/>
      </c>
    </row>
    <row r="146" ht="14.4" customHeight="1" s="152">
      <c r="A146" s="167" t="n">
        <v>145</v>
      </c>
      <c r="B146" s="167">
        <f>B114</f>
        <v/>
      </c>
      <c r="C146" s="167">
        <f>IF(H146="",F146,LEFT(F146,H146-1))</f>
        <v/>
      </c>
      <c r="D146" s="167" t="inlineStr">
        <is>
          <t>TE</t>
        </is>
      </c>
      <c r="E146" s="167">
        <f>IF(H146&lt;&gt;"",RIGHT(F146,LEN(F146)-H146-2),"")</f>
        <v/>
      </c>
      <c r="F146" s="167">
        <f>VLOOKUP(I146,$J:$O,G146,0)</f>
        <v/>
      </c>
      <c r="G146" s="167">
        <f>G114+1</f>
        <v/>
      </c>
      <c r="H146" s="167">
        <f>IFERROR(FIND(" - ",F146),"")</f>
        <v/>
      </c>
      <c r="I146" s="167">
        <f>I114</f>
        <v/>
      </c>
    </row>
    <row r="147" ht="14.4" customHeight="1" s="152">
      <c r="A147" s="167" t="n">
        <v>146</v>
      </c>
      <c r="B147" s="167">
        <f>B115</f>
        <v/>
      </c>
      <c r="C147" s="167">
        <f>IF(H147="",F147,LEFT(F147,H147-1))</f>
        <v/>
      </c>
      <c r="D147" s="167" t="inlineStr">
        <is>
          <t>TE</t>
        </is>
      </c>
      <c r="E147" s="167">
        <f>IF(H147&lt;&gt;"",RIGHT(F147,LEN(F147)-H147-2),"")</f>
        <v/>
      </c>
      <c r="F147" s="167">
        <f>VLOOKUP(I147,$J:$O,G147,0)</f>
        <v/>
      </c>
      <c r="G147" s="167">
        <f>G115+1</f>
        <v/>
      </c>
      <c r="H147" s="167">
        <f>IFERROR(FIND(" - ",F147),"")</f>
        <v/>
      </c>
      <c r="I147" s="167">
        <f>I115</f>
        <v/>
      </c>
    </row>
    <row r="148" ht="14.4" customHeight="1" s="152">
      <c r="A148" s="167" t="n">
        <v>147</v>
      </c>
      <c r="B148" s="167">
        <f>B116</f>
        <v/>
      </c>
      <c r="C148" s="167">
        <f>IF(H148="",F148,LEFT(F148,H148-1))</f>
        <v/>
      </c>
      <c r="D148" s="167" t="inlineStr">
        <is>
          <t>TE</t>
        </is>
      </c>
      <c r="E148" s="167">
        <f>IF(H148&lt;&gt;"",RIGHT(F148,LEN(F148)-H148-2),"")</f>
        <v/>
      </c>
      <c r="F148" s="167">
        <f>VLOOKUP(I148,$J:$O,G148,0)</f>
        <v/>
      </c>
      <c r="G148" s="167">
        <f>G116+1</f>
        <v/>
      </c>
      <c r="H148" s="167">
        <f>IFERROR(FIND(" - ",F148),"")</f>
        <v/>
      </c>
      <c r="I148" s="167">
        <f>I116</f>
        <v/>
      </c>
    </row>
    <row r="149" ht="14.4" customHeight="1" s="152">
      <c r="A149" s="167" t="n">
        <v>148</v>
      </c>
      <c r="B149" s="167">
        <f>B117</f>
        <v/>
      </c>
      <c r="C149" s="167">
        <f>IF(H149="",F149,LEFT(F149,H149-1))</f>
        <v/>
      </c>
      <c r="D149" s="167" t="inlineStr">
        <is>
          <t>TE</t>
        </is>
      </c>
      <c r="E149" s="167">
        <f>IF(H149&lt;&gt;"",RIGHT(F149,LEN(F149)-H149-2),"")</f>
        <v/>
      </c>
      <c r="F149" s="167">
        <f>VLOOKUP(I149,$J:$O,G149,0)</f>
        <v/>
      </c>
      <c r="G149" s="167">
        <f>G117+1</f>
        <v/>
      </c>
      <c r="H149" s="167">
        <f>IFERROR(FIND(" - ",F149),"")</f>
        <v/>
      </c>
      <c r="I149" s="167">
        <f>I117</f>
        <v/>
      </c>
    </row>
    <row r="150" ht="14.4" customHeight="1" s="152">
      <c r="A150" s="167" t="n">
        <v>149</v>
      </c>
      <c r="B150" s="167">
        <f>B118</f>
        <v/>
      </c>
      <c r="C150" s="167">
        <f>IF(H150="",F150,LEFT(F150,H150-1))</f>
        <v/>
      </c>
      <c r="D150" s="167" t="inlineStr">
        <is>
          <t>TE</t>
        </is>
      </c>
      <c r="E150" s="167">
        <f>IF(H150&lt;&gt;"",RIGHT(F150,LEN(F150)-H150-2),"")</f>
        <v/>
      </c>
      <c r="F150" s="167">
        <f>VLOOKUP(I150,$J:$O,G150,0)</f>
        <v/>
      </c>
      <c r="G150" s="167">
        <f>G118+1</f>
        <v/>
      </c>
      <c r="H150" s="167">
        <f>IFERROR(FIND(" - ",F150),"")</f>
        <v/>
      </c>
      <c r="I150" s="167">
        <f>I118</f>
        <v/>
      </c>
    </row>
    <row r="151" ht="14.4" customHeight="1" s="152">
      <c r="A151" s="167" t="n">
        <v>150</v>
      </c>
      <c r="B151" s="167">
        <f>B119</f>
        <v/>
      </c>
      <c r="C151" s="167">
        <f>IF(H151="",F151,LEFT(F151,H151-1))</f>
        <v/>
      </c>
      <c r="D151" s="167" t="inlineStr">
        <is>
          <t>TE</t>
        </is>
      </c>
      <c r="E151" s="167">
        <f>IF(H151&lt;&gt;"",RIGHT(F151,LEN(F151)-H151-2),"")</f>
        <v/>
      </c>
      <c r="F151" s="167">
        <f>VLOOKUP(I151,$J:$O,G151,0)</f>
        <v/>
      </c>
      <c r="G151" s="167">
        <f>G119+1</f>
        <v/>
      </c>
      <c r="H151" s="167">
        <f>IFERROR(FIND(" - ",F151),"")</f>
        <v/>
      </c>
      <c r="I151" s="167">
        <f>I119</f>
        <v/>
      </c>
    </row>
    <row r="152" ht="14.4" customHeight="1" s="152">
      <c r="A152" s="167" t="n">
        <v>151</v>
      </c>
      <c r="B152" s="167">
        <f>B120</f>
        <v/>
      </c>
      <c r="C152" s="167">
        <f>IF(H152="",F152,LEFT(F152,H152-1))</f>
        <v/>
      </c>
      <c r="D152" s="167" t="inlineStr">
        <is>
          <t>TE</t>
        </is>
      </c>
      <c r="E152" s="167">
        <f>IF(H152&lt;&gt;"",RIGHT(F152,LEN(F152)-H152-2),"")</f>
        <v/>
      </c>
      <c r="F152" s="167">
        <f>VLOOKUP(I152,$J:$O,G152,0)</f>
        <v/>
      </c>
      <c r="G152" s="167">
        <f>G120+1</f>
        <v/>
      </c>
      <c r="H152" s="167">
        <f>IFERROR(FIND(" - ",F152),"")</f>
        <v/>
      </c>
      <c r="I152" s="167">
        <f>I120</f>
        <v/>
      </c>
    </row>
    <row r="153" ht="14.4" customHeight="1" s="152">
      <c r="A153" s="167" t="n">
        <v>152</v>
      </c>
      <c r="B153" s="167">
        <f>B121</f>
        <v/>
      </c>
      <c r="C153" s="167">
        <f>IF(H153="",F153,LEFT(F153,H153-1))</f>
        <v/>
      </c>
      <c r="D153" s="167" t="inlineStr">
        <is>
          <t>TE</t>
        </is>
      </c>
      <c r="E153" s="167">
        <f>IF(H153&lt;&gt;"",RIGHT(F153,LEN(F153)-H153-2),"")</f>
        <v/>
      </c>
      <c r="F153" s="167">
        <f>VLOOKUP(I153,$J:$O,G153,0)</f>
        <v/>
      </c>
      <c r="G153" s="167">
        <f>G121+1</f>
        <v/>
      </c>
      <c r="H153" s="167">
        <f>IFERROR(FIND(" - ",F153),"")</f>
        <v/>
      </c>
      <c r="I153" s="167">
        <f>I121</f>
        <v/>
      </c>
    </row>
    <row r="154" ht="14.4" customHeight="1" s="152">
      <c r="A154" s="167" t="n">
        <v>153</v>
      </c>
      <c r="B154" s="167">
        <f>B122</f>
        <v/>
      </c>
      <c r="C154" s="167">
        <f>IF(H154="",F154,LEFT(F154,H154-1))</f>
        <v/>
      </c>
      <c r="D154" s="167" t="inlineStr">
        <is>
          <t>TE</t>
        </is>
      </c>
      <c r="E154" s="167">
        <f>IF(H154&lt;&gt;"",RIGHT(F154,LEN(F154)-H154-2),"")</f>
        <v/>
      </c>
      <c r="F154" s="167">
        <f>VLOOKUP(I154,$J:$O,G154,0)</f>
        <v/>
      </c>
      <c r="G154" s="167">
        <f>G122+1</f>
        <v/>
      </c>
      <c r="H154" s="167">
        <f>IFERROR(FIND(" - ",F154),"")</f>
        <v/>
      </c>
      <c r="I154" s="167">
        <f>I122</f>
        <v/>
      </c>
    </row>
    <row r="155" ht="14.4" customHeight="1" s="152">
      <c r="A155" s="167" t="n">
        <v>154</v>
      </c>
      <c r="B155" s="167">
        <f>B123</f>
        <v/>
      </c>
      <c r="C155" s="167">
        <f>IF(H155="",F155,LEFT(F155,H155-1))</f>
        <v/>
      </c>
      <c r="D155" s="167" t="inlineStr">
        <is>
          <t>TE</t>
        </is>
      </c>
      <c r="E155" s="167">
        <f>IF(H155&lt;&gt;"",RIGHT(F155,LEN(F155)-H155-2),"")</f>
        <v/>
      </c>
      <c r="F155" s="167">
        <f>VLOOKUP(I155,$J:$O,G155,0)</f>
        <v/>
      </c>
      <c r="G155" s="167">
        <f>G123+1</f>
        <v/>
      </c>
      <c r="H155" s="167">
        <f>IFERROR(FIND(" - ",F155),"")</f>
        <v/>
      </c>
      <c r="I155" s="167">
        <f>I123</f>
        <v/>
      </c>
    </row>
    <row r="156" ht="14.4" customHeight="1" s="152">
      <c r="A156" s="167" t="n">
        <v>155</v>
      </c>
      <c r="B156" s="167">
        <f>B124</f>
        <v/>
      </c>
      <c r="C156" s="167">
        <f>IF(H156="",F156,LEFT(F156,H156-1))</f>
        <v/>
      </c>
      <c r="D156" s="167" t="inlineStr">
        <is>
          <t>TE</t>
        </is>
      </c>
      <c r="E156" s="167">
        <f>IF(H156&lt;&gt;"",RIGHT(F156,LEN(F156)-H156-2),"")</f>
        <v/>
      </c>
      <c r="F156" s="167">
        <f>VLOOKUP(I156,$J:$O,G156,0)</f>
        <v/>
      </c>
      <c r="G156" s="167">
        <f>G124+1</f>
        <v/>
      </c>
      <c r="H156" s="167">
        <f>IFERROR(FIND(" - ",F156),"")</f>
        <v/>
      </c>
      <c r="I156" s="167">
        <f>I124</f>
        <v/>
      </c>
    </row>
    <row r="157" ht="14.4" customHeight="1" s="152">
      <c r="A157" s="167" t="n">
        <v>156</v>
      </c>
      <c r="B157" s="167">
        <f>B125</f>
        <v/>
      </c>
      <c r="C157" s="167">
        <f>IF(H157="",F157,LEFT(F157,H157-1))</f>
        <v/>
      </c>
      <c r="D157" s="167" t="inlineStr">
        <is>
          <t>TE</t>
        </is>
      </c>
      <c r="E157" s="167">
        <f>IF(H157&lt;&gt;"",RIGHT(F157,LEN(F157)-H157-2),"")</f>
        <v/>
      </c>
      <c r="F157" s="167">
        <f>VLOOKUP(I157,$J:$O,G157,0)</f>
        <v/>
      </c>
      <c r="G157" s="167">
        <f>G125+1</f>
        <v/>
      </c>
      <c r="H157" s="167">
        <f>IFERROR(FIND(" - ",F157),"")</f>
        <v/>
      </c>
      <c r="I157" s="167">
        <f>I125</f>
        <v/>
      </c>
    </row>
    <row r="158" ht="14.4" customHeight="1" s="152">
      <c r="A158" s="167" t="n">
        <v>157</v>
      </c>
      <c r="B158" s="167">
        <f>B126</f>
        <v/>
      </c>
      <c r="C158" s="167">
        <f>IF(H158="",F158,LEFT(F158,H158-1))</f>
        <v/>
      </c>
      <c r="D158" s="167" t="inlineStr">
        <is>
          <t>TE</t>
        </is>
      </c>
      <c r="E158" s="167">
        <f>IF(H158&lt;&gt;"",RIGHT(F158,LEN(F158)-H158-2),"")</f>
        <v/>
      </c>
      <c r="F158" s="167">
        <f>VLOOKUP(I158,$J:$O,G158,0)</f>
        <v/>
      </c>
      <c r="G158" s="167">
        <f>G126+1</f>
        <v/>
      </c>
      <c r="H158" s="167">
        <f>IFERROR(FIND(" - ",F158),"")</f>
        <v/>
      </c>
      <c r="I158" s="167">
        <f>I126</f>
        <v/>
      </c>
    </row>
    <row r="159" ht="14.4" customHeight="1" s="152">
      <c r="A159" s="167" t="n">
        <v>158</v>
      </c>
      <c r="B159" s="167">
        <f>B127</f>
        <v/>
      </c>
      <c r="C159" s="167">
        <f>IF(H159="",F159,LEFT(F159,H159-1))</f>
        <v/>
      </c>
      <c r="D159" s="167" t="inlineStr">
        <is>
          <t>TE</t>
        </is>
      </c>
      <c r="E159" s="167">
        <f>IF(H159&lt;&gt;"",RIGHT(F159,LEN(F159)-H159-2),"")</f>
        <v/>
      </c>
      <c r="F159" s="167">
        <f>VLOOKUP(I159,$J:$O,G159,0)</f>
        <v/>
      </c>
      <c r="G159" s="167">
        <f>G127+1</f>
        <v/>
      </c>
      <c r="H159" s="167">
        <f>IFERROR(FIND(" - ",F159),"")</f>
        <v/>
      </c>
      <c r="I159" s="167">
        <f>I127</f>
        <v/>
      </c>
    </row>
    <row r="160" ht="14.4" customHeight="1" s="152">
      <c r="A160" s="167" t="n">
        <v>159</v>
      </c>
      <c r="B160" s="167">
        <f>B128</f>
        <v/>
      </c>
      <c r="C160" s="167">
        <f>IF(H160="",F160,LEFT(F160,H160-1))</f>
        <v/>
      </c>
      <c r="D160" s="167" t="inlineStr">
        <is>
          <t>TE</t>
        </is>
      </c>
      <c r="E160" s="167">
        <f>IF(H160&lt;&gt;"",RIGHT(F160,LEN(F160)-H160-2),"")</f>
        <v/>
      </c>
      <c r="F160" s="167">
        <f>VLOOKUP(I160,$J:$O,G160,0)</f>
        <v/>
      </c>
      <c r="G160" s="167">
        <f>G128+1</f>
        <v/>
      </c>
      <c r="H160" s="167">
        <f>IFERROR(FIND(" - ",F160),"")</f>
        <v/>
      </c>
      <c r="I160" s="167">
        <f>I128</f>
        <v/>
      </c>
    </row>
    <row r="161" ht="14.4" customHeight="1" s="152">
      <c r="A161" s="167" t="n">
        <v>160</v>
      </c>
      <c r="B161" s="167">
        <f>B129</f>
        <v/>
      </c>
      <c r="C161" s="167">
        <f>IF(H161="",F161,LEFT(F161,H161-1))</f>
        <v/>
      </c>
      <c r="D161" s="167" t="inlineStr">
        <is>
          <t>TE</t>
        </is>
      </c>
      <c r="E161" s="167">
        <f>IF(H161&lt;&gt;"",RIGHT(F161,LEN(F161)-H161-2),"")</f>
        <v/>
      </c>
      <c r="F161" s="167">
        <f>VLOOKUP(I161,$J:$O,G161,0)</f>
        <v/>
      </c>
      <c r="G161" s="167">
        <f>G129+1</f>
        <v/>
      </c>
      <c r="H161" s="167">
        <f>IFERROR(FIND(" - ",F161),"")</f>
        <v/>
      </c>
      <c r="I161" s="167">
        <f>I129</f>
        <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tabColor rgb="FF7030A0"/>
    <outlinePr summaryBelow="1" summaryRight="1"/>
    <pageSetUpPr fitToPage="0"/>
  </sheetPr>
  <dimension ref="A1:O65"/>
  <sheetViews>
    <sheetView showFormulas="0" showGridLines="1"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J2" activeCellId="0" sqref="J2"/>
    </sheetView>
  </sheetViews>
  <sheetFormatPr baseColWidth="8" defaultColWidth="8.796875" defaultRowHeight="14.4" zeroHeight="0" outlineLevelRow="0"/>
  <cols>
    <col width="13.66" customWidth="1" style="156" min="2" max="2"/>
    <col width="33" customWidth="1" style="156" min="3" max="3"/>
    <col width="16.33" customWidth="1" style="156" min="5" max="5"/>
    <col width="25.11" customWidth="1" style="156" min="6" max="6"/>
    <col width="15.56" customWidth="1" style="156" min="9" max="9"/>
    <col width="14.35" customWidth="1" style="156" min="10" max="10"/>
    <col width="24.67" customWidth="1" style="156" min="11" max="11"/>
    <col width="19.33" customWidth="1" style="156" min="12" max="12"/>
    <col width="19.45" customWidth="1" style="156" min="13" max="13"/>
    <col width="26.13" customWidth="1" style="156" min="14" max="14"/>
    <col width="17.33" customWidth="1" style="156" min="15" max="15"/>
  </cols>
  <sheetData>
    <row r="1" ht="15.6" customHeight="1" s="152">
      <c r="A1" s="167" t="inlineStr">
        <is>
          <t>Ref No</t>
        </is>
      </c>
      <c r="B1" s="167" t="inlineStr">
        <is>
          <t>Team ABB</t>
        </is>
      </c>
      <c r="C1" s="167" t="inlineStr">
        <is>
          <t>Streamlined Name</t>
        </is>
      </c>
      <c r="D1" s="167" t="inlineStr">
        <is>
          <t>Position</t>
        </is>
      </c>
      <c r="E1" s="167" t="inlineStr">
        <is>
          <t>Injury Type</t>
        </is>
      </c>
      <c r="F1" s="167" t="inlineStr">
        <is>
          <t>Raw Name</t>
        </is>
      </c>
      <c r="G1" s="167" t="inlineStr">
        <is>
          <t>Col Ref</t>
        </is>
      </c>
      <c r="H1" s="167" t="inlineStr">
        <is>
          <t>Find Injury</t>
        </is>
      </c>
      <c r="I1" s="167" t="inlineStr">
        <is>
          <t>Raw Team Name</t>
        </is>
      </c>
      <c r="J1" s="156" t="inlineStr">
        <is>
          <t>Team</t>
        </is>
      </c>
      <c r="K1" s="156" t="inlineStr">
        <is>
          <t>K #1</t>
        </is>
      </c>
      <c r="L1" s="156" t="inlineStr">
        <is>
          <t>K #2</t>
        </is>
      </c>
      <c r="M1" s="156" t="inlineStr">
        <is>
          <t>K #3</t>
        </is>
      </c>
      <c r="N1" s="156" t="inlineStr">
        <is>
          <t>K #4</t>
        </is>
      </c>
      <c r="O1" s="156" t="inlineStr">
        <is>
          <t>K #5</t>
        </is>
      </c>
    </row>
    <row r="2" ht="15.6" customHeight="1" s="152">
      <c r="A2" s="167" t="n">
        <v>1</v>
      </c>
      <c r="B2" s="167">
        <f>VLOOKUP(J2,Matrix!AD:AE,2,0)</f>
        <v/>
      </c>
      <c r="C2" s="167">
        <f>IF(H2="",F2,LEFT(F2,H2-1))</f>
        <v/>
      </c>
      <c r="D2" s="167" t="inlineStr">
        <is>
          <t>K</t>
        </is>
      </c>
      <c r="E2" s="167">
        <f>IF(H2&lt;&gt;"",RIGHT(F2,LEN(F2)-H2-2),"")</f>
        <v/>
      </c>
      <c r="F2" s="167">
        <f>VLOOKUP(I2,$J:$O,G2,0)</f>
        <v/>
      </c>
      <c r="G2" s="167" t="n">
        <v>2</v>
      </c>
      <c r="H2" s="167">
        <f>IFERROR(FIND(" - ",F2),"")</f>
        <v/>
      </c>
      <c r="I2" s="167">
        <f>J2</f>
        <v/>
      </c>
      <c r="J2" s="156" t="inlineStr">
        <is>
          <t>Cowboys</t>
        </is>
      </c>
    </row>
    <row r="3" ht="15.6" customHeight="1" s="152">
      <c r="A3" s="167" t="n">
        <v>2</v>
      </c>
      <c r="B3" s="167">
        <f>VLOOKUP(J3,Matrix!AD:AE,2,0)</f>
        <v/>
      </c>
      <c r="C3" s="167">
        <f>IF(H3="",F3,LEFT(F3,H3-1))</f>
        <v/>
      </c>
      <c r="D3" s="167" t="inlineStr">
        <is>
          <t>K</t>
        </is>
      </c>
      <c r="E3" s="167">
        <f>IF(H3&lt;&gt;"",RIGHT(F3,LEN(F3)-H3-2),"")</f>
        <v/>
      </c>
      <c r="F3" s="167">
        <f>VLOOKUP(I3,$J:$O,G3,0)</f>
        <v/>
      </c>
      <c r="G3" s="167" t="n">
        <v>2</v>
      </c>
      <c r="H3" s="167">
        <f>IFERROR(FIND(" - ",F3),"")</f>
        <v/>
      </c>
      <c r="I3" s="167">
        <f>J3</f>
        <v/>
      </c>
      <c r="J3" s="156" t="inlineStr">
        <is>
          <t>Chiefs</t>
        </is>
      </c>
    </row>
    <row r="4" ht="15.6" customHeight="1" s="152">
      <c r="A4" s="167" t="n">
        <v>3</v>
      </c>
      <c r="B4" s="167">
        <f>VLOOKUP(J4,Matrix!AD:AE,2,0)</f>
        <v/>
      </c>
      <c r="C4" s="167">
        <f>IF(H4="",F4,LEFT(F4,H4-1))</f>
        <v/>
      </c>
      <c r="D4" s="167" t="inlineStr">
        <is>
          <t>K</t>
        </is>
      </c>
      <c r="E4" s="167">
        <f>IF(H4&lt;&gt;"",RIGHT(F4,LEN(F4)-H4-2),"")</f>
        <v/>
      </c>
      <c r="F4" s="167">
        <f>VLOOKUP(I4,$J:$O,G4,0)</f>
        <v/>
      </c>
      <c r="G4" s="167" t="n">
        <v>2</v>
      </c>
      <c r="H4" s="167">
        <f>IFERROR(FIND(" - ",F4),"")</f>
        <v/>
      </c>
      <c r="I4" s="167">
        <f>J4</f>
        <v/>
      </c>
      <c r="J4" s="156" t="inlineStr">
        <is>
          <t>Buccaneers</t>
        </is>
      </c>
    </row>
    <row r="5" ht="15.6" customHeight="1" s="152">
      <c r="A5" s="167" t="n">
        <v>4</v>
      </c>
      <c r="B5" s="167">
        <f>VLOOKUP(J5,Matrix!AD:AE,2,0)</f>
        <v/>
      </c>
      <c r="C5" s="167">
        <f>IF(H5="",F5,LEFT(F5,H5-1))</f>
        <v/>
      </c>
      <c r="D5" s="167" t="inlineStr">
        <is>
          <t>K</t>
        </is>
      </c>
      <c r="E5" s="167">
        <f>IF(H5&lt;&gt;"",RIGHT(F5,LEN(F5)-H5-2),"")</f>
        <v/>
      </c>
      <c r="F5" s="167">
        <f>VLOOKUP(I5,$J:$O,G5,0)</f>
        <v/>
      </c>
      <c r="G5" s="167" t="n">
        <v>2</v>
      </c>
      <c r="H5" s="167">
        <f>IFERROR(FIND(" - ",F5),"")</f>
        <v/>
      </c>
      <c r="I5" s="167">
        <f>J5</f>
        <v/>
      </c>
      <c r="J5" s="156" t="inlineStr">
        <is>
          <t>Bengals</t>
        </is>
      </c>
    </row>
    <row r="6" ht="15.6" customHeight="1" s="152">
      <c r="A6" s="167" t="n">
        <v>5</v>
      </c>
      <c r="B6" s="167">
        <f>VLOOKUP(J6,Matrix!AD:AE,2,0)</f>
        <v/>
      </c>
      <c r="C6" s="167">
        <f>IF(H6="",F6,LEFT(F6,H6-1))</f>
        <v/>
      </c>
      <c r="D6" s="167" t="inlineStr">
        <is>
          <t>K</t>
        </is>
      </c>
      <c r="E6" s="167">
        <f>IF(H6&lt;&gt;"",RIGHT(F6,LEN(F6)-H6-2),"")</f>
        <v/>
      </c>
      <c r="F6" s="167">
        <f>VLOOKUP(I6,$J:$O,G6,0)</f>
        <v/>
      </c>
      <c r="G6" s="167" t="n">
        <v>2</v>
      </c>
      <c r="H6" s="167">
        <f>IFERROR(FIND(" - ",F6),"")</f>
        <v/>
      </c>
      <c r="I6" s="167">
        <f>J6</f>
        <v/>
      </c>
      <c r="J6" s="156" t="inlineStr">
        <is>
          <t>Dolphins</t>
        </is>
      </c>
    </row>
    <row r="7" ht="15.6" customHeight="1" s="152">
      <c r="A7" s="167" t="n">
        <v>6</v>
      </c>
      <c r="B7" s="167">
        <f>VLOOKUP(J7,Matrix!AD:AE,2,0)</f>
        <v/>
      </c>
      <c r="C7" s="167">
        <f>IF(H7="",F7,LEFT(F7,H7-1))</f>
        <v/>
      </c>
      <c r="D7" s="167" t="inlineStr">
        <is>
          <t>K</t>
        </is>
      </c>
      <c r="E7" s="167">
        <f>IF(H7&lt;&gt;"",RIGHT(F7,LEN(F7)-H7-2),"")</f>
        <v/>
      </c>
      <c r="F7" s="167">
        <f>VLOOKUP(I7,$J:$O,G7,0)</f>
        <v/>
      </c>
      <c r="G7" s="167" t="n">
        <v>2</v>
      </c>
      <c r="H7" s="167">
        <f>IFERROR(FIND(" - ",F7),"")</f>
        <v/>
      </c>
      <c r="I7" s="167">
        <f>J7</f>
        <v/>
      </c>
      <c r="J7" s="156" t="inlineStr">
        <is>
          <t>Panthers</t>
        </is>
      </c>
    </row>
    <row r="8" ht="15.6" customHeight="1" s="152">
      <c r="A8" s="167" t="n">
        <v>7</v>
      </c>
      <c r="B8" s="167">
        <f>VLOOKUP(J8,Matrix!AD:AE,2,0)</f>
        <v/>
      </c>
      <c r="C8" s="167">
        <f>IF(H8="",F8,LEFT(F8,H8-1))</f>
        <v/>
      </c>
      <c r="D8" s="167" t="inlineStr">
        <is>
          <t>K</t>
        </is>
      </c>
      <c r="E8" s="167">
        <f>IF(H8&lt;&gt;"",RIGHT(F8,LEN(F8)-H8-2),"")</f>
        <v/>
      </c>
      <c r="F8" s="167">
        <f>VLOOKUP(I8,$J:$O,G8,0)</f>
        <v/>
      </c>
      <c r="G8" s="167" t="n">
        <v>2</v>
      </c>
      <c r="H8" s="167">
        <f>IFERROR(FIND(" - ",F8),"")</f>
        <v/>
      </c>
      <c r="I8" s="167">
        <f>J8</f>
        <v/>
      </c>
      <c r="J8" s="156" t="inlineStr">
        <is>
          <t>Raiders</t>
        </is>
      </c>
    </row>
    <row r="9" ht="15.6" customHeight="1" s="152">
      <c r="A9" s="167" t="n">
        <v>8</v>
      </c>
      <c r="B9" s="167">
        <f>VLOOKUP(J9,Matrix!AD:AE,2,0)</f>
        <v/>
      </c>
      <c r="C9" s="167">
        <f>IF(H9="",F9,LEFT(F9,H9-1))</f>
        <v/>
      </c>
      <c r="D9" s="167" t="inlineStr">
        <is>
          <t>K</t>
        </is>
      </c>
      <c r="E9" s="167">
        <f>IF(H9&lt;&gt;"",RIGHT(F9,LEN(F9)-H9-2),"")</f>
        <v/>
      </c>
      <c r="F9" s="167">
        <f>VLOOKUP(I9,$J:$O,G9,0)</f>
        <v/>
      </c>
      <c r="G9" s="167" t="n">
        <v>2</v>
      </c>
      <c r="H9" s="167">
        <f>IFERROR(FIND(" - ",F9),"")</f>
        <v/>
      </c>
      <c r="I9" s="167">
        <f>J9</f>
        <v/>
      </c>
      <c r="J9" s="156" t="inlineStr">
        <is>
          <t>Cardinals</t>
        </is>
      </c>
    </row>
    <row r="10" ht="15.6" customHeight="1" s="152">
      <c r="A10" s="167" t="n">
        <v>9</v>
      </c>
      <c r="B10" s="167">
        <f>VLOOKUP(J10,Matrix!AD:AE,2,0)</f>
        <v/>
      </c>
      <c r="C10" s="167">
        <f>IF(H10="",F10,LEFT(F10,H10-1))</f>
        <v/>
      </c>
      <c r="D10" s="167" t="inlineStr">
        <is>
          <t>K</t>
        </is>
      </c>
      <c r="E10" s="167">
        <f>IF(H10&lt;&gt;"",RIGHT(F10,LEN(F10)-H10-2),"")</f>
        <v/>
      </c>
      <c r="F10" s="167">
        <f>VLOOKUP(I10,$J:$O,G10,0)</f>
        <v/>
      </c>
      <c r="G10" s="167" t="n">
        <v>2</v>
      </c>
      <c r="H10" s="167">
        <f>IFERROR(FIND(" - ",F10),"")</f>
        <v/>
      </c>
      <c r="I10" s="167">
        <f>J10</f>
        <v/>
      </c>
      <c r="J10" s="156" t="inlineStr">
        <is>
          <t>Steelers</t>
        </is>
      </c>
    </row>
    <row r="11" ht="15.6" customHeight="1" s="152">
      <c r="A11" s="167" t="n">
        <v>10</v>
      </c>
      <c r="B11" s="167">
        <f>VLOOKUP(J11,Matrix!AD:AE,2,0)</f>
        <v/>
      </c>
      <c r="C11" s="167">
        <f>IF(H11="",F11,LEFT(F11,H11-1))</f>
        <v/>
      </c>
      <c r="D11" s="167" t="inlineStr">
        <is>
          <t>K</t>
        </is>
      </c>
      <c r="E11" s="167">
        <f>IF(H11&lt;&gt;"",RIGHT(F11,LEN(F11)-H11-2),"")</f>
        <v/>
      </c>
      <c r="F11" s="167">
        <f>VLOOKUP(I11,$J:$O,G11,0)</f>
        <v/>
      </c>
      <c r="G11" s="167" t="n">
        <v>2</v>
      </c>
      <c r="H11" s="167">
        <f>IFERROR(FIND(" - ",F11),"")</f>
        <v/>
      </c>
      <c r="I11" s="167">
        <f>J11</f>
        <v/>
      </c>
      <c r="J11" s="156" t="inlineStr">
        <is>
          <t>Giants</t>
        </is>
      </c>
    </row>
    <row r="12" ht="15.6" customHeight="1" s="152">
      <c r="A12" s="167" t="n">
        <v>11</v>
      </c>
      <c r="B12" s="167">
        <f>VLOOKUP(J12,Matrix!AD:AE,2,0)</f>
        <v/>
      </c>
      <c r="C12" s="167">
        <f>IF(H12="",F12,LEFT(F12,H12-1))</f>
        <v/>
      </c>
      <c r="D12" s="167" t="inlineStr">
        <is>
          <t>K</t>
        </is>
      </c>
      <c r="E12" s="167">
        <f>IF(H12&lt;&gt;"",RIGHT(F12,LEN(F12)-H12-2),"")</f>
        <v/>
      </c>
      <c r="F12" s="167">
        <f>VLOOKUP(I12,$J:$O,G12,0)</f>
        <v/>
      </c>
      <c r="G12" s="167" t="n">
        <v>2</v>
      </c>
      <c r="H12" s="167">
        <f>IFERROR(FIND(" - ",F12),"")</f>
        <v/>
      </c>
      <c r="I12" s="167">
        <f>J12</f>
        <v/>
      </c>
      <c r="J12" s="156" t="inlineStr">
        <is>
          <t>Titans</t>
        </is>
      </c>
    </row>
    <row r="13" ht="15.6" customHeight="1" s="152">
      <c r="A13" s="167" t="n">
        <v>12</v>
      </c>
      <c r="B13" s="167">
        <f>VLOOKUP(J13,Matrix!AD:AE,2,0)</f>
        <v/>
      </c>
      <c r="C13" s="167">
        <f>IF(H13="",F13,LEFT(F13,H13-1))</f>
        <v/>
      </c>
      <c r="D13" s="167" t="inlineStr">
        <is>
          <t>K</t>
        </is>
      </c>
      <c r="E13" s="167">
        <f>IF(H13&lt;&gt;"",RIGHT(F13,LEN(F13)-H13-2),"")</f>
        <v/>
      </c>
      <c r="F13" s="167">
        <f>VLOOKUP(I13,$J:$O,G13,0)</f>
        <v/>
      </c>
      <c r="G13" s="167" t="n">
        <v>2</v>
      </c>
      <c r="H13" s="167">
        <f>IFERROR(FIND(" - ",F13),"")</f>
        <v/>
      </c>
      <c r="I13" s="167">
        <f>J13</f>
        <v/>
      </c>
      <c r="J13" s="156" t="inlineStr">
        <is>
          <t>49ers</t>
        </is>
      </c>
    </row>
    <row r="14" ht="15.6" customHeight="1" s="152">
      <c r="A14" s="167" t="n">
        <v>13</v>
      </c>
      <c r="B14" s="167">
        <f>VLOOKUP(J14,Matrix!AD:AE,2,0)</f>
        <v/>
      </c>
      <c r="C14" s="167">
        <f>IF(H14="",F14,LEFT(F14,H14-1))</f>
        <v/>
      </c>
      <c r="D14" s="167" t="inlineStr">
        <is>
          <t>K</t>
        </is>
      </c>
      <c r="E14" s="167">
        <f>IF(H14&lt;&gt;"",RIGHT(F14,LEN(F14)-H14-2),"")</f>
        <v/>
      </c>
      <c r="F14" s="167">
        <f>VLOOKUP(I14,$J:$O,G14,0)</f>
        <v/>
      </c>
      <c r="G14" s="167" t="n">
        <v>2</v>
      </c>
      <c r="H14" s="167">
        <f>IFERROR(FIND(" - ",F14),"")</f>
        <v/>
      </c>
      <c r="I14" s="167">
        <f>J14</f>
        <v/>
      </c>
      <c r="J14" s="156" t="inlineStr">
        <is>
          <t>Lions</t>
        </is>
      </c>
    </row>
    <row r="15" ht="15.6" customHeight="1" s="152">
      <c r="A15" s="167" t="n">
        <v>14</v>
      </c>
      <c r="B15" s="167">
        <f>VLOOKUP(J15,Matrix!AD:AE,2,0)</f>
        <v/>
      </c>
      <c r="C15" s="167">
        <f>IF(H15="",F15,LEFT(F15,H15-1))</f>
        <v/>
      </c>
      <c r="D15" s="167" t="inlineStr">
        <is>
          <t>K</t>
        </is>
      </c>
      <c r="E15" s="167">
        <f>IF(H15&lt;&gt;"",RIGHT(F15,LEN(F15)-H15-2),"")</f>
        <v/>
      </c>
      <c r="F15" s="167">
        <f>VLOOKUP(I15,$J:$O,G15,0)</f>
        <v/>
      </c>
      <c r="G15" s="167" t="n">
        <v>2</v>
      </c>
      <c r="H15" s="167">
        <f>IFERROR(FIND(" - ",F15),"")</f>
        <v/>
      </c>
      <c r="I15" s="167">
        <f>J15</f>
        <v/>
      </c>
      <c r="J15" s="156" t="inlineStr">
        <is>
          <t>Texans</t>
        </is>
      </c>
    </row>
    <row r="16" ht="15.6" customHeight="1" s="152">
      <c r="A16" s="167" t="n">
        <v>15</v>
      </c>
      <c r="B16" s="167">
        <f>VLOOKUP(J16,Matrix!AD:AE,2,0)</f>
        <v/>
      </c>
      <c r="C16" s="167">
        <f>IF(H16="",F16,LEFT(F16,H16-1))</f>
        <v/>
      </c>
      <c r="D16" s="167" t="inlineStr">
        <is>
          <t>K</t>
        </is>
      </c>
      <c r="E16" s="167">
        <f>IF(H16&lt;&gt;"",RIGHT(F16,LEN(F16)-H16-2),"")</f>
        <v/>
      </c>
      <c r="F16" s="167">
        <f>VLOOKUP(I16,$J:$O,G16,0)</f>
        <v/>
      </c>
      <c r="G16" s="167" t="n">
        <v>2</v>
      </c>
      <c r="H16" s="167">
        <f>IFERROR(FIND(" - ",F16),"")</f>
        <v/>
      </c>
      <c r="I16" s="167">
        <f>J16</f>
        <v/>
      </c>
      <c r="J16" s="156" t="inlineStr">
        <is>
          <t>Ravens</t>
        </is>
      </c>
    </row>
    <row r="17" ht="15.6" customHeight="1" s="152">
      <c r="A17" s="167" t="n">
        <v>16</v>
      </c>
      <c r="B17" s="167">
        <f>VLOOKUP(J17,Matrix!AD:AE,2,0)</f>
        <v/>
      </c>
      <c r="C17" s="167">
        <f>IF(H17="",F17,LEFT(F17,H17-1))</f>
        <v/>
      </c>
      <c r="D17" s="167" t="inlineStr">
        <is>
          <t>K</t>
        </is>
      </c>
      <c r="E17" s="167">
        <f>IF(H17&lt;&gt;"",RIGHT(F17,LEN(F17)-H17-2),"")</f>
        <v/>
      </c>
      <c r="F17" s="167">
        <f>VLOOKUP(I17,$J:$O,G17,0)</f>
        <v/>
      </c>
      <c r="G17" s="167" t="n">
        <v>2</v>
      </c>
      <c r="H17" s="167">
        <f>IFERROR(FIND(" - ",F17),"")</f>
        <v/>
      </c>
      <c r="I17" s="167">
        <f>J17</f>
        <v/>
      </c>
      <c r="J17" s="156" t="inlineStr">
        <is>
          <t>Vikings</t>
        </is>
      </c>
    </row>
    <row r="18" ht="15.6" customHeight="1" s="152">
      <c r="A18" s="167" t="n">
        <v>17</v>
      </c>
      <c r="B18" s="167">
        <f>VLOOKUP(J18,Matrix!AD:AE,2,0)</f>
        <v/>
      </c>
      <c r="C18" s="167">
        <f>IF(H18="",F18,LEFT(F18,H18-1))</f>
        <v/>
      </c>
      <c r="D18" s="167" t="inlineStr">
        <is>
          <t>K</t>
        </is>
      </c>
      <c r="E18" s="167">
        <f>IF(H18&lt;&gt;"",RIGHT(F18,LEN(F18)-H18-2),"")</f>
        <v/>
      </c>
      <c r="F18" s="167">
        <f>VLOOKUP(I18,$J:$O,G18,0)</f>
        <v/>
      </c>
      <c r="G18" s="167" t="n">
        <v>2</v>
      </c>
      <c r="H18" s="167">
        <f>IFERROR(FIND(" - ",F18),"")</f>
        <v/>
      </c>
      <c r="I18" s="167">
        <f>J18</f>
        <v/>
      </c>
      <c r="J18" s="156" t="inlineStr">
        <is>
          <t>Commanders</t>
        </is>
      </c>
    </row>
    <row r="19" ht="15.6" customHeight="1" s="152">
      <c r="A19" s="167" t="n">
        <v>18</v>
      </c>
      <c r="B19" s="167">
        <f>VLOOKUP(J19,Matrix!AD:AE,2,0)</f>
        <v/>
      </c>
      <c r="C19" s="167">
        <f>IF(H19="",F19,LEFT(F19,H19-1))</f>
        <v/>
      </c>
      <c r="D19" s="167" t="inlineStr">
        <is>
          <t>K</t>
        </is>
      </c>
      <c r="E19" s="167">
        <f>IF(H19&lt;&gt;"",RIGHT(F19,LEN(F19)-H19-2),"")</f>
        <v/>
      </c>
      <c r="F19" s="167">
        <f>VLOOKUP(I19,$J:$O,G19,0)</f>
        <v/>
      </c>
      <c r="G19" s="167" t="n">
        <v>2</v>
      </c>
      <c r="H19" s="167">
        <f>IFERROR(FIND(" - ",F19),"")</f>
        <v/>
      </c>
      <c r="I19" s="167">
        <f>J19</f>
        <v/>
      </c>
      <c r="J19" s="156" t="inlineStr">
        <is>
          <t>Browns</t>
        </is>
      </c>
    </row>
    <row r="20" ht="15.6" customHeight="1" s="152">
      <c r="A20" s="167" t="n">
        <v>19</v>
      </c>
      <c r="B20" s="167">
        <f>VLOOKUP(J20,Matrix!AD:AE,2,0)</f>
        <v/>
      </c>
      <c r="C20" s="167">
        <f>IF(H20="",F20,LEFT(F20,H20-1))</f>
        <v/>
      </c>
      <c r="D20" s="167" t="inlineStr">
        <is>
          <t>K</t>
        </is>
      </c>
      <c r="E20" s="167">
        <f>IF(H20&lt;&gt;"",RIGHT(F20,LEN(F20)-H20-2),"")</f>
        <v/>
      </c>
      <c r="F20" s="167">
        <f>VLOOKUP(I20,$J:$O,G20,0)</f>
        <v/>
      </c>
      <c r="G20" s="167" t="n">
        <v>2</v>
      </c>
      <c r="H20" s="167">
        <f>IFERROR(FIND(" - ",F20),"")</f>
        <v/>
      </c>
      <c r="I20" s="167">
        <f>J20</f>
        <v/>
      </c>
      <c r="J20" s="156" t="inlineStr">
        <is>
          <t>Jaguars</t>
        </is>
      </c>
    </row>
    <row r="21" ht="15.6" customHeight="1" s="152">
      <c r="A21" s="167" t="n">
        <v>20</v>
      </c>
      <c r="B21" s="167">
        <f>VLOOKUP(J21,Matrix!AD:AE,2,0)</f>
        <v/>
      </c>
      <c r="C21" s="167">
        <f>IF(H21="",F21,LEFT(F21,H21-1))</f>
        <v/>
      </c>
      <c r="D21" s="167" t="inlineStr">
        <is>
          <t>K</t>
        </is>
      </c>
      <c r="E21" s="167">
        <f>IF(H21&lt;&gt;"",RIGHT(F21,LEN(F21)-H21-2),"")</f>
        <v/>
      </c>
      <c r="F21" s="167">
        <f>VLOOKUP(I21,$J:$O,G21,0)</f>
        <v/>
      </c>
      <c r="G21" s="167" t="n">
        <v>2</v>
      </c>
      <c r="H21" s="167">
        <f>IFERROR(FIND(" - ",F21),"")</f>
        <v/>
      </c>
      <c r="I21" s="167">
        <f>J21</f>
        <v/>
      </c>
      <c r="J21" s="156" t="inlineStr">
        <is>
          <t>Bears</t>
        </is>
      </c>
    </row>
    <row r="22" ht="15.6" customHeight="1" s="152">
      <c r="A22" s="167" t="n">
        <v>21</v>
      </c>
      <c r="B22" s="167">
        <f>VLOOKUP(J22,Matrix!AD:AE,2,0)</f>
        <v/>
      </c>
      <c r="C22" s="167">
        <f>IF(H22="",F22,LEFT(F22,H22-1))</f>
        <v/>
      </c>
      <c r="D22" s="167" t="inlineStr">
        <is>
          <t>K</t>
        </is>
      </c>
      <c r="E22" s="167">
        <f>IF(H22&lt;&gt;"",RIGHT(F22,LEN(F22)-H22-2),"")</f>
        <v/>
      </c>
      <c r="F22" s="167">
        <f>VLOOKUP(I22,$J:$O,G22,0)</f>
        <v/>
      </c>
      <c r="G22" s="167" t="n">
        <v>2</v>
      </c>
      <c r="H22" s="167">
        <f>IFERROR(FIND(" - ",F22),"")</f>
        <v/>
      </c>
      <c r="I22" s="167">
        <f>J22</f>
        <v/>
      </c>
      <c r="J22" s="156" t="inlineStr">
        <is>
          <t>Patriots</t>
        </is>
      </c>
    </row>
    <row r="23" ht="15.6" customHeight="1" s="152">
      <c r="A23" s="167" t="n">
        <v>22</v>
      </c>
      <c r="B23" s="167">
        <f>VLOOKUP(J23,Matrix!AD:AE,2,0)</f>
        <v/>
      </c>
      <c r="C23" s="167">
        <f>IF(H23="",F23,LEFT(F23,H23-1))</f>
        <v/>
      </c>
      <c r="D23" s="167" t="inlineStr">
        <is>
          <t>K</t>
        </is>
      </c>
      <c r="E23" s="167">
        <f>IF(H23&lt;&gt;"",RIGHT(F23,LEN(F23)-H23-2),"")</f>
        <v/>
      </c>
      <c r="F23" s="167">
        <f>VLOOKUP(I23,$J:$O,G23,0)</f>
        <v/>
      </c>
      <c r="G23" s="167" t="n">
        <v>2</v>
      </c>
      <c r="H23" s="167">
        <f>IFERROR(FIND(" - ",F23),"")</f>
        <v/>
      </c>
      <c r="I23" s="167">
        <f>J23</f>
        <v/>
      </c>
      <c r="J23" s="156" t="inlineStr">
        <is>
          <t>Bills</t>
        </is>
      </c>
    </row>
    <row r="24" ht="15.6" customHeight="1" s="152">
      <c r="A24" s="167" t="n">
        <v>23</v>
      </c>
      <c r="B24" s="167">
        <f>VLOOKUP(J24,Matrix!AD:AE,2,0)</f>
        <v/>
      </c>
      <c r="C24" s="167">
        <f>IF(H24="",F24,LEFT(F24,H24-1))</f>
        <v/>
      </c>
      <c r="D24" s="167" t="inlineStr">
        <is>
          <t>K</t>
        </is>
      </c>
      <c r="E24" s="167">
        <f>IF(H24&lt;&gt;"",RIGHT(F24,LEN(F24)-H24-2),"")</f>
        <v/>
      </c>
      <c r="F24" s="167">
        <f>VLOOKUP(I24,$J:$O,G24,0)</f>
        <v/>
      </c>
      <c r="G24" s="167" t="n">
        <v>2</v>
      </c>
      <c r="H24" s="167">
        <f>IFERROR(FIND(" - ",F24),"")</f>
        <v/>
      </c>
      <c r="I24" s="167">
        <f>J24</f>
        <v/>
      </c>
      <c r="J24" s="156" t="inlineStr">
        <is>
          <t>Seahawks</t>
        </is>
      </c>
    </row>
    <row r="25" ht="15.6" customHeight="1" s="152">
      <c r="A25" s="167" t="n">
        <v>24</v>
      </c>
      <c r="B25" s="167">
        <f>VLOOKUP(J25,Matrix!AD:AE,2,0)</f>
        <v/>
      </c>
      <c r="C25" s="167">
        <f>IF(H25="",F25,LEFT(F25,H25-1))</f>
        <v/>
      </c>
      <c r="D25" s="167" t="inlineStr">
        <is>
          <t>K</t>
        </is>
      </c>
      <c r="E25" s="167">
        <f>IF(H25&lt;&gt;"",RIGHT(F25,LEN(F25)-H25-2),"")</f>
        <v/>
      </c>
      <c r="F25" s="167">
        <f>VLOOKUP(I25,$J:$O,G25,0)</f>
        <v/>
      </c>
      <c r="G25" s="167" t="n">
        <v>2</v>
      </c>
      <c r="H25" s="167">
        <f>IFERROR(FIND(" - ",F25),"")</f>
        <v/>
      </c>
      <c r="I25" s="167">
        <f>J25</f>
        <v/>
      </c>
      <c r="J25" s="156" t="inlineStr">
        <is>
          <t>Rams</t>
        </is>
      </c>
    </row>
    <row r="26" ht="15.6" customHeight="1" s="152">
      <c r="A26" s="167" t="n">
        <v>25</v>
      </c>
      <c r="B26" s="167">
        <f>VLOOKUP(J26,Matrix!AD:AE,2,0)</f>
        <v/>
      </c>
      <c r="C26" s="167">
        <f>IF(H26="",F26,LEFT(F26,H26-1))</f>
        <v/>
      </c>
      <c r="D26" s="167" t="inlineStr">
        <is>
          <t>K</t>
        </is>
      </c>
      <c r="E26" s="167">
        <f>IF(H26&lt;&gt;"",RIGHT(F26,LEN(F26)-H26-2),"")</f>
        <v/>
      </c>
      <c r="F26" s="167">
        <f>VLOOKUP(I26,$J:$O,G26,0)</f>
        <v/>
      </c>
      <c r="G26" s="167" t="n">
        <v>2</v>
      </c>
      <c r="H26" s="167">
        <f>IFERROR(FIND(" - ",F26),"")</f>
        <v/>
      </c>
      <c r="I26" s="167">
        <f>J26</f>
        <v/>
      </c>
      <c r="J26" s="156" t="inlineStr">
        <is>
          <t>Broncos</t>
        </is>
      </c>
    </row>
    <row r="27" ht="15.6" customHeight="1" s="152">
      <c r="A27" s="167" t="n">
        <v>26</v>
      </c>
      <c r="B27" s="167">
        <f>VLOOKUP(J27,Matrix!AD:AE,2,0)</f>
        <v/>
      </c>
      <c r="C27" s="167">
        <f>IF(H27="",F27,LEFT(F27,H27-1))</f>
        <v/>
      </c>
      <c r="D27" s="167" t="inlineStr">
        <is>
          <t>K</t>
        </is>
      </c>
      <c r="E27" s="167">
        <f>IF(H27&lt;&gt;"",RIGHT(F27,LEN(F27)-H27-2),"")</f>
        <v/>
      </c>
      <c r="F27" s="167">
        <f>VLOOKUP(I27,$J:$O,G27,0)</f>
        <v/>
      </c>
      <c r="G27" s="167" t="n">
        <v>2</v>
      </c>
      <c r="H27" s="167">
        <f>IFERROR(FIND(" - ",F27),"")</f>
        <v/>
      </c>
      <c r="I27" s="167">
        <f>J27</f>
        <v/>
      </c>
      <c r="J27" s="156" t="inlineStr">
        <is>
          <t>Eagles</t>
        </is>
      </c>
    </row>
    <row r="28" ht="15.6" customHeight="1" s="152">
      <c r="A28" s="167" t="n">
        <v>27</v>
      </c>
      <c r="B28" s="167">
        <f>VLOOKUP(J28,Matrix!AD:AE,2,0)</f>
        <v/>
      </c>
      <c r="C28" s="167">
        <f>IF(H28="",F28,LEFT(F28,H28-1))</f>
        <v/>
      </c>
      <c r="D28" s="167" t="inlineStr">
        <is>
          <t>K</t>
        </is>
      </c>
      <c r="E28" s="167">
        <f>IF(H28&lt;&gt;"",RIGHT(F28,LEN(F28)-H28-2),"")</f>
        <v/>
      </c>
      <c r="F28" s="167">
        <f>VLOOKUP(I28,$J:$O,G28,0)</f>
        <v/>
      </c>
      <c r="G28" s="167" t="n">
        <v>2</v>
      </c>
      <c r="H28" s="167">
        <f>IFERROR(FIND(" - ",F28),"")</f>
        <v/>
      </c>
      <c r="I28" s="167">
        <f>J28</f>
        <v/>
      </c>
      <c r="J28" s="156" t="inlineStr">
        <is>
          <t>Falcons</t>
        </is>
      </c>
    </row>
    <row r="29" ht="15.6" customHeight="1" s="152">
      <c r="A29" s="167" t="n">
        <v>28</v>
      </c>
      <c r="B29" s="167">
        <f>VLOOKUP(J29,Matrix!AD:AE,2,0)</f>
        <v/>
      </c>
      <c r="C29" s="167">
        <f>IF(H29="",F29,LEFT(F29,H29-1))</f>
        <v/>
      </c>
      <c r="D29" s="167" t="inlineStr">
        <is>
          <t>K</t>
        </is>
      </c>
      <c r="E29" s="167">
        <f>IF(H29&lt;&gt;"",RIGHT(F29,LEN(F29)-H29-2),"")</f>
        <v/>
      </c>
      <c r="F29" s="167">
        <f>VLOOKUP(I29,$J:$O,G29,0)</f>
        <v/>
      </c>
      <c r="G29" s="167" t="n">
        <v>2</v>
      </c>
      <c r="H29" s="167">
        <f>IFERROR(FIND(" - ",F29),"")</f>
        <v/>
      </c>
      <c r="I29" s="167">
        <f>J29</f>
        <v/>
      </c>
      <c r="J29" s="156" t="inlineStr">
        <is>
          <t>Chargers</t>
        </is>
      </c>
    </row>
    <row r="30" ht="15.6" customHeight="1" s="152">
      <c r="A30" s="167" t="n">
        <v>29</v>
      </c>
      <c r="B30" s="167">
        <f>VLOOKUP(J30,Matrix!AD:AE,2,0)</f>
        <v/>
      </c>
      <c r="C30" s="167">
        <f>IF(H30="",F30,LEFT(F30,H30-1))</f>
        <v/>
      </c>
      <c r="D30" s="167" t="inlineStr">
        <is>
          <t>K</t>
        </is>
      </c>
      <c r="E30" s="167">
        <f>IF(H30&lt;&gt;"",RIGHT(F30,LEN(F30)-H30-2),"")</f>
        <v/>
      </c>
      <c r="F30" s="167">
        <f>VLOOKUP(I30,$J:$O,G30,0)</f>
        <v/>
      </c>
      <c r="G30" s="167" t="n">
        <v>2</v>
      </c>
      <c r="H30" s="167">
        <f>IFERROR(FIND(" - ",F30),"")</f>
        <v/>
      </c>
      <c r="I30" s="167">
        <f>J30</f>
        <v/>
      </c>
      <c r="J30" s="156" t="inlineStr">
        <is>
          <t>Packers</t>
        </is>
      </c>
    </row>
    <row r="31" ht="15.6" customHeight="1" s="152">
      <c r="A31" s="167" t="n">
        <v>30</v>
      </c>
      <c r="B31" s="167">
        <f>VLOOKUP(J31,Matrix!AD:AE,2,0)</f>
        <v/>
      </c>
      <c r="C31" s="167">
        <f>IF(H31="",F31,LEFT(F31,H31-1))</f>
        <v/>
      </c>
      <c r="D31" s="167" t="inlineStr">
        <is>
          <t>K</t>
        </is>
      </c>
      <c r="E31" s="167">
        <f>IF(H31&lt;&gt;"",RIGHT(F31,LEN(F31)-H31-2),"")</f>
        <v/>
      </c>
      <c r="F31" s="167">
        <f>VLOOKUP(I31,$J:$O,G31,0)</f>
        <v/>
      </c>
      <c r="G31" s="167" t="n">
        <v>2</v>
      </c>
      <c r="H31" s="167">
        <f>IFERROR(FIND(" - ",F31),"")</f>
        <v/>
      </c>
      <c r="I31" s="167">
        <f>J31</f>
        <v/>
      </c>
      <c r="J31" s="156" t="inlineStr">
        <is>
          <t>Jets</t>
        </is>
      </c>
    </row>
    <row r="32" ht="15.6" customHeight="1" s="152">
      <c r="A32" s="167" t="n">
        <v>31</v>
      </c>
      <c r="B32" s="167">
        <f>VLOOKUP(J32,Matrix!AD:AE,2,0)</f>
        <v/>
      </c>
      <c r="C32" s="167">
        <f>IF(H32="",F32,LEFT(F32,H32-1))</f>
        <v/>
      </c>
      <c r="D32" s="167" t="inlineStr">
        <is>
          <t>K</t>
        </is>
      </c>
      <c r="E32" s="167">
        <f>IF(H32&lt;&gt;"",RIGHT(F32,LEN(F32)-H32-2),"")</f>
        <v/>
      </c>
      <c r="F32" s="167">
        <f>VLOOKUP(I32,$J:$O,G32,0)</f>
        <v/>
      </c>
      <c r="G32" s="167" t="n">
        <v>2</v>
      </c>
      <c r="H32" s="167">
        <f>IFERROR(FIND(" - ",F32),"")</f>
        <v/>
      </c>
      <c r="I32" s="167">
        <f>J32</f>
        <v/>
      </c>
      <c r="J32" s="156" t="inlineStr">
        <is>
          <t>Colts</t>
        </is>
      </c>
    </row>
    <row r="33" ht="15.6" customHeight="1" s="152">
      <c r="A33" s="167" t="n">
        <v>32</v>
      </c>
      <c r="B33" s="167">
        <f>VLOOKUP(J33,Matrix!AD:AE,2,0)</f>
        <v/>
      </c>
      <c r="C33" s="167">
        <f>IF(H33="",F33,LEFT(F33,H33-1))</f>
        <v/>
      </c>
      <c r="D33" s="167" t="inlineStr">
        <is>
          <t>K</t>
        </is>
      </c>
      <c r="E33" s="167">
        <f>IF(H33&lt;&gt;"",RIGHT(F33,LEN(F33)-H33-2),"")</f>
        <v/>
      </c>
      <c r="F33" s="167">
        <f>VLOOKUP(I33,$J:$O,G33,0)</f>
        <v/>
      </c>
      <c r="G33" s="167" t="n">
        <v>2</v>
      </c>
      <c r="H33" s="167">
        <f>IFERROR(FIND(" - ",F33),"")</f>
        <v/>
      </c>
      <c r="I33" s="167">
        <f>J33</f>
        <v/>
      </c>
      <c r="J33" s="156" t="inlineStr">
        <is>
          <t>Saints</t>
        </is>
      </c>
    </row>
    <row r="34" ht="14.4" customHeight="1" s="152">
      <c r="A34" s="167" t="n">
        <v>33</v>
      </c>
      <c r="B34" s="167">
        <f>B2</f>
        <v/>
      </c>
      <c r="C34" s="167">
        <f>IF(H34="",F34,LEFT(F34,H34-1))</f>
        <v/>
      </c>
      <c r="D34" s="167" t="inlineStr">
        <is>
          <t>K</t>
        </is>
      </c>
      <c r="E34" s="167">
        <f>IF(H34&lt;&gt;"",RIGHT(F34,LEN(F34)-H34-2),"")</f>
        <v/>
      </c>
      <c r="F34" s="167">
        <f>VLOOKUP(I34,$J:$O,G34,0)</f>
        <v/>
      </c>
      <c r="G34" s="167">
        <f>G2+1</f>
        <v/>
      </c>
      <c r="H34" s="167">
        <f>IFERROR(FIND(" - ",F34),"")</f>
        <v/>
      </c>
      <c r="I34" s="167">
        <f>I2</f>
        <v/>
      </c>
    </row>
    <row r="35" ht="14.4" customHeight="1" s="152">
      <c r="A35" s="167" t="n">
        <v>34</v>
      </c>
      <c r="B35" s="167">
        <f>B3</f>
        <v/>
      </c>
      <c r="C35" s="167">
        <f>IF(H35="",F35,LEFT(F35,H35-1))</f>
        <v/>
      </c>
      <c r="D35" s="167" t="inlineStr">
        <is>
          <t>K</t>
        </is>
      </c>
      <c r="E35" s="167">
        <f>IF(H35&lt;&gt;"",RIGHT(F35,LEN(F35)-H35-2),"")</f>
        <v/>
      </c>
      <c r="F35" s="167">
        <f>VLOOKUP(I35,$J:$O,G35,0)</f>
        <v/>
      </c>
      <c r="G35" s="167">
        <f>G3+1</f>
        <v/>
      </c>
      <c r="H35" s="167">
        <f>IFERROR(FIND(" - ",F35),"")</f>
        <v/>
      </c>
      <c r="I35" s="167">
        <f>I3</f>
        <v/>
      </c>
    </row>
    <row r="36" ht="14.4" customHeight="1" s="152">
      <c r="A36" s="167" t="n">
        <v>35</v>
      </c>
      <c r="B36" s="167">
        <f>B4</f>
        <v/>
      </c>
      <c r="C36" s="167">
        <f>IF(H36="",F36,LEFT(F36,H36-1))</f>
        <v/>
      </c>
      <c r="D36" s="167" t="inlineStr">
        <is>
          <t>K</t>
        </is>
      </c>
      <c r="E36" s="167">
        <f>IF(H36&lt;&gt;"",RIGHT(F36,LEN(F36)-H36-2),"")</f>
        <v/>
      </c>
      <c r="F36" s="167">
        <f>VLOOKUP(I36,$J:$O,G36,0)</f>
        <v/>
      </c>
      <c r="G36" s="167">
        <f>G4+1</f>
        <v/>
      </c>
      <c r="H36" s="167">
        <f>IFERROR(FIND(" - ",F36),"")</f>
        <v/>
      </c>
      <c r="I36" s="167">
        <f>I4</f>
        <v/>
      </c>
    </row>
    <row r="37" ht="14.4" customHeight="1" s="152">
      <c r="A37" s="167" t="n">
        <v>36</v>
      </c>
      <c r="B37" s="167">
        <f>B5</f>
        <v/>
      </c>
      <c r="C37" s="167">
        <f>IF(H37="",F37,LEFT(F37,H37-1))</f>
        <v/>
      </c>
      <c r="D37" s="167" t="inlineStr">
        <is>
          <t>K</t>
        </is>
      </c>
      <c r="E37" s="167">
        <f>IF(H37&lt;&gt;"",RIGHT(F37,LEN(F37)-H37-2),"")</f>
        <v/>
      </c>
      <c r="F37" s="167">
        <f>VLOOKUP(I37,$J:$O,G37,0)</f>
        <v/>
      </c>
      <c r="G37" s="167">
        <f>G5+1</f>
        <v/>
      </c>
      <c r="H37" s="167">
        <f>IFERROR(FIND(" - ",F37),"")</f>
        <v/>
      </c>
      <c r="I37" s="167">
        <f>I5</f>
        <v/>
      </c>
    </row>
    <row r="38" ht="14.4" customHeight="1" s="152">
      <c r="A38" s="167" t="n">
        <v>37</v>
      </c>
      <c r="B38" s="167">
        <f>B6</f>
        <v/>
      </c>
      <c r="C38" s="167">
        <f>IF(H38="",F38,LEFT(F38,H38-1))</f>
        <v/>
      </c>
      <c r="D38" s="167" t="inlineStr">
        <is>
          <t>K</t>
        </is>
      </c>
      <c r="E38" s="167">
        <f>IF(H38&lt;&gt;"",RIGHT(F38,LEN(F38)-H38-2),"")</f>
        <v/>
      </c>
      <c r="F38" s="167">
        <f>VLOOKUP(I38,$J:$O,G38,0)</f>
        <v/>
      </c>
      <c r="G38" s="167">
        <f>G6+1</f>
        <v/>
      </c>
      <c r="H38" s="167">
        <f>IFERROR(FIND(" - ",F38),"")</f>
        <v/>
      </c>
      <c r="I38" s="167">
        <f>I6</f>
        <v/>
      </c>
    </row>
    <row r="39" ht="14.4" customHeight="1" s="152">
      <c r="A39" s="167" t="n">
        <v>38</v>
      </c>
      <c r="B39" s="167">
        <f>B7</f>
        <v/>
      </c>
      <c r="C39" s="167">
        <f>IF(H39="",F39,LEFT(F39,H39-1))</f>
        <v/>
      </c>
      <c r="D39" s="167" t="inlineStr">
        <is>
          <t>K</t>
        </is>
      </c>
      <c r="E39" s="167">
        <f>IF(H39&lt;&gt;"",RIGHT(F39,LEN(F39)-H39-2),"")</f>
        <v/>
      </c>
      <c r="F39" s="167">
        <f>VLOOKUP(I39,$J:$O,G39,0)</f>
        <v/>
      </c>
      <c r="G39" s="167">
        <f>G7+1</f>
        <v/>
      </c>
      <c r="H39" s="167">
        <f>IFERROR(FIND(" - ",F39),"")</f>
        <v/>
      </c>
      <c r="I39" s="167">
        <f>I7</f>
        <v/>
      </c>
    </row>
    <row r="40" ht="14.4" customHeight="1" s="152">
      <c r="A40" s="167" t="n">
        <v>39</v>
      </c>
      <c r="B40" s="167">
        <f>B8</f>
        <v/>
      </c>
      <c r="C40" s="167">
        <f>IF(H40="",F40,LEFT(F40,H40-1))</f>
        <v/>
      </c>
      <c r="D40" s="167" t="inlineStr">
        <is>
          <t>K</t>
        </is>
      </c>
      <c r="E40" s="167">
        <f>IF(H40&lt;&gt;"",RIGHT(F40,LEN(F40)-H40-2),"")</f>
        <v/>
      </c>
      <c r="F40" s="167">
        <f>VLOOKUP(I40,$J:$O,G40,0)</f>
        <v/>
      </c>
      <c r="G40" s="167">
        <f>G8+1</f>
        <v/>
      </c>
      <c r="H40" s="167">
        <f>IFERROR(FIND(" - ",F40),"")</f>
        <v/>
      </c>
      <c r="I40" s="167">
        <f>I8</f>
        <v/>
      </c>
    </row>
    <row r="41" ht="14.4" customHeight="1" s="152">
      <c r="A41" s="167" t="n">
        <v>40</v>
      </c>
      <c r="B41" s="167">
        <f>B9</f>
        <v/>
      </c>
      <c r="C41" s="167">
        <f>IF(H41="",F41,LEFT(F41,H41-1))</f>
        <v/>
      </c>
      <c r="D41" s="167" t="inlineStr">
        <is>
          <t>K</t>
        </is>
      </c>
      <c r="E41" s="167">
        <f>IF(H41&lt;&gt;"",RIGHT(F41,LEN(F41)-H41-2),"")</f>
        <v/>
      </c>
      <c r="F41" s="167">
        <f>VLOOKUP(I41,$J:$O,G41,0)</f>
        <v/>
      </c>
      <c r="G41" s="167">
        <f>G9+1</f>
        <v/>
      </c>
      <c r="H41" s="167">
        <f>IFERROR(FIND(" - ",F41),"")</f>
        <v/>
      </c>
      <c r="I41" s="167">
        <f>I9</f>
        <v/>
      </c>
    </row>
    <row r="42" ht="14.4" customHeight="1" s="152">
      <c r="A42" s="167" t="n">
        <v>41</v>
      </c>
      <c r="B42" s="167">
        <f>B10</f>
        <v/>
      </c>
      <c r="C42" s="167">
        <f>IF(H42="",F42,LEFT(F42,H42-1))</f>
        <v/>
      </c>
      <c r="D42" s="167" t="inlineStr">
        <is>
          <t>K</t>
        </is>
      </c>
      <c r="E42" s="167">
        <f>IF(H42&lt;&gt;"",RIGHT(F42,LEN(F42)-H42-2),"")</f>
        <v/>
      </c>
      <c r="F42" s="167">
        <f>VLOOKUP(I42,$J:$O,G42,0)</f>
        <v/>
      </c>
      <c r="G42" s="167">
        <f>G10+1</f>
        <v/>
      </c>
      <c r="H42" s="167">
        <f>IFERROR(FIND(" - ",F42),"")</f>
        <v/>
      </c>
      <c r="I42" s="167">
        <f>I10</f>
        <v/>
      </c>
    </row>
    <row r="43" ht="14.4" customHeight="1" s="152">
      <c r="A43" s="167" t="n">
        <v>42</v>
      </c>
      <c r="B43" s="167">
        <f>B11</f>
        <v/>
      </c>
      <c r="C43" s="167">
        <f>IF(H43="",F43,LEFT(F43,H43-1))</f>
        <v/>
      </c>
      <c r="D43" s="167" t="inlineStr">
        <is>
          <t>K</t>
        </is>
      </c>
      <c r="E43" s="167">
        <f>IF(H43&lt;&gt;"",RIGHT(F43,LEN(F43)-H43-2),"")</f>
        <v/>
      </c>
      <c r="F43" s="167">
        <f>VLOOKUP(I43,$J:$O,G43,0)</f>
        <v/>
      </c>
      <c r="G43" s="167">
        <f>G11+1</f>
        <v/>
      </c>
      <c r="H43" s="167">
        <f>IFERROR(FIND(" - ",F43),"")</f>
        <v/>
      </c>
      <c r="I43" s="167">
        <f>I11</f>
        <v/>
      </c>
    </row>
    <row r="44" ht="14.4" customHeight="1" s="152">
      <c r="A44" s="167" t="n">
        <v>43</v>
      </c>
      <c r="B44" s="167">
        <f>B12</f>
        <v/>
      </c>
      <c r="C44" s="167">
        <f>IF(H44="",F44,LEFT(F44,H44-1))</f>
        <v/>
      </c>
      <c r="D44" s="167" t="inlineStr">
        <is>
          <t>K</t>
        </is>
      </c>
      <c r="E44" s="167">
        <f>IF(H44&lt;&gt;"",RIGHT(F44,LEN(F44)-H44-2),"")</f>
        <v/>
      </c>
      <c r="F44" s="167">
        <f>VLOOKUP(I44,$J:$O,G44,0)</f>
        <v/>
      </c>
      <c r="G44" s="167">
        <f>G12+1</f>
        <v/>
      </c>
      <c r="H44" s="167">
        <f>IFERROR(FIND(" - ",F44),"")</f>
        <v/>
      </c>
      <c r="I44" s="167">
        <f>I12</f>
        <v/>
      </c>
    </row>
    <row r="45" ht="14.4" customHeight="1" s="152">
      <c r="A45" s="167" t="n">
        <v>44</v>
      </c>
      <c r="B45" s="167">
        <f>B13</f>
        <v/>
      </c>
      <c r="C45" s="167">
        <f>IF(H45="",F45,LEFT(F45,H45-1))</f>
        <v/>
      </c>
      <c r="D45" s="167" t="inlineStr">
        <is>
          <t>K</t>
        </is>
      </c>
      <c r="E45" s="167">
        <f>IF(H45&lt;&gt;"",RIGHT(F45,LEN(F45)-H45-2),"")</f>
        <v/>
      </c>
      <c r="F45" s="167">
        <f>VLOOKUP(I45,$J:$O,G45,0)</f>
        <v/>
      </c>
      <c r="G45" s="167">
        <f>G13+1</f>
        <v/>
      </c>
      <c r="H45" s="167">
        <f>IFERROR(FIND(" - ",F45),"")</f>
        <v/>
      </c>
      <c r="I45" s="167">
        <f>I13</f>
        <v/>
      </c>
    </row>
    <row r="46" ht="14.4" customHeight="1" s="152">
      <c r="A46" s="167" t="n">
        <v>45</v>
      </c>
      <c r="B46" s="167">
        <f>B14</f>
        <v/>
      </c>
      <c r="C46" s="167">
        <f>IF(H46="",F46,LEFT(F46,H46-1))</f>
        <v/>
      </c>
      <c r="D46" s="167" t="inlineStr">
        <is>
          <t>K</t>
        </is>
      </c>
      <c r="E46" s="167">
        <f>IF(H46&lt;&gt;"",RIGHT(F46,LEN(F46)-H46-2),"")</f>
        <v/>
      </c>
      <c r="F46" s="167">
        <f>VLOOKUP(I46,$J:$O,G46,0)</f>
        <v/>
      </c>
      <c r="G46" s="167">
        <f>G14+1</f>
        <v/>
      </c>
      <c r="H46" s="167">
        <f>IFERROR(FIND(" - ",F46),"")</f>
        <v/>
      </c>
      <c r="I46" s="167">
        <f>I14</f>
        <v/>
      </c>
    </row>
    <row r="47" ht="14.4" customHeight="1" s="152">
      <c r="A47" s="167" t="n">
        <v>46</v>
      </c>
      <c r="B47" s="167">
        <f>B15</f>
        <v/>
      </c>
      <c r="C47" s="167">
        <f>IF(H47="",F47,LEFT(F47,H47-1))</f>
        <v/>
      </c>
      <c r="D47" s="167" t="inlineStr">
        <is>
          <t>K</t>
        </is>
      </c>
      <c r="E47" s="167">
        <f>IF(H47&lt;&gt;"",RIGHT(F47,LEN(F47)-H47-2),"")</f>
        <v/>
      </c>
      <c r="F47" s="167">
        <f>VLOOKUP(I47,$J:$O,G47,0)</f>
        <v/>
      </c>
      <c r="G47" s="167">
        <f>G15+1</f>
        <v/>
      </c>
      <c r="H47" s="167">
        <f>IFERROR(FIND(" - ",F47),"")</f>
        <v/>
      </c>
      <c r="I47" s="167">
        <f>I15</f>
        <v/>
      </c>
    </row>
    <row r="48" ht="14.4" customHeight="1" s="152">
      <c r="A48" s="167" t="n">
        <v>47</v>
      </c>
      <c r="B48" s="167">
        <f>B16</f>
        <v/>
      </c>
      <c r="C48" s="167">
        <f>IF(H48="",F48,LEFT(F48,H48-1))</f>
        <v/>
      </c>
      <c r="D48" s="167" t="inlineStr">
        <is>
          <t>K</t>
        </is>
      </c>
      <c r="E48" s="167">
        <f>IF(H48&lt;&gt;"",RIGHT(F48,LEN(F48)-H48-2),"")</f>
        <v/>
      </c>
      <c r="F48" s="167">
        <f>VLOOKUP(I48,$J:$O,G48,0)</f>
        <v/>
      </c>
      <c r="G48" s="167">
        <f>G16+1</f>
        <v/>
      </c>
      <c r="H48" s="167">
        <f>IFERROR(FIND(" - ",F48),"")</f>
        <v/>
      </c>
      <c r="I48" s="167">
        <f>I16</f>
        <v/>
      </c>
    </row>
    <row r="49" ht="14.4" customHeight="1" s="152">
      <c r="A49" s="167" t="n">
        <v>48</v>
      </c>
      <c r="B49" s="167">
        <f>B17</f>
        <v/>
      </c>
      <c r="C49" s="167">
        <f>IF(H49="",F49,LEFT(F49,H49-1))</f>
        <v/>
      </c>
      <c r="D49" s="167" t="inlineStr">
        <is>
          <t>K</t>
        </is>
      </c>
      <c r="E49" s="167">
        <f>IF(H49&lt;&gt;"",RIGHT(F49,LEN(F49)-H49-2),"")</f>
        <v/>
      </c>
      <c r="F49" s="167">
        <f>VLOOKUP(I49,$J:$O,G49,0)</f>
        <v/>
      </c>
      <c r="G49" s="167">
        <f>G17+1</f>
        <v/>
      </c>
      <c r="H49" s="167">
        <f>IFERROR(FIND(" - ",F49),"")</f>
        <v/>
      </c>
      <c r="I49" s="167">
        <f>I17</f>
        <v/>
      </c>
    </row>
    <row r="50" ht="14.4" customHeight="1" s="152">
      <c r="A50" s="167" t="n">
        <v>49</v>
      </c>
      <c r="B50" s="167">
        <f>B18</f>
        <v/>
      </c>
      <c r="C50" s="167">
        <f>IF(H50="",F50,LEFT(F50,H50-1))</f>
        <v/>
      </c>
      <c r="D50" s="167" t="inlineStr">
        <is>
          <t>K</t>
        </is>
      </c>
      <c r="E50" s="167">
        <f>IF(H50&lt;&gt;"",RIGHT(F50,LEN(F50)-H50-2),"")</f>
        <v/>
      </c>
      <c r="F50" s="167">
        <f>VLOOKUP(I50,$J:$O,G50,0)</f>
        <v/>
      </c>
      <c r="G50" s="167">
        <f>G18+1</f>
        <v/>
      </c>
      <c r="H50" s="167">
        <f>IFERROR(FIND(" - ",F50),"")</f>
        <v/>
      </c>
      <c r="I50" s="167">
        <f>I18</f>
        <v/>
      </c>
    </row>
    <row r="51" ht="14.4" customHeight="1" s="152">
      <c r="A51" s="167" t="n">
        <v>50</v>
      </c>
      <c r="B51" s="167">
        <f>B19</f>
        <v/>
      </c>
      <c r="C51" s="167">
        <f>IF(H51="",F51,LEFT(F51,H51-1))</f>
        <v/>
      </c>
      <c r="D51" s="167" t="inlineStr">
        <is>
          <t>K</t>
        </is>
      </c>
      <c r="E51" s="167">
        <f>IF(H51&lt;&gt;"",RIGHT(F51,LEN(F51)-H51-2),"")</f>
        <v/>
      </c>
      <c r="F51" s="167">
        <f>VLOOKUP(I51,$J:$O,G51,0)</f>
        <v/>
      </c>
      <c r="G51" s="167">
        <f>G19+1</f>
        <v/>
      </c>
      <c r="H51" s="167">
        <f>IFERROR(FIND(" - ",F51),"")</f>
        <v/>
      </c>
      <c r="I51" s="167">
        <f>I19</f>
        <v/>
      </c>
    </row>
    <row r="52" ht="14.4" customHeight="1" s="152">
      <c r="A52" s="167" t="n">
        <v>51</v>
      </c>
      <c r="B52" s="167">
        <f>B20</f>
        <v/>
      </c>
      <c r="C52" s="167">
        <f>IF(H52="",F52,LEFT(F52,H52-1))</f>
        <v/>
      </c>
      <c r="D52" s="167" t="inlineStr">
        <is>
          <t>K</t>
        </is>
      </c>
      <c r="E52" s="167">
        <f>IF(H52&lt;&gt;"",RIGHT(F52,LEN(F52)-H52-2),"")</f>
        <v/>
      </c>
      <c r="F52" s="167">
        <f>VLOOKUP(I52,$J:$O,G52,0)</f>
        <v/>
      </c>
      <c r="G52" s="167">
        <f>G20+1</f>
        <v/>
      </c>
      <c r="H52" s="167">
        <f>IFERROR(FIND(" - ",F52),"")</f>
        <v/>
      </c>
      <c r="I52" s="167">
        <f>I20</f>
        <v/>
      </c>
    </row>
    <row r="53" ht="14.4" customHeight="1" s="152">
      <c r="A53" s="167" t="n">
        <v>52</v>
      </c>
      <c r="B53" s="167">
        <f>B21</f>
        <v/>
      </c>
      <c r="C53" s="167">
        <f>IF(H53="",F53,LEFT(F53,H53-1))</f>
        <v/>
      </c>
      <c r="D53" s="167" t="inlineStr">
        <is>
          <t>K</t>
        </is>
      </c>
      <c r="E53" s="167">
        <f>IF(H53&lt;&gt;"",RIGHT(F53,LEN(F53)-H53-2),"")</f>
        <v/>
      </c>
      <c r="F53" s="167">
        <f>VLOOKUP(I53,$J:$O,G53,0)</f>
        <v/>
      </c>
      <c r="G53" s="167">
        <f>G21+1</f>
        <v/>
      </c>
      <c r="H53" s="167">
        <f>IFERROR(FIND(" - ",F53),"")</f>
        <v/>
      </c>
      <c r="I53" s="167">
        <f>I21</f>
        <v/>
      </c>
    </row>
    <row r="54" ht="14.4" customHeight="1" s="152">
      <c r="A54" s="167" t="n">
        <v>53</v>
      </c>
      <c r="B54" s="167">
        <f>B22</f>
        <v/>
      </c>
      <c r="C54" s="167">
        <f>IF(H54="",F54,LEFT(F54,H54-1))</f>
        <v/>
      </c>
      <c r="D54" s="167" t="inlineStr">
        <is>
          <t>K</t>
        </is>
      </c>
      <c r="E54" s="167">
        <f>IF(H54&lt;&gt;"",RIGHT(F54,LEN(F54)-H54-2),"")</f>
        <v/>
      </c>
      <c r="F54" s="167">
        <f>VLOOKUP(I54,$J:$O,G54,0)</f>
        <v/>
      </c>
      <c r="G54" s="167">
        <f>G22+1</f>
        <v/>
      </c>
      <c r="H54" s="167">
        <f>IFERROR(FIND(" - ",F54),"")</f>
        <v/>
      </c>
      <c r="I54" s="167">
        <f>I22</f>
        <v/>
      </c>
    </row>
    <row r="55" ht="14.4" customHeight="1" s="152">
      <c r="A55" s="167" t="n">
        <v>54</v>
      </c>
      <c r="B55" s="167">
        <f>B23</f>
        <v/>
      </c>
      <c r="C55" s="167">
        <f>IF(H55="",F55,LEFT(F55,H55-1))</f>
        <v/>
      </c>
      <c r="D55" s="167" t="inlineStr">
        <is>
          <t>K</t>
        </is>
      </c>
      <c r="E55" s="167">
        <f>IF(H55&lt;&gt;"",RIGHT(F55,LEN(F55)-H55-2),"")</f>
        <v/>
      </c>
      <c r="F55" s="167">
        <f>VLOOKUP(I55,$J:$O,G55,0)</f>
        <v/>
      </c>
      <c r="G55" s="167">
        <f>G23+1</f>
        <v/>
      </c>
      <c r="H55" s="167">
        <f>IFERROR(FIND(" - ",F55),"")</f>
        <v/>
      </c>
      <c r="I55" s="167">
        <f>I23</f>
        <v/>
      </c>
    </row>
    <row r="56" ht="14.4" customHeight="1" s="152">
      <c r="A56" s="167" t="n">
        <v>55</v>
      </c>
      <c r="B56" s="167">
        <f>B24</f>
        <v/>
      </c>
      <c r="C56" s="167">
        <f>IF(H56="",F56,LEFT(F56,H56-1))</f>
        <v/>
      </c>
      <c r="D56" s="167" t="inlineStr">
        <is>
          <t>K</t>
        </is>
      </c>
      <c r="E56" s="167">
        <f>IF(H56&lt;&gt;"",RIGHT(F56,LEN(F56)-H56-2),"")</f>
        <v/>
      </c>
      <c r="F56" s="167">
        <f>VLOOKUP(I56,$J:$O,G56,0)</f>
        <v/>
      </c>
      <c r="G56" s="167">
        <f>G24+1</f>
        <v/>
      </c>
      <c r="H56" s="167">
        <f>IFERROR(FIND(" - ",F56),"")</f>
        <v/>
      </c>
      <c r="I56" s="167">
        <f>I24</f>
        <v/>
      </c>
    </row>
    <row r="57" ht="14.4" customHeight="1" s="152">
      <c r="A57" s="167" t="n">
        <v>56</v>
      </c>
      <c r="B57" s="167">
        <f>B25</f>
        <v/>
      </c>
      <c r="C57" s="167">
        <f>IF(H57="",F57,LEFT(F57,H57-1))</f>
        <v/>
      </c>
      <c r="D57" s="167" t="inlineStr">
        <is>
          <t>K</t>
        </is>
      </c>
      <c r="E57" s="167">
        <f>IF(H57&lt;&gt;"",RIGHT(F57,LEN(F57)-H57-2),"")</f>
        <v/>
      </c>
      <c r="F57" s="167">
        <f>VLOOKUP(I57,$J:$O,G57,0)</f>
        <v/>
      </c>
      <c r="G57" s="167">
        <f>G25+1</f>
        <v/>
      </c>
      <c r="H57" s="167">
        <f>IFERROR(FIND(" - ",F57),"")</f>
        <v/>
      </c>
      <c r="I57" s="167">
        <f>I25</f>
        <v/>
      </c>
    </row>
    <row r="58" ht="14.4" customHeight="1" s="152">
      <c r="A58" s="167" t="n">
        <v>57</v>
      </c>
      <c r="B58" s="167">
        <f>B26</f>
        <v/>
      </c>
      <c r="C58" s="167">
        <f>IF(H58="",F58,LEFT(F58,H58-1))</f>
        <v/>
      </c>
      <c r="D58" s="167" t="inlineStr">
        <is>
          <t>K</t>
        </is>
      </c>
      <c r="E58" s="167">
        <f>IF(H58&lt;&gt;"",RIGHT(F58,LEN(F58)-H58-2),"")</f>
        <v/>
      </c>
      <c r="F58" s="167">
        <f>VLOOKUP(I58,$J:$O,G58,0)</f>
        <v/>
      </c>
      <c r="G58" s="167">
        <f>G26+1</f>
        <v/>
      </c>
      <c r="H58" s="167">
        <f>IFERROR(FIND(" - ",F58),"")</f>
        <v/>
      </c>
      <c r="I58" s="167">
        <f>I26</f>
        <v/>
      </c>
    </row>
    <row r="59" ht="14.4" customHeight="1" s="152">
      <c r="A59" s="167" t="n">
        <v>58</v>
      </c>
      <c r="B59" s="167">
        <f>B27</f>
        <v/>
      </c>
      <c r="C59" s="167">
        <f>IF(H59="",F59,LEFT(F59,H59-1))</f>
        <v/>
      </c>
      <c r="D59" s="167" t="inlineStr">
        <is>
          <t>K</t>
        </is>
      </c>
      <c r="E59" s="167">
        <f>IF(H59&lt;&gt;"",RIGHT(F59,LEN(F59)-H59-2),"")</f>
        <v/>
      </c>
      <c r="F59" s="167">
        <f>VLOOKUP(I59,$J:$O,G59,0)</f>
        <v/>
      </c>
      <c r="G59" s="167">
        <f>G27+1</f>
        <v/>
      </c>
      <c r="H59" s="167">
        <f>IFERROR(FIND(" - ",F59),"")</f>
        <v/>
      </c>
      <c r="I59" s="167">
        <f>I27</f>
        <v/>
      </c>
    </row>
    <row r="60" ht="14.4" customHeight="1" s="152">
      <c r="A60" s="167" t="n">
        <v>59</v>
      </c>
      <c r="B60" s="167">
        <f>B28</f>
        <v/>
      </c>
      <c r="C60" s="167">
        <f>IF(H60="",F60,LEFT(F60,H60-1))</f>
        <v/>
      </c>
      <c r="D60" s="167" t="inlineStr">
        <is>
          <t>K</t>
        </is>
      </c>
      <c r="E60" s="167">
        <f>IF(H60&lt;&gt;"",RIGHT(F60,LEN(F60)-H60-2),"")</f>
        <v/>
      </c>
      <c r="F60" s="167">
        <f>VLOOKUP(I60,$J:$O,G60,0)</f>
        <v/>
      </c>
      <c r="G60" s="167">
        <f>G28+1</f>
        <v/>
      </c>
      <c r="H60" s="167">
        <f>IFERROR(FIND(" - ",F60),"")</f>
        <v/>
      </c>
      <c r="I60" s="167">
        <f>I28</f>
        <v/>
      </c>
    </row>
    <row r="61" ht="14.4" customHeight="1" s="152">
      <c r="A61" s="167" t="n">
        <v>60</v>
      </c>
      <c r="B61" s="167">
        <f>B29</f>
        <v/>
      </c>
      <c r="C61" s="167">
        <f>IF(H61="",F61,LEFT(F61,H61-1))</f>
        <v/>
      </c>
      <c r="D61" s="167" t="inlineStr">
        <is>
          <t>K</t>
        </is>
      </c>
      <c r="E61" s="167">
        <f>IF(H61&lt;&gt;"",RIGHT(F61,LEN(F61)-H61-2),"")</f>
        <v/>
      </c>
      <c r="F61" s="167">
        <f>VLOOKUP(I61,$J:$O,G61,0)</f>
        <v/>
      </c>
      <c r="G61" s="167">
        <f>G29+1</f>
        <v/>
      </c>
      <c r="H61" s="167">
        <f>IFERROR(FIND(" - ",F61),"")</f>
        <v/>
      </c>
      <c r="I61" s="167">
        <f>I29</f>
        <v/>
      </c>
    </row>
    <row r="62" ht="14.4" customHeight="1" s="152">
      <c r="A62" s="167" t="n">
        <v>61</v>
      </c>
      <c r="B62" s="167">
        <f>B30</f>
        <v/>
      </c>
      <c r="C62" s="167">
        <f>IF(H62="",F62,LEFT(F62,H62-1))</f>
        <v/>
      </c>
      <c r="D62" s="167" t="inlineStr">
        <is>
          <t>K</t>
        </is>
      </c>
      <c r="E62" s="167">
        <f>IF(H62&lt;&gt;"",RIGHT(F62,LEN(F62)-H62-2),"")</f>
        <v/>
      </c>
      <c r="F62" s="167">
        <f>VLOOKUP(I62,$J:$O,G62,0)</f>
        <v/>
      </c>
      <c r="G62" s="167">
        <f>G30+1</f>
        <v/>
      </c>
      <c r="H62" s="167">
        <f>IFERROR(FIND(" - ",F62),"")</f>
        <v/>
      </c>
      <c r="I62" s="167">
        <f>I30</f>
        <v/>
      </c>
    </row>
    <row r="63" ht="14.4" customHeight="1" s="152">
      <c r="A63" s="167" t="n">
        <v>62</v>
      </c>
      <c r="B63" s="167">
        <f>B31</f>
        <v/>
      </c>
      <c r="C63" s="167">
        <f>IF(H63="",F63,LEFT(F63,H63-1))</f>
        <v/>
      </c>
      <c r="D63" s="167" t="inlineStr">
        <is>
          <t>K</t>
        </is>
      </c>
      <c r="E63" s="167">
        <f>IF(H63&lt;&gt;"",RIGHT(F63,LEN(F63)-H63-2),"")</f>
        <v/>
      </c>
      <c r="F63" s="167">
        <f>VLOOKUP(I63,$J:$O,G63,0)</f>
        <v/>
      </c>
      <c r="G63" s="167">
        <f>G31+1</f>
        <v/>
      </c>
      <c r="H63" s="167">
        <f>IFERROR(FIND(" - ",F63),"")</f>
        <v/>
      </c>
      <c r="I63" s="167">
        <f>I31</f>
        <v/>
      </c>
    </row>
    <row r="64" ht="14.4" customHeight="1" s="152">
      <c r="A64" s="167" t="n">
        <v>63</v>
      </c>
      <c r="B64" s="167">
        <f>B32</f>
        <v/>
      </c>
      <c r="C64" s="167">
        <f>IF(H64="",F64,LEFT(F64,H64-1))</f>
        <v/>
      </c>
      <c r="D64" s="167" t="inlineStr">
        <is>
          <t>K</t>
        </is>
      </c>
      <c r="E64" s="167">
        <f>IF(H64&lt;&gt;"",RIGHT(F64,LEN(F64)-H64-2),"")</f>
        <v/>
      </c>
      <c r="F64" s="167">
        <f>VLOOKUP(I64,$J:$O,G64,0)</f>
        <v/>
      </c>
      <c r="G64" s="167">
        <f>G32+1</f>
        <v/>
      </c>
      <c r="H64" s="167">
        <f>IFERROR(FIND(" - ",F64),"")</f>
        <v/>
      </c>
      <c r="I64" s="167">
        <f>I32</f>
        <v/>
      </c>
    </row>
    <row r="65" ht="14.4" customHeight="1" s="152">
      <c r="A65" s="167" t="n">
        <v>64</v>
      </c>
      <c r="B65" s="167">
        <f>B33</f>
        <v/>
      </c>
      <c r="C65" s="167">
        <f>IF(H65="",F65,LEFT(F65,H65-1))</f>
        <v/>
      </c>
      <c r="D65" s="167" t="inlineStr">
        <is>
          <t>K</t>
        </is>
      </c>
      <c r="E65" s="167">
        <f>IF(H65&lt;&gt;"",RIGHT(F65,LEN(F65)-H65-2),"")</f>
        <v/>
      </c>
      <c r="F65" s="167">
        <f>VLOOKUP(I65,$J:$O,G65,0)</f>
        <v/>
      </c>
      <c r="G65" s="167">
        <f>G33+1</f>
        <v/>
      </c>
      <c r="H65" s="167">
        <f>IFERROR(FIND(" - ",F65),"")</f>
        <v/>
      </c>
      <c r="I65" s="167">
        <f>I33</f>
        <v/>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tabColor rgb="FFC00000"/>
    <outlinePr summaryBelow="1" summaryRight="1"/>
    <pageSetUpPr fitToPage="0"/>
  </sheetPr>
  <dimension ref="A1:H1052"/>
  <sheetViews>
    <sheetView showFormulas="0" showGridLines="1"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C30" activeCellId="0" sqref="C30"/>
    </sheetView>
  </sheetViews>
  <sheetFormatPr baseColWidth="8" defaultColWidth="8.796875" defaultRowHeight="13.8" zeroHeight="0" outlineLevelRow="0"/>
  <cols>
    <col width="26" customWidth="1" style="156" min="1" max="1"/>
    <col width="6.01" customWidth="1" style="156" min="2" max="2"/>
    <col width="24.35" customWidth="1" style="156" min="3" max="3"/>
    <col width="4.76" customWidth="1" style="156" min="4" max="4"/>
    <col width="17.13" customWidth="1" style="156" min="5" max="5"/>
    <col width="12.13" customWidth="1" style="156" min="6" max="6"/>
    <col width="11.89" customWidth="1" style="156" min="7" max="7"/>
  </cols>
  <sheetData>
    <row r="1" ht="15.6" customHeight="1" s="152">
      <c r="A1" s="167" t="inlineStr">
        <is>
          <t>Combo Name</t>
        </is>
      </c>
      <c r="B1" s="156" t="inlineStr">
        <is>
          <t>Team</t>
        </is>
      </c>
      <c r="C1" s="156" t="inlineStr">
        <is>
          <t>Player</t>
        </is>
      </c>
      <c r="D1" s="156" t="inlineStr">
        <is>
          <t>Pos</t>
        </is>
      </c>
      <c r="E1" s="156" t="inlineStr">
        <is>
          <t>Injury</t>
        </is>
      </c>
      <c r="F1" s="156" t="inlineStr">
        <is>
          <t>Status</t>
        </is>
      </c>
      <c r="G1" s="156" t="inlineStr">
        <is>
          <t>Est.Return</t>
        </is>
      </c>
      <c r="H1" s="156" t="inlineStr">
        <is>
          <t>https://www.rotowire.com/football/injury-report.php</t>
        </is>
      </c>
    </row>
    <row r="2" ht="15.6" customHeight="1" s="152">
      <c r="A2" s="167">
        <f>B2&amp;C2</f>
        <v/>
      </c>
      <c r="B2" s="156" t="inlineStr">
        <is>
          <t>FA</t>
        </is>
      </c>
      <c r="C2" s="156" t="inlineStr">
        <is>
          <t>Micah Abernathy</t>
        </is>
      </c>
      <c r="D2" s="156" t="inlineStr">
        <is>
          <t>S</t>
        </is>
      </c>
      <c r="E2" s="156" t="inlineStr">
        <is>
          <t>Knee</t>
        </is>
      </c>
      <c r="F2" s="156" t="inlineStr">
        <is>
          <t>Questionable</t>
        </is>
      </c>
    </row>
    <row r="3" ht="15.6" customHeight="1" s="152">
      <c r="A3" s="167">
        <f>B3&amp;C3</f>
        <v/>
      </c>
      <c r="B3" s="156" t="inlineStr">
        <is>
          <t>NYJ</t>
        </is>
      </c>
      <c r="C3" s="156" t="inlineStr">
        <is>
          <t>Tony Adams</t>
        </is>
      </c>
      <c r="D3" s="156" t="inlineStr">
        <is>
          <t>S</t>
        </is>
      </c>
      <c r="E3" s="156" t="inlineStr">
        <is>
          <t>Hip</t>
        </is>
      </c>
      <c r="F3" s="156" t="inlineStr">
        <is>
          <t>Questionable</t>
        </is>
      </c>
    </row>
    <row r="4" ht="15.6" customHeight="1" s="152">
      <c r="A4" s="167">
        <f>B4&amp;C4</f>
        <v/>
      </c>
      <c r="B4" s="156" t="inlineStr">
        <is>
          <t>MIN</t>
        </is>
      </c>
      <c r="C4" s="156" t="inlineStr">
        <is>
          <t>Jordan Addison</t>
        </is>
      </c>
      <c r="D4" s="156" t="inlineStr">
        <is>
          <t>WR</t>
        </is>
      </c>
      <c r="E4" s="156" t="inlineStr">
        <is>
          <t>Suspension</t>
        </is>
      </c>
      <c r="F4" s="156" t="inlineStr">
        <is>
          <t>Reserve-Sus</t>
        </is>
      </c>
    </row>
    <row r="5" ht="15.6" customHeight="1" s="152">
      <c r="A5" s="167">
        <f>B5&amp;C5</f>
        <v/>
      </c>
      <c r="B5" s="156" t="inlineStr">
        <is>
          <t>ATL</t>
        </is>
      </c>
      <c r="C5" s="156" t="inlineStr">
        <is>
          <t>Jamal Agnew</t>
        </is>
      </c>
      <c r="D5" s="156" t="inlineStr">
        <is>
          <t>WR</t>
        </is>
      </c>
      <c r="E5" s="156" t="inlineStr">
        <is>
          <t>Groin</t>
        </is>
      </c>
      <c r="F5" s="156" t="inlineStr">
        <is>
          <t>Questionable</t>
        </is>
      </c>
    </row>
    <row r="6" ht="15.6" customHeight="1" s="152">
      <c r="A6" s="167">
        <f>B6&amp;C6</f>
        <v/>
      </c>
      <c r="B6" s="156" t="inlineStr">
        <is>
          <t>IND</t>
        </is>
      </c>
      <c r="C6" s="156" t="inlineStr">
        <is>
          <t>Salvon Ahmed</t>
        </is>
      </c>
      <c r="D6" s="156" t="inlineStr">
        <is>
          <t>RB</t>
        </is>
      </c>
      <c r="E6" s="156" t="inlineStr">
        <is>
          <t>Ankle</t>
        </is>
      </c>
      <c r="F6" s="156" t="inlineStr">
        <is>
          <t>IR</t>
        </is>
      </c>
    </row>
    <row r="7" ht="15.6" customHeight="1" s="152">
      <c r="A7" s="167">
        <f>B7&amp;C7</f>
        <v/>
      </c>
      <c r="B7" s="156" t="inlineStr">
        <is>
          <t>SF</t>
        </is>
      </c>
      <c r="C7" s="156" t="inlineStr">
        <is>
          <t>Brandon Aiyuk</t>
        </is>
      </c>
      <c r="D7" s="156" t="inlineStr">
        <is>
          <t>WR</t>
        </is>
      </c>
      <c r="E7" s="156" t="inlineStr">
        <is>
          <t>Knee - ACL + MCL</t>
        </is>
      </c>
      <c r="F7" s="156" t="inlineStr">
        <is>
          <t>PUP-R</t>
        </is>
      </c>
    </row>
    <row r="8" ht="15.6" customHeight="1" s="152">
      <c r="A8" s="167">
        <f>B8&amp;C8</f>
        <v/>
      </c>
      <c r="B8" s="156" t="inlineStr">
        <is>
          <t>SF</t>
        </is>
      </c>
      <c r="C8" s="156" t="inlineStr">
        <is>
          <t>Isaac Alarcon</t>
        </is>
      </c>
      <c r="D8" s="156" t="inlineStr">
        <is>
          <t>OT</t>
        </is>
      </c>
      <c r="E8" s="156" t="inlineStr">
        <is>
          <t>Suspension</t>
        </is>
      </c>
      <c r="F8" s="156" t="inlineStr">
        <is>
          <t>Reserve-Sus</t>
        </is>
      </c>
    </row>
    <row r="9" ht="15.6" customHeight="1" s="152">
      <c r="A9" s="167">
        <f>B9&amp;C9</f>
        <v/>
      </c>
      <c r="B9" s="156" t="inlineStr">
        <is>
          <t>BAL</t>
        </is>
      </c>
      <c r="C9" s="156" t="inlineStr">
        <is>
          <t>Rasheen Ali</t>
        </is>
      </c>
      <c r="D9" s="156" t="inlineStr">
        <is>
          <t>RB</t>
        </is>
      </c>
      <c r="E9" s="156" t="inlineStr">
        <is>
          <t>Concussion</t>
        </is>
      </c>
      <c r="F9" s="156" t="inlineStr">
        <is>
          <t>Questionable</t>
        </is>
      </c>
    </row>
    <row r="10" ht="15.6" customHeight="1" s="152">
      <c r="A10" s="167">
        <f>B10&amp;C10</f>
        <v/>
      </c>
      <c r="B10" s="156" t="inlineStr">
        <is>
          <t>CIN</t>
        </is>
      </c>
      <c r="C10" s="156" t="inlineStr">
        <is>
          <t>Erick All</t>
        </is>
      </c>
      <c r="D10" s="156" t="inlineStr">
        <is>
          <t>TE</t>
        </is>
      </c>
      <c r="E10" s="156" t="inlineStr">
        <is>
          <t>Knee - ACL</t>
        </is>
      </c>
      <c r="F10" s="156" t="inlineStr">
        <is>
          <t>PUP-R</t>
        </is>
      </c>
    </row>
    <row r="11" ht="15.6" customHeight="1" s="152">
      <c r="A11" s="167">
        <f>B11&amp;C11</f>
        <v/>
      </c>
      <c r="B11" s="156" t="inlineStr">
        <is>
          <t>CHI</t>
        </is>
      </c>
      <c r="C11" s="156" t="inlineStr">
        <is>
          <t>Kiran Amegadjie</t>
        </is>
      </c>
      <c r="D11" s="156" t="inlineStr">
        <is>
          <t>OG</t>
        </is>
      </c>
      <c r="E11" s="156" t="inlineStr">
        <is>
          <t>Elbow</t>
        </is>
      </c>
      <c r="F11" s="156" t="inlineStr">
        <is>
          <t>Questionable</t>
        </is>
      </c>
    </row>
    <row r="12" ht="15.6" customHeight="1" s="152">
      <c r="A12" s="167">
        <f>B12&amp;C12</f>
        <v/>
      </c>
      <c r="B12" s="156" t="inlineStr">
        <is>
          <t>WAS</t>
        </is>
      </c>
      <c r="C12" s="156" t="inlineStr">
        <is>
          <t>Trey Amos</t>
        </is>
      </c>
      <c r="D12" s="156" t="inlineStr">
        <is>
          <t>CB</t>
        </is>
      </c>
      <c r="E12" s="156" t="inlineStr">
        <is>
          <t>Shoulder</t>
        </is>
      </c>
      <c r="F12" s="156" t="inlineStr">
        <is>
          <t>Questionable</t>
        </is>
      </c>
    </row>
    <row r="13" ht="15.6" customHeight="1" s="152">
      <c r="A13" s="167">
        <f>B13&amp;C13</f>
        <v/>
      </c>
      <c r="B13" s="156" t="inlineStr">
        <is>
          <t>FA</t>
        </is>
      </c>
      <c r="C13" s="156" t="inlineStr">
        <is>
          <t>Bradlee Anae</t>
        </is>
      </c>
      <c r="D13" s="156" t="inlineStr">
        <is>
          <t>DE</t>
        </is>
      </c>
      <c r="E13" s="156" t="inlineStr">
        <is>
          <t>Undisclosed</t>
        </is>
      </c>
      <c r="F13" s="156" t="inlineStr">
        <is>
          <t>Questionable</t>
        </is>
      </c>
    </row>
    <row r="14" ht="15.6" customHeight="1" s="152">
      <c r="A14" s="167">
        <f>B14&amp;C14</f>
        <v/>
      </c>
      <c r="B14" s="156" t="inlineStr">
        <is>
          <t>ATL</t>
        </is>
      </c>
      <c r="C14" s="156" t="inlineStr">
        <is>
          <t>Troy Andersen</t>
        </is>
      </c>
      <c r="D14" s="156" t="inlineStr">
        <is>
          <t>LB</t>
        </is>
      </c>
      <c r="E14" s="156" t="inlineStr">
        <is>
          <t>Knee</t>
        </is>
      </c>
      <c r="F14" s="156" t="inlineStr">
        <is>
          <t>PUP-R</t>
        </is>
      </c>
    </row>
    <row r="15" ht="15.6" customHeight="1" s="152">
      <c r="A15" s="167">
        <f>B15&amp;C15</f>
        <v/>
      </c>
      <c r="B15" s="156" t="inlineStr">
        <is>
          <t>HOU</t>
        </is>
      </c>
      <c r="C15" s="156" t="inlineStr">
        <is>
          <t>Jake Andrews</t>
        </is>
      </c>
      <c r="D15" s="156" t="inlineStr">
        <is>
          <t>C</t>
        </is>
      </c>
      <c r="E15" s="156" t="inlineStr">
        <is>
          <t>Ankle</t>
        </is>
      </c>
      <c r="F15" s="156" t="inlineStr">
        <is>
          <t>Questionable</t>
        </is>
      </c>
    </row>
    <row r="16" ht="15.6" customHeight="1" s="152">
      <c r="A16" s="167">
        <f>B16&amp;C16</f>
        <v/>
      </c>
      <c r="B16" s="156" t="inlineStr">
        <is>
          <t>CIN</t>
        </is>
      </c>
      <c r="C16" s="156" t="inlineStr">
        <is>
          <t>Daijahn Anthony</t>
        </is>
      </c>
      <c r="D16" s="156" t="inlineStr">
        <is>
          <t>S</t>
        </is>
      </c>
      <c r="E16" s="156" t="inlineStr">
        <is>
          <t>Hamstring</t>
        </is>
      </c>
      <c r="F16" s="156" t="inlineStr">
        <is>
          <t>IR-R</t>
        </is>
      </c>
    </row>
    <row r="17" ht="15.6" customHeight="1" s="152">
      <c r="A17" s="167">
        <f>B17&amp;C17</f>
        <v/>
      </c>
      <c r="B17" s="156" t="inlineStr">
        <is>
          <t>KC</t>
        </is>
      </c>
      <c r="C17" s="156" t="inlineStr">
        <is>
          <t>Felix Anudike-Uzomah</t>
        </is>
      </c>
      <c r="D17" s="156" t="inlineStr">
        <is>
          <t>DE</t>
        </is>
      </c>
      <c r="E17" s="156" t="inlineStr">
        <is>
          <t>Hamstring</t>
        </is>
      </c>
      <c r="F17" s="156" t="inlineStr">
        <is>
          <t>IR</t>
        </is>
      </c>
    </row>
    <row r="18" ht="15.6" customHeight="1" s="152">
      <c r="A18" s="167">
        <f>B18&amp;C18</f>
        <v/>
      </c>
      <c r="B18" s="156" t="inlineStr">
        <is>
          <t>FA</t>
        </is>
      </c>
      <c r="C18" s="156" t="inlineStr">
        <is>
          <t>Troy Apke</t>
        </is>
      </c>
      <c r="D18" s="156" t="inlineStr">
        <is>
          <t>CB</t>
        </is>
      </c>
      <c r="E18" s="156" t="inlineStr">
        <is>
          <t>Shoulder</t>
        </is>
      </c>
      <c r="F18" s="156" t="inlineStr">
        <is>
          <t>Questionable</t>
        </is>
      </c>
    </row>
    <row r="19" ht="15.6" customHeight="1" s="152">
      <c r="A19" s="167">
        <f>B19&amp;C19</f>
        <v/>
      </c>
      <c r="B19" s="156" t="inlineStr">
        <is>
          <t>MIA</t>
        </is>
      </c>
      <c r="C19" s="156" t="inlineStr">
        <is>
          <t>Terron Armstead</t>
        </is>
      </c>
      <c r="D19" s="156" t="inlineStr">
        <is>
          <t>OT</t>
        </is>
      </c>
      <c r="E19" s="156" t="inlineStr">
        <is>
          <t>Undisclosed</t>
        </is>
      </c>
      <c r="F19" s="156" t="inlineStr">
        <is>
          <t>Reserve-Ret</t>
        </is>
      </c>
    </row>
    <row r="20" ht="15.6" customHeight="1" s="152">
      <c r="A20" s="167">
        <f>B20&amp;C20</f>
        <v/>
      </c>
      <c r="B20" s="156" t="inlineStr">
        <is>
          <t>FA</t>
        </is>
      </c>
      <c r="C20" s="156" t="inlineStr">
        <is>
          <t>Grayland Arnold</t>
        </is>
      </c>
      <c r="D20" s="156" t="inlineStr">
        <is>
          <t>S</t>
        </is>
      </c>
      <c r="E20" s="156" t="inlineStr">
        <is>
          <t>Undisclosed</t>
        </is>
      </c>
      <c r="F20" s="156" t="inlineStr">
        <is>
          <t>Questionable</t>
        </is>
      </c>
    </row>
    <row r="21" ht="15.6" customHeight="1" s="152">
      <c r="A21" s="167">
        <f>B21&amp;C21</f>
        <v/>
      </c>
      <c r="B21" s="156" t="inlineStr">
        <is>
          <t>FA</t>
        </is>
      </c>
      <c r="C21" s="156" t="inlineStr">
        <is>
          <t>Eugene Asante</t>
        </is>
      </c>
      <c r="D21" s="156" t="inlineStr">
        <is>
          <t>LB</t>
        </is>
      </c>
      <c r="E21" s="156" t="inlineStr">
        <is>
          <t>Ankle</t>
        </is>
      </c>
      <c r="F21" s="156" t="inlineStr">
        <is>
          <t>Questionable</t>
        </is>
      </c>
    </row>
    <row r="22" ht="15.6" customHeight="1" s="152">
      <c r="A22" s="167">
        <f>B22&amp;C22</f>
        <v/>
      </c>
      <c r="B22" s="156" t="inlineStr">
        <is>
          <t>FA</t>
        </is>
      </c>
      <c r="C22" s="156" t="inlineStr">
        <is>
          <t>Jaytlin Askew</t>
        </is>
      </c>
      <c r="D22" s="156" t="inlineStr">
        <is>
          <t>CB</t>
        </is>
      </c>
      <c r="E22" s="156" t="inlineStr">
        <is>
          <t>Quadriceps</t>
        </is>
      </c>
      <c r="F22" s="156" t="inlineStr">
        <is>
          <t>Questionable</t>
        </is>
      </c>
    </row>
    <row r="23" ht="15.6" customHeight="1" s="152">
      <c r="A23" s="167">
        <f>B23&amp;C23</f>
        <v/>
      </c>
      <c r="B23" s="156" t="inlineStr">
        <is>
          <t>CAR</t>
        </is>
      </c>
      <c r="C23" s="156" t="inlineStr">
        <is>
          <t>Popo Aumavae</t>
        </is>
      </c>
      <c r="D23" s="156" t="inlineStr">
        <is>
          <t>DT</t>
        </is>
      </c>
      <c r="E23" s="156" t="inlineStr">
        <is>
          <t>Achilles</t>
        </is>
      </c>
      <c r="F23" s="156" t="inlineStr">
        <is>
          <t>IR</t>
        </is>
      </c>
    </row>
    <row r="24" ht="15.6" customHeight="1" s="152">
      <c r="A24" s="167">
        <f>B24&amp;C24</f>
        <v/>
      </c>
      <c r="B24" s="156" t="inlineStr">
        <is>
          <t>HOU</t>
        </is>
      </c>
      <c r="C24" s="156" t="inlineStr">
        <is>
          <t>Denico Autry</t>
        </is>
      </c>
      <c r="D24" s="156" t="inlineStr">
        <is>
          <t>DT</t>
        </is>
      </c>
      <c r="E24" s="156" t="inlineStr">
        <is>
          <t>Knee</t>
        </is>
      </c>
      <c r="F24" s="156" t="inlineStr">
        <is>
          <t>PUP-R</t>
        </is>
      </c>
    </row>
    <row r="25" ht="15.6" customHeight="1" s="152">
      <c r="A25" s="167">
        <f>B25&amp;C25</f>
        <v/>
      </c>
      <c r="B25" s="156" t="inlineStr">
        <is>
          <t>FA</t>
        </is>
      </c>
      <c r="C25" s="156" t="inlineStr">
        <is>
          <t>C. J. Avery</t>
        </is>
      </c>
      <c r="D25" s="156" t="inlineStr">
        <is>
          <t>LB</t>
        </is>
      </c>
      <c r="E25" s="156" t="inlineStr">
        <is>
          <t>Undisclosed</t>
        </is>
      </c>
      <c r="F25" s="156" t="inlineStr">
        <is>
          <t>Questionable</t>
        </is>
      </c>
    </row>
    <row r="26" ht="15.6" customHeight="1" s="152">
      <c r="A26" s="167">
        <f>B26&amp;C26</f>
        <v/>
      </c>
      <c r="B26" s="156" t="inlineStr">
        <is>
          <t>LAR</t>
        </is>
      </c>
      <c r="C26" s="156" t="inlineStr">
        <is>
          <t>Steve Avila</t>
        </is>
      </c>
      <c r="D26" s="156" t="inlineStr">
        <is>
          <t>OG</t>
        </is>
      </c>
      <c r="E26" s="156" t="inlineStr">
        <is>
          <t>Ankle</t>
        </is>
      </c>
      <c r="F26" s="156" t="inlineStr">
        <is>
          <t>Questionable</t>
        </is>
      </c>
    </row>
    <row r="27" ht="15.6" customHeight="1" s="152">
      <c r="A27" s="167">
        <f>B27&amp;C27</f>
        <v/>
      </c>
      <c r="B27" s="156" t="inlineStr">
        <is>
          <t>FA</t>
        </is>
      </c>
      <c r="C27" s="156" t="inlineStr">
        <is>
          <t>David Bada</t>
        </is>
      </c>
      <c r="D27" s="156" t="inlineStr">
        <is>
          <t>DT</t>
        </is>
      </c>
      <c r="E27" s="156" t="inlineStr">
        <is>
          <t>Achilles</t>
        </is>
      </c>
      <c r="F27" s="156" t="inlineStr">
        <is>
          <t>Questionable</t>
        </is>
      </c>
    </row>
    <row r="28" ht="15.6" customHeight="1" s="152">
      <c r="A28" s="167">
        <f>B28&amp;C28</f>
        <v/>
      </c>
      <c r="B28" s="156" t="inlineStr">
        <is>
          <t>FA</t>
        </is>
      </c>
      <c r="C28" s="156" t="inlineStr">
        <is>
          <t>Rushawn Baker</t>
        </is>
      </c>
      <c r="D28" s="156" t="inlineStr">
        <is>
          <t>RB</t>
        </is>
      </c>
      <c r="E28" s="156" t="inlineStr">
        <is>
          <t>Knee</t>
        </is>
      </c>
      <c r="F28" s="156" t="inlineStr">
        <is>
          <t>Questionable</t>
        </is>
      </c>
    </row>
    <row r="29" ht="15.6" customHeight="1" s="152">
      <c r="A29" s="167">
        <f>B29&amp;C29</f>
        <v/>
      </c>
      <c r="B29" s="156" t="inlineStr">
        <is>
          <t>FA</t>
        </is>
      </c>
      <c r="C29" s="156" t="inlineStr">
        <is>
          <t>David Bakhtiari</t>
        </is>
      </c>
      <c r="D29" s="156" t="inlineStr">
        <is>
          <t>OT</t>
        </is>
      </c>
      <c r="E29" s="156" t="inlineStr">
        <is>
          <t>Knee</t>
        </is>
      </c>
      <c r="F29" s="156" t="inlineStr">
        <is>
          <t>Questionable</t>
        </is>
      </c>
    </row>
    <row r="30" ht="15.6" customHeight="1" s="152">
      <c r="A30" s="167">
        <f>B30&amp;C30</f>
        <v/>
      </c>
      <c r="B30" s="156" t="inlineStr">
        <is>
          <t>GB</t>
        </is>
      </c>
      <c r="C30" s="156" t="inlineStr">
        <is>
          <t>Aaron Banks</t>
        </is>
      </c>
      <c r="D30" s="156" t="inlineStr">
        <is>
          <t>OG</t>
        </is>
      </c>
      <c r="E30" s="156" t="inlineStr">
        <is>
          <t>Ankle</t>
        </is>
      </c>
      <c r="F30" s="156" t="inlineStr">
        <is>
          <t>Questionable</t>
        </is>
      </c>
    </row>
    <row r="31" ht="15.6" customHeight="1" s="152">
      <c r="A31" s="167">
        <f>B31&amp;C31</f>
        <v/>
      </c>
      <c r="B31" s="156" t="inlineStr">
        <is>
          <t>FA</t>
        </is>
      </c>
      <c r="C31" s="156" t="inlineStr">
        <is>
          <t>Marcus Banks</t>
        </is>
      </c>
      <c r="D31" s="156" t="inlineStr">
        <is>
          <t>S</t>
        </is>
      </c>
      <c r="E31" s="156" t="inlineStr">
        <is>
          <t>Undisclosed</t>
        </is>
      </c>
      <c r="F31" s="156" t="inlineStr">
        <is>
          <t>Questionable</t>
        </is>
      </c>
    </row>
    <row r="32" ht="15.6" customHeight="1" s="152">
      <c r="A32" s="167">
        <f>B32&amp;C32</f>
        <v/>
      </c>
      <c r="B32" s="156" t="inlineStr">
        <is>
          <t>FA</t>
        </is>
      </c>
      <c r="C32" s="156" t="inlineStr">
        <is>
          <t>Amare Barno</t>
        </is>
      </c>
      <c r="D32" s="156" t="inlineStr">
        <is>
          <t>LB</t>
        </is>
      </c>
      <c r="E32" s="156" t="inlineStr">
        <is>
          <t>Knee</t>
        </is>
      </c>
      <c r="F32" s="156" t="inlineStr">
        <is>
          <t>Questionable</t>
        </is>
      </c>
    </row>
    <row r="33" ht="15.6" customHeight="1" s="152">
      <c r="A33" s="167">
        <f>B33&amp;C33</f>
        <v/>
      </c>
      <c r="B33" s="156" t="inlineStr">
        <is>
          <t>SF</t>
        </is>
      </c>
      <c r="C33" s="156" t="inlineStr">
        <is>
          <t>Ben Bartch</t>
        </is>
      </c>
      <c r="D33" s="156" t="inlineStr">
        <is>
          <t>OG</t>
        </is>
      </c>
      <c r="E33" s="156" t="inlineStr">
        <is>
          <t>Ankle</t>
        </is>
      </c>
      <c r="F33" s="156" t="inlineStr">
        <is>
          <t>IR</t>
        </is>
      </c>
    </row>
    <row r="34" ht="15.6" customHeight="1" s="152">
      <c r="A34" s="167">
        <f>B34&amp;C34</f>
        <v/>
      </c>
      <c r="B34" s="156" t="inlineStr">
        <is>
          <t>MIN</t>
        </is>
      </c>
      <c r="C34" s="156" t="inlineStr">
        <is>
          <t>Gavin Bartholomew</t>
        </is>
      </c>
      <c r="D34" s="156" t="inlineStr">
        <is>
          <t>TE</t>
        </is>
      </c>
      <c r="E34" s="156" t="inlineStr">
        <is>
          <t>Back</t>
        </is>
      </c>
      <c r="F34" s="156" t="inlineStr">
        <is>
          <t>PUP-R</t>
        </is>
      </c>
    </row>
    <row r="35" ht="15.6" customHeight="1" s="152">
      <c r="A35" s="167">
        <f>B35&amp;C35</f>
        <v/>
      </c>
      <c r="B35" s="156" t="inlineStr">
        <is>
          <t>BUF</t>
        </is>
      </c>
      <c r="C35" s="156" t="inlineStr">
        <is>
          <t>Tyler Bass</t>
        </is>
      </c>
      <c r="D35" s="156" t="inlineStr">
        <is>
          <t>K</t>
        </is>
      </c>
      <c r="E35" s="156" t="inlineStr">
        <is>
          <t>Hip</t>
        </is>
      </c>
      <c r="F35" s="156" t="inlineStr">
        <is>
          <t>IR</t>
        </is>
      </c>
    </row>
    <row r="36" ht="15.6" customHeight="1" s="152">
      <c r="A36" s="167">
        <f>B36&amp;C36</f>
        <v/>
      </c>
      <c r="B36" s="156" t="inlineStr">
        <is>
          <t>WAS</t>
        </is>
      </c>
      <c r="C36" s="156" t="inlineStr">
        <is>
          <t>John Bates</t>
        </is>
      </c>
      <c r="D36" s="156" t="inlineStr">
        <is>
          <t>TE</t>
        </is>
      </c>
      <c r="E36" s="156" t="inlineStr">
        <is>
          <t>Groin</t>
        </is>
      </c>
      <c r="F36" s="156" t="inlineStr">
        <is>
          <t>Questionable</t>
        </is>
      </c>
    </row>
    <row r="37" ht="15.6" customHeight="1" s="152">
      <c r="A37" s="167">
        <f>B37&amp;C37</f>
        <v/>
      </c>
      <c r="B37" s="156" t="inlineStr">
        <is>
          <t>MIN</t>
        </is>
      </c>
      <c r="C37" s="156" t="inlineStr">
        <is>
          <t>Tyler Batty</t>
        </is>
      </c>
      <c r="D37" s="156" t="inlineStr">
        <is>
          <t>DE</t>
        </is>
      </c>
      <c r="E37" s="156" t="inlineStr">
        <is>
          <t>Knee</t>
        </is>
      </c>
      <c r="F37" s="156" t="inlineStr">
        <is>
          <t>IR-R</t>
        </is>
      </c>
    </row>
    <row r="38" ht="15.6" customHeight="1" s="152">
      <c r="A38" s="167">
        <f>B38&amp;C38</f>
        <v/>
      </c>
      <c r="B38" s="156" t="inlineStr">
        <is>
          <t>FA</t>
        </is>
      </c>
      <c r="C38" s="156" t="inlineStr">
        <is>
          <t>Bo Bauer</t>
        </is>
      </c>
      <c r="D38" s="156" t="inlineStr">
        <is>
          <t>LB</t>
        </is>
      </c>
      <c r="E38" s="156" t="inlineStr">
        <is>
          <t>Leg</t>
        </is>
      </c>
      <c r="F38" s="156" t="inlineStr">
        <is>
          <t>Questionable</t>
        </is>
      </c>
    </row>
    <row r="39" ht="15.6" customHeight="1" s="152">
      <c r="A39" s="167">
        <f>B39&amp;C39</f>
        <v/>
      </c>
      <c r="B39" s="156" t="inlineStr">
        <is>
          <t>FA</t>
        </is>
      </c>
      <c r="C39" s="156" t="inlineStr">
        <is>
          <t>Evan Baylis</t>
        </is>
      </c>
      <c r="D39" s="156" t="inlineStr">
        <is>
          <t>TE</t>
        </is>
      </c>
      <c r="E39" s="156" t="inlineStr">
        <is>
          <t>Ankle</t>
        </is>
      </c>
      <c r="F39" s="156" t="inlineStr">
        <is>
          <t>Questionable</t>
        </is>
      </c>
    </row>
    <row r="40" ht="15.6" customHeight="1" s="152">
      <c r="A40" s="167">
        <f>B40&amp;C40</f>
        <v/>
      </c>
      <c r="B40" s="156" t="inlineStr">
        <is>
          <t>FA</t>
        </is>
      </c>
      <c r="C40" s="156" t="inlineStr">
        <is>
          <t>Nate Becker</t>
        </is>
      </c>
      <c r="D40" s="156" t="inlineStr">
        <is>
          <t>TE</t>
        </is>
      </c>
      <c r="E40" s="156" t="inlineStr">
        <is>
          <t>Undisclosed</t>
        </is>
      </c>
      <c r="F40" s="156" t="inlineStr">
        <is>
          <t>Questionable</t>
        </is>
      </c>
    </row>
    <row r="41" ht="15.6" customHeight="1" s="152">
      <c r="A41" s="167">
        <f>B41&amp;C41</f>
        <v/>
      </c>
      <c r="B41" s="156" t="inlineStr">
        <is>
          <t>DAL</t>
        </is>
      </c>
      <c r="C41" s="156" t="inlineStr">
        <is>
          <t>Cooper Beebe</t>
        </is>
      </c>
      <c r="D41" s="156" t="inlineStr">
        <is>
          <t>C</t>
        </is>
      </c>
      <c r="E41" s="156" t="inlineStr">
        <is>
          <t>Ankle</t>
        </is>
      </c>
      <c r="F41" s="156" t="inlineStr">
        <is>
          <t>IR</t>
        </is>
      </c>
    </row>
    <row r="42" ht="15.6" customHeight="1" s="152">
      <c r="A42" s="167">
        <f>B42&amp;C42</f>
        <v/>
      </c>
      <c r="B42" s="156" t="inlineStr">
        <is>
          <t>CLE</t>
        </is>
      </c>
      <c r="C42" s="156" t="inlineStr">
        <is>
          <t>David Bell</t>
        </is>
      </c>
      <c r="D42" s="156" t="inlineStr">
        <is>
          <t>WR</t>
        </is>
      </c>
      <c r="E42" s="156" t="inlineStr">
        <is>
          <t>Hip</t>
        </is>
      </c>
      <c r="F42" s="156" t="inlineStr">
        <is>
          <t>NFI-R</t>
        </is>
      </c>
    </row>
    <row r="43" ht="15.6" customHeight="1" s="152">
      <c r="A43" s="167">
        <f>B43&amp;C43</f>
        <v/>
      </c>
      <c r="B43" s="156" t="inlineStr">
        <is>
          <t>FA</t>
        </is>
      </c>
      <c r="C43" s="156" t="inlineStr">
        <is>
          <t>B.J. Bello</t>
        </is>
      </c>
      <c r="D43" s="156" t="inlineStr">
        <is>
          <t>LB</t>
        </is>
      </c>
      <c r="E43" s="156" t="inlineStr">
        <is>
          <t>Ankle</t>
        </is>
      </c>
      <c r="F43" s="156" t="inlineStr">
        <is>
          <t>Questionable</t>
        </is>
      </c>
    </row>
    <row r="44" ht="15.6" customHeight="1" s="152">
      <c r="A44" s="167">
        <f>B44&amp;C44</f>
        <v/>
      </c>
      <c r="B44" s="156" t="inlineStr">
        <is>
          <t>HOU</t>
        </is>
      </c>
      <c r="C44" s="156" t="inlineStr">
        <is>
          <t>Braxton Berrios</t>
        </is>
      </c>
      <c r="D44" s="156" t="inlineStr">
        <is>
          <t>WR</t>
        </is>
      </c>
      <c r="E44" s="156" t="inlineStr">
        <is>
          <t>Hamstring</t>
        </is>
      </c>
      <c r="F44" s="156" t="inlineStr">
        <is>
          <t>Questionable</t>
        </is>
      </c>
    </row>
    <row r="45" ht="15.6" customHeight="1" s="152">
      <c r="A45" s="167">
        <f>B45&amp;C45</f>
        <v/>
      </c>
      <c r="B45" s="156" t="inlineStr">
        <is>
          <t>CLE</t>
        </is>
      </c>
      <c r="C45" s="156" t="inlineStr">
        <is>
          <t>Joel Bitonio</t>
        </is>
      </c>
      <c r="D45" s="156" t="inlineStr">
        <is>
          <t>OG</t>
        </is>
      </c>
      <c r="E45" s="156" t="inlineStr">
        <is>
          <t>Back</t>
        </is>
      </c>
      <c r="F45" s="156" t="inlineStr">
        <is>
          <t>Questionable</t>
        </is>
      </c>
    </row>
    <row r="46" ht="15.6" customHeight="1" s="152">
      <c r="A46" s="167">
        <f>B46&amp;C46</f>
        <v/>
      </c>
      <c r="B46" s="156" t="inlineStr">
        <is>
          <t>NO</t>
        </is>
      </c>
      <c r="C46" s="156" t="inlineStr">
        <is>
          <t>Julian Blackmon</t>
        </is>
      </c>
      <c r="D46" s="156" t="inlineStr">
        <is>
          <t>S</t>
        </is>
      </c>
      <c r="E46" s="156" t="inlineStr">
        <is>
          <t>Shoulder - Labrum</t>
        </is>
      </c>
      <c r="F46" s="156" t="inlineStr">
        <is>
          <t>IR</t>
        </is>
      </c>
    </row>
    <row r="47" ht="15.6" customHeight="1" s="152">
      <c r="A47" s="167">
        <f>B47&amp;C47</f>
        <v/>
      </c>
      <c r="B47" s="156" t="inlineStr">
        <is>
          <t>FA</t>
        </is>
      </c>
      <c r="C47" s="156" t="inlineStr">
        <is>
          <t>Angelo Blackson</t>
        </is>
      </c>
      <c r="D47" s="156" t="inlineStr">
        <is>
          <t>DE</t>
        </is>
      </c>
      <c r="E47" s="156" t="inlineStr">
        <is>
          <t>Undisclosed</t>
        </is>
      </c>
      <c r="F47" s="156" t="inlineStr">
        <is>
          <t>Out</t>
        </is>
      </c>
    </row>
    <row r="48" ht="15.6" customHeight="1" s="152">
      <c r="A48" s="167">
        <f>B48&amp;C48</f>
        <v/>
      </c>
      <c r="B48" s="156" t="inlineStr">
        <is>
          <t>DAL</t>
        </is>
      </c>
      <c r="C48" s="156" t="inlineStr">
        <is>
          <t>DaRon Bland</t>
        </is>
      </c>
      <c r="D48" s="156" t="inlineStr">
        <is>
          <t>CB</t>
        </is>
      </c>
      <c r="E48" s="156" t="inlineStr">
        <is>
          <t>Foot</t>
        </is>
      </c>
      <c r="F48" s="156" t="inlineStr">
        <is>
          <t>Questionable</t>
        </is>
      </c>
    </row>
    <row r="49" ht="15.6" customHeight="1" s="152">
      <c r="A49" s="167">
        <f>B49&amp;C49</f>
        <v/>
      </c>
      <c r="B49" s="156" t="inlineStr">
        <is>
          <t>ARI</t>
        </is>
      </c>
      <c r="C49" s="156" t="inlineStr">
        <is>
          <t>Joey Blount</t>
        </is>
      </c>
      <c r="D49" s="156" t="inlineStr">
        <is>
          <t>S</t>
        </is>
      </c>
      <c r="E49" s="156" t="inlineStr">
        <is>
          <t>Neck</t>
        </is>
      </c>
      <c r="F49" s="156" t="inlineStr">
        <is>
          <t>IR</t>
        </is>
      </c>
    </row>
    <row r="50" ht="15.6" customHeight="1" s="152">
      <c r="A50" s="167">
        <f>B50&amp;C50</f>
        <v/>
      </c>
      <c r="B50" s="156" t="inlineStr">
        <is>
          <t>FA</t>
        </is>
      </c>
      <c r="C50" s="156" t="inlineStr">
        <is>
          <t>C.J. Board</t>
        </is>
      </c>
      <c r="D50" s="156" t="inlineStr">
        <is>
          <t>WR</t>
        </is>
      </c>
      <c r="E50" s="156" t="inlineStr">
        <is>
          <t>Ribs</t>
        </is>
      </c>
      <c r="F50" s="156" t="inlineStr">
        <is>
          <t>Questionable</t>
        </is>
      </c>
    </row>
    <row r="51" ht="15.6" customHeight="1" s="152">
      <c r="A51" s="167">
        <f>B51&amp;C51</f>
        <v/>
      </c>
      <c r="B51" s="156" t="inlineStr">
        <is>
          <t>NYG</t>
        </is>
      </c>
      <c r="C51" s="156" t="inlineStr">
        <is>
          <t>Chris Board</t>
        </is>
      </c>
      <c r="D51" s="156" t="inlineStr">
        <is>
          <t>LB</t>
        </is>
      </c>
      <c r="E51" s="156" t="inlineStr">
        <is>
          <t>Chest</t>
        </is>
      </c>
      <c r="F51" s="156" t="inlineStr">
        <is>
          <t>IR</t>
        </is>
      </c>
    </row>
    <row r="52" ht="15.6" customHeight="1" s="152">
      <c r="A52" s="167">
        <f>B52&amp;C52</f>
        <v/>
      </c>
      <c r="B52" s="156" t="inlineStr">
        <is>
          <t>CLE</t>
        </is>
      </c>
      <c r="C52" s="156" t="inlineStr">
        <is>
          <t>Corey Bojorquez</t>
        </is>
      </c>
      <c r="D52" s="156" t="inlineStr">
        <is>
          <t>P</t>
        </is>
      </c>
      <c r="E52" s="156" t="inlineStr">
        <is>
          <t>Ankle</t>
        </is>
      </c>
      <c r="F52" s="156" t="inlineStr">
        <is>
          <t>Questionable</t>
        </is>
      </c>
    </row>
    <row r="53" ht="15.6" customHeight="1" s="152">
      <c r="A53" s="167">
        <f>B53&amp;C53</f>
        <v/>
      </c>
      <c r="B53" s="156" t="inlineStr">
        <is>
          <t>FA</t>
        </is>
      </c>
      <c r="C53" s="156" t="inlineStr">
        <is>
          <t>Devante Bond</t>
        </is>
      </c>
      <c r="D53" s="156" t="inlineStr">
        <is>
          <t>LB</t>
        </is>
      </c>
      <c r="E53" s="156" t="inlineStr">
        <is>
          <t>Knee</t>
        </is>
      </c>
      <c r="F53" s="156" t="inlineStr">
        <is>
          <t>Questionable</t>
        </is>
      </c>
    </row>
    <row r="54" ht="15.6" customHeight="1" s="152">
      <c r="A54" s="167">
        <f>B54&amp;C54</f>
        <v/>
      </c>
      <c r="B54" s="156" t="inlineStr">
        <is>
          <t>CHI</t>
        </is>
      </c>
      <c r="C54" s="156" t="inlineStr">
        <is>
          <t>Austin Booker</t>
        </is>
      </c>
      <c r="D54" s="156" t="inlineStr">
        <is>
          <t>DE</t>
        </is>
      </c>
      <c r="E54" s="156" t="inlineStr">
        <is>
          <t>Knee</t>
        </is>
      </c>
      <c r="F54" s="156" t="inlineStr">
        <is>
          <t>IR</t>
        </is>
      </c>
    </row>
    <row r="55" ht="15.6" customHeight="1" s="152">
      <c r="A55" s="167">
        <f>B55&amp;C55</f>
        <v/>
      </c>
      <c r="B55" s="156" t="inlineStr">
        <is>
          <t>FA</t>
        </is>
      </c>
      <c r="C55" s="156" t="inlineStr">
        <is>
          <t>Dicaprio Bootle</t>
        </is>
      </c>
      <c r="D55" s="156" t="inlineStr">
        <is>
          <t>CB</t>
        </is>
      </c>
      <c r="E55" s="156" t="inlineStr">
        <is>
          <t>Undisclosed</t>
        </is>
      </c>
      <c r="F55" s="156" t="inlineStr">
        <is>
          <t>Questionable</t>
        </is>
      </c>
    </row>
    <row r="56" ht="15.6" customHeight="1" s="152">
      <c r="A56" s="167">
        <f>B56&amp;C56</f>
        <v/>
      </c>
      <c r="B56" s="156" t="inlineStr">
        <is>
          <t>FA</t>
        </is>
      </c>
      <c r="C56" s="156" t="inlineStr">
        <is>
          <t>Brandon Bouyer-Randle</t>
        </is>
      </c>
      <c r="D56" s="156" t="inlineStr">
        <is>
          <t>LB</t>
        </is>
      </c>
      <c r="E56" s="156" t="inlineStr">
        <is>
          <t>Undisclosed</t>
        </is>
      </c>
      <c r="F56" s="156" t="inlineStr">
        <is>
          <t>Questionable</t>
        </is>
      </c>
    </row>
    <row r="57" ht="15.6" customHeight="1" s="152">
      <c r="A57" s="167">
        <f>B57&amp;C57</f>
        <v/>
      </c>
      <c r="B57" s="156" t="inlineStr">
        <is>
          <t>LV</t>
        </is>
      </c>
      <c r="C57" s="156" t="inlineStr">
        <is>
          <t>Brock Bowers</t>
        </is>
      </c>
      <c r="D57" s="156" t="inlineStr">
        <is>
          <t>TE</t>
        </is>
      </c>
      <c r="E57" s="156" t="inlineStr">
        <is>
          <t>Knee</t>
        </is>
      </c>
      <c r="F57" s="156" t="inlineStr">
        <is>
          <t>Questionable</t>
        </is>
      </c>
    </row>
    <row r="58" ht="15.6" customHeight="1" s="152">
      <c r="A58" s="167">
        <f>B58&amp;C58</f>
        <v/>
      </c>
      <c r="B58" s="156" t="inlineStr">
        <is>
          <t>FA</t>
        </is>
      </c>
      <c r="C58" s="156" t="inlineStr">
        <is>
          <t>Tyus Bowser</t>
        </is>
      </c>
      <c r="D58" s="156" t="inlineStr">
        <is>
          <t>LB</t>
        </is>
      </c>
      <c r="E58" s="156" t="inlineStr">
        <is>
          <t>Knee</t>
        </is>
      </c>
      <c r="F58" s="156" t="inlineStr">
        <is>
          <t>Questionable</t>
        </is>
      </c>
    </row>
    <row r="59" ht="15.6" customHeight="1" s="152">
      <c r="A59" s="167">
        <f>B59&amp;C59</f>
        <v/>
      </c>
      <c r="B59" s="156" t="inlineStr">
        <is>
          <t>NYJ</t>
        </is>
      </c>
      <c r="C59" s="156" t="inlineStr">
        <is>
          <t>Kris Boyd</t>
        </is>
      </c>
      <c r="D59" s="156" t="inlineStr">
        <is>
          <t>CB</t>
        </is>
      </c>
      <c r="E59" s="156" t="inlineStr">
        <is>
          <t>Shoulder</t>
        </is>
      </c>
      <c r="F59" s="156" t="inlineStr">
        <is>
          <t>IR</t>
        </is>
      </c>
    </row>
    <row r="60" ht="15.6" customHeight="1" s="152">
      <c r="A60" s="167">
        <f>B60&amp;C60</f>
        <v/>
      </c>
      <c r="B60" s="156" t="inlineStr">
        <is>
          <t>FA</t>
        </is>
      </c>
      <c r="C60" s="156" t="inlineStr">
        <is>
          <t>Carter Bradley</t>
        </is>
      </c>
      <c r="D60" s="156" t="inlineStr">
        <is>
          <t>QB</t>
        </is>
      </c>
      <c r="E60" s="156" t="inlineStr">
        <is>
          <t>Undisclosed</t>
        </is>
      </c>
      <c r="F60" s="156" t="inlineStr">
        <is>
          <t>Questionable</t>
        </is>
      </c>
    </row>
    <row r="61" ht="15.6" customHeight="1" s="152">
      <c r="A61" s="167">
        <f>B61&amp;C61</f>
        <v/>
      </c>
      <c r="B61" s="156" t="inlineStr">
        <is>
          <t>KC</t>
        </is>
      </c>
      <c r="C61" s="156" t="inlineStr">
        <is>
          <t>Jake Briningstool</t>
        </is>
      </c>
      <c r="D61" s="156" t="inlineStr">
        <is>
          <t>TE</t>
        </is>
      </c>
      <c r="E61" s="156" t="inlineStr">
        <is>
          <t>Hamstring</t>
        </is>
      </c>
      <c r="F61" s="156" t="inlineStr">
        <is>
          <t>IR-R</t>
        </is>
      </c>
    </row>
    <row r="62" ht="15.6" customHeight="1" s="152">
      <c r="A62" s="167">
        <f>B62&amp;C62</f>
        <v/>
      </c>
      <c r="B62" s="156" t="inlineStr">
        <is>
          <t>FA</t>
        </is>
      </c>
      <c r="C62" s="156" t="inlineStr">
        <is>
          <t>Beau Brinkley</t>
        </is>
      </c>
      <c r="D62" s="156" t="inlineStr">
        <is>
          <t>C</t>
        </is>
      </c>
      <c r="E62" s="156" t="inlineStr">
        <is>
          <t>Undisclosed</t>
        </is>
      </c>
      <c r="F62" s="156" t="inlineStr">
        <is>
          <t>Questionable</t>
        </is>
      </c>
    </row>
    <row r="63" ht="15.6" customHeight="1" s="152">
      <c r="A63" s="167">
        <f>B63&amp;C63</f>
        <v/>
      </c>
      <c r="B63" s="156" t="inlineStr">
        <is>
          <t>CAR</t>
        </is>
      </c>
      <c r="C63" s="156" t="inlineStr">
        <is>
          <t>Jonathon Brooks</t>
        </is>
      </c>
      <c r="D63" s="156" t="inlineStr">
        <is>
          <t>RB</t>
        </is>
      </c>
      <c r="E63" s="156" t="inlineStr">
        <is>
          <t>Knee - ACL</t>
        </is>
      </c>
      <c r="F63" s="156" t="inlineStr">
        <is>
          <t>PUP-R</t>
        </is>
      </c>
    </row>
    <row r="64" ht="15.6" customHeight="1" s="152">
      <c r="A64" s="167">
        <f>B64&amp;C64</f>
        <v/>
      </c>
      <c r="B64" s="156" t="inlineStr">
        <is>
          <t>NO</t>
        </is>
      </c>
      <c r="C64" s="156" t="inlineStr">
        <is>
          <t>Vernon Broughton</t>
        </is>
      </c>
      <c r="D64" s="156" t="inlineStr">
        <is>
          <t>DT</t>
        </is>
      </c>
      <c r="E64" s="156" t="inlineStr">
        <is>
          <t>Hip</t>
        </is>
      </c>
      <c r="F64" s="156" t="inlineStr">
        <is>
          <t>IR</t>
        </is>
      </c>
    </row>
    <row r="65" ht="15.6" customHeight="1" s="152">
      <c r="A65" s="167">
        <f>B65&amp;C65</f>
        <v/>
      </c>
      <c r="B65" s="156" t="inlineStr">
        <is>
          <t>FA</t>
        </is>
      </c>
      <c r="C65" s="156" t="inlineStr">
        <is>
          <t>Anthony Brown</t>
        </is>
      </c>
      <c r="D65" s="156" t="inlineStr">
        <is>
          <t>CB</t>
        </is>
      </c>
      <c r="E65" s="156" t="inlineStr">
        <is>
          <t>Thumb</t>
        </is>
      </c>
      <c r="F65" s="156" t="inlineStr">
        <is>
          <t>Questionable</t>
        </is>
      </c>
    </row>
    <row r="66" ht="15.6" customHeight="1" s="152">
      <c r="A66" s="167">
        <f>B66&amp;C66</f>
        <v/>
      </c>
      <c r="B66" s="156" t="inlineStr">
        <is>
          <t>FA</t>
        </is>
      </c>
      <c r="C66" s="156" t="inlineStr">
        <is>
          <t>Daniel Brown</t>
        </is>
      </c>
      <c r="D66" s="156" t="inlineStr">
        <is>
          <t>TE</t>
        </is>
      </c>
      <c r="E66" s="156" t="inlineStr">
        <is>
          <t>Hip</t>
        </is>
      </c>
      <c r="F66" s="156" t="inlineStr">
        <is>
          <t>Questionable</t>
        </is>
      </c>
    </row>
    <row r="67" ht="15.6" customHeight="1" s="152">
      <c r="A67" s="167">
        <f>B67&amp;C67</f>
        <v/>
      </c>
      <c r="B67" s="156" t="inlineStr">
        <is>
          <t>FA</t>
        </is>
      </c>
      <c r="C67" s="156" t="inlineStr">
        <is>
          <t>Duane Brown</t>
        </is>
      </c>
      <c r="D67" s="156" t="inlineStr">
        <is>
          <t>OT</t>
        </is>
      </c>
      <c r="E67" s="156" t="inlineStr">
        <is>
          <t>Back</t>
        </is>
      </c>
      <c r="F67" s="156" t="inlineStr">
        <is>
          <t>Questionable</t>
        </is>
      </c>
    </row>
    <row r="68" ht="15.6" customHeight="1" s="152">
      <c r="A68" s="167">
        <f>B68&amp;C68</f>
        <v/>
      </c>
      <c r="B68" s="156" t="inlineStr">
        <is>
          <t>FA</t>
        </is>
      </c>
      <c r="C68" s="156" t="inlineStr">
        <is>
          <t>Jayon Brown</t>
        </is>
      </c>
      <c r="D68" s="156" t="inlineStr">
        <is>
          <t>LB</t>
        </is>
      </c>
      <c r="E68" s="156" t="inlineStr">
        <is>
          <t>Hand</t>
        </is>
      </c>
      <c r="F68" s="156" t="inlineStr">
        <is>
          <t>Questionable</t>
        </is>
      </c>
    </row>
    <row r="69" ht="15.6" customHeight="1" s="152">
      <c r="A69" s="167">
        <f>B69&amp;C69</f>
        <v/>
      </c>
      <c r="B69" s="156" t="inlineStr">
        <is>
          <t>FA</t>
        </is>
      </c>
      <c r="C69" s="156" t="inlineStr">
        <is>
          <t>Mike Brown</t>
        </is>
      </c>
      <c r="D69" s="156" t="inlineStr">
        <is>
          <t>OG</t>
        </is>
      </c>
      <c r="E69" s="156" t="inlineStr">
        <is>
          <t>Undisclosed</t>
        </is>
      </c>
      <c r="F69" s="156" t="inlineStr">
        <is>
          <t>Questionable</t>
        </is>
      </c>
    </row>
    <row r="70" ht="15.6" customHeight="1" s="152">
      <c r="A70" s="167">
        <f>B70&amp;C70</f>
        <v/>
      </c>
      <c r="B70" s="156" t="inlineStr">
        <is>
          <t>JAX</t>
        </is>
      </c>
      <c r="C70" s="156" t="inlineStr">
        <is>
          <t>Montaric Brown</t>
        </is>
      </c>
      <c r="D70" s="156" t="inlineStr">
        <is>
          <t>CB</t>
        </is>
      </c>
      <c r="E70" s="156" t="inlineStr">
        <is>
          <t>Ankle</t>
        </is>
      </c>
      <c r="F70" s="156" t="inlineStr">
        <is>
          <t>Questionable</t>
        </is>
      </c>
    </row>
    <row r="71" ht="15.6" customHeight="1" s="152">
      <c r="A71" s="167">
        <f>B71&amp;C71</f>
        <v/>
      </c>
      <c r="B71" s="156" t="inlineStr">
        <is>
          <t>WAS</t>
        </is>
      </c>
      <c r="C71" s="156" t="inlineStr">
        <is>
          <t>Noah Brown</t>
        </is>
      </c>
      <c r="D71" s="156" t="inlineStr">
        <is>
          <t>WR</t>
        </is>
      </c>
      <c r="E71" s="156" t="inlineStr">
        <is>
          <t>Groin</t>
        </is>
      </c>
      <c r="F71" s="156" t="inlineStr">
        <is>
          <t>Questionable</t>
        </is>
      </c>
    </row>
    <row r="72" ht="15.6" customHeight="1" s="152">
      <c r="A72" s="167">
        <f>B72&amp;C72</f>
        <v/>
      </c>
      <c r="B72" s="156" t="inlineStr">
        <is>
          <t>FA</t>
        </is>
      </c>
      <c r="C72" s="156" t="inlineStr">
        <is>
          <t>Omar Brown</t>
        </is>
      </c>
      <c r="D72" s="156" t="inlineStr">
        <is>
          <t>S</t>
        </is>
      </c>
      <c r="E72" s="156" t="inlineStr">
        <is>
          <t>Chest</t>
        </is>
      </c>
      <c r="F72" s="156" t="inlineStr">
        <is>
          <t>Questionable</t>
        </is>
      </c>
    </row>
    <row r="73" ht="15.6" customHeight="1" s="152">
      <c r="A73" s="167">
        <f>B73&amp;C73</f>
        <v/>
      </c>
      <c r="B73" s="156" t="inlineStr">
        <is>
          <t>FA</t>
        </is>
      </c>
      <c r="C73" s="156" t="inlineStr">
        <is>
          <t>Sam Brown</t>
        </is>
      </c>
      <c r="D73" s="156" t="inlineStr">
        <is>
          <t>WR</t>
        </is>
      </c>
      <c r="E73" s="156" t="inlineStr">
        <is>
          <t>Ankle</t>
        </is>
      </c>
      <c r="F73" s="156" t="inlineStr">
        <is>
          <t>Questionable</t>
        </is>
      </c>
    </row>
    <row r="74" ht="15.6" customHeight="1" s="152">
      <c r="A74" s="167">
        <f>B74&amp;C74</f>
        <v/>
      </c>
      <c r="B74" s="156" t="inlineStr">
        <is>
          <t>FA</t>
        </is>
      </c>
      <c r="C74" s="156" t="inlineStr">
        <is>
          <t>Shakur Brown</t>
        </is>
      </c>
      <c r="D74" s="156" t="inlineStr">
        <is>
          <t>CB</t>
        </is>
      </c>
      <c r="E74" s="156" t="inlineStr">
        <is>
          <t>Undisclosed</t>
        </is>
      </c>
      <c r="F74" s="156" t="inlineStr">
        <is>
          <t>Questionable</t>
        </is>
      </c>
    </row>
    <row r="75" ht="15.6" customHeight="1" s="152">
      <c r="A75" s="167">
        <f>B75&amp;C75</f>
        <v/>
      </c>
      <c r="B75" s="156" t="inlineStr">
        <is>
          <t>FA</t>
        </is>
      </c>
      <c r="C75" s="156" t="inlineStr">
        <is>
          <t>Trent Brown</t>
        </is>
      </c>
      <c r="D75" s="156" t="inlineStr">
        <is>
          <t>OT</t>
        </is>
      </c>
      <c r="E75" s="156" t="inlineStr">
        <is>
          <t>Undisclosed</t>
        </is>
      </c>
      <c r="F75" s="156" t="inlineStr">
        <is>
          <t>Questionable</t>
        </is>
      </c>
    </row>
    <row r="76" ht="15.6" customHeight="1" s="152">
      <c r="A76" s="167">
        <f>B76&amp;C76</f>
        <v/>
      </c>
      <c r="B76" s="156" t="inlineStr">
        <is>
          <t>FA</t>
        </is>
      </c>
      <c r="C76" s="156" t="inlineStr">
        <is>
          <t>Troy Brown</t>
        </is>
      </c>
      <c r="D76" s="156" t="inlineStr">
        <is>
          <t>LB</t>
        </is>
      </c>
      <c r="E76" s="156" t="inlineStr">
        <is>
          <t>Undisclosed</t>
        </is>
      </c>
      <c r="F76" s="156" t="inlineStr">
        <is>
          <t>Questionable</t>
        </is>
      </c>
    </row>
    <row r="77" ht="15.6" customHeight="1" s="152">
      <c r="A77" s="167">
        <f>B77&amp;C77</f>
        <v/>
      </c>
      <c r="B77" s="156" t="inlineStr">
        <is>
          <t>FA</t>
        </is>
      </c>
      <c r="C77" s="156" t="inlineStr">
        <is>
          <t>Logan Bruss</t>
        </is>
      </c>
      <c r="D77" s="156" t="inlineStr">
        <is>
          <t>OG</t>
        </is>
      </c>
      <c r="E77" s="156" t="inlineStr">
        <is>
          <t>Knee - ACL</t>
        </is>
      </c>
      <c r="F77" s="156" t="inlineStr">
        <is>
          <t>Questionable</t>
        </is>
      </c>
    </row>
    <row r="78" ht="15.6" customHeight="1" s="152">
      <c r="A78" s="167">
        <f>B78&amp;C78</f>
        <v/>
      </c>
      <c r="B78" s="156" t="inlineStr">
        <is>
          <t>FA</t>
        </is>
      </c>
      <c r="C78" s="156" t="inlineStr">
        <is>
          <t>Austin Bryant</t>
        </is>
      </c>
      <c r="D78" s="156" t="inlineStr">
        <is>
          <t>DE</t>
        </is>
      </c>
      <c r="E78" s="156" t="inlineStr">
        <is>
          <t>Undisclosed</t>
        </is>
      </c>
      <c r="F78" s="156" t="inlineStr">
        <is>
          <t>Questionable</t>
        </is>
      </c>
    </row>
    <row r="79" ht="15.6" customHeight="1" s="152">
      <c r="A79" s="167">
        <f>B79&amp;C79</f>
        <v/>
      </c>
      <c r="B79" s="156" t="inlineStr">
        <is>
          <t>FA</t>
        </is>
      </c>
      <c r="C79" s="156" t="inlineStr">
        <is>
          <t>Hunter Bryant</t>
        </is>
      </c>
      <c r="D79" s="156" t="inlineStr">
        <is>
          <t>TE</t>
        </is>
      </c>
      <c r="E79" s="156" t="inlineStr">
        <is>
          <t>Undisclosed</t>
        </is>
      </c>
      <c r="F79" s="156" t="inlineStr">
        <is>
          <t>Questionable</t>
        </is>
      </c>
    </row>
    <row r="80" ht="15.6" customHeight="1" s="152">
      <c r="A80" s="167">
        <f>B80&amp;C80</f>
        <v/>
      </c>
      <c r="B80" s="156" t="inlineStr">
        <is>
          <t>FA</t>
        </is>
      </c>
      <c r="C80" s="156" t="inlineStr">
        <is>
          <t>Isaiah Buggs</t>
        </is>
      </c>
      <c r="D80" s="156" t="inlineStr">
        <is>
          <t>DT</t>
        </is>
      </c>
      <c r="E80" s="156" t="inlineStr">
        <is>
          <t>Suspension</t>
        </is>
      </c>
      <c r="F80" s="156" t="inlineStr">
        <is>
          <t>Reserve-Sus</t>
        </is>
      </c>
    </row>
    <row r="81" ht="15.6" customHeight="1" s="152">
      <c r="A81" s="167">
        <f>B81&amp;C81</f>
        <v/>
      </c>
      <c r="B81" s="156" t="inlineStr">
        <is>
          <t>FA</t>
        </is>
      </c>
      <c r="C81" s="156" t="inlineStr">
        <is>
          <t>Ian Bunting</t>
        </is>
      </c>
      <c r="D81" s="156" t="inlineStr">
        <is>
          <t>TE</t>
        </is>
      </c>
      <c r="E81" s="156" t="inlineStr">
        <is>
          <t>Neck</t>
        </is>
      </c>
      <c r="F81" s="156" t="inlineStr">
        <is>
          <t>Questionable</t>
        </is>
      </c>
    </row>
    <row r="82" ht="15.6" customHeight="1" s="152">
      <c r="A82" s="167">
        <f>B82&amp;C82</f>
        <v/>
      </c>
      <c r="B82" s="156" t="inlineStr">
        <is>
          <t>SF</t>
        </is>
      </c>
      <c r="C82" s="156" t="inlineStr">
        <is>
          <t>Spencer Burford</t>
        </is>
      </c>
      <c r="D82" s="156" t="inlineStr">
        <is>
          <t>OG</t>
        </is>
      </c>
      <c r="E82" s="156" t="inlineStr">
        <is>
          <t>Knee</t>
        </is>
      </c>
      <c r="F82" s="156" t="inlineStr">
        <is>
          <t>Questionable</t>
        </is>
      </c>
    </row>
    <row r="83" ht="15.6" customHeight="1" s="152">
      <c r="A83" s="167">
        <f>B83&amp;C83</f>
        <v/>
      </c>
      <c r="B83" s="156" t="inlineStr">
        <is>
          <t>TEN</t>
        </is>
      </c>
      <c r="C83" s="156" t="inlineStr">
        <is>
          <t>Treylon Burks</t>
        </is>
      </c>
      <c r="D83" s="156" t="inlineStr">
        <is>
          <t>WR</t>
        </is>
      </c>
      <c r="E83" s="156" t="inlineStr">
        <is>
          <t>Collarbone</t>
        </is>
      </c>
      <c r="F83" s="156" t="inlineStr">
        <is>
          <t>IR</t>
        </is>
      </c>
    </row>
    <row r="84" ht="15.6" customHeight="1" s="152">
      <c r="A84" s="167">
        <f>B84&amp;C84</f>
        <v/>
      </c>
      <c r="B84" s="156" t="inlineStr">
        <is>
          <t>MIA</t>
        </is>
      </c>
      <c r="C84" s="156" t="inlineStr">
        <is>
          <t>Artie Burns</t>
        </is>
      </c>
      <c r="D84" s="156" t="inlineStr">
        <is>
          <t>CB</t>
        </is>
      </c>
      <c r="E84" s="156" t="inlineStr">
        <is>
          <t>Knee - ACL</t>
        </is>
      </c>
      <c r="F84" s="156" t="inlineStr">
        <is>
          <t>IR</t>
        </is>
      </c>
    </row>
    <row r="85" ht="15.6" customHeight="1" s="152">
      <c r="A85" s="167">
        <f>B85&amp;C85</f>
        <v/>
      </c>
      <c r="B85" s="156" t="inlineStr">
        <is>
          <t>FA</t>
        </is>
      </c>
      <c r="C85" s="156" t="inlineStr">
        <is>
          <t>Major Burns</t>
        </is>
      </c>
      <c r="D85" s="156" t="inlineStr">
        <is>
          <t>S</t>
        </is>
      </c>
      <c r="E85" s="156" t="inlineStr">
        <is>
          <t>Knee</t>
        </is>
      </c>
      <c r="F85" s="156" t="inlineStr">
        <is>
          <t>Questionable</t>
        </is>
      </c>
    </row>
    <row r="86" ht="15.6" customHeight="1" s="152">
      <c r="A86" s="167">
        <f>B86&amp;C86</f>
        <v/>
      </c>
      <c r="B86" s="156" t="inlineStr">
        <is>
          <t>CIN</t>
        </is>
      </c>
      <c r="C86" s="156" t="inlineStr">
        <is>
          <t>Joe Burrow</t>
        </is>
      </c>
      <c r="D86" s="156" t="inlineStr">
        <is>
          <t>QB</t>
        </is>
      </c>
      <c r="E86" s="156" t="inlineStr">
        <is>
          <t>Toe</t>
        </is>
      </c>
      <c r="F86" s="156" t="inlineStr">
        <is>
          <t>IR</t>
        </is>
      </c>
    </row>
    <row r="87" ht="15.6" customHeight="1" s="152">
      <c r="A87" s="167">
        <f>B87&amp;C87</f>
        <v/>
      </c>
      <c r="B87" s="156" t="inlineStr">
        <is>
          <t>DEN</t>
        </is>
      </c>
      <c r="C87" s="156" t="inlineStr">
        <is>
          <t>Michael Burton</t>
        </is>
      </c>
      <c r="D87" s="156" t="inlineStr">
        <is>
          <t>FB</t>
        </is>
      </c>
      <c r="E87" s="156" t="inlineStr">
        <is>
          <t>Hamstring</t>
        </is>
      </c>
      <c r="F87" s="156" t="inlineStr">
        <is>
          <t>IR</t>
        </is>
      </c>
    </row>
    <row r="88" ht="15.6" customHeight="1" s="152">
      <c r="A88" s="167">
        <f>B88&amp;C88</f>
        <v/>
      </c>
      <c r="B88" s="156" t="inlineStr">
        <is>
          <t>KC</t>
        </is>
      </c>
      <c r="C88" s="156" t="inlineStr">
        <is>
          <t>Deon Bush</t>
        </is>
      </c>
      <c r="D88" s="156" t="inlineStr">
        <is>
          <t>S</t>
        </is>
      </c>
      <c r="E88" s="156" t="inlineStr">
        <is>
          <t>Achilles</t>
        </is>
      </c>
      <c r="F88" s="156" t="inlineStr">
        <is>
          <t>IR</t>
        </is>
      </c>
    </row>
    <row r="89" ht="15.6" customHeight="1" s="152">
      <c r="A89" s="167">
        <f>B89&amp;C89</f>
        <v/>
      </c>
      <c r="B89" s="156" t="inlineStr">
        <is>
          <t>DAL</t>
        </is>
      </c>
      <c r="C89" s="156" t="inlineStr">
        <is>
          <t>Josh Butler</t>
        </is>
      </c>
      <c r="D89" s="156" t="inlineStr">
        <is>
          <t>CB</t>
        </is>
      </c>
      <c r="E89" s="156" t="inlineStr">
        <is>
          <t>Knee - ACL</t>
        </is>
      </c>
      <c r="F89" s="156" t="inlineStr">
        <is>
          <t>PUP-R</t>
        </is>
      </c>
    </row>
    <row r="90" ht="15.6" customHeight="1" s="152">
      <c r="A90" s="167">
        <f>B90&amp;C90</f>
        <v/>
      </c>
      <c r="B90" s="156" t="inlineStr">
        <is>
          <t>FA</t>
        </is>
      </c>
      <c r="C90" s="156" t="inlineStr">
        <is>
          <t>Vernon Butler</t>
        </is>
      </c>
      <c r="D90" s="156" t="inlineStr">
        <is>
          <t>DT</t>
        </is>
      </c>
      <c r="E90" s="156" t="inlineStr">
        <is>
          <t>Undisclosed</t>
        </is>
      </c>
      <c r="F90" s="156" t="inlineStr">
        <is>
          <t>Questionable</t>
        </is>
      </c>
    </row>
    <row r="91" ht="15.6" customHeight="1" s="152">
      <c r="A91" s="167">
        <f>B91&amp;C91</f>
        <v/>
      </c>
      <c r="B91" s="156" t="inlineStr">
        <is>
          <t>FA</t>
        </is>
      </c>
      <c r="C91" s="156" t="inlineStr">
        <is>
          <t>Akial Byers</t>
        </is>
      </c>
      <c r="D91" s="156" t="inlineStr">
        <is>
          <t>DT</t>
        </is>
      </c>
      <c r="E91" s="156" t="inlineStr">
        <is>
          <t>Undisclosed</t>
        </is>
      </c>
      <c r="F91" s="156" t="inlineStr">
        <is>
          <t>Questionable</t>
        </is>
      </c>
    </row>
    <row r="92" ht="15.6" customHeight="1" s="152">
      <c r="A92" s="167">
        <f>B92&amp;C92</f>
        <v/>
      </c>
      <c r="B92" s="156" t="inlineStr">
        <is>
          <t>MIA</t>
        </is>
      </c>
      <c r="C92" s="156" t="inlineStr">
        <is>
          <t>Yodny Cajuste</t>
        </is>
      </c>
      <c r="D92" s="156" t="inlineStr">
        <is>
          <t>OT</t>
        </is>
      </c>
      <c r="E92" s="156" t="inlineStr">
        <is>
          <t>Undisclosed</t>
        </is>
      </c>
      <c r="F92" s="156" t="inlineStr">
        <is>
          <t>IR</t>
        </is>
      </c>
    </row>
    <row r="93" ht="15.6" customHeight="1" s="152">
      <c r="A93" s="167">
        <f>B93&amp;C93</f>
        <v/>
      </c>
      <c r="B93" s="156" t="inlineStr">
        <is>
          <t>FA</t>
        </is>
      </c>
      <c r="C93" s="156" t="inlineStr">
        <is>
          <t>Don Callis</t>
        </is>
      </c>
      <c r="D93" s="156" t="inlineStr">
        <is>
          <t>CB</t>
        </is>
      </c>
      <c r="E93" s="156" t="inlineStr">
        <is>
          <t>Hamstring</t>
        </is>
      </c>
      <c r="F93" s="156" t="inlineStr">
        <is>
          <t>Questionable</t>
        </is>
      </c>
    </row>
    <row r="94" ht="15.6" customHeight="1" s="152">
      <c r="A94" s="167">
        <f>B94&amp;C94</f>
        <v/>
      </c>
      <c r="B94" s="156" t="inlineStr">
        <is>
          <t>FA</t>
        </is>
      </c>
      <c r="C94" s="156" t="inlineStr">
        <is>
          <t>Ibraheim Campbell</t>
        </is>
      </c>
      <c r="D94" s="156" t="inlineStr">
        <is>
          <t>S</t>
        </is>
      </c>
      <c r="E94" s="156" t="inlineStr">
        <is>
          <t>Ankle</t>
        </is>
      </c>
      <c r="F94" s="156" t="inlineStr">
        <is>
          <t>Questionable</t>
        </is>
      </c>
    </row>
    <row r="95" ht="15.6" customHeight="1" s="152">
      <c r="A95" s="167">
        <f>B95&amp;C95</f>
        <v/>
      </c>
      <c r="B95" s="156" t="inlineStr">
        <is>
          <t>FA</t>
        </is>
      </c>
      <c r="C95" s="156" t="inlineStr">
        <is>
          <t>Parris Campbell</t>
        </is>
      </c>
      <c r="D95" s="156" t="inlineStr">
        <is>
          <t>WR</t>
        </is>
      </c>
      <c r="E95" s="156" t="inlineStr">
        <is>
          <t>Knee - MCL</t>
        </is>
      </c>
      <c r="F95" s="156" t="inlineStr">
        <is>
          <t>Questionable</t>
        </is>
      </c>
    </row>
    <row r="96" ht="15.6" customHeight="1" s="152">
      <c r="A96" s="167">
        <f>B96&amp;C96</f>
        <v/>
      </c>
      <c r="B96" s="156" t="inlineStr">
        <is>
          <t>FA</t>
        </is>
      </c>
      <c r="C96" s="156" t="inlineStr">
        <is>
          <t>Marcus Cannon</t>
        </is>
      </c>
      <c r="D96" s="156" t="inlineStr">
        <is>
          <t>OT</t>
        </is>
      </c>
      <c r="E96" s="156" t="inlineStr">
        <is>
          <t>Concussion</t>
        </is>
      </c>
      <c r="F96" s="156" t="inlineStr">
        <is>
          <t>Questionable</t>
        </is>
      </c>
    </row>
    <row r="97" ht="15.6" customHeight="1" s="152">
      <c r="A97" s="167">
        <f>B97&amp;C97</f>
        <v/>
      </c>
      <c r="B97" s="156" t="inlineStr">
        <is>
          <t>FA</t>
        </is>
      </c>
      <c r="C97" s="156" t="inlineStr">
        <is>
          <t>Dylan Cantrell</t>
        </is>
      </c>
      <c r="D97" s="156" t="inlineStr">
        <is>
          <t>TE</t>
        </is>
      </c>
      <c r="E97" s="156" t="inlineStr">
        <is>
          <t>Undisclosed</t>
        </is>
      </c>
      <c r="F97" s="156" t="inlineStr">
        <is>
          <t>Questionable</t>
        </is>
      </c>
    </row>
    <row r="98" ht="15.6" customHeight="1" s="152">
      <c r="A98" s="167">
        <f>B98&amp;C98</f>
        <v/>
      </c>
      <c r="B98" s="156" t="inlineStr">
        <is>
          <t>IND</t>
        </is>
      </c>
      <c r="C98" s="156" t="inlineStr">
        <is>
          <t>Jaylon Carlies</t>
        </is>
      </c>
      <c r="D98" s="156" t="inlineStr">
        <is>
          <t>LB</t>
        </is>
      </c>
      <c r="E98" s="156" t="inlineStr">
        <is>
          <t>Ankle</t>
        </is>
      </c>
      <c r="F98" s="156" t="inlineStr">
        <is>
          <t>IR-R</t>
        </is>
      </c>
    </row>
    <row r="99" ht="15.6" customHeight="1" s="152">
      <c r="A99" s="167">
        <f>B99&amp;C99</f>
        <v/>
      </c>
      <c r="B99" s="156" t="inlineStr">
        <is>
          <t>FA</t>
        </is>
      </c>
      <c r="C99" s="156" t="inlineStr">
        <is>
          <t>Xavier Carlton</t>
        </is>
      </c>
      <c r="D99" s="156" t="inlineStr">
        <is>
          <t>DE</t>
        </is>
      </c>
      <c r="E99" s="156" t="inlineStr">
        <is>
          <t>Undisclosed</t>
        </is>
      </c>
      <c r="F99" s="156" t="inlineStr">
        <is>
          <t>Out</t>
        </is>
      </c>
    </row>
    <row r="100" ht="15.6" customHeight="1" s="152">
      <c r="A100" s="167">
        <f>B100&amp;C100</f>
        <v/>
      </c>
      <c r="B100" s="156" t="inlineStr">
        <is>
          <t>FA</t>
        </is>
      </c>
      <c r="C100" s="156" t="inlineStr">
        <is>
          <t>Tariq Carpenter</t>
        </is>
      </c>
      <c r="D100" s="156" t="inlineStr">
        <is>
          <t>LB</t>
        </is>
      </c>
      <c r="E100" s="156" t="inlineStr">
        <is>
          <t>Suspension</t>
        </is>
      </c>
      <c r="F100" s="156" t="inlineStr">
        <is>
          <t>Reserve-Sus</t>
        </is>
      </c>
    </row>
    <row r="101" ht="15.6" customHeight="1" s="152">
      <c r="A101" s="167">
        <f>B101&amp;C101</f>
        <v/>
      </c>
      <c r="B101" s="156" t="inlineStr">
        <is>
          <t>NO</t>
        </is>
      </c>
      <c r="C101" s="156" t="inlineStr">
        <is>
          <t>Derek Carr</t>
        </is>
      </c>
      <c r="D101" s="156" t="inlineStr">
        <is>
          <t>QB</t>
        </is>
      </c>
      <c r="E101" s="156" t="inlineStr">
        <is>
          <t>Shoulder</t>
        </is>
      </c>
      <c r="F101" s="156" t="inlineStr">
        <is>
          <t>Reserve-Ret</t>
        </is>
      </c>
    </row>
    <row r="102" ht="15.6" customHeight="1" s="152">
      <c r="A102" s="167">
        <f>B102&amp;C102</f>
        <v/>
      </c>
      <c r="B102" s="156" t="inlineStr">
        <is>
          <t>FA</t>
        </is>
      </c>
      <c r="C102" s="156" t="inlineStr">
        <is>
          <t>Patrick Carr</t>
        </is>
      </c>
      <c r="D102" s="156" t="inlineStr">
        <is>
          <t>RB</t>
        </is>
      </c>
      <c r="E102" s="156" t="inlineStr">
        <is>
          <t>Undisclosed</t>
        </is>
      </c>
      <c r="F102" s="156" t="inlineStr">
        <is>
          <t>Questionable</t>
        </is>
      </c>
    </row>
    <row r="103" ht="15.6" customHeight="1" s="152">
      <c r="A103" s="167">
        <f>B103&amp;C103</f>
        <v/>
      </c>
      <c r="B103" s="156" t="inlineStr">
        <is>
          <t>DAL</t>
        </is>
      </c>
      <c r="C103" s="156" t="inlineStr">
        <is>
          <t>Caelen Carson</t>
        </is>
      </c>
      <c r="D103" s="156" t="inlineStr">
        <is>
          <t>CB</t>
        </is>
      </c>
      <c r="E103" s="156" t="inlineStr">
        <is>
          <t>Knee</t>
        </is>
      </c>
      <c r="F103" s="156" t="inlineStr">
        <is>
          <t>IR</t>
        </is>
      </c>
    </row>
    <row r="104" ht="15.6" customHeight="1" s="152">
      <c r="A104" s="167">
        <f>B104&amp;C104</f>
        <v/>
      </c>
      <c r="B104" s="156" t="inlineStr">
        <is>
          <t>CLE</t>
        </is>
      </c>
      <c r="C104" s="156" t="inlineStr">
        <is>
          <t>DeAndre Carter</t>
        </is>
      </c>
      <c r="D104" s="156" t="inlineStr">
        <is>
          <t>WR</t>
        </is>
      </c>
      <c r="E104" s="156" t="inlineStr">
        <is>
          <t>Concussion</t>
        </is>
      </c>
      <c r="F104" s="156" t="inlineStr">
        <is>
          <t>Questionable</t>
        </is>
      </c>
    </row>
    <row r="105" ht="15.6" customHeight="1" s="152">
      <c r="A105" s="167">
        <f>B105&amp;C105</f>
        <v/>
      </c>
      <c r="B105" s="156" t="inlineStr">
        <is>
          <t>FA</t>
        </is>
      </c>
      <c r="C105" s="156" t="inlineStr">
        <is>
          <t>Devin Carter</t>
        </is>
      </c>
      <c r="D105" s="156" t="inlineStr">
        <is>
          <t>WR</t>
        </is>
      </c>
      <c r="E105" s="156" t="inlineStr">
        <is>
          <t>Undisclosed</t>
        </is>
      </c>
      <c r="F105" s="156" t="inlineStr">
        <is>
          <t>Questionable</t>
        </is>
      </c>
    </row>
    <row r="106" ht="15.6" customHeight="1" s="152">
      <c r="A106" s="167">
        <f>B106&amp;C106</f>
        <v/>
      </c>
      <c r="B106" s="156" t="inlineStr">
        <is>
          <t>BUF</t>
        </is>
      </c>
      <c r="C106" s="156" t="inlineStr">
        <is>
          <t>DeWayne Carter</t>
        </is>
      </c>
      <c r="D106" s="156" t="inlineStr">
        <is>
          <t>DT</t>
        </is>
      </c>
      <c r="E106" s="156" t="inlineStr">
        <is>
          <t>Achilles</t>
        </is>
      </c>
      <c r="F106" s="156" t="inlineStr">
        <is>
          <t>IR</t>
        </is>
      </c>
    </row>
    <row r="107" ht="15.6" customHeight="1" s="152">
      <c r="A107" s="167">
        <f>B107&amp;C107</f>
        <v/>
      </c>
      <c r="B107" s="156" t="inlineStr">
        <is>
          <t>FA</t>
        </is>
      </c>
      <c r="C107" s="156" t="inlineStr">
        <is>
          <t>Ja'Tyre Carter</t>
        </is>
      </c>
      <c r="D107" s="156" t="inlineStr">
        <is>
          <t>OG</t>
        </is>
      </c>
      <c r="E107" s="156" t="inlineStr">
        <is>
          <t>Ankle</t>
        </is>
      </c>
      <c r="F107" s="156" t="inlineStr">
        <is>
          <t>Questionable</t>
        </is>
      </c>
    </row>
    <row r="108" ht="15.6" customHeight="1" s="152">
      <c r="A108" s="167">
        <f>B108&amp;C108</f>
        <v/>
      </c>
      <c r="B108" s="156" t="inlineStr">
        <is>
          <t>PHI</t>
        </is>
      </c>
      <c r="C108" s="156" t="inlineStr">
        <is>
          <t>Jalen Carter</t>
        </is>
      </c>
      <c r="D108" s="156" t="inlineStr">
        <is>
          <t>DT</t>
        </is>
      </c>
      <c r="E108" s="156" t="inlineStr">
        <is>
          <t>Shoulder</t>
        </is>
      </c>
      <c r="F108" s="156" t="inlineStr">
        <is>
          <t>Questionable</t>
        </is>
      </c>
    </row>
    <row r="109" ht="15.6" customHeight="1" s="152">
      <c r="A109" s="167">
        <f>B109&amp;C109</f>
        <v/>
      </c>
      <c r="B109" s="156" t="inlineStr">
        <is>
          <t>FA</t>
        </is>
      </c>
      <c r="C109" s="156" t="inlineStr">
        <is>
          <t>Jamal Carter</t>
        </is>
      </c>
      <c r="D109" s="156" t="inlineStr">
        <is>
          <t>S</t>
        </is>
      </c>
      <c r="E109" s="156" t="inlineStr">
        <is>
          <t>Undisclosed</t>
        </is>
      </c>
      <c r="F109" s="156" t="inlineStr">
        <is>
          <t>Questionable</t>
        </is>
      </c>
    </row>
    <row r="110" ht="15.6" customHeight="1" s="152">
      <c r="A110" s="167">
        <f>B110&amp;C110</f>
        <v/>
      </c>
      <c r="B110" s="156" t="inlineStr">
        <is>
          <t>FA</t>
        </is>
      </c>
      <c r="C110" s="156" t="inlineStr">
        <is>
          <t>Lorenzo Carter</t>
        </is>
      </c>
      <c r="D110" s="156" t="inlineStr">
        <is>
          <t>LB</t>
        </is>
      </c>
      <c r="E110" s="156" t="inlineStr">
        <is>
          <t>Undisclosed</t>
        </is>
      </c>
      <c r="F110" s="156" t="inlineStr">
        <is>
          <t>Reserve-Ret</t>
        </is>
      </c>
    </row>
    <row r="111" ht="15.6" customHeight="1" s="152">
      <c r="A111" s="167">
        <f>B111&amp;C111</f>
        <v/>
      </c>
      <c r="B111" s="156" t="inlineStr">
        <is>
          <t>NYJ</t>
        </is>
      </c>
      <c r="C111" s="156" t="inlineStr">
        <is>
          <t>Michael Carter</t>
        </is>
      </c>
      <c r="D111" s="156" t="inlineStr">
        <is>
          <t>CB</t>
        </is>
      </c>
      <c r="E111" s="156" t="inlineStr">
        <is>
          <t>Shoulder</t>
        </is>
      </c>
      <c r="F111" s="156" t="inlineStr">
        <is>
          <t>Questionable</t>
        </is>
      </c>
    </row>
    <row r="112" ht="15.6" customHeight="1" s="152">
      <c r="A112" s="167">
        <f>B112&amp;C112</f>
        <v/>
      </c>
      <c r="B112" s="156" t="inlineStr">
        <is>
          <t>MIN</t>
        </is>
      </c>
      <c r="C112" s="156" t="inlineStr">
        <is>
          <t>Blake Cashman</t>
        </is>
      </c>
      <c r="D112" s="156" t="inlineStr">
        <is>
          <t>LB</t>
        </is>
      </c>
      <c r="E112" s="156" t="inlineStr">
        <is>
          <t>Hamstring</t>
        </is>
      </c>
      <c r="F112" s="156" t="inlineStr">
        <is>
          <t>IR</t>
        </is>
      </c>
    </row>
    <row r="113" ht="15.6" customHeight="1" s="152">
      <c r="A113" s="167">
        <f>B113&amp;C113</f>
        <v/>
      </c>
      <c r="B113" s="156" t="inlineStr">
        <is>
          <t>FA</t>
        </is>
      </c>
      <c r="C113" s="156" t="inlineStr">
        <is>
          <t>Tariq Castro-Fields</t>
        </is>
      </c>
      <c r="D113" s="156" t="inlineStr">
        <is>
          <t>CB</t>
        </is>
      </c>
      <c r="E113" s="156" t="inlineStr">
        <is>
          <t>Hamstring</t>
        </is>
      </c>
      <c r="F113" s="156" t="inlineStr">
        <is>
          <t>Questionable</t>
        </is>
      </c>
    </row>
    <row r="114" ht="15.6" customHeight="1" s="152">
      <c r="A114" s="167">
        <f>B114&amp;C114</f>
        <v/>
      </c>
      <c r="B114" s="156" t="inlineStr">
        <is>
          <t>JAX</t>
        </is>
      </c>
      <c r="C114" s="156" t="inlineStr">
        <is>
          <t>Joshua Cephus</t>
        </is>
      </c>
      <c r="D114" s="156" t="inlineStr">
        <is>
          <t>WR</t>
        </is>
      </c>
      <c r="E114" s="156" t="inlineStr">
        <is>
          <t>Undisclosed</t>
        </is>
      </c>
      <c r="F114" s="156" t="inlineStr">
        <is>
          <t>IR</t>
        </is>
      </c>
    </row>
    <row r="115" ht="15.6" customHeight="1" s="152">
      <c r="A115" s="167">
        <f>B115&amp;C115</f>
        <v/>
      </c>
      <c r="B115" s="156" t="inlineStr">
        <is>
          <t>NE</t>
        </is>
      </c>
      <c r="C115" s="156" t="inlineStr">
        <is>
          <t>K'Lavon Chaisson</t>
        </is>
      </c>
      <c r="D115" s="156" t="inlineStr">
        <is>
          <t>DE</t>
        </is>
      </c>
      <c r="E115" s="156" t="inlineStr">
        <is>
          <t>Hamstring</t>
        </is>
      </c>
      <c r="F115" s="156" t="inlineStr">
        <is>
          <t>Questionable</t>
        </is>
      </c>
    </row>
    <row r="116" ht="15.6" customHeight="1" s="152">
      <c r="A116" s="167">
        <f>B116&amp;C116</f>
        <v/>
      </c>
      <c r="B116" s="156" t="inlineStr">
        <is>
          <t>MIN</t>
        </is>
      </c>
      <c r="C116" s="156" t="inlineStr">
        <is>
          <t>Ty Chandler</t>
        </is>
      </c>
      <c r="D116" s="156" t="inlineStr">
        <is>
          <t>RB</t>
        </is>
      </c>
      <c r="E116" s="156" t="inlineStr">
        <is>
          <t>Knee</t>
        </is>
      </c>
      <c r="F116" s="156" t="inlineStr">
        <is>
          <t>IR</t>
        </is>
      </c>
    </row>
    <row r="117" ht="15.6" customHeight="1" s="152">
      <c r="A117" s="167">
        <f>B117&amp;C117</f>
        <v/>
      </c>
      <c r="B117" s="156" t="inlineStr">
        <is>
          <t>SEA</t>
        </is>
      </c>
      <c r="C117" s="156" t="inlineStr">
        <is>
          <t>Zach Charbonnet</t>
        </is>
      </c>
      <c r="D117" s="156" t="inlineStr">
        <is>
          <t>RB</t>
        </is>
      </c>
      <c r="E117" s="156" t="inlineStr">
        <is>
          <t>Foot</t>
        </is>
      </c>
      <c r="F117" s="156" t="inlineStr">
        <is>
          <t>Questionable</t>
        </is>
      </c>
    </row>
    <row r="118" ht="15.6" customHeight="1" s="152">
      <c r="A118" s="167">
        <f>B118&amp;C118</f>
        <v/>
      </c>
      <c r="B118" s="156" t="inlineStr">
        <is>
          <t>NYJ</t>
        </is>
      </c>
      <c r="C118" s="156" t="inlineStr">
        <is>
          <t>Irvin Charles</t>
        </is>
      </c>
      <c r="D118" s="156" t="inlineStr">
        <is>
          <t>WR</t>
        </is>
      </c>
      <c r="E118" s="156" t="inlineStr">
        <is>
          <t>Knee - ACL</t>
        </is>
      </c>
      <c r="F118" s="156" t="inlineStr">
        <is>
          <t>PUP-R</t>
        </is>
      </c>
    </row>
    <row r="119" ht="15.6" customHeight="1" s="152">
      <c r="A119" s="167">
        <f>B119&amp;C119</f>
        <v/>
      </c>
      <c r="B119" s="156" t="inlineStr">
        <is>
          <t>FA</t>
        </is>
      </c>
      <c r="C119" s="156" t="inlineStr">
        <is>
          <t>Taco Charlton</t>
        </is>
      </c>
      <c r="D119" s="156" t="inlineStr">
        <is>
          <t>DE</t>
        </is>
      </c>
      <c r="E119" s="156" t="inlineStr">
        <is>
          <t>Undisclosed</t>
        </is>
      </c>
      <c r="F119" s="156" t="inlineStr">
        <is>
          <t>Questionable</t>
        </is>
      </c>
    </row>
    <row r="120" ht="15.6" customHeight="1" s="152">
      <c r="A120" s="167">
        <f>B120&amp;C120</f>
        <v/>
      </c>
      <c r="B120" s="156" t="inlineStr">
        <is>
          <t>LV</t>
        </is>
      </c>
      <c r="C120" s="156" t="inlineStr">
        <is>
          <t>Jeremy Chinn</t>
        </is>
      </c>
      <c r="D120" s="156" t="inlineStr">
        <is>
          <t>S</t>
        </is>
      </c>
      <c r="E120" s="156" t="inlineStr">
        <is>
          <t>Pectoral</t>
        </is>
      </c>
      <c r="F120" s="156" t="inlineStr">
        <is>
          <t>Questionable</t>
        </is>
      </c>
    </row>
    <row r="121" ht="15.6" customHeight="1" s="152">
      <c r="A121" s="167">
        <f>B121&amp;C121</f>
        <v/>
      </c>
      <c r="B121" s="156" t="inlineStr">
        <is>
          <t>FA</t>
        </is>
      </c>
      <c r="C121" s="156" t="inlineStr">
        <is>
          <t>Dan Chisena</t>
        </is>
      </c>
      <c r="D121" s="156" t="inlineStr">
        <is>
          <t>WR</t>
        </is>
      </c>
      <c r="E121" s="156" t="inlineStr">
        <is>
          <t>Calf</t>
        </is>
      </c>
      <c r="F121" s="156" t="inlineStr">
        <is>
          <t>Questionable</t>
        </is>
      </c>
    </row>
    <row r="122" ht="15.6" customHeight="1" s="152">
      <c r="A122" s="167">
        <f>B122&amp;C122</f>
        <v/>
      </c>
      <c r="B122" s="156" t="inlineStr">
        <is>
          <t>FA</t>
        </is>
      </c>
      <c r="C122" s="156" t="inlineStr">
        <is>
          <t>DeMarcus Christmas</t>
        </is>
      </c>
      <c r="D122" s="156" t="inlineStr">
        <is>
          <t>DT</t>
        </is>
      </c>
      <c r="E122" s="156" t="inlineStr">
        <is>
          <t>Undisclosed</t>
        </is>
      </c>
      <c r="F122" s="156" t="inlineStr">
        <is>
          <t>Questionable</t>
        </is>
      </c>
    </row>
    <row r="123" ht="15.6" customHeight="1" s="152">
      <c r="A123" s="167">
        <f>B123&amp;C123</f>
        <v/>
      </c>
      <c r="B123" s="156" t="inlineStr">
        <is>
          <t>FA</t>
        </is>
      </c>
      <c r="C123" s="156" t="inlineStr">
        <is>
          <t>Lewis Cine</t>
        </is>
      </c>
      <c r="D123" s="156" t="inlineStr">
        <is>
          <t>S</t>
        </is>
      </c>
      <c r="E123" s="156" t="inlineStr">
        <is>
          <t>Groin</t>
        </is>
      </c>
      <c r="F123" s="156" t="inlineStr">
        <is>
          <t>Questionable</t>
        </is>
      </c>
    </row>
    <row r="124" ht="15.6" customHeight="1" s="152">
      <c r="A124" s="167">
        <f>B124&amp;C124</f>
        <v/>
      </c>
      <c r="B124" s="156" t="inlineStr">
        <is>
          <t>NO</t>
        </is>
      </c>
      <c r="C124" s="156" t="inlineStr">
        <is>
          <t>Will Clapp</t>
        </is>
      </c>
      <c r="D124" s="156" t="inlineStr">
        <is>
          <t>C</t>
        </is>
      </c>
      <c r="E124" s="156" t="inlineStr">
        <is>
          <t>Foot</t>
        </is>
      </c>
      <c r="F124" s="156" t="inlineStr">
        <is>
          <t>IR</t>
        </is>
      </c>
    </row>
    <row r="125" ht="15.6" customHeight="1" s="152">
      <c r="A125" s="167">
        <f>B125&amp;C125</f>
        <v/>
      </c>
      <c r="B125" s="156" t="inlineStr">
        <is>
          <t>FA</t>
        </is>
      </c>
      <c r="C125" s="156" t="inlineStr">
        <is>
          <t>Darius Clark</t>
        </is>
      </c>
      <c r="D125" s="156" t="inlineStr">
        <is>
          <t>RB</t>
        </is>
      </c>
      <c r="E125" s="156" t="inlineStr">
        <is>
          <t>Knee</t>
        </is>
      </c>
      <c r="F125" s="156" t="inlineStr">
        <is>
          <t>Questionable</t>
        </is>
      </c>
    </row>
    <row r="126" ht="15.6" customHeight="1" s="152">
      <c r="A126" s="167">
        <f>B126&amp;C126</f>
        <v/>
      </c>
      <c r="B126" s="156" t="inlineStr">
        <is>
          <t>FA</t>
        </is>
      </c>
      <c r="C126" s="156" t="inlineStr">
        <is>
          <t>Chase Claypool</t>
        </is>
      </c>
      <c r="D126" s="156" t="inlineStr">
        <is>
          <t>WR</t>
        </is>
      </c>
      <c r="E126" s="156" t="inlineStr">
        <is>
          <t>Toe</t>
        </is>
      </c>
      <c r="F126" s="156" t="inlineStr">
        <is>
          <t>Questionable</t>
        </is>
      </c>
    </row>
    <row r="127" ht="15.6" customHeight="1" s="152">
      <c r="A127" s="167">
        <f>B127&amp;C127</f>
        <v/>
      </c>
      <c r="B127" s="156" t="inlineStr">
        <is>
          <t>JAX</t>
        </is>
      </c>
      <c r="C127" s="156" t="inlineStr">
        <is>
          <t>Ezra Cleveland</t>
        </is>
      </c>
      <c r="D127" s="156" t="inlineStr">
        <is>
          <t>OG</t>
        </is>
      </c>
      <c r="E127" s="156" t="inlineStr">
        <is>
          <t>Ankle</t>
        </is>
      </c>
      <c r="F127" s="156" t="inlineStr">
        <is>
          <t>Questionable</t>
        </is>
      </c>
    </row>
    <row r="128" ht="15.6" customHeight="1" s="152">
      <c r="A128" s="167">
        <f>B128&amp;C128</f>
        <v/>
      </c>
      <c r="B128" s="156" t="inlineStr">
        <is>
          <t>CAR</t>
        </is>
      </c>
      <c r="C128" s="156" t="inlineStr">
        <is>
          <t>Jalen Coker</t>
        </is>
      </c>
      <c r="D128" s="156" t="inlineStr">
        <is>
          <t>WR</t>
        </is>
      </c>
      <c r="E128" s="156" t="inlineStr">
        <is>
          <t>Quadriceps</t>
        </is>
      </c>
      <c r="F128" s="156" t="inlineStr">
        <is>
          <t>IR</t>
        </is>
      </c>
    </row>
    <row r="129" ht="15.6" customHeight="1" s="152">
      <c r="A129" s="167">
        <f>B129&amp;C129</f>
        <v/>
      </c>
      <c r="B129" s="156" t="inlineStr">
        <is>
          <t>WAS</t>
        </is>
      </c>
      <c r="C129" s="156" t="inlineStr">
        <is>
          <t>Brandon Coleman</t>
        </is>
      </c>
      <c r="D129" s="156" t="inlineStr">
        <is>
          <t>OT</t>
        </is>
      </c>
      <c r="E129" s="156" t="inlineStr">
        <is>
          <t>Shoulder</t>
        </is>
      </c>
      <c r="F129" s="156" t="inlineStr">
        <is>
          <t>Questionable</t>
        </is>
      </c>
    </row>
    <row r="130" ht="15.6" customHeight="1" s="152">
      <c r="A130" s="167">
        <f>B130&amp;C130</f>
        <v/>
      </c>
      <c r="B130" s="156" t="inlineStr">
        <is>
          <t>ARI</t>
        </is>
      </c>
      <c r="C130" s="156" t="inlineStr">
        <is>
          <t>L.J. Collier</t>
        </is>
      </c>
      <c r="D130" s="156" t="inlineStr">
        <is>
          <t>DT</t>
        </is>
      </c>
      <c r="E130" s="156" t="inlineStr">
        <is>
          <t>Knee</t>
        </is>
      </c>
      <c r="F130" s="156" t="inlineStr">
        <is>
          <t>IR</t>
        </is>
      </c>
    </row>
    <row r="131" ht="15.6" customHeight="1" s="152">
      <c r="A131" s="167">
        <f>B131&amp;C131</f>
        <v/>
      </c>
      <c r="B131" s="156" t="inlineStr">
        <is>
          <t>LAC</t>
        </is>
      </c>
      <c r="C131" s="156" t="inlineStr">
        <is>
          <t>Junior Colson</t>
        </is>
      </c>
      <c r="D131" s="156" t="inlineStr">
        <is>
          <t>LB</t>
        </is>
      </c>
      <c r="E131" s="156" t="inlineStr">
        <is>
          <t>Shoulder</t>
        </is>
      </c>
      <c r="F131" s="156" t="inlineStr">
        <is>
          <t>IR</t>
        </is>
      </c>
    </row>
    <row r="132" ht="15.6" customHeight="1" s="152">
      <c r="A132" s="167">
        <f>B132&amp;C132</f>
        <v/>
      </c>
      <c r="B132" s="156" t="inlineStr">
        <is>
          <t>FA</t>
        </is>
      </c>
      <c r="C132" s="156" t="inlineStr">
        <is>
          <t>John Cominsky</t>
        </is>
      </c>
      <c r="D132" s="156" t="inlineStr">
        <is>
          <t>DE</t>
        </is>
      </c>
      <c r="E132" s="156" t="inlineStr">
        <is>
          <t>Knee - MCL</t>
        </is>
      </c>
      <c r="F132" s="156" t="inlineStr">
        <is>
          <t>Questionable</t>
        </is>
      </c>
    </row>
    <row r="133" ht="15.6" customHeight="1" s="152">
      <c r="A133" s="167">
        <f>B133&amp;C133</f>
        <v/>
      </c>
      <c r="B133" s="156" t="inlineStr">
        <is>
          <t>FA</t>
        </is>
      </c>
      <c r="C133" s="156" t="inlineStr">
        <is>
          <t>Tom Compton</t>
        </is>
      </c>
      <c r="D133" s="156" t="inlineStr">
        <is>
          <t>OT</t>
        </is>
      </c>
      <c r="E133" s="156" t="inlineStr">
        <is>
          <t>Back</t>
        </is>
      </c>
      <c r="F133" s="156" t="inlineStr">
        <is>
          <t>Questionable</t>
        </is>
      </c>
    </row>
    <row r="134" ht="15.6" customHeight="1" s="152">
      <c r="A134" s="167">
        <f>B134&amp;C134</f>
        <v/>
      </c>
      <c r="B134" s="156" t="inlineStr">
        <is>
          <t>CLE</t>
        </is>
      </c>
      <c r="C134" s="156" t="inlineStr">
        <is>
          <t>Jack Conklin</t>
        </is>
      </c>
      <c r="D134" s="156" t="inlineStr">
        <is>
          <t>OT</t>
        </is>
      </c>
      <c r="E134" s="156" t="inlineStr">
        <is>
          <t>Elbow</t>
        </is>
      </c>
      <c r="F134" s="156" t="inlineStr">
        <is>
          <t>Questionable</t>
        </is>
      </c>
    </row>
    <row r="135" ht="15.6" customHeight="1" s="152">
      <c r="A135" s="167">
        <f>B135&amp;C135</f>
        <v/>
      </c>
      <c r="B135" s="156" t="inlineStr">
        <is>
          <t>FA</t>
        </is>
      </c>
      <c r="C135" s="156" t="inlineStr">
        <is>
          <t>Ryan Connelly</t>
        </is>
      </c>
      <c r="D135" s="156" t="inlineStr">
        <is>
          <t>LB</t>
        </is>
      </c>
      <c r="E135" s="156" t="inlineStr">
        <is>
          <t>Undisclosed</t>
        </is>
      </c>
      <c r="F135" s="156" t="inlineStr">
        <is>
          <t>Questionable</t>
        </is>
      </c>
    </row>
    <row r="136" ht="15.6" customHeight="1" s="152">
      <c r="A136" s="167">
        <f>B136&amp;C136</f>
        <v/>
      </c>
      <c r="B136" s="156" t="inlineStr">
        <is>
          <t>ARI</t>
        </is>
      </c>
      <c r="C136" s="156" t="inlineStr">
        <is>
          <t>Hayden Conner</t>
        </is>
      </c>
      <c r="D136" s="156" t="inlineStr">
        <is>
          <t>OG</t>
        </is>
      </c>
      <c r="E136" s="156" t="inlineStr">
        <is>
          <t>Knee</t>
        </is>
      </c>
      <c r="F136" s="156" t="inlineStr">
        <is>
          <t>IR-R</t>
        </is>
      </c>
    </row>
    <row r="137" ht="15.6" customHeight="1" s="152">
      <c r="A137" s="167">
        <f>B137&amp;C137</f>
        <v/>
      </c>
      <c r="B137" s="156" t="inlineStr">
        <is>
          <t>FA</t>
        </is>
      </c>
      <c r="C137" s="156" t="inlineStr">
        <is>
          <t>Cody Conway</t>
        </is>
      </c>
      <c r="D137" s="156" t="inlineStr">
        <is>
          <t>OT</t>
        </is>
      </c>
      <c r="E137" s="156" t="inlineStr">
        <is>
          <t>Knee - ACL</t>
        </is>
      </c>
      <c r="F137" s="156" t="inlineStr">
        <is>
          <t>Questionable</t>
        </is>
      </c>
    </row>
    <row r="138" ht="15.6" customHeight="1" s="152">
      <c r="A138" s="167">
        <f>B138&amp;C138</f>
        <v/>
      </c>
      <c r="B138" s="156" t="inlineStr">
        <is>
          <t>MIA</t>
        </is>
      </c>
      <c r="C138" s="156" t="inlineStr">
        <is>
          <t>Jalin Conyers</t>
        </is>
      </c>
      <c r="D138" s="156" t="inlineStr">
        <is>
          <t>TE</t>
        </is>
      </c>
      <c r="E138" s="156" t="inlineStr">
        <is>
          <t>Leg</t>
        </is>
      </c>
      <c r="F138" s="156" t="inlineStr">
        <is>
          <t>IR</t>
        </is>
      </c>
    </row>
    <row r="139" ht="15.6" customHeight="1" s="152">
      <c r="A139" s="167">
        <f>B139&amp;C139</f>
        <v/>
      </c>
      <c r="B139" s="156" t="inlineStr">
        <is>
          <t>LV</t>
        </is>
      </c>
      <c r="C139" s="156" t="inlineStr">
        <is>
          <t>Amari Cooper</t>
        </is>
      </c>
      <c r="D139" s="156" t="inlineStr">
        <is>
          <t>WR</t>
        </is>
      </c>
      <c r="E139" s="156" t="inlineStr">
        <is>
          <t>Undisclosed</t>
        </is>
      </c>
      <c r="F139" s="156" t="inlineStr">
        <is>
          <t>Reserve-Ret</t>
        </is>
      </c>
    </row>
    <row r="140" ht="15.6" customHeight="1" s="152">
      <c r="A140" s="167">
        <f>B140&amp;C140</f>
        <v/>
      </c>
      <c r="B140" s="156" t="inlineStr">
        <is>
          <t>FA</t>
        </is>
      </c>
      <c r="C140" s="156" t="inlineStr">
        <is>
          <t>Ryan Cooper</t>
        </is>
      </c>
      <c r="D140" s="156" t="inlineStr">
        <is>
          <t>CB</t>
        </is>
      </c>
      <c r="E140" s="156" t="inlineStr">
        <is>
          <t>Undisclosed</t>
        </is>
      </c>
      <c r="F140" s="156" t="inlineStr">
        <is>
          <t>Questionable</t>
        </is>
      </c>
    </row>
    <row r="141" ht="15.6" customHeight="1" s="152">
      <c r="A141" s="167">
        <f>B141&amp;C141</f>
        <v/>
      </c>
      <c r="B141" s="156" t="inlineStr">
        <is>
          <t>CAR</t>
        </is>
      </c>
      <c r="C141" s="156" t="inlineStr">
        <is>
          <t>Austin Corbett</t>
        </is>
      </c>
      <c r="D141" s="156" t="inlineStr">
        <is>
          <t>C</t>
        </is>
      </c>
      <c r="E141" s="156" t="inlineStr">
        <is>
          <t>Knee - MCL</t>
        </is>
      </c>
      <c r="F141" s="156" t="inlineStr">
        <is>
          <t>IR</t>
        </is>
      </c>
    </row>
    <row r="142" ht="15.6" customHeight="1" s="152">
      <c r="A142" s="167">
        <f>B142&amp;C142</f>
        <v/>
      </c>
      <c r="B142" s="156" t="inlineStr">
        <is>
          <t>FA</t>
        </is>
      </c>
      <c r="C142" s="156" t="inlineStr">
        <is>
          <t>Cody Core</t>
        </is>
      </c>
      <c r="D142" s="156" t="inlineStr">
        <is>
          <t>WR</t>
        </is>
      </c>
      <c r="E142" s="156" t="inlineStr">
        <is>
          <t>Undisclosed</t>
        </is>
      </c>
      <c r="F142" s="156" t="inlineStr">
        <is>
          <t>Questionable</t>
        </is>
      </c>
    </row>
    <row r="143" ht="15.6" customHeight="1" s="152">
      <c r="A143" s="167">
        <f>B143&amp;C143</f>
        <v/>
      </c>
      <c r="B143" s="156" t="inlineStr">
        <is>
          <t>MIN</t>
        </is>
      </c>
      <c r="C143" s="156" t="inlineStr">
        <is>
          <t>Zeke Correll</t>
        </is>
      </c>
      <c r="D143" s="156" t="inlineStr">
        <is>
          <t>C</t>
        </is>
      </c>
      <c r="E143" s="156" t="inlineStr">
        <is>
          <t>Ankle</t>
        </is>
      </c>
      <c r="F143" s="156" t="inlineStr">
        <is>
          <t>IR</t>
        </is>
      </c>
    </row>
    <row r="144" ht="15.6" customHeight="1" s="152">
      <c r="A144" s="167">
        <f>B144&amp;C144</f>
        <v/>
      </c>
      <c r="B144" s="156" t="inlineStr">
        <is>
          <t>WAS</t>
        </is>
      </c>
      <c r="C144" s="156" t="inlineStr">
        <is>
          <t>Sam Cosmi</t>
        </is>
      </c>
      <c r="D144" s="156" t="inlineStr">
        <is>
          <t>OG</t>
        </is>
      </c>
      <c r="E144" s="156" t="inlineStr">
        <is>
          <t>Knee - ACL</t>
        </is>
      </c>
      <c r="F144" s="156" t="inlineStr">
        <is>
          <t>PUP-R</t>
        </is>
      </c>
    </row>
    <row r="145" ht="15.6" customHeight="1" s="152">
      <c r="A145" s="167">
        <f>B145&amp;C145</f>
        <v/>
      </c>
      <c r="B145" s="156" t="inlineStr">
        <is>
          <t>FA</t>
        </is>
      </c>
      <c r="C145" s="156" t="inlineStr">
        <is>
          <t>Jeff Cotton</t>
        </is>
      </c>
      <c r="D145" s="156" t="inlineStr">
        <is>
          <t>WR</t>
        </is>
      </c>
      <c r="E145" s="156" t="inlineStr">
        <is>
          <t>Undisclosed</t>
        </is>
      </c>
      <c r="F145" s="156" t="inlineStr">
        <is>
          <t>Questionable</t>
        </is>
      </c>
    </row>
    <row r="146" ht="15.6" customHeight="1" s="152">
      <c r="A146" s="167">
        <f>B146&amp;C146</f>
        <v/>
      </c>
      <c r="B146" s="156" t="inlineStr">
        <is>
          <t>FA</t>
        </is>
      </c>
      <c r="C146" s="156" t="inlineStr">
        <is>
          <t>Nathan Cottrell</t>
        </is>
      </c>
      <c r="D146" s="156" t="inlineStr">
        <is>
          <t>RB</t>
        </is>
      </c>
      <c r="E146" s="156" t="inlineStr">
        <is>
          <t>Undisclosed</t>
        </is>
      </c>
      <c r="F146" s="156" t="inlineStr">
        <is>
          <t>Questionable</t>
        </is>
      </c>
    </row>
    <row r="147" ht="15.6" customHeight="1" s="152">
      <c r="A147" s="167">
        <f>B147&amp;C147</f>
        <v/>
      </c>
      <c r="B147" s="156" t="inlineStr">
        <is>
          <t>FA</t>
        </is>
      </c>
      <c r="C147" s="156" t="inlineStr">
        <is>
          <t>Te'Cory Couch</t>
        </is>
      </c>
      <c r="D147" s="156" t="inlineStr">
        <is>
          <t>CB</t>
        </is>
      </c>
      <c r="E147" s="156" t="inlineStr">
        <is>
          <t>Hamstring</t>
        </is>
      </c>
      <c r="F147" s="156" t="inlineStr">
        <is>
          <t>Questionable</t>
        </is>
      </c>
    </row>
    <row r="148" ht="15.6" customHeight="1" s="152">
      <c r="A148" s="167">
        <f>B148&amp;C148</f>
        <v/>
      </c>
      <c r="B148" s="156" t="inlineStr">
        <is>
          <t>FA</t>
        </is>
      </c>
      <c r="C148" s="156" t="inlineStr">
        <is>
          <t>Carter Coughlin</t>
        </is>
      </c>
      <c r="D148" s="156" t="inlineStr">
        <is>
          <t>LB</t>
        </is>
      </c>
      <c r="E148" s="156" t="inlineStr">
        <is>
          <t>Pectoral</t>
        </is>
      </c>
      <c r="F148" s="156" t="inlineStr">
        <is>
          <t>Out</t>
        </is>
      </c>
    </row>
    <row r="149" ht="15.6" customHeight="1" s="152">
      <c r="A149" s="167">
        <f>B149&amp;C149</f>
        <v/>
      </c>
      <c r="B149" s="156" t="inlineStr">
        <is>
          <t>NYJ</t>
        </is>
      </c>
      <c r="C149" s="156" t="inlineStr">
        <is>
          <t>Byron Cowart</t>
        </is>
      </c>
      <c r="D149" s="156" t="inlineStr">
        <is>
          <t>DT</t>
        </is>
      </c>
      <c r="E149" s="156" t="inlineStr">
        <is>
          <t>Ankle</t>
        </is>
      </c>
      <c r="F149" s="156" t="inlineStr">
        <is>
          <t>IR</t>
        </is>
      </c>
    </row>
    <row r="150" ht="15.6" customHeight="1" s="152">
      <c r="A150" s="167">
        <f>B150&amp;C150</f>
        <v/>
      </c>
      <c r="B150" s="156" t="inlineStr">
        <is>
          <t>SF</t>
        </is>
      </c>
      <c r="C150" s="156" t="inlineStr">
        <is>
          <t>Jacob Cowing</t>
        </is>
      </c>
      <c r="D150" s="156" t="inlineStr">
        <is>
          <t>WR</t>
        </is>
      </c>
      <c r="E150" s="156" t="inlineStr">
        <is>
          <t>Hamstring</t>
        </is>
      </c>
      <c r="F150" s="156" t="inlineStr">
        <is>
          <t>IR</t>
        </is>
      </c>
    </row>
    <row r="151" ht="15.6" customHeight="1" s="152">
      <c r="A151" s="167">
        <f>B151&amp;C151</f>
        <v/>
      </c>
      <c r="B151" s="156" t="inlineStr">
        <is>
          <t>GB</t>
        </is>
      </c>
      <c r="C151" s="156" t="inlineStr">
        <is>
          <t>Brenton Cox</t>
        </is>
      </c>
      <c r="D151" s="156" t="inlineStr">
        <is>
          <t>LB</t>
        </is>
      </c>
      <c r="E151" s="156" t="inlineStr">
        <is>
          <t>Groin</t>
        </is>
      </c>
      <c r="F151" s="156" t="inlineStr">
        <is>
          <t>IR</t>
        </is>
      </c>
    </row>
    <row r="152" ht="15.6" customHeight="1" s="152">
      <c r="A152" s="167">
        <f>B152&amp;C152</f>
        <v/>
      </c>
      <c r="B152" s="156" t="inlineStr">
        <is>
          <t>FA</t>
        </is>
      </c>
      <c r="C152" s="156" t="inlineStr">
        <is>
          <t>Kekoa Crawford</t>
        </is>
      </c>
      <c r="D152" s="156" t="inlineStr">
        <is>
          <t>WR</t>
        </is>
      </c>
      <c r="E152" s="156" t="inlineStr">
        <is>
          <t>Undisclosed</t>
        </is>
      </c>
      <c r="F152" s="156" t="inlineStr">
        <is>
          <t>Questionable</t>
        </is>
      </c>
    </row>
    <row r="153" ht="15.6" customHeight="1" s="152">
      <c r="A153" s="167">
        <f>B153&amp;C153</f>
        <v/>
      </c>
      <c r="B153" s="156" t="inlineStr">
        <is>
          <t>FA</t>
        </is>
      </c>
      <c r="C153" s="156" t="inlineStr">
        <is>
          <t>Corey Crooms</t>
        </is>
      </c>
      <c r="D153" s="156" t="inlineStr">
        <is>
          <t>WR</t>
        </is>
      </c>
      <c r="E153" s="156" t="inlineStr">
        <is>
          <t>Undisclosed</t>
        </is>
      </c>
      <c r="F153" s="156" t="inlineStr">
        <is>
          <t>Questionable</t>
        </is>
      </c>
    </row>
    <row r="154" ht="15.6" customHeight="1" s="152">
      <c r="A154" s="167">
        <f>B154&amp;C154</f>
        <v/>
      </c>
      <c r="B154" s="156" t="inlineStr">
        <is>
          <t>FA</t>
        </is>
      </c>
      <c r="C154" s="156" t="inlineStr">
        <is>
          <t>Tyrell Crosby</t>
        </is>
      </c>
      <c r="D154" s="156" t="inlineStr">
        <is>
          <t>OT</t>
        </is>
      </c>
      <c r="E154" s="156" t="inlineStr">
        <is>
          <t>Back</t>
        </is>
      </c>
      <c r="F154" s="156" t="inlineStr">
        <is>
          <t>Questionable</t>
        </is>
      </c>
    </row>
    <row r="155" ht="15.6" customHeight="1" s="152">
      <c r="A155" s="167">
        <f>B155&amp;C155</f>
        <v/>
      </c>
      <c r="B155" s="156" t="inlineStr">
        <is>
          <t>FA</t>
        </is>
      </c>
      <c r="C155" s="156" t="inlineStr">
        <is>
          <t>Isaiah Crowell</t>
        </is>
      </c>
      <c r="D155" s="156" t="inlineStr">
        <is>
          <t>RB</t>
        </is>
      </c>
      <c r="E155" s="156" t="inlineStr">
        <is>
          <t>Achilles</t>
        </is>
      </c>
      <c r="F155" s="156" t="inlineStr">
        <is>
          <t>Questionable</t>
        </is>
      </c>
    </row>
    <row r="156" ht="15.6" customHeight="1" s="152">
      <c r="A156" s="167">
        <f>B156&amp;C156</f>
        <v/>
      </c>
      <c r="B156" s="156" t="inlineStr">
        <is>
          <t>FA</t>
        </is>
      </c>
      <c r="C156" s="156" t="inlineStr">
        <is>
          <t>Fentrell Cypress</t>
        </is>
      </c>
      <c r="D156" s="156" t="inlineStr">
        <is>
          <t>CB</t>
        </is>
      </c>
      <c r="E156" s="156" t="inlineStr">
        <is>
          <t>Undisclosed</t>
        </is>
      </c>
      <c r="F156" s="156" t="inlineStr">
        <is>
          <t>Questionable</t>
        </is>
      </c>
    </row>
    <row r="157" ht="15.6" customHeight="1" s="152">
      <c r="A157" s="167">
        <f>B157&amp;C157</f>
        <v/>
      </c>
      <c r="B157" s="156" t="inlineStr">
        <is>
          <t>FA</t>
        </is>
      </c>
      <c r="C157" s="156" t="inlineStr">
        <is>
          <t>Darrian Dalcourt</t>
        </is>
      </c>
      <c r="D157" s="156" t="inlineStr">
        <is>
          <t>OG</t>
        </is>
      </c>
      <c r="E157" s="156" t="inlineStr">
        <is>
          <t>Undisclosed</t>
        </is>
      </c>
      <c r="F157" s="156" t="inlineStr">
        <is>
          <t>Questionable</t>
        </is>
      </c>
    </row>
    <row r="158" ht="15.6" customHeight="1" s="152">
      <c r="A158" s="167">
        <f>B158&amp;C158</f>
        <v/>
      </c>
      <c r="B158" s="156" t="inlineStr">
        <is>
          <t>JAX</t>
        </is>
      </c>
      <c r="C158" s="156" t="inlineStr">
        <is>
          <t>Dennis Daley</t>
        </is>
      </c>
      <c r="D158" s="156" t="inlineStr">
        <is>
          <t>OT</t>
        </is>
      </c>
      <c r="E158" s="156" t="inlineStr">
        <is>
          <t>Undisclosed</t>
        </is>
      </c>
      <c r="F158" s="156" t="inlineStr">
        <is>
          <t>Reserve-Ret</t>
        </is>
      </c>
    </row>
    <row r="159" ht="15.6" customHeight="1" s="152">
      <c r="A159" s="167">
        <f>B159&amp;C159</f>
        <v/>
      </c>
      <c r="B159" s="156" t="inlineStr">
        <is>
          <t>FA</t>
        </is>
      </c>
      <c r="C159" s="156" t="inlineStr">
        <is>
          <t>Tae Daley</t>
        </is>
      </c>
      <c r="D159" s="156" t="inlineStr">
        <is>
          <t>S</t>
        </is>
      </c>
      <c r="E159" s="156" t="inlineStr">
        <is>
          <t>Undisclosed</t>
        </is>
      </c>
      <c r="F159" s="156" t="inlineStr">
        <is>
          <t>Questionable</t>
        </is>
      </c>
    </row>
    <row r="160" ht="15.6" customHeight="1" s="152">
      <c r="A160" s="167">
        <f>B160&amp;C160</f>
        <v/>
      </c>
      <c r="B160" s="156" t="inlineStr">
        <is>
          <t>MIA</t>
        </is>
      </c>
      <c r="C160" s="156" t="inlineStr">
        <is>
          <t>James Daniels</t>
        </is>
      </c>
      <c r="D160" s="156" t="inlineStr">
        <is>
          <t>OG</t>
        </is>
      </c>
      <c r="E160" s="156" t="inlineStr">
        <is>
          <t>Pectoral</t>
        </is>
      </c>
      <c r="F160" s="156" t="inlineStr">
        <is>
          <t>IR</t>
        </is>
      </c>
    </row>
    <row r="161" ht="15.6" customHeight="1" s="152">
      <c r="A161" s="167">
        <f>B161&amp;C161</f>
        <v/>
      </c>
      <c r="B161" s="156" t="inlineStr">
        <is>
          <t>WAS</t>
        </is>
      </c>
      <c r="C161" s="156" t="inlineStr">
        <is>
          <t>Jayden Daniels</t>
        </is>
      </c>
      <c r="D161" s="156" t="inlineStr">
        <is>
          <t>QB</t>
        </is>
      </c>
      <c r="E161" s="156" t="inlineStr">
        <is>
          <t>Knee</t>
        </is>
      </c>
      <c r="F161" s="156" t="inlineStr">
        <is>
          <t>Questionable</t>
        </is>
      </c>
    </row>
    <row r="162" ht="15.6" customHeight="1" s="152">
      <c r="A162" s="167">
        <f>B162&amp;C162</f>
        <v/>
      </c>
      <c r="B162" s="156" t="inlineStr">
        <is>
          <t>KC</t>
        </is>
      </c>
      <c r="C162" s="156" t="inlineStr">
        <is>
          <t>Mike Danna</t>
        </is>
      </c>
      <c r="D162" s="156" t="inlineStr">
        <is>
          <t>DE</t>
        </is>
      </c>
      <c r="E162" s="156" t="inlineStr">
        <is>
          <t>Quadriceps</t>
        </is>
      </c>
      <c r="F162" s="156" t="inlineStr">
        <is>
          <t>Questionable</t>
        </is>
      </c>
    </row>
    <row r="163" ht="15.6" customHeight="1" s="152">
      <c r="A163" s="167">
        <f>B163&amp;C163</f>
        <v/>
      </c>
      <c r="B163" s="156" t="inlineStr">
        <is>
          <t>HOU</t>
        </is>
      </c>
      <c r="C163" s="156" t="inlineStr">
        <is>
          <t>Ronald Darby</t>
        </is>
      </c>
      <c r="D163" s="156" t="inlineStr">
        <is>
          <t>CB</t>
        </is>
      </c>
      <c r="E163" s="156" t="inlineStr">
        <is>
          <t>Undisclosed</t>
        </is>
      </c>
      <c r="F163" s="156" t="inlineStr">
        <is>
          <t>Reserve-Ret</t>
        </is>
      </c>
    </row>
    <row r="164" ht="15.6" customHeight="1" s="152">
      <c r="A164" s="167">
        <f>B164&amp;C164</f>
        <v/>
      </c>
      <c r="B164" s="156" t="inlineStr">
        <is>
          <t>MIN</t>
        </is>
      </c>
      <c r="C164" s="156" t="inlineStr">
        <is>
          <t>Christian Darrisaw</t>
        </is>
      </c>
      <c r="D164" s="156" t="inlineStr">
        <is>
          <t>OT</t>
        </is>
      </c>
      <c r="E164" s="156" t="inlineStr">
        <is>
          <t>Knee - ACL + MCL</t>
        </is>
      </c>
      <c r="F164" s="156" t="inlineStr">
        <is>
          <t>Questionable</t>
        </is>
      </c>
    </row>
    <row r="165" ht="15.6" customHeight="1" s="152">
      <c r="A165" s="167">
        <f>B165&amp;C165</f>
        <v/>
      </c>
      <c r="B165" s="156" t="inlineStr">
        <is>
          <t>DET</t>
        </is>
      </c>
      <c r="C165" s="156" t="inlineStr">
        <is>
          <t>Marcus Davenport</t>
        </is>
      </c>
      <c r="D165" s="156" t="inlineStr">
        <is>
          <t>DE</t>
        </is>
      </c>
      <c r="E165" s="156" t="inlineStr">
        <is>
          <t>Shoulder</t>
        </is>
      </c>
      <c r="F165" s="156" t="inlineStr">
        <is>
          <t>Questionable</t>
        </is>
      </c>
    </row>
    <row r="166" ht="15.6" customHeight="1" s="152">
      <c r="A166" s="167">
        <f>B166&amp;C166</f>
        <v/>
      </c>
      <c r="B166" s="156" t="inlineStr">
        <is>
          <t>FA</t>
        </is>
      </c>
      <c r="C166" s="156" t="inlineStr">
        <is>
          <t>Marlon Davidson</t>
        </is>
      </c>
      <c r="D166" s="156" t="inlineStr">
        <is>
          <t>DT</t>
        </is>
      </c>
      <c r="E166" s="156" t="inlineStr">
        <is>
          <t>Undisclosed</t>
        </is>
      </c>
      <c r="F166" s="156" t="inlineStr">
        <is>
          <t>Questionable</t>
        </is>
      </c>
    </row>
    <row r="167" ht="15.6" customHeight="1" s="152">
      <c r="A167" s="167">
        <f>B167&amp;C167</f>
        <v/>
      </c>
      <c r="B167" s="156" t="inlineStr">
        <is>
          <t>NE</t>
        </is>
      </c>
      <c r="C167" s="156" t="inlineStr">
        <is>
          <t>Carlton Davis</t>
        </is>
      </c>
      <c r="D167" s="156" t="inlineStr">
        <is>
          <t>CB</t>
        </is>
      </c>
      <c r="E167" s="156" t="inlineStr">
        <is>
          <t>Achilles</t>
        </is>
      </c>
      <c r="F167" s="156" t="inlineStr">
        <is>
          <t>Questionable</t>
        </is>
      </c>
    </row>
    <row r="168" ht="15.6" customHeight="1" s="152">
      <c r="A168" s="167">
        <f>B168&amp;C168</f>
        <v/>
      </c>
      <c r="B168" s="156" t="inlineStr">
        <is>
          <t>FA</t>
        </is>
      </c>
      <c r="C168" s="156" t="inlineStr">
        <is>
          <t>Daewood Davis</t>
        </is>
      </c>
      <c r="D168" s="156" t="inlineStr">
        <is>
          <t>WR</t>
        </is>
      </c>
      <c r="E168" s="156" t="inlineStr">
        <is>
          <t>Thigh</t>
        </is>
      </c>
      <c r="F168" s="156" t="inlineStr">
        <is>
          <t>Questionable</t>
        </is>
      </c>
    </row>
    <row r="169" ht="15.6" customHeight="1" s="152">
      <c r="A169" s="167">
        <f>B169&amp;C169</f>
        <v/>
      </c>
      <c r="B169" s="156" t="inlineStr">
        <is>
          <t>PIT</t>
        </is>
      </c>
      <c r="C169" s="156" t="inlineStr">
        <is>
          <t>Domenique Davis</t>
        </is>
      </c>
      <c r="D169" s="156" t="inlineStr">
        <is>
          <t>DT</t>
        </is>
      </c>
      <c r="E169" s="156" t="inlineStr">
        <is>
          <t>Undisclosed</t>
        </is>
      </c>
      <c r="F169" s="156" t="inlineStr">
        <is>
          <t>IR</t>
        </is>
      </c>
    </row>
    <row r="170" ht="15.6" customHeight="1" s="152">
      <c r="A170" s="167">
        <f>B170&amp;C170</f>
        <v/>
      </c>
      <c r="B170" s="156" t="inlineStr">
        <is>
          <t>FA</t>
        </is>
      </c>
      <c r="C170" s="156" t="inlineStr">
        <is>
          <t>Gabe Davis</t>
        </is>
      </c>
      <c r="D170" s="156" t="inlineStr">
        <is>
          <t>WR</t>
        </is>
      </c>
      <c r="E170" s="156" t="inlineStr">
        <is>
          <t>Knee - Meniscus</t>
        </is>
      </c>
      <c r="F170" s="156" t="inlineStr">
        <is>
          <t>Out</t>
        </is>
      </c>
    </row>
    <row r="171" ht="15.6" customHeight="1" s="152">
      <c r="A171" s="167">
        <f>B171&amp;C171</f>
        <v/>
      </c>
      <c r="B171" s="156" t="inlineStr">
        <is>
          <t>FA</t>
        </is>
      </c>
      <c r="C171" s="156" t="inlineStr">
        <is>
          <t>Jarrad Davis</t>
        </is>
      </c>
      <c r="D171" s="156" t="inlineStr">
        <is>
          <t>LB</t>
        </is>
      </c>
      <c r="E171" s="156" t="inlineStr">
        <is>
          <t>Knee</t>
        </is>
      </c>
      <c r="F171" s="156" t="inlineStr">
        <is>
          <t>Questionable</t>
        </is>
      </c>
    </row>
    <row r="172" ht="15.6" customHeight="1" s="152">
      <c r="A172" s="167">
        <f>B172&amp;C172</f>
        <v/>
      </c>
      <c r="B172" s="156" t="inlineStr">
        <is>
          <t>FA</t>
        </is>
      </c>
      <c r="C172" s="156" t="inlineStr">
        <is>
          <t>L.J. Davis</t>
        </is>
      </c>
      <c r="D172" s="156" t="inlineStr">
        <is>
          <t>CB</t>
        </is>
      </c>
      <c r="E172" s="156" t="inlineStr">
        <is>
          <t>Undisclosed</t>
        </is>
      </c>
      <c r="F172" s="156" t="inlineStr">
        <is>
          <t>Questionable</t>
        </is>
      </c>
    </row>
    <row r="173" ht="15.6" customHeight="1" s="152">
      <c r="A173" s="167">
        <f>B173&amp;C173</f>
        <v/>
      </c>
      <c r="B173" s="156" t="inlineStr">
        <is>
          <t>FA</t>
        </is>
      </c>
      <c r="C173" s="156" t="inlineStr">
        <is>
          <t>Quartney Davis</t>
        </is>
      </c>
      <c r="D173" s="156" t="inlineStr">
        <is>
          <t>WR</t>
        </is>
      </c>
      <c r="E173" s="156" t="inlineStr">
        <is>
          <t>Shoulder</t>
        </is>
      </c>
      <c r="F173" s="156" t="inlineStr">
        <is>
          <t>Questionable</t>
        </is>
      </c>
    </row>
    <row r="174" ht="15.6" customHeight="1" s="152">
      <c r="A174" s="167">
        <f>B174&amp;C174</f>
        <v/>
      </c>
      <c r="B174" s="156" t="inlineStr">
        <is>
          <t>FA</t>
        </is>
      </c>
      <c r="C174" s="156" t="inlineStr">
        <is>
          <t>Shawn Davis</t>
        </is>
      </c>
      <c r="D174" s="156" t="inlineStr">
        <is>
          <t>S</t>
        </is>
      </c>
      <c r="E174" s="156" t="inlineStr">
        <is>
          <t>Abdomen</t>
        </is>
      </c>
      <c r="F174" s="156" t="inlineStr">
        <is>
          <t>Questionable</t>
        </is>
      </c>
    </row>
    <row r="175" ht="15.6" customHeight="1" s="152">
      <c r="A175" s="167">
        <f>B175&amp;C175</f>
        <v/>
      </c>
      <c r="B175" s="156" t="inlineStr">
        <is>
          <t>FA</t>
        </is>
      </c>
      <c r="C175" s="156" t="inlineStr">
        <is>
          <t>Tae Davis</t>
        </is>
      </c>
      <c r="D175" s="156" t="inlineStr">
        <is>
          <t>LB</t>
        </is>
      </c>
      <c r="E175" s="156" t="inlineStr">
        <is>
          <t>Foot</t>
        </is>
      </c>
      <c r="F175" s="156" t="inlineStr">
        <is>
          <t>Questionable</t>
        </is>
      </c>
    </row>
    <row r="176" ht="15.6" customHeight="1" s="152">
      <c r="A176" s="167">
        <f>B176&amp;C176</f>
        <v/>
      </c>
      <c r="B176" s="156" t="inlineStr">
        <is>
          <t>FA</t>
        </is>
      </c>
      <c r="C176" s="156" t="inlineStr">
        <is>
          <t>Duke Dawson</t>
        </is>
      </c>
      <c r="D176" s="156" t="inlineStr">
        <is>
          <t>CB</t>
        </is>
      </c>
      <c r="E176" s="156" t="inlineStr">
        <is>
          <t>Undisclosed</t>
        </is>
      </c>
      <c r="F176" s="156" t="inlineStr">
        <is>
          <t>Questionable</t>
        </is>
      </c>
    </row>
    <row r="177" ht="15.6" customHeight="1" s="152">
      <c r="A177" s="167">
        <f>B177&amp;C177</f>
        <v/>
      </c>
      <c r="B177" s="156" t="inlineStr">
        <is>
          <t>FA</t>
        </is>
      </c>
      <c r="C177" s="156" t="inlineStr">
        <is>
          <t>Luke Deal</t>
        </is>
      </c>
      <c r="D177" s="156" t="inlineStr">
        <is>
          <t>TE</t>
        </is>
      </c>
      <c r="E177" s="156" t="inlineStr">
        <is>
          <t>Undisclosed</t>
        </is>
      </c>
      <c r="F177" s="156" t="inlineStr">
        <is>
          <t>Questionable</t>
        </is>
      </c>
    </row>
    <row r="178" ht="15.6" customHeight="1" s="152">
      <c r="A178" s="167">
        <f>B178&amp;C178</f>
        <v/>
      </c>
      <c r="B178" s="156" t="inlineStr">
        <is>
          <t>PHI</t>
        </is>
      </c>
      <c r="C178" s="156" t="inlineStr">
        <is>
          <t>Nakobe Dean</t>
        </is>
      </c>
      <c r="D178" s="156" t="inlineStr">
        <is>
          <t>LB</t>
        </is>
      </c>
      <c r="E178" s="156" t="inlineStr">
        <is>
          <t>Knee</t>
        </is>
      </c>
      <c r="F178" s="156" t="inlineStr">
        <is>
          <t>PUP-R</t>
        </is>
      </c>
    </row>
    <row r="179" ht="15.6" customHeight="1" s="152">
      <c r="A179" s="167">
        <f>B179&amp;C179</f>
        <v/>
      </c>
      <c r="B179" s="156" t="inlineStr">
        <is>
          <t>FA</t>
        </is>
      </c>
      <c r="C179" s="156" t="inlineStr">
        <is>
          <t>Dylan Deatherage</t>
        </is>
      </c>
      <c r="D179" s="156" t="inlineStr">
        <is>
          <t>OT</t>
        </is>
      </c>
      <c r="E179" s="156" t="inlineStr">
        <is>
          <t>Undisclosed</t>
        </is>
      </c>
      <c r="F179" s="156" t="inlineStr">
        <is>
          <t>Questionable</t>
        </is>
      </c>
    </row>
    <row r="180" ht="15.6" customHeight="1" s="152">
      <c r="A180" s="167">
        <f>B180&amp;C180</f>
        <v/>
      </c>
      <c r="B180" s="156" t="inlineStr">
        <is>
          <t>FA</t>
        </is>
      </c>
      <c r="C180" s="156" t="inlineStr">
        <is>
          <t>Dawson Deaton</t>
        </is>
      </c>
      <c r="D180" s="156" t="inlineStr">
        <is>
          <t>OG</t>
        </is>
      </c>
      <c r="E180" s="156" t="inlineStr">
        <is>
          <t>Knee - ACL</t>
        </is>
      </c>
      <c r="F180" s="156" t="inlineStr">
        <is>
          <t>Questionable</t>
        </is>
      </c>
    </row>
    <row r="181" ht="15.6" customHeight="1" s="152">
      <c r="A181" s="167">
        <f>B181&amp;C181</f>
        <v/>
      </c>
      <c r="B181" s="156" t="inlineStr">
        <is>
          <t>HOU</t>
        </is>
      </c>
      <c r="C181" s="156" t="inlineStr">
        <is>
          <t>Tank Dell</t>
        </is>
      </c>
      <c r="D181" s="156" t="inlineStr">
        <is>
          <t>WR</t>
        </is>
      </c>
      <c r="E181" s="156" t="inlineStr">
        <is>
          <t>Knee - ACL + MCL</t>
        </is>
      </c>
      <c r="F181" s="156" t="inlineStr">
        <is>
          <t>PUP-R</t>
        </is>
      </c>
    </row>
    <row r="182" ht="15.6" customHeight="1" s="152">
      <c r="A182" s="167">
        <f>B182&amp;C182</f>
        <v/>
      </c>
      <c r="B182" s="156" t="inlineStr">
        <is>
          <t>CLE</t>
        </is>
      </c>
      <c r="C182" s="156" t="inlineStr">
        <is>
          <t>Grant Delpit</t>
        </is>
      </c>
      <c r="D182" s="156" t="inlineStr">
        <is>
          <t>S</t>
        </is>
      </c>
      <c r="E182" s="156" t="inlineStr">
        <is>
          <t>Back</t>
        </is>
      </c>
      <c r="F182" s="156" t="inlineStr">
        <is>
          <t>Questionable</t>
        </is>
      </c>
    </row>
    <row r="183" ht="15.6" customHeight="1" s="152">
      <c r="A183" s="167">
        <f>B183&amp;C183</f>
        <v/>
      </c>
      <c r="B183" s="156" t="inlineStr">
        <is>
          <t>FA</t>
        </is>
      </c>
      <c r="C183" s="156" t="inlineStr">
        <is>
          <t>Trevor Denbow</t>
        </is>
      </c>
      <c r="D183" s="156" t="inlineStr">
        <is>
          <t>S</t>
        </is>
      </c>
      <c r="E183" s="156" t="inlineStr">
        <is>
          <t>Knee</t>
        </is>
      </c>
      <c r="F183" s="156" t="inlineStr">
        <is>
          <t>Questionable</t>
        </is>
      </c>
    </row>
    <row r="184" ht="15.6" customHeight="1" s="152">
      <c r="A184" s="167">
        <f>B184&amp;C184</f>
        <v/>
      </c>
      <c r="B184" s="156" t="inlineStr">
        <is>
          <t>TB</t>
        </is>
      </c>
      <c r="C184" s="156" t="inlineStr">
        <is>
          <t>SirVocea Dennis</t>
        </is>
      </c>
      <c r="D184" s="156" t="inlineStr">
        <is>
          <t>LB</t>
        </is>
      </c>
      <c r="E184" s="156" t="inlineStr">
        <is>
          <t>Ankle</t>
        </is>
      </c>
      <c r="F184" s="156" t="inlineStr">
        <is>
          <t>Questionable</t>
        </is>
      </c>
    </row>
    <row r="185" ht="15.6" customHeight="1" s="152">
      <c r="A185" s="167">
        <f>B185&amp;C185</f>
        <v/>
      </c>
      <c r="B185" s="156" t="inlineStr">
        <is>
          <t>NE</t>
        </is>
      </c>
      <c r="C185" s="156" t="inlineStr">
        <is>
          <t>Marcellas Dial</t>
        </is>
      </c>
      <c r="D185" s="156" t="inlineStr">
        <is>
          <t>CB</t>
        </is>
      </c>
      <c r="E185" s="156" t="inlineStr">
        <is>
          <t>Knee - ACL</t>
        </is>
      </c>
      <c r="F185" s="156" t="inlineStr">
        <is>
          <t>IR</t>
        </is>
      </c>
    </row>
    <row r="186" ht="15.6" customHeight="1" s="152">
      <c r="A186" s="167">
        <f>B186&amp;C186</f>
        <v/>
      </c>
      <c r="B186" s="156" t="inlineStr">
        <is>
          <t>DAL</t>
        </is>
      </c>
      <c r="C186" s="156" t="inlineStr">
        <is>
          <t>Trevon Diggs</t>
        </is>
      </c>
      <c r="D186" s="156" t="inlineStr">
        <is>
          <t>CB</t>
        </is>
      </c>
      <c r="E186" s="156" t="inlineStr">
        <is>
          <t>Illness</t>
        </is>
      </c>
      <c r="F186" s="156" t="inlineStr">
        <is>
          <t>Questionable</t>
        </is>
      </c>
    </row>
    <row r="187" ht="15.6" customHeight="1" s="152">
      <c r="A187" s="167">
        <f>B187&amp;C187</f>
        <v/>
      </c>
      <c r="B187" s="156" t="inlineStr">
        <is>
          <t>FA</t>
        </is>
      </c>
      <c r="C187" s="156" t="inlineStr">
        <is>
          <t>Andre Dillard</t>
        </is>
      </c>
      <c r="D187" s="156" t="inlineStr">
        <is>
          <t>OT</t>
        </is>
      </c>
      <c r="E187" s="156" t="inlineStr">
        <is>
          <t>Ankle</t>
        </is>
      </c>
      <c r="F187" s="156" t="inlineStr">
        <is>
          <t>Questionable</t>
        </is>
      </c>
    </row>
    <row r="188" ht="15.6" customHeight="1" s="152">
      <c r="A188" s="167">
        <f>B188&amp;C188</f>
        <v/>
      </c>
      <c r="B188" s="156" t="inlineStr">
        <is>
          <t>FA</t>
        </is>
      </c>
      <c r="C188" s="156" t="inlineStr">
        <is>
          <t>Brandon Dillon</t>
        </is>
      </c>
      <c r="D188" s="156" t="inlineStr">
        <is>
          <t>TE</t>
        </is>
      </c>
      <c r="E188" s="156" t="inlineStr">
        <is>
          <t>Undisclosed</t>
        </is>
      </c>
      <c r="F188" s="156" t="inlineStr">
        <is>
          <t>Questionable</t>
        </is>
      </c>
    </row>
    <row r="189" ht="15.6" customHeight="1" s="152">
      <c r="A189" s="167">
        <f>B189&amp;C189</f>
        <v/>
      </c>
      <c r="B189" s="156" t="inlineStr">
        <is>
          <t>NYG</t>
        </is>
      </c>
      <c r="C189" s="156" t="inlineStr">
        <is>
          <t>Victor Dimukeje</t>
        </is>
      </c>
      <c r="D189" s="156" t="inlineStr">
        <is>
          <t>DE</t>
        </is>
      </c>
      <c r="E189" s="156" t="inlineStr">
        <is>
          <t>Pectoral</t>
        </is>
      </c>
      <c r="F189" s="156" t="inlineStr">
        <is>
          <t>PUP-R</t>
        </is>
      </c>
    </row>
    <row r="190" ht="15.6" customHeight="1" s="152">
      <c r="A190" s="167">
        <f>B190&amp;C190</f>
        <v/>
      </c>
      <c r="B190" s="156" t="inlineStr">
        <is>
          <t>LAC</t>
        </is>
      </c>
      <c r="C190" s="156" t="inlineStr">
        <is>
          <t>Will Dissly</t>
        </is>
      </c>
      <c r="D190" s="156" t="inlineStr">
        <is>
          <t>TE</t>
        </is>
      </c>
      <c r="E190" s="156" t="inlineStr">
        <is>
          <t>Knee</t>
        </is>
      </c>
      <c r="F190" s="156" t="inlineStr">
        <is>
          <t>Questionable</t>
        </is>
      </c>
    </row>
    <row r="191" ht="15.6" customHeight="1" s="152">
      <c r="A191" s="167">
        <f>B191&amp;C191</f>
        <v/>
      </c>
      <c r="B191" s="156" t="inlineStr">
        <is>
          <t>FA</t>
        </is>
      </c>
      <c r="C191" s="156" t="inlineStr">
        <is>
          <t>De'Shaan Dixon</t>
        </is>
      </c>
      <c r="D191" s="156" t="inlineStr">
        <is>
          <t>DE</t>
        </is>
      </c>
      <c r="E191" s="156" t="inlineStr">
        <is>
          <t>Knee - ACL</t>
        </is>
      </c>
      <c r="F191" s="156" t="inlineStr">
        <is>
          <t>Questionable</t>
        </is>
      </c>
    </row>
    <row r="192" ht="15.6" customHeight="1" s="152">
      <c r="A192" s="167">
        <f>B192&amp;C192</f>
        <v/>
      </c>
      <c r="B192" s="156" t="inlineStr">
        <is>
          <t>FA</t>
        </is>
      </c>
      <c r="C192" s="156" t="inlineStr">
        <is>
          <t>JoJo Domann</t>
        </is>
      </c>
      <c r="D192" s="156" t="inlineStr">
        <is>
          <t>LB</t>
        </is>
      </c>
      <c r="E192" s="156" t="inlineStr">
        <is>
          <t>Undisclosed</t>
        </is>
      </c>
      <c r="F192" s="156" t="inlineStr">
        <is>
          <t>Questionable</t>
        </is>
      </c>
    </row>
    <row r="193" ht="15.6" customHeight="1" s="152">
      <c r="A193" s="167">
        <f>B193&amp;C193</f>
        <v/>
      </c>
      <c r="B193" s="156" t="inlineStr">
        <is>
          <t>FA</t>
        </is>
      </c>
      <c r="C193" s="156" t="inlineStr">
        <is>
          <t>Keelan Doss</t>
        </is>
      </c>
      <c r="D193" s="156" t="inlineStr">
        <is>
          <t>WR</t>
        </is>
      </c>
      <c r="E193" s="156" t="inlineStr">
        <is>
          <t>Undisclosed</t>
        </is>
      </c>
      <c r="F193" s="156" t="inlineStr">
        <is>
          <t>Questionable</t>
        </is>
      </c>
    </row>
    <row r="194" ht="15.6" customHeight="1" s="152">
      <c r="A194" s="167">
        <f>B194&amp;C194</f>
        <v/>
      </c>
      <c r="B194" s="156" t="inlineStr">
        <is>
          <t>IND</t>
        </is>
      </c>
      <c r="C194" s="156" t="inlineStr">
        <is>
          <t>Josh Downs</t>
        </is>
      </c>
      <c r="D194" s="156" t="inlineStr">
        <is>
          <t>WR</t>
        </is>
      </c>
      <c r="E194" s="156" t="inlineStr">
        <is>
          <t>Ankle</t>
        </is>
      </c>
      <c r="F194" s="156" t="inlineStr">
        <is>
          <t>Questionable</t>
        </is>
      </c>
    </row>
    <row r="195" ht="15.6" customHeight="1" s="152">
      <c r="A195" s="167">
        <f>B195&amp;C195</f>
        <v/>
      </c>
      <c r="B195" s="156" t="inlineStr">
        <is>
          <t>FA</t>
        </is>
      </c>
      <c r="C195" s="156" t="inlineStr">
        <is>
          <t>Tommy Doyle</t>
        </is>
      </c>
      <c r="D195" s="156" t="inlineStr">
        <is>
          <t>OT</t>
        </is>
      </c>
      <c r="E195" s="156" t="inlineStr">
        <is>
          <t>Knee</t>
        </is>
      </c>
      <c r="F195" s="156" t="inlineStr">
        <is>
          <t>Reserve-Ret</t>
        </is>
      </c>
    </row>
    <row r="196" ht="15.6" customHeight="1" s="152">
      <c r="A196" s="167">
        <f>B196&amp;C196</f>
        <v/>
      </c>
      <c r="B196" s="156" t="inlineStr">
        <is>
          <t>FA</t>
        </is>
      </c>
      <c r="C196" s="156" t="inlineStr">
        <is>
          <t>Dakota Dozier</t>
        </is>
      </c>
      <c r="D196" s="156" t="inlineStr">
        <is>
          <t>OG</t>
        </is>
      </c>
      <c r="E196" s="156" t="inlineStr">
        <is>
          <t>Knee - ACL</t>
        </is>
      </c>
      <c r="F196" s="156" t="inlineStr">
        <is>
          <t>Questionable</t>
        </is>
      </c>
    </row>
    <row r="197" ht="15.6" customHeight="1" s="152">
      <c r="A197" s="167">
        <f>B197&amp;C197</f>
        <v/>
      </c>
      <c r="B197" s="156" t="inlineStr">
        <is>
          <t>FA</t>
        </is>
      </c>
      <c r="C197" s="156" t="inlineStr">
        <is>
          <t>Josh Drayden</t>
        </is>
      </c>
      <c r="D197" s="156" t="inlineStr">
        <is>
          <t>CB</t>
        </is>
      </c>
      <c r="E197" s="156" t="inlineStr">
        <is>
          <t>Undisclosed</t>
        </is>
      </c>
      <c r="F197" s="156" t="inlineStr">
        <is>
          <t>Questionable</t>
        </is>
      </c>
    </row>
    <row r="198" ht="15.6" customHeight="1" s="152">
      <c r="A198" s="167">
        <f>B198&amp;C198</f>
        <v/>
      </c>
      <c r="B198" s="156" t="inlineStr">
        <is>
          <t>FA</t>
        </is>
      </c>
      <c r="C198" s="156" t="inlineStr">
        <is>
          <t>Jack Driscoll</t>
        </is>
      </c>
      <c r="D198" s="156" t="inlineStr">
        <is>
          <t>OG</t>
        </is>
      </c>
      <c r="E198" s="156" t="inlineStr">
        <is>
          <t>Ankle</t>
        </is>
      </c>
      <c r="F198" s="156" t="inlineStr">
        <is>
          <t>Questionable</t>
        </is>
      </c>
    </row>
    <row r="199" ht="15.6" customHeight="1" s="152">
      <c r="A199" s="167">
        <f>B199&amp;C199</f>
        <v/>
      </c>
      <c r="B199" s="156" t="inlineStr">
        <is>
          <t>KC</t>
        </is>
      </c>
      <c r="C199" s="156" t="inlineStr">
        <is>
          <t>Ethan Driskell</t>
        </is>
      </c>
      <c r="D199" s="156" t="inlineStr">
        <is>
          <t>OG</t>
        </is>
      </c>
      <c r="E199" s="156" t="inlineStr">
        <is>
          <t>Appendix</t>
        </is>
      </c>
      <c r="F199" s="156" t="inlineStr">
        <is>
          <t>NFI-R</t>
        </is>
      </c>
    </row>
    <row r="200" ht="15.6" customHeight="1" s="152">
      <c r="A200" s="167">
        <f>B200&amp;C200</f>
        <v/>
      </c>
      <c r="B200" s="156" t="inlineStr">
        <is>
          <t>FA</t>
        </is>
      </c>
      <c r="C200" s="156" t="inlineStr">
        <is>
          <t>Grant DuBose</t>
        </is>
      </c>
      <c r="D200" s="156" t="inlineStr">
        <is>
          <t>WR</t>
        </is>
      </c>
      <c r="E200" s="156" t="inlineStr">
        <is>
          <t>Shoulder</t>
        </is>
      </c>
      <c r="F200" s="156" t="inlineStr">
        <is>
          <t>Questionable</t>
        </is>
      </c>
    </row>
    <row r="201" ht="15.6" customHeight="1" s="152">
      <c r="A201" s="167">
        <f>B201&amp;C201</f>
        <v/>
      </c>
      <c r="B201" s="156" t="inlineStr">
        <is>
          <t>MIA</t>
        </is>
      </c>
      <c r="C201" s="156" t="inlineStr">
        <is>
          <t>Storm Duck</t>
        </is>
      </c>
      <c r="D201" s="156" t="inlineStr">
        <is>
          <t>CB</t>
        </is>
      </c>
      <c r="E201" s="156" t="inlineStr">
        <is>
          <t>Ankle</t>
        </is>
      </c>
      <c r="F201" s="156" t="inlineStr">
        <is>
          <t>Out</t>
        </is>
      </c>
    </row>
    <row r="202" ht="15.6" customHeight="1" s="152">
      <c r="A202" s="167">
        <f>B202&amp;C202</f>
        <v/>
      </c>
      <c r="B202" s="156" t="inlineStr">
        <is>
          <t>FA</t>
        </is>
      </c>
      <c r="C202" s="156" t="inlineStr">
        <is>
          <t>Isaiah Dunn</t>
        </is>
      </c>
      <c r="D202" s="156" t="inlineStr">
        <is>
          <t>CB</t>
        </is>
      </c>
      <c r="E202" s="156" t="inlineStr">
        <is>
          <t>Undisclosed</t>
        </is>
      </c>
      <c r="F202" s="156" t="inlineStr">
        <is>
          <t>Questionable</t>
        </is>
      </c>
    </row>
    <row r="203" ht="15.6" customHeight="1" s="152">
      <c r="A203" s="167">
        <f>B203&amp;C203</f>
        <v/>
      </c>
      <c r="B203" s="156" t="inlineStr">
        <is>
          <t>NE</t>
        </is>
      </c>
      <c r="C203" s="156" t="inlineStr">
        <is>
          <t>Yasir Durant</t>
        </is>
      </c>
      <c r="D203" s="156" t="inlineStr">
        <is>
          <t>OG</t>
        </is>
      </c>
      <c r="E203" s="156" t="inlineStr">
        <is>
          <t>Undisclosed</t>
        </is>
      </c>
      <c r="F203" s="156" t="inlineStr">
        <is>
          <t>IR</t>
        </is>
      </c>
    </row>
    <row r="204" ht="15.6" customHeight="1" s="152">
      <c r="A204" s="167">
        <f>B204&amp;C204</f>
        <v/>
      </c>
      <c r="B204" s="156" t="inlineStr">
        <is>
          <t>FA</t>
        </is>
      </c>
      <c r="C204" s="156" t="inlineStr">
        <is>
          <t>David Durden</t>
        </is>
      </c>
      <c r="D204" s="156" t="inlineStr">
        <is>
          <t>WR</t>
        </is>
      </c>
      <c r="E204" s="156" t="inlineStr">
        <is>
          <t>Undisclosed</t>
        </is>
      </c>
      <c r="F204" s="156" t="inlineStr">
        <is>
          <t>Questionable</t>
        </is>
      </c>
    </row>
    <row r="205" ht="15.6" customHeight="1" s="152">
      <c r="A205" s="167">
        <f>B205&amp;C205</f>
        <v/>
      </c>
      <c r="B205" s="156" t="inlineStr">
        <is>
          <t>FA</t>
        </is>
      </c>
      <c r="C205" s="156" t="inlineStr">
        <is>
          <t>Silas Dzansi</t>
        </is>
      </c>
      <c r="D205" s="156" t="inlineStr">
        <is>
          <t>OT</t>
        </is>
      </c>
      <c r="E205" s="156" t="inlineStr">
        <is>
          <t>Knee</t>
        </is>
      </c>
      <c r="F205" s="156" t="inlineStr">
        <is>
          <t>Questionable</t>
        </is>
      </c>
    </row>
    <row r="206" ht="15.6" customHeight="1" s="152">
      <c r="A206" s="167">
        <f>B206&amp;C206</f>
        <v/>
      </c>
      <c r="B206" s="156" t="inlineStr">
        <is>
          <t>FA</t>
        </is>
      </c>
      <c r="C206" s="156" t="inlineStr">
        <is>
          <t>Nate Ebner</t>
        </is>
      </c>
      <c r="D206" s="156" t="inlineStr">
        <is>
          <t>S</t>
        </is>
      </c>
      <c r="E206" s="156" t="inlineStr">
        <is>
          <t>Ankle</t>
        </is>
      </c>
      <c r="F206" s="156" t="inlineStr">
        <is>
          <t>Questionable</t>
        </is>
      </c>
    </row>
    <row r="207" ht="15.6" customHeight="1" s="152">
      <c r="A207" s="167">
        <f>B207&amp;C207</f>
        <v/>
      </c>
      <c r="B207" s="156" t="inlineStr">
        <is>
          <t>FA</t>
        </is>
      </c>
      <c r="C207" s="156" t="inlineStr">
        <is>
          <t>Trestan Ebner</t>
        </is>
      </c>
      <c r="D207" s="156" t="inlineStr">
        <is>
          <t>RB</t>
        </is>
      </c>
      <c r="E207" s="156" t="inlineStr">
        <is>
          <t>Concussion</t>
        </is>
      </c>
      <c r="F207" s="156" t="inlineStr">
        <is>
          <t>Questionable</t>
        </is>
      </c>
    </row>
    <row r="208" ht="15.6" customHeight="1" s="152">
      <c r="A208" s="167">
        <f>B208&amp;C208</f>
        <v/>
      </c>
      <c r="B208" s="156" t="inlineStr">
        <is>
          <t>LAC</t>
        </is>
      </c>
      <c r="C208" s="156" t="inlineStr">
        <is>
          <t>Justin Eboigbe</t>
        </is>
      </c>
      <c r="D208" s="156" t="inlineStr">
        <is>
          <t>DT</t>
        </is>
      </c>
      <c r="E208" s="156" t="inlineStr">
        <is>
          <t>Foot</t>
        </is>
      </c>
      <c r="F208" s="156" t="inlineStr">
        <is>
          <t>Questionable</t>
        </is>
      </c>
    </row>
    <row r="209" ht="15.6" customHeight="1" s="152">
      <c r="A209" s="167">
        <f>B209&amp;C209</f>
        <v/>
      </c>
      <c r="B209" s="156" t="inlineStr">
        <is>
          <t>CHI</t>
        </is>
      </c>
      <c r="C209" s="156" t="inlineStr">
        <is>
          <t>T.J. Edwards</t>
        </is>
      </c>
      <c r="D209" s="156" t="inlineStr">
        <is>
          <t>LB</t>
        </is>
      </c>
      <c r="E209" s="156" t="inlineStr">
        <is>
          <t>Hamstring</t>
        </is>
      </c>
      <c r="F209" s="156" t="inlineStr">
        <is>
          <t>Questionable</t>
        </is>
      </c>
    </row>
    <row r="210" ht="15.6" customHeight="1" s="152">
      <c r="A210" s="167">
        <f>B210&amp;C210</f>
        <v/>
      </c>
      <c r="B210" s="156" t="inlineStr">
        <is>
          <t>TB</t>
        </is>
      </c>
      <c r="C210" s="156" t="inlineStr">
        <is>
          <t>Emeka Egbuka</t>
        </is>
      </c>
      <c r="D210" s="156" t="inlineStr">
        <is>
          <t>WR</t>
        </is>
      </c>
      <c r="E210" s="156" t="inlineStr">
        <is>
          <t>Hip</t>
        </is>
      </c>
      <c r="F210" s="156" t="inlineStr">
        <is>
          <t>Questionable</t>
        </is>
      </c>
    </row>
    <row r="211" ht="15.6" customHeight="1" s="152">
      <c r="A211" s="167">
        <f>B211&amp;C211</f>
        <v/>
      </c>
      <c r="B211" s="156" t="inlineStr">
        <is>
          <t>MIA</t>
        </is>
      </c>
      <c r="C211" s="156" t="inlineStr">
        <is>
          <t>Liam Eichenberg</t>
        </is>
      </c>
      <c r="D211" s="156" t="inlineStr">
        <is>
          <t>OG</t>
        </is>
      </c>
      <c r="E211" s="156" t="inlineStr">
        <is>
          <t>Undisclosed</t>
        </is>
      </c>
      <c r="F211" s="156" t="inlineStr">
        <is>
          <t>PUP-R</t>
        </is>
      </c>
    </row>
    <row r="212" ht="15.6" customHeight="1" s="152">
      <c r="A212" s="167">
        <f>B212&amp;C212</f>
        <v/>
      </c>
      <c r="B212" s="156" t="inlineStr">
        <is>
          <t>FA</t>
        </is>
      </c>
      <c r="C212" s="156" t="inlineStr">
        <is>
          <t>Duke Ejiofor</t>
        </is>
      </c>
      <c r="D212" s="156" t="inlineStr">
        <is>
          <t>LB</t>
        </is>
      </c>
      <c r="E212" s="156" t="inlineStr">
        <is>
          <t>Undisclosed</t>
        </is>
      </c>
      <c r="F212" s="156" t="inlineStr">
        <is>
          <t>Questionable</t>
        </is>
      </c>
    </row>
    <row r="213" ht="15.6" customHeight="1" s="152">
      <c r="A213" s="167">
        <f>B213&amp;C213</f>
        <v/>
      </c>
      <c r="B213" s="156" t="inlineStr">
        <is>
          <t>WAS</t>
        </is>
      </c>
      <c r="C213" s="156" t="inlineStr">
        <is>
          <t>Austin Ekeler</t>
        </is>
      </c>
      <c r="D213" s="156" t="inlineStr">
        <is>
          <t>RB</t>
        </is>
      </c>
      <c r="E213" s="156" t="inlineStr">
        <is>
          <t>Achilles</t>
        </is>
      </c>
      <c r="F213" s="156" t="inlineStr">
        <is>
          <t>IR</t>
        </is>
      </c>
    </row>
    <row r="214" ht="15.6" customHeight="1" s="152">
      <c r="A214" s="167">
        <f>B214&amp;C214</f>
        <v/>
      </c>
      <c r="B214" s="156" t="inlineStr">
        <is>
          <t>FA</t>
        </is>
      </c>
      <c r="C214" s="156" t="inlineStr">
        <is>
          <t>Hamze El-Zayat</t>
        </is>
      </c>
      <c r="D214" s="156" t="inlineStr">
        <is>
          <t>WR</t>
        </is>
      </c>
      <c r="E214" s="156" t="inlineStr">
        <is>
          <t>Undisclosed</t>
        </is>
      </c>
      <c r="F214" s="156" t="inlineStr">
        <is>
          <t>Questionable</t>
        </is>
      </c>
    </row>
    <row r="215" ht="15.6" customHeight="1" s="152">
      <c r="A215" s="167">
        <f>B215&amp;C215</f>
        <v/>
      </c>
      <c r="B215" s="156" t="inlineStr">
        <is>
          <t>FA</t>
        </is>
      </c>
      <c r="C215" s="156" t="inlineStr">
        <is>
          <t>Pat Elflein</t>
        </is>
      </c>
      <c r="D215" s="156" t="inlineStr">
        <is>
          <t>C</t>
        </is>
      </c>
      <c r="E215" s="156" t="inlineStr">
        <is>
          <t>Calf</t>
        </is>
      </c>
      <c r="F215" s="156" t="inlineStr">
        <is>
          <t>Questionable</t>
        </is>
      </c>
    </row>
    <row r="216" ht="15.6" customHeight="1" s="152">
      <c r="A216" s="167">
        <f>B216&amp;C216</f>
        <v/>
      </c>
      <c r="B216" s="156" t="inlineStr">
        <is>
          <t>PIT</t>
        </is>
      </c>
      <c r="C216" s="156" t="inlineStr">
        <is>
          <t>DeShon Elliott</t>
        </is>
      </c>
      <c r="D216" s="156" t="inlineStr">
        <is>
          <t>S</t>
        </is>
      </c>
      <c r="E216" s="156" t="inlineStr">
        <is>
          <t>Knee - MCL</t>
        </is>
      </c>
      <c r="F216" s="156" t="inlineStr">
        <is>
          <t>Questionable</t>
        </is>
      </c>
    </row>
    <row r="217" ht="15.6" customHeight="1" s="152">
      <c r="A217" s="167">
        <f>B217&amp;C217</f>
        <v/>
      </c>
      <c r="B217" s="156" t="inlineStr">
        <is>
          <t>FA</t>
        </is>
      </c>
      <c r="C217" s="156" t="inlineStr">
        <is>
          <t>Tino Ellis</t>
        </is>
      </c>
      <c r="D217" s="156" t="inlineStr">
        <is>
          <t>CB</t>
        </is>
      </c>
      <c r="E217" s="156" t="inlineStr">
        <is>
          <t>Undisclosed</t>
        </is>
      </c>
      <c r="F217" s="156" t="inlineStr">
        <is>
          <t>Questionable</t>
        </is>
      </c>
    </row>
    <row r="218" ht="15.6" customHeight="1" s="152">
      <c r="A218" s="167">
        <f>B218&amp;C218</f>
        <v/>
      </c>
      <c r="B218" s="156" t="inlineStr">
        <is>
          <t>ATL</t>
        </is>
      </c>
      <c r="C218" s="156" t="inlineStr">
        <is>
          <t>Kaden Elliss</t>
        </is>
      </c>
      <c r="D218" s="156" t="inlineStr">
        <is>
          <t>LB</t>
        </is>
      </c>
      <c r="E218" s="156" t="inlineStr">
        <is>
          <t>Groin</t>
        </is>
      </c>
      <c r="F218" s="156" t="inlineStr">
        <is>
          <t>Questionable</t>
        </is>
      </c>
    </row>
    <row r="219" ht="15.6" customHeight="1" s="152">
      <c r="A219" s="167">
        <f>B219&amp;C219</f>
        <v/>
      </c>
      <c r="B219" s="156" t="inlineStr">
        <is>
          <t>CLE</t>
        </is>
      </c>
      <c r="C219" s="156" t="inlineStr">
        <is>
          <t>Martin Emerson</t>
        </is>
      </c>
      <c r="D219" s="156" t="inlineStr">
        <is>
          <t>CB</t>
        </is>
      </c>
      <c r="E219" s="156" t="inlineStr">
        <is>
          <t>Achilles</t>
        </is>
      </c>
      <c r="F219" s="156" t="inlineStr">
        <is>
          <t>IR</t>
        </is>
      </c>
    </row>
    <row r="220" ht="15.6" customHeight="1" s="152">
      <c r="A220" s="167">
        <f>B220&amp;C220</f>
        <v/>
      </c>
      <c r="B220" s="156" t="inlineStr">
        <is>
          <t>SEA</t>
        </is>
      </c>
      <c r="C220" s="156" t="inlineStr">
        <is>
          <t>Nick Emmanwori</t>
        </is>
      </c>
      <c r="D220" s="156" t="inlineStr">
        <is>
          <t>S</t>
        </is>
      </c>
      <c r="E220" s="156" t="inlineStr">
        <is>
          <t>Ankle</t>
        </is>
      </c>
      <c r="F220" s="156" t="inlineStr">
        <is>
          <t>Questionable</t>
        </is>
      </c>
    </row>
    <row r="221" ht="15.6" customHeight="1" s="152">
      <c r="A221" s="167">
        <f>B221&amp;C221</f>
        <v/>
      </c>
      <c r="B221" s="156" t="inlineStr">
        <is>
          <t>DEN</t>
        </is>
      </c>
      <c r="C221" s="156" t="inlineStr">
        <is>
          <t>Evan Engram</t>
        </is>
      </c>
      <c r="D221" s="156" t="inlineStr">
        <is>
          <t>TE</t>
        </is>
      </c>
      <c r="E221" s="156" t="inlineStr">
        <is>
          <t>Back</t>
        </is>
      </c>
      <c r="F221" s="156" t="inlineStr">
        <is>
          <t>Questionable</t>
        </is>
      </c>
    </row>
    <row r="222" ht="15.6" customHeight="1" s="152">
      <c r="A222" s="167">
        <f>B222&amp;C222</f>
        <v/>
      </c>
      <c r="B222" s="156" t="inlineStr">
        <is>
          <t>FA</t>
        </is>
      </c>
      <c r="C222" s="156" t="inlineStr">
        <is>
          <t>Donnie Ernsberger</t>
        </is>
      </c>
      <c r="D222" s="156" t="inlineStr">
        <is>
          <t>TE</t>
        </is>
      </c>
      <c r="E222" s="156" t="inlineStr">
        <is>
          <t>Undisclosed</t>
        </is>
      </c>
      <c r="F222" s="156" t="inlineStr">
        <is>
          <t>Questionable</t>
        </is>
      </c>
    </row>
    <row r="223" ht="15.6" customHeight="1" s="152">
      <c r="A223" s="167">
        <f>B223&amp;C223</f>
        <v/>
      </c>
      <c r="B223" s="156" t="inlineStr">
        <is>
          <t>FA</t>
        </is>
      </c>
      <c r="C223" s="156" t="inlineStr">
        <is>
          <t>Tyler Ervin</t>
        </is>
      </c>
      <c r="D223" s="156" t="inlineStr">
        <is>
          <t>RB</t>
        </is>
      </c>
      <c r="E223" s="156" t="inlineStr">
        <is>
          <t>Foot</t>
        </is>
      </c>
      <c r="F223" s="156" t="inlineStr">
        <is>
          <t>Questionable</t>
        </is>
      </c>
    </row>
    <row r="224" ht="15.6" customHeight="1" s="152">
      <c r="A224" s="167">
        <f>B224&amp;C224</f>
        <v/>
      </c>
      <c r="B224" s="156" t="inlineStr">
        <is>
          <t>FA</t>
        </is>
      </c>
      <c r="C224" s="156" t="inlineStr">
        <is>
          <t>Drew Estrada</t>
        </is>
      </c>
      <c r="D224" s="156" t="inlineStr">
        <is>
          <t>WR</t>
        </is>
      </c>
      <c r="E224" s="156" t="inlineStr">
        <is>
          <t>Achilles</t>
        </is>
      </c>
      <c r="F224" s="156" t="inlineStr">
        <is>
          <t>Questionable</t>
        </is>
      </c>
    </row>
    <row r="225" ht="15.6" customHeight="1" s="152">
      <c r="A225" s="167">
        <f>B225&amp;C225</f>
        <v/>
      </c>
      <c r="B225" s="156" t="inlineStr">
        <is>
          <t>FA</t>
        </is>
      </c>
      <c r="C225" s="156" t="inlineStr">
        <is>
          <t>Caleb Etienne</t>
        </is>
      </c>
      <c r="D225" s="156" t="inlineStr">
        <is>
          <t>OT</t>
        </is>
      </c>
      <c r="E225" s="156" t="inlineStr">
        <is>
          <t>Undisclosed</t>
        </is>
      </c>
      <c r="F225" s="156" t="inlineStr">
        <is>
          <t>Questionable</t>
        </is>
      </c>
    </row>
    <row r="226" ht="15.6" customHeight="1" s="152">
      <c r="A226" s="167">
        <f>B226&amp;C226</f>
        <v/>
      </c>
      <c r="B226" s="156" t="inlineStr">
        <is>
          <t>FA</t>
        </is>
      </c>
      <c r="C226" s="156" t="inlineStr">
        <is>
          <t>Darrynton Evans</t>
        </is>
      </c>
      <c r="D226" s="156" t="inlineStr">
        <is>
          <t>RB</t>
        </is>
      </c>
      <c r="E226" s="156" t="inlineStr">
        <is>
          <t>Hamstring</t>
        </is>
      </c>
      <c r="F226" s="156" t="inlineStr">
        <is>
          <t>Questionable</t>
        </is>
      </c>
    </row>
    <row r="227" ht="15.6" customHeight="1" s="152">
      <c r="A227" s="167">
        <f>B227&amp;C227</f>
        <v/>
      </c>
      <c r="B227" s="156" t="inlineStr">
        <is>
          <t>FA</t>
        </is>
      </c>
      <c r="C227" s="156" t="inlineStr">
        <is>
          <t>Justin Evans</t>
        </is>
      </c>
      <c r="D227" s="156" t="inlineStr">
        <is>
          <t>S</t>
        </is>
      </c>
      <c r="E227" s="156" t="inlineStr">
        <is>
          <t>Knee</t>
        </is>
      </c>
      <c r="F227" s="156" t="inlineStr">
        <is>
          <t>Questionable</t>
        </is>
      </c>
    </row>
    <row r="228" ht="15.6" customHeight="1" s="152">
      <c r="A228" s="167">
        <f>B228&amp;C228</f>
        <v/>
      </c>
      <c r="B228" s="156" t="inlineStr">
        <is>
          <t>MIA</t>
        </is>
      </c>
      <c r="C228" s="156" t="inlineStr">
        <is>
          <t>Obinna Eze</t>
        </is>
      </c>
      <c r="D228" s="156" t="inlineStr">
        <is>
          <t>OT</t>
        </is>
      </c>
      <c r="E228" s="156" t="inlineStr">
        <is>
          <t>Undisclosed</t>
        </is>
      </c>
      <c r="F228" s="156" t="inlineStr">
        <is>
          <t>IR</t>
        </is>
      </c>
    </row>
    <row r="229" ht="15.6" customHeight="1" s="152">
      <c r="A229" s="167">
        <f>B229&amp;C229</f>
        <v/>
      </c>
      <c r="B229" s="156" t="inlineStr">
        <is>
          <t>NYG</t>
        </is>
      </c>
      <c r="C229" s="156" t="inlineStr">
        <is>
          <t>Joshua Ezeudu</t>
        </is>
      </c>
      <c r="D229" s="156" t="inlineStr">
        <is>
          <t>OT</t>
        </is>
      </c>
      <c r="E229" s="156" t="inlineStr">
        <is>
          <t>Undisclosed</t>
        </is>
      </c>
      <c r="F229" s="156" t="inlineStr">
        <is>
          <t>IR-R</t>
        </is>
      </c>
    </row>
    <row r="230" ht="15.6" customHeight="1" s="152">
      <c r="A230" s="167">
        <f>B230&amp;C230</f>
        <v/>
      </c>
      <c r="B230" s="156" t="inlineStr">
        <is>
          <t>FA</t>
        </is>
      </c>
      <c r="C230" s="156" t="inlineStr">
        <is>
          <t>Jequez Ezzard</t>
        </is>
      </c>
      <c r="D230" s="156" t="inlineStr">
        <is>
          <t>WR</t>
        </is>
      </c>
      <c r="E230" s="156" t="inlineStr">
        <is>
          <t>Undisclosed</t>
        </is>
      </c>
      <c r="F230" s="156" t="inlineStr">
        <is>
          <t>Questionable</t>
        </is>
      </c>
    </row>
    <row r="231" ht="15.6" customHeight="1" s="152">
      <c r="A231" s="167">
        <f>B231&amp;C231</f>
        <v/>
      </c>
      <c r="B231" s="156" t="inlineStr">
        <is>
          <t>FA</t>
        </is>
      </c>
      <c r="C231" s="156" t="inlineStr">
        <is>
          <t>Brandon Facyson</t>
        </is>
      </c>
      <c r="D231" s="156" t="inlineStr">
        <is>
          <t>CB</t>
        </is>
      </c>
      <c r="E231" s="156" t="inlineStr">
        <is>
          <t>Undisclosed</t>
        </is>
      </c>
      <c r="F231" s="156" t="inlineStr">
        <is>
          <t>Questionable</t>
        </is>
      </c>
    </row>
    <row r="232" ht="15.6" customHeight="1" s="152">
      <c r="A232" s="167">
        <f>B232&amp;C232</f>
        <v/>
      </c>
      <c r="B232" s="156" t="inlineStr">
        <is>
          <t>FA</t>
        </is>
      </c>
      <c r="C232" s="156" t="inlineStr">
        <is>
          <t>Diego Fagot</t>
        </is>
      </c>
      <c r="D232" s="156" t="inlineStr">
        <is>
          <t>LB</t>
        </is>
      </c>
      <c r="E232" s="156" t="inlineStr">
        <is>
          <t>Undisclosed</t>
        </is>
      </c>
      <c r="F232" s="156" t="inlineStr">
        <is>
          <t>Questionable</t>
        </is>
      </c>
    </row>
    <row r="233" ht="15.6" customHeight="1" s="152">
      <c r="A233" s="167">
        <f>B233&amp;C233</f>
        <v/>
      </c>
      <c r="B233" s="156" t="inlineStr">
        <is>
          <t>FA</t>
        </is>
      </c>
      <c r="C233" s="156" t="inlineStr">
        <is>
          <t>JayVian Farr</t>
        </is>
      </c>
      <c r="D233" s="156" t="inlineStr">
        <is>
          <t>CB</t>
        </is>
      </c>
      <c r="E233" s="156" t="inlineStr">
        <is>
          <t>Undisclosed</t>
        </is>
      </c>
      <c r="F233" s="156" t="inlineStr">
        <is>
          <t>Questionable</t>
        </is>
      </c>
    </row>
    <row r="234" ht="15.6" customHeight="1" s="152">
      <c r="A234" s="167">
        <f>B234&amp;C234</f>
        <v/>
      </c>
      <c r="B234" s="156" t="inlineStr">
        <is>
          <t>FA</t>
        </is>
      </c>
      <c r="C234" s="156" t="inlineStr">
        <is>
          <t>Viliami Fehoko</t>
        </is>
      </c>
      <c r="D234" s="156" t="inlineStr">
        <is>
          <t>DT</t>
        </is>
      </c>
      <c r="E234" s="156" t="inlineStr">
        <is>
          <t>Undisclosed</t>
        </is>
      </c>
      <c r="F234" s="156" t="inlineStr">
        <is>
          <t>Questionable</t>
        </is>
      </c>
    </row>
    <row r="235" ht="15.6" customHeight="1" s="152">
      <c r="A235" s="167">
        <f>B235&amp;C235</f>
        <v/>
      </c>
      <c r="B235" s="156" t="inlineStr">
        <is>
          <t>FA</t>
        </is>
      </c>
      <c r="C235" s="156" t="inlineStr">
        <is>
          <t>Jon Feliciano</t>
        </is>
      </c>
      <c r="D235" s="156" t="inlineStr">
        <is>
          <t>OG</t>
        </is>
      </c>
      <c r="E235" s="156" t="inlineStr">
        <is>
          <t>Knee</t>
        </is>
      </c>
      <c r="F235" s="156" t="inlineStr">
        <is>
          <t>Questionable</t>
        </is>
      </c>
    </row>
    <row r="236" ht="15.6" customHeight="1" s="152">
      <c r="A236" s="167">
        <f>B236&amp;C236</f>
        <v/>
      </c>
      <c r="B236" s="156" t="inlineStr">
        <is>
          <t>NYG</t>
        </is>
      </c>
      <c r="C236" s="156" t="inlineStr">
        <is>
          <t>Da'Quan Felton</t>
        </is>
      </c>
      <c r="D236" s="156" t="inlineStr">
        <is>
          <t>WR</t>
        </is>
      </c>
      <c r="E236" s="156" t="inlineStr">
        <is>
          <t>Undisclosed</t>
        </is>
      </c>
      <c r="F236" s="156" t="inlineStr">
        <is>
          <t>IR</t>
        </is>
      </c>
    </row>
    <row r="237" ht="15.6" customHeight="1" s="152">
      <c r="A237" s="167">
        <f>B237&amp;C237</f>
        <v/>
      </c>
      <c r="B237" s="156" t="inlineStr">
        <is>
          <t>NYJ</t>
        </is>
      </c>
      <c r="C237" s="156" t="inlineStr">
        <is>
          <t>Justin Fields</t>
        </is>
      </c>
      <c r="D237" s="156" t="inlineStr">
        <is>
          <t>QB</t>
        </is>
      </c>
      <c r="E237" s="156" t="inlineStr">
        <is>
          <t>Concussion</t>
        </is>
      </c>
      <c r="F237" s="156" t="inlineStr">
        <is>
          <t>Out</t>
        </is>
      </c>
    </row>
    <row r="238" ht="15.6" customHeight="1" s="152">
      <c r="A238" s="167">
        <f>B238&amp;C238</f>
        <v/>
      </c>
      <c r="B238" s="156" t="inlineStr">
        <is>
          <t>FA</t>
        </is>
      </c>
      <c r="C238" s="156" t="inlineStr">
        <is>
          <t>Sharif Finch</t>
        </is>
      </c>
      <c r="D238" s="156" t="inlineStr">
        <is>
          <t>LB</t>
        </is>
      </c>
      <c r="E238" s="156" t="inlineStr">
        <is>
          <t>Undisclosed</t>
        </is>
      </c>
      <c r="F238" s="156" t="inlineStr">
        <is>
          <t>Questionable</t>
        </is>
      </c>
    </row>
    <row r="239" ht="15.6" customHeight="1" s="152">
      <c r="A239" s="167">
        <f>B239&amp;C239</f>
        <v/>
      </c>
      <c r="B239" s="156" t="inlineStr">
        <is>
          <t>SEA</t>
        </is>
      </c>
      <c r="C239" s="156" t="inlineStr">
        <is>
          <t>AJ Finley</t>
        </is>
      </c>
      <c r="D239" s="156" t="inlineStr">
        <is>
          <t>S</t>
        </is>
      </c>
      <c r="E239" s="156" t="inlineStr">
        <is>
          <t>Knee</t>
        </is>
      </c>
      <c r="F239" s="156" t="inlineStr">
        <is>
          <t>IR</t>
        </is>
      </c>
    </row>
    <row r="240" ht="15.6" customHeight="1" s="152">
      <c r="A240" s="167">
        <f>B240&amp;C240</f>
        <v/>
      </c>
      <c r="B240" s="156" t="inlineStr">
        <is>
          <t>FA</t>
        </is>
      </c>
      <c r="C240" s="156" t="inlineStr">
        <is>
          <t>Eric Fisher</t>
        </is>
      </c>
      <c r="D240" s="156" t="inlineStr">
        <is>
          <t>OT</t>
        </is>
      </c>
      <c r="E240" s="156" t="inlineStr">
        <is>
          <t>Calf</t>
        </is>
      </c>
      <c r="F240" s="156" t="inlineStr">
        <is>
          <t>Questionable</t>
        </is>
      </c>
    </row>
    <row r="241" ht="15.6" customHeight="1" s="152">
      <c r="A241" s="167">
        <f>B241&amp;C241</f>
        <v/>
      </c>
      <c r="B241" s="156" t="inlineStr">
        <is>
          <t>LAR</t>
        </is>
      </c>
      <c r="C241" s="156" t="inlineStr">
        <is>
          <t>Braden Fiske</t>
        </is>
      </c>
      <c r="D241" s="156" t="inlineStr">
        <is>
          <t>DT</t>
        </is>
      </c>
      <c r="E241" s="156" t="inlineStr">
        <is>
          <t>Oblique</t>
        </is>
      </c>
      <c r="F241" s="156" t="inlineStr">
        <is>
          <t>Questionable</t>
        </is>
      </c>
    </row>
    <row r="242" ht="15.6" customHeight="1" s="152">
      <c r="A242" s="167">
        <f>B242&amp;C242</f>
        <v/>
      </c>
      <c r="B242" s="156" t="inlineStr">
        <is>
          <t>FA</t>
        </is>
      </c>
      <c r="C242" s="156" t="inlineStr">
        <is>
          <t>Dez Fitzpatrick</t>
        </is>
      </c>
      <c r="D242" s="156" t="inlineStr">
        <is>
          <t>WR</t>
        </is>
      </c>
      <c r="E242" s="156" t="inlineStr">
        <is>
          <t>Undisclosed</t>
        </is>
      </c>
      <c r="F242" s="156" t="inlineStr">
        <is>
          <t>Questionable</t>
        </is>
      </c>
    </row>
    <row r="243" ht="15.6" customHeight="1" s="152">
      <c r="A243" s="167">
        <f>B243&amp;C243</f>
        <v/>
      </c>
      <c r="B243" s="156" t="inlineStr">
        <is>
          <t>NYG</t>
        </is>
      </c>
      <c r="C243" s="156" t="inlineStr">
        <is>
          <t>Demetrius Flannigan-Fowles</t>
        </is>
      </c>
      <c r="D243" s="156" t="inlineStr">
        <is>
          <t>LB</t>
        </is>
      </c>
      <c r="E243" s="156" t="inlineStr">
        <is>
          <t>Calf</t>
        </is>
      </c>
      <c r="F243" s="156" t="inlineStr">
        <is>
          <t>Questionable</t>
        </is>
      </c>
    </row>
    <row r="244" ht="15.6" customHeight="1" s="152">
      <c r="A244" s="167">
        <f>B244&amp;C244</f>
        <v/>
      </c>
      <c r="B244" s="156" t="inlineStr">
        <is>
          <t>FA</t>
        </is>
      </c>
      <c r="C244" s="156" t="inlineStr">
        <is>
          <t>Jeremy Flax</t>
        </is>
      </c>
      <c r="D244" s="156" t="inlineStr">
        <is>
          <t>OT</t>
        </is>
      </c>
      <c r="E244" s="156" t="inlineStr">
        <is>
          <t>Undisclosed</t>
        </is>
      </c>
      <c r="F244" s="156" t="inlineStr">
        <is>
          <t>Questionable</t>
        </is>
      </c>
    </row>
    <row r="245" ht="15.6" customHeight="1" s="152">
      <c r="A245" s="167">
        <f>B245&amp;C245</f>
        <v/>
      </c>
      <c r="B245" s="156" t="inlineStr">
        <is>
          <t>FA</t>
        </is>
      </c>
      <c r="C245" s="156" t="inlineStr">
        <is>
          <t>Julian Fleming</t>
        </is>
      </c>
      <c r="D245" s="156" t="inlineStr">
        <is>
          <t>WR</t>
        </is>
      </c>
      <c r="E245" s="156" t="inlineStr">
        <is>
          <t>Undisclosed</t>
        </is>
      </c>
      <c r="F245" s="156" t="inlineStr">
        <is>
          <t>Questionable</t>
        </is>
      </c>
    </row>
    <row r="246" ht="15.6" customHeight="1" s="152">
      <c r="A246" s="167">
        <f>B246&amp;C246</f>
        <v/>
      </c>
      <c r="B246" s="156" t="inlineStr">
        <is>
          <t>FA</t>
        </is>
      </c>
      <c r="C246" s="156" t="inlineStr">
        <is>
          <t>Luke Floriea</t>
        </is>
      </c>
      <c r="D246" s="156" t="inlineStr">
        <is>
          <t>WR</t>
        </is>
      </c>
      <c r="E246" s="156" t="inlineStr">
        <is>
          <t>Hamstring</t>
        </is>
      </c>
      <c r="F246" s="156" t="inlineStr">
        <is>
          <t>Questionable</t>
        </is>
      </c>
    </row>
    <row r="247" ht="15.6" customHeight="1" s="152">
      <c r="A247" s="167">
        <f>B247&amp;C247</f>
        <v/>
      </c>
      <c r="B247" s="156" t="inlineStr">
        <is>
          <t>FA</t>
        </is>
      </c>
      <c r="C247" s="156" t="inlineStr">
        <is>
          <t>Trey Flowers</t>
        </is>
      </c>
      <c r="D247" s="156" t="inlineStr">
        <is>
          <t>LB</t>
        </is>
      </c>
      <c r="E247" s="156" t="inlineStr">
        <is>
          <t>Foot</t>
        </is>
      </c>
      <c r="F247" s="156" t="inlineStr">
        <is>
          <t>Questionable</t>
        </is>
      </c>
    </row>
    <row r="248" ht="15.6" customHeight="1" s="152">
      <c r="A248" s="167">
        <f>B248&amp;C248</f>
        <v/>
      </c>
      <c r="B248" s="156" t="inlineStr">
        <is>
          <t>FA</t>
        </is>
      </c>
      <c r="C248" s="156" t="inlineStr">
        <is>
          <t>Drew Forbes</t>
        </is>
      </c>
      <c r="D248" s="156" t="inlineStr">
        <is>
          <t>OG</t>
        </is>
      </c>
      <c r="E248" s="156" t="inlineStr">
        <is>
          <t>Back</t>
        </is>
      </c>
      <c r="F248" s="156" t="inlineStr">
        <is>
          <t>Questionable</t>
        </is>
      </c>
    </row>
    <row r="249" ht="15.6" customHeight="1" s="152">
      <c r="A249" s="167">
        <f>B249&amp;C249</f>
        <v/>
      </c>
      <c r="B249" s="156" t="inlineStr">
        <is>
          <t>FA</t>
        </is>
      </c>
      <c r="C249" s="156" t="inlineStr">
        <is>
          <t>Dee Ford</t>
        </is>
      </c>
      <c r="D249" s="156" t="inlineStr">
        <is>
          <t>DE</t>
        </is>
      </c>
      <c r="E249" s="156" t="inlineStr">
        <is>
          <t>Back</t>
        </is>
      </c>
      <c r="F249" s="156" t="inlineStr">
        <is>
          <t>Questionable</t>
        </is>
      </c>
    </row>
    <row r="250" ht="15.6" customHeight="1" s="152">
      <c r="A250" s="167">
        <f>B250&amp;C250</f>
        <v/>
      </c>
      <c r="B250" s="156" t="inlineStr">
        <is>
          <t>NYG</t>
        </is>
      </c>
      <c r="C250" s="156" t="inlineStr">
        <is>
          <t>Bryce Ford-Wheaton</t>
        </is>
      </c>
      <c r="D250" s="156" t="inlineStr">
        <is>
          <t>WR</t>
        </is>
      </c>
      <c r="E250" s="156" t="inlineStr">
        <is>
          <t>Achilles</t>
        </is>
      </c>
      <c r="F250" s="156" t="inlineStr">
        <is>
          <t>IR</t>
        </is>
      </c>
    </row>
    <row r="251" ht="15.6" customHeight="1" s="152">
      <c r="A251" s="167">
        <f>B251&amp;C251</f>
        <v/>
      </c>
      <c r="B251" s="156" t="inlineStr">
        <is>
          <t>FA</t>
        </is>
      </c>
      <c r="C251" s="156" t="inlineStr">
        <is>
          <t>Jeff Foreman</t>
        </is>
      </c>
      <c r="D251" s="156" t="inlineStr">
        <is>
          <t>WR</t>
        </is>
      </c>
      <c r="E251" s="156" t="inlineStr">
        <is>
          <t>Knee</t>
        </is>
      </c>
      <c r="F251" s="156" t="inlineStr">
        <is>
          <t>Questionable</t>
        </is>
      </c>
    </row>
    <row r="252" ht="15.6" customHeight="1" s="152">
      <c r="A252" s="167">
        <f>B252&amp;C252</f>
        <v/>
      </c>
      <c r="B252" s="156" t="inlineStr">
        <is>
          <t>FA</t>
        </is>
      </c>
      <c r="C252" s="156" t="inlineStr">
        <is>
          <t>Miller Forristall</t>
        </is>
      </c>
      <c r="D252" s="156" t="inlineStr">
        <is>
          <t>TE</t>
        </is>
      </c>
      <c r="E252" s="156" t="inlineStr">
        <is>
          <t>Undisclosed</t>
        </is>
      </c>
      <c r="F252" s="156" t="inlineStr">
        <is>
          <t>Questionable</t>
        </is>
      </c>
    </row>
    <row r="253" ht="15.6" customHeight="1" s="152">
      <c r="A253" s="167">
        <f>B253&amp;C253</f>
        <v/>
      </c>
      <c r="B253" s="156" t="inlineStr">
        <is>
          <t>FA</t>
        </is>
      </c>
      <c r="C253" s="156" t="inlineStr">
        <is>
          <t>Jody Fortson</t>
        </is>
      </c>
      <c r="D253" s="156" t="inlineStr">
        <is>
          <t>TE</t>
        </is>
      </c>
      <c r="E253" s="156" t="inlineStr">
        <is>
          <t>Knee - ACL</t>
        </is>
      </c>
      <c r="F253" s="156" t="inlineStr">
        <is>
          <t>Questionable</t>
        </is>
      </c>
    </row>
    <row r="254" ht="15.6" customHeight="1" s="152">
      <c r="A254" s="167">
        <f>B254&amp;C254</f>
        <v/>
      </c>
      <c r="B254" s="156" t="inlineStr">
        <is>
          <t>FA</t>
        </is>
      </c>
      <c r="C254" s="156" t="inlineStr">
        <is>
          <t>Montorie Foster</t>
        </is>
      </c>
      <c r="D254" s="156" t="inlineStr">
        <is>
          <t>WR</t>
        </is>
      </c>
      <c r="E254" s="156" t="inlineStr">
        <is>
          <t>Hamstring</t>
        </is>
      </c>
      <c r="F254" s="156" t="inlineStr">
        <is>
          <t>Questionable</t>
        </is>
      </c>
    </row>
    <row r="255" ht="15.6" customHeight="1" s="152">
      <c r="A255" s="167">
        <f>B255&amp;C255</f>
        <v/>
      </c>
      <c r="B255" s="156" t="inlineStr">
        <is>
          <t>FA</t>
        </is>
      </c>
      <c r="C255" s="156" t="inlineStr">
        <is>
          <t>Ja'Mion Franklin</t>
        </is>
      </c>
      <c r="D255" s="156" t="inlineStr">
        <is>
          <t>DT</t>
        </is>
      </c>
      <c r="E255" s="156" t="inlineStr">
        <is>
          <t>Undisclosed</t>
        </is>
      </c>
      <c r="F255" s="156" t="inlineStr">
        <is>
          <t>Questionable</t>
        </is>
      </c>
    </row>
    <row r="256" ht="15.6" customHeight="1" s="152">
      <c r="A256" s="167">
        <f>B256&amp;C256</f>
        <v/>
      </c>
      <c r="B256" s="156" t="inlineStr">
        <is>
          <t>FA</t>
        </is>
      </c>
      <c r="C256" s="156" t="inlineStr">
        <is>
          <t>John Franklin</t>
        </is>
      </c>
      <c r="D256" s="156" t="inlineStr">
        <is>
          <t>WR</t>
        </is>
      </c>
      <c r="E256" s="156" t="inlineStr">
        <is>
          <t>Knee - ACL</t>
        </is>
      </c>
      <c r="F256" s="156" t="inlineStr">
        <is>
          <t>Questionable</t>
        </is>
      </c>
    </row>
    <row r="257" ht="15.6" customHeight="1" s="152">
      <c r="A257" s="167">
        <f>B257&amp;C257</f>
        <v/>
      </c>
      <c r="B257" s="156" t="inlineStr">
        <is>
          <t>DET</t>
        </is>
      </c>
      <c r="C257" s="156" t="inlineStr">
        <is>
          <t>Miles Frazier</t>
        </is>
      </c>
      <c r="D257" s="156" t="inlineStr">
        <is>
          <t>OG</t>
        </is>
      </c>
      <c r="E257" s="156" t="inlineStr">
        <is>
          <t>Undisclosed</t>
        </is>
      </c>
      <c r="F257" s="156" t="inlineStr">
        <is>
          <t>PUP-R</t>
        </is>
      </c>
    </row>
    <row r="258" ht="15.6" customHeight="1" s="152">
      <c r="A258" s="167">
        <f>B258&amp;C258</f>
        <v/>
      </c>
      <c r="B258" s="156" t="inlineStr">
        <is>
          <t>CHI</t>
        </is>
      </c>
      <c r="C258" s="156" t="inlineStr">
        <is>
          <t>Zah Frazier</t>
        </is>
      </c>
      <c r="D258" s="156" t="inlineStr">
        <is>
          <t>CB</t>
        </is>
      </c>
      <c r="E258" s="156" t="inlineStr">
        <is>
          <t>Personal</t>
        </is>
      </c>
      <c r="F258" s="156" t="inlineStr">
        <is>
          <t>NFI-R</t>
        </is>
      </c>
    </row>
    <row r="259" ht="15.6" customHeight="1" s="152">
      <c r="A259" s="167">
        <f>B259&amp;C259</f>
        <v/>
      </c>
      <c r="B259" s="156" t="inlineStr">
        <is>
          <t>IND</t>
        </is>
      </c>
      <c r="C259" s="156" t="inlineStr">
        <is>
          <t>Blake Freeland</t>
        </is>
      </c>
      <c r="D259" s="156" t="inlineStr">
        <is>
          <t>OT</t>
        </is>
      </c>
      <c r="E259" s="156" t="inlineStr">
        <is>
          <t>Leg</t>
        </is>
      </c>
      <c r="F259" s="156" t="inlineStr">
        <is>
          <t>IR</t>
        </is>
      </c>
    </row>
    <row r="260" ht="15.6" customHeight="1" s="152">
      <c r="A260" s="167">
        <f>B260&amp;C260</f>
        <v/>
      </c>
      <c r="B260" s="156" t="inlineStr">
        <is>
          <t>NO</t>
        </is>
      </c>
      <c r="C260" s="156" t="inlineStr">
        <is>
          <t>Taliese Fuaga</t>
        </is>
      </c>
      <c r="D260" s="156" t="inlineStr">
        <is>
          <t>OT</t>
        </is>
      </c>
      <c r="E260" s="156" t="inlineStr">
        <is>
          <t>Knee</t>
        </is>
      </c>
      <c r="F260" s="156" t="inlineStr">
        <is>
          <t>Questionable</t>
        </is>
      </c>
    </row>
    <row r="261" ht="15.6" customHeight="1" s="152">
      <c r="A261" s="167">
        <f>B261&amp;C261</f>
        <v/>
      </c>
      <c r="B261" s="156" t="inlineStr">
        <is>
          <t>LAC</t>
        </is>
      </c>
      <c r="C261" s="156" t="inlineStr">
        <is>
          <t>Josh Fuga</t>
        </is>
      </c>
      <c r="D261" s="156" t="inlineStr">
        <is>
          <t>DT</t>
        </is>
      </c>
      <c r="E261" s="156" t="inlineStr">
        <is>
          <t>Undisclosed</t>
        </is>
      </c>
      <c r="F261" s="156" t="inlineStr">
        <is>
          <t>IR</t>
        </is>
      </c>
    </row>
    <row r="262" ht="15.6" customHeight="1" s="152">
      <c r="A262" s="167">
        <f>B262&amp;C262</f>
        <v/>
      </c>
      <c r="B262" s="156" t="inlineStr">
        <is>
          <t>ATL</t>
        </is>
      </c>
      <c r="C262" s="156" t="inlineStr">
        <is>
          <t>Jordan Fuller</t>
        </is>
      </c>
      <c r="D262" s="156" t="inlineStr">
        <is>
          <t>S</t>
        </is>
      </c>
      <c r="E262" s="156" t="inlineStr">
        <is>
          <t>Knee</t>
        </is>
      </c>
      <c r="F262" s="156" t="inlineStr">
        <is>
          <t>IR</t>
        </is>
      </c>
    </row>
    <row r="263" ht="15.6" customHeight="1" s="152">
      <c r="A263" s="167">
        <f>B263&amp;C263</f>
        <v/>
      </c>
      <c r="B263" s="156" t="inlineStr">
        <is>
          <t>FA</t>
        </is>
      </c>
      <c r="C263" s="156" t="inlineStr">
        <is>
          <t>Kendall Fuller</t>
        </is>
      </c>
      <c r="D263" s="156" t="inlineStr">
        <is>
          <t>CB</t>
        </is>
      </c>
      <c r="E263" s="156" t="inlineStr">
        <is>
          <t>Knee</t>
        </is>
      </c>
      <c r="F263" s="156" t="inlineStr">
        <is>
          <t>Questionable</t>
        </is>
      </c>
    </row>
    <row r="264" ht="15.6" customHeight="1" s="152">
      <c r="A264" s="167">
        <f>B264&amp;C264</f>
        <v/>
      </c>
      <c r="B264" s="156" t="inlineStr">
        <is>
          <t>FA</t>
        </is>
      </c>
      <c r="C264" s="156" t="inlineStr">
        <is>
          <t>Will Fuller</t>
        </is>
      </c>
      <c r="D264" s="156" t="inlineStr">
        <is>
          <t>WR</t>
        </is>
      </c>
      <c r="E264" s="156" t="inlineStr">
        <is>
          <t>Finger</t>
        </is>
      </c>
      <c r="F264" s="156" t="inlineStr">
        <is>
          <t>Questionable</t>
        </is>
      </c>
    </row>
    <row r="265" ht="15.6" customHeight="1" s="152">
      <c r="A265" s="167">
        <f>B265&amp;C265</f>
        <v/>
      </c>
      <c r="B265" s="156" t="inlineStr">
        <is>
          <t>KC</t>
        </is>
      </c>
      <c r="C265" s="156" t="inlineStr">
        <is>
          <t>Kristian Fulton</t>
        </is>
      </c>
      <c r="D265" s="156" t="inlineStr">
        <is>
          <t>CB</t>
        </is>
      </c>
      <c r="E265" s="156" t="inlineStr">
        <is>
          <t>Ankle</t>
        </is>
      </c>
      <c r="F265" s="156" t="inlineStr">
        <is>
          <t>Questionable</t>
        </is>
      </c>
    </row>
    <row r="266" ht="15.6" customHeight="1" s="152">
      <c r="A266" s="167">
        <f>B266&amp;C266</f>
        <v/>
      </c>
      <c r="B266" s="156" t="inlineStr">
        <is>
          <t>FA</t>
        </is>
      </c>
      <c r="C266" s="156" t="inlineStr">
        <is>
          <t>X'Zauvea Gadlin</t>
        </is>
      </c>
      <c r="D266" s="156" t="inlineStr">
        <is>
          <t>OG</t>
        </is>
      </c>
      <c r="E266" s="156" t="inlineStr">
        <is>
          <t>Undisclosed</t>
        </is>
      </c>
      <c r="F266" s="156" t="inlineStr">
        <is>
          <t>Questionable</t>
        </is>
      </c>
    </row>
    <row r="267" ht="15.6" customHeight="1" s="152">
      <c r="A267" s="167">
        <f>B267&amp;C267</f>
        <v/>
      </c>
      <c r="B267" s="156" t="inlineStr">
        <is>
          <t>FA</t>
        </is>
      </c>
      <c r="C267" s="156" t="inlineStr">
        <is>
          <t>Tipa Galeai</t>
        </is>
      </c>
      <c r="D267" s="156" t="inlineStr">
        <is>
          <t>LB</t>
        </is>
      </c>
      <c r="E267" s="156" t="inlineStr">
        <is>
          <t>Hamstring</t>
        </is>
      </c>
      <c r="F267" s="156" t="inlineStr">
        <is>
          <t>Questionable</t>
        </is>
      </c>
    </row>
    <row r="268" ht="15.6" customHeight="1" s="152">
      <c r="A268" s="167">
        <f>B268&amp;C268</f>
        <v/>
      </c>
      <c r="B268" s="156" t="inlineStr">
        <is>
          <t>FA</t>
        </is>
      </c>
      <c r="C268" s="156" t="inlineStr">
        <is>
          <t>Jamell Garcia-Williams</t>
        </is>
      </c>
      <c r="D268" s="156" t="inlineStr">
        <is>
          <t>DE</t>
        </is>
      </c>
      <c r="E268" s="156" t="inlineStr">
        <is>
          <t>Undisclosed</t>
        </is>
      </c>
      <c r="F268" s="156" t="inlineStr">
        <is>
          <t>Questionable</t>
        </is>
      </c>
    </row>
    <row r="269" ht="15.6" customHeight="1" s="152">
      <c r="A269" s="167">
        <f>B269&amp;C269</f>
        <v/>
      </c>
      <c r="B269" s="156" t="inlineStr">
        <is>
          <t>DEN</t>
        </is>
      </c>
      <c r="C269" s="156" t="inlineStr">
        <is>
          <t>Nick Gargiulo</t>
        </is>
      </c>
      <c r="D269" s="156" t="inlineStr">
        <is>
          <t>OG</t>
        </is>
      </c>
      <c r="E269" s="156" t="inlineStr">
        <is>
          <t>Knee</t>
        </is>
      </c>
      <c r="F269" s="156" t="inlineStr">
        <is>
          <t>IR</t>
        </is>
      </c>
    </row>
    <row r="270" ht="15.6" customHeight="1" s="152">
      <c r="A270" s="167">
        <f>B270&amp;C270</f>
        <v/>
      </c>
      <c r="B270" s="156" t="inlineStr">
        <is>
          <t>FA</t>
        </is>
      </c>
      <c r="C270" s="156" t="inlineStr">
        <is>
          <t>Ben Garland</t>
        </is>
      </c>
      <c r="D270" s="156" t="inlineStr">
        <is>
          <t>C</t>
        </is>
      </c>
      <c r="E270" s="156" t="inlineStr">
        <is>
          <t>Calf</t>
        </is>
      </c>
      <c r="F270" s="156" t="inlineStr">
        <is>
          <t>Questionable</t>
        </is>
      </c>
    </row>
    <row r="271" ht="15.6" customHeight="1" s="152">
      <c r="A271" s="167">
        <f>B271&amp;C271</f>
        <v/>
      </c>
      <c r="B271" s="156" t="inlineStr">
        <is>
          <t>FA</t>
        </is>
      </c>
      <c r="C271" s="156" t="inlineStr">
        <is>
          <t>Nick Gates</t>
        </is>
      </c>
      <c r="D271" s="156" t="inlineStr">
        <is>
          <t>C</t>
        </is>
      </c>
      <c r="E271" s="156" t="inlineStr">
        <is>
          <t>Groin</t>
        </is>
      </c>
      <c r="F271" s="156" t="inlineStr">
        <is>
          <t>Questionable</t>
        </is>
      </c>
    </row>
    <row r="272" ht="15.6" customHeight="1" s="152">
      <c r="A272" s="167">
        <f>B272&amp;C272</f>
        <v/>
      </c>
      <c r="B272" s="156" t="inlineStr">
        <is>
          <t>FA</t>
        </is>
      </c>
      <c r="C272" s="156" t="inlineStr">
        <is>
          <t>Izaiah Gathings</t>
        </is>
      </c>
      <c r="D272" s="156" t="inlineStr">
        <is>
          <t>TE</t>
        </is>
      </c>
      <c r="E272" s="156" t="inlineStr">
        <is>
          <t>Hamstring</t>
        </is>
      </c>
      <c r="F272" s="156" t="inlineStr">
        <is>
          <t>Questionable</t>
        </is>
      </c>
    </row>
    <row r="273" ht="15.6" customHeight="1" s="152">
      <c r="A273" s="167">
        <f>B273&amp;C273</f>
        <v/>
      </c>
      <c r="B273" s="156" t="inlineStr">
        <is>
          <t>KC</t>
        </is>
      </c>
      <c r="C273" s="156" t="inlineStr">
        <is>
          <t>Brandon George</t>
        </is>
      </c>
      <c r="D273" s="156" t="inlineStr">
        <is>
          <t>LB</t>
        </is>
      </c>
      <c r="E273" s="156" t="inlineStr">
        <is>
          <t>Undisclosed</t>
        </is>
      </c>
      <c r="F273" s="156" t="inlineStr">
        <is>
          <t>IR</t>
        </is>
      </c>
    </row>
    <row r="274" ht="15.6" customHeight="1" s="152">
      <c r="A274" s="167">
        <f>B274&amp;C274</f>
        <v/>
      </c>
      <c r="B274" s="156" t="inlineStr">
        <is>
          <t>FA</t>
        </is>
      </c>
      <c r="C274" s="156" t="inlineStr">
        <is>
          <t>Mark Gilbert</t>
        </is>
      </c>
      <c r="D274" s="156" t="inlineStr">
        <is>
          <t>CB</t>
        </is>
      </c>
      <c r="E274" s="156" t="inlineStr">
        <is>
          <t>Undisclosed</t>
        </is>
      </c>
      <c r="F274" s="156" t="inlineStr">
        <is>
          <t>Questionable</t>
        </is>
      </c>
    </row>
    <row r="275" ht="15.6" customHeight="1" s="152">
      <c r="A275" s="167">
        <f>B275&amp;C275</f>
        <v/>
      </c>
      <c r="B275" s="156" t="inlineStr">
        <is>
          <t>FA</t>
        </is>
      </c>
      <c r="C275" s="156" t="inlineStr">
        <is>
          <t>Zyon Gilbert</t>
        </is>
      </c>
      <c r="D275" s="156" t="inlineStr">
        <is>
          <t>CB</t>
        </is>
      </c>
      <c r="E275" s="156" t="inlineStr">
        <is>
          <t>Knee</t>
        </is>
      </c>
      <c r="F275" s="156" t="inlineStr">
        <is>
          <t>Out</t>
        </is>
      </c>
    </row>
    <row r="276" ht="15.6" customHeight="1" s="152">
      <c r="A276" s="167">
        <f>B276&amp;C276</f>
        <v/>
      </c>
      <c r="B276" s="156" t="inlineStr">
        <is>
          <t>FA</t>
        </is>
      </c>
      <c r="C276" s="156" t="inlineStr">
        <is>
          <t>Jaelen Gill</t>
        </is>
      </c>
      <c r="D276" s="156" t="inlineStr">
        <is>
          <t>WR</t>
        </is>
      </c>
      <c r="E276" s="156" t="inlineStr">
        <is>
          <t>Undisclosed</t>
        </is>
      </c>
      <c r="F276" s="156" t="inlineStr">
        <is>
          <t>Questionable</t>
        </is>
      </c>
    </row>
    <row r="277" ht="15.6" customHeight="1" s="152">
      <c r="A277" s="167">
        <f>B277&amp;C277</f>
        <v/>
      </c>
      <c r="B277" s="156" t="inlineStr">
        <is>
          <t>FA</t>
        </is>
      </c>
      <c r="C277" s="156" t="inlineStr">
        <is>
          <t>Cullen Gillaspia</t>
        </is>
      </c>
      <c r="D277" s="156" t="inlineStr">
        <is>
          <t>LB</t>
        </is>
      </c>
      <c r="E277" s="156" t="inlineStr">
        <is>
          <t>Knee</t>
        </is>
      </c>
      <c r="F277" s="156" t="inlineStr">
        <is>
          <t>Questionable</t>
        </is>
      </c>
    </row>
    <row r="278" ht="15.6" customHeight="1" s="152">
      <c r="A278" s="167">
        <f>B278&amp;C278</f>
        <v/>
      </c>
      <c r="B278" s="156" t="inlineStr">
        <is>
          <t>FA</t>
        </is>
      </c>
      <c r="C278" s="156" t="inlineStr">
        <is>
          <t>Tyree Gillespie</t>
        </is>
      </c>
      <c r="D278" s="156" t="inlineStr">
        <is>
          <t>S</t>
        </is>
      </c>
      <c r="E278" s="156" t="inlineStr">
        <is>
          <t>Undisclosed</t>
        </is>
      </c>
      <c r="F278" s="156" t="inlineStr">
        <is>
          <t>Questionable</t>
        </is>
      </c>
    </row>
    <row r="279" ht="15.6" customHeight="1" s="152">
      <c r="A279" s="167">
        <f>B279&amp;C279</f>
        <v/>
      </c>
      <c r="B279" s="156" t="inlineStr">
        <is>
          <t>SF</t>
        </is>
      </c>
      <c r="C279" s="156" t="inlineStr">
        <is>
          <t>Kevin Givens</t>
        </is>
      </c>
      <c r="D279" s="156" t="inlineStr">
        <is>
          <t>DT</t>
        </is>
      </c>
      <c r="E279" s="156" t="inlineStr">
        <is>
          <t>Pectoral</t>
        </is>
      </c>
      <c r="F279" s="156" t="inlineStr">
        <is>
          <t>IR-R</t>
        </is>
      </c>
    </row>
    <row r="280" ht="15.6" customHeight="1" s="152">
      <c r="A280" s="167">
        <f>B280&amp;C280</f>
        <v/>
      </c>
      <c r="B280" s="156" t="inlineStr">
        <is>
          <t>FA</t>
        </is>
      </c>
      <c r="C280" s="156" t="inlineStr">
        <is>
          <t>Jordan Glasgow</t>
        </is>
      </c>
      <c r="D280" s="156" t="inlineStr">
        <is>
          <t>LB</t>
        </is>
      </c>
      <c r="E280" s="156" t="inlineStr">
        <is>
          <t>Undisclosed</t>
        </is>
      </c>
      <c r="F280" s="156" t="inlineStr">
        <is>
          <t>Questionable</t>
        </is>
      </c>
    </row>
    <row r="281" ht="15.6" customHeight="1" s="152">
      <c r="A281" s="167">
        <f>B281&amp;C281</f>
        <v/>
      </c>
      <c r="B281" s="156" t="inlineStr">
        <is>
          <t>GB</t>
        </is>
      </c>
      <c r="C281" s="156" t="inlineStr">
        <is>
          <t>Travis Glover</t>
        </is>
      </c>
      <c r="D281" s="156" t="inlineStr">
        <is>
          <t>OT</t>
        </is>
      </c>
      <c r="E281" s="156" t="inlineStr">
        <is>
          <t>Shoulder</t>
        </is>
      </c>
      <c r="F281" s="156" t="inlineStr">
        <is>
          <t>IR</t>
        </is>
      </c>
    </row>
    <row r="282" ht="15.6" customHeight="1" s="152">
      <c r="A282" s="167">
        <f>B282&amp;C282</f>
        <v/>
      </c>
      <c r="B282" s="156" t="inlineStr">
        <is>
          <t>TB</t>
        </is>
      </c>
      <c r="C282" s="156" t="inlineStr">
        <is>
          <t>Chris Godwin</t>
        </is>
      </c>
      <c r="D282" s="156" t="inlineStr">
        <is>
          <t>WR</t>
        </is>
      </c>
      <c r="E282" s="156" t="inlineStr">
        <is>
          <t>Ankle</t>
        </is>
      </c>
      <c r="F282" s="156" t="inlineStr">
        <is>
          <t>Questionable</t>
        </is>
      </c>
    </row>
    <row r="283" ht="15.6" customHeight="1" s="152">
      <c r="A283" s="167">
        <f>B283&amp;C283</f>
        <v/>
      </c>
      <c r="B283" s="156" t="inlineStr">
        <is>
          <t>TB</t>
        </is>
      </c>
      <c r="C283" s="156" t="inlineStr">
        <is>
          <t>Luke Goedeke</t>
        </is>
      </c>
      <c r="D283" s="156" t="inlineStr">
        <is>
          <t>OT</t>
        </is>
      </c>
      <c r="E283" s="156" t="inlineStr">
        <is>
          <t>Foot</t>
        </is>
      </c>
      <c r="F283" s="156" t="inlineStr">
        <is>
          <t>Doubtful</t>
        </is>
      </c>
    </row>
    <row r="284" ht="15.6" customHeight="1" s="152">
      <c r="A284" s="167">
        <f>B284&amp;C284</f>
        <v/>
      </c>
      <c r="B284" s="156" t="inlineStr">
        <is>
          <t>PHI</t>
        </is>
      </c>
      <c r="C284" s="156" t="inlineStr">
        <is>
          <t>Dallas Goedert</t>
        </is>
      </c>
      <c r="D284" s="156" t="inlineStr">
        <is>
          <t>TE</t>
        </is>
      </c>
      <c r="E284" s="156" t="inlineStr">
        <is>
          <t>Knee</t>
        </is>
      </c>
      <c r="F284" s="156" t="inlineStr">
        <is>
          <t>Questionable</t>
        </is>
      </c>
    </row>
    <row r="285" ht="15.6" customHeight="1" s="152">
      <c r="A285" s="167">
        <f>B285&amp;C285</f>
        <v/>
      </c>
      <c r="B285" s="156" t="inlineStr">
        <is>
          <t>NYG</t>
        </is>
      </c>
      <c r="C285" s="156" t="inlineStr">
        <is>
          <t>Chauncey Golston</t>
        </is>
      </c>
      <c r="D285" s="156" t="inlineStr">
        <is>
          <t>DE</t>
        </is>
      </c>
      <c r="E285" s="156" t="inlineStr">
        <is>
          <t>Ankle</t>
        </is>
      </c>
      <c r="F285" s="156" t="inlineStr">
        <is>
          <t>Questionable</t>
        </is>
      </c>
    </row>
    <row r="286" ht="15.6" customHeight="1" s="152">
      <c r="A286" s="167">
        <f>B286&amp;C286</f>
        <v/>
      </c>
      <c r="B286" s="156" t="inlineStr">
        <is>
          <t>FA</t>
        </is>
      </c>
      <c r="C286" s="156" t="inlineStr">
        <is>
          <t>Matt Gono</t>
        </is>
      </c>
      <c r="D286" s="156" t="inlineStr">
        <is>
          <t>OT</t>
        </is>
      </c>
      <c r="E286" s="156" t="inlineStr">
        <is>
          <t>Neck</t>
        </is>
      </c>
      <c r="F286" s="156" t="inlineStr">
        <is>
          <t>Questionable</t>
        </is>
      </c>
    </row>
    <row r="287" ht="15.6" customHeight="1" s="152">
      <c r="A287" s="167">
        <f>B287&amp;C287</f>
        <v/>
      </c>
      <c r="B287" s="156" t="inlineStr">
        <is>
          <t>NE</t>
        </is>
      </c>
      <c r="C287" s="156" t="inlineStr">
        <is>
          <t>Christian Gonzalez</t>
        </is>
      </c>
      <c r="D287" s="156" t="inlineStr">
        <is>
          <t>CB</t>
        </is>
      </c>
      <c r="E287" s="156" t="inlineStr">
        <is>
          <t>Hamstring</t>
        </is>
      </c>
      <c r="F287" s="156" t="inlineStr">
        <is>
          <t>Questionable</t>
        </is>
      </c>
    </row>
    <row r="288" ht="15.6" customHeight="1" s="152">
      <c r="A288" s="167">
        <f>B288&amp;C288</f>
        <v/>
      </c>
      <c r="B288" s="156" t="inlineStr">
        <is>
          <t>FA</t>
        </is>
      </c>
      <c r="C288" s="156" t="inlineStr">
        <is>
          <t>Julian Good-Jones</t>
        </is>
      </c>
      <c r="D288" s="156" t="inlineStr">
        <is>
          <t>OG</t>
        </is>
      </c>
      <c r="E288" s="156" t="inlineStr">
        <is>
          <t>Undisclosed</t>
        </is>
      </c>
      <c r="F288" s="156" t="inlineStr">
        <is>
          <t>Questionable</t>
        </is>
      </c>
    </row>
    <row r="289" ht="15.6" customHeight="1" s="152">
      <c r="A289" s="167">
        <f>B289&amp;C289</f>
        <v/>
      </c>
      <c r="B289" s="156" t="inlineStr">
        <is>
          <t>CHI</t>
        </is>
      </c>
      <c r="C289" s="156" t="inlineStr">
        <is>
          <t>Kyler Gordon</t>
        </is>
      </c>
      <c r="D289" s="156" t="inlineStr">
        <is>
          <t>CB</t>
        </is>
      </c>
      <c r="E289" s="156" t="inlineStr">
        <is>
          <t>Hamstring</t>
        </is>
      </c>
      <c r="F289" s="156" t="inlineStr">
        <is>
          <t>Questionable</t>
        </is>
      </c>
    </row>
    <row r="290" ht="15.6" customHeight="1" s="152">
      <c r="A290" s="167">
        <f>B290&amp;C290</f>
        <v/>
      </c>
      <c r="B290" s="156" t="inlineStr">
        <is>
          <t>BUF</t>
        </is>
      </c>
      <c r="C290" s="156" t="inlineStr">
        <is>
          <t>Tylan Grable</t>
        </is>
      </c>
      <c r="D290" s="156" t="inlineStr">
        <is>
          <t>OT</t>
        </is>
      </c>
      <c r="E290" s="156" t="inlineStr">
        <is>
          <t>Concussion</t>
        </is>
      </c>
      <c r="F290" s="156" t="inlineStr">
        <is>
          <t>IR-R</t>
        </is>
      </c>
    </row>
    <row r="291" ht="15.6" customHeight="1" s="152">
      <c r="A291" s="167">
        <f>B291&amp;C291</f>
        <v/>
      </c>
      <c r="B291" s="156" t="inlineStr">
        <is>
          <t>FA</t>
        </is>
      </c>
      <c r="C291" s="156" t="inlineStr">
        <is>
          <t>Brandon Graham</t>
        </is>
      </c>
      <c r="D291" s="156" t="inlineStr">
        <is>
          <t>LB</t>
        </is>
      </c>
      <c r="E291" s="156" t="inlineStr">
        <is>
          <t>Undisclosed</t>
        </is>
      </c>
      <c r="F291" s="156" t="inlineStr">
        <is>
          <t>Reserve-Ret</t>
        </is>
      </c>
    </row>
    <row r="292" ht="15.6" customHeight="1" s="152">
      <c r="A292" s="167">
        <f>B292&amp;C292</f>
        <v/>
      </c>
      <c r="B292" s="156" t="inlineStr">
        <is>
          <t>FA</t>
        </is>
      </c>
      <c r="C292" s="156" t="inlineStr">
        <is>
          <t>Jaeden Graham</t>
        </is>
      </c>
      <c r="D292" s="156" t="inlineStr">
        <is>
          <t>TE</t>
        </is>
      </c>
      <c r="E292" s="156" t="inlineStr">
        <is>
          <t>Undisclosed</t>
        </is>
      </c>
      <c r="F292" s="156" t="inlineStr">
        <is>
          <t>Questionable</t>
        </is>
      </c>
    </row>
    <row r="293" ht="15.6" customHeight="1" s="152">
      <c r="A293" s="167">
        <f>B293&amp;C293</f>
        <v/>
      </c>
      <c r="B293" s="156" t="inlineStr">
        <is>
          <t>ATL</t>
        </is>
      </c>
      <c r="C293" s="156" t="inlineStr">
        <is>
          <t>Ta'Quon Graham</t>
        </is>
      </c>
      <c r="D293" s="156" t="inlineStr">
        <is>
          <t>DE</t>
        </is>
      </c>
      <c r="E293" s="156" t="inlineStr">
        <is>
          <t>Undisclosed</t>
        </is>
      </c>
      <c r="F293" s="156" t="inlineStr">
        <is>
          <t>IR-R</t>
        </is>
      </c>
    </row>
    <row r="294" ht="15.6" customHeight="1" s="152">
      <c r="A294" s="167">
        <f>B294&amp;C294</f>
        <v/>
      </c>
      <c r="B294" s="156" t="inlineStr">
        <is>
          <t>FA</t>
        </is>
      </c>
      <c r="C294" s="156" t="inlineStr">
        <is>
          <t>Colin Granger</t>
        </is>
      </c>
      <c r="D294" s="156" t="inlineStr">
        <is>
          <t>TE</t>
        </is>
      </c>
      <c r="E294" s="156" t="inlineStr">
        <is>
          <t>Undisclosed</t>
        </is>
      </c>
      <c r="F294" s="156" t="inlineStr">
        <is>
          <t>Questionable</t>
        </is>
      </c>
    </row>
    <row r="295" ht="15.6" customHeight="1" s="152">
      <c r="A295" s="167">
        <f>B295&amp;C295</f>
        <v/>
      </c>
      <c r="B295" s="156" t="inlineStr">
        <is>
          <t>FA</t>
        </is>
      </c>
      <c r="C295" s="156" t="inlineStr">
        <is>
          <t>Danny Gray</t>
        </is>
      </c>
      <c r="D295" s="156" t="inlineStr">
        <is>
          <t>WR</t>
        </is>
      </c>
      <c r="E295" s="156" t="inlineStr">
        <is>
          <t>Finger</t>
        </is>
      </c>
      <c r="F295" s="156" t="inlineStr">
        <is>
          <t>Questionable</t>
        </is>
      </c>
    </row>
    <row r="296" ht="15.6" customHeight="1" s="152">
      <c r="A296" s="167">
        <f>B296&amp;C296</f>
        <v/>
      </c>
      <c r="B296" s="156" t="inlineStr">
        <is>
          <t>NYG</t>
        </is>
      </c>
      <c r="C296" s="156" t="inlineStr">
        <is>
          <t>Eric Gray</t>
        </is>
      </c>
      <c r="D296" s="156" t="inlineStr">
        <is>
          <t>RB</t>
        </is>
      </c>
      <c r="E296" s="156" t="inlineStr">
        <is>
          <t>Undisclosed</t>
        </is>
      </c>
      <c r="F296" s="156" t="inlineStr">
        <is>
          <t>PUP-R</t>
        </is>
      </c>
    </row>
    <row r="297" ht="15.6" customHeight="1" s="152">
      <c r="A297" s="167">
        <f>B297&amp;C297</f>
        <v/>
      </c>
      <c r="B297" s="156" t="inlineStr">
        <is>
          <t>FA</t>
        </is>
      </c>
      <c r="C297" s="156" t="inlineStr">
        <is>
          <t>J.T. Gray</t>
        </is>
      </c>
      <c r="D297" s="156" t="inlineStr">
        <is>
          <t>S</t>
        </is>
      </c>
      <c r="E297" s="156" t="inlineStr">
        <is>
          <t>Undisclosed</t>
        </is>
      </c>
      <c r="F297" s="156" t="inlineStr">
        <is>
          <t>Out</t>
        </is>
      </c>
    </row>
    <row r="298" ht="15.6" customHeight="1" s="152">
      <c r="A298" s="167">
        <f>B298&amp;C298</f>
        <v/>
      </c>
      <c r="B298" s="156" t="inlineStr">
        <is>
          <t>FA</t>
        </is>
      </c>
      <c r="C298" s="156" t="inlineStr">
        <is>
          <t>Vincent Gray</t>
        </is>
      </c>
      <c r="D298" s="156" t="inlineStr">
        <is>
          <t>CB</t>
        </is>
      </c>
      <c r="E298" s="156" t="inlineStr">
        <is>
          <t>Groin</t>
        </is>
      </c>
      <c r="F298" s="156" t="inlineStr">
        <is>
          <t>Questionable</t>
        </is>
      </c>
    </row>
    <row r="299" ht="15.6" customHeight="1" s="152">
      <c r="A299" s="167">
        <f>B299&amp;C299</f>
        <v/>
      </c>
      <c r="B299" s="156" t="inlineStr">
        <is>
          <t>FA</t>
        </is>
      </c>
      <c r="C299" s="156" t="inlineStr">
        <is>
          <t>Antoine Green</t>
        </is>
      </c>
      <c r="D299" s="156" t="inlineStr">
        <is>
          <t>WR</t>
        </is>
      </c>
      <c r="E299" s="156" t="inlineStr">
        <is>
          <t>Concussion</t>
        </is>
      </c>
      <c r="F299" s="156" t="inlineStr">
        <is>
          <t>Questionable</t>
        </is>
      </c>
    </row>
    <row r="300" ht="15.6" customHeight="1" s="152">
      <c r="A300" s="167">
        <f>B300&amp;C300</f>
        <v/>
      </c>
      <c r="B300" s="156" t="inlineStr">
        <is>
          <t>FA</t>
        </is>
      </c>
      <c r="C300" s="156" t="inlineStr">
        <is>
          <t>Rasheem Green</t>
        </is>
      </c>
      <c r="D300" s="156" t="inlineStr">
        <is>
          <t>DE</t>
        </is>
      </c>
      <c r="E300" s="156" t="inlineStr">
        <is>
          <t>Undisclosed</t>
        </is>
      </c>
      <c r="F300" s="156" t="inlineStr">
        <is>
          <t>Questionable</t>
        </is>
      </c>
    </row>
    <row r="301" ht="15.6" customHeight="1" s="152">
      <c r="A301" s="167">
        <f>B301&amp;C301</f>
        <v/>
      </c>
      <c r="B301" s="156" t="inlineStr">
        <is>
          <t>FA</t>
        </is>
      </c>
      <c r="C301" s="156" t="inlineStr">
        <is>
          <t>Virgil Green</t>
        </is>
      </c>
      <c r="D301" s="156" t="inlineStr">
        <is>
          <t>TE</t>
        </is>
      </c>
      <c r="E301" s="156" t="inlineStr">
        <is>
          <t>Ankle</t>
        </is>
      </c>
      <c r="F301" s="156" t="inlineStr">
        <is>
          <t>Questionable</t>
        </is>
      </c>
    </row>
    <row r="302" ht="15.6" customHeight="1" s="152">
      <c r="A302" s="167">
        <f>B302&amp;C302</f>
        <v/>
      </c>
      <c r="B302" s="156" t="inlineStr">
        <is>
          <t>MIN</t>
        </is>
      </c>
      <c r="C302" s="156" t="inlineStr">
        <is>
          <t>Jonathan Greenard</t>
        </is>
      </c>
      <c r="D302" s="156" t="inlineStr">
        <is>
          <t>LB</t>
        </is>
      </c>
      <c r="E302" s="156" t="inlineStr">
        <is>
          <t>Oblique</t>
        </is>
      </c>
      <c r="F302" s="156" t="inlineStr">
        <is>
          <t>Questionable</t>
        </is>
      </c>
    </row>
    <row r="303" ht="15.6" customHeight="1" s="152">
      <c r="A303" s="167">
        <f>B303&amp;C303</f>
        <v/>
      </c>
      <c r="B303" s="156" t="inlineStr">
        <is>
          <t>FA</t>
        </is>
      </c>
      <c r="C303" s="156" t="inlineStr">
        <is>
          <t>Raven Greene</t>
        </is>
      </c>
      <c r="D303" s="156" t="inlineStr">
        <is>
          <t>S</t>
        </is>
      </c>
      <c r="E303" s="156" t="inlineStr">
        <is>
          <t>Undisclosed</t>
        </is>
      </c>
      <c r="F303" s="156" t="inlineStr">
        <is>
          <t>Questionable</t>
        </is>
      </c>
    </row>
    <row r="304" ht="15.6" customHeight="1" s="152">
      <c r="A304" s="167">
        <f>B304&amp;C304</f>
        <v/>
      </c>
      <c r="B304" s="156" t="inlineStr">
        <is>
          <t>TB</t>
        </is>
      </c>
      <c r="C304" s="156" t="inlineStr">
        <is>
          <t>Garret Greenfield</t>
        </is>
      </c>
      <c r="D304" s="156" t="inlineStr">
        <is>
          <t>OT</t>
        </is>
      </c>
      <c r="E304" s="156" t="inlineStr">
        <is>
          <t>Undisclosed</t>
        </is>
      </c>
      <c r="F304" s="156" t="inlineStr">
        <is>
          <t>Reserve-Ret</t>
        </is>
      </c>
    </row>
    <row r="305" ht="15.6" customHeight="1" s="152">
      <c r="A305" s="167">
        <f>B305&amp;C305</f>
        <v/>
      </c>
      <c r="B305" s="156" t="inlineStr">
        <is>
          <t>FA</t>
        </is>
      </c>
      <c r="C305" s="156" t="inlineStr">
        <is>
          <t>Ethan Greenidge</t>
        </is>
      </c>
      <c r="D305" s="156" t="inlineStr">
        <is>
          <t>OT</t>
        </is>
      </c>
      <c r="E305" s="156" t="inlineStr">
        <is>
          <t>Undisclosed</t>
        </is>
      </c>
      <c r="F305" s="156" t="inlineStr">
        <is>
          <t>Questionable</t>
        </is>
      </c>
    </row>
    <row r="306" ht="15.6" customHeight="1" s="152">
      <c r="A306" s="167">
        <f>B306&amp;C306</f>
        <v/>
      </c>
      <c r="B306" s="156" t="inlineStr">
        <is>
          <t>DEN</t>
        </is>
      </c>
      <c r="C306" s="156" t="inlineStr">
        <is>
          <t>Dre Greenlaw</t>
        </is>
      </c>
      <c r="D306" s="156" t="inlineStr">
        <is>
          <t>LB</t>
        </is>
      </c>
      <c r="E306" s="156" t="inlineStr">
        <is>
          <t>Quadriceps</t>
        </is>
      </c>
      <c r="F306" s="156" t="inlineStr">
        <is>
          <t>Questionable</t>
        </is>
      </c>
    </row>
    <row r="307" ht="15.6" customHeight="1" s="152">
      <c r="A307" s="167">
        <f>B307&amp;C307</f>
        <v/>
      </c>
      <c r="B307" s="156" t="inlineStr">
        <is>
          <t>FA</t>
        </is>
      </c>
      <c r="C307" s="156" t="inlineStr">
        <is>
          <t>Antonio Grier</t>
        </is>
      </c>
      <c r="D307" s="156" t="inlineStr">
        <is>
          <t>LB</t>
        </is>
      </c>
      <c r="E307" s="156" t="inlineStr">
        <is>
          <t>Undisclosed</t>
        </is>
      </c>
      <c r="F307" s="156" t="inlineStr">
        <is>
          <t>Questionable</t>
        </is>
      </c>
    </row>
    <row r="308" ht="15.6" customHeight="1" s="152">
      <c r="A308" s="167">
        <f>B308&amp;C308</f>
        <v/>
      </c>
      <c r="B308" s="156" t="inlineStr">
        <is>
          <t>FA</t>
        </is>
      </c>
      <c r="C308" s="156" t="inlineStr">
        <is>
          <t>Trevon Grimes</t>
        </is>
      </c>
      <c r="D308" s="156" t="inlineStr">
        <is>
          <t>WR</t>
        </is>
      </c>
      <c r="E308" s="156" t="inlineStr">
        <is>
          <t>Undisclosed</t>
        </is>
      </c>
      <c r="F308" s="156" t="inlineStr">
        <is>
          <t>Questionable</t>
        </is>
      </c>
    </row>
    <row r="309" ht="15.6" customHeight="1" s="152">
      <c r="A309" s="167">
        <f>B309&amp;C309</f>
        <v/>
      </c>
      <c r="B309" s="156" t="inlineStr">
        <is>
          <t>SF</t>
        </is>
      </c>
      <c r="C309" s="156" t="inlineStr">
        <is>
          <t>Yetur Gross-Matos</t>
        </is>
      </c>
      <c r="D309" s="156" t="inlineStr">
        <is>
          <t>DE</t>
        </is>
      </c>
      <c r="E309" s="156" t="inlineStr">
        <is>
          <t>Knee</t>
        </is>
      </c>
      <c r="F309" s="156" t="inlineStr">
        <is>
          <t>Questionable</t>
        </is>
      </c>
    </row>
    <row r="310" ht="15.6" customHeight="1" s="152">
      <c r="A310" s="167">
        <f>B310&amp;C310</f>
        <v/>
      </c>
      <c r="B310" s="156" t="inlineStr">
        <is>
          <t>FA</t>
        </is>
      </c>
      <c r="C310" s="156" t="inlineStr">
        <is>
          <t>Ryan Groy</t>
        </is>
      </c>
      <c r="D310" s="156" t="inlineStr">
        <is>
          <t>OG</t>
        </is>
      </c>
      <c r="E310" s="156" t="inlineStr">
        <is>
          <t>Triceps</t>
        </is>
      </c>
      <c r="F310" s="156" t="inlineStr">
        <is>
          <t>Questionable</t>
        </is>
      </c>
    </row>
    <row r="311" ht="15.6" customHeight="1" s="152">
      <c r="A311" s="167">
        <f>B311&amp;C311</f>
        <v/>
      </c>
      <c r="B311" s="156" t="inlineStr">
        <is>
          <t>FA</t>
        </is>
      </c>
      <c r="C311" s="156" t="inlineStr">
        <is>
          <t>Xavier Guillory</t>
        </is>
      </c>
      <c r="D311" s="156" t="inlineStr">
        <is>
          <t>WR</t>
        </is>
      </c>
      <c r="E311" s="156" t="inlineStr">
        <is>
          <t>Collarbone</t>
        </is>
      </c>
      <c r="F311" s="156" t="inlineStr">
        <is>
          <t>Questionable</t>
        </is>
      </c>
    </row>
    <row r="312" ht="15.6" customHeight="1" s="152">
      <c r="A312" s="167">
        <f>B312&amp;C312</f>
        <v/>
      </c>
      <c r="B312" s="156" t="inlineStr">
        <is>
          <t>DAL</t>
        </is>
      </c>
      <c r="C312" s="156" t="inlineStr">
        <is>
          <t>Tyler Guyton</t>
        </is>
      </c>
      <c r="D312" s="156" t="inlineStr">
        <is>
          <t>OT</t>
        </is>
      </c>
      <c r="E312" s="156" t="inlineStr">
        <is>
          <t>Shoulder</t>
        </is>
      </c>
      <c r="F312" s="156" t="inlineStr">
        <is>
          <t>Questionable</t>
        </is>
      </c>
    </row>
    <row r="313" ht="15.6" customHeight="1" s="152">
      <c r="A313" s="167">
        <f>B313&amp;C313</f>
        <v/>
      </c>
      <c r="B313" s="156" t="inlineStr">
        <is>
          <t>BUF</t>
        </is>
      </c>
      <c r="C313" s="156" t="inlineStr">
        <is>
          <t>Maxwell Hairston</t>
        </is>
      </c>
      <c r="D313" s="156" t="inlineStr">
        <is>
          <t>CB</t>
        </is>
      </c>
      <c r="E313" s="156" t="inlineStr">
        <is>
          <t>Knee</t>
        </is>
      </c>
      <c r="F313" s="156" t="inlineStr">
        <is>
          <t>IR-R</t>
        </is>
      </c>
    </row>
    <row r="314" ht="15.6" customHeight="1" s="152">
      <c r="A314" s="167">
        <f>B314&amp;C314</f>
        <v/>
      </c>
      <c r="B314" s="156" t="inlineStr">
        <is>
          <t>FA</t>
        </is>
      </c>
      <c r="C314" s="156" t="inlineStr">
        <is>
          <t>Alex Hale</t>
        </is>
      </c>
      <c r="D314" s="156" t="inlineStr">
        <is>
          <t>K</t>
        </is>
      </c>
      <c r="E314" s="156" t="inlineStr">
        <is>
          <t>Eye</t>
        </is>
      </c>
      <c r="F314" s="156" t="inlineStr">
        <is>
          <t>Questionable</t>
        </is>
      </c>
    </row>
    <row r="315" ht="15.6" customHeight="1" s="152">
      <c r="A315" s="167">
        <f>B315&amp;C315</f>
        <v/>
      </c>
      <c r="B315" s="156" t="inlineStr">
        <is>
          <t>FA</t>
        </is>
      </c>
      <c r="C315" s="156" t="inlineStr">
        <is>
          <t>Grant Haley</t>
        </is>
      </c>
      <c r="D315" s="156" t="inlineStr">
        <is>
          <t>CB</t>
        </is>
      </c>
      <c r="E315" s="156" t="inlineStr">
        <is>
          <t>Knee - ACL</t>
        </is>
      </c>
      <c r="F315" s="156" t="inlineStr">
        <is>
          <t>Questionable</t>
        </is>
      </c>
    </row>
    <row r="316" ht="15.6" customHeight="1" s="152">
      <c r="A316" s="167">
        <f>B316&amp;C316</f>
        <v/>
      </c>
      <c r="B316" s="156" t="inlineStr">
        <is>
          <t>SEA</t>
        </is>
      </c>
      <c r="C316" s="156" t="inlineStr">
        <is>
          <t>Derick Hall</t>
        </is>
      </c>
      <c r="D316" s="156" t="inlineStr">
        <is>
          <t>LB</t>
        </is>
      </c>
      <c r="E316" s="156" t="inlineStr">
        <is>
          <t>Hip</t>
        </is>
      </c>
      <c r="F316" s="156" t="inlineStr">
        <is>
          <t>Questionable</t>
        </is>
      </c>
    </row>
    <row r="317" ht="15.6" customHeight="1" s="152">
      <c r="A317" s="167">
        <f>B317&amp;C317</f>
        <v/>
      </c>
      <c r="B317" s="156" t="inlineStr">
        <is>
          <t>FA</t>
        </is>
      </c>
      <c r="C317" s="156" t="inlineStr">
        <is>
          <t>Emanuel Hall</t>
        </is>
      </c>
      <c r="D317" s="156" t="inlineStr">
        <is>
          <t>WR</t>
        </is>
      </c>
      <c r="E317" s="156" t="inlineStr">
        <is>
          <t>Achilles</t>
        </is>
      </c>
      <c r="F317" s="156" t="inlineStr">
        <is>
          <t>Questionable</t>
        </is>
      </c>
    </row>
    <row r="318" ht="15.6" customHeight="1" s="152">
      <c r="A318" s="167">
        <f>B318&amp;C318</f>
        <v/>
      </c>
      <c r="B318" s="156" t="inlineStr">
        <is>
          <t>CLE</t>
        </is>
      </c>
      <c r="C318" s="156" t="inlineStr">
        <is>
          <t>Mike Hall</t>
        </is>
      </c>
      <c r="D318" s="156" t="inlineStr">
        <is>
          <t>DT</t>
        </is>
      </c>
      <c r="E318" s="156" t="inlineStr">
        <is>
          <t>Knee</t>
        </is>
      </c>
      <c r="F318" s="156" t="inlineStr">
        <is>
          <t>Questionable</t>
        </is>
      </c>
    </row>
    <row r="319" ht="15.6" customHeight="1" s="152">
      <c r="A319" s="167">
        <f>B319&amp;C319</f>
        <v/>
      </c>
      <c r="B319" s="156" t="inlineStr">
        <is>
          <t>FA</t>
        </is>
      </c>
      <c r="C319" s="156" t="inlineStr">
        <is>
          <t>Terez Hall</t>
        </is>
      </c>
      <c r="D319" s="156" t="inlineStr">
        <is>
          <t>LB</t>
        </is>
      </c>
      <c r="E319" s="156" t="inlineStr">
        <is>
          <t>Undisclosed</t>
        </is>
      </c>
      <c r="F319" s="156" t="inlineStr">
        <is>
          <t>Questionable</t>
        </is>
      </c>
    </row>
    <row r="320" ht="15.6" customHeight="1" s="152">
      <c r="A320" s="167">
        <f>B320&amp;C320</f>
        <v/>
      </c>
      <c r="B320" s="156" t="inlineStr">
        <is>
          <t>FA</t>
        </is>
      </c>
      <c r="C320" s="156" t="inlineStr">
        <is>
          <t>Tyler Hall</t>
        </is>
      </c>
      <c r="D320" s="156" t="inlineStr">
        <is>
          <t>CB</t>
        </is>
      </c>
      <c r="E320" s="156" t="inlineStr">
        <is>
          <t>Knee</t>
        </is>
      </c>
      <c r="F320" s="156" t="inlineStr">
        <is>
          <t>Questionable</t>
        </is>
      </c>
    </row>
    <row r="321" ht="15.6" customHeight="1" s="152">
      <c r="A321" s="167">
        <f>B321&amp;C321</f>
        <v/>
      </c>
      <c r="B321" s="156" t="inlineStr">
        <is>
          <t>MIN</t>
        </is>
      </c>
      <c r="C321" s="156" t="inlineStr">
        <is>
          <t>C.J. Ham</t>
        </is>
      </c>
      <c r="D321" s="156" t="inlineStr">
        <is>
          <t>FB</t>
        </is>
      </c>
      <c r="E321" s="156" t="inlineStr">
        <is>
          <t>Undisclosed</t>
        </is>
      </c>
      <c r="F321" s="156" t="inlineStr">
        <is>
          <t>IR-R</t>
        </is>
      </c>
    </row>
    <row r="322" ht="15.6" customHeight="1" s="152">
      <c r="A322" s="167">
        <f>B322&amp;C322</f>
        <v/>
      </c>
      <c r="B322" s="156" t="inlineStr">
        <is>
          <t>HOU</t>
        </is>
      </c>
      <c r="C322" s="156" t="inlineStr">
        <is>
          <t>Kyonte Hamilton</t>
        </is>
      </c>
      <c r="D322" s="156" t="inlineStr">
        <is>
          <t>DT</t>
        </is>
      </c>
      <c r="E322" s="156" t="inlineStr">
        <is>
          <t>Ankle</t>
        </is>
      </c>
      <c r="F322" s="156" t="inlineStr">
        <is>
          <t>IR</t>
        </is>
      </c>
    </row>
    <row r="323" ht="15.6" customHeight="1" s="152">
      <c r="A323" s="167">
        <f>B323&amp;C323</f>
        <v/>
      </c>
      <c r="B323" s="156" t="inlineStr">
        <is>
          <t>FA</t>
        </is>
      </c>
      <c r="C323" s="156" t="inlineStr">
        <is>
          <t>Saquan Hampton</t>
        </is>
      </c>
      <c r="D323" s="156" t="inlineStr">
        <is>
          <t>S</t>
        </is>
      </c>
      <c r="E323" s="156" t="inlineStr">
        <is>
          <t>Achilles</t>
        </is>
      </c>
      <c r="F323" s="156" t="inlineStr">
        <is>
          <t>Questionable</t>
        </is>
      </c>
    </row>
    <row r="324" ht="15.6" customHeight="1" s="152">
      <c r="A324" s="167">
        <f>B324&amp;C324</f>
        <v/>
      </c>
      <c r="B324" s="156" t="inlineStr">
        <is>
          <t>CHI</t>
        </is>
      </c>
      <c r="C324" s="156" t="inlineStr">
        <is>
          <t>Deion Hankins</t>
        </is>
      </c>
      <c r="D324" s="156" t="inlineStr">
        <is>
          <t>RB</t>
        </is>
      </c>
      <c r="E324" s="156" t="inlineStr">
        <is>
          <t>Quadriceps</t>
        </is>
      </c>
      <c r="F324" s="156" t="inlineStr">
        <is>
          <t>IR</t>
        </is>
      </c>
    </row>
    <row r="325" ht="15.6" customHeight="1" s="152">
      <c r="A325" s="167">
        <f>B325&amp;C325</f>
        <v/>
      </c>
      <c r="B325" s="156" t="inlineStr">
        <is>
          <t>SEA</t>
        </is>
      </c>
      <c r="C325" s="156" t="inlineStr">
        <is>
          <t>Johnathan Hankins</t>
        </is>
      </c>
      <c r="D325" s="156" t="inlineStr">
        <is>
          <t>DT</t>
        </is>
      </c>
      <c r="E325" s="156" t="inlineStr">
        <is>
          <t>Back</t>
        </is>
      </c>
      <c r="F325" s="156" t="inlineStr">
        <is>
          <t>NFI-R</t>
        </is>
      </c>
    </row>
    <row r="326" ht="15.6" customHeight="1" s="152">
      <c r="A326" s="167">
        <f>B326&amp;C326</f>
        <v/>
      </c>
      <c r="B326" s="156" t="inlineStr">
        <is>
          <t>FA</t>
        </is>
      </c>
      <c r="C326" s="156" t="inlineStr">
        <is>
          <t>Matt Hankins</t>
        </is>
      </c>
      <c r="D326" s="156" t="inlineStr">
        <is>
          <t>CB</t>
        </is>
      </c>
      <c r="E326" s="156" t="inlineStr">
        <is>
          <t>Undisclosed</t>
        </is>
      </c>
      <c r="F326" s="156" t="inlineStr">
        <is>
          <t>Questionable</t>
        </is>
      </c>
    </row>
    <row r="327" ht="15.6" customHeight="1" s="152">
      <c r="A327" s="167">
        <f>B327&amp;C327</f>
        <v/>
      </c>
      <c r="B327" s="156" t="inlineStr">
        <is>
          <t>FA</t>
        </is>
      </c>
      <c r="C327" s="156" t="inlineStr">
        <is>
          <t>Jake Hanson</t>
        </is>
      </c>
      <c r="D327" s="156" t="inlineStr">
        <is>
          <t>OG</t>
        </is>
      </c>
      <c r="E327" s="156" t="inlineStr">
        <is>
          <t>Undisclosed</t>
        </is>
      </c>
      <c r="F327" s="156" t="inlineStr">
        <is>
          <t>Questionable</t>
        </is>
      </c>
    </row>
    <row r="328" ht="15.6" customHeight="1" s="152">
      <c r="A328" s="167">
        <f>B328&amp;C328</f>
        <v/>
      </c>
      <c r="B328" s="156" t="inlineStr">
        <is>
          <t>FA</t>
        </is>
      </c>
      <c r="C328" s="156" t="inlineStr">
        <is>
          <t>Tre Harbison</t>
        </is>
      </c>
      <c r="D328" s="156" t="inlineStr">
        <is>
          <t>RB</t>
        </is>
      </c>
      <c r="E328" s="156" t="inlineStr">
        <is>
          <t>Concussion</t>
        </is>
      </c>
      <c r="F328" s="156" t="inlineStr">
        <is>
          <t>Questionable</t>
        </is>
      </c>
    </row>
    <row r="329" ht="15.6" customHeight="1" s="152">
      <c r="A329" s="167">
        <f>B329&amp;C329</f>
        <v/>
      </c>
      <c r="B329" s="156" t="inlineStr">
        <is>
          <t>FA</t>
        </is>
      </c>
      <c r="C329" s="156" t="inlineStr">
        <is>
          <t>Justin Hardee</t>
        </is>
      </c>
      <c r="D329" s="156" t="inlineStr">
        <is>
          <t>CB</t>
        </is>
      </c>
      <c r="E329" s="156" t="inlineStr">
        <is>
          <t>Undisclosed</t>
        </is>
      </c>
      <c r="F329" s="156" t="inlineStr">
        <is>
          <t>Questionable</t>
        </is>
      </c>
    </row>
    <row r="330" ht="15.6" customHeight="1" s="152">
      <c r="A330" s="167">
        <f>B330&amp;C330</f>
        <v/>
      </c>
      <c r="B330" s="156" t="inlineStr">
        <is>
          <t>FA</t>
        </is>
      </c>
      <c r="C330" s="156" t="inlineStr">
        <is>
          <t>Sean Harlow</t>
        </is>
      </c>
      <c r="D330" s="156" t="inlineStr">
        <is>
          <t>OG</t>
        </is>
      </c>
      <c r="E330" s="156" t="inlineStr">
        <is>
          <t>Undisclosed</t>
        </is>
      </c>
      <c r="F330" s="156" t="inlineStr">
        <is>
          <t>Questionable</t>
        </is>
      </c>
    </row>
    <row r="331" ht="15.6" customHeight="1" s="152">
      <c r="A331" s="167">
        <f>B331&amp;C331</f>
        <v/>
      </c>
      <c r="B331" s="156" t="inlineStr">
        <is>
          <t>FA</t>
        </is>
      </c>
      <c r="C331" s="156" t="inlineStr">
        <is>
          <t>Bruce Harmon</t>
        </is>
      </c>
      <c r="D331" s="156" t="inlineStr">
        <is>
          <t>CB</t>
        </is>
      </c>
      <c r="E331" s="156" t="inlineStr">
        <is>
          <t>Knee</t>
        </is>
      </c>
      <c r="F331" s="156" t="inlineStr">
        <is>
          <t>Questionable</t>
        </is>
      </c>
    </row>
    <row r="332" ht="15.6" customHeight="1" s="152">
      <c r="A332" s="167">
        <f>B332&amp;C332</f>
        <v/>
      </c>
      <c r="B332" s="156" t="inlineStr">
        <is>
          <t>PIT</t>
        </is>
      </c>
      <c r="C332" s="156" t="inlineStr">
        <is>
          <t>Derrick Harmon</t>
        </is>
      </c>
      <c r="D332" s="156" t="inlineStr">
        <is>
          <t>DT</t>
        </is>
      </c>
      <c r="E332" s="156" t="inlineStr">
        <is>
          <t>Knee - MCL</t>
        </is>
      </c>
      <c r="F332" s="156" t="inlineStr">
        <is>
          <t>Questionable</t>
        </is>
      </c>
    </row>
    <row r="333" ht="15.6" customHeight="1" s="152">
      <c r="A333" s="167">
        <f>B333&amp;C333</f>
        <v/>
      </c>
      <c r="B333" s="156" t="inlineStr">
        <is>
          <t>FA</t>
        </is>
      </c>
      <c r="C333" s="156" t="inlineStr">
        <is>
          <t>Devin Harper</t>
        </is>
      </c>
      <c r="D333" s="156" t="inlineStr">
        <is>
          <t>LB</t>
        </is>
      </c>
      <c r="E333" s="156" t="inlineStr">
        <is>
          <t>Undisclosed</t>
        </is>
      </c>
      <c r="F333" s="156" t="inlineStr">
        <is>
          <t>Questionable</t>
        </is>
      </c>
    </row>
    <row r="334" ht="15.6" customHeight="1" s="152">
      <c r="A334" s="167">
        <f>B334&amp;C334</f>
        <v/>
      </c>
      <c r="B334" s="156" t="inlineStr">
        <is>
          <t>FA</t>
        </is>
      </c>
      <c r="C334" s="156" t="inlineStr">
        <is>
          <t>Clark Harris</t>
        </is>
      </c>
      <c r="D334" s="156" t="inlineStr">
        <is>
          <t>C</t>
        </is>
      </c>
      <c r="E334" s="156" t="inlineStr">
        <is>
          <t>Biceps</t>
        </is>
      </c>
      <c r="F334" s="156" t="inlineStr">
        <is>
          <t>Questionable</t>
        </is>
      </c>
    </row>
    <row r="335" ht="15.6" customHeight="1" s="152">
      <c r="A335" s="167">
        <f>B335&amp;C335</f>
        <v/>
      </c>
      <c r="B335" s="156" t="inlineStr">
        <is>
          <t>FA</t>
        </is>
      </c>
      <c r="C335" s="156" t="inlineStr">
        <is>
          <t>Dwayne Harris</t>
        </is>
      </c>
      <c r="D335" s="156" t="inlineStr">
        <is>
          <t>WR</t>
        </is>
      </c>
      <c r="E335" s="156" t="inlineStr">
        <is>
          <t>Triceps</t>
        </is>
      </c>
      <c r="F335" s="156" t="inlineStr">
        <is>
          <t>Questionable</t>
        </is>
      </c>
    </row>
    <row r="336" ht="15.6" customHeight="1" s="152">
      <c r="A336" s="167">
        <f>B336&amp;C336</f>
        <v/>
      </c>
      <c r="B336" s="156" t="inlineStr">
        <is>
          <t>LAC</t>
        </is>
      </c>
      <c r="C336" s="156" t="inlineStr">
        <is>
          <t>Josh Harris</t>
        </is>
      </c>
      <c r="D336" s="156" t="inlineStr">
        <is>
          <t>C</t>
        </is>
      </c>
      <c r="E336" s="156" t="inlineStr">
        <is>
          <t>Undisclosed</t>
        </is>
      </c>
      <c r="F336" s="156" t="inlineStr">
        <is>
          <t>IR-R</t>
        </is>
      </c>
    </row>
    <row r="337" ht="15.6" customHeight="1" s="152">
      <c r="A337" s="167">
        <f>B337&amp;C337</f>
        <v/>
      </c>
      <c r="B337" s="156" t="inlineStr">
        <is>
          <t>FA</t>
        </is>
      </c>
      <c r="C337" s="156" t="inlineStr">
        <is>
          <t>Keilahn Harris</t>
        </is>
      </c>
      <c r="D337" s="156" t="inlineStr">
        <is>
          <t>WR</t>
        </is>
      </c>
      <c r="E337" s="156" t="inlineStr">
        <is>
          <t>Undisclosed</t>
        </is>
      </c>
      <c r="F337" s="156" t="inlineStr">
        <is>
          <t>Questionable</t>
        </is>
      </c>
    </row>
    <row r="338" ht="15.6" customHeight="1" s="152">
      <c r="A338" s="167">
        <f>B338&amp;C338</f>
        <v/>
      </c>
      <c r="B338" s="156" t="inlineStr">
        <is>
          <t>PIT</t>
        </is>
      </c>
      <c r="C338" s="156" t="inlineStr">
        <is>
          <t>Malik Harrison</t>
        </is>
      </c>
      <c r="D338" s="156" t="inlineStr">
        <is>
          <t>LB</t>
        </is>
      </c>
      <c r="E338" s="156" t="inlineStr">
        <is>
          <t>Knee</t>
        </is>
      </c>
      <c r="F338" s="156" t="inlineStr">
        <is>
          <t>IR</t>
        </is>
      </c>
    </row>
    <row r="339" ht="15.6" customHeight="1" s="152">
      <c r="A339" s="167">
        <f>B339&amp;C339</f>
        <v/>
      </c>
      <c r="B339" s="156" t="inlineStr">
        <is>
          <t>LAC</t>
        </is>
      </c>
      <c r="C339" s="156" t="inlineStr">
        <is>
          <t>Cam Hart</t>
        </is>
      </c>
      <c r="D339" s="156" t="inlineStr">
        <is>
          <t>CB</t>
        </is>
      </c>
      <c r="E339" s="156" t="inlineStr">
        <is>
          <t>Hip</t>
        </is>
      </c>
      <c r="F339" s="156" t="inlineStr">
        <is>
          <t>Questionable</t>
        </is>
      </c>
    </row>
    <row r="340" ht="15.6" customHeight="1" s="152">
      <c r="A340" s="167">
        <f>B340&amp;C340</f>
        <v/>
      </c>
      <c r="B340" s="156" t="inlineStr">
        <is>
          <t>FA</t>
        </is>
      </c>
      <c r="C340" s="156" t="inlineStr">
        <is>
          <t>Penny Hart</t>
        </is>
      </c>
      <c r="D340" s="156" t="inlineStr">
        <is>
          <t>WR</t>
        </is>
      </c>
      <c r="E340" s="156" t="inlineStr">
        <is>
          <t>Concussion</t>
        </is>
      </c>
      <c r="F340" s="156" t="inlineStr">
        <is>
          <t>Questionable</t>
        </is>
      </c>
    </row>
    <row r="341" ht="15.6" customHeight="1" s="152">
      <c r="A341" s="167">
        <f>B341&amp;C341</f>
        <v/>
      </c>
      <c r="B341" s="156" t="inlineStr">
        <is>
          <t>FA</t>
        </is>
      </c>
      <c r="C341" s="156" t="inlineStr">
        <is>
          <t>Montre Hartage</t>
        </is>
      </c>
      <c r="D341" s="156" t="inlineStr">
        <is>
          <t>S</t>
        </is>
      </c>
      <c r="E341" s="156" t="inlineStr">
        <is>
          <t>Undisclosed</t>
        </is>
      </c>
      <c r="F341" s="156" t="inlineStr">
        <is>
          <t>Questionable</t>
        </is>
      </c>
    </row>
    <row r="342" ht="15.6" customHeight="1" s="152">
      <c r="A342" s="167">
        <f>B342&amp;C342</f>
        <v/>
      </c>
      <c r="B342" s="156" t="inlineStr">
        <is>
          <t>NYJ</t>
        </is>
      </c>
      <c r="C342" s="156" t="inlineStr">
        <is>
          <t>Gus Hartwig</t>
        </is>
      </c>
      <c r="D342" s="156" t="inlineStr">
        <is>
          <t>C</t>
        </is>
      </c>
      <c r="E342" s="156" t="inlineStr">
        <is>
          <t>Undisclosed</t>
        </is>
      </c>
      <c r="F342" s="156" t="inlineStr">
        <is>
          <t>IR</t>
        </is>
      </c>
    </row>
    <row r="343" ht="15.6" customHeight="1" s="152">
      <c r="A343" s="167">
        <f>B343&amp;C343</f>
        <v/>
      </c>
      <c r="B343" s="156" t="inlineStr">
        <is>
          <t>FA</t>
        </is>
      </c>
      <c r="C343" s="156" t="inlineStr">
        <is>
          <t>Deonte Harty</t>
        </is>
      </c>
      <c r="D343" s="156" t="inlineStr">
        <is>
          <t>WR</t>
        </is>
      </c>
      <c r="E343" s="156" t="inlineStr">
        <is>
          <t>Knee</t>
        </is>
      </c>
      <c r="F343" s="156" t="inlineStr">
        <is>
          <t>Questionable</t>
        </is>
      </c>
    </row>
    <row r="344" ht="15.6" customHeight="1" s="152">
      <c r="A344" s="167">
        <f>B344&amp;C344</f>
        <v/>
      </c>
      <c r="B344" s="156" t="inlineStr">
        <is>
          <t>FA</t>
        </is>
      </c>
      <c r="C344" s="156" t="inlineStr">
        <is>
          <t>Kolby Harvell-Peel</t>
        </is>
      </c>
      <c r="D344" s="156" t="inlineStr">
        <is>
          <t>S</t>
        </is>
      </c>
      <c r="E344" s="156" t="inlineStr">
        <is>
          <t>Hamstring</t>
        </is>
      </c>
      <c r="F344" s="156" t="inlineStr">
        <is>
          <t>Questionable</t>
        </is>
      </c>
    </row>
    <row r="345" ht="15.6" customHeight="1" s="152">
      <c r="A345" s="167">
        <f>B345&amp;C345</f>
        <v/>
      </c>
      <c r="B345" s="156" t="inlineStr">
        <is>
          <t>FA</t>
        </is>
      </c>
      <c r="C345" s="156" t="inlineStr">
        <is>
          <t>Ahmed Hassanein</t>
        </is>
      </c>
      <c r="D345" s="156" t="inlineStr">
        <is>
          <t>DE</t>
        </is>
      </c>
      <c r="E345" s="156" t="inlineStr">
        <is>
          <t>Pectoral</t>
        </is>
      </c>
      <c r="F345" s="156" t="inlineStr">
        <is>
          <t>Questionable</t>
        </is>
      </c>
    </row>
    <row r="346" ht="15.6" customHeight="1" s="152">
      <c r="A346" s="167">
        <f>B346&amp;C346</f>
        <v/>
      </c>
      <c r="B346" s="156" t="inlineStr">
        <is>
          <t>FA</t>
        </is>
      </c>
      <c r="C346" s="156" t="inlineStr">
        <is>
          <t>Jerald Hawkins</t>
        </is>
      </c>
      <c r="D346" s="156" t="inlineStr">
        <is>
          <t>OT</t>
        </is>
      </c>
      <c r="E346" s="156" t="inlineStr">
        <is>
          <t>Undisclosed</t>
        </is>
      </c>
      <c r="F346" s="156" t="inlineStr">
        <is>
          <t>Questionable</t>
        </is>
      </c>
    </row>
    <row r="347" ht="15.6" customHeight="1" s="152">
      <c r="A347" s="167">
        <f>B347&amp;C347</f>
        <v/>
      </c>
      <c r="B347" s="156" t="inlineStr">
        <is>
          <t>FA</t>
        </is>
      </c>
      <c r="C347" s="156" t="inlineStr">
        <is>
          <t>Tayler Hawkins</t>
        </is>
      </c>
      <c r="D347" s="156" t="inlineStr">
        <is>
          <t>S</t>
        </is>
      </c>
      <c r="E347" s="156" t="inlineStr">
        <is>
          <t>Undisclosed</t>
        </is>
      </c>
      <c r="F347" s="156" t="inlineStr">
        <is>
          <t>Questionable</t>
        </is>
      </c>
    </row>
    <row r="348" ht="15.6" customHeight="1" s="152">
      <c r="A348" s="167">
        <f>B348&amp;C348</f>
        <v/>
      </c>
      <c r="B348" s="156" t="inlineStr">
        <is>
          <t>FA</t>
        </is>
      </c>
      <c r="C348" s="156" t="inlineStr">
        <is>
          <t>Tre Hawkins</t>
        </is>
      </c>
      <c r="D348" s="156" t="inlineStr">
        <is>
          <t>CB</t>
        </is>
      </c>
      <c r="E348" s="156" t="inlineStr">
        <is>
          <t>Undisclosed</t>
        </is>
      </c>
      <c r="F348" s="156" t="inlineStr">
        <is>
          <t>Questionable</t>
        </is>
      </c>
    </row>
    <row r="349" ht="15.6" customHeight="1" s="152">
      <c r="A349" s="167">
        <f>B349&amp;C349</f>
        <v/>
      </c>
      <c r="B349" s="156" t="inlineStr">
        <is>
          <t>FA</t>
        </is>
      </c>
      <c r="C349" s="156" t="inlineStr">
        <is>
          <t>Daelin Hayes</t>
        </is>
      </c>
      <c r="D349" s="156" t="inlineStr">
        <is>
          <t>LB</t>
        </is>
      </c>
      <c r="E349" s="156" t="inlineStr">
        <is>
          <t>Undisclosed</t>
        </is>
      </c>
      <c r="F349" s="156" t="inlineStr">
        <is>
          <t>Questionable</t>
        </is>
      </c>
    </row>
    <row r="350" ht="15.6" customHeight="1" s="152">
      <c r="A350" s="167">
        <f>B350&amp;C350</f>
        <v/>
      </c>
      <c r="B350" s="156" t="inlineStr">
        <is>
          <t>SEA</t>
        </is>
      </c>
      <c r="C350" s="156" t="inlineStr">
        <is>
          <t>Christian Haynes</t>
        </is>
      </c>
      <c r="D350" s="156" t="inlineStr">
        <is>
          <t>OG</t>
        </is>
      </c>
      <c r="E350" s="156" t="inlineStr">
        <is>
          <t>Pectoral</t>
        </is>
      </c>
      <c r="F350" s="156" t="inlineStr">
        <is>
          <t>IR-R</t>
        </is>
      </c>
    </row>
    <row r="351" ht="15.6" customHeight="1" s="152">
      <c r="A351" s="167">
        <f>B351&amp;C351</f>
        <v/>
      </c>
      <c r="B351" s="156" t="inlineStr">
        <is>
          <t>FA</t>
        </is>
      </c>
      <c r="C351" s="156" t="inlineStr">
        <is>
          <t>Joel Heath</t>
        </is>
      </c>
      <c r="D351" s="156" t="inlineStr">
        <is>
          <t>DE</t>
        </is>
      </c>
      <c r="E351" s="156" t="inlineStr">
        <is>
          <t>Knee - ACL</t>
        </is>
      </c>
      <c r="F351" s="156" t="inlineStr">
        <is>
          <t>Questionable</t>
        </is>
      </c>
    </row>
    <row r="352" ht="15.6" customHeight="1" s="152">
      <c r="A352" s="167">
        <f>B352&amp;C352</f>
        <v/>
      </c>
      <c r="B352" s="156" t="inlineStr">
        <is>
          <t>ATL</t>
        </is>
      </c>
      <c r="C352" s="156" t="inlineStr">
        <is>
          <t>DeMarcco Hellams</t>
        </is>
      </c>
      <c r="D352" s="156" t="inlineStr">
        <is>
          <t>S</t>
        </is>
      </c>
      <c r="E352" s="156" t="inlineStr">
        <is>
          <t>Hamstring</t>
        </is>
      </c>
      <c r="F352" s="156" t="inlineStr">
        <is>
          <t>Questionable</t>
        </is>
      </c>
    </row>
    <row r="353" ht="15.6" customHeight="1" s="152">
      <c r="A353" s="167">
        <f>B353&amp;C353</f>
        <v/>
      </c>
      <c r="B353" s="156" t="inlineStr">
        <is>
          <t>FA</t>
        </is>
      </c>
      <c r="C353" s="156" t="inlineStr">
        <is>
          <t>Xavier Henderson</t>
        </is>
      </c>
      <c r="D353" s="156" t="inlineStr">
        <is>
          <t>S</t>
        </is>
      </c>
      <c r="E353" s="156" t="inlineStr">
        <is>
          <t>Undisclosed</t>
        </is>
      </c>
      <c r="F353" s="156" t="inlineStr">
        <is>
          <t>Questionable</t>
        </is>
      </c>
    </row>
    <row r="354" ht="15.6" customHeight="1" s="152">
      <c r="A354" s="167">
        <f>B354&amp;C354</f>
        <v/>
      </c>
      <c r="B354" s="156" t="inlineStr">
        <is>
          <t>LAC</t>
        </is>
      </c>
      <c r="C354" s="156" t="inlineStr">
        <is>
          <t>Daiyan Henley</t>
        </is>
      </c>
      <c r="D354" s="156" t="inlineStr">
        <is>
          <t>LB</t>
        </is>
      </c>
      <c r="E354" s="156" t="inlineStr">
        <is>
          <t>Illness</t>
        </is>
      </c>
      <c r="F354" s="156" t="inlineStr">
        <is>
          <t>Questionable</t>
        </is>
      </c>
    </row>
    <row r="355" ht="15.6" customHeight="1" s="152">
      <c r="A355" s="167">
        <f>B355&amp;C355</f>
        <v/>
      </c>
      <c r="B355" s="156" t="inlineStr">
        <is>
          <t>DEN</t>
        </is>
      </c>
      <c r="C355" s="156" t="inlineStr">
        <is>
          <t>Matt Henningsen</t>
        </is>
      </c>
      <c r="D355" s="156" t="inlineStr">
        <is>
          <t>DT</t>
        </is>
      </c>
      <c r="E355" s="156" t="inlineStr">
        <is>
          <t>Achilles</t>
        </is>
      </c>
      <c r="F355" s="156" t="inlineStr">
        <is>
          <t>IR</t>
        </is>
      </c>
    </row>
    <row r="356" ht="15.6" customHeight="1" s="152">
      <c r="A356" s="167">
        <f>B356&amp;C356</f>
        <v/>
      </c>
      <c r="B356" s="156" t="inlineStr">
        <is>
          <t>FA</t>
        </is>
      </c>
      <c r="C356" s="156" t="inlineStr">
        <is>
          <t>Ra'Shaun Henry</t>
        </is>
      </c>
      <c r="D356" s="156" t="inlineStr">
        <is>
          <t>WR</t>
        </is>
      </c>
      <c r="E356" s="156" t="inlineStr">
        <is>
          <t>Undisclosed</t>
        </is>
      </c>
      <c r="F356" s="156" t="inlineStr">
        <is>
          <t>Questionable</t>
        </is>
      </c>
    </row>
    <row r="357" ht="15.6" customHeight="1" s="152">
      <c r="A357" s="167">
        <f>B357&amp;C357</f>
        <v/>
      </c>
      <c r="B357" s="156" t="inlineStr">
        <is>
          <t>WAS</t>
        </is>
      </c>
      <c r="C357" s="156" t="inlineStr">
        <is>
          <t>Nate Herbig</t>
        </is>
      </c>
      <c r="D357" s="156" t="inlineStr">
        <is>
          <t>OG</t>
        </is>
      </c>
      <c r="E357" s="156" t="inlineStr">
        <is>
          <t>Undisclosed</t>
        </is>
      </c>
      <c r="F357" s="156" t="inlineStr">
        <is>
          <t>Reserve-Ret</t>
        </is>
      </c>
    </row>
    <row r="358" ht="15.6" customHeight="1" s="152">
      <c r="A358" s="167">
        <f>B358&amp;C358</f>
        <v/>
      </c>
      <c r="B358" s="156" t="inlineStr">
        <is>
          <t>ARI</t>
        </is>
      </c>
      <c r="C358" s="156" t="inlineStr">
        <is>
          <t>Will Hernandez</t>
        </is>
      </c>
      <c r="D358" s="156" t="inlineStr">
        <is>
          <t>OG</t>
        </is>
      </c>
      <c r="E358" s="156" t="inlineStr">
        <is>
          <t>Knee - ACL</t>
        </is>
      </c>
      <c r="F358" s="156" t="inlineStr">
        <is>
          <t>Questionable</t>
        </is>
      </c>
    </row>
    <row r="359" ht="15.6" customHeight="1" s="152">
      <c r="A359" s="167">
        <f>B359&amp;C359</f>
        <v/>
      </c>
      <c r="B359" s="156" t="inlineStr">
        <is>
          <t>FA</t>
        </is>
      </c>
      <c r="C359" s="156" t="inlineStr">
        <is>
          <t>Chandon Herring</t>
        </is>
      </c>
      <c r="D359" s="156" t="inlineStr">
        <is>
          <t>OG</t>
        </is>
      </c>
      <c r="E359" s="156" t="inlineStr">
        <is>
          <t>Undisclosed</t>
        </is>
      </c>
      <c r="F359" s="156" t="inlineStr">
        <is>
          <t>Questionable</t>
        </is>
      </c>
    </row>
    <row r="360" ht="15.6" customHeight="1" s="152">
      <c r="A360" s="167">
        <f>B360&amp;C360</f>
        <v/>
      </c>
      <c r="B360" s="156" t="inlineStr">
        <is>
          <t>DET</t>
        </is>
      </c>
      <c r="C360" s="156" t="inlineStr">
        <is>
          <t>Justin Herron</t>
        </is>
      </c>
      <c r="D360" s="156" t="inlineStr">
        <is>
          <t>OT</t>
        </is>
      </c>
      <c r="E360" s="156" t="inlineStr">
        <is>
          <t>Undisclosed</t>
        </is>
      </c>
      <c r="F360" s="156" t="inlineStr">
        <is>
          <t>IR</t>
        </is>
      </c>
    </row>
    <row r="361" ht="15.6" customHeight="1" s="152">
      <c r="A361" s="167">
        <f>B361&amp;C361</f>
        <v/>
      </c>
      <c r="B361" s="156" t="inlineStr">
        <is>
          <t>CLE</t>
        </is>
      </c>
      <c r="C361" s="156" t="inlineStr">
        <is>
          <t>Jordan Hicks</t>
        </is>
      </c>
      <c r="D361" s="156" t="inlineStr">
        <is>
          <t>LB</t>
        </is>
      </c>
      <c r="E361" s="156" t="inlineStr">
        <is>
          <t>Undisclosed</t>
        </is>
      </c>
      <c r="F361" s="156" t="inlineStr">
        <is>
          <t>Reserve-Ret</t>
        </is>
      </c>
    </row>
    <row r="362" ht="15.6" customHeight="1" s="152">
      <c r="A362" s="167">
        <f>B362&amp;C362</f>
        <v/>
      </c>
      <c r="B362" s="156" t="inlineStr">
        <is>
          <t>PIT</t>
        </is>
      </c>
      <c r="C362" s="156" t="inlineStr">
        <is>
          <t>Alex Highsmith</t>
        </is>
      </c>
      <c r="D362" s="156" t="inlineStr">
        <is>
          <t>LB</t>
        </is>
      </c>
      <c r="E362" s="156" t="inlineStr">
        <is>
          <t>Ankle</t>
        </is>
      </c>
      <c r="F362" s="156" t="inlineStr">
        <is>
          <t>Out</t>
        </is>
      </c>
    </row>
    <row r="363" ht="15.6" customHeight="1" s="152">
      <c r="A363" s="167">
        <f>B363&amp;C363</f>
        <v/>
      </c>
      <c r="B363" s="156" t="inlineStr">
        <is>
          <t>FA</t>
        </is>
      </c>
      <c r="C363" s="156" t="inlineStr">
        <is>
          <t>Brandon Hill</t>
        </is>
      </c>
      <c r="D363" s="156" t="inlineStr">
        <is>
          <t>S</t>
        </is>
      </c>
      <c r="E363" s="156" t="inlineStr">
        <is>
          <t>Leg</t>
        </is>
      </c>
      <c r="F363" s="156" t="inlineStr">
        <is>
          <t>Questionable</t>
        </is>
      </c>
    </row>
    <row r="364" ht="15.6" customHeight="1" s="152">
      <c r="A364" s="167">
        <f>B364&amp;C364</f>
        <v/>
      </c>
      <c r="B364" s="156" t="inlineStr">
        <is>
          <t>NO</t>
        </is>
      </c>
      <c r="C364" s="156" t="inlineStr">
        <is>
          <t>Taysom Hill</t>
        </is>
      </c>
      <c r="D364" s="156" t="inlineStr">
        <is>
          <t>TE</t>
        </is>
      </c>
      <c r="E364" s="156" t="inlineStr">
        <is>
          <t>Knee - ACL</t>
        </is>
      </c>
      <c r="F364" s="156" t="inlineStr">
        <is>
          <t>PUP-R</t>
        </is>
      </c>
    </row>
    <row r="365" ht="15.6" customHeight="1" s="152">
      <c r="A365" s="167">
        <f>B365&amp;C365</f>
        <v/>
      </c>
      <c r="B365" s="156" t="inlineStr">
        <is>
          <t>FA</t>
        </is>
      </c>
      <c r="C365" s="156" t="inlineStr">
        <is>
          <t>Troy Hill</t>
        </is>
      </c>
      <c r="D365" s="156" t="inlineStr">
        <is>
          <t>CB</t>
        </is>
      </c>
      <c r="E365" s="156" t="inlineStr">
        <is>
          <t>Foot</t>
        </is>
      </c>
      <c r="F365" s="156" t="inlineStr">
        <is>
          <t>Questionable</t>
        </is>
      </c>
    </row>
    <row r="366" ht="15.6" customHeight="1" s="152">
      <c r="A366" s="167">
        <f>B366&amp;C366</f>
        <v/>
      </c>
      <c r="B366" s="156" t="inlineStr">
        <is>
          <t>FA</t>
        </is>
      </c>
      <c r="C366" s="156" t="inlineStr">
        <is>
          <t>Trysten Hill</t>
        </is>
      </c>
      <c r="D366" s="156" t="inlineStr">
        <is>
          <t>DT</t>
        </is>
      </c>
      <c r="E366" s="156" t="inlineStr">
        <is>
          <t>Undisclosed</t>
        </is>
      </c>
      <c r="F366" s="156" t="inlineStr">
        <is>
          <t>Questionable</t>
        </is>
      </c>
    </row>
    <row r="367" ht="15.6" customHeight="1" s="152">
      <c r="A367" s="167">
        <f>B367&amp;C367</f>
        <v/>
      </c>
      <c r="B367" s="156" t="inlineStr">
        <is>
          <t>FA</t>
        </is>
      </c>
      <c r="C367" s="156" t="inlineStr">
        <is>
          <t>Dontrell Hilliard</t>
        </is>
      </c>
      <c r="D367" s="156" t="inlineStr">
        <is>
          <t>RB</t>
        </is>
      </c>
      <c r="E367" s="156" t="inlineStr">
        <is>
          <t>Neck</t>
        </is>
      </c>
      <c r="F367" s="156" t="inlineStr">
        <is>
          <t>Questionable</t>
        </is>
      </c>
    </row>
    <row r="368" ht="15.6" customHeight="1" s="152">
      <c r="A368" s="167">
        <f>B368&amp;C368</f>
        <v/>
      </c>
      <c r="B368" s="156" t="inlineStr">
        <is>
          <t>HOU</t>
        </is>
      </c>
      <c r="C368" s="156" t="inlineStr">
        <is>
          <t>Kurt Hinish</t>
        </is>
      </c>
      <c r="D368" s="156" t="inlineStr">
        <is>
          <t>DT</t>
        </is>
      </c>
      <c r="E368" s="156" t="inlineStr">
        <is>
          <t>Undisclosed</t>
        </is>
      </c>
      <c r="F368" s="156" t="inlineStr">
        <is>
          <t>PUP-R</t>
        </is>
      </c>
    </row>
    <row r="369" ht="15.6" customHeight="1" s="152">
      <c r="A369" s="167">
        <f>B369&amp;C369</f>
        <v/>
      </c>
      <c r="B369" s="156" t="inlineStr">
        <is>
          <t>PHI</t>
        </is>
      </c>
      <c r="C369" s="156" t="inlineStr">
        <is>
          <t>Myles Hinton</t>
        </is>
      </c>
      <c r="D369" s="156" t="inlineStr">
        <is>
          <t>OT</t>
        </is>
      </c>
      <c r="E369" s="156" t="inlineStr">
        <is>
          <t>Undisclosed</t>
        </is>
      </c>
      <c r="F369" s="156" t="inlineStr">
        <is>
          <t>IR-R</t>
        </is>
      </c>
    </row>
    <row r="370" ht="15.6" customHeight="1" s="152">
      <c r="A370" s="167">
        <f>B370&amp;C370</f>
        <v/>
      </c>
      <c r="B370" s="156" t="inlineStr">
        <is>
          <t>GB</t>
        </is>
      </c>
      <c r="C370" s="156" t="inlineStr">
        <is>
          <t>Nate Hobbs</t>
        </is>
      </c>
      <c r="D370" s="156" t="inlineStr">
        <is>
          <t>CB</t>
        </is>
      </c>
      <c r="E370" s="156" t="inlineStr">
        <is>
          <t>Knee</t>
        </is>
      </c>
      <c r="F370" s="156" t="inlineStr">
        <is>
          <t>Questionable</t>
        </is>
      </c>
    </row>
    <row r="371" ht="15.6" customHeight="1" s="152">
      <c r="A371" s="167">
        <f>B371&amp;C371</f>
        <v/>
      </c>
      <c r="B371" s="156" t="inlineStr">
        <is>
          <t>JAX</t>
        </is>
      </c>
      <c r="C371" s="156" t="inlineStr">
        <is>
          <t>Cooper Hodges</t>
        </is>
      </c>
      <c r="D371" s="156" t="inlineStr">
        <is>
          <t>OG</t>
        </is>
      </c>
      <c r="E371" s="156" t="inlineStr">
        <is>
          <t>Knee</t>
        </is>
      </c>
      <c r="F371" s="156" t="inlineStr">
        <is>
          <t>PUP-R</t>
        </is>
      </c>
    </row>
    <row r="372" ht="15.6" customHeight="1" s="152">
      <c r="A372" s="167">
        <f>B372&amp;C372</f>
        <v/>
      </c>
      <c r="B372" s="156" t="inlineStr">
        <is>
          <t>FA</t>
        </is>
      </c>
      <c r="C372" s="156" t="inlineStr">
        <is>
          <t>Curtis Hodges</t>
        </is>
      </c>
      <c r="D372" s="156" t="inlineStr">
        <is>
          <t>TE</t>
        </is>
      </c>
      <c r="E372" s="156" t="inlineStr">
        <is>
          <t>Undisclosed</t>
        </is>
      </c>
      <c r="F372" s="156" t="inlineStr">
        <is>
          <t>Questionable</t>
        </is>
      </c>
    </row>
    <row r="373" ht="15.6" customHeight="1" s="152">
      <c r="A373" s="167">
        <f>B373&amp;C373</f>
        <v/>
      </c>
      <c r="B373" s="156" t="inlineStr">
        <is>
          <t>BUF</t>
        </is>
      </c>
      <c r="C373" s="156" t="inlineStr">
        <is>
          <t>Michael Hoecht</t>
        </is>
      </c>
      <c r="D373" s="156" t="inlineStr">
        <is>
          <t>DE</t>
        </is>
      </c>
      <c r="E373" s="156" t="inlineStr">
        <is>
          <t>Suspension</t>
        </is>
      </c>
      <c r="F373" s="156" t="inlineStr">
        <is>
          <t>Reserve-Sus</t>
        </is>
      </c>
    </row>
    <row r="374" ht="15.6" customHeight="1" s="152">
      <c r="A374" s="167">
        <f>B374&amp;C374</f>
        <v/>
      </c>
      <c r="B374" s="156" t="inlineStr">
        <is>
          <t>FA</t>
        </is>
      </c>
      <c r="C374" s="156" t="inlineStr">
        <is>
          <t>Will Holden</t>
        </is>
      </c>
      <c r="D374" s="156" t="inlineStr">
        <is>
          <t>OT</t>
        </is>
      </c>
      <c r="E374" s="156" t="inlineStr">
        <is>
          <t>Calf</t>
        </is>
      </c>
      <c r="F374" s="156" t="inlineStr">
        <is>
          <t>Questionable</t>
        </is>
      </c>
    </row>
    <row r="375" ht="15.6" customHeight="1" s="152">
      <c r="A375" s="167">
        <f>B375&amp;C375</f>
        <v/>
      </c>
      <c r="B375" s="156" t="inlineStr">
        <is>
          <t>FA</t>
        </is>
      </c>
      <c r="C375" s="156" t="inlineStr">
        <is>
          <t>Justin Hollins</t>
        </is>
      </c>
      <c r="D375" s="156" t="inlineStr">
        <is>
          <t>LB</t>
        </is>
      </c>
      <c r="E375" s="156" t="inlineStr">
        <is>
          <t>Undisclosed</t>
        </is>
      </c>
      <c r="F375" s="156" t="inlineStr">
        <is>
          <t>Questionable</t>
        </is>
      </c>
    </row>
    <row r="376" ht="15.6" customHeight="1" s="152">
      <c r="A376" s="167">
        <f>B376&amp;C376</f>
        <v/>
      </c>
      <c r="B376" s="156" t="inlineStr">
        <is>
          <t>FA</t>
        </is>
      </c>
      <c r="C376" s="156" t="inlineStr">
        <is>
          <t>Cody Hollister</t>
        </is>
      </c>
      <c r="D376" s="156" t="inlineStr">
        <is>
          <t>WR</t>
        </is>
      </c>
      <c r="E376" s="156" t="inlineStr">
        <is>
          <t>Neck</t>
        </is>
      </c>
      <c r="F376" s="156" t="inlineStr">
        <is>
          <t>Questionable</t>
        </is>
      </c>
    </row>
    <row r="377" ht="15.6" customHeight="1" s="152">
      <c r="A377" s="167">
        <f>B377&amp;C377</f>
        <v/>
      </c>
      <c r="B377" s="156" t="inlineStr">
        <is>
          <t>FA</t>
        </is>
      </c>
      <c r="C377" s="156" t="inlineStr">
        <is>
          <t>Ka'dar Hollman</t>
        </is>
      </c>
      <c r="D377" s="156" t="inlineStr">
        <is>
          <t>CB</t>
        </is>
      </c>
      <c r="E377" s="156" t="inlineStr">
        <is>
          <t>Knee - ACL</t>
        </is>
      </c>
      <c r="F377" s="156" t="inlineStr">
        <is>
          <t>Questionable</t>
        </is>
      </c>
    </row>
    <row r="378" ht="15.6" customHeight="1" s="152">
      <c r="A378" s="167">
        <f>B378&amp;C378</f>
        <v/>
      </c>
      <c r="B378" s="156" t="inlineStr">
        <is>
          <t>FA</t>
        </is>
      </c>
      <c r="C378" s="156" t="inlineStr">
        <is>
          <t>Gavin Holmes</t>
        </is>
      </c>
      <c r="D378" s="156" t="inlineStr">
        <is>
          <t>CB</t>
        </is>
      </c>
      <c r="E378" s="156" t="inlineStr">
        <is>
          <t>Undisclosed</t>
        </is>
      </c>
      <c r="F378" s="156" t="inlineStr">
        <is>
          <t>Questionable</t>
        </is>
      </c>
    </row>
    <row r="379" ht="15.6" customHeight="1" s="152">
      <c r="A379" s="167">
        <f>B379&amp;C379</f>
        <v/>
      </c>
      <c r="B379" s="156" t="inlineStr">
        <is>
          <t>CHI</t>
        </is>
      </c>
      <c r="C379" s="156" t="inlineStr">
        <is>
          <t>Travis Homer</t>
        </is>
      </c>
      <c r="D379" s="156" t="inlineStr">
        <is>
          <t>RB</t>
        </is>
      </c>
      <c r="E379" s="156" t="inlineStr">
        <is>
          <t>Calf</t>
        </is>
      </c>
      <c r="F379" s="156" t="inlineStr">
        <is>
          <t>IR-R</t>
        </is>
      </c>
    </row>
    <row r="380" ht="15.6" customHeight="1" s="152">
      <c r="A380" s="167">
        <f>B380&amp;C380</f>
        <v/>
      </c>
      <c r="B380" s="156" t="inlineStr">
        <is>
          <t>SEA</t>
        </is>
      </c>
      <c r="C380" s="156" t="inlineStr">
        <is>
          <t>Tory Horton</t>
        </is>
      </c>
      <c r="D380" s="156" t="inlineStr">
        <is>
          <t>WR</t>
        </is>
      </c>
      <c r="E380" s="156" t="inlineStr">
        <is>
          <t>Groin</t>
        </is>
      </c>
      <c r="F380" s="156" t="inlineStr">
        <is>
          <t>Questionable</t>
        </is>
      </c>
    </row>
    <row r="381" ht="15.6" customHeight="1" s="152">
      <c r="A381" s="167">
        <f>B381&amp;C381</f>
        <v/>
      </c>
      <c r="B381" s="156" t="inlineStr">
        <is>
          <t>FA</t>
        </is>
      </c>
      <c r="C381" s="156" t="inlineStr">
        <is>
          <t>Jarveon Howard</t>
        </is>
      </c>
      <c r="D381" s="156" t="inlineStr">
        <is>
          <t>RB</t>
        </is>
      </c>
      <c r="E381" s="156" t="inlineStr">
        <is>
          <t>Undisclosed</t>
        </is>
      </c>
      <c r="F381" s="156" t="inlineStr">
        <is>
          <t>Questionable</t>
        </is>
      </c>
    </row>
    <row r="382" ht="15.6" customHeight="1" s="152">
      <c r="A382" s="167">
        <f>B382&amp;C382</f>
        <v/>
      </c>
      <c r="B382" s="156" t="inlineStr">
        <is>
          <t>PIT</t>
        </is>
      </c>
      <c r="C382" s="156" t="inlineStr">
        <is>
          <t>Will Howard</t>
        </is>
      </c>
      <c r="D382" s="156" t="inlineStr">
        <is>
          <t>QB</t>
        </is>
      </c>
      <c r="E382" s="156" t="inlineStr">
        <is>
          <t>Hand</t>
        </is>
      </c>
      <c r="F382" s="156" t="inlineStr">
        <is>
          <t>IR</t>
        </is>
      </c>
    </row>
    <row r="383" ht="15.6" customHeight="1" s="152">
      <c r="A383" s="167">
        <f>B383&amp;C383</f>
        <v/>
      </c>
      <c r="B383" s="156" t="inlineStr">
        <is>
          <t>FA</t>
        </is>
      </c>
      <c r="C383" s="156" t="inlineStr">
        <is>
          <t>Hayden Howerton</t>
        </is>
      </c>
      <c r="D383" s="156" t="inlineStr">
        <is>
          <t>OG</t>
        </is>
      </c>
      <c r="E383" s="156" t="inlineStr">
        <is>
          <t>Undisclosed</t>
        </is>
      </c>
      <c r="F383" s="156" t="inlineStr">
        <is>
          <t>Questionable</t>
        </is>
      </c>
    </row>
    <row r="384" ht="15.6" customHeight="1" s="152">
      <c r="A384" s="167">
        <f>B384&amp;C384</f>
        <v/>
      </c>
      <c r="B384" s="156" t="inlineStr">
        <is>
          <t>FA</t>
        </is>
      </c>
      <c r="C384" s="156" t="inlineStr">
        <is>
          <t>Jonathan Hubbard</t>
        </is>
      </c>
      <c r="D384" s="156" t="inlineStr">
        <is>
          <t>OT</t>
        </is>
      </c>
      <c r="E384" s="156" t="inlineStr">
        <is>
          <t>Undisclosed</t>
        </is>
      </c>
      <c r="F384" s="156" t="inlineStr">
        <is>
          <t>Questionable</t>
        </is>
      </c>
    </row>
    <row r="385" ht="15.6" customHeight="1" s="152">
      <c r="A385" s="167">
        <f>B385&amp;C385</f>
        <v/>
      </c>
      <c r="B385" s="156" t="inlineStr">
        <is>
          <t>CIN</t>
        </is>
      </c>
      <c r="C385" s="156" t="inlineStr">
        <is>
          <t>Sam Hubbard</t>
        </is>
      </c>
      <c r="D385" s="156" t="inlineStr">
        <is>
          <t>DE</t>
        </is>
      </c>
      <c r="E385" s="156" t="inlineStr">
        <is>
          <t>Undisclosed</t>
        </is>
      </c>
      <c r="F385" s="156" t="inlineStr">
        <is>
          <t>Reserve-Ret</t>
        </is>
      </c>
    </row>
    <row r="386" ht="15.6" customHeight="1" s="152">
      <c r="A386" s="167">
        <f>B386&amp;C386</f>
        <v/>
      </c>
      <c r="B386" s="156" t="inlineStr">
        <is>
          <t>FA</t>
        </is>
      </c>
      <c r="C386" s="156" t="inlineStr">
        <is>
          <t>Rodney Hudson</t>
        </is>
      </c>
      <c r="D386" s="156" t="inlineStr">
        <is>
          <t>C</t>
        </is>
      </c>
      <c r="E386" s="156" t="inlineStr">
        <is>
          <t>Knee</t>
        </is>
      </c>
      <c r="F386" s="156" t="inlineStr">
        <is>
          <t>Questionable</t>
        </is>
      </c>
    </row>
    <row r="387" ht="15.6" customHeight="1" s="152">
      <c r="A387" s="167">
        <f>B387&amp;C387</f>
        <v/>
      </c>
      <c r="B387" s="156" t="inlineStr">
        <is>
          <t>FA</t>
        </is>
      </c>
      <c r="C387" s="156" t="inlineStr">
        <is>
          <t>Tommy Hudson</t>
        </is>
      </c>
      <c r="D387" s="156" t="inlineStr">
        <is>
          <t>TE</t>
        </is>
      </c>
      <c r="E387" s="156" t="inlineStr">
        <is>
          <t>Undisclosed</t>
        </is>
      </c>
      <c r="F387" s="156" t="inlineStr">
        <is>
          <t>Questionable</t>
        </is>
      </c>
    </row>
    <row r="388" ht="15.6" customHeight="1" s="152">
      <c r="A388" s="167">
        <f>B388&amp;C388</f>
        <v/>
      </c>
      <c r="B388" s="156" t="inlineStr">
        <is>
          <t>DEN</t>
        </is>
      </c>
      <c r="C388" s="156" t="inlineStr">
        <is>
          <t>Talanoa Hufanga</t>
        </is>
      </c>
      <c r="D388" s="156" t="inlineStr">
        <is>
          <t>S</t>
        </is>
      </c>
      <c r="E388" s="156" t="inlineStr">
        <is>
          <t>Chest</t>
        </is>
      </c>
      <c r="F388" s="156" t="inlineStr">
        <is>
          <t>Questionable</t>
        </is>
      </c>
    </row>
    <row r="389" ht="15.6" customHeight="1" s="152">
      <c r="A389" s="167">
        <f>B389&amp;C389</f>
        <v/>
      </c>
      <c r="B389" s="156" t="inlineStr">
        <is>
          <t>BAL</t>
        </is>
      </c>
      <c r="C389" s="156" t="inlineStr">
        <is>
          <t>Marlon Humphrey</t>
        </is>
      </c>
      <c r="D389" s="156" t="inlineStr">
        <is>
          <t>CB</t>
        </is>
      </c>
      <c r="E389" s="156" t="inlineStr">
        <is>
          <t>Groin</t>
        </is>
      </c>
      <c r="F389" s="156" t="inlineStr">
        <is>
          <t>Questionable</t>
        </is>
      </c>
    </row>
    <row r="390" ht="15.6" customHeight="1" s="152">
      <c r="A390" s="167">
        <f>B390&amp;C390</f>
        <v/>
      </c>
      <c r="B390" s="156" t="inlineStr">
        <is>
          <t>CAR</t>
        </is>
      </c>
      <c r="C390" s="156" t="inlineStr">
        <is>
          <t>Robert Hunt</t>
        </is>
      </c>
      <c r="D390" s="156" t="inlineStr">
        <is>
          <t>OG</t>
        </is>
      </c>
      <c r="E390" s="156" t="inlineStr">
        <is>
          <t>Biceps</t>
        </is>
      </c>
      <c r="F390" s="156" t="inlineStr">
        <is>
          <t>IR</t>
        </is>
      </c>
    </row>
    <row r="391" ht="15.6" customHeight="1" s="152">
      <c r="A391" s="167">
        <f>B391&amp;C391</f>
        <v/>
      </c>
      <c r="B391" s="156" t="inlineStr">
        <is>
          <t>FA</t>
        </is>
      </c>
      <c r="C391" s="156" t="inlineStr">
        <is>
          <t>Jontrey Hunter</t>
        </is>
      </c>
      <c r="D391" s="156" t="inlineStr">
        <is>
          <t>LB</t>
        </is>
      </c>
      <c r="E391" s="156" t="inlineStr">
        <is>
          <t>Undisclosed</t>
        </is>
      </c>
      <c r="F391" s="156" t="inlineStr">
        <is>
          <t>Questionable</t>
        </is>
      </c>
    </row>
    <row r="392" ht="15.6" customHeight="1" s="152">
      <c r="A392" s="167">
        <f>B392&amp;C392</f>
        <v/>
      </c>
      <c r="B392" s="156" t="inlineStr">
        <is>
          <t>FA</t>
        </is>
      </c>
      <c r="C392" s="156" t="inlineStr">
        <is>
          <t>Allen Hurns</t>
        </is>
      </c>
      <c r="D392" s="156" t="inlineStr">
        <is>
          <t>WR</t>
        </is>
      </c>
      <c r="E392" s="156" t="inlineStr">
        <is>
          <t>Wrist</t>
        </is>
      </c>
      <c r="F392" s="156" t="inlineStr">
        <is>
          <t>Questionable</t>
        </is>
      </c>
    </row>
    <row r="393" ht="15.6" customHeight="1" s="152">
      <c r="A393" s="167">
        <f>B393&amp;C393</f>
        <v/>
      </c>
      <c r="B393" s="156" t="inlineStr">
        <is>
          <t>FA</t>
        </is>
      </c>
      <c r="C393" s="156" t="inlineStr">
        <is>
          <t>John Hurst</t>
        </is>
      </c>
      <c r="D393" s="156" t="inlineStr">
        <is>
          <t>WR</t>
        </is>
      </c>
      <c r="E393" s="156" t="inlineStr">
        <is>
          <t>Ankle</t>
        </is>
      </c>
      <c r="F393" s="156" t="inlineStr">
        <is>
          <t>Questionable</t>
        </is>
      </c>
    </row>
    <row r="394" ht="15.6" customHeight="1" s="152">
      <c r="A394" s="167">
        <f>B394&amp;C394</f>
        <v/>
      </c>
      <c r="B394" s="156" t="inlineStr">
        <is>
          <t>FA</t>
        </is>
      </c>
      <c r="C394" s="156" t="inlineStr">
        <is>
          <t>Maurice Hurst</t>
        </is>
      </c>
      <c r="D394" s="156" t="inlineStr">
        <is>
          <t>DT</t>
        </is>
      </c>
      <c r="E394" s="156" t="inlineStr">
        <is>
          <t>Ankle</t>
        </is>
      </c>
      <c r="F394" s="156" t="inlineStr">
        <is>
          <t>Questionable</t>
        </is>
      </c>
    </row>
    <row r="395" ht="15.6" customHeight="1" s="152">
      <c r="A395" s="167">
        <f>B395&amp;C395</f>
        <v/>
      </c>
      <c r="B395" s="156" t="inlineStr">
        <is>
          <t>HOU</t>
        </is>
      </c>
      <c r="C395" s="156" t="inlineStr">
        <is>
          <t>Alijah Huzzie</t>
        </is>
      </c>
      <c r="D395" s="156" t="inlineStr">
        <is>
          <t>CB</t>
        </is>
      </c>
      <c r="E395" s="156" t="inlineStr">
        <is>
          <t>Undisclosed</t>
        </is>
      </c>
      <c r="F395" s="156" t="inlineStr">
        <is>
          <t>NFI-R</t>
        </is>
      </c>
    </row>
    <row r="396" ht="15.6" customHeight="1" s="152">
      <c r="A396" s="167">
        <f>B396&amp;C396</f>
        <v/>
      </c>
      <c r="B396" s="156" t="inlineStr">
        <is>
          <t>FA</t>
        </is>
      </c>
      <c r="C396" s="156" t="inlineStr">
        <is>
          <t>Ishmael Hyman</t>
        </is>
      </c>
      <c r="D396" s="156" t="inlineStr">
        <is>
          <t>WR</t>
        </is>
      </c>
      <c r="E396" s="156" t="inlineStr">
        <is>
          <t>Undisclosed</t>
        </is>
      </c>
      <c r="F396" s="156" t="inlineStr">
        <is>
          <t>Questionable</t>
        </is>
      </c>
    </row>
    <row r="397" ht="15.6" customHeight="1" s="152">
      <c r="A397" s="167">
        <f>B397&amp;C397</f>
        <v/>
      </c>
      <c r="B397" s="156" t="inlineStr">
        <is>
          <t>MIA</t>
        </is>
      </c>
      <c r="C397" s="156" t="inlineStr">
        <is>
          <t>Germain Ifedi</t>
        </is>
      </c>
      <c r="D397" s="156" t="inlineStr">
        <is>
          <t>OT</t>
        </is>
      </c>
      <c r="E397" s="156" t="inlineStr">
        <is>
          <t>Undisclosed</t>
        </is>
      </c>
      <c r="F397" s="156" t="inlineStr">
        <is>
          <t>IR</t>
        </is>
      </c>
    </row>
    <row r="398" ht="15.6" customHeight="1" s="152">
      <c r="A398" s="167">
        <f>B398&amp;C398</f>
        <v/>
      </c>
      <c r="B398" s="156" t="inlineStr">
        <is>
          <t>FA</t>
        </is>
      </c>
      <c r="C398" s="156" t="inlineStr">
        <is>
          <t>George Iloka</t>
        </is>
      </c>
      <c r="D398" s="156" t="inlineStr">
        <is>
          <t>S</t>
        </is>
      </c>
      <c r="E398" s="156" t="inlineStr">
        <is>
          <t>Knee - ACL</t>
        </is>
      </c>
      <c r="F398" s="156" t="inlineStr">
        <is>
          <t>Questionable</t>
        </is>
      </c>
    </row>
    <row r="399" ht="15.6" customHeight="1" s="152">
      <c r="A399" s="167">
        <f>B399&amp;C399</f>
        <v/>
      </c>
      <c r="B399" s="156" t="inlineStr">
        <is>
          <t>KC</t>
        </is>
      </c>
      <c r="C399" s="156" t="inlineStr">
        <is>
          <t>Keaontay Ingram</t>
        </is>
      </c>
      <c r="D399" s="156" t="inlineStr">
        <is>
          <t>RB</t>
        </is>
      </c>
      <c r="E399" s="156" t="inlineStr">
        <is>
          <t>Undisclosed</t>
        </is>
      </c>
      <c r="F399" s="156" t="inlineStr">
        <is>
          <t>IR</t>
        </is>
      </c>
    </row>
    <row r="400" ht="15.6" customHeight="1" s="152">
      <c r="A400" s="167">
        <f>B400&amp;C400</f>
        <v/>
      </c>
      <c r="B400" s="156" t="inlineStr">
        <is>
          <t>FA</t>
        </is>
      </c>
      <c r="C400" s="156" t="inlineStr">
        <is>
          <t>Matt Ioannidis</t>
        </is>
      </c>
      <c r="D400" s="156" t="inlineStr">
        <is>
          <t>DT</t>
        </is>
      </c>
      <c r="E400" s="156" t="inlineStr">
        <is>
          <t>Back</t>
        </is>
      </c>
      <c r="F400" s="156" t="inlineStr">
        <is>
          <t>Questionable</t>
        </is>
      </c>
    </row>
    <row r="401" ht="15.6" customHeight="1" s="152">
      <c r="A401" s="167">
        <f>B401&amp;C401</f>
        <v/>
      </c>
      <c r="B401" s="156" t="inlineStr">
        <is>
          <t>FA</t>
        </is>
      </c>
      <c r="C401" s="156" t="inlineStr">
        <is>
          <t>Isaiah Irving</t>
        </is>
      </c>
      <c r="D401" s="156" t="inlineStr">
        <is>
          <t>LB</t>
        </is>
      </c>
      <c r="E401" s="156" t="inlineStr">
        <is>
          <t>Back</t>
        </is>
      </c>
      <c r="F401" s="156" t="inlineStr">
        <is>
          <t>Questionable</t>
        </is>
      </c>
    </row>
    <row r="402" ht="15.6" customHeight="1" s="152">
      <c r="A402" s="167">
        <f>B402&amp;C402</f>
        <v/>
      </c>
      <c r="B402" s="156" t="inlineStr">
        <is>
          <t>BAL</t>
        </is>
      </c>
      <c r="C402" s="156" t="inlineStr">
        <is>
          <t>Adisa Isaac</t>
        </is>
      </c>
      <c r="D402" s="156" t="inlineStr">
        <is>
          <t>LB</t>
        </is>
      </c>
      <c r="E402" s="156" t="inlineStr">
        <is>
          <t>Elbow</t>
        </is>
      </c>
      <c r="F402" s="156" t="inlineStr">
        <is>
          <t>IR-R</t>
        </is>
      </c>
    </row>
    <row r="403" ht="15.6" customHeight="1" s="152">
      <c r="A403" s="167">
        <f>B403&amp;C403</f>
        <v/>
      </c>
      <c r="B403" s="156" t="inlineStr">
        <is>
          <t>FA</t>
        </is>
      </c>
      <c r="C403" s="156" t="inlineStr">
        <is>
          <t>Andy Isabella</t>
        </is>
      </c>
      <c r="D403" s="156" t="inlineStr">
        <is>
          <t>WR</t>
        </is>
      </c>
      <c r="E403" s="156" t="inlineStr">
        <is>
          <t>Ankle</t>
        </is>
      </c>
      <c r="F403" s="156" t="inlineStr">
        <is>
          <t>Questionable</t>
        </is>
      </c>
    </row>
    <row r="404" ht="15.6" customHeight="1" s="152">
      <c r="A404" s="167">
        <f>B404&amp;C404</f>
        <v/>
      </c>
      <c r="B404" s="156" t="inlineStr">
        <is>
          <t>NE</t>
        </is>
      </c>
      <c r="C404" s="156" t="inlineStr">
        <is>
          <t>Isaiah Iton</t>
        </is>
      </c>
      <c r="D404" s="156" t="inlineStr">
        <is>
          <t>DE</t>
        </is>
      </c>
      <c r="E404" s="156" t="inlineStr">
        <is>
          <t>Hip</t>
        </is>
      </c>
      <c r="F404" s="156" t="inlineStr">
        <is>
          <t>IR</t>
        </is>
      </c>
    </row>
    <row r="405" ht="15.6" customHeight="1" s="152">
      <c r="A405" s="167">
        <f>B405&amp;C405</f>
        <v/>
      </c>
      <c r="B405" s="156" t="inlineStr">
        <is>
          <t>FA</t>
        </is>
      </c>
      <c r="C405" s="156" t="inlineStr">
        <is>
          <t>Thomas Ives</t>
        </is>
      </c>
      <c r="D405" s="156" t="inlineStr">
        <is>
          <t>WR</t>
        </is>
      </c>
      <c r="E405" s="156" t="inlineStr">
        <is>
          <t>Undisclosed</t>
        </is>
      </c>
      <c r="F405" s="156" t="inlineStr">
        <is>
          <t>Questionable</t>
        </is>
      </c>
    </row>
    <row r="406" ht="15.6" customHeight="1" s="152">
      <c r="A406" s="167">
        <f>B406&amp;C406</f>
        <v/>
      </c>
      <c r="B406" s="156" t="inlineStr">
        <is>
          <t>MIA</t>
        </is>
      </c>
      <c r="C406" s="156" t="inlineStr">
        <is>
          <t>Austin Jackson</t>
        </is>
      </c>
      <c r="D406" s="156" t="inlineStr">
        <is>
          <t>OT</t>
        </is>
      </c>
      <c r="E406" s="156" t="inlineStr">
        <is>
          <t>Toe</t>
        </is>
      </c>
      <c r="F406" s="156" t="inlineStr">
        <is>
          <t>IR</t>
        </is>
      </c>
    </row>
    <row r="407" ht="15.6" customHeight="1" s="152">
      <c r="A407" s="167">
        <f>B407&amp;C407</f>
        <v/>
      </c>
      <c r="B407" s="156" t="inlineStr">
        <is>
          <t>FA</t>
        </is>
      </c>
      <c r="C407" s="156" t="inlineStr">
        <is>
          <t>Branden Jackson</t>
        </is>
      </c>
      <c r="D407" s="156" t="inlineStr">
        <is>
          <t>DE</t>
        </is>
      </c>
      <c r="E407" s="156" t="inlineStr">
        <is>
          <t>Spine</t>
        </is>
      </c>
      <c r="F407" s="156" t="inlineStr">
        <is>
          <t>Questionable</t>
        </is>
      </c>
    </row>
    <row r="408" ht="15.6" customHeight="1" s="152">
      <c r="A408" s="167">
        <f>B408&amp;C408</f>
        <v/>
      </c>
      <c r="B408" s="156" t="inlineStr">
        <is>
          <t>CHI</t>
        </is>
      </c>
      <c r="C408" s="156" t="inlineStr">
        <is>
          <t>D'Marco Jackson</t>
        </is>
      </c>
      <c r="D408" s="156" t="inlineStr">
        <is>
          <t>LB</t>
        </is>
      </c>
      <c r="E408" s="156" t="inlineStr">
        <is>
          <t>Hamstring</t>
        </is>
      </c>
      <c r="F408" s="156" t="inlineStr">
        <is>
          <t>Questionable</t>
        </is>
      </c>
    </row>
    <row r="409" ht="15.6" customHeight="1" s="152">
      <c r="A409" s="167">
        <f>B409&amp;C409</f>
        <v/>
      </c>
      <c r="B409" s="156" t="inlineStr">
        <is>
          <t>DET</t>
        </is>
      </c>
      <c r="C409" s="156" t="inlineStr">
        <is>
          <t>Dan Jackson</t>
        </is>
      </c>
      <c r="D409" s="156" t="inlineStr">
        <is>
          <t>S</t>
        </is>
      </c>
      <c r="E409" s="156" t="inlineStr">
        <is>
          <t>Leg</t>
        </is>
      </c>
      <c r="F409" s="156" t="inlineStr">
        <is>
          <t>IR</t>
        </is>
      </c>
    </row>
    <row r="410" ht="15.6" customHeight="1" s="152">
      <c r="A410" s="167">
        <f>B410&amp;C410</f>
        <v/>
      </c>
      <c r="B410" s="156" t="inlineStr">
        <is>
          <t>MIN</t>
        </is>
      </c>
      <c r="C410" s="156" t="inlineStr">
        <is>
          <t>Donovan Jackson</t>
        </is>
      </c>
      <c r="D410" s="156" t="inlineStr">
        <is>
          <t>OG</t>
        </is>
      </c>
      <c r="E410" s="156" t="inlineStr">
        <is>
          <t>Wrist</t>
        </is>
      </c>
      <c r="F410" s="156" t="inlineStr">
        <is>
          <t>Questionable</t>
        </is>
      </c>
    </row>
    <row r="411" ht="15.6" customHeight="1" s="152">
      <c r="A411" s="167">
        <f>B411&amp;C411</f>
        <v/>
      </c>
      <c r="B411" s="156" t="inlineStr">
        <is>
          <t>FA</t>
        </is>
      </c>
      <c r="C411" s="156" t="inlineStr">
        <is>
          <t>Drake Jackson</t>
        </is>
      </c>
      <c r="D411" s="156" t="inlineStr">
        <is>
          <t>DE</t>
        </is>
      </c>
      <c r="E411" s="156" t="inlineStr">
        <is>
          <t>Knee</t>
        </is>
      </c>
      <c r="F411" s="156" t="inlineStr">
        <is>
          <t>Questionable</t>
        </is>
      </c>
    </row>
    <row r="412" ht="15.6" customHeight="1" s="152">
      <c r="A412" s="167">
        <f>B412&amp;C412</f>
        <v/>
      </c>
      <c r="B412" s="156" t="inlineStr">
        <is>
          <t>SF</t>
        </is>
      </c>
      <c r="C412" s="156" t="inlineStr">
        <is>
          <t>Tarron Jackson</t>
        </is>
      </c>
      <c r="D412" s="156" t="inlineStr">
        <is>
          <t>DE</t>
        </is>
      </c>
      <c r="E412" s="156" t="inlineStr">
        <is>
          <t>Undisclosed</t>
        </is>
      </c>
      <c r="F412" s="156" t="inlineStr">
        <is>
          <t>IR</t>
        </is>
      </c>
    </row>
    <row r="413" ht="15.6" customHeight="1" s="152">
      <c r="A413" s="167">
        <f>B413&amp;C413</f>
        <v/>
      </c>
      <c r="B413" s="156" t="inlineStr">
        <is>
          <t>MIN</t>
        </is>
      </c>
      <c r="C413" s="156" t="inlineStr">
        <is>
          <t>Theo Jackson</t>
        </is>
      </c>
      <c r="D413" s="156" t="inlineStr">
        <is>
          <t>S</t>
        </is>
      </c>
      <c r="E413" s="156" t="inlineStr">
        <is>
          <t>Hip</t>
        </is>
      </c>
      <c r="F413" s="156" t="inlineStr">
        <is>
          <t>Questionable</t>
        </is>
      </c>
    </row>
    <row r="414" ht="15.6" customHeight="1" s="152">
      <c r="A414" s="167">
        <f>B414&amp;C414</f>
        <v/>
      </c>
      <c r="B414" s="156" t="inlineStr">
        <is>
          <t>ARI</t>
        </is>
      </c>
      <c r="C414" s="156" t="inlineStr">
        <is>
          <t>Trishton Jackson</t>
        </is>
      </c>
      <c r="D414" s="156" t="inlineStr">
        <is>
          <t>WR</t>
        </is>
      </c>
      <c r="E414" s="156" t="inlineStr">
        <is>
          <t>Thumb</t>
        </is>
      </c>
      <c r="F414" s="156" t="inlineStr">
        <is>
          <t>IR</t>
        </is>
      </c>
    </row>
    <row r="415" ht="15.6" customHeight="1" s="152">
      <c r="A415" s="167">
        <f>B415&amp;C415</f>
        <v/>
      </c>
      <c r="B415" s="156" t="inlineStr">
        <is>
          <t>WAS</t>
        </is>
      </c>
      <c r="C415" s="156" t="inlineStr">
        <is>
          <t>Tyree Jackson</t>
        </is>
      </c>
      <c r="D415" s="156" t="inlineStr">
        <is>
          <t>TE</t>
        </is>
      </c>
      <c r="E415" s="156" t="inlineStr">
        <is>
          <t>Undisclosed</t>
        </is>
      </c>
      <c r="F415" s="156" t="inlineStr">
        <is>
          <t>IR</t>
        </is>
      </c>
    </row>
    <row r="416" ht="15.6" customHeight="1" s="152">
      <c r="A416" s="167">
        <f>B416&amp;C416</f>
        <v/>
      </c>
      <c r="B416" s="156" t="inlineStr">
        <is>
          <t>FA</t>
        </is>
      </c>
      <c r="C416" s="156" t="inlineStr">
        <is>
          <t>Warren Jackson</t>
        </is>
      </c>
      <c r="D416" s="156" t="inlineStr">
        <is>
          <t>WR</t>
        </is>
      </c>
      <c r="E416" s="156" t="inlineStr">
        <is>
          <t>Undisclosed</t>
        </is>
      </c>
      <c r="F416" s="156" t="inlineStr">
        <is>
          <t>Questionable</t>
        </is>
      </c>
    </row>
    <row r="417" ht="15.6" customHeight="1" s="152">
      <c r="A417" s="167">
        <f>B417&amp;C417</f>
        <v/>
      </c>
      <c r="B417" s="156" t="inlineStr">
        <is>
          <t>GB</t>
        </is>
      </c>
      <c r="C417" s="156" t="inlineStr">
        <is>
          <t>Josh Jacobs</t>
        </is>
      </c>
      <c r="D417" s="156" t="inlineStr">
        <is>
          <t>RB</t>
        </is>
      </c>
      <c r="E417" s="156" t="inlineStr">
        <is>
          <t>Ankle</t>
        </is>
      </c>
      <c r="F417" s="156" t="inlineStr">
        <is>
          <t>Questionable</t>
        </is>
      </c>
    </row>
    <row r="418" ht="15.6" customHeight="1" s="152">
      <c r="A418" s="167">
        <f>B418&amp;C418</f>
        <v/>
      </c>
      <c r="B418" s="156" t="inlineStr">
        <is>
          <t>FA</t>
        </is>
      </c>
      <c r="C418" s="156" t="inlineStr">
        <is>
          <t>Craig James</t>
        </is>
      </c>
      <c r="D418" s="156" t="inlineStr">
        <is>
          <t>CB</t>
        </is>
      </c>
      <c r="E418" s="156" t="inlineStr">
        <is>
          <t>Undisclosed</t>
        </is>
      </c>
      <c r="F418" s="156" t="inlineStr">
        <is>
          <t>Questionable</t>
        </is>
      </c>
    </row>
    <row r="419" ht="15.6" customHeight="1" s="152">
      <c r="A419" s="167">
        <f>B419&amp;C419</f>
        <v/>
      </c>
      <c r="B419" s="156" t="inlineStr">
        <is>
          <t>FA</t>
        </is>
      </c>
      <c r="C419" s="156" t="inlineStr">
        <is>
          <t>Ja'Wuan James</t>
        </is>
      </c>
      <c r="D419" s="156" t="inlineStr">
        <is>
          <t>OT</t>
        </is>
      </c>
      <c r="E419" s="156" t="inlineStr">
        <is>
          <t>Achilles</t>
        </is>
      </c>
      <c r="F419" s="156" t="inlineStr">
        <is>
          <t>Questionable</t>
        </is>
      </c>
    </row>
    <row r="420" ht="15.6" customHeight="1" s="152">
      <c r="A420" s="167">
        <f>B420&amp;C420</f>
        <v/>
      </c>
      <c r="B420" s="156" t="inlineStr">
        <is>
          <t>FA</t>
        </is>
      </c>
      <c r="C420" s="156" t="inlineStr">
        <is>
          <t>Jadon Janke</t>
        </is>
      </c>
      <c r="D420" s="156" t="inlineStr">
        <is>
          <t>WR</t>
        </is>
      </c>
      <c r="E420" s="156" t="inlineStr">
        <is>
          <t>Undisclosed</t>
        </is>
      </c>
      <c r="F420" s="156" t="inlineStr">
        <is>
          <t>Questionable</t>
        </is>
      </c>
    </row>
    <row r="421" ht="15.6" customHeight="1" s="152">
      <c r="A421" s="167">
        <f>B421&amp;C421</f>
        <v/>
      </c>
      <c r="B421" s="156" t="inlineStr">
        <is>
          <t>CHI</t>
        </is>
      </c>
      <c r="C421" s="156" t="inlineStr">
        <is>
          <t>Grady Jarrett</t>
        </is>
      </c>
      <c r="D421" s="156" t="inlineStr">
        <is>
          <t>DT</t>
        </is>
      </c>
      <c r="E421" s="156" t="inlineStr">
        <is>
          <t>Knee</t>
        </is>
      </c>
      <c r="F421" s="156" t="inlineStr">
        <is>
          <t>Questionable</t>
        </is>
      </c>
    </row>
    <row r="422" ht="15.6" customHeight="1" s="152">
      <c r="A422" s="167">
        <f>B422&amp;C422</f>
        <v/>
      </c>
      <c r="B422" s="156" t="inlineStr">
        <is>
          <t>FA</t>
        </is>
      </c>
      <c r="C422" s="156" t="inlineStr">
        <is>
          <t>Trajan Jeffcoat</t>
        </is>
      </c>
      <c r="D422" s="156" t="inlineStr">
        <is>
          <t>DE</t>
        </is>
      </c>
      <c r="E422" s="156" t="inlineStr">
        <is>
          <t>Undisclosed</t>
        </is>
      </c>
      <c r="F422" s="156" t="inlineStr">
        <is>
          <t>Out</t>
        </is>
      </c>
    </row>
    <row r="423" ht="15.6" customHeight="1" s="152">
      <c r="A423" s="167">
        <f>B423&amp;C423</f>
        <v/>
      </c>
      <c r="B423" s="156" t="inlineStr">
        <is>
          <t>FA</t>
        </is>
      </c>
      <c r="C423" s="156" t="inlineStr">
        <is>
          <t>Malik Jefferson</t>
        </is>
      </c>
      <c r="D423" s="156" t="inlineStr">
        <is>
          <t>LB</t>
        </is>
      </c>
      <c r="E423" s="156" t="inlineStr">
        <is>
          <t>Undisclosed</t>
        </is>
      </c>
      <c r="F423" s="156" t="inlineStr">
        <is>
          <t>Questionable</t>
        </is>
      </c>
    </row>
    <row r="424" ht="15.6" customHeight="1" s="152">
      <c r="A424" s="167">
        <f>B424&amp;C424</f>
        <v/>
      </c>
      <c r="B424" s="156" t="inlineStr">
        <is>
          <t>FA</t>
        </is>
      </c>
      <c r="C424" s="156" t="inlineStr">
        <is>
          <t>Jordan Jenkins</t>
        </is>
      </c>
      <c r="D424" s="156" t="inlineStr">
        <is>
          <t>DE</t>
        </is>
      </c>
      <c r="E424" s="156" t="inlineStr">
        <is>
          <t>Knee - ACL</t>
        </is>
      </c>
      <c r="F424" s="156" t="inlineStr">
        <is>
          <t>Questionable</t>
        </is>
      </c>
    </row>
    <row r="425" ht="15.6" customHeight="1" s="152">
      <c r="A425" s="167">
        <f>B425&amp;C425</f>
        <v/>
      </c>
      <c r="B425" s="156" t="inlineStr">
        <is>
          <t>SF</t>
        </is>
      </c>
      <c r="C425" s="156" t="inlineStr">
        <is>
          <t>Jauan Jennings</t>
        </is>
      </c>
      <c r="D425" s="156" t="inlineStr">
        <is>
          <t>WR</t>
        </is>
      </c>
      <c r="E425" s="156" t="inlineStr">
        <is>
          <t>Ankle</t>
        </is>
      </c>
      <c r="F425" s="156" t="inlineStr">
        <is>
          <t>Questionable</t>
        </is>
      </c>
    </row>
    <row r="426" ht="15.6" customHeight="1" s="152">
      <c r="A426" s="167">
        <f>B426&amp;C426</f>
        <v/>
      </c>
      <c r="B426" s="156" t="inlineStr">
        <is>
          <t>FA</t>
        </is>
      </c>
      <c r="C426" s="156" t="inlineStr">
        <is>
          <t>Nash Jensen</t>
        </is>
      </c>
      <c r="D426" s="156" t="inlineStr">
        <is>
          <t>OG</t>
        </is>
      </c>
      <c r="E426" s="156" t="inlineStr">
        <is>
          <t>Undisclosed</t>
        </is>
      </c>
      <c r="F426" s="156" t="inlineStr">
        <is>
          <t>Questionable</t>
        </is>
      </c>
    </row>
    <row r="427" ht="15.6" customHeight="1" s="152">
      <c r="A427" s="167">
        <f>B427&amp;C427</f>
        <v/>
      </c>
      <c r="B427" s="156" t="inlineStr">
        <is>
          <t>FA</t>
        </is>
      </c>
      <c r="C427" s="156" t="inlineStr">
        <is>
          <t>Josey Jewell</t>
        </is>
      </c>
      <c r="D427" s="156" t="inlineStr">
        <is>
          <t>LB</t>
        </is>
      </c>
      <c r="E427" s="156" t="inlineStr">
        <is>
          <t>Concussion</t>
        </is>
      </c>
      <c r="F427" s="156" t="inlineStr">
        <is>
          <t>Questionable</t>
        </is>
      </c>
    </row>
    <row r="428" ht="15.6" customHeight="1" s="152">
      <c r="A428" s="167">
        <f>B428&amp;C428</f>
        <v/>
      </c>
      <c r="B428" s="156" t="inlineStr">
        <is>
          <t>SEA</t>
        </is>
      </c>
      <c r="C428" s="156" t="inlineStr">
        <is>
          <t>Josh Jobe</t>
        </is>
      </c>
      <c r="D428" s="156" t="inlineStr">
        <is>
          <t>CB</t>
        </is>
      </c>
      <c r="E428" s="156" t="inlineStr">
        <is>
          <t>Knee</t>
        </is>
      </c>
      <c r="F428" s="156" t="inlineStr">
        <is>
          <t>Questionable</t>
        </is>
      </c>
    </row>
    <row r="429" ht="15.6" customHeight="1" s="152">
      <c r="A429" s="167">
        <f>B429&amp;C429</f>
        <v/>
      </c>
      <c r="B429" s="156" t="inlineStr">
        <is>
          <t>FA</t>
        </is>
      </c>
      <c r="C429" s="156" t="inlineStr">
        <is>
          <t>Jake Johanning</t>
        </is>
      </c>
      <c r="D429" s="156" t="inlineStr">
        <is>
          <t>OG</t>
        </is>
      </c>
      <c r="E429" s="156" t="inlineStr">
        <is>
          <t>Undisclosed</t>
        </is>
      </c>
      <c r="F429" s="156" t="inlineStr">
        <is>
          <t>Questionable</t>
        </is>
      </c>
    </row>
    <row r="430" ht="15.6" customHeight="1" s="152">
      <c r="A430" s="167">
        <f>B430&amp;C430</f>
        <v/>
      </c>
      <c r="B430" s="156" t="inlineStr">
        <is>
          <t>FA</t>
        </is>
      </c>
      <c r="C430" s="156" t="inlineStr">
        <is>
          <t>Alexander Johnson</t>
        </is>
      </c>
      <c r="D430" s="156" t="inlineStr">
        <is>
          <t>LB</t>
        </is>
      </c>
      <c r="E430" s="156" t="inlineStr">
        <is>
          <t>Undisclosed</t>
        </is>
      </c>
      <c r="F430" s="156" t="inlineStr">
        <is>
          <t>Questionable</t>
        </is>
      </c>
    </row>
    <row r="431" ht="15.6" customHeight="1" s="152">
      <c r="A431" s="167">
        <f>B431&amp;C431</f>
        <v/>
      </c>
      <c r="B431" s="156" t="inlineStr">
        <is>
          <t>NYG</t>
        </is>
      </c>
      <c r="C431" s="156" t="inlineStr">
        <is>
          <t>Anthony Johnson</t>
        </is>
      </c>
      <c r="D431" s="156" t="inlineStr">
        <is>
          <t>S</t>
        </is>
      </c>
      <c r="E431" s="156" t="inlineStr">
        <is>
          <t>Undisclosed</t>
        </is>
      </c>
      <c r="F431" s="156" t="inlineStr">
        <is>
          <t>PUP-R</t>
        </is>
      </c>
    </row>
    <row r="432" ht="15.6" customHeight="1" s="152">
      <c r="A432" s="167">
        <f>B432&amp;C432</f>
        <v/>
      </c>
      <c r="B432" s="156" t="inlineStr">
        <is>
          <t>FA</t>
        </is>
      </c>
      <c r="C432" s="156" t="inlineStr">
        <is>
          <t>Bisi Johnson</t>
        </is>
      </c>
      <c r="D432" s="156" t="inlineStr">
        <is>
          <t>WR</t>
        </is>
      </c>
      <c r="E432" s="156" t="inlineStr">
        <is>
          <t>Knee - ACL</t>
        </is>
      </c>
      <c r="F432" s="156" t="inlineStr">
        <is>
          <t>Questionable</t>
        </is>
      </c>
    </row>
    <row r="433" ht="15.6" customHeight="1" s="152">
      <c r="A433" s="167">
        <f>B433&amp;C433</f>
        <v/>
      </c>
      <c r="B433" s="156" t="inlineStr">
        <is>
          <t>FA</t>
        </is>
      </c>
      <c r="C433" s="156" t="inlineStr">
        <is>
          <t>Brandon Johnson</t>
        </is>
      </c>
      <c r="D433" s="156" t="inlineStr">
        <is>
          <t>WR</t>
        </is>
      </c>
      <c r="E433" s="156" t="inlineStr">
        <is>
          <t>Foot</t>
        </is>
      </c>
      <c r="F433" s="156" t="inlineStr">
        <is>
          <t>Questionable</t>
        </is>
      </c>
    </row>
    <row r="434" ht="15.6" customHeight="1" s="152">
      <c r="A434" s="167">
        <f>B434&amp;C434</f>
        <v/>
      </c>
      <c r="B434" s="156" t="inlineStr">
        <is>
          <t>CIN</t>
        </is>
      </c>
      <c r="C434" s="156" t="inlineStr">
        <is>
          <t>Cedric Johnson</t>
        </is>
      </c>
      <c r="D434" s="156" t="inlineStr">
        <is>
          <t>DE</t>
        </is>
      </c>
      <c r="E434" s="156" t="inlineStr">
        <is>
          <t>Calf</t>
        </is>
      </c>
      <c r="F434" s="156" t="inlineStr">
        <is>
          <t>IR-R</t>
        </is>
      </c>
    </row>
    <row r="435" ht="15.6" customHeight="1" s="152">
      <c r="A435" s="167">
        <f>B435&amp;C435</f>
        <v/>
      </c>
      <c r="B435" s="156" t="inlineStr">
        <is>
          <t>FA</t>
        </is>
      </c>
      <c r="C435" s="156" t="inlineStr">
        <is>
          <t>Jahmir Johnson</t>
        </is>
      </c>
      <c r="D435" s="156" t="inlineStr">
        <is>
          <t>OT</t>
        </is>
      </c>
      <c r="E435" s="156" t="inlineStr">
        <is>
          <t>Undisclosed</t>
        </is>
      </c>
      <c r="F435" s="156" t="inlineStr">
        <is>
          <t>Questionable</t>
        </is>
      </c>
    </row>
    <row r="436" ht="15.6" customHeight="1" s="152">
      <c r="A436" s="167">
        <f>B436&amp;C436</f>
        <v/>
      </c>
      <c r="B436" s="156" t="inlineStr">
        <is>
          <t>FA</t>
        </is>
      </c>
      <c r="C436" s="156" t="inlineStr">
        <is>
          <t>Jaylen Johnson</t>
        </is>
      </c>
      <c r="D436" s="156" t="inlineStr">
        <is>
          <t>WR</t>
        </is>
      </c>
      <c r="E436" s="156" t="inlineStr">
        <is>
          <t>Undisclosed</t>
        </is>
      </c>
      <c r="F436" s="156" t="inlineStr">
        <is>
          <t>Questionable</t>
        </is>
      </c>
    </row>
    <row r="437" ht="15.6" customHeight="1" s="152">
      <c r="A437" s="167">
        <f>B437&amp;C437</f>
        <v/>
      </c>
      <c r="B437" s="156" t="inlineStr">
        <is>
          <t>CHI</t>
        </is>
      </c>
      <c r="C437" s="156" t="inlineStr">
        <is>
          <t>Jaylon Johnson</t>
        </is>
      </c>
      <c r="D437" s="156" t="inlineStr">
        <is>
          <t>CB</t>
        </is>
      </c>
      <c r="E437" s="156" t="inlineStr">
        <is>
          <t>Groin</t>
        </is>
      </c>
      <c r="F437" s="156" t="inlineStr">
        <is>
          <t>Doubtful</t>
        </is>
      </c>
    </row>
    <row r="438" ht="15.6" customHeight="1" s="152">
      <c r="A438" s="167">
        <f>B438&amp;C438</f>
        <v/>
      </c>
      <c r="B438" s="156" t="inlineStr">
        <is>
          <t>NYJ</t>
        </is>
      </c>
      <c r="C438" s="156" t="inlineStr">
        <is>
          <t>Jermaine Johnson</t>
        </is>
      </c>
      <c r="D438" s="156" t="inlineStr">
        <is>
          <t>DE</t>
        </is>
      </c>
      <c r="E438" s="156" t="inlineStr">
        <is>
          <t>Ankle</t>
        </is>
      </c>
      <c r="F438" s="156" t="inlineStr">
        <is>
          <t>Questionable</t>
        </is>
      </c>
    </row>
    <row r="439" ht="15.6" customHeight="1" s="152">
      <c r="A439" s="167">
        <f>B439&amp;C439</f>
        <v/>
      </c>
      <c r="B439" s="156" t="inlineStr">
        <is>
          <t>FA</t>
        </is>
      </c>
      <c r="C439" s="156" t="inlineStr">
        <is>
          <t>John Johnson</t>
        </is>
      </c>
      <c r="D439" s="156" t="inlineStr">
        <is>
          <t>S</t>
        </is>
      </c>
      <c r="E439" s="156" t="inlineStr">
        <is>
          <t>Suspension</t>
        </is>
      </c>
      <c r="F439" s="156" t="inlineStr">
        <is>
          <t>Reserve-Sus</t>
        </is>
      </c>
    </row>
    <row r="440" ht="15.6" customHeight="1" s="152">
      <c r="A440" s="167">
        <f>B440&amp;C440</f>
        <v/>
      </c>
      <c r="B440" s="156" t="inlineStr">
        <is>
          <t>FA</t>
        </is>
      </c>
      <c r="C440" s="156" t="inlineStr">
        <is>
          <t>Johnny Johnson</t>
        </is>
      </c>
      <c r="D440" s="156" t="inlineStr">
        <is>
          <t>WR</t>
        </is>
      </c>
      <c r="E440" s="156" t="inlineStr">
        <is>
          <t>Arm</t>
        </is>
      </c>
      <c r="F440" s="156" t="inlineStr">
        <is>
          <t>Questionable</t>
        </is>
      </c>
    </row>
    <row r="441" ht="15.6" customHeight="1" s="152">
      <c r="A441" s="167">
        <f>B441&amp;C441</f>
        <v/>
      </c>
      <c r="B441" s="156" t="inlineStr">
        <is>
          <t>FA</t>
        </is>
      </c>
      <c r="C441" s="156" t="inlineStr">
        <is>
          <t>Josh Johnson</t>
        </is>
      </c>
      <c r="D441" s="156" t="inlineStr">
        <is>
          <t>RB</t>
        </is>
      </c>
      <c r="E441" s="156" t="inlineStr">
        <is>
          <t>Undisclosed</t>
        </is>
      </c>
      <c r="F441" s="156" t="inlineStr">
        <is>
          <t>Questionable</t>
        </is>
      </c>
    </row>
    <row r="442" ht="15.6" customHeight="1" s="152">
      <c r="A442" s="167">
        <f>B442&amp;C442</f>
        <v/>
      </c>
      <c r="B442" s="156" t="inlineStr">
        <is>
          <t>FA</t>
        </is>
      </c>
      <c r="C442" s="156" t="inlineStr">
        <is>
          <t>Kyron Johnson</t>
        </is>
      </c>
      <c r="D442" s="156" t="inlineStr">
        <is>
          <t>LB</t>
        </is>
      </c>
      <c r="E442" s="156" t="inlineStr">
        <is>
          <t>Undisclosed</t>
        </is>
      </c>
      <c r="F442" s="156" t="inlineStr">
        <is>
          <t>Questionable</t>
        </is>
      </c>
    </row>
    <row r="443" ht="15.6" customHeight="1" s="152">
      <c r="A443" s="167">
        <f>B443&amp;C443</f>
        <v/>
      </c>
      <c r="B443" s="156" t="inlineStr">
        <is>
          <t>LV</t>
        </is>
      </c>
      <c r="C443" s="156" t="inlineStr">
        <is>
          <t>Lonnie Johnson</t>
        </is>
      </c>
      <c r="D443" s="156" t="inlineStr">
        <is>
          <t>S</t>
        </is>
      </c>
      <c r="E443" s="156" t="inlineStr">
        <is>
          <t>Leg</t>
        </is>
      </c>
      <c r="F443" s="156" t="inlineStr">
        <is>
          <t>IR-R</t>
        </is>
      </c>
    </row>
    <row r="444" ht="15.6" customHeight="1" s="152">
      <c r="A444" s="167">
        <f>B444&amp;C444</f>
        <v/>
      </c>
      <c r="B444" s="156" t="inlineStr">
        <is>
          <t>KC</t>
        </is>
      </c>
      <c r="C444" s="156" t="inlineStr">
        <is>
          <t>Nazeeh Johnson</t>
        </is>
      </c>
      <c r="D444" s="156" t="inlineStr">
        <is>
          <t>CB</t>
        </is>
      </c>
      <c r="E444" s="156" t="inlineStr">
        <is>
          <t>Shoulder</t>
        </is>
      </c>
      <c r="F444" s="156" t="inlineStr">
        <is>
          <t>IR-R</t>
        </is>
      </c>
    </row>
    <row r="445" ht="15.6" customHeight="1" s="152">
      <c r="A445" s="167">
        <f>B445&amp;C445</f>
        <v/>
      </c>
      <c r="B445" s="156" t="inlineStr">
        <is>
          <t>ARI</t>
        </is>
      </c>
      <c r="C445" s="156" t="inlineStr">
        <is>
          <t>Paris Johnson</t>
        </is>
      </c>
      <c r="D445" s="156" t="inlineStr">
        <is>
          <t>OT</t>
        </is>
      </c>
      <c r="E445" s="156" t="inlineStr">
        <is>
          <t>Knee</t>
        </is>
      </c>
      <c r="F445" s="156" t="inlineStr">
        <is>
          <t>Questionable</t>
        </is>
      </c>
    </row>
    <row r="446" ht="15.6" customHeight="1" s="152">
      <c r="A446" s="167">
        <f>B446&amp;C446</f>
        <v/>
      </c>
      <c r="B446" s="156" t="inlineStr">
        <is>
          <t>FA</t>
        </is>
      </c>
      <c r="C446" s="156" t="inlineStr">
        <is>
          <t>Roderick Johnson</t>
        </is>
      </c>
      <c r="D446" s="156" t="inlineStr">
        <is>
          <t>OT</t>
        </is>
      </c>
      <c r="E446" s="156" t="inlineStr">
        <is>
          <t>Undisclosed</t>
        </is>
      </c>
      <c r="F446" s="156" t="inlineStr">
        <is>
          <t>Questionable</t>
        </is>
      </c>
    </row>
    <row r="447" ht="15.6" customHeight="1" s="152">
      <c r="A447" s="167">
        <f>B447&amp;C447</f>
        <v/>
      </c>
      <c r="B447" s="156" t="inlineStr">
        <is>
          <t>BUF</t>
        </is>
      </c>
      <c r="C447" s="156" t="inlineStr">
        <is>
          <t>Taron Johnson</t>
        </is>
      </c>
      <c r="D447" s="156" t="inlineStr">
        <is>
          <t>CB</t>
        </is>
      </c>
      <c r="E447" s="156" t="inlineStr">
        <is>
          <t>Quadriceps</t>
        </is>
      </c>
      <c r="F447" s="156" t="inlineStr">
        <is>
          <t>Questionable</t>
        </is>
      </c>
    </row>
    <row r="448" ht="15.6" customHeight="1" s="152">
      <c r="A448" s="167">
        <f>B448&amp;C448</f>
        <v/>
      </c>
      <c r="B448" s="156" t="inlineStr">
        <is>
          <t>FA</t>
        </is>
      </c>
      <c r="C448" s="156" t="inlineStr">
        <is>
          <t>Tyreek Johnson</t>
        </is>
      </c>
      <c r="D448" s="156" t="inlineStr">
        <is>
          <t>DE</t>
        </is>
      </c>
      <c r="E448" s="156" t="inlineStr">
        <is>
          <t>Undisclosed</t>
        </is>
      </c>
      <c r="F448" s="156" t="inlineStr">
        <is>
          <t>Questionable</t>
        </is>
      </c>
    </row>
    <row r="449" ht="15.6" customHeight="1" s="152">
      <c r="A449" s="167">
        <f>B449&amp;C449</f>
        <v/>
      </c>
      <c r="B449" s="156" t="inlineStr">
        <is>
          <t>ARI</t>
        </is>
      </c>
      <c r="C449" s="156" t="inlineStr">
        <is>
          <t>Will Johnson</t>
        </is>
      </c>
      <c r="D449" s="156" t="inlineStr">
        <is>
          <t>CB</t>
        </is>
      </c>
      <c r="E449" s="156" t="inlineStr">
        <is>
          <t>Groin</t>
        </is>
      </c>
      <c r="F449" s="156" t="inlineStr">
        <is>
          <t>Questionable</t>
        </is>
      </c>
    </row>
    <row r="450" ht="15.6" customHeight="1" s="152">
      <c r="A450" s="167">
        <f>B450&amp;C450</f>
        <v/>
      </c>
      <c r="B450" s="156" t="inlineStr">
        <is>
          <t>FA</t>
        </is>
      </c>
      <c r="C450" s="156" t="inlineStr">
        <is>
          <t>Willie Johnson</t>
        </is>
      </c>
      <c r="D450" s="156" t="inlineStr">
        <is>
          <t>WR</t>
        </is>
      </c>
      <c r="E450" s="156" t="inlineStr">
        <is>
          <t>Undisclosed</t>
        </is>
      </c>
      <c r="F450" s="156" t="inlineStr">
        <is>
          <t>Questionable</t>
        </is>
      </c>
    </row>
    <row r="451" ht="15.6" customHeight="1" s="152">
      <c r="A451" s="167">
        <f>B451&amp;C451</f>
        <v/>
      </c>
      <c r="B451" s="156" t="inlineStr">
        <is>
          <t>FA</t>
        </is>
      </c>
      <c r="C451" s="156" t="inlineStr">
        <is>
          <t>Xavier Johnson</t>
        </is>
      </c>
      <c r="D451" s="156" t="inlineStr">
        <is>
          <t>WR</t>
        </is>
      </c>
      <c r="E451" s="156" t="inlineStr">
        <is>
          <t>Hand</t>
        </is>
      </c>
      <c r="F451" s="156" t="inlineStr">
        <is>
          <t>Questionable</t>
        </is>
      </c>
    </row>
    <row r="452" ht="15.6" customHeight="1" s="152">
      <c r="A452" s="167">
        <f>B452&amp;C452</f>
        <v/>
      </c>
      <c r="B452" s="156" t="inlineStr">
        <is>
          <t>FA</t>
        </is>
      </c>
      <c r="C452" s="156" t="inlineStr">
        <is>
          <t>Shaun Jolly</t>
        </is>
      </c>
      <c r="D452" s="156" t="inlineStr">
        <is>
          <t>CB</t>
        </is>
      </c>
      <c r="E452" s="156" t="inlineStr">
        <is>
          <t>Undisclosed</t>
        </is>
      </c>
      <c r="F452" s="156" t="inlineStr">
        <is>
          <t>Questionable</t>
        </is>
      </c>
    </row>
    <row r="453" ht="15.6" customHeight="1" s="152">
      <c r="A453" s="167">
        <f>B453&amp;C453</f>
        <v/>
      </c>
      <c r="B453" s="156" t="inlineStr">
        <is>
          <t>MIN</t>
        </is>
      </c>
      <c r="C453" s="156" t="inlineStr">
        <is>
          <t>Aaron Jones</t>
        </is>
      </c>
      <c r="D453" s="156" t="inlineStr">
        <is>
          <t>RB</t>
        </is>
      </c>
      <c r="E453" s="156" t="inlineStr">
        <is>
          <t>Hamstring</t>
        </is>
      </c>
      <c r="F453" s="156" t="inlineStr">
        <is>
          <t>IR</t>
        </is>
      </c>
    </row>
    <row r="454" ht="15.6" customHeight="1" s="152">
      <c r="A454" s="167">
        <f>B454&amp;C454</f>
        <v/>
      </c>
      <c r="B454" s="156" t="inlineStr">
        <is>
          <t>FA</t>
        </is>
      </c>
      <c r="C454" s="156" t="inlineStr">
        <is>
          <t>Ben Jones</t>
        </is>
      </c>
      <c r="D454" s="156" t="inlineStr">
        <is>
          <t>C</t>
        </is>
      </c>
      <c r="E454" s="156" t="inlineStr">
        <is>
          <t>Undisclosed</t>
        </is>
      </c>
      <c r="F454" s="156" t="inlineStr">
        <is>
          <t>Questionable</t>
        </is>
      </c>
    </row>
    <row r="455" ht="15.6" customHeight="1" s="152">
      <c r="A455" s="167">
        <f>B455&amp;C455</f>
        <v/>
      </c>
      <c r="B455" s="156" t="inlineStr">
        <is>
          <t>MIA</t>
        </is>
      </c>
      <c r="C455" s="156" t="inlineStr">
        <is>
          <t>Benito Jones</t>
        </is>
      </c>
      <c r="D455" s="156" t="inlineStr">
        <is>
          <t>DT</t>
        </is>
      </c>
      <c r="E455" s="156" t="inlineStr">
        <is>
          <t>Oblique</t>
        </is>
      </c>
      <c r="F455" s="156" t="inlineStr">
        <is>
          <t>Questionable</t>
        </is>
      </c>
    </row>
    <row r="456" ht="15.6" customHeight="1" s="152">
      <c r="A456" s="167">
        <f>B456&amp;C456</f>
        <v/>
      </c>
      <c r="B456" s="156" t="inlineStr">
        <is>
          <t>FA</t>
        </is>
      </c>
      <c r="C456" s="156" t="inlineStr">
        <is>
          <t>Brett Jones</t>
        </is>
      </c>
      <c r="D456" s="156" t="inlineStr">
        <is>
          <t>C</t>
        </is>
      </c>
      <c r="E456" s="156" t="inlineStr">
        <is>
          <t>Biceps</t>
        </is>
      </c>
      <c r="F456" s="156" t="inlineStr">
        <is>
          <t>Questionable</t>
        </is>
      </c>
    </row>
    <row r="457" ht="15.6" customHeight="1" s="152">
      <c r="A457" s="167">
        <f>B457&amp;C457</f>
        <v/>
      </c>
      <c r="B457" s="156" t="inlineStr">
        <is>
          <t>FA</t>
        </is>
      </c>
      <c r="C457" s="156" t="inlineStr">
        <is>
          <t>Buddha Jones</t>
        </is>
      </c>
      <c r="D457" s="156" t="inlineStr">
        <is>
          <t>DT</t>
        </is>
      </c>
      <c r="E457" s="156" t="inlineStr">
        <is>
          <t>Undisclosed</t>
        </is>
      </c>
      <c r="F457" s="156" t="inlineStr">
        <is>
          <t>Questionable</t>
        </is>
      </c>
    </row>
    <row r="458" ht="15.6" customHeight="1" s="152">
      <c r="A458" s="167">
        <f>B458&amp;C458</f>
        <v/>
      </c>
      <c r="B458" s="156" t="inlineStr">
        <is>
          <t>FA</t>
        </is>
      </c>
      <c r="C458" s="156" t="inlineStr">
        <is>
          <t>Byron Jones</t>
        </is>
      </c>
      <c r="D458" s="156" t="inlineStr">
        <is>
          <t>CB</t>
        </is>
      </c>
      <c r="E458" s="156" t="inlineStr">
        <is>
          <t>Achilles</t>
        </is>
      </c>
      <c r="F458" s="156" t="inlineStr">
        <is>
          <t>Questionable</t>
        </is>
      </c>
    </row>
    <row r="459" ht="15.6" customHeight="1" s="152">
      <c r="A459" s="167">
        <f>B459&amp;C459</f>
        <v/>
      </c>
      <c r="B459" s="156" t="inlineStr">
        <is>
          <t>FA</t>
        </is>
      </c>
      <c r="C459" s="156" t="inlineStr">
        <is>
          <t>Chris Jones</t>
        </is>
      </c>
      <c r="D459" s="156" t="inlineStr">
        <is>
          <t>P</t>
        </is>
      </c>
      <c r="E459" s="156" t="inlineStr">
        <is>
          <t>Abdomen</t>
        </is>
      </c>
      <c r="F459" s="156" t="inlineStr">
        <is>
          <t>Questionable</t>
        </is>
      </c>
    </row>
    <row r="460" ht="15.6" customHeight="1" s="152">
      <c r="A460" s="167">
        <f>B460&amp;C460</f>
        <v/>
      </c>
      <c r="B460" s="156" t="inlineStr">
        <is>
          <t>ARI</t>
        </is>
      </c>
      <c r="C460" s="156" t="inlineStr">
        <is>
          <t>Christian Jones</t>
        </is>
      </c>
      <c r="D460" s="156" t="inlineStr">
        <is>
          <t>OT</t>
        </is>
      </c>
      <c r="E460" s="156" t="inlineStr">
        <is>
          <t>Knee</t>
        </is>
      </c>
      <c r="F460" s="156" t="inlineStr">
        <is>
          <t>IR-R</t>
        </is>
      </c>
    </row>
    <row r="461" ht="15.6" customHeight="1" s="152">
      <c r="A461" s="167">
        <f>B461&amp;C461</f>
        <v/>
      </c>
      <c r="B461" s="156" t="inlineStr">
        <is>
          <t>FA</t>
        </is>
      </c>
      <c r="C461" s="156" t="inlineStr">
        <is>
          <t>Devin Jones</t>
        </is>
      </c>
      <c r="D461" s="156" t="inlineStr">
        <is>
          <t>CB</t>
        </is>
      </c>
      <c r="E461" s="156" t="inlineStr">
        <is>
          <t>Undisclosed</t>
        </is>
      </c>
      <c r="F461" s="156" t="inlineStr">
        <is>
          <t>Questionable</t>
        </is>
      </c>
    </row>
    <row r="462" ht="15.6" customHeight="1" s="152">
      <c r="A462" s="167">
        <f>B462&amp;C462</f>
        <v/>
      </c>
      <c r="B462" s="156" t="inlineStr">
        <is>
          <t>BAL</t>
        </is>
      </c>
      <c r="C462" s="156" t="inlineStr">
        <is>
          <t>Emery Jones</t>
        </is>
      </c>
      <c r="D462" s="156" t="inlineStr">
        <is>
          <t>OG</t>
        </is>
      </c>
      <c r="E462" s="156" t="inlineStr">
        <is>
          <t>Shoulder - Labrum</t>
        </is>
      </c>
      <c r="F462" s="156" t="inlineStr">
        <is>
          <t>NFI-R</t>
        </is>
      </c>
    </row>
    <row r="463" ht="15.6" customHeight="1" s="152">
      <c r="A463" s="167">
        <f>B463&amp;C463</f>
        <v/>
      </c>
      <c r="B463" s="156" t="inlineStr">
        <is>
          <t>ATL</t>
        </is>
      </c>
      <c r="C463" s="156" t="inlineStr">
        <is>
          <t>Emory Jones</t>
        </is>
      </c>
      <c r="D463" s="156" t="inlineStr">
        <is>
          <t>QB</t>
        </is>
      </c>
      <c r="E463" s="156" t="inlineStr">
        <is>
          <t>Concussion</t>
        </is>
      </c>
      <c r="F463" s="156" t="inlineStr">
        <is>
          <t>IR</t>
        </is>
      </c>
    </row>
    <row r="464" ht="15.6" customHeight="1" s="152">
      <c r="A464" s="167">
        <f>B464&amp;C464</f>
        <v/>
      </c>
      <c r="B464" s="156" t="inlineStr">
        <is>
          <t>SEA</t>
        </is>
      </c>
      <c r="C464" s="156" t="inlineStr">
        <is>
          <t>Ernest Jones</t>
        </is>
      </c>
      <c r="D464" s="156" t="inlineStr">
        <is>
          <t>LB</t>
        </is>
      </c>
      <c r="E464" s="156" t="inlineStr">
        <is>
          <t>Shoulder</t>
        </is>
      </c>
      <c r="F464" s="156" t="inlineStr">
        <is>
          <t>Questionable</t>
        </is>
      </c>
    </row>
    <row r="465" ht="15.6" customHeight="1" s="152">
      <c r="A465" s="167">
        <f>B465&amp;C465</f>
        <v/>
      </c>
      <c r="B465" s="156" t="inlineStr">
        <is>
          <t>DET</t>
        </is>
      </c>
      <c r="C465" s="156" t="inlineStr">
        <is>
          <t>Jamarco Jones</t>
        </is>
      </c>
      <c r="D465" s="156" t="inlineStr">
        <is>
          <t>OT</t>
        </is>
      </c>
      <c r="E465" s="156" t="inlineStr">
        <is>
          <t>Ankle</t>
        </is>
      </c>
      <c r="F465" s="156" t="inlineStr">
        <is>
          <t>IR</t>
        </is>
      </c>
    </row>
    <row r="466" ht="15.6" customHeight="1" s="152">
      <c r="A466" s="167">
        <f>B466&amp;C466</f>
        <v/>
      </c>
      <c r="B466" s="156" t="inlineStr">
        <is>
          <t>JAX</t>
        </is>
      </c>
      <c r="C466" s="156" t="inlineStr">
        <is>
          <t>Jarrian Jones</t>
        </is>
      </c>
      <c r="D466" s="156" t="inlineStr">
        <is>
          <t>CB</t>
        </is>
      </c>
      <c r="E466" s="156" t="inlineStr">
        <is>
          <t>Back</t>
        </is>
      </c>
      <c r="F466" s="156" t="inlineStr">
        <is>
          <t>Questionable</t>
        </is>
      </c>
    </row>
    <row r="467" ht="15.6" customHeight="1" s="152">
      <c r="A467" s="167">
        <f>B467&amp;C467</f>
        <v/>
      </c>
      <c r="B467" s="156" t="inlineStr">
        <is>
          <t>FA</t>
        </is>
      </c>
      <c r="C467" s="156" t="inlineStr">
        <is>
          <t>Jaylen Jones</t>
        </is>
      </c>
      <c r="D467" s="156" t="inlineStr">
        <is>
          <t>S</t>
        </is>
      </c>
      <c r="E467" s="156" t="inlineStr">
        <is>
          <t>Undisclosed</t>
        </is>
      </c>
      <c r="F467" s="156" t="inlineStr">
        <is>
          <t>Questionable</t>
        </is>
      </c>
    </row>
    <row r="468" ht="15.6" customHeight="1" s="152">
      <c r="A468" s="167">
        <f>B468&amp;C468</f>
        <v/>
      </c>
      <c r="B468" s="156" t="inlineStr">
        <is>
          <t>CHI</t>
        </is>
      </c>
      <c r="C468" s="156" t="inlineStr">
        <is>
          <t>Jaylon Jones</t>
        </is>
      </c>
      <c r="D468" s="156" t="inlineStr">
        <is>
          <t>CB</t>
        </is>
      </c>
      <c r="E468" s="156" t="inlineStr">
        <is>
          <t>Hamstring</t>
        </is>
      </c>
      <c r="F468" s="156" t="inlineStr">
        <is>
          <t>Questionable</t>
        </is>
      </c>
    </row>
    <row r="469" ht="15.6" customHeight="1" s="152">
      <c r="A469" s="167">
        <f>B469&amp;C469</f>
        <v/>
      </c>
      <c r="B469" s="156" t="inlineStr">
        <is>
          <t>IND</t>
        </is>
      </c>
      <c r="C469" s="156" t="inlineStr">
        <is>
          <t>Jaylon Jones</t>
        </is>
      </c>
      <c r="D469" s="156" t="inlineStr">
        <is>
          <t>CB</t>
        </is>
      </c>
      <c r="E469" s="156" t="inlineStr">
        <is>
          <t>Hamstring</t>
        </is>
      </c>
      <c r="F469" s="156" t="inlineStr">
        <is>
          <t>IR</t>
        </is>
      </c>
    </row>
    <row r="470" ht="15.6" customHeight="1" s="152">
      <c r="A470" s="167">
        <f>B470&amp;C470</f>
        <v/>
      </c>
      <c r="B470" s="156" t="inlineStr">
        <is>
          <t>FA</t>
        </is>
      </c>
      <c r="C470" s="156" t="inlineStr">
        <is>
          <t>Joe Jones</t>
        </is>
      </c>
      <c r="D470" s="156" t="inlineStr">
        <is>
          <t>LB</t>
        </is>
      </c>
      <c r="E470" s="156" t="inlineStr">
        <is>
          <t>Finger</t>
        </is>
      </c>
      <c r="F470" s="156" t="inlineStr">
        <is>
          <t>Questionable</t>
        </is>
      </c>
    </row>
    <row r="471" ht="15.6" customHeight="1" s="152">
      <c r="A471" s="167">
        <f>B471&amp;C471</f>
        <v/>
      </c>
      <c r="B471" s="156" t="inlineStr">
        <is>
          <t>WAS</t>
        </is>
      </c>
      <c r="C471" s="156" t="inlineStr">
        <is>
          <t>Jonathan Jones</t>
        </is>
      </c>
      <c r="D471" s="156" t="inlineStr">
        <is>
          <t>CB</t>
        </is>
      </c>
      <c r="E471" s="156" t="inlineStr">
        <is>
          <t>Hamstring</t>
        </is>
      </c>
      <c r="F471" s="156" t="inlineStr">
        <is>
          <t>IR</t>
        </is>
      </c>
    </row>
    <row r="472" ht="15.6" customHeight="1" s="152">
      <c r="A472" s="167">
        <f>B472&amp;C472</f>
        <v/>
      </c>
      <c r="B472" s="156" t="inlineStr">
        <is>
          <t>FA</t>
        </is>
      </c>
      <c r="C472" s="156" t="inlineStr">
        <is>
          <t>Josh Jones</t>
        </is>
      </c>
      <c r="D472" s="156" t="inlineStr">
        <is>
          <t>S</t>
        </is>
      </c>
      <c r="E472" s="156" t="inlineStr">
        <is>
          <t>Hamstring</t>
        </is>
      </c>
      <c r="F472" s="156" t="inlineStr">
        <is>
          <t>Questionable</t>
        </is>
      </c>
    </row>
    <row r="473" ht="15.6" customHeight="1" s="152">
      <c r="A473" s="167">
        <f>B473&amp;C473</f>
        <v/>
      </c>
      <c r="B473" s="156" t="inlineStr">
        <is>
          <t>ARI</t>
        </is>
      </c>
      <c r="C473" s="156" t="inlineStr">
        <is>
          <t>Justin Jones</t>
        </is>
      </c>
      <c r="D473" s="156" t="inlineStr">
        <is>
          <t>DT</t>
        </is>
      </c>
      <c r="E473" s="156" t="inlineStr">
        <is>
          <t>Knee</t>
        </is>
      </c>
      <c r="F473" s="156" t="inlineStr">
        <is>
          <t>IR</t>
        </is>
      </c>
    </row>
    <row r="474" ht="15.6" customHeight="1" s="152">
      <c r="A474" s="167">
        <f>B474&amp;C474</f>
        <v/>
      </c>
      <c r="B474" s="156" t="inlineStr">
        <is>
          <t>FA</t>
        </is>
      </c>
      <c r="C474" s="156" t="inlineStr">
        <is>
          <t>Keandre Jones</t>
        </is>
      </c>
      <c r="D474" s="156" t="inlineStr">
        <is>
          <t>LB</t>
        </is>
      </c>
      <c r="E474" s="156" t="inlineStr">
        <is>
          <t>Undisclosed</t>
        </is>
      </c>
      <c r="F474" s="156" t="inlineStr">
        <is>
          <t>Questionable</t>
        </is>
      </c>
    </row>
    <row r="475" ht="15.6" customHeight="1" s="152">
      <c r="A475" s="167">
        <f>B475&amp;C475</f>
        <v/>
      </c>
      <c r="B475" s="156" t="inlineStr">
        <is>
          <t>CAR</t>
        </is>
      </c>
      <c r="C475" s="156" t="inlineStr">
        <is>
          <t>Patrick Jones</t>
        </is>
      </c>
      <c r="D475" s="156" t="inlineStr">
        <is>
          <t>LB</t>
        </is>
      </c>
      <c r="E475" s="156" t="inlineStr">
        <is>
          <t>Hamstring</t>
        </is>
      </c>
      <c r="F475" s="156" t="inlineStr">
        <is>
          <t>Questionable</t>
        </is>
      </c>
    </row>
    <row r="476" ht="15.6" customHeight="1" s="152">
      <c r="A476" s="167">
        <f>B476&amp;C476</f>
        <v/>
      </c>
      <c r="B476" s="156" t="inlineStr">
        <is>
          <t>DAL</t>
        </is>
      </c>
      <c r="C476" s="156" t="inlineStr">
        <is>
          <t>Rob Jones</t>
        </is>
      </c>
      <c r="D476" s="156" t="inlineStr">
        <is>
          <t>OG</t>
        </is>
      </c>
      <c r="E476" s="156" t="inlineStr">
        <is>
          <t>Neck</t>
        </is>
      </c>
      <c r="F476" s="156" t="inlineStr">
        <is>
          <t>IR</t>
        </is>
      </c>
    </row>
    <row r="477" ht="15.6" customHeight="1" s="152">
      <c r="A477" s="167">
        <f>B477&amp;C477</f>
        <v/>
      </c>
      <c r="B477" s="156" t="inlineStr">
        <is>
          <t>FA</t>
        </is>
      </c>
      <c r="C477" s="156" t="inlineStr">
        <is>
          <t>Xavier Jones</t>
        </is>
      </c>
      <c r="D477" s="156" t="inlineStr">
        <is>
          <t>RB</t>
        </is>
      </c>
      <c r="E477" s="156" t="inlineStr">
        <is>
          <t>Achilles</t>
        </is>
      </c>
      <c r="F477" s="156" t="inlineStr">
        <is>
          <t>Questionable</t>
        </is>
      </c>
    </row>
    <row r="478" ht="15.6" customHeight="1" s="152">
      <c r="A478" s="167">
        <f>B478&amp;C478</f>
        <v/>
      </c>
      <c r="B478" s="156" t="inlineStr">
        <is>
          <t>HOU</t>
        </is>
      </c>
      <c r="C478" s="156" t="inlineStr">
        <is>
          <t>Brevin Jordan</t>
        </is>
      </c>
      <c r="D478" s="156" t="inlineStr">
        <is>
          <t>TE</t>
        </is>
      </c>
      <c r="E478" s="156" t="inlineStr">
        <is>
          <t>Knee</t>
        </is>
      </c>
      <c r="F478" s="156" t="inlineStr">
        <is>
          <t>IR</t>
        </is>
      </c>
    </row>
    <row r="479" ht="15.6" customHeight="1" s="152">
      <c r="A479" s="167">
        <f>B479&amp;C479</f>
        <v/>
      </c>
      <c r="B479" s="156" t="inlineStr">
        <is>
          <t>FA</t>
        </is>
      </c>
      <c r="C479" s="156" t="inlineStr">
        <is>
          <t>Lamarcus Joyner</t>
        </is>
      </c>
      <c r="D479" s="156" t="inlineStr">
        <is>
          <t>S</t>
        </is>
      </c>
      <c r="E479" s="156" t="inlineStr">
        <is>
          <t>Hip</t>
        </is>
      </c>
      <c r="F479" s="156" t="inlineStr">
        <is>
          <t>Questionable</t>
        </is>
      </c>
    </row>
    <row r="480" ht="15.6" customHeight="1" s="152">
      <c r="A480" s="167">
        <f>B480&amp;C480</f>
        <v/>
      </c>
      <c r="B480" s="156" t="inlineStr">
        <is>
          <t>FA</t>
        </is>
      </c>
      <c r="C480" s="156" t="inlineStr">
        <is>
          <t>Gregory Junior</t>
        </is>
      </c>
      <c r="D480" s="156" t="inlineStr">
        <is>
          <t>CB</t>
        </is>
      </c>
      <c r="E480" s="156" t="inlineStr">
        <is>
          <t>Hamstring</t>
        </is>
      </c>
      <c r="F480" s="156" t="inlineStr">
        <is>
          <t>Questionable</t>
        </is>
      </c>
    </row>
    <row r="481" ht="15.6" customHeight="1" s="152">
      <c r="A481" s="167">
        <f>B481&amp;C481</f>
        <v/>
      </c>
      <c r="B481" s="156" t="inlineStr">
        <is>
          <t>SF</t>
        </is>
      </c>
      <c r="C481" s="156" t="inlineStr">
        <is>
          <t>Kyle Juszczyk</t>
        </is>
      </c>
      <c r="D481" s="156" t="inlineStr">
        <is>
          <t>FB</t>
        </is>
      </c>
      <c r="E481" s="156" t="inlineStr">
        <is>
          <t>Concussion</t>
        </is>
      </c>
      <c r="F481" s="156" t="inlineStr">
        <is>
          <t>Questionable</t>
        </is>
      </c>
    </row>
    <row r="482" ht="15.6" customHeight="1" s="152">
      <c r="A482" s="167">
        <f>B482&amp;C482</f>
        <v/>
      </c>
      <c r="B482" s="156" t="inlineStr">
        <is>
          <t>TB</t>
        </is>
      </c>
      <c r="C482" s="156" t="inlineStr">
        <is>
          <t>Calijah Kancey</t>
        </is>
      </c>
      <c r="D482" s="156" t="inlineStr">
        <is>
          <t>DT</t>
        </is>
      </c>
      <c r="E482" s="156" t="inlineStr">
        <is>
          <t>Pectoral</t>
        </is>
      </c>
      <c r="F482" s="156" t="inlineStr">
        <is>
          <t>IR</t>
        </is>
      </c>
    </row>
    <row r="483" ht="15.6" customHeight="1" s="152">
      <c r="A483" s="167">
        <f>B483&amp;C483</f>
        <v/>
      </c>
      <c r="B483" s="156" t="inlineStr">
        <is>
          <t>FA</t>
        </is>
      </c>
      <c r="C483" s="156" t="inlineStr">
        <is>
          <t>Dalton Keene</t>
        </is>
      </c>
      <c r="D483" s="156" t="inlineStr">
        <is>
          <t>TE</t>
        </is>
      </c>
      <c r="E483" s="156" t="inlineStr">
        <is>
          <t>Leg</t>
        </is>
      </c>
      <c r="F483" s="156" t="inlineStr">
        <is>
          <t>Questionable</t>
        </is>
      </c>
    </row>
    <row r="484" ht="15.6" customHeight="1" s="152">
      <c r="A484" s="167">
        <f>B484&amp;C484</f>
        <v/>
      </c>
      <c r="B484" s="156" t="inlineStr">
        <is>
          <t>MIN</t>
        </is>
      </c>
      <c r="C484" s="156" t="inlineStr">
        <is>
          <t>Ryan Kelly</t>
        </is>
      </c>
      <c r="D484" s="156" t="inlineStr">
        <is>
          <t>C</t>
        </is>
      </c>
      <c r="E484" s="156" t="inlineStr">
        <is>
          <t>Concussion</t>
        </is>
      </c>
      <c r="F484" s="156" t="inlineStr">
        <is>
          <t>Questionable</t>
        </is>
      </c>
    </row>
    <row r="485" ht="15.6" customHeight="1" s="152">
      <c r="A485" s="167">
        <f>B485&amp;C485</f>
        <v/>
      </c>
      <c r="B485" s="156" t="inlineStr">
        <is>
          <t>FA</t>
        </is>
      </c>
      <c r="C485" s="156" t="inlineStr">
        <is>
          <t>Silas Kelly</t>
        </is>
      </c>
      <c r="D485" s="156" t="inlineStr">
        <is>
          <t>LB</t>
        </is>
      </c>
      <c r="E485" s="156" t="inlineStr">
        <is>
          <t>Undisclosed</t>
        </is>
      </c>
      <c r="F485" s="156" t="inlineStr">
        <is>
          <t>Questionable</t>
        </is>
      </c>
    </row>
    <row r="486" ht="15.6" customHeight="1" s="152">
      <c r="A486" s="167">
        <f>B486&amp;C486</f>
        <v/>
      </c>
      <c r="B486" s="156" t="inlineStr">
        <is>
          <t>CLE</t>
        </is>
      </c>
      <c r="C486" s="156" t="inlineStr">
        <is>
          <t>Anthony Kendall</t>
        </is>
      </c>
      <c r="D486" s="156" t="inlineStr">
        <is>
          <t>CB</t>
        </is>
      </c>
      <c r="E486" s="156" t="inlineStr">
        <is>
          <t>Undisclosed</t>
        </is>
      </c>
      <c r="F486" s="156" t="inlineStr">
        <is>
          <t>IR</t>
        </is>
      </c>
    </row>
    <row r="487" ht="15.6" customHeight="1" s="152">
      <c r="A487" s="167">
        <f>B487&amp;C487</f>
        <v/>
      </c>
      <c r="B487" s="156" t="inlineStr">
        <is>
          <t>PIT</t>
        </is>
      </c>
      <c r="C487" s="156" t="inlineStr">
        <is>
          <t>Donte Kent</t>
        </is>
      </c>
      <c r="D487" s="156" t="inlineStr">
        <is>
          <t>CB</t>
        </is>
      </c>
      <c r="E487" s="156" t="inlineStr">
        <is>
          <t>Foot</t>
        </is>
      </c>
      <c r="F487" s="156" t="inlineStr">
        <is>
          <t>IR</t>
        </is>
      </c>
    </row>
    <row r="488" ht="15.6" customHeight="1" s="152">
      <c r="A488" s="167">
        <f>B488&amp;C488</f>
        <v/>
      </c>
      <c r="B488" s="156" t="inlineStr">
        <is>
          <t>MIN</t>
        </is>
      </c>
      <c r="C488" s="156" t="inlineStr">
        <is>
          <t>Austin Keys</t>
        </is>
      </c>
      <c r="D488" s="156" t="inlineStr">
        <is>
          <t>LB</t>
        </is>
      </c>
      <c r="E488" s="156" t="inlineStr">
        <is>
          <t>Groin</t>
        </is>
      </c>
      <c r="F488" s="156" t="inlineStr">
        <is>
          <t>Questionable</t>
        </is>
      </c>
    </row>
    <row r="489" ht="15.6" customHeight="1" s="152">
      <c r="A489" s="167">
        <f>B489&amp;C489</f>
        <v/>
      </c>
      <c r="B489" s="156" t="inlineStr">
        <is>
          <t>FA</t>
        </is>
      </c>
      <c r="C489" s="156" t="inlineStr">
        <is>
          <t>Lawrence Keys</t>
        </is>
      </c>
      <c r="D489" s="156" t="inlineStr">
        <is>
          <t>WR</t>
        </is>
      </c>
      <c r="E489" s="156" t="inlineStr">
        <is>
          <t>Leg</t>
        </is>
      </c>
      <c r="F489" s="156" t="inlineStr">
        <is>
          <t>Questionable</t>
        </is>
      </c>
    </row>
    <row r="490" ht="15.6" customHeight="1" s="152">
      <c r="A490" s="167">
        <f>B490&amp;C490</f>
        <v/>
      </c>
      <c r="B490" s="156" t="inlineStr">
        <is>
          <t>FA</t>
        </is>
      </c>
      <c r="C490" s="156" t="inlineStr">
        <is>
          <t>Corey Kiner</t>
        </is>
      </c>
      <c r="D490" s="156" t="inlineStr">
        <is>
          <t>RB</t>
        </is>
      </c>
      <c r="E490" s="156" t="inlineStr">
        <is>
          <t>Ankle</t>
        </is>
      </c>
      <c r="F490" s="156" t="inlineStr">
        <is>
          <t>Questionable</t>
        </is>
      </c>
    </row>
    <row r="491" ht="15.6" customHeight="1" s="152">
      <c r="A491" s="167">
        <f>B491&amp;C491</f>
        <v/>
      </c>
      <c r="B491" s="156" t="inlineStr">
        <is>
          <t>FA</t>
        </is>
      </c>
      <c r="C491" s="156" t="inlineStr">
        <is>
          <t>Brandon King</t>
        </is>
      </c>
      <c r="D491" s="156" t="inlineStr">
        <is>
          <t>LB</t>
        </is>
      </c>
      <c r="E491" s="156" t="inlineStr">
        <is>
          <t>Hamstring</t>
        </is>
      </c>
      <c r="F491" s="156" t="inlineStr">
        <is>
          <t>Questionable</t>
        </is>
      </c>
    </row>
    <row r="492" ht="15.6" customHeight="1" s="152">
      <c r="A492" s="167">
        <f>B492&amp;C492</f>
        <v/>
      </c>
      <c r="B492" s="156" t="inlineStr">
        <is>
          <t>FA</t>
        </is>
      </c>
      <c r="C492" s="156" t="inlineStr">
        <is>
          <t>Kevin King</t>
        </is>
      </c>
      <c r="D492" s="156" t="inlineStr">
        <is>
          <t>CB</t>
        </is>
      </c>
      <c r="E492" s="156" t="inlineStr">
        <is>
          <t>Undisclosed</t>
        </is>
      </c>
      <c r="F492" s="156" t="inlineStr">
        <is>
          <t>Questionable</t>
        </is>
      </c>
    </row>
    <row r="493" ht="15.6" customHeight="1" s="152">
      <c r="A493" s="167">
        <f>B493&amp;C493</f>
        <v/>
      </c>
      <c r="B493" s="156" t="inlineStr">
        <is>
          <t>HOU</t>
        </is>
      </c>
      <c r="C493" s="156" t="inlineStr">
        <is>
          <t>Christian Kirk</t>
        </is>
      </c>
      <c r="D493" s="156" t="inlineStr">
        <is>
          <t>WR</t>
        </is>
      </c>
      <c r="E493" s="156" t="inlineStr">
        <is>
          <t>Hamstring</t>
        </is>
      </c>
      <c r="F493" s="156" t="inlineStr">
        <is>
          <t>Questionable</t>
        </is>
      </c>
    </row>
    <row r="494" ht="15.6" customHeight="1" s="152">
      <c r="A494" s="167">
        <f>B494&amp;C494</f>
        <v/>
      </c>
      <c r="B494" s="156" t="inlineStr">
        <is>
          <t>FA</t>
        </is>
      </c>
      <c r="C494" s="156" t="inlineStr">
        <is>
          <t>Dre Kirkpatrick</t>
        </is>
      </c>
      <c r="D494" s="156" t="inlineStr">
        <is>
          <t>CB</t>
        </is>
      </c>
      <c r="E494" s="156" t="inlineStr">
        <is>
          <t>Ankle</t>
        </is>
      </c>
      <c r="F494" s="156" t="inlineStr">
        <is>
          <t>Questionable</t>
        </is>
      </c>
    </row>
    <row r="495" ht="15.6" customHeight="1" s="152">
      <c r="A495" s="167">
        <f>B495&amp;C495</f>
        <v/>
      </c>
      <c r="B495" s="156" t="inlineStr">
        <is>
          <t>FA</t>
        </is>
      </c>
      <c r="C495" s="156" t="inlineStr">
        <is>
          <t>Micah Kiser</t>
        </is>
      </c>
      <c r="D495" s="156" t="inlineStr">
        <is>
          <t>LB</t>
        </is>
      </c>
      <c r="E495" s="156" t="inlineStr">
        <is>
          <t>Leg</t>
        </is>
      </c>
      <c r="F495" s="156" t="inlineStr">
        <is>
          <t>Questionable</t>
        </is>
      </c>
    </row>
    <row r="496" ht="15.6" customHeight="1" s="152">
      <c r="A496" s="167">
        <f>B496&amp;C496</f>
        <v/>
      </c>
      <c r="B496" s="156" t="inlineStr">
        <is>
          <t>SF</t>
        </is>
      </c>
      <c r="C496" s="156" t="inlineStr">
        <is>
          <t>George Kittle</t>
        </is>
      </c>
      <c r="D496" s="156" t="inlineStr">
        <is>
          <t>TE</t>
        </is>
      </c>
      <c r="E496" s="156" t="inlineStr">
        <is>
          <t>Hamstring</t>
        </is>
      </c>
      <c r="F496" s="156" t="inlineStr">
        <is>
          <t>IR</t>
        </is>
      </c>
    </row>
    <row r="497" ht="15.6" customHeight="1" s="152">
      <c r="A497" s="167">
        <f>B497&amp;C497</f>
        <v/>
      </c>
      <c r="B497" s="156" t="inlineStr">
        <is>
          <t>FA</t>
        </is>
      </c>
      <c r="C497" s="156" t="inlineStr">
        <is>
          <t>Qwuantrezz Knight</t>
        </is>
      </c>
      <c r="D497" s="156" t="inlineStr">
        <is>
          <t>S</t>
        </is>
      </c>
      <c r="E497" s="156" t="inlineStr">
        <is>
          <t>Suspension</t>
        </is>
      </c>
      <c r="F497" s="156" t="inlineStr">
        <is>
          <t>Reserve-Sus</t>
        </is>
      </c>
    </row>
    <row r="498" ht="15.6" customHeight="1" s="152">
      <c r="A498" s="167">
        <f>B498&amp;C498</f>
        <v/>
      </c>
      <c r="B498" s="156" t="inlineStr">
        <is>
          <t>FA</t>
        </is>
      </c>
      <c r="C498" s="156" t="inlineStr">
        <is>
          <t>Trey Knox</t>
        </is>
      </c>
      <c r="D498" s="156" t="inlineStr">
        <is>
          <t>TE</t>
        </is>
      </c>
      <c r="E498" s="156" t="inlineStr">
        <is>
          <t>Undisclosed</t>
        </is>
      </c>
      <c r="F498" s="156" t="inlineStr">
        <is>
          <t>Questionable</t>
        </is>
      </c>
    </row>
    <row r="499" ht="15.6" customHeight="1" s="152">
      <c r="A499" s="167">
        <f>B499&amp;C499</f>
        <v/>
      </c>
      <c r="B499" s="156" t="inlineStr">
        <is>
          <t>MIA</t>
        </is>
      </c>
      <c r="C499" s="156" t="inlineStr">
        <is>
          <t>Kader Kohou</t>
        </is>
      </c>
      <c r="D499" s="156" t="inlineStr">
        <is>
          <t>CB</t>
        </is>
      </c>
      <c r="E499" s="156" t="inlineStr">
        <is>
          <t>Knee - ACL</t>
        </is>
      </c>
      <c r="F499" s="156" t="inlineStr">
        <is>
          <t>IR</t>
        </is>
      </c>
    </row>
    <row r="500" ht="15.6" customHeight="1" s="152">
      <c r="A500" s="167">
        <f>B500&amp;C500</f>
        <v/>
      </c>
      <c r="B500" s="156" t="inlineStr">
        <is>
          <t>BAL</t>
        </is>
      </c>
      <c r="C500" s="156" t="inlineStr">
        <is>
          <t>Bilhal Kone</t>
        </is>
      </c>
      <c r="D500" s="156" t="inlineStr">
        <is>
          <t>CB</t>
        </is>
      </c>
      <c r="E500" s="156" t="inlineStr">
        <is>
          <t>Knee</t>
        </is>
      </c>
      <c r="F500" s="156" t="inlineStr">
        <is>
          <t>IR</t>
        </is>
      </c>
    </row>
    <row r="501" ht="15.6" customHeight="1" s="152">
      <c r="A501" s="167">
        <f>B501&amp;C501</f>
        <v/>
      </c>
      <c r="B501" s="156" t="inlineStr">
        <is>
          <t>FA</t>
        </is>
      </c>
      <c r="C501" s="156" t="inlineStr">
        <is>
          <t>Doug Kramer</t>
        </is>
      </c>
      <c r="D501" s="156" t="inlineStr">
        <is>
          <t>C</t>
        </is>
      </c>
      <c r="E501" s="156" t="inlineStr">
        <is>
          <t>Foot</t>
        </is>
      </c>
      <c r="F501" s="156" t="inlineStr">
        <is>
          <t>Questionable</t>
        </is>
      </c>
    </row>
    <row r="502" ht="15.6" customHeight="1" s="152">
      <c r="A502" s="167">
        <f>B502&amp;C502</f>
        <v/>
      </c>
      <c r="B502" s="156" t="inlineStr">
        <is>
          <t>FA</t>
        </is>
      </c>
      <c r="C502" s="156" t="inlineStr">
        <is>
          <t>Jake Kumerow</t>
        </is>
      </c>
      <c r="D502" s="156" t="inlineStr">
        <is>
          <t>WR</t>
        </is>
      </c>
      <c r="E502" s="156" t="inlineStr">
        <is>
          <t>Back</t>
        </is>
      </c>
      <c r="F502" s="156" t="inlineStr">
        <is>
          <t>Questionable</t>
        </is>
      </c>
    </row>
    <row r="503" ht="15.6" customHeight="1" s="152">
      <c r="A503" s="167">
        <f>B503&amp;C503</f>
        <v/>
      </c>
      <c r="B503" s="156" t="inlineStr">
        <is>
          <t>FA</t>
        </is>
      </c>
      <c r="C503" s="156" t="inlineStr">
        <is>
          <t>Jordan Kunaszyk</t>
        </is>
      </c>
      <c r="D503" s="156" t="inlineStr">
        <is>
          <t>LB</t>
        </is>
      </c>
      <c r="E503" s="156" t="inlineStr">
        <is>
          <t>Undisclosed</t>
        </is>
      </c>
      <c r="F503" s="156" t="inlineStr">
        <is>
          <t>Questionable</t>
        </is>
      </c>
    </row>
    <row r="504" ht="15.6" customHeight="1" s="152">
      <c r="A504" s="167">
        <f>B504&amp;C504</f>
        <v/>
      </c>
      <c r="B504" s="156" t="inlineStr">
        <is>
          <t>FA</t>
        </is>
      </c>
      <c r="C504" s="156" t="inlineStr">
        <is>
          <t>William Kwenkeu</t>
        </is>
      </c>
      <c r="D504" s="156" t="inlineStr">
        <is>
          <t>LB</t>
        </is>
      </c>
      <c r="E504" s="156" t="inlineStr">
        <is>
          <t>Undisclosed</t>
        </is>
      </c>
      <c r="F504" s="156" t="inlineStr">
        <is>
          <t>Questionable</t>
        </is>
      </c>
    </row>
    <row r="505" ht="15.6" customHeight="1" s="152">
      <c r="A505" s="167">
        <f>B505&amp;C505</f>
        <v/>
      </c>
      <c r="B505" s="156" t="inlineStr">
        <is>
          <t>FA</t>
        </is>
      </c>
      <c r="C505" s="156" t="inlineStr">
        <is>
          <t>Bruno Labelle</t>
        </is>
      </c>
      <c r="D505" s="156" t="inlineStr">
        <is>
          <t>TE</t>
        </is>
      </c>
      <c r="E505" s="156" t="inlineStr">
        <is>
          <t>Undisclosed</t>
        </is>
      </c>
      <c r="F505" s="156" t="inlineStr">
        <is>
          <t>Questionable</t>
        </is>
      </c>
    </row>
    <row r="506" ht="15.6" customHeight="1" s="152">
      <c r="A506" s="167">
        <f>B506&amp;C506</f>
        <v/>
      </c>
      <c r="B506" s="156" t="inlineStr">
        <is>
          <t>FA</t>
        </is>
      </c>
      <c r="C506" s="156" t="inlineStr">
        <is>
          <t>Chris Lacy</t>
        </is>
      </c>
      <c r="D506" s="156" t="inlineStr">
        <is>
          <t>WR</t>
        </is>
      </c>
      <c r="E506" s="156" t="inlineStr">
        <is>
          <t>Undisclosed</t>
        </is>
      </c>
      <c r="F506" s="156" t="inlineStr">
        <is>
          <t>Questionable</t>
        </is>
      </c>
    </row>
    <row r="507" ht="15.6" customHeight="1" s="152">
      <c r="A507" s="167">
        <f>B507&amp;C507</f>
        <v/>
      </c>
      <c r="B507" s="156" t="inlineStr">
        <is>
          <t>FA</t>
        </is>
      </c>
      <c r="C507" s="156" t="inlineStr">
        <is>
          <t>Dayan Lake</t>
        </is>
      </c>
      <c r="D507" s="156" t="inlineStr">
        <is>
          <t>CB</t>
        </is>
      </c>
      <c r="E507" s="156" t="inlineStr">
        <is>
          <t>Undisclosed</t>
        </is>
      </c>
      <c r="F507" s="156" t="inlineStr">
        <is>
          <t>Questionable</t>
        </is>
      </c>
    </row>
    <row r="508" ht="15.6" customHeight="1" s="152">
      <c r="A508" s="167">
        <f>B508&amp;C508</f>
        <v/>
      </c>
      <c r="B508" s="156" t="inlineStr">
        <is>
          <t>FA</t>
        </is>
      </c>
      <c r="C508" s="156" t="inlineStr">
        <is>
          <t>Forrest Lamp</t>
        </is>
      </c>
      <c r="D508" s="156" t="inlineStr">
        <is>
          <t>OG</t>
        </is>
      </c>
      <c r="E508" s="156" t="inlineStr">
        <is>
          <t>Undisclosed</t>
        </is>
      </c>
      <c r="F508" s="156" t="inlineStr">
        <is>
          <t>Questionable</t>
        </is>
      </c>
    </row>
    <row r="509" ht="15.6" customHeight="1" s="152">
      <c r="A509" s="167">
        <f>B509&amp;C509</f>
        <v/>
      </c>
      <c r="B509" s="156" t="inlineStr">
        <is>
          <t>NE</t>
        </is>
      </c>
      <c r="C509" s="156" t="inlineStr">
        <is>
          <t>Brock Lampe</t>
        </is>
      </c>
      <c r="D509" s="156" t="inlineStr">
        <is>
          <t>RB</t>
        </is>
      </c>
      <c r="E509" s="156" t="inlineStr">
        <is>
          <t>Undisclosed</t>
        </is>
      </c>
      <c r="F509" s="156" t="inlineStr">
        <is>
          <t>IR</t>
        </is>
      </c>
    </row>
    <row r="510" ht="15.6" customHeight="1" s="152">
      <c r="A510" s="167">
        <f>B510&amp;C510</f>
        <v/>
      </c>
      <c r="B510" s="156" t="inlineStr">
        <is>
          <t>PHI</t>
        </is>
      </c>
      <c r="C510" s="156" t="inlineStr">
        <is>
          <t>Willie Lampkin</t>
        </is>
      </c>
      <c r="D510" s="156" t="inlineStr">
        <is>
          <t>C</t>
        </is>
      </c>
      <c r="E510" s="156" t="inlineStr">
        <is>
          <t>Leg</t>
        </is>
      </c>
      <c r="F510" s="156" t="inlineStr">
        <is>
          <t>IR</t>
        </is>
      </c>
    </row>
    <row r="511" ht="15.6" customHeight="1" s="152">
      <c r="A511" s="167">
        <f>B511&amp;C511</f>
        <v/>
      </c>
      <c r="B511" s="156" t="inlineStr">
        <is>
          <t>FA</t>
        </is>
      </c>
      <c r="C511" s="156" t="inlineStr">
        <is>
          <t>Matt Landers</t>
        </is>
      </c>
      <c r="D511" s="156" t="inlineStr">
        <is>
          <t>WR</t>
        </is>
      </c>
      <c r="E511" s="156" t="inlineStr">
        <is>
          <t>Undisclosed</t>
        </is>
      </c>
      <c r="F511" s="156" t="inlineStr">
        <is>
          <t>Questionable</t>
        </is>
      </c>
    </row>
    <row r="512" ht="15.6" customHeight="1" s="152">
      <c r="A512" s="167">
        <f>B512&amp;C512</f>
        <v/>
      </c>
      <c r="B512" s="156" t="inlineStr">
        <is>
          <t>NE</t>
        </is>
      </c>
      <c r="C512" s="156" t="inlineStr">
        <is>
          <t>Harold Landry</t>
        </is>
      </c>
      <c r="D512" s="156" t="inlineStr">
        <is>
          <t>LB</t>
        </is>
      </c>
      <c r="E512" s="156" t="inlineStr">
        <is>
          <t>Foot</t>
        </is>
      </c>
      <c r="F512" s="156" t="inlineStr">
        <is>
          <t>Questionable</t>
        </is>
      </c>
    </row>
    <row r="513" ht="15.6" customHeight="1" s="152">
      <c r="A513" s="167">
        <f>B513&amp;C513</f>
        <v/>
      </c>
      <c r="B513" s="156" t="inlineStr">
        <is>
          <t>NE</t>
        </is>
      </c>
      <c r="C513" s="156" t="inlineStr">
        <is>
          <t>Lan Larison</t>
        </is>
      </c>
      <c r="D513" s="156" t="inlineStr">
        <is>
          <t>RB</t>
        </is>
      </c>
      <c r="E513" s="156" t="inlineStr">
        <is>
          <t>Foot</t>
        </is>
      </c>
      <c r="F513" s="156" t="inlineStr">
        <is>
          <t>IR</t>
        </is>
      </c>
    </row>
    <row r="514" ht="15.6" customHeight="1" s="152">
      <c r="A514" s="167">
        <f>B514&amp;C514</f>
        <v/>
      </c>
      <c r="B514" s="156" t="inlineStr">
        <is>
          <t>FA</t>
        </is>
      </c>
      <c r="C514" s="156" t="inlineStr">
        <is>
          <t>Ted Larsen</t>
        </is>
      </c>
      <c r="D514" s="156" t="inlineStr">
        <is>
          <t>OG</t>
        </is>
      </c>
      <c r="E514" s="156" t="inlineStr">
        <is>
          <t>Knee</t>
        </is>
      </c>
      <c r="F514" s="156" t="inlineStr">
        <is>
          <t>Questionable</t>
        </is>
      </c>
    </row>
    <row r="515" ht="15.6" customHeight="1" s="152">
      <c r="A515" s="167">
        <f>B515&amp;C515</f>
        <v/>
      </c>
      <c r="B515" s="156" t="inlineStr">
        <is>
          <t>FA</t>
        </is>
      </c>
      <c r="C515" s="156" t="inlineStr">
        <is>
          <t>Tyler Larsen</t>
        </is>
      </c>
      <c r="D515" s="156" t="inlineStr">
        <is>
          <t>C</t>
        </is>
      </c>
      <c r="E515" s="156" t="inlineStr">
        <is>
          <t>Knee</t>
        </is>
      </c>
      <c r="F515" s="156" t="inlineStr">
        <is>
          <t>Questionable</t>
        </is>
      </c>
    </row>
    <row r="516" ht="15.6" customHeight="1" s="152">
      <c r="A516" s="167">
        <f>B516&amp;C516</f>
        <v/>
      </c>
      <c r="B516" s="156" t="inlineStr">
        <is>
          <t>FA</t>
        </is>
      </c>
      <c r="C516" s="156" t="inlineStr">
        <is>
          <t>Scott Lashley</t>
        </is>
      </c>
      <c r="D516" s="156" t="inlineStr">
        <is>
          <t>OT</t>
        </is>
      </c>
      <c r="E516" s="156" t="inlineStr">
        <is>
          <t>Undisclosed</t>
        </is>
      </c>
      <c r="F516" s="156" t="inlineStr">
        <is>
          <t>Questionable</t>
        </is>
      </c>
    </row>
    <row r="517" ht="15.6" customHeight="1" s="152">
      <c r="A517" s="167">
        <f>B517&amp;C517</f>
        <v/>
      </c>
      <c r="B517" s="156" t="inlineStr">
        <is>
          <t>HOU</t>
        </is>
      </c>
      <c r="C517" s="156" t="inlineStr">
        <is>
          <t>Kamari Lassiter</t>
        </is>
      </c>
      <c r="D517" s="156" t="inlineStr">
        <is>
          <t>CB</t>
        </is>
      </c>
      <c r="E517" s="156" t="inlineStr">
        <is>
          <t>Knee</t>
        </is>
      </c>
      <c r="F517" s="156" t="inlineStr">
        <is>
          <t>Questionable</t>
        </is>
      </c>
    </row>
    <row r="518" ht="15.6" customHeight="1" s="152">
      <c r="A518" s="167">
        <f>B518&amp;C518</f>
        <v/>
      </c>
      <c r="B518" s="156" t="inlineStr">
        <is>
          <t>TEN</t>
        </is>
      </c>
      <c r="C518" s="156" t="inlineStr">
        <is>
          <t>JC Latham</t>
        </is>
      </c>
      <c r="D518" s="156" t="inlineStr">
        <is>
          <t>OT</t>
        </is>
      </c>
      <c r="E518" s="156" t="inlineStr">
        <is>
          <t>Hip</t>
        </is>
      </c>
      <c r="F518" s="156" t="inlineStr">
        <is>
          <t>Questionable</t>
        </is>
      </c>
    </row>
    <row r="519" ht="15.6" customHeight="1" s="152">
      <c r="A519" s="167">
        <f>B519&amp;C519</f>
        <v/>
      </c>
      <c r="B519" s="156" t="inlineStr">
        <is>
          <t>IND</t>
        </is>
      </c>
      <c r="C519" s="156" t="inlineStr">
        <is>
          <t>Laiatu Latu</t>
        </is>
      </c>
      <c r="D519" s="156" t="inlineStr">
        <is>
          <t>DE</t>
        </is>
      </c>
      <c r="E519" s="156" t="inlineStr">
        <is>
          <t>Hamstring</t>
        </is>
      </c>
      <c r="F519" s="156" t="inlineStr">
        <is>
          <t>Questionable</t>
        </is>
      </c>
    </row>
    <row r="520" ht="15.6" customHeight="1" s="152">
      <c r="A520" s="167">
        <f>B520&amp;C520</f>
        <v/>
      </c>
      <c r="B520" s="156" t="inlineStr">
        <is>
          <t>FA</t>
        </is>
      </c>
      <c r="C520" s="156" t="inlineStr">
        <is>
          <t>Dallin Leavitt</t>
        </is>
      </c>
      <c r="D520" s="156" t="inlineStr">
        <is>
          <t>S</t>
        </is>
      </c>
      <c r="E520" s="156" t="inlineStr">
        <is>
          <t>Undisclosed</t>
        </is>
      </c>
      <c r="F520" s="156" t="inlineStr">
        <is>
          <t>Questionable</t>
        </is>
      </c>
    </row>
    <row r="521" ht="15.6" customHeight="1" s="152">
      <c r="A521" s="167">
        <f>B521&amp;C521</f>
        <v/>
      </c>
      <c r="B521" s="156" t="inlineStr">
        <is>
          <t>FA</t>
        </is>
      </c>
      <c r="C521" s="156" t="inlineStr">
        <is>
          <t>Cre'von LeBlanc</t>
        </is>
      </c>
      <c r="D521" s="156" t="inlineStr">
        <is>
          <t>CB</t>
        </is>
      </c>
      <c r="E521" s="156" t="inlineStr">
        <is>
          <t>Undisclosed</t>
        </is>
      </c>
      <c r="F521" s="156" t="inlineStr">
        <is>
          <t>Questionable</t>
        </is>
      </c>
    </row>
    <row r="522" ht="15.6" customHeight="1" s="152">
      <c r="A522" s="167">
        <f>B522&amp;C522</f>
        <v/>
      </c>
      <c r="B522" s="156" t="inlineStr">
        <is>
          <t>FA</t>
        </is>
      </c>
      <c r="C522" s="156" t="inlineStr">
        <is>
          <t>Jonathan Ledbetter</t>
        </is>
      </c>
      <c r="D522" s="156" t="inlineStr">
        <is>
          <t>DT</t>
        </is>
      </c>
      <c r="E522" s="156" t="inlineStr">
        <is>
          <t>Knee</t>
        </is>
      </c>
      <c r="F522" s="156" t="inlineStr">
        <is>
          <t>Questionable</t>
        </is>
      </c>
    </row>
    <row r="523" ht="15.6" customHeight="1" s="152">
      <c r="A523" s="167">
        <f>B523&amp;C523</f>
        <v/>
      </c>
      <c r="B523" s="156" t="inlineStr">
        <is>
          <t>FA</t>
        </is>
      </c>
      <c r="C523" s="156" t="inlineStr">
        <is>
          <t>Darron Lee</t>
        </is>
      </c>
      <c r="D523" s="156" t="inlineStr">
        <is>
          <t>LB</t>
        </is>
      </c>
      <c r="E523" s="156" t="inlineStr">
        <is>
          <t>Undisclosed</t>
        </is>
      </c>
      <c r="F523" s="156" t="inlineStr">
        <is>
          <t>Questionable</t>
        </is>
      </c>
    </row>
    <row r="524" ht="15.6" customHeight="1" s="152">
      <c r="A524" s="167">
        <f>B524&amp;C524</f>
        <v/>
      </c>
      <c r="B524" s="156" t="inlineStr">
        <is>
          <t>CAR</t>
        </is>
      </c>
      <c r="C524" s="156" t="inlineStr">
        <is>
          <t>Xavier Legette</t>
        </is>
      </c>
      <c r="D524" s="156" t="inlineStr">
        <is>
          <t>WR</t>
        </is>
      </c>
      <c r="E524" s="156" t="inlineStr">
        <is>
          <t>Hamstring</t>
        </is>
      </c>
      <c r="F524" s="156" t="inlineStr">
        <is>
          <t>Questionable</t>
        </is>
      </c>
    </row>
    <row r="525" ht="15.6" customHeight="1" s="152">
      <c r="A525" s="167">
        <f>B525&amp;C525</f>
        <v/>
      </c>
      <c r="B525" s="156" t="inlineStr">
        <is>
          <t>FA</t>
        </is>
      </c>
      <c r="C525" s="156" t="inlineStr">
        <is>
          <t>Montana Lemonious-Craig</t>
        </is>
      </c>
      <c r="D525" s="156" t="inlineStr">
        <is>
          <t>WR</t>
        </is>
      </c>
      <c r="E525" s="156" t="inlineStr">
        <is>
          <t>Lower Body</t>
        </is>
      </c>
      <c r="F525" s="156" t="inlineStr">
        <is>
          <t>Questionable</t>
        </is>
      </c>
    </row>
    <row r="526" ht="15.6" customHeight="1" s="152">
      <c r="A526" s="167">
        <f>B526&amp;C526</f>
        <v/>
      </c>
      <c r="B526" s="156" t="inlineStr">
        <is>
          <t>FA</t>
        </is>
      </c>
      <c r="C526" s="156" t="inlineStr">
        <is>
          <t>Charles Leno</t>
        </is>
      </c>
      <c r="D526" s="156" t="inlineStr">
        <is>
          <t>OT</t>
        </is>
      </c>
      <c r="E526" s="156" t="inlineStr">
        <is>
          <t>Hip</t>
        </is>
      </c>
      <c r="F526" s="156" t="inlineStr">
        <is>
          <t>Questionable</t>
        </is>
      </c>
    </row>
    <row r="527" ht="15.6" customHeight="1" s="152">
      <c r="A527" s="167">
        <f>B527&amp;C527</f>
        <v/>
      </c>
      <c r="B527" s="156" t="inlineStr">
        <is>
          <t>LAC</t>
        </is>
      </c>
      <c r="C527" s="156" t="inlineStr">
        <is>
          <t>Deane Leonard</t>
        </is>
      </c>
      <c r="D527" s="156" t="inlineStr">
        <is>
          <t>CB</t>
        </is>
      </c>
      <c r="E527" s="156" t="inlineStr">
        <is>
          <t>Leg</t>
        </is>
      </c>
      <c r="F527" s="156" t="inlineStr">
        <is>
          <t>IR-R</t>
        </is>
      </c>
    </row>
    <row r="528" ht="15.6" customHeight="1" s="152">
      <c r="A528" s="167">
        <f>B528&amp;C528</f>
        <v/>
      </c>
      <c r="B528" s="156" t="inlineStr">
        <is>
          <t>TEN</t>
        </is>
      </c>
      <c r="C528" s="156" t="inlineStr">
        <is>
          <t>Will Levis</t>
        </is>
      </c>
      <c r="D528" s="156" t="inlineStr">
        <is>
          <t>QB</t>
        </is>
      </c>
      <c r="E528" s="156" t="inlineStr">
        <is>
          <t>Shoulder</t>
        </is>
      </c>
      <c r="F528" s="156" t="inlineStr">
        <is>
          <t>IR</t>
        </is>
      </c>
    </row>
    <row r="529" ht="15.6" customHeight="1" s="152">
      <c r="A529" s="167">
        <f>B529&amp;C529</f>
        <v/>
      </c>
      <c r="B529" s="156" t="inlineStr">
        <is>
          <t>FA</t>
        </is>
      </c>
      <c r="C529" s="156" t="inlineStr">
        <is>
          <t>Jason Lewan</t>
        </is>
      </c>
      <c r="D529" s="156" t="inlineStr">
        <is>
          <t>DE</t>
        </is>
      </c>
      <c r="E529" s="156" t="inlineStr">
        <is>
          <t>Back</t>
        </is>
      </c>
      <c r="F529" s="156" t="inlineStr">
        <is>
          <t>Questionable</t>
        </is>
      </c>
    </row>
    <row r="530" ht="15.6" customHeight="1" s="152">
      <c r="A530" s="167">
        <f>B530&amp;C530</f>
        <v/>
      </c>
      <c r="B530" s="156" t="inlineStr">
        <is>
          <t>FA</t>
        </is>
      </c>
      <c r="C530" s="156" t="inlineStr">
        <is>
          <t>Taylor Lewan</t>
        </is>
      </c>
      <c r="D530" s="156" t="inlineStr">
        <is>
          <t>OT</t>
        </is>
      </c>
      <c r="E530" s="156" t="inlineStr">
        <is>
          <t>Knee - ACL</t>
        </is>
      </c>
      <c r="F530" s="156" t="inlineStr">
        <is>
          <t>Questionable</t>
        </is>
      </c>
    </row>
    <row r="531" ht="15.6" customHeight="1" s="152">
      <c r="A531" s="167">
        <f>B531&amp;C531</f>
        <v/>
      </c>
      <c r="B531" s="156" t="inlineStr">
        <is>
          <t>BUF</t>
        </is>
      </c>
      <c r="C531" s="156" t="inlineStr">
        <is>
          <t>Cam Lewis</t>
        </is>
      </c>
      <c r="D531" s="156" t="inlineStr">
        <is>
          <t>CB</t>
        </is>
      </c>
      <c r="E531" s="156" t="inlineStr">
        <is>
          <t>Shoulder</t>
        </is>
      </c>
      <c r="F531" s="156" t="inlineStr">
        <is>
          <t>Questionable</t>
        </is>
      </c>
    </row>
    <row r="532" ht="15.6" customHeight="1" s="152">
      <c r="A532" s="167">
        <f>B532&amp;C532</f>
        <v/>
      </c>
      <c r="B532" s="156" t="inlineStr">
        <is>
          <t>FA</t>
        </is>
      </c>
      <c r="C532" s="156" t="inlineStr">
        <is>
          <t>Donnie Lewis</t>
        </is>
      </c>
      <c r="D532" s="156" t="inlineStr">
        <is>
          <t>CB</t>
        </is>
      </c>
      <c r="E532" s="156" t="inlineStr">
        <is>
          <t>Undisclosed</t>
        </is>
      </c>
      <c r="F532" s="156" t="inlineStr">
        <is>
          <t>Questionable</t>
        </is>
      </c>
    </row>
    <row r="533" ht="15.6" customHeight="1" s="152">
      <c r="A533" s="167">
        <f>B533&amp;C533</f>
        <v/>
      </c>
      <c r="B533" s="156" t="inlineStr">
        <is>
          <t>FA</t>
        </is>
      </c>
      <c r="C533" s="156" t="inlineStr">
        <is>
          <t>Tommylee Lewis</t>
        </is>
      </c>
      <c r="D533" s="156" t="inlineStr">
        <is>
          <t>WR</t>
        </is>
      </c>
      <c r="E533" s="156" t="inlineStr">
        <is>
          <t>Hip</t>
        </is>
      </c>
      <c r="F533" s="156" t="inlineStr">
        <is>
          <t>Questionable</t>
        </is>
      </c>
    </row>
    <row r="534" ht="15.6" customHeight="1" s="152">
      <c r="A534" s="167">
        <f>B534&amp;C534</f>
        <v/>
      </c>
      <c r="B534" s="156" t="inlineStr">
        <is>
          <t>BAL</t>
        </is>
      </c>
      <c r="C534" s="156" t="inlineStr">
        <is>
          <t>Isaiah Likely</t>
        </is>
      </c>
      <c r="D534" s="156" t="inlineStr">
        <is>
          <t>TE</t>
        </is>
      </c>
      <c r="E534" s="156" t="inlineStr">
        <is>
          <t>Foot</t>
        </is>
      </c>
      <c r="F534" s="156" t="inlineStr">
        <is>
          <t>Questionable</t>
        </is>
      </c>
    </row>
    <row r="535" ht="15.6" customHeight="1" s="152">
      <c r="A535" s="167">
        <f>B535&amp;C535</f>
        <v/>
      </c>
      <c r="B535" s="156" t="inlineStr">
        <is>
          <t>FA</t>
        </is>
      </c>
      <c r="C535" s="156" t="inlineStr">
        <is>
          <t>Greg Little</t>
        </is>
      </c>
      <c r="D535" s="156" t="inlineStr">
        <is>
          <t>OT</t>
        </is>
      </c>
      <c r="E535" s="156" t="inlineStr">
        <is>
          <t>Back</t>
        </is>
      </c>
      <c r="F535" s="156" t="inlineStr">
        <is>
          <t>Questionable</t>
        </is>
      </c>
    </row>
    <row r="536" ht="15.6" customHeight="1" s="152">
      <c r="A536" s="167">
        <f>B536&amp;C536</f>
        <v/>
      </c>
      <c r="B536" s="156" t="inlineStr">
        <is>
          <t>GB</t>
        </is>
      </c>
      <c r="C536" s="156" t="inlineStr">
        <is>
          <t>MarShawn Lloyd</t>
        </is>
      </c>
      <c r="D536" s="156" t="inlineStr">
        <is>
          <t>RB</t>
        </is>
      </c>
      <c r="E536" s="156" t="inlineStr">
        <is>
          <t>Hamstring</t>
        </is>
      </c>
      <c r="F536" s="156" t="inlineStr">
        <is>
          <t>IR-R</t>
        </is>
      </c>
    </row>
    <row r="537" ht="15.6" customHeight="1" s="152">
      <c r="A537" s="167">
        <f>B537&amp;C537</f>
        <v/>
      </c>
      <c r="B537" s="156" t="inlineStr">
        <is>
          <t>FA</t>
        </is>
      </c>
      <c r="C537" s="156" t="inlineStr">
        <is>
          <t>Justin Lockhart</t>
        </is>
      </c>
      <c r="D537" s="156" t="inlineStr">
        <is>
          <t>WR</t>
        </is>
      </c>
      <c r="E537" s="156" t="inlineStr">
        <is>
          <t>Undisclosed</t>
        </is>
      </c>
      <c r="F537" s="156" t="inlineStr">
        <is>
          <t>Questionable</t>
        </is>
      </c>
    </row>
    <row r="538" ht="15.6" customHeight="1" s="152">
      <c r="A538" s="167">
        <f>B538&amp;C538</f>
        <v/>
      </c>
      <c r="B538" s="156" t="inlineStr">
        <is>
          <t>FA</t>
        </is>
      </c>
      <c r="C538" s="156" t="inlineStr">
        <is>
          <t>David Long</t>
        </is>
      </c>
      <c r="D538" s="156" t="inlineStr">
        <is>
          <t>CB</t>
        </is>
      </c>
      <c r="E538" s="156" t="inlineStr">
        <is>
          <t>Groin</t>
        </is>
      </c>
      <c r="F538" s="156" t="inlineStr">
        <is>
          <t>Questionable</t>
        </is>
      </c>
    </row>
    <row r="539" ht="15.6" customHeight="1" s="152">
      <c r="A539" s="167">
        <f>B539&amp;C539</f>
        <v/>
      </c>
      <c r="B539" s="156" t="inlineStr">
        <is>
          <t>FA</t>
        </is>
      </c>
      <c r="C539" s="156" t="inlineStr">
        <is>
          <t>Greg Long</t>
        </is>
      </c>
      <c r="D539" s="156" t="inlineStr">
        <is>
          <t>OT</t>
        </is>
      </c>
      <c r="E539" s="156" t="inlineStr">
        <is>
          <t>Undisclosed</t>
        </is>
      </c>
      <c r="F539" s="156" t="inlineStr">
        <is>
          <t>Questionable</t>
        </is>
      </c>
    </row>
    <row r="540" ht="15.6" customHeight="1" s="152">
      <c r="A540" s="167">
        <f>B540&amp;C540</f>
        <v/>
      </c>
      <c r="B540" s="156" t="inlineStr">
        <is>
          <t>JAX</t>
        </is>
      </c>
      <c r="C540" s="156" t="inlineStr">
        <is>
          <t>Hunter Long</t>
        </is>
      </c>
      <c r="D540" s="156" t="inlineStr">
        <is>
          <t>TE</t>
        </is>
      </c>
      <c r="E540" s="156" t="inlineStr">
        <is>
          <t>Ankle</t>
        </is>
      </c>
      <c r="F540" s="156" t="inlineStr">
        <is>
          <t>Questionable</t>
        </is>
      </c>
    </row>
    <row r="541" ht="15.6" customHeight="1" s="152">
      <c r="A541" s="167">
        <f>B541&amp;C541</f>
        <v/>
      </c>
      <c r="B541" s="156" t="inlineStr">
        <is>
          <t>BAL</t>
        </is>
      </c>
      <c r="C541" s="156" t="inlineStr">
        <is>
          <t>Robert Longerbeam</t>
        </is>
      </c>
      <c r="D541" s="156" t="inlineStr">
        <is>
          <t>CB</t>
        </is>
      </c>
      <c r="E541" s="156" t="inlineStr">
        <is>
          <t>Knee</t>
        </is>
      </c>
      <c r="F541" s="156" t="inlineStr">
        <is>
          <t>IR</t>
        </is>
      </c>
    </row>
    <row r="542" ht="15.6" customHeight="1" s="152">
      <c r="A542" s="167">
        <f>B542&amp;C542</f>
        <v/>
      </c>
      <c r="B542" s="156" t="inlineStr">
        <is>
          <t>PIT</t>
        </is>
      </c>
      <c r="C542" s="156" t="inlineStr">
        <is>
          <t>Isaiahh Loudermilk</t>
        </is>
      </c>
      <c r="D542" s="156" t="inlineStr">
        <is>
          <t>DE</t>
        </is>
      </c>
      <c r="E542" s="156" t="inlineStr">
        <is>
          <t>Ankle</t>
        </is>
      </c>
      <c r="F542" s="156" t="inlineStr">
        <is>
          <t>IR</t>
        </is>
      </c>
    </row>
    <row r="543" ht="15.6" customHeight="1" s="152">
      <c r="A543" s="167">
        <f>B543&amp;C543</f>
        <v/>
      </c>
      <c r="B543" s="156" t="inlineStr">
        <is>
          <t>FA</t>
        </is>
      </c>
      <c r="C543" s="156" t="inlineStr">
        <is>
          <t>Bryce Love</t>
        </is>
      </c>
      <c r="D543" s="156" t="inlineStr">
        <is>
          <t>RB</t>
        </is>
      </c>
      <c r="E543" s="156" t="inlineStr">
        <is>
          <t>Knee</t>
        </is>
      </c>
      <c r="F543" s="156" t="inlineStr">
        <is>
          <t>Questionable</t>
        </is>
      </c>
    </row>
    <row r="544" ht="15.6" customHeight="1" s="152">
      <c r="A544" s="167">
        <f>B544&amp;C544</f>
        <v/>
      </c>
      <c r="B544" s="156" t="inlineStr">
        <is>
          <t>SEA</t>
        </is>
      </c>
      <c r="C544" s="156" t="inlineStr">
        <is>
          <t>Julian Love</t>
        </is>
      </c>
      <c r="D544" s="156" t="inlineStr">
        <is>
          <t>S</t>
        </is>
      </c>
      <c r="E544" s="156" t="inlineStr">
        <is>
          <t>Hamstring</t>
        </is>
      </c>
      <c r="F544" s="156" t="inlineStr">
        <is>
          <t>Questionable</t>
        </is>
      </c>
    </row>
    <row r="545" ht="15.6" customHeight="1" s="152">
      <c r="A545" s="167">
        <f>B545&amp;C545</f>
        <v/>
      </c>
      <c r="B545" s="156" t="inlineStr">
        <is>
          <t>FA</t>
        </is>
      </c>
      <c r="C545" s="156" t="inlineStr">
        <is>
          <t>John Lovett</t>
        </is>
      </c>
      <c r="D545" s="156" t="inlineStr">
        <is>
          <t>FB</t>
        </is>
      </c>
      <c r="E545" s="156" t="inlineStr">
        <is>
          <t>Undisclosed</t>
        </is>
      </c>
      <c r="F545" s="156" t="inlineStr">
        <is>
          <t>Questionable</t>
        </is>
      </c>
    </row>
    <row r="546" ht="15.6" customHeight="1" s="152">
      <c r="A546" s="167">
        <f>B546&amp;C546</f>
        <v/>
      </c>
      <c r="B546" s="156" t="inlineStr">
        <is>
          <t>PIT</t>
        </is>
      </c>
      <c r="C546" s="156" t="inlineStr">
        <is>
          <t>Dean Lowry</t>
        </is>
      </c>
      <c r="D546" s="156" t="inlineStr">
        <is>
          <t>DE</t>
        </is>
      </c>
      <c r="E546" s="156" t="inlineStr">
        <is>
          <t>Knee</t>
        </is>
      </c>
      <c r="F546" s="156" t="inlineStr">
        <is>
          <t>IR</t>
        </is>
      </c>
    </row>
    <row r="547" ht="15.6" customHeight="1" s="152">
      <c r="A547" s="167">
        <f>B547&amp;C547</f>
        <v/>
      </c>
      <c r="B547" s="156" t="inlineStr">
        <is>
          <t>SEA</t>
        </is>
      </c>
      <c r="C547" s="156" t="inlineStr">
        <is>
          <t>Abraham Lucas</t>
        </is>
      </c>
      <c r="D547" s="156" t="inlineStr">
        <is>
          <t>OT</t>
        </is>
      </c>
      <c r="E547" s="156" t="inlineStr">
        <is>
          <t>Elbow</t>
        </is>
      </c>
      <c r="F547" s="156" t="inlineStr">
        <is>
          <t>Questionable</t>
        </is>
      </c>
    </row>
    <row r="548" ht="15.6" customHeight="1" s="152">
      <c r="A548" s="167">
        <f>B548&amp;C548</f>
        <v/>
      </c>
      <c r="B548" s="156" t="inlineStr">
        <is>
          <t>FA</t>
        </is>
      </c>
      <c r="C548" s="156" t="inlineStr">
        <is>
          <t>Corey Luciano</t>
        </is>
      </c>
      <c r="D548" s="156" t="inlineStr">
        <is>
          <t>C</t>
        </is>
      </c>
      <c r="E548" s="156" t="inlineStr">
        <is>
          <t>Undisclosed</t>
        </is>
      </c>
      <c r="F548" s="156" t="inlineStr">
        <is>
          <t>Questionable</t>
        </is>
      </c>
    </row>
    <row r="549" ht="15.6" customHeight="1" s="152">
      <c r="A549" s="167">
        <f>B549&amp;C549</f>
        <v/>
      </c>
      <c r="B549" s="156" t="inlineStr">
        <is>
          <t>FA</t>
        </is>
      </c>
      <c r="C549" s="156" t="inlineStr">
        <is>
          <t>Tyler Mabry</t>
        </is>
      </c>
      <c r="D549" s="156" t="inlineStr">
        <is>
          <t>TE</t>
        </is>
      </c>
      <c r="E549" s="156" t="inlineStr">
        <is>
          <t>Undisclosed</t>
        </is>
      </c>
      <c r="F549" s="156" t="inlineStr">
        <is>
          <t>Questionable</t>
        </is>
      </c>
    </row>
    <row r="550" ht="15.6" customHeight="1" s="152">
      <c r="A550" s="167">
        <f>B550&amp;C550</f>
        <v/>
      </c>
      <c r="B550" s="156" t="inlineStr">
        <is>
          <t>FA</t>
        </is>
      </c>
      <c r="C550" s="156" t="inlineStr">
        <is>
          <t>Alize Mack</t>
        </is>
      </c>
      <c r="D550" s="156" t="inlineStr">
        <is>
          <t>TE</t>
        </is>
      </c>
      <c r="E550" s="156" t="inlineStr">
        <is>
          <t>Undisclosed</t>
        </is>
      </c>
      <c r="F550" s="156" t="inlineStr">
        <is>
          <t>Questionable</t>
        </is>
      </c>
    </row>
    <row r="551" ht="15.6" customHeight="1" s="152">
      <c r="A551" s="167">
        <f>B551&amp;C551</f>
        <v/>
      </c>
      <c r="B551" s="156" t="inlineStr">
        <is>
          <t>LAC</t>
        </is>
      </c>
      <c r="C551" s="156" t="inlineStr">
        <is>
          <t>Khalil Mack</t>
        </is>
      </c>
      <c r="D551" s="156" t="inlineStr">
        <is>
          <t>LB</t>
        </is>
      </c>
      <c r="E551" s="156" t="inlineStr">
        <is>
          <t>Elbow</t>
        </is>
      </c>
      <c r="F551" s="156" t="inlineStr">
        <is>
          <t>IR</t>
        </is>
      </c>
    </row>
    <row r="552" ht="15.6" customHeight="1" s="152">
      <c r="A552" s="167">
        <f>B552&amp;C552</f>
        <v/>
      </c>
      <c r="B552" s="156" t="inlineStr">
        <is>
          <t>FA</t>
        </is>
      </c>
      <c r="C552" s="156" t="inlineStr">
        <is>
          <t>Ledarius Mack</t>
        </is>
      </c>
      <c r="D552" s="156" t="inlineStr">
        <is>
          <t>LB</t>
        </is>
      </c>
      <c r="E552" s="156" t="inlineStr">
        <is>
          <t>Undisclosed</t>
        </is>
      </c>
      <c r="F552" s="156" t="inlineStr">
        <is>
          <t>Questionable</t>
        </is>
      </c>
    </row>
    <row r="553" ht="15.6" customHeight="1" s="152">
      <c r="A553" s="167">
        <f>B553&amp;C553</f>
        <v/>
      </c>
      <c r="B553" s="156" t="inlineStr">
        <is>
          <t>FA</t>
        </is>
      </c>
      <c r="C553" s="156" t="inlineStr">
        <is>
          <t>Marlon Mack</t>
        </is>
      </c>
      <c r="D553" s="156" t="inlineStr">
        <is>
          <t>RB</t>
        </is>
      </c>
      <c r="E553" s="156" t="inlineStr">
        <is>
          <t>Achilles</t>
        </is>
      </c>
      <c r="F553" s="156" t="inlineStr">
        <is>
          <t>Questionable</t>
        </is>
      </c>
    </row>
    <row r="554" ht="15.6" customHeight="1" s="152">
      <c r="A554" s="167">
        <f>B554&amp;C554</f>
        <v/>
      </c>
      <c r="B554" s="156" t="inlineStr">
        <is>
          <t>FA</t>
        </is>
      </c>
      <c r="C554" s="156" t="inlineStr">
        <is>
          <t>Cole Madison</t>
        </is>
      </c>
      <c r="D554" s="156" t="inlineStr">
        <is>
          <t>OG</t>
        </is>
      </c>
      <c r="E554" s="156" t="inlineStr">
        <is>
          <t>Knee - ACL</t>
        </is>
      </c>
      <c r="F554" s="156" t="inlineStr">
        <is>
          <t>Questionable</t>
        </is>
      </c>
    </row>
    <row r="555" ht="15.6" customHeight="1" s="152">
      <c r="A555" s="167">
        <f>B555&amp;C555</f>
        <v/>
      </c>
      <c r="B555" s="156" t="inlineStr">
        <is>
          <t>DAL</t>
        </is>
      </c>
      <c r="C555" s="156" t="inlineStr">
        <is>
          <t>Phil Mafah</t>
        </is>
      </c>
      <c r="D555" s="156" t="inlineStr">
        <is>
          <t>RB</t>
        </is>
      </c>
      <c r="E555" s="156" t="inlineStr">
        <is>
          <t>Shoulder</t>
        </is>
      </c>
      <c r="F555" s="156" t="inlineStr">
        <is>
          <t>IR</t>
        </is>
      </c>
    </row>
    <row r="556" ht="15.6" customHeight="1" s="152">
      <c r="A556" s="167">
        <f>B556&amp;C556</f>
        <v/>
      </c>
      <c r="B556" s="156" t="inlineStr">
        <is>
          <t>MIA</t>
        </is>
      </c>
      <c r="C556" s="156" t="inlineStr">
        <is>
          <t>Jason Maitre</t>
        </is>
      </c>
      <c r="D556" s="156" t="inlineStr">
        <is>
          <t>CB</t>
        </is>
      </c>
      <c r="E556" s="156" t="inlineStr">
        <is>
          <t>Undisclosed</t>
        </is>
      </c>
      <c r="F556" s="156" t="inlineStr">
        <is>
          <t>IR</t>
        </is>
      </c>
    </row>
    <row r="557" ht="15.6" customHeight="1" s="152">
      <c r="A557" s="167">
        <f>B557&amp;C557</f>
        <v/>
      </c>
      <c r="B557" s="156" t="inlineStr">
        <is>
          <t>NE</t>
        </is>
      </c>
      <c r="C557" s="156" t="inlineStr">
        <is>
          <t>Marte Mapu</t>
        </is>
      </c>
      <c r="D557" s="156" t="inlineStr">
        <is>
          <t>S</t>
        </is>
      </c>
      <c r="E557" s="156" t="inlineStr">
        <is>
          <t>Neck</t>
        </is>
      </c>
      <c r="F557" s="156" t="inlineStr">
        <is>
          <t>Questionable</t>
        </is>
      </c>
    </row>
    <row r="558" ht="15.6" customHeight="1" s="152">
      <c r="A558" s="167">
        <f>B558&amp;C558</f>
        <v/>
      </c>
      <c r="B558" s="156" t="inlineStr">
        <is>
          <t>FA</t>
        </is>
      </c>
      <c r="C558" s="156" t="inlineStr">
        <is>
          <t>Cassius Marsh</t>
        </is>
      </c>
      <c r="D558" s="156" t="inlineStr">
        <is>
          <t>LB</t>
        </is>
      </c>
      <c r="E558" s="156" t="inlineStr">
        <is>
          <t>Knee</t>
        </is>
      </c>
      <c r="F558" s="156" t="inlineStr">
        <is>
          <t>Questionable</t>
        </is>
      </c>
    </row>
    <row r="559" ht="15.6" customHeight="1" s="152">
      <c r="A559" s="167">
        <f>B559&amp;C559</f>
        <v/>
      </c>
      <c r="B559" s="156" t="inlineStr">
        <is>
          <t>FA</t>
        </is>
      </c>
      <c r="C559" s="156" t="inlineStr">
        <is>
          <t>Kamal Martin</t>
        </is>
      </c>
      <c r="D559" s="156" t="inlineStr">
        <is>
          <t>LB</t>
        </is>
      </c>
      <c r="E559" s="156" t="inlineStr">
        <is>
          <t>Undisclosed</t>
        </is>
      </c>
      <c r="F559" s="156" t="inlineStr">
        <is>
          <t>Questionable</t>
        </is>
      </c>
    </row>
    <row r="560" ht="15.6" customHeight="1" s="152">
      <c r="A560" s="167">
        <f>B560&amp;C560</f>
        <v/>
      </c>
      <c r="B560" s="156" t="inlineStr">
        <is>
          <t>FA</t>
        </is>
      </c>
      <c r="C560" s="156" t="inlineStr">
        <is>
          <t>Koda Martin</t>
        </is>
      </c>
      <c r="D560" s="156" t="inlineStr">
        <is>
          <t>OG</t>
        </is>
      </c>
      <c r="E560" s="156" t="inlineStr">
        <is>
          <t>Undisclosed</t>
        </is>
      </c>
      <c r="F560" s="156" t="inlineStr">
        <is>
          <t>Questionable</t>
        </is>
      </c>
    </row>
    <row r="561" ht="15.6" customHeight="1" s="152">
      <c r="A561" s="167">
        <f>B561&amp;C561</f>
        <v/>
      </c>
      <c r="B561" s="156" t="inlineStr">
        <is>
          <t>FA</t>
        </is>
      </c>
      <c r="C561" s="156" t="inlineStr">
        <is>
          <t>Marcus Martin</t>
        </is>
      </c>
      <c r="D561" s="156" t="inlineStr">
        <is>
          <t>C</t>
        </is>
      </c>
      <c r="E561" s="156" t="inlineStr">
        <is>
          <t>Undisclosed</t>
        </is>
      </c>
      <c r="F561" s="156" t="inlineStr">
        <is>
          <t>Questionable</t>
        </is>
      </c>
    </row>
    <row r="562" ht="15.6" customHeight="1" s="152">
      <c r="A562" s="167">
        <f>B562&amp;C562</f>
        <v/>
      </c>
      <c r="B562" s="156" t="inlineStr">
        <is>
          <t>FA</t>
        </is>
      </c>
      <c r="C562" s="156" t="inlineStr">
        <is>
          <t>Ben Mason</t>
        </is>
      </c>
      <c r="D562" s="156" t="inlineStr">
        <is>
          <t>TE</t>
        </is>
      </c>
      <c r="E562" s="156" t="inlineStr">
        <is>
          <t>Undisclosed</t>
        </is>
      </c>
      <c r="F562" s="156" t="inlineStr">
        <is>
          <t>Questionable</t>
        </is>
      </c>
    </row>
    <row r="563" ht="15.6" customHeight="1" s="152">
      <c r="A563" s="167">
        <f>B563&amp;C563</f>
        <v/>
      </c>
      <c r="B563" s="156" t="inlineStr">
        <is>
          <t>NO</t>
        </is>
      </c>
      <c r="C563" s="156" t="inlineStr">
        <is>
          <t>Tyrann Mathieu</t>
        </is>
      </c>
      <c r="D563" s="156" t="inlineStr">
        <is>
          <t>S</t>
        </is>
      </c>
      <c r="E563" s="156" t="inlineStr">
        <is>
          <t>Undisclosed</t>
        </is>
      </c>
      <c r="F563" s="156" t="inlineStr">
        <is>
          <t>Reserve-Ret</t>
        </is>
      </c>
    </row>
    <row r="564" ht="15.6" customHeight="1" s="152">
      <c r="A564" s="167">
        <f>B564&amp;C564</f>
        <v/>
      </c>
      <c r="B564" s="156" t="inlineStr">
        <is>
          <t>CAR</t>
        </is>
      </c>
      <c r="C564" s="156" t="inlineStr">
        <is>
          <t>Damarri Mathis</t>
        </is>
      </c>
      <c r="D564" s="156" t="inlineStr">
        <is>
          <t>CB</t>
        </is>
      </c>
      <c r="E564" s="156" t="inlineStr">
        <is>
          <t>Knee - ACL</t>
        </is>
      </c>
      <c r="F564" s="156" t="inlineStr">
        <is>
          <t>IR</t>
        </is>
      </c>
    </row>
    <row r="565" ht="15.6" customHeight="1" s="152">
      <c r="A565" s="167">
        <f>B565&amp;C565</f>
        <v/>
      </c>
      <c r="B565" s="156" t="inlineStr">
        <is>
          <t>FA</t>
        </is>
      </c>
      <c r="C565" s="156" t="inlineStr">
        <is>
          <t>Bayron Matos</t>
        </is>
      </c>
      <c r="D565" s="156" t="inlineStr">
        <is>
          <t>OT</t>
        </is>
      </c>
      <c r="E565" s="156" t="inlineStr">
        <is>
          <t>Upper Body</t>
        </is>
      </c>
      <c r="F565" s="156" t="inlineStr">
        <is>
          <t>Questionable</t>
        </is>
      </c>
    </row>
    <row r="566" ht="15.6" customHeight="1" s="152">
      <c r="A566" s="167">
        <f>B566&amp;C566</f>
        <v/>
      </c>
      <c r="B566" s="156" t="inlineStr">
        <is>
          <t>FA</t>
        </is>
      </c>
      <c r="C566" s="156" t="inlineStr">
        <is>
          <t>Christian Matthew</t>
        </is>
      </c>
      <c r="D566" s="156" t="inlineStr">
        <is>
          <t>CB</t>
        </is>
      </c>
      <c r="E566" s="156" t="inlineStr">
        <is>
          <t>Groin</t>
        </is>
      </c>
      <c r="F566" s="156" t="inlineStr">
        <is>
          <t>Questionable</t>
        </is>
      </c>
    </row>
    <row r="567" ht="15.6" customHeight="1" s="152">
      <c r="A567" s="167">
        <f>B567&amp;C567</f>
        <v/>
      </c>
      <c r="B567" s="156" t="inlineStr">
        <is>
          <t>MIA</t>
        </is>
      </c>
      <c r="C567" s="156" t="inlineStr">
        <is>
          <t>Alexander Mattison</t>
        </is>
      </c>
      <c r="D567" s="156" t="inlineStr">
        <is>
          <t>RB</t>
        </is>
      </c>
      <c r="E567" s="156" t="inlineStr">
        <is>
          <t>Neck</t>
        </is>
      </c>
      <c r="F567" s="156" t="inlineStr">
        <is>
          <t>IR</t>
        </is>
      </c>
    </row>
    <row r="568" ht="15.6" customHeight="1" s="152">
      <c r="A568" s="167">
        <f>B568&amp;C568</f>
        <v/>
      </c>
      <c r="B568" s="156" t="inlineStr">
        <is>
          <t>TB</t>
        </is>
      </c>
      <c r="C568" s="156" t="inlineStr">
        <is>
          <t>Cody Mauch</t>
        </is>
      </c>
      <c r="D568" s="156" t="inlineStr">
        <is>
          <t>OG</t>
        </is>
      </c>
      <c r="E568" s="156" t="inlineStr">
        <is>
          <t>Knee</t>
        </is>
      </c>
      <c r="F568" s="156" t="inlineStr">
        <is>
          <t>Questionable</t>
        </is>
      </c>
    </row>
    <row r="569" ht="15.6" customHeight="1" s="152">
      <c r="A569" s="167">
        <f>B569&amp;C569</f>
        <v/>
      </c>
      <c r="B569" s="156" t="inlineStr">
        <is>
          <t>FA</t>
        </is>
      </c>
      <c r="C569" s="156" t="inlineStr">
        <is>
          <t>Marcus Maye</t>
        </is>
      </c>
      <c r="D569" s="156" t="inlineStr">
        <is>
          <t>S</t>
        </is>
      </c>
      <c r="E569" s="156" t="inlineStr">
        <is>
          <t>Ankle</t>
        </is>
      </c>
      <c r="F569" s="156" t="inlineStr">
        <is>
          <t>Questionable</t>
        </is>
      </c>
    </row>
    <row r="570" ht="15.6" customHeight="1" s="152">
      <c r="A570" s="167">
        <f>B570&amp;C570</f>
        <v/>
      </c>
      <c r="B570" s="156" t="inlineStr">
        <is>
          <t>MIN</t>
        </is>
      </c>
      <c r="C570" s="156" t="inlineStr">
        <is>
          <t>J.J. McCarthy</t>
        </is>
      </c>
      <c r="D570" s="156" t="inlineStr">
        <is>
          <t>QB</t>
        </is>
      </c>
      <c r="E570" s="156" t="inlineStr">
        <is>
          <t>Ankle</t>
        </is>
      </c>
      <c r="F570" s="156" t="inlineStr">
        <is>
          <t>Out</t>
        </is>
      </c>
    </row>
    <row r="571" ht="15.6" customHeight="1" s="152">
      <c r="A571" s="167">
        <f>B571&amp;C571</f>
        <v/>
      </c>
      <c r="B571" s="156" t="inlineStr">
        <is>
          <t>LAC</t>
        </is>
      </c>
      <c r="C571" s="156" t="inlineStr">
        <is>
          <t>Ladd McConkey</t>
        </is>
      </c>
      <c r="D571" s="156" t="inlineStr">
        <is>
          <t>WR</t>
        </is>
      </c>
      <c r="E571" s="156" t="inlineStr">
        <is>
          <t>Biceps</t>
        </is>
      </c>
      <c r="F571" s="156" t="inlineStr">
        <is>
          <t>Questionable</t>
        </is>
      </c>
    </row>
    <row r="572" ht="15.6" customHeight="1" s="152">
      <c r="A572" s="167">
        <f>B572&amp;C572</f>
        <v/>
      </c>
      <c r="B572" s="156" t="inlineStr">
        <is>
          <t>FA</t>
        </is>
      </c>
      <c r="C572" s="156" t="inlineStr">
        <is>
          <t>Nate McCrary</t>
        </is>
      </c>
      <c r="D572" s="156" t="inlineStr">
        <is>
          <t>RB</t>
        </is>
      </c>
      <c r="E572" s="156" t="inlineStr">
        <is>
          <t>Undisclosed</t>
        </is>
      </c>
      <c r="F572" s="156" t="inlineStr">
        <is>
          <t>Questionable</t>
        </is>
      </c>
    </row>
    <row r="573" ht="15.6" customHeight="1" s="152">
      <c r="A573" s="167">
        <f>B573&amp;C573</f>
        <v/>
      </c>
      <c r="B573" s="156" t="inlineStr">
        <is>
          <t>NYJ</t>
        </is>
      </c>
      <c r="C573" s="156" t="inlineStr">
        <is>
          <t>Marcelino McCrary-Ball</t>
        </is>
      </c>
      <c r="D573" s="156" t="inlineStr">
        <is>
          <t>LB</t>
        </is>
      </c>
      <c r="E573" s="156" t="inlineStr">
        <is>
          <t>Hamstring</t>
        </is>
      </c>
      <c r="F573" s="156" t="inlineStr">
        <is>
          <t>Questionable</t>
        </is>
      </c>
    </row>
    <row r="574" ht="15.6" customHeight="1" s="152">
      <c r="A574" s="167">
        <f>B574&amp;C574</f>
        <v/>
      </c>
      <c r="B574" s="156" t="inlineStr">
        <is>
          <t>FA</t>
        </is>
      </c>
      <c r="C574" s="156" t="inlineStr">
        <is>
          <t>Justin McCray</t>
        </is>
      </c>
      <c r="D574" s="156" t="inlineStr">
        <is>
          <t>OG</t>
        </is>
      </c>
      <c r="E574" s="156" t="inlineStr">
        <is>
          <t>Calf</t>
        </is>
      </c>
      <c r="F574" s="156" t="inlineStr">
        <is>
          <t>Questionable</t>
        </is>
      </c>
    </row>
    <row r="575" ht="15.6" customHeight="1" s="152">
      <c r="A575" s="167">
        <f>B575&amp;C575</f>
        <v/>
      </c>
      <c r="B575" s="156" t="inlineStr">
        <is>
          <t>FA</t>
        </is>
      </c>
      <c r="C575" s="156" t="inlineStr">
        <is>
          <t>Cameron McCutcheon</t>
        </is>
      </c>
      <c r="D575" s="156" t="inlineStr">
        <is>
          <t>CB</t>
        </is>
      </c>
      <c r="E575" s="156" t="inlineStr">
        <is>
          <t>Undisclosed</t>
        </is>
      </c>
      <c r="F575" s="156" t="inlineStr">
        <is>
          <t>Questionable</t>
        </is>
      </c>
    </row>
    <row r="576" ht="15.6" customHeight="1" s="152">
      <c r="A576" s="167">
        <f>B576&amp;C576</f>
        <v/>
      </c>
      <c r="B576" s="156" t="inlineStr">
        <is>
          <t>CLE</t>
        </is>
      </c>
      <c r="C576" s="156" t="inlineStr">
        <is>
          <t>Cade McDonald</t>
        </is>
      </c>
      <c r="D576" s="156" t="inlineStr">
        <is>
          <t>WR</t>
        </is>
      </c>
      <c r="E576" s="156" t="inlineStr">
        <is>
          <t>Undisclosed</t>
        </is>
      </c>
      <c r="F576" s="156" t="inlineStr">
        <is>
          <t>IR</t>
        </is>
      </c>
    </row>
    <row r="577" ht="15.6" customHeight="1" s="152">
      <c r="A577" s="167">
        <f>B577&amp;C577</f>
        <v/>
      </c>
      <c r="B577" s="156" t="inlineStr">
        <is>
          <t>FA</t>
        </is>
      </c>
      <c r="C577" s="156" t="inlineStr">
        <is>
          <t>Codey McElroy</t>
        </is>
      </c>
      <c r="D577" s="156" t="inlineStr">
        <is>
          <t>TE</t>
        </is>
      </c>
      <c r="E577" s="156" t="inlineStr">
        <is>
          <t>Foot</t>
        </is>
      </c>
      <c r="F577" s="156" t="inlineStr">
        <is>
          <t>Questionable</t>
        </is>
      </c>
    </row>
    <row r="578" ht="15.6" customHeight="1" s="152">
      <c r="A578" s="167">
        <f>B578&amp;C578</f>
        <v/>
      </c>
      <c r="B578" s="156" t="inlineStr">
        <is>
          <t>NYG</t>
        </is>
      </c>
      <c r="C578" s="156" t="inlineStr">
        <is>
          <t>Micah McFadden</t>
        </is>
      </c>
      <c r="D578" s="156" t="inlineStr">
        <is>
          <t>LB</t>
        </is>
      </c>
      <c r="E578" s="156" t="inlineStr">
        <is>
          <t>Foot</t>
        </is>
      </c>
      <c r="F578" s="156" t="inlineStr">
        <is>
          <t>IR</t>
        </is>
      </c>
    </row>
    <row r="579" ht="15.6" customHeight="1" s="152">
      <c r="A579" s="167">
        <f>B579&amp;C579</f>
        <v/>
      </c>
      <c r="B579" s="156" t="inlineStr">
        <is>
          <t>ATL</t>
        </is>
      </c>
      <c r="C579" s="156" t="inlineStr">
        <is>
          <t>Kaleb McGary</t>
        </is>
      </c>
      <c r="D579" s="156" t="inlineStr">
        <is>
          <t>OT</t>
        </is>
      </c>
      <c r="E579" s="156" t="inlineStr">
        <is>
          <t>Leg</t>
        </is>
      </c>
      <c r="F579" s="156" t="inlineStr">
        <is>
          <t>IR</t>
        </is>
      </c>
    </row>
    <row r="580" ht="15.6" customHeight="1" s="152">
      <c r="A580" s="167">
        <f>B580&amp;C580</f>
        <v/>
      </c>
      <c r="B580" s="156" t="inlineStr">
        <is>
          <t>SEA</t>
        </is>
      </c>
      <c r="C580" s="156" t="inlineStr">
        <is>
          <t>Kenny McIntosh</t>
        </is>
      </c>
      <c r="D580" s="156" t="inlineStr">
        <is>
          <t>RB</t>
        </is>
      </c>
      <c r="E580" s="156" t="inlineStr">
        <is>
          <t>Knee - ACL</t>
        </is>
      </c>
      <c r="F580" s="156" t="inlineStr">
        <is>
          <t>IR</t>
        </is>
      </c>
    </row>
    <row r="581" ht="15.6" customHeight="1" s="152">
      <c r="A581" s="167">
        <f>B581&amp;C581</f>
        <v/>
      </c>
      <c r="B581" s="156" t="inlineStr">
        <is>
          <t>PHI</t>
        </is>
      </c>
      <c r="C581" s="156" t="inlineStr">
        <is>
          <t>Tanner McKee</t>
        </is>
      </c>
      <c r="D581" s="156" t="inlineStr">
        <is>
          <t>QB</t>
        </is>
      </c>
      <c r="E581" s="156" t="inlineStr">
        <is>
          <t>Thumb</t>
        </is>
      </c>
      <c r="F581" s="156" t="inlineStr">
        <is>
          <t>Questionable</t>
        </is>
      </c>
    </row>
    <row r="582" ht="15.6" customHeight="1" s="152">
      <c r="A582" s="167">
        <f>B582&amp;C582</f>
        <v/>
      </c>
      <c r="B582" s="156" t="inlineStr">
        <is>
          <t>FA</t>
        </is>
      </c>
      <c r="C582" s="156" t="inlineStr">
        <is>
          <t>Anthony McKinney</t>
        </is>
      </c>
      <c r="D582" s="156" t="inlineStr">
        <is>
          <t>OT</t>
        </is>
      </c>
      <c r="E582" s="156" t="inlineStr">
        <is>
          <t>Undisclosed</t>
        </is>
      </c>
      <c r="F582" s="156" t="inlineStr">
        <is>
          <t>Questionable</t>
        </is>
      </c>
    </row>
    <row r="583" ht="15.6" customHeight="1" s="152">
      <c r="A583" s="167">
        <f>B583&amp;C583</f>
        <v/>
      </c>
      <c r="B583" s="156" t="inlineStr">
        <is>
          <t>FA</t>
        </is>
      </c>
      <c r="C583" s="156" t="inlineStr">
        <is>
          <t>J.D. McKissic</t>
        </is>
      </c>
      <c r="D583" s="156" t="inlineStr">
        <is>
          <t>RB</t>
        </is>
      </c>
      <c r="E583" s="156" t="inlineStr">
        <is>
          <t>Neck</t>
        </is>
      </c>
      <c r="F583" s="156" t="inlineStr">
        <is>
          <t>Questionable</t>
        </is>
      </c>
    </row>
    <row r="584" ht="15.6" customHeight="1" s="152">
      <c r="A584" s="167">
        <f>B584&amp;C584</f>
        <v/>
      </c>
      <c r="B584" s="156" t="inlineStr">
        <is>
          <t>FA</t>
        </is>
      </c>
      <c r="C584" s="156" t="inlineStr">
        <is>
          <t>Tanner McLachlan</t>
        </is>
      </c>
      <c r="D584" s="156" t="inlineStr">
        <is>
          <t>TE</t>
        </is>
      </c>
      <c r="E584" s="156" t="inlineStr">
        <is>
          <t>Undisclosed</t>
        </is>
      </c>
      <c r="F584" s="156" t="inlineStr">
        <is>
          <t>Questionable</t>
        </is>
      </c>
    </row>
    <row r="585" ht="15.6" customHeight="1" s="152">
      <c r="A585" s="167">
        <f>B585&amp;C585</f>
        <v/>
      </c>
      <c r="B585" s="156" t="inlineStr">
        <is>
          <t>JAX</t>
        </is>
      </c>
      <c r="C585" s="156" t="inlineStr">
        <is>
          <t>Jalen McLeod</t>
        </is>
      </c>
      <c r="D585" s="156" t="inlineStr">
        <is>
          <t>LB</t>
        </is>
      </c>
      <c r="E585" s="156" t="inlineStr">
        <is>
          <t>Lower Body</t>
        </is>
      </c>
      <c r="F585" s="156" t="inlineStr">
        <is>
          <t>IR-R</t>
        </is>
      </c>
    </row>
    <row r="586" ht="15.6" customHeight="1" s="152">
      <c r="A586" s="167">
        <f>B586&amp;C586</f>
        <v/>
      </c>
      <c r="B586" s="156" t="inlineStr">
        <is>
          <t>FA</t>
        </is>
      </c>
      <c r="C586" s="156" t="inlineStr">
        <is>
          <t>Sherrick McManis</t>
        </is>
      </c>
      <c r="D586" s="156" t="inlineStr">
        <is>
          <t>S</t>
        </is>
      </c>
      <c r="E586" s="156" t="inlineStr">
        <is>
          <t>Hamstring</t>
        </is>
      </c>
      <c r="F586" s="156" t="inlineStr">
        <is>
          <t>Questionable</t>
        </is>
      </c>
    </row>
    <row r="587" ht="15.6" customHeight="1" s="152">
      <c r="A587" s="167">
        <f>B587&amp;C587</f>
        <v/>
      </c>
      <c r="B587" s="156" t="inlineStr">
        <is>
          <t>TB</t>
        </is>
      </c>
      <c r="C587" s="156" t="inlineStr">
        <is>
          <t>Jalen McMillan</t>
        </is>
      </c>
      <c r="D587" s="156" t="inlineStr">
        <is>
          <t>WR</t>
        </is>
      </c>
      <c r="E587" s="156" t="inlineStr">
        <is>
          <t>Neck</t>
        </is>
      </c>
      <c r="F587" s="156" t="inlineStr">
        <is>
          <t>IR-R</t>
        </is>
      </c>
    </row>
    <row r="588" ht="15.6" customHeight="1" s="152">
      <c r="A588" s="167">
        <f>B588&amp;C588</f>
        <v/>
      </c>
      <c r="B588" s="156" t="inlineStr">
        <is>
          <t>DET</t>
        </is>
      </c>
      <c r="C588" s="156" t="inlineStr">
        <is>
          <t>Alim McNeill</t>
        </is>
      </c>
      <c r="D588" s="156" t="inlineStr">
        <is>
          <t>DT</t>
        </is>
      </c>
      <c r="E588" s="156" t="inlineStr">
        <is>
          <t>Knee - ACL</t>
        </is>
      </c>
      <c r="F588" s="156" t="inlineStr">
        <is>
          <t>PUP-R</t>
        </is>
      </c>
    </row>
    <row r="589" ht="15.6" customHeight="1" s="152">
      <c r="A589" s="167">
        <f>B589&amp;C589</f>
        <v/>
      </c>
      <c r="B589" s="156" t="inlineStr">
        <is>
          <t>WAS</t>
        </is>
      </c>
      <c r="C589" s="156" t="inlineStr">
        <is>
          <t>Jeremy McNichols</t>
        </is>
      </c>
      <c r="D589" s="156" t="inlineStr">
        <is>
          <t>RB</t>
        </is>
      </c>
      <c r="E589" s="156" t="inlineStr">
        <is>
          <t>Hamstring</t>
        </is>
      </c>
      <c r="F589" s="156" t="inlineStr">
        <is>
          <t>Questionable</t>
        </is>
      </c>
    </row>
    <row r="590" ht="15.6" customHeight="1" s="152">
      <c r="A590" s="167">
        <f>B590&amp;C590</f>
        <v/>
      </c>
      <c r="B590" s="156" t="inlineStr">
        <is>
          <t>FA</t>
        </is>
      </c>
      <c r="C590" s="156" t="inlineStr">
        <is>
          <t>Zech McPhearson</t>
        </is>
      </c>
      <c r="D590" s="156" t="inlineStr">
        <is>
          <t>CB</t>
        </is>
      </c>
      <c r="E590" s="156" t="inlineStr">
        <is>
          <t>Undisclosed</t>
        </is>
      </c>
      <c r="F590" s="156" t="inlineStr">
        <is>
          <t>Questionable</t>
        </is>
      </c>
    </row>
    <row r="591" ht="15.6" customHeight="1" s="152">
      <c r="A591" s="167">
        <f>B591&amp;C591</f>
        <v/>
      </c>
      <c r="B591" s="156" t="inlineStr">
        <is>
          <t>FA</t>
        </is>
      </c>
      <c r="C591" s="156" t="inlineStr">
        <is>
          <t>Tony McRae</t>
        </is>
      </c>
      <c r="D591" s="156" t="inlineStr">
        <is>
          <t>CB</t>
        </is>
      </c>
      <c r="E591" s="156" t="inlineStr">
        <is>
          <t>Knee</t>
        </is>
      </c>
      <c r="F591" s="156" t="inlineStr">
        <is>
          <t>Questionable</t>
        </is>
      </c>
    </row>
    <row r="592" ht="15.6" customHeight="1" s="152">
      <c r="A592" s="167">
        <f>B592&amp;C592</f>
        <v/>
      </c>
      <c r="B592" s="156" t="inlineStr">
        <is>
          <t>FA</t>
        </is>
      </c>
      <c r="C592" s="156" t="inlineStr">
        <is>
          <t>Nate Meadors</t>
        </is>
      </c>
      <c r="D592" s="156" t="inlineStr">
        <is>
          <t>S</t>
        </is>
      </c>
      <c r="E592" s="156" t="inlineStr">
        <is>
          <t>Undisclosed</t>
        </is>
      </c>
      <c r="F592" s="156" t="inlineStr">
        <is>
          <t>Questionable</t>
        </is>
      </c>
    </row>
    <row r="593" ht="15.6" customHeight="1" s="152">
      <c r="A593" s="167">
        <f>B593&amp;C593</f>
        <v/>
      </c>
      <c r="B593" s="156" t="inlineStr">
        <is>
          <t>FA</t>
        </is>
      </c>
      <c r="C593" s="156" t="inlineStr">
        <is>
          <t>Montrel Meander</t>
        </is>
      </c>
      <c r="D593" s="156" t="inlineStr">
        <is>
          <t>LB</t>
        </is>
      </c>
      <c r="E593" s="156" t="inlineStr">
        <is>
          <t>Achilles</t>
        </is>
      </c>
      <c r="F593" s="156" t="inlineStr">
        <is>
          <t>Questionable</t>
        </is>
      </c>
    </row>
    <row r="594" ht="15.6" customHeight="1" s="152">
      <c r="A594" s="167">
        <f>B594&amp;C594</f>
        <v/>
      </c>
      <c r="B594" s="156" t="inlineStr">
        <is>
          <t>NO</t>
        </is>
      </c>
      <c r="C594" s="156" t="inlineStr">
        <is>
          <t>Bub Means</t>
        </is>
      </c>
      <c r="D594" s="156" t="inlineStr">
        <is>
          <t>WR</t>
        </is>
      </c>
      <c r="E594" s="156" t="inlineStr">
        <is>
          <t>Lower Leg</t>
        </is>
      </c>
      <c r="F594" s="156" t="inlineStr">
        <is>
          <t>IR</t>
        </is>
      </c>
    </row>
    <row r="595" ht="15.6" customHeight="1" s="152">
      <c r="A595" s="167">
        <f>B595&amp;C595</f>
        <v/>
      </c>
      <c r="B595" s="156" t="inlineStr">
        <is>
          <t>FA</t>
        </is>
      </c>
      <c r="C595" s="156" t="inlineStr">
        <is>
          <t>Steven Means</t>
        </is>
      </c>
      <c r="D595" s="156" t="inlineStr">
        <is>
          <t>LB</t>
        </is>
      </c>
      <c r="E595" s="156" t="inlineStr">
        <is>
          <t>Achilles</t>
        </is>
      </c>
      <c r="F595" s="156" t="inlineStr">
        <is>
          <t>Questionable</t>
        </is>
      </c>
    </row>
    <row r="596" ht="15.6" customHeight="1" s="152">
      <c r="A596" s="167">
        <f>B596&amp;C596</f>
        <v/>
      </c>
      <c r="B596" s="156" t="inlineStr">
        <is>
          <t>MIA</t>
        </is>
      </c>
      <c r="C596" s="156" t="inlineStr">
        <is>
          <t>Ifeatu Melifonwu</t>
        </is>
      </c>
      <c r="D596" s="156" t="inlineStr">
        <is>
          <t>S</t>
        </is>
      </c>
      <c r="E596" s="156" t="inlineStr">
        <is>
          <t>Calf</t>
        </is>
      </c>
      <c r="F596" s="156" t="inlineStr">
        <is>
          <t>Out</t>
        </is>
      </c>
    </row>
    <row r="597" ht="15.6" customHeight="1" s="152">
      <c r="A597" s="167">
        <f>B597&amp;C597</f>
        <v/>
      </c>
      <c r="B597" s="156" t="inlineStr">
        <is>
          <t>FA</t>
        </is>
      </c>
      <c r="C597" s="156" t="inlineStr">
        <is>
          <t>Obi Melifonwu</t>
        </is>
      </c>
      <c r="D597" s="156" t="inlineStr">
        <is>
          <t>S</t>
        </is>
      </c>
      <c r="E597" s="156" t="inlineStr">
        <is>
          <t>Undisclosed</t>
        </is>
      </c>
      <c r="F597" s="156" t="inlineStr">
        <is>
          <t>Questionable</t>
        </is>
      </c>
    </row>
    <row r="598" ht="15.6" customHeight="1" s="152">
      <c r="A598" s="167">
        <f>B598&amp;C598</f>
        <v/>
      </c>
      <c r="B598" s="156" t="inlineStr">
        <is>
          <t>FA</t>
        </is>
      </c>
      <c r="C598" s="156" t="inlineStr">
        <is>
          <t>Nicolas Melsop</t>
        </is>
      </c>
      <c r="D598" s="156" t="inlineStr">
        <is>
          <t>OG</t>
        </is>
      </c>
      <c r="E598" s="156" t="inlineStr">
        <is>
          <t>Undisclosed</t>
        </is>
      </c>
      <c r="F598" s="156" t="inlineStr">
        <is>
          <t>Questionable</t>
        </is>
      </c>
    </row>
    <row r="599" ht="15.6" customHeight="1" s="152">
      <c r="A599" s="167">
        <f>B599&amp;C599</f>
        <v/>
      </c>
      <c r="B599" s="156" t="inlineStr">
        <is>
          <t>GB</t>
        </is>
      </c>
      <c r="C599" s="156" t="inlineStr">
        <is>
          <t>Bo Melton</t>
        </is>
      </c>
      <c r="D599" s="156" t="inlineStr">
        <is>
          <t>CB</t>
        </is>
      </c>
      <c r="E599" s="156" t="inlineStr">
        <is>
          <t>Shoulder</t>
        </is>
      </c>
      <c r="F599" s="156" t="inlineStr">
        <is>
          <t>Questionable</t>
        </is>
      </c>
    </row>
    <row r="600" ht="15.6" customHeight="1" s="152">
      <c r="A600" s="167">
        <f>B600&amp;C600</f>
        <v/>
      </c>
      <c r="B600" s="156" t="inlineStr">
        <is>
          <t>ARI</t>
        </is>
      </c>
      <c r="C600" s="156" t="inlineStr">
        <is>
          <t>Max Melton</t>
        </is>
      </c>
      <c r="D600" s="156" t="inlineStr">
        <is>
          <t>CB</t>
        </is>
      </c>
      <c r="E600" s="156" t="inlineStr">
        <is>
          <t>Knee</t>
        </is>
      </c>
      <c r="F600" s="156" t="inlineStr">
        <is>
          <t>Questionable</t>
        </is>
      </c>
    </row>
    <row r="601" ht="15.6" customHeight="1" s="152">
      <c r="A601" s="167">
        <f>B601&amp;C601</f>
        <v/>
      </c>
      <c r="B601" s="156" t="inlineStr">
        <is>
          <t>FA</t>
        </is>
      </c>
      <c r="C601" s="156" t="inlineStr">
        <is>
          <t>Forrest Merrill</t>
        </is>
      </c>
      <c r="D601" s="156" t="inlineStr">
        <is>
          <t>DT</t>
        </is>
      </c>
      <c r="E601" s="156" t="inlineStr">
        <is>
          <t>Undisclosed</t>
        </is>
      </c>
      <c r="F601" s="156" t="inlineStr">
        <is>
          <t>Questionable</t>
        </is>
      </c>
    </row>
    <row r="602" ht="15.6" customHeight="1" s="152">
      <c r="A602" s="167">
        <f>B602&amp;C602</f>
        <v/>
      </c>
      <c r="B602" s="156" t="inlineStr">
        <is>
          <t>FA</t>
        </is>
      </c>
      <c r="C602" s="156" t="inlineStr">
        <is>
          <t>Ellis Merriweather</t>
        </is>
      </c>
      <c r="D602" s="156" t="inlineStr">
        <is>
          <t>RB</t>
        </is>
      </c>
      <c r="E602" s="156" t="inlineStr">
        <is>
          <t>Undisclosed</t>
        </is>
      </c>
      <c r="F602" s="156" t="inlineStr">
        <is>
          <t>Out</t>
        </is>
      </c>
    </row>
    <row r="603" ht="15.6" customHeight="1" s="152">
      <c r="A603" s="167">
        <f>B603&amp;C603</f>
        <v/>
      </c>
      <c r="B603" s="156" t="inlineStr">
        <is>
          <t>MIA</t>
        </is>
      </c>
      <c r="C603" s="156" t="inlineStr">
        <is>
          <t>Andrew Meyer</t>
        </is>
      </c>
      <c r="D603" s="156" t="inlineStr">
        <is>
          <t>C</t>
        </is>
      </c>
      <c r="E603" s="156" t="inlineStr">
        <is>
          <t>Undisclosed</t>
        </is>
      </c>
      <c r="F603" s="156" t="inlineStr">
        <is>
          <t>IR-R</t>
        </is>
      </c>
    </row>
    <row r="604" ht="15.6" customHeight="1" s="152">
      <c r="A604" s="167">
        <f>B604&amp;C604</f>
        <v/>
      </c>
      <c r="B604" s="156" t="inlineStr">
        <is>
          <t>BUF</t>
        </is>
      </c>
      <c r="C604" s="156" t="inlineStr">
        <is>
          <t>Matt Milano</t>
        </is>
      </c>
      <c r="D604" s="156" t="inlineStr">
        <is>
          <t>LB</t>
        </is>
      </c>
      <c r="E604" s="156" t="inlineStr">
        <is>
          <t>Pectoral</t>
        </is>
      </c>
      <c r="F604" s="156" t="inlineStr">
        <is>
          <t>Out</t>
        </is>
      </c>
    </row>
    <row r="605" ht="15.6" customHeight="1" s="152">
      <c r="A605" s="167">
        <f>B605&amp;C605</f>
        <v/>
      </c>
      <c r="B605" s="156" t="inlineStr">
        <is>
          <t>SEA</t>
        </is>
      </c>
      <c r="C605" s="156" t="inlineStr">
        <is>
          <t>Rylie Mills</t>
        </is>
      </c>
      <c r="D605" s="156" t="inlineStr">
        <is>
          <t>DT</t>
        </is>
      </c>
      <c r="E605" s="156" t="inlineStr">
        <is>
          <t>Knee - ACL</t>
        </is>
      </c>
      <c r="F605" s="156" t="inlineStr">
        <is>
          <t>NFI-R</t>
        </is>
      </c>
    </row>
    <row r="606" ht="15.6" customHeight="1" s="152">
      <c r="A606" s="167">
        <f>B606&amp;C606</f>
        <v/>
      </c>
      <c r="B606" s="156" t="inlineStr">
        <is>
          <t>JAX</t>
        </is>
      </c>
      <c r="C606" s="156" t="inlineStr">
        <is>
          <t>Wyatt Milum</t>
        </is>
      </c>
      <c r="D606" s="156" t="inlineStr">
        <is>
          <t>OT</t>
        </is>
      </c>
      <c r="E606" s="156" t="inlineStr">
        <is>
          <t>Knee</t>
        </is>
      </c>
      <c r="F606" s="156" t="inlineStr">
        <is>
          <t>Questionable</t>
        </is>
      </c>
    </row>
    <row r="607" ht="15.6" customHeight="1" s="152">
      <c r="A607" s="167">
        <f>B607&amp;C607</f>
        <v/>
      </c>
      <c r="B607" s="156" t="inlineStr">
        <is>
          <t>DAL</t>
        </is>
      </c>
      <c r="C607" s="156" t="inlineStr">
        <is>
          <t>Jonathan Mingo</t>
        </is>
      </c>
      <c r="D607" s="156" t="inlineStr">
        <is>
          <t>WR</t>
        </is>
      </c>
      <c r="E607" s="156" t="inlineStr">
        <is>
          <t>Knee - PCL</t>
        </is>
      </c>
      <c r="F607" s="156" t="inlineStr">
        <is>
          <t>IR-R</t>
        </is>
      </c>
    </row>
    <row r="608" ht="15.6" customHeight="1" s="152">
      <c r="A608" s="167">
        <f>B608&amp;C608</f>
        <v/>
      </c>
      <c r="B608" s="156" t="inlineStr">
        <is>
          <t>FA</t>
        </is>
      </c>
      <c r="C608" s="156" t="inlineStr">
        <is>
          <t>Osirus Mitchell</t>
        </is>
      </c>
      <c r="D608" s="156" t="inlineStr">
        <is>
          <t>WR</t>
        </is>
      </c>
      <c r="E608" s="156" t="inlineStr">
        <is>
          <t>Quadriceps</t>
        </is>
      </c>
      <c r="F608" s="156" t="inlineStr">
        <is>
          <t>Questionable</t>
        </is>
      </c>
    </row>
    <row r="609" ht="15.6" customHeight="1" s="152">
      <c r="A609" s="167">
        <f>B609&amp;C609</f>
        <v/>
      </c>
      <c r="B609" s="156" t="inlineStr">
        <is>
          <t>HOU</t>
        </is>
      </c>
      <c r="C609" s="156" t="inlineStr">
        <is>
          <t>Joe Mixon</t>
        </is>
      </c>
      <c r="D609" s="156" t="inlineStr">
        <is>
          <t>RB</t>
        </is>
      </c>
      <c r="E609" s="156" t="inlineStr">
        <is>
          <t>Foot</t>
        </is>
      </c>
      <c r="F609" s="156" t="inlineStr">
        <is>
          <t>NFI-R</t>
        </is>
      </c>
    </row>
    <row r="610" ht="15.6" customHeight="1" s="152">
      <c r="A610" s="167">
        <f>B610&amp;C610</f>
        <v/>
      </c>
      <c r="B610" s="156" t="inlineStr">
        <is>
          <t>FA</t>
        </is>
      </c>
      <c r="C610" s="156" t="inlineStr">
        <is>
          <t>Taquan Mizzell</t>
        </is>
      </c>
      <c r="D610" s="156" t="inlineStr">
        <is>
          <t>WR</t>
        </is>
      </c>
      <c r="E610" s="156" t="inlineStr">
        <is>
          <t>Undisclosed</t>
        </is>
      </c>
      <c r="F610" s="156" t="inlineStr">
        <is>
          <t>Questionable</t>
        </is>
      </c>
    </row>
    <row r="611" ht="15.6" customHeight="1" s="152">
      <c r="A611" s="167">
        <f>B611&amp;C611</f>
        <v/>
      </c>
      <c r="B611" s="156" t="inlineStr">
        <is>
          <t>LAC</t>
        </is>
      </c>
      <c r="C611" s="156" t="inlineStr">
        <is>
          <t>Elijah Molden</t>
        </is>
      </c>
      <c r="D611" s="156" t="inlineStr">
        <is>
          <t>S</t>
        </is>
      </c>
      <c r="E611" s="156" t="inlineStr">
        <is>
          <t>Hamstring</t>
        </is>
      </c>
      <c r="F611" s="156" t="inlineStr">
        <is>
          <t>Questionable</t>
        </is>
      </c>
    </row>
    <row r="612" ht="15.6" customHeight="1" s="152">
      <c r="A612" s="167">
        <f>B612&amp;C612</f>
        <v/>
      </c>
      <c r="B612" s="156" t="inlineStr">
        <is>
          <t>FA</t>
        </is>
      </c>
      <c r="C612" s="156" t="inlineStr">
        <is>
          <t>Donte Moncrief</t>
        </is>
      </c>
      <c r="D612" s="156" t="inlineStr">
        <is>
          <t>WR</t>
        </is>
      </c>
      <c r="E612" s="156" t="inlineStr">
        <is>
          <t>Undisclosed</t>
        </is>
      </c>
      <c r="F612" s="156" t="inlineStr">
        <is>
          <t>Questionable</t>
        </is>
      </c>
    </row>
    <row r="613" ht="15.6" customHeight="1" s="152">
      <c r="A613" s="167">
        <f>B613&amp;C613</f>
        <v/>
      </c>
      <c r="B613" s="156" t="inlineStr">
        <is>
          <t>FA</t>
        </is>
      </c>
      <c r="C613" s="156" t="inlineStr">
        <is>
          <t>Henry Mondeaux</t>
        </is>
      </c>
      <c r="D613" s="156" t="inlineStr">
        <is>
          <t>DE</t>
        </is>
      </c>
      <c r="E613" s="156" t="inlineStr">
        <is>
          <t>Undisclosed</t>
        </is>
      </c>
      <c r="F613" s="156" t="inlineStr">
        <is>
          <t>Questionable</t>
        </is>
      </c>
    </row>
    <row r="614" ht="15.6" customHeight="1" s="152">
      <c r="A614" s="167">
        <f>B614&amp;C614</f>
        <v/>
      </c>
      <c r="B614" s="156" t="inlineStr">
        <is>
          <t>FA</t>
        </is>
      </c>
      <c r="C614" s="156" t="inlineStr">
        <is>
          <t>Bryan Mone</t>
        </is>
      </c>
      <c r="D614" s="156" t="inlineStr">
        <is>
          <t>DT</t>
        </is>
      </c>
      <c r="E614" s="156" t="inlineStr">
        <is>
          <t>Knee - ACL</t>
        </is>
      </c>
      <c r="F614" s="156" t="inlineStr">
        <is>
          <t>Questionable</t>
        </is>
      </c>
    </row>
    <row r="615" ht="15.6" customHeight="1" s="152">
      <c r="A615" s="167">
        <f>B615&amp;C615</f>
        <v/>
      </c>
      <c r="B615" s="156" t="inlineStr">
        <is>
          <t>GB</t>
        </is>
      </c>
      <c r="C615" s="156" t="inlineStr">
        <is>
          <t>Jacob Monk</t>
        </is>
      </c>
      <c r="D615" s="156" t="inlineStr">
        <is>
          <t>C</t>
        </is>
      </c>
      <c r="E615" s="156" t="inlineStr">
        <is>
          <t>Hamstring</t>
        </is>
      </c>
      <c r="F615" s="156" t="inlineStr">
        <is>
          <t>IR-R</t>
        </is>
      </c>
    </row>
    <row r="616" ht="15.6" customHeight="1" s="152">
      <c r="A616" s="167">
        <f>B616&amp;C616</f>
        <v/>
      </c>
      <c r="B616" s="156" t="inlineStr">
        <is>
          <t>FA</t>
        </is>
      </c>
      <c r="C616" s="156" t="inlineStr">
        <is>
          <t>Jarius Monroe</t>
        </is>
      </c>
      <c r="D616" s="156" t="inlineStr">
        <is>
          <t>S</t>
        </is>
      </c>
      <c r="E616" s="156" t="inlineStr">
        <is>
          <t>Undisclosed</t>
        </is>
      </c>
      <c r="F616" s="156" t="inlineStr">
        <is>
          <t>Questionable</t>
        </is>
      </c>
    </row>
    <row r="617" ht="15.6" customHeight="1" s="152">
      <c r="A617" s="167">
        <f>B617&amp;C617</f>
        <v/>
      </c>
      <c r="B617" s="156" t="inlineStr">
        <is>
          <t>IND</t>
        </is>
      </c>
      <c r="C617" s="156" t="inlineStr">
        <is>
          <t>D.J. Montgomery</t>
        </is>
      </c>
      <c r="D617" s="156" t="inlineStr">
        <is>
          <t>WR</t>
        </is>
      </c>
      <c r="E617" s="156" t="inlineStr">
        <is>
          <t>Undisclosed</t>
        </is>
      </c>
      <c r="F617" s="156" t="inlineStr">
        <is>
          <t>IR</t>
        </is>
      </c>
    </row>
    <row r="618" ht="15.6" customHeight="1" s="152">
      <c r="A618" s="167">
        <f>B618&amp;C618</f>
        <v/>
      </c>
      <c r="B618" s="156" t="inlineStr">
        <is>
          <t>FA</t>
        </is>
      </c>
      <c r="C618" s="156" t="inlineStr">
        <is>
          <t>Jeremiah Moon</t>
        </is>
      </c>
      <c r="D618" s="156" t="inlineStr">
        <is>
          <t>LB</t>
        </is>
      </c>
      <c r="E618" s="156" t="inlineStr">
        <is>
          <t>Calf</t>
        </is>
      </c>
      <c r="F618" s="156" t="inlineStr">
        <is>
          <t>Questionable</t>
        </is>
      </c>
    </row>
    <row r="619" ht="15.6" customHeight="1" s="152">
      <c r="A619" s="167">
        <f>B619&amp;C619</f>
        <v/>
      </c>
      <c r="B619" s="156" t="inlineStr">
        <is>
          <t>ATL</t>
        </is>
      </c>
      <c r="C619" s="156" t="inlineStr">
        <is>
          <t>Darnell Mooney</t>
        </is>
      </c>
      <c r="D619" s="156" t="inlineStr">
        <is>
          <t>WR</t>
        </is>
      </c>
      <c r="E619" s="156" t="inlineStr">
        <is>
          <t>Shoulder</t>
        </is>
      </c>
      <c r="F619" s="156" t="inlineStr">
        <is>
          <t>Questionable</t>
        </is>
      </c>
    </row>
    <row r="620" ht="15.6" customHeight="1" s="152">
      <c r="A620" s="167">
        <f>B620&amp;C620</f>
        <v/>
      </c>
      <c r="B620" s="156" t="inlineStr">
        <is>
          <t>FA</t>
        </is>
      </c>
      <c r="C620" s="156" t="inlineStr">
        <is>
          <t>J'Mon Moore</t>
        </is>
      </c>
      <c r="D620" s="156" t="inlineStr">
        <is>
          <t>WR</t>
        </is>
      </c>
      <c r="E620" s="156" t="inlineStr">
        <is>
          <t>Undisclosed</t>
        </is>
      </c>
      <c r="F620" s="156" t="inlineStr">
        <is>
          <t>Questionable</t>
        </is>
      </c>
    </row>
    <row r="621" ht="15.6" customHeight="1" s="152">
      <c r="A621" s="167">
        <f>B621&amp;C621</f>
        <v/>
      </c>
      <c r="B621" s="156" t="inlineStr">
        <is>
          <t>FA</t>
        </is>
      </c>
      <c r="C621" s="156" t="inlineStr">
        <is>
          <t>Jaylon Moore</t>
        </is>
      </c>
      <c r="D621" s="156" t="inlineStr">
        <is>
          <t>WR</t>
        </is>
      </c>
      <c r="E621" s="156" t="inlineStr">
        <is>
          <t>Undisclosed</t>
        </is>
      </c>
      <c r="F621" s="156" t="inlineStr">
        <is>
          <t>Questionable</t>
        </is>
      </c>
    </row>
    <row r="622" ht="15.6" customHeight="1" s="152">
      <c r="A622" s="167">
        <f>B622&amp;C622</f>
        <v/>
      </c>
      <c r="B622" s="156" t="inlineStr">
        <is>
          <t>MIN</t>
        </is>
      </c>
      <c r="C622" s="156" t="inlineStr">
        <is>
          <t>Rondale Moore</t>
        </is>
      </c>
      <c r="D622" s="156" t="inlineStr">
        <is>
          <t>WR</t>
        </is>
      </c>
      <c r="E622" s="156" t="inlineStr">
        <is>
          <t>Knee</t>
        </is>
      </c>
      <c r="F622" s="156" t="inlineStr">
        <is>
          <t>IR</t>
        </is>
      </c>
    </row>
    <row r="623" ht="15.6" customHeight="1" s="152">
      <c r="A623" s="167">
        <f>B623&amp;C623</f>
        <v/>
      </c>
      <c r="B623" s="156" t="inlineStr">
        <is>
          <t>NYG</t>
        </is>
      </c>
      <c r="C623" s="156" t="inlineStr">
        <is>
          <t>T.J. Moore</t>
        </is>
      </c>
      <c r="D623" s="156" t="inlineStr">
        <is>
          <t>CB</t>
        </is>
      </c>
      <c r="E623" s="156" t="inlineStr">
        <is>
          <t>Upper Leg</t>
        </is>
      </c>
      <c r="F623" s="156" t="inlineStr">
        <is>
          <t>IR</t>
        </is>
      </c>
    </row>
    <row r="624" ht="15.6" customHeight="1" s="152">
      <c r="A624" s="167">
        <f>B624&amp;C624</f>
        <v/>
      </c>
      <c r="B624" s="156" t="inlineStr">
        <is>
          <t>FA</t>
        </is>
      </c>
      <c r="C624" s="156" t="inlineStr">
        <is>
          <t>Tanner Mordecai</t>
        </is>
      </c>
      <c r="D624" s="156" t="inlineStr">
        <is>
          <t>QB</t>
        </is>
      </c>
      <c r="E624" s="156" t="inlineStr">
        <is>
          <t>Undisclosed</t>
        </is>
      </c>
      <c r="F624" s="156" t="inlineStr">
        <is>
          <t>Questionable</t>
        </is>
      </c>
    </row>
    <row r="625" ht="15.6" customHeight="1" s="152">
      <c r="A625" s="167">
        <f>B625&amp;C625</f>
        <v/>
      </c>
      <c r="B625" s="156" t="inlineStr">
        <is>
          <t>NO</t>
        </is>
      </c>
      <c r="C625" s="156" t="inlineStr">
        <is>
          <t>Foster Moreau</t>
        </is>
      </c>
      <c r="D625" s="156" t="inlineStr">
        <is>
          <t>TE</t>
        </is>
      </c>
      <c r="E625" s="156" t="inlineStr">
        <is>
          <t>Knee</t>
        </is>
      </c>
      <c r="F625" s="156" t="inlineStr">
        <is>
          <t>PUP-R</t>
        </is>
      </c>
    </row>
    <row r="626" ht="15.6" customHeight="1" s="152">
      <c r="A626" s="167">
        <f>B626&amp;C626</f>
        <v/>
      </c>
      <c r="B626" s="156" t="inlineStr">
        <is>
          <t>FA</t>
        </is>
      </c>
      <c r="C626" s="156" t="inlineStr">
        <is>
          <t>Jimmy Moreland</t>
        </is>
      </c>
      <c r="D626" s="156" t="inlineStr">
        <is>
          <t>CB</t>
        </is>
      </c>
      <c r="E626" s="156" t="inlineStr">
        <is>
          <t>Suspension</t>
        </is>
      </c>
      <c r="F626" s="156" t="inlineStr">
        <is>
          <t>Out</t>
        </is>
      </c>
    </row>
    <row r="627" ht="15.6" customHeight="1" s="152">
      <c r="A627" s="167">
        <f>B627&amp;C627</f>
        <v/>
      </c>
      <c r="B627" s="156" t="inlineStr">
        <is>
          <t>FA</t>
        </is>
      </c>
      <c r="C627" s="156" t="inlineStr">
        <is>
          <t>Emmanuel Moseley</t>
        </is>
      </c>
      <c r="D627" s="156" t="inlineStr">
        <is>
          <t>CB</t>
        </is>
      </c>
      <c r="E627" s="156" t="inlineStr">
        <is>
          <t>Illness</t>
        </is>
      </c>
      <c r="F627" s="156" t="inlineStr">
        <is>
          <t>Questionable</t>
        </is>
      </c>
    </row>
    <row r="628" ht="15.6" customHeight="1" s="152">
      <c r="A628" s="167">
        <f>B628&amp;C628</f>
        <v/>
      </c>
      <c r="B628" s="156" t="inlineStr">
        <is>
          <t>NE</t>
        </is>
      </c>
      <c r="C628" s="156" t="inlineStr">
        <is>
          <t>Morgan Moses</t>
        </is>
      </c>
      <c r="D628" s="156" t="inlineStr">
        <is>
          <t>OT</t>
        </is>
      </c>
      <c r="E628" s="156" t="inlineStr">
        <is>
          <t>Foot</t>
        </is>
      </c>
      <c r="F628" s="156" t="inlineStr">
        <is>
          <t>Questionable</t>
        </is>
      </c>
    </row>
    <row r="629" ht="15.6" customHeight="1" s="152">
      <c r="A629" s="167">
        <f>B629&amp;C629</f>
        <v/>
      </c>
      <c r="B629" s="156" t="inlineStr">
        <is>
          <t>FA</t>
        </is>
      </c>
      <c r="C629" s="156" t="inlineStr">
        <is>
          <t>C.J. Mosley</t>
        </is>
      </c>
      <c r="D629" s="156" t="inlineStr">
        <is>
          <t>LB</t>
        </is>
      </c>
      <c r="E629" s="156" t="inlineStr">
        <is>
          <t>Neck</t>
        </is>
      </c>
      <c r="F629" s="156" t="inlineStr">
        <is>
          <t>Questionable</t>
        </is>
      </c>
    </row>
    <row r="630" ht="15.6" customHeight="1" s="152">
      <c r="A630" s="167">
        <f>B630&amp;C630</f>
        <v/>
      </c>
      <c r="B630" s="156" t="inlineStr">
        <is>
          <t>FA</t>
        </is>
      </c>
      <c r="C630" s="156" t="inlineStr">
        <is>
          <t>Jordan Mosley</t>
        </is>
      </c>
      <c r="D630" s="156" t="inlineStr">
        <is>
          <t>S</t>
        </is>
      </c>
      <c r="E630" s="156" t="inlineStr">
        <is>
          <t>Undisclosed</t>
        </is>
      </c>
      <c r="F630" s="156" t="inlineStr">
        <is>
          <t>Questionable</t>
        </is>
      </c>
    </row>
    <row r="631" ht="15.6" customHeight="1" s="152">
      <c r="A631" s="167">
        <f>B631&amp;C631</f>
        <v/>
      </c>
      <c r="B631" s="156" t="inlineStr">
        <is>
          <t>FA</t>
        </is>
      </c>
      <c r="C631" s="156" t="inlineStr">
        <is>
          <t>Zack Moss</t>
        </is>
      </c>
      <c r="D631" s="156" t="inlineStr">
        <is>
          <t>RB</t>
        </is>
      </c>
      <c r="E631" s="156" t="inlineStr">
        <is>
          <t>Neck</t>
        </is>
      </c>
      <c r="F631" s="156" t="inlineStr">
        <is>
          <t>Questionable</t>
        </is>
      </c>
    </row>
    <row r="632" ht="15.6" customHeight="1" s="152">
      <c r="A632" s="167">
        <f>B632&amp;C632</f>
        <v/>
      </c>
      <c r="B632" s="156" t="inlineStr">
        <is>
          <t>FA</t>
        </is>
      </c>
      <c r="C632" s="156" t="inlineStr">
        <is>
          <t>T.D. Moultry</t>
        </is>
      </c>
      <c r="D632" s="156" t="inlineStr">
        <is>
          <t>LB</t>
        </is>
      </c>
      <c r="E632" s="156" t="inlineStr">
        <is>
          <t>Undisclosed</t>
        </is>
      </c>
      <c r="F632" s="156" t="inlineStr">
        <is>
          <t>Questionable</t>
        </is>
      </c>
    </row>
    <row r="633" ht="15.6" customHeight="1" s="152">
      <c r="A633" s="167">
        <f>B633&amp;C633</f>
        <v/>
      </c>
      <c r="B633" s="156" t="inlineStr">
        <is>
          <t>NYG</t>
        </is>
      </c>
      <c r="C633" s="156" t="inlineStr">
        <is>
          <t>Darius Muasau</t>
        </is>
      </c>
      <c r="D633" s="156" t="inlineStr">
        <is>
          <t>LB</t>
        </is>
      </c>
      <c r="E633" s="156" t="inlineStr">
        <is>
          <t>Concussion</t>
        </is>
      </c>
      <c r="F633" s="156" t="inlineStr">
        <is>
          <t>Questionable</t>
        </is>
      </c>
    </row>
    <row r="634" ht="15.6" customHeight="1" s="152">
      <c r="A634" s="167">
        <f>B634&amp;C634</f>
        <v/>
      </c>
      <c r="B634" s="156" t="inlineStr">
        <is>
          <t>FA</t>
        </is>
      </c>
      <c r="C634" s="156" t="inlineStr">
        <is>
          <t>Moose Muhammad</t>
        </is>
      </c>
      <c r="D634" s="156" t="inlineStr">
        <is>
          <t>WR</t>
        </is>
      </c>
      <c r="E634" s="156" t="inlineStr">
        <is>
          <t>Undisclosed</t>
        </is>
      </c>
      <c r="F634" s="156" t="inlineStr">
        <is>
          <t>Questionable</t>
        </is>
      </c>
    </row>
    <row r="635" ht="15.6" customHeight="1" s="152">
      <c r="A635" s="167">
        <f>B635&amp;C635</f>
        <v/>
      </c>
      <c r="B635" s="156" t="inlineStr">
        <is>
          <t>TEN</t>
        </is>
      </c>
      <c r="C635" s="156" t="inlineStr">
        <is>
          <t>Kalel Mullings</t>
        </is>
      </c>
      <c r="D635" s="156" t="inlineStr">
        <is>
          <t>RB</t>
        </is>
      </c>
      <c r="E635" s="156" t="inlineStr">
        <is>
          <t>Ankle</t>
        </is>
      </c>
      <c r="F635" s="156" t="inlineStr">
        <is>
          <t>Questionable</t>
        </is>
      </c>
    </row>
    <row r="636" ht="15.6" customHeight="1" s="152">
      <c r="A636" s="167">
        <f>B636&amp;C636</f>
        <v/>
      </c>
      <c r="B636" s="156" t="inlineStr">
        <is>
          <t>FA</t>
        </is>
      </c>
      <c r="C636" s="156" t="inlineStr">
        <is>
          <t>Gabriel Murphy</t>
        </is>
      </c>
      <c r="D636" s="156" t="inlineStr">
        <is>
          <t>LB</t>
        </is>
      </c>
      <c r="E636" s="156" t="inlineStr">
        <is>
          <t>Knee</t>
        </is>
      </c>
      <c r="F636" s="156" t="inlineStr">
        <is>
          <t>Questionable</t>
        </is>
      </c>
    </row>
    <row r="637" ht="15.6" customHeight="1" s="152">
      <c r="A637" s="167">
        <f>B637&amp;C637</f>
        <v/>
      </c>
      <c r="B637" s="156" t="inlineStr">
        <is>
          <t>FA</t>
        </is>
      </c>
      <c r="C637" s="156" t="inlineStr">
        <is>
          <t>Kyle Murphy</t>
        </is>
      </c>
      <c r="D637" s="156" t="inlineStr">
        <is>
          <t>OG</t>
        </is>
      </c>
      <c r="E637" s="156" t="inlineStr">
        <is>
          <t>Ankle</t>
        </is>
      </c>
      <c r="F637" s="156" t="inlineStr">
        <is>
          <t>Questionable</t>
        </is>
      </c>
    </row>
    <row r="638" ht="15.6" customHeight="1" s="152">
      <c r="A638" s="167">
        <f>B638&amp;C638</f>
        <v/>
      </c>
      <c r="B638" s="156" t="inlineStr">
        <is>
          <t>ARI</t>
        </is>
      </c>
      <c r="C638" s="156" t="inlineStr">
        <is>
          <t>Sean Murphy-Bunting</t>
        </is>
      </c>
      <c r="D638" s="156" t="inlineStr">
        <is>
          <t>CB</t>
        </is>
      </c>
      <c r="E638" s="156" t="inlineStr">
        <is>
          <t>Knee</t>
        </is>
      </c>
      <c r="F638" s="156" t="inlineStr">
        <is>
          <t>NFI-R</t>
        </is>
      </c>
    </row>
    <row r="639" ht="15.6" customHeight="1" s="152">
      <c r="A639" s="167">
        <f>B639&amp;C639</f>
        <v/>
      </c>
      <c r="B639" s="156" t="inlineStr">
        <is>
          <t>FA</t>
        </is>
      </c>
      <c r="C639" s="156" t="inlineStr">
        <is>
          <t>Bill Murray</t>
        </is>
      </c>
      <c r="D639" s="156" t="inlineStr">
        <is>
          <t>OG</t>
        </is>
      </c>
      <c r="E639" s="156" t="inlineStr">
        <is>
          <t>Undisclosed</t>
        </is>
      </c>
      <c r="F639" s="156" t="inlineStr">
        <is>
          <t>Questionable</t>
        </is>
      </c>
    </row>
    <row r="640" ht="15.6" customHeight="1" s="152">
      <c r="A640" s="167">
        <f>B640&amp;C640</f>
        <v/>
      </c>
      <c r="B640" s="156" t="inlineStr">
        <is>
          <t>FA</t>
        </is>
      </c>
      <c r="C640" s="156" t="inlineStr">
        <is>
          <t>Chris Murray</t>
        </is>
      </c>
      <c r="D640" s="156" t="inlineStr">
        <is>
          <t>C</t>
        </is>
      </c>
      <c r="E640" s="156" t="inlineStr">
        <is>
          <t>Undisclosed</t>
        </is>
      </c>
      <c r="F640" s="156" t="inlineStr">
        <is>
          <t>Questionable</t>
        </is>
      </c>
    </row>
    <row r="641" ht="15.6" customHeight="1" s="152">
      <c r="A641" s="167">
        <f>B641&amp;C641</f>
        <v/>
      </c>
      <c r="B641" s="156" t="inlineStr">
        <is>
          <t>FA</t>
        </is>
      </c>
      <c r="C641" s="156" t="inlineStr">
        <is>
          <t>Jordan Murray</t>
        </is>
      </c>
      <c r="D641" s="156" t="inlineStr">
        <is>
          <t>TE</t>
        </is>
      </c>
      <c r="E641" s="156" t="inlineStr">
        <is>
          <t>Groin</t>
        </is>
      </c>
      <c r="F641" s="156" t="inlineStr">
        <is>
          <t>Questionable</t>
        </is>
      </c>
    </row>
    <row r="642" ht="15.6" customHeight="1" s="152">
      <c r="A642" s="167">
        <f>B642&amp;C642</f>
        <v/>
      </c>
      <c r="B642" s="156" t="inlineStr">
        <is>
          <t>MIN</t>
        </is>
      </c>
      <c r="C642" s="156" t="inlineStr">
        <is>
          <t>Alexander Musch Williams</t>
        </is>
      </c>
      <c r="D642" s="156" t="inlineStr">
        <is>
          <t>DT</t>
        </is>
      </c>
      <c r="E642" s="156" t="inlineStr">
        <is>
          <t>Undisclosed</t>
        </is>
      </c>
      <c r="F642" s="156" t="inlineStr">
        <is>
          <t>IR</t>
        </is>
      </c>
    </row>
    <row r="643" ht="15.6" customHeight="1" s="152">
      <c r="A643" s="167">
        <f>B643&amp;C643</f>
        <v/>
      </c>
      <c r="B643" s="156" t="inlineStr">
        <is>
          <t>SF</t>
        </is>
      </c>
      <c r="C643" s="156" t="inlineStr">
        <is>
          <t>Malik Mustapha</t>
        </is>
      </c>
      <c r="D643" s="156" t="inlineStr">
        <is>
          <t>S</t>
        </is>
      </c>
      <c r="E643" s="156" t="inlineStr">
        <is>
          <t>Knee - ACL</t>
        </is>
      </c>
      <c r="F643" s="156" t="inlineStr">
        <is>
          <t>PUP-R</t>
        </is>
      </c>
    </row>
    <row r="644" ht="15.6" customHeight="1" s="152">
      <c r="A644" s="167">
        <f>B644&amp;C644</f>
        <v/>
      </c>
      <c r="B644" s="156" t="inlineStr">
        <is>
          <t>FA</t>
        </is>
      </c>
      <c r="C644" s="156" t="inlineStr">
        <is>
          <t>Hamsah Nasirildeen</t>
        </is>
      </c>
      <c r="D644" s="156" t="inlineStr">
        <is>
          <t>LB</t>
        </is>
      </c>
      <c r="E644" s="156" t="inlineStr">
        <is>
          <t>Neck</t>
        </is>
      </c>
      <c r="F644" s="156" t="inlineStr">
        <is>
          <t>Questionable</t>
        </is>
      </c>
    </row>
    <row r="645" ht="15.6" customHeight="1" s="152">
      <c r="A645" s="167">
        <f>B645&amp;C645</f>
        <v/>
      </c>
      <c r="B645" s="156" t="inlineStr">
        <is>
          <t>FA</t>
        </is>
      </c>
      <c r="C645" s="156" t="inlineStr">
        <is>
          <t>Isaac Nauta</t>
        </is>
      </c>
      <c r="D645" s="156" t="inlineStr">
        <is>
          <t>TE</t>
        </is>
      </c>
      <c r="E645" s="156" t="inlineStr">
        <is>
          <t>Undisclosed</t>
        </is>
      </c>
      <c r="F645" s="156" t="inlineStr">
        <is>
          <t>Questionable</t>
        </is>
      </c>
    </row>
    <row r="646" ht="15.6" customHeight="1" s="152">
      <c r="A646" s="167">
        <f>B646&amp;C646</f>
        <v/>
      </c>
      <c r="B646" s="156" t="inlineStr">
        <is>
          <t>SF</t>
        </is>
      </c>
      <c r="C646" s="156" t="inlineStr">
        <is>
          <t>Siran Neal</t>
        </is>
      </c>
      <c r="D646" s="156" t="inlineStr">
        <is>
          <t>S</t>
        </is>
      </c>
      <c r="E646" s="156" t="inlineStr">
        <is>
          <t>Concussion</t>
        </is>
      </c>
      <c r="F646" s="156" t="inlineStr">
        <is>
          <t>Questionable</t>
        </is>
      </c>
    </row>
    <row r="647" ht="15.6" customHeight="1" s="152">
      <c r="A647" s="167">
        <f>B647&amp;C647</f>
        <v/>
      </c>
      <c r="B647" s="156" t="inlineStr">
        <is>
          <t>FA</t>
        </is>
      </c>
      <c r="C647" s="156" t="inlineStr">
        <is>
          <t>Sharrod Neasman</t>
        </is>
      </c>
      <c r="D647" s="156" t="inlineStr">
        <is>
          <t>S</t>
        </is>
      </c>
      <c r="E647" s="156" t="inlineStr">
        <is>
          <t>Undisclosed</t>
        </is>
      </c>
      <c r="F647" s="156" t="inlineStr">
        <is>
          <t>Questionable</t>
        </is>
      </c>
    </row>
    <row r="648" ht="15.6" customHeight="1" s="152">
      <c r="A648" s="167">
        <f>B648&amp;C648</f>
        <v/>
      </c>
      <c r="B648" s="156" t="inlineStr">
        <is>
          <t>ATL</t>
        </is>
      </c>
      <c r="C648" s="156" t="inlineStr">
        <is>
          <t>Jack Nelson</t>
        </is>
      </c>
      <c r="D648" s="156" t="inlineStr">
        <is>
          <t>OT</t>
        </is>
      </c>
      <c r="E648" s="156" t="inlineStr">
        <is>
          <t>Calf</t>
        </is>
      </c>
      <c r="F648" s="156" t="inlineStr">
        <is>
          <t>Questionable</t>
        </is>
      </c>
    </row>
    <row r="649" ht="15.6" customHeight="1" s="152">
      <c r="A649" s="167">
        <f>B649&amp;C649</f>
        <v/>
      </c>
      <c r="B649" s="156" t="inlineStr">
        <is>
          <t>MIN</t>
        </is>
      </c>
      <c r="C649" s="156" t="inlineStr">
        <is>
          <t>Matt Nelson</t>
        </is>
      </c>
      <c r="D649" s="156" t="inlineStr">
        <is>
          <t>OT</t>
        </is>
      </c>
      <c r="E649" s="156" t="inlineStr">
        <is>
          <t>Undisclosed</t>
        </is>
      </c>
      <c r="F649" s="156" t="inlineStr">
        <is>
          <t>IR</t>
        </is>
      </c>
    </row>
    <row r="650" ht="15.6" customHeight="1" s="152">
      <c r="A650" s="167">
        <f>B650&amp;C650</f>
        <v/>
      </c>
      <c r="B650" s="156" t="inlineStr">
        <is>
          <t>FA</t>
        </is>
      </c>
      <c r="C650" s="156" t="inlineStr">
        <is>
          <t>Nick Nelson</t>
        </is>
      </c>
      <c r="D650" s="156" t="inlineStr">
        <is>
          <t>CB</t>
        </is>
      </c>
      <c r="E650" s="156" t="inlineStr">
        <is>
          <t>Undisclosed</t>
        </is>
      </c>
      <c r="F650" s="156" t="inlineStr">
        <is>
          <t>Questionable</t>
        </is>
      </c>
    </row>
    <row r="651" ht="15.6" customHeight="1" s="152">
      <c r="A651" s="167">
        <f>B651&amp;C651</f>
        <v/>
      </c>
      <c r="B651" s="156" t="inlineStr">
        <is>
          <t>WAS</t>
        </is>
      </c>
      <c r="C651" s="156" t="inlineStr">
        <is>
          <t>Lucas Niang</t>
        </is>
      </c>
      <c r="D651" s="156" t="inlineStr">
        <is>
          <t>OT</t>
        </is>
      </c>
      <c r="E651" s="156" t="inlineStr">
        <is>
          <t>Knee - ACL</t>
        </is>
      </c>
      <c r="F651" s="156" t="inlineStr">
        <is>
          <t>IR</t>
        </is>
      </c>
    </row>
    <row r="652" ht="15.6" customHeight="1" s="152">
      <c r="A652" s="167">
        <f>B652&amp;C652</f>
        <v/>
      </c>
      <c r="B652" s="156" t="inlineStr">
        <is>
          <t>ARI</t>
        </is>
      </c>
      <c r="C652" s="156" t="inlineStr">
        <is>
          <t>Bilal Nichols</t>
        </is>
      </c>
      <c r="D652" s="156" t="inlineStr">
        <is>
          <t>DT</t>
        </is>
      </c>
      <c r="E652" s="156" t="inlineStr">
        <is>
          <t>Neck</t>
        </is>
      </c>
      <c r="F652" s="156" t="inlineStr">
        <is>
          <t>PUP-R</t>
        </is>
      </c>
    </row>
    <row r="653" ht="15.6" customHeight="1" s="152">
      <c r="A653" s="167">
        <f>B653&amp;C653</f>
        <v/>
      </c>
      <c r="B653" s="156" t="inlineStr">
        <is>
          <t>FA</t>
        </is>
      </c>
      <c r="C653" s="156" t="inlineStr">
        <is>
          <t>Hardy Nickerson</t>
        </is>
      </c>
      <c r="D653" s="156" t="inlineStr">
        <is>
          <t>LB</t>
        </is>
      </c>
      <c r="E653" s="156" t="inlineStr">
        <is>
          <t>Concussion</t>
        </is>
      </c>
      <c r="F653" s="156" t="inlineStr">
        <is>
          <t>Questionable</t>
        </is>
      </c>
    </row>
    <row r="654" ht="15.6" customHeight="1" s="152">
      <c r="A654" s="167">
        <f>B654&amp;C654</f>
        <v/>
      </c>
      <c r="B654" s="156" t="inlineStr">
        <is>
          <t>FA</t>
        </is>
      </c>
      <c r="C654" s="156" t="inlineStr">
        <is>
          <t>Elijah Nkansah</t>
        </is>
      </c>
      <c r="D654" s="156" t="inlineStr">
        <is>
          <t>OT</t>
        </is>
      </c>
      <c r="E654" s="156" t="inlineStr">
        <is>
          <t>Undisclosed</t>
        </is>
      </c>
      <c r="F654" s="156" t="inlineStr">
        <is>
          <t>Questionable</t>
        </is>
      </c>
    </row>
    <row r="655" ht="15.6" customHeight="1" s="152">
      <c r="A655" s="167">
        <f>B655&amp;C655</f>
        <v/>
      </c>
      <c r="B655" s="156" t="inlineStr">
        <is>
          <t>FA</t>
        </is>
      </c>
      <c r="C655" s="156" t="inlineStr">
        <is>
          <t>Desmond Noel</t>
        </is>
      </c>
      <c r="D655" s="156" t="inlineStr">
        <is>
          <t>OG</t>
        </is>
      </c>
      <c r="E655" s="156" t="inlineStr">
        <is>
          <t>Undisclosed</t>
        </is>
      </c>
      <c r="F655" s="156" t="inlineStr">
        <is>
          <t>Questionable</t>
        </is>
      </c>
    </row>
    <row r="656" ht="15.6" customHeight="1" s="152">
      <c r="A656" s="167">
        <f>B656&amp;C656</f>
        <v/>
      </c>
      <c r="B656" s="156" t="inlineStr">
        <is>
          <t>ARI</t>
        </is>
      </c>
      <c r="C656" s="156" t="inlineStr">
        <is>
          <t>Walter Nolen</t>
        </is>
      </c>
      <c r="D656" s="156" t="inlineStr">
        <is>
          <t>DT</t>
        </is>
      </c>
      <c r="E656" s="156" t="inlineStr">
        <is>
          <t>Calf</t>
        </is>
      </c>
      <c r="F656" s="156" t="inlineStr">
        <is>
          <t>PUP-R</t>
        </is>
      </c>
    </row>
    <row r="657" ht="15.6" customHeight="1" s="152">
      <c r="A657" s="167">
        <f>B657&amp;C657</f>
        <v/>
      </c>
      <c r="B657" s="156" t="inlineStr">
        <is>
          <t>FA</t>
        </is>
      </c>
      <c r="C657" s="156" t="inlineStr">
        <is>
          <t>Quinn Nordin</t>
        </is>
      </c>
      <c r="D657" s="156" t="inlineStr">
        <is>
          <t>K</t>
        </is>
      </c>
      <c r="E657" s="156" t="inlineStr">
        <is>
          <t>Undisclosed</t>
        </is>
      </c>
      <c r="F657" s="156" t="inlineStr">
        <is>
          <t>Questionable</t>
        </is>
      </c>
    </row>
    <row r="658" ht="15.6" customHeight="1" s="152">
      <c r="A658" s="167">
        <f>B658&amp;C658</f>
        <v/>
      </c>
      <c r="B658" s="156" t="inlineStr">
        <is>
          <t>FA</t>
        </is>
      </c>
      <c r="C658" s="156" t="inlineStr">
        <is>
          <t>Jared Norris</t>
        </is>
      </c>
      <c r="D658" s="156" t="inlineStr">
        <is>
          <t>LB</t>
        </is>
      </c>
      <c r="E658" s="156" t="inlineStr">
        <is>
          <t>Shoulder</t>
        </is>
      </c>
      <c r="F658" s="156" t="inlineStr">
        <is>
          <t>Questionable</t>
        </is>
      </c>
    </row>
    <row r="659" ht="15.6" customHeight="1" s="152">
      <c r="A659" s="167">
        <f>B659&amp;C659</f>
        <v/>
      </c>
      <c r="B659" s="156" t="inlineStr">
        <is>
          <t>FA</t>
        </is>
      </c>
      <c r="C659" s="156" t="inlineStr">
        <is>
          <t>Morice Norris</t>
        </is>
      </c>
      <c r="D659" s="156" t="inlineStr">
        <is>
          <t>S</t>
        </is>
      </c>
      <c r="E659" s="156" t="inlineStr">
        <is>
          <t>Concussion</t>
        </is>
      </c>
      <c r="F659" s="156" t="inlineStr">
        <is>
          <t>Questionable</t>
        </is>
      </c>
    </row>
    <row r="660" ht="15.6" customHeight="1" s="152">
      <c r="A660" s="167">
        <f>B660&amp;C660</f>
        <v/>
      </c>
      <c r="B660" s="156" t="inlineStr">
        <is>
          <t>ATL</t>
        </is>
      </c>
      <c r="C660" s="156" t="inlineStr">
        <is>
          <t>Storm Norton</t>
        </is>
      </c>
      <c r="D660" s="156" t="inlineStr">
        <is>
          <t>OT</t>
        </is>
      </c>
      <c r="E660" s="156" t="inlineStr">
        <is>
          <t>Ankle</t>
        </is>
      </c>
      <c r="F660" s="156" t="inlineStr">
        <is>
          <t>IR-R</t>
        </is>
      </c>
    </row>
    <row r="661" ht="15.6" customHeight="1" s="152">
      <c r="A661" s="167">
        <f>B661&amp;C661</f>
        <v/>
      </c>
      <c r="B661" s="156" t="inlineStr">
        <is>
          <t>DET</t>
        </is>
      </c>
      <c r="C661" s="156" t="inlineStr">
        <is>
          <t>Trevor Nowaske</t>
        </is>
      </c>
      <c r="D661" s="156" t="inlineStr">
        <is>
          <t>LB</t>
        </is>
      </c>
      <c r="E661" s="156" t="inlineStr">
        <is>
          <t>Elbow</t>
        </is>
      </c>
      <c r="F661" s="156" t="inlineStr">
        <is>
          <t>Questionable</t>
        </is>
      </c>
    </row>
    <row r="662" ht="15.6" customHeight="1" s="152">
      <c r="A662" s="167">
        <f>B662&amp;C662</f>
        <v/>
      </c>
      <c r="B662" s="156" t="inlineStr">
        <is>
          <t>NYG</t>
        </is>
      </c>
      <c r="C662" s="156" t="inlineStr">
        <is>
          <t>Rakeem Nunez-Roches</t>
        </is>
      </c>
      <c r="D662" s="156" t="inlineStr">
        <is>
          <t>DT</t>
        </is>
      </c>
      <c r="E662" s="156" t="inlineStr">
        <is>
          <t>Foot</t>
        </is>
      </c>
      <c r="F662" s="156" t="inlineStr">
        <is>
          <t>Questionable</t>
        </is>
      </c>
    </row>
    <row r="663" ht="15.6" customHeight="1" s="152">
      <c r="A663" s="167">
        <f>B663&amp;C663</f>
        <v/>
      </c>
      <c r="B663" s="156" t="inlineStr">
        <is>
          <t>NYJ</t>
        </is>
      </c>
      <c r="C663" s="156" t="inlineStr">
        <is>
          <t>Kene Nwangwu</t>
        </is>
      </c>
      <c r="D663" s="156" t="inlineStr">
        <is>
          <t>RB</t>
        </is>
      </c>
      <c r="E663" s="156" t="inlineStr">
        <is>
          <t>Hamstring</t>
        </is>
      </c>
      <c r="F663" s="156" t="inlineStr">
        <is>
          <t>Questionable</t>
        </is>
      </c>
    </row>
    <row r="664" ht="15.6" customHeight="1" s="152">
      <c r="A664" s="167">
        <f>B664&amp;C664</f>
        <v/>
      </c>
      <c r="B664" s="156" t="inlineStr">
        <is>
          <t>LV</t>
        </is>
      </c>
      <c r="C664" s="156" t="inlineStr">
        <is>
          <t>Aidan O'Connell</t>
        </is>
      </c>
      <c r="D664" s="156" t="inlineStr">
        <is>
          <t>QB</t>
        </is>
      </c>
      <c r="E664" s="156" t="inlineStr">
        <is>
          <t>Wrist</t>
        </is>
      </c>
      <c r="F664" s="156" t="inlineStr">
        <is>
          <t>IR</t>
        </is>
      </c>
    </row>
    <row r="665" ht="15.6" customHeight="1" s="152">
      <c r="A665" s="167">
        <f>B665&amp;C665</f>
        <v/>
      </c>
      <c r="B665" s="156" t="inlineStr">
        <is>
          <t>FA</t>
        </is>
      </c>
      <c r="C665" s="156" t="inlineStr">
        <is>
          <t>Nick O'Leary</t>
        </is>
      </c>
      <c r="D665" s="156" t="inlineStr">
        <is>
          <t>TE</t>
        </is>
      </c>
      <c r="E665" s="156" t="inlineStr">
        <is>
          <t>Chest</t>
        </is>
      </c>
      <c r="F665" s="156" t="inlineStr">
        <is>
          <t>Questionable</t>
        </is>
      </c>
    </row>
    <row r="666" ht="15.6" customHeight="1" s="152">
      <c r="A666" s="167">
        <f>B666&amp;C666</f>
        <v/>
      </c>
      <c r="B666" s="156" t="inlineStr">
        <is>
          <t>FA</t>
        </is>
      </c>
      <c r="C666" s="156" t="inlineStr">
        <is>
          <t>Leon O'Neal</t>
        </is>
      </c>
      <c r="D666" s="156" t="inlineStr">
        <is>
          <t>S</t>
        </is>
      </c>
      <c r="E666" s="156" t="inlineStr">
        <is>
          <t>Undisclosed</t>
        </is>
      </c>
      <c r="F666" s="156" t="inlineStr">
        <is>
          <t>Questionable</t>
        </is>
      </c>
    </row>
    <row r="667" ht="15.6" customHeight="1" s="152">
      <c r="A667" s="167">
        <f>B667&amp;C667</f>
        <v/>
      </c>
      <c r="B667" s="156" t="inlineStr">
        <is>
          <t>FA</t>
        </is>
      </c>
      <c r="C667" s="156" t="inlineStr">
        <is>
          <t>Raiqwon O'Neal</t>
        </is>
      </c>
      <c r="D667" s="156" t="inlineStr">
        <is>
          <t>OG</t>
        </is>
      </c>
      <c r="E667" s="156" t="inlineStr">
        <is>
          <t>Undisclosed</t>
        </is>
      </c>
      <c r="F667" s="156" t="inlineStr">
        <is>
          <t>Questionable</t>
        </is>
      </c>
    </row>
    <row r="668" ht="15.6" customHeight="1" s="152">
      <c r="A668" s="167">
        <f>B668&amp;C668</f>
        <v/>
      </c>
      <c r="B668" s="156" t="inlineStr">
        <is>
          <t>FA</t>
        </is>
      </c>
      <c r="C668" s="156" t="inlineStr">
        <is>
          <t>Ifeadi Odenigbo</t>
        </is>
      </c>
      <c r="D668" s="156" t="inlineStr">
        <is>
          <t>DE</t>
        </is>
      </c>
      <c r="E668" s="156" t="inlineStr">
        <is>
          <t>Undisclosed</t>
        </is>
      </c>
      <c r="F668" s="156" t="inlineStr">
        <is>
          <t>Questionable</t>
        </is>
      </c>
    </row>
    <row r="669" ht="15.6" customHeight="1" s="152">
      <c r="A669" s="167">
        <f>B669&amp;C669</f>
        <v/>
      </c>
      <c r="B669" s="156" t="inlineStr">
        <is>
          <t>FA</t>
        </is>
      </c>
      <c r="C669" s="156" t="inlineStr">
        <is>
          <t>Chris Odom</t>
        </is>
      </c>
      <c r="D669" s="156" t="inlineStr">
        <is>
          <t>DE</t>
        </is>
      </c>
      <c r="E669" s="156" t="inlineStr">
        <is>
          <t>Knee - ACL</t>
        </is>
      </c>
      <c r="F669" s="156" t="inlineStr">
        <is>
          <t>Questionable</t>
        </is>
      </c>
    </row>
    <row r="670" ht="15.6" customHeight="1" s="152">
      <c r="A670" s="167">
        <f>B670&amp;C670</f>
        <v/>
      </c>
      <c r="B670" s="156" t="inlineStr">
        <is>
          <t>FA</t>
        </is>
      </c>
      <c r="C670" s="156" t="inlineStr">
        <is>
          <t>George Odum</t>
        </is>
      </c>
      <c r="D670" s="156" t="inlineStr">
        <is>
          <t>S</t>
        </is>
      </c>
      <c r="E670" s="156" t="inlineStr">
        <is>
          <t>Elbow</t>
        </is>
      </c>
      <c r="F670" s="156" t="inlineStr">
        <is>
          <t>Questionable</t>
        </is>
      </c>
    </row>
    <row r="671" ht="15.6" customHeight="1" s="152">
      <c r="A671" s="167">
        <f>B671&amp;C671</f>
        <v/>
      </c>
      <c r="B671" s="156" t="inlineStr">
        <is>
          <t>CHI</t>
        </is>
      </c>
      <c r="C671" s="156" t="inlineStr">
        <is>
          <t>Amen Ogbongbemiga</t>
        </is>
      </c>
      <c r="D671" s="156" t="inlineStr">
        <is>
          <t>LB</t>
        </is>
      </c>
      <c r="E671" s="156" t="inlineStr">
        <is>
          <t>Undisclosed</t>
        </is>
      </c>
      <c r="F671" s="156" t="inlineStr">
        <is>
          <t>IR-R</t>
        </is>
      </c>
    </row>
    <row r="672" ht="15.6" customHeight="1" s="152">
      <c r="A672" s="167">
        <f>B672&amp;C672</f>
        <v/>
      </c>
      <c r="B672" s="156" t="inlineStr">
        <is>
          <t>BUF</t>
        </is>
      </c>
      <c r="C672" s="156" t="inlineStr">
        <is>
          <t>Larry Ogunjobi</t>
        </is>
      </c>
      <c r="D672" s="156" t="inlineStr">
        <is>
          <t>DT</t>
        </is>
      </c>
      <c r="E672" s="156" t="inlineStr">
        <is>
          <t>Suspension</t>
        </is>
      </c>
      <c r="F672" s="156" t="inlineStr">
        <is>
          <t>Reserve-Sus</t>
        </is>
      </c>
    </row>
    <row r="673" ht="15.6" customHeight="1" s="152">
      <c r="A673" s="167">
        <f>B673&amp;C673</f>
        <v/>
      </c>
      <c r="B673" s="156" t="inlineStr">
        <is>
          <t>ARI</t>
        </is>
      </c>
      <c r="C673" s="156" t="inlineStr">
        <is>
          <t>BJ Ojulari</t>
        </is>
      </c>
      <c r="D673" s="156" t="inlineStr">
        <is>
          <t>DE</t>
        </is>
      </c>
      <c r="E673" s="156" t="inlineStr">
        <is>
          <t>Knee - ACL</t>
        </is>
      </c>
      <c r="F673" s="156" t="inlineStr">
        <is>
          <t>PUP-R</t>
        </is>
      </c>
    </row>
    <row r="674" ht="15.6" customHeight="1" s="152">
      <c r="A674" s="167">
        <f>B674&amp;C674</f>
        <v/>
      </c>
      <c r="B674" s="156" t="inlineStr">
        <is>
          <t>MIN</t>
        </is>
      </c>
      <c r="C674" s="156" t="inlineStr">
        <is>
          <t>Jeff Okudah</t>
        </is>
      </c>
      <c r="D674" s="156" t="inlineStr">
        <is>
          <t>CB</t>
        </is>
      </c>
      <c r="E674" s="156" t="inlineStr">
        <is>
          <t>Concussion</t>
        </is>
      </c>
      <c r="F674" s="156" t="inlineStr">
        <is>
          <t>Questionable</t>
        </is>
      </c>
    </row>
    <row r="675" ht="15.6" customHeight="1" s="152">
      <c r="A675" s="167">
        <f>B675&amp;C675</f>
        <v/>
      </c>
      <c r="B675" s="156" t="inlineStr">
        <is>
          <t>LAC</t>
        </is>
      </c>
      <c r="C675" s="156" t="inlineStr">
        <is>
          <t>Jordan Oladokun</t>
        </is>
      </c>
      <c r="D675" s="156" t="inlineStr">
        <is>
          <t>CB</t>
        </is>
      </c>
      <c r="E675" s="156" t="inlineStr">
        <is>
          <t>Undisclosed</t>
        </is>
      </c>
      <c r="F675" s="156" t="inlineStr">
        <is>
          <t>IR</t>
        </is>
      </c>
    </row>
    <row r="676" ht="15.6" customHeight="1" s="152">
      <c r="A676" s="167">
        <f>B676&amp;C676</f>
        <v/>
      </c>
      <c r="B676" s="156" t="inlineStr">
        <is>
          <t>TEN</t>
        </is>
      </c>
      <c r="C676" s="156" t="inlineStr">
        <is>
          <t>Bryce Oliver</t>
        </is>
      </c>
      <c r="D676" s="156" t="inlineStr">
        <is>
          <t>WR</t>
        </is>
      </c>
      <c r="E676" s="156" t="inlineStr">
        <is>
          <t>Knee</t>
        </is>
      </c>
      <c r="F676" s="156" t="inlineStr">
        <is>
          <t>Questionable</t>
        </is>
      </c>
    </row>
    <row r="677" ht="15.6" customHeight="1" s="152">
      <c r="A677" s="167">
        <f>B677&amp;C677</f>
        <v/>
      </c>
      <c r="B677" s="156" t="inlineStr">
        <is>
          <t>GB</t>
        </is>
      </c>
      <c r="C677" s="156" t="inlineStr">
        <is>
          <t>Collin Oliver</t>
        </is>
      </c>
      <c r="D677" s="156" t="inlineStr">
        <is>
          <t>DE</t>
        </is>
      </c>
      <c r="E677" s="156" t="inlineStr">
        <is>
          <t>Hamstring</t>
        </is>
      </c>
      <c r="F677" s="156" t="inlineStr">
        <is>
          <t>PUP-R</t>
        </is>
      </c>
    </row>
    <row r="678" ht="15.6" customHeight="1" s="152">
      <c r="A678" s="167">
        <f>B678&amp;C678</f>
        <v/>
      </c>
      <c r="B678" s="156" t="inlineStr">
        <is>
          <t>BUF</t>
        </is>
      </c>
      <c r="C678" s="156" t="inlineStr">
        <is>
          <t>Ed Oliver</t>
        </is>
      </c>
      <c r="D678" s="156" t="inlineStr">
        <is>
          <t>DT</t>
        </is>
      </c>
      <c r="E678" s="156" t="inlineStr">
        <is>
          <t>Ankle</t>
        </is>
      </c>
      <c r="F678" s="156" t="inlineStr">
        <is>
          <t>Out</t>
        </is>
      </c>
    </row>
    <row r="679" ht="15.6" customHeight="1" s="152">
      <c r="A679" s="167">
        <f>B679&amp;C679</f>
        <v/>
      </c>
      <c r="B679" s="156" t="inlineStr">
        <is>
          <t>MIN</t>
        </is>
      </c>
      <c r="C679" s="156" t="inlineStr">
        <is>
          <t>Josh Oliver</t>
        </is>
      </c>
      <c r="D679" s="156" t="inlineStr">
        <is>
          <t>TE</t>
        </is>
      </c>
      <c r="E679" s="156" t="inlineStr">
        <is>
          <t>Ankle</t>
        </is>
      </c>
      <c r="F679" s="156" t="inlineStr">
        <is>
          <t>Questionable</t>
        </is>
      </c>
    </row>
    <row r="680" ht="15.6" customHeight="1" s="152">
      <c r="A680" s="167">
        <f>B680&amp;C680</f>
        <v/>
      </c>
      <c r="B680" s="156" t="inlineStr">
        <is>
          <t>FA</t>
        </is>
      </c>
      <c r="C680" s="156" t="inlineStr">
        <is>
          <t>Sewo Olonilua</t>
        </is>
      </c>
      <c r="D680" s="156" t="inlineStr">
        <is>
          <t>FB</t>
        </is>
      </c>
      <c r="E680" s="156" t="inlineStr">
        <is>
          <t>Neck</t>
        </is>
      </c>
      <c r="F680" s="156" t="inlineStr">
        <is>
          <t>Questionable</t>
        </is>
      </c>
    </row>
    <row r="681" ht="15.6" customHeight="1" s="152">
      <c r="A681" s="167">
        <f>B681&amp;C681</f>
        <v/>
      </c>
      <c r="B681" s="156" t="inlineStr">
        <is>
          <t>NYG</t>
        </is>
      </c>
      <c r="C681" s="156" t="inlineStr">
        <is>
          <t>Gunner Olszewski</t>
        </is>
      </c>
      <c r="D681" s="156" t="inlineStr">
        <is>
          <t>WR</t>
        </is>
      </c>
      <c r="E681" s="156" t="inlineStr">
        <is>
          <t>Back</t>
        </is>
      </c>
      <c r="F681" s="156" t="inlineStr">
        <is>
          <t>Questionable</t>
        </is>
      </c>
    </row>
    <row r="682" ht="15.6" customHeight="1" s="152">
      <c r="A682" s="167">
        <f>B682&amp;C682</f>
        <v/>
      </c>
      <c r="B682" s="156" t="inlineStr">
        <is>
          <t>DET</t>
        </is>
      </c>
      <c r="C682" s="156" t="inlineStr">
        <is>
          <t>Levi Onwuzurike</t>
        </is>
      </c>
      <c r="D682" s="156" t="inlineStr">
        <is>
          <t>DT</t>
        </is>
      </c>
      <c r="E682" s="156" t="inlineStr">
        <is>
          <t>Knee - ACL</t>
        </is>
      </c>
      <c r="F682" s="156" t="inlineStr">
        <is>
          <t>PUP-R</t>
        </is>
      </c>
    </row>
    <row r="683" ht="15.6" customHeight="1" s="152">
      <c r="A683" s="167">
        <f>B683&amp;C683</f>
        <v/>
      </c>
      <c r="B683" s="156" t="inlineStr">
        <is>
          <t>TEN</t>
        </is>
      </c>
      <c r="C683" s="156" t="inlineStr">
        <is>
          <t>Anfernee Orji</t>
        </is>
      </c>
      <c r="D683" s="156" t="inlineStr">
        <is>
          <t>LB</t>
        </is>
      </c>
      <c r="E683" s="156" t="inlineStr">
        <is>
          <t>Knee - ACL</t>
        </is>
      </c>
      <c r="F683" s="156" t="inlineStr">
        <is>
          <t>IR</t>
        </is>
      </c>
    </row>
    <row r="684" ht="15.6" customHeight="1" s="152">
      <c r="A684" s="167">
        <f>B684&amp;C684</f>
        <v/>
      </c>
      <c r="B684" s="156" t="inlineStr">
        <is>
          <t>CLE</t>
        </is>
      </c>
      <c r="C684" s="156" t="inlineStr">
        <is>
          <t>Justin Osborne</t>
        </is>
      </c>
      <c r="D684" s="156" t="inlineStr">
        <is>
          <t>C</t>
        </is>
      </c>
      <c r="E684" s="156" t="inlineStr">
        <is>
          <t>Undisclosed</t>
        </is>
      </c>
      <c r="F684" s="156" t="inlineStr">
        <is>
          <t>IR</t>
        </is>
      </c>
    </row>
    <row r="685" ht="15.6" customHeight="1" s="152">
      <c r="A685" s="167">
        <f>B685&amp;C685</f>
        <v/>
      </c>
      <c r="B685" s="156" t="inlineStr">
        <is>
          <t>FA</t>
        </is>
      </c>
      <c r="C685" s="156" t="inlineStr">
        <is>
          <t>Joe Ostman</t>
        </is>
      </c>
      <c r="D685" s="156" t="inlineStr">
        <is>
          <t>DE</t>
        </is>
      </c>
      <c r="E685" s="156" t="inlineStr">
        <is>
          <t>Undisclosed</t>
        </is>
      </c>
      <c r="F685" s="156" t="inlineStr">
        <is>
          <t>Questionable</t>
        </is>
      </c>
    </row>
    <row r="686" ht="15.6" customHeight="1" s="152">
      <c r="A686" s="167">
        <f>B686&amp;C686</f>
        <v/>
      </c>
      <c r="B686" s="156" t="inlineStr">
        <is>
          <t>DAL</t>
        </is>
      </c>
      <c r="C686" s="156" t="inlineStr">
        <is>
          <t>DeMarvion Overshown</t>
        </is>
      </c>
      <c r="D686" s="156" t="inlineStr">
        <is>
          <t>LB</t>
        </is>
      </c>
      <c r="E686" s="156" t="inlineStr">
        <is>
          <t>Knee - ACL + MCL</t>
        </is>
      </c>
      <c r="F686" s="156" t="inlineStr">
        <is>
          <t>PUP-R</t>
        </is>
      </c>
    </row>
    <row r="687" ht="15.6" customHeight="1" s="152">
      <c r="A687" s="167">
        <f>B687&amp;C687</f>
        <v/>
      </c>
      <c r="B687" s="156" t="inlineStr">
        <is>
          <t>FA</t>
        </is>
      </c>
      <c r="C687" s="156" t="inlineStr">
        <is>
          <t>Tanner Owen</t>
        </is>
      </c>
      <c r="D687" s="156" t="inlineStr">
        <is>
          <t>OT</t>
        </is>
      </c>
      <c r="E687" s="156" t="inlineStr">
        <is>
          <t>Illness</t>
        </is>
      </c>
      <c r="F687" s="156" t="inlineStr">
        <is>
          <t>Questionable</t>
        </is>
      </c>
    </row>
    <row r="688" ht="15.6" customHeight="1" s="152">
      <c r="A688" s="167">
        <f>B688&amp;C688</f>
        <v/>
      </c>
      <c r="B688" s="156" t="inlineStr">
        <is>
          <t>BUF</t>
        </is>
      </c>
      <c r="C688" s="156" t="inlineStr">
        <is>
          <t>Wande Owens</t>
        </is>
      </c>
      <c r="D688" s="156" t="inlineStr">
        <is>
          <t>S</t>
        </is>
      </c>
      <c r="E688" s="156" t="inlineStr">
        <is>
          <t>Undisclosed</t>
        </is>
      </c>
      <c r="F688" s="156" t="inlineStr">
        <is>
          <t>IR</t>
        </is>
      </c>
    </row>
    <row r="689" ht="15.6" customHeight="1" s="152">
      <c r="A689" s="167">
        <f>B689&amp;C689</f>
        <v/>
      </c>
      <c r="B689" s="156" t="inlineStr">
        <is>
          <t>CLE</t>
        </is>
      </c>
      <c r="C689" s="156" t="inlineStr">
        <is>
          <t>Jeremiah Owusu-Koramoah</t>
        </is>
      </c>
      <c r="D689" s="156" t="inlineStr">
        <is>
          <t>LB</t>
        </is>
      </c>
      <c r="E689" s="156" t="inlineStr">
        <is>
          <t>Neck</t>
        </is>
      </c>
      <c r="F689" s="156" t="inlineStr">
        <is>
          <t>PUP-R</t>
        </is>
      </c>
    </row>
    <row r="690" ht="15.6" customHeight="1" s="152">
      <c r="A690" s="167">
        <f>B690&amp;C690</f>
        <v/>
      </c>
      <c r="B690" s="156" t="inlineStr">
        <is>
          <t>NO</t>
        </is>
      </c>
      <c r="C690" s="156" t="inlineStr">
        <is>
          <t>Trey Palmer</t>
        </is>
      </c>
      <c r="D690" s="156" t="inlineStr">
        <is>
          <t>WR</t>
        </is>
      </c>
      <c r="E690" s="156" t="inlineStr">
        <is>
          <t>Hamstring</t>
        </is>
      </c>
      <c r="F690" s="156" t="inlineStr">
        <is>
          <t>Questionable</t>
        </is>
      </c>
    </row>
    <row r="691" ht="15.6" customHeight="1" s="152">
      <c r="A691" s="167">
        <f>B691&amp;C691</f>
        <v/>
      </c>
      <c r="B691" s="156" t="inlineStr">
        <is>
          <t>FA</t>
        </is>
      </c>
      <c r="C691" s="156" t="inlineStr">
        <is>
          <t>Eli Pancol</t>
        </is>
      </c>
      <c r="D691" s="156" t="inlineStr">
        <is>
          <t>WR</t>
        </is>
      </c>
      <c r="E691" s="156" t="inlineStr">
        <is>
          <t>Undisclosed</t>
        </is>
      </c>
      <c r="F691" s="156" t="inlineStr">
        <is>
          <t>Questionable</t>
        </is>
      </c>
    </row>
    <row r="692" ht="15.6" customHeight="1" s="152">
      <c r="A692" s="167">
        <f>B692&amp;C692</f>
        <v/>
      </c>
      <c r="B692" s="156" t="inlineStr">
        <is>
          <t>FA</t>
        </is>
      </c>
      <c r="C692" s="156" t="inlineStr">
        <is>
          <t>Andrew Parchment</t>
        </is>
      </c>
      <c r="D692" s="156" t="inlineStr">
        <is>
          <t>WR</t>
        </is>
      </c>
      <c r="E692" s="156" t="inlineStr">
        <is>
          <t>Undisclosed</t>
        </is>
      </c>
      <c r="F692" s="156" t="inlineStr">
        <is>
          <t>Questionable</t>
        </is>
      </c>
    </row>
    <row r="693" ht="15.6" customHeight="1" s="152">
      <c r="A693" s="167">
        <f>B693&amp;C693</f>
        <v/>
      </c>
      <c r="B693" s="156" t="inlineStr">
        <is>
          <t>PIT</t>
        </is>
      </c>
      <c r="C693" s="156" t="inlineStr">
        <is>
          <t>Donald Parham</t>
        </is>
      </c>
      <c r="D693" s="156" t="inlineStr">
        <is>
          <t>TE</t>
        </is>
      </c>
      <c r="E693" s="156" t="inlineStr">
        <is>
          <t>Achilles</t>
        </is>
      </c>
      <c r="F693" s="156" t="inlineStr">
        <is>
          <t>IR</t>
        </is>
      </c>
    </row>
    <row r="694" ht="15.6" customHeight="1" s="152">
      <c r="A694" s="167">
        <f>B694&amp;C694</f>
        <v/>
      </c>
      <c r="B694" s="156" t="inlineStr">
        <is>
          <t>LAR</t>
        </is>
      </c>
      <c r="C694" s="156" t="inlineStr">
        <is>
          <t>Colby Parkinson</t>
        </is>
      </c>
      <c r="D694" s="156" t="inlineStr">
        <is>
          <t>TE</t>
        </is>
      </c>
      <c r="E694" s="156" t="inlineStr">
        <is>
          <t>Shoulder - AC Joint</t>
        </is>
      </c>
      <c r="F694" s="156" t="inlineStr">
        <is>
          <t>Questionable</t>
        </is>
      </c>
    </row>
    <row r="695" ht="15.6" customHeight="1" s="152">
      <c r="A695" s="167">
        <f>B695&amp;C695</f>
        <v/>
      </c>
      <c r="B695" s="156" t="inlineStr">
        <is>
          <t>FA</t>
        </is>
      </c>
      <c r="C695" s="156" t="inlineStr">
        <is>
          <t>Roman Parodie</t>
        </is>
      </c>
      <c r="D695" s="156" t="inlineStr">
        <is>
          <t>CB</t>
        </is>
      </c>
      <c r="E695" s="156" t="inlineStr">
        <is>
          <t>Undisclosed</t>
        </is>
      </c>
      <c r="F695" s="156" t="inlineStr">
        <is>
          <t>Questionable</t>
        </is>
      </c>
    </row>
    <row r="696" ht="15.6" customHeight="1" s="152">
      <c r="A696" s="167">
        <f>B696&amp;C696</f>
        <v/>
      </c>
      <c r="B696" s="156" t="inlineStr">
        <is>
          <t>DET</t>
        </is>
      </c>
      <c r="C696" s="156" t="inlineStr">
        <is>
          <t>Josh Paschal</t>
        </is>
      </c>
      <c r="D696" s="156" t="inlineStr">
        <is>
          <t>DE</t>
        </is>
      </c>
      <c r="E696" s="156" t="inlineStr">
        <is>
          <t>Undisclosed</t>
        </is>
      </c>
      <c r="F696" s="156" t="inlineStr">
        <is>
          <t>NFI-R</t>
        </is>
      </c>
    </row>
    <row r="697" ht="15.6" customHeight="1" s="152">
      <c r="A697" s="167">
        <f>B697&amp;C697</f>
        <v/>
      </c>
      <c r="B697" s="156" t="inlineStr">
        <is>
          <t>CIN</t>
        </is>
      </c>
      <c r="C697" s="156" t="inlineStr">
        <is>
          <t>Lucas Patrick</t>
        </is>
      </c>
      <c r="D697" s="156" t="inlineStr">
        <is>
          <t>OG</t>
        </is>
      </c>
      <c r="E697" s="156" t="inlineStr">
        <is>
          <t>Calf</t>
        </is>
      </c>
      <c r="F697" s="156" t="inlineStr">
        <is>
          <t>IR</t>
        </is>
      </c>
    </row>
    <row r="698" ht="15.6" customHeight="1" s="152">
      <c r="A698" s="167">
        <f>B698&amp;C698</f>
        <v/>
      </c>
      <c r="B698" s="156" t="inlineStr">
        <is>
          <t>FA</t>
        </is>
      </c>
      <c r="C698" s="156" t="inlineStr">
        <is>
          <t>Jaret Patterson</t>
        </is>
      </c>
      <c r="D698" s="156" t="inlineStr">
        <is>
          <t>RB</t>
        </is>
      </c>
      <c r="E698" s="156" t="inlineStr">
        <is>
          <t>Undisclosed</t>
        </is>
      </c>
      <c r="F698" s="156" t="inlineStr">
        <is>
          <t>Questionable</t>
        </is>
      </c>
    </row>
    <row r="699" ht="15.6" customHeight="1" s="152">
      <c r="A699" s="167">
        <f>B699&amp;C699</f>
        <v/>
      </c>
      <c r="B699" s="156" t="inlineStr">
        <is>
          <t>NYG</t>
        </is>
      </c>
      <c r="C699" s="156" t="inlineStr">
        <is>
          <t>Rico Payton</t>
        </is>
      </c>
      <c r="D699" s="156" t="inlineStr">
        <is>
          <t>CB</t>
        </is>
      </c>
      <c r="E699" s="156" t="inlineStr">
        <is>
          <t>Undisclosed</t>
        </is>
      </c>
      <c r="F699" s="156" t="inlineStr">
        <is>
          <t>IR</t>
        </is>
      </c>
    </row>
    <row r="700" ht="15.6" customHeight="1" s="152">
      <c r="A700" s="167">
        <f>B700&amp;C700</f>
        <v/>
      </c>
      <c r="B700" s="156" t="inlineStr">
        <is>
          <t>ATL</t>
        </is>
      </c>
      <c r="C700" s="156" t="inlineStr">
        <is>
          <t>James Pearce</t>
        </is>
      </c>
      <c r="D700" s="156" t="inlineStr">
        <is>
          <t>DE</t>
        </is>
      </c>
      <c r="E700" s="156" t="inlineStr">
        <is>
          <t>Groin</t>
        </is>
      </c>
      <c r="F700" s="156" t="inlineStr">
        <is>
          <t>Questionable</t>
        </is>
      </c>
    </row>
    <row r="701" ht="15.6" customHeight="1" s="152">
      <c r="A701" s="167">
        <f>B701&amp;C701</f>
        <v/>
      </c>
      <c r="B701" s="156" t="inlineStr">
        <is>
          <t>FA</t>
        </is>
      </c>
      <c r="C701" s="156" t="inlineStr">
        <is>
          <t>Josh Pederson</t>
        </is>
      </c>
      <c r="D701" s="156" t="inlineStr">
        <is>
          <t>TE</t>
        </is>
      </c>
      <c r="E701" s="156" t="inlineStr">
        <is>
          <t>Ankle</t>
        </is>
      </c>
      <c r="F701" s="156" t="inlineStr">
        <is>
          <t>Questionable</t>
        </is>
      </c>
    </row>
    <row r="702" ht="15.6" customHeight="1" s="152">
      <c r="A702" s="167">
        <f>B702&amp;C702</f>
        <v/>
      </c>
      <c r="B702" s="156" t="inlineStr">
        <is>
          <t>NO</t>
        </is>
      </c>
      <c r="C702" s="156" t="inlineStr">
        <is>
          <t>Trevor Penning</t>
        </is>
      </c>
      <c r="D702" s="156" t="inlineStr">
        <is>
          <t>OT</t>
        </is>
      </c>
      <c r="E702" s="156" t="inlineStr">
        <is>
          <t>Toe</t>
        </is>
      </c>
      <c r="F702" s="156" t="inlineStr">
        <is>
          <t>Questionable</t>
        </is>
      </c>
    </row>
    <row r="703" ht="15.6" customHeight="1" s="152">
      <c r="A703" s="167">
        <f>B703&amp;C703</f>
        <v/>
      </c>
      <c r="B703" s="156" t="inlineStr">
        <is>
          <t>FA</t>
        </is>
      </c>
      <c r="C703" s="156" t="inlineStr">
        <is>
          <t>David Perales</t>
        </is>
      </c>
      <c r="D703" s="156" t="inlineStr">
        <is>
          <t>LB</t>
        </is>
      </c>
      <c r="E703" s="156" t="inlineStr">
        <is>
          <t>Knee - MCL</t>
        </is>
      </c>
      <c r="F703" s="156" t="inlineStr">
        <is>
          <t>Questionable</t>
        </is>
      </c>
    </row>
    <row r="704" ht="15.6" customHeight="1" s="152">
      <c r="A704" s="167">
        <f>B704&amp;C704</f>
        <v/>
      </c>
      <c r="B704" s="156" t="inlineStr">
        <is>
          <t>LAC</t>
        </is>
      </c>
      <c r="C704" s="156" t="inlineStr">
        <is>
          <t>Denzel Perryman</t>
        </is>
      </c>
      <c r="D704" s="156" t="inlineStr">
        <is>
          <t>LB</t>
        </is>
      </c>
      <c r="E704" s="156" t="inlineStr">
        <is>
          <t>Ankle</t>
        </is>
      </c>
      <c r="F704" s="156" t="inlineStr">
        <is>
          <t>IR</t>
        </is>
      </c>
    </row>
    <row r="705" ht="15.6" customHeight="1" s="152">
      <c r="A705" s="167">
        <f>B705&amp;C705</f>
        <v/>
      </c>
      <c r="B705" s="156" t="inlineStr">
        <is>
          <t>FA</t>
        </is>
      </c>
      <c r="C705" s="156" t="inlineStr">
        <is>
          <t>Jordan Perryman</t>
        </is>
      </c>
      <c r="D705" s="156" t="inlineStr">
        <is>
          <t>CB</t>
        </is>
      </c>
      <c r="E705" s="156" t="inlineStr">
        <is>
          <t>Undisclosed</t>
        </is>
      </c>
      <c r="F705" s="156" t="inlineStr">
        <is>
          <t>Questionable</t>
        </is>
      </c>
    </row>
    <row r="706" ht="15.6" customHeight="1" s="152">
      <c r="A706" s="167">
        <f>B706&amp;C706</f>
        <v/>
      </c>
      <c r="B706" s="156" t="inlineStr">
        <is>
          <t>FA</t>
        </is>
      </c>
      <c r="C706" s="156" t="inlineStr">
        <is>
          <t>Tautala Pesefea</t>
        </is>
      </c>
      <c r="D706" s="156" t="inlineStr">
        <is>
          <t>DT</t>
        </is>
      </c>
      <c r="E706" s="156" t="inlineStr">
        <is>
          <t>Undisclosed</t>
        </is>
      </c>
      <c r="F706" s="156" t="inlineStr">
        <is>
          <t>Questionable</t>
        </is>
      </c>
    </row>
    <row r="707" ht="15.6" customHeight="1" s="152">
      <c r="A707" s="167">
        <f>B707&amp;C707</f>
        <v/>
      </c>
      <c r="B707" s="156" t="inlineStr">
        <is>
          <t>FA</t>
        </is>
      </c>
      <c r="C707" s="156" t="inlineStr">
        <is>
          <t>Jordan Petaia</t>
        </is>
      </c>
      <c r="D707" s="156" t="inlineStr">
        <is>
          <t>TE</t>
        </is>
      </c>
      <c r="E707" s="156" t="inlineStr">
        <is>
          <t>Undisclosed</t>
        </is>
      </c>
      <c r="F707" s="156" t="inlineStr">
        <is>
          <t>Questionable</t>
        </is>
      </c>
    </row>
    <row r="708" ht="15.6" customHeight="1" s="152">
      <c r="A708" s="167">
        <f>B708&amp;C708</f>
        <v/>
      </c>
      <c r="B708" s="156" t="inlineStr">
        <is>
          <t>FA</t>
        </is>
      </c>
      <c r="C708" s="156" t="inlineStr">
        <is>
          <t>Shaun Peterson</t>
        </is>
      </c>
      <c r="D708" s="156" t="inlineStr">
        <is>
          <t>LB</t>
        </is>
      </c>
      <c r="E708" s="156" t="inlineStr">
        <is>
          <t>Undisclosed</t>
        </is>
      </c>
      <c r="F708" s="156" t="inlineStr">
        <is>
          <t>Questionable</t>
        </is>
      </c>
    </row>
    <row r="709" ht="15.6" customHeight="1" s="152">
      <c r="A709" s="167">
        <f>B709&amp;C709</f>
        <v/>
      </c>
      <c r="B709" s="156" t="inlineStr">
        <is>
          <t>IND</t>
        </is>
      </c>
      <c r="C709" s="156" t="inlineStr">
        <is>
          <t>Jacob Phillips</t>
        </is>
      </c>
      <c r="D709" s="156" t="inlineStr">
        <is>
          <t>LB</t>
        </is>
      </c>
      <c r="E709" s="156" t="inlineStr">
        <is>
          <t>Biceps</t>
        </is>
      </c>
      <c r="F709" s="156" t="inlineStr">
        <is>
          <t>IR</t>
        </is>
      </c>
    </row>
    <row r="710" ht="15.6" customHeight="1" s="152">
      <c r="A710" s="167">
        <f>B710&amp;C710</f>
        <v/>
      </c>
      <c r="B710" s="156" t="inlineStr">
        <is>
          <t>FA</t>
        </is>
      </c>
      <c r="C710" s="156" t="inlineStr">
        <is>
          <t>Nathan Pickering</t>
        </is>
      </c>
      <c r="D710" s="156" t="inlineStr">
        <is>
          <t>DT</t>
        </is>
      </c>
      <c r="E710" s="156" t="inlineStr">
        <is>
          <t>Undisclosed</t>
        </is>
      </c>
      <c r="F710" s="156" t="inlineStr">
        <is>
          <t>Questionable</t>
        </is>
      </c>
    </row>
    <row r="711" ht="15.6" customHeight="1" s="152">
      <c r="A711" s="167">
        <f>B711&amp;C711</f>
        <v/>
      </c>
      <c r="B711" s="156" t="inlineStr">
        <is>
          <t>FA</t>
        </is>
      </c>
      <c r="C711" s="156" t="inlineStr">
        <is>
          <t>Joshua Pickett</t>
        </is>
      </c>
      <c r="D711" s="156" t="inlineStr">
        <is>
          <t>CB</t>
        </is>
      </c>
      <c r="E711" s="156" t="inlineStr">
        <is>
          <t>Hand</t>
        </is>
      </c>
      <c r="F711" s="156" t="inlineStr">
        <is>
          <t>Questionable</t>
        </is>
      </c>
    </row>
    <row r="712" ht="15.6" customHeight="1" s="152">
      <c r="A712" s="167">
        <f>B712&amp;C712</f>
        <v/>
      </c>
      <c r="B712" s="156" t="inlineStr">
        <is>
          <t>BAL</t>
        </is>
      </c>
      <c r="C712" s="156" t="inlineStr">
        <is>
          <t>Michael Pierce</t>
        </is>
      </c>
      <c r="D712" s="156" t="inlineStr">
        <is>
          <t>DT</t>
        </is>
      </c>
      <c r="E712" s="156" t="inlineStr">
        <is>
          <t>Undisclosed</t>
        </is>
      </c>
      <c r="F712" s="156" t="inlineStr">
        <is>
          <t>Reserve-Ret</t>
        </is>
      </c>
    </row>
    <row r="713" ht="15.6" customHeight="1" s="152">
      <c r="A713" s="167">
        <f>B713&amp;C713</f>
        <v/>
      </c>
      <c r="B713" s="156" t="inlineStr">
        <is>
          <t>FA</t>
        </is>
      </c>
      <c r="C713" s="156" t="inlineStr">
        <is>
          <t>Kevin Pierre-Louis</t>
        </is>
      </c>
      <c r="D713" s="156" t="inlineStr">
        <is>
          <t>LB</t>
        </is>
      </c>
      <c r="E713" s="156" t="inlineStr">
        <is>
          <t>Groin</t>
        </is>
      </c>
      <c r="F713" s="156" t="inlineStr">
        <is>
          <t>Questionable</t>
        </is>
      </c>
    </row>
    <row r="714" ht="15.6" customHeight="1" s="152">
      <c r="A714" s="167">
        <f>B714&amp;C714</f>
        <v/>
      </c>
      <c r="B714" s="156" t="inlineStr">
        <is>
          <t>FA</t>
        </is>
      </c>
      <c r="C714" s="156" t="inlineStr">
        <is>
          <t>Jared Pinkney</t>
        </is>
      </c>
      <c r="D714" s="156" t="inlineStr">
        <is>
          <t>TE</t>
        </is>
      </c>
      <c r="E714" s="156" t="inlineStr">
        <is>
          <t>Undisclosed</t>
        </is>
      </c>
      <c r="F714" s="156" t="inlineStr">
        <is>
          <t>Questionable</t>
        </is>
      </c>
    </row>
    <row r="715" ht="15.6" customHeight="1" s="152">
      <c r="A715" s="167">
        <f>B715&amp;C715</f>
        <v/>
      </c>
      <c r="B715" s="156" t="inlineStr">
        <is>
          <t>HOU</t>
        </is>
      </c>
      <c r="C715" s="156" t="inlineStr">
        <is>
          <t>Jalen Pitre</t>
        </is>
      </c>
      <c r="D715" s="156" t="inlineStr">
        <is>
          <t>CB</t>
        </is>
      </c>
      <c r="E715" s="156" t="inlineStr">
        <is>
          <t>Ribs</t>
        </is>
      </c>
      <c r="F715" s="156" t="inlineStr">
        <is>
          <t>Questionable</t>
        </is>
      </c>
    </row>
    <row r="716" ht="15.6" customHeight="1" s="152">
      <c r="A716" s="167">
        <f>B716&amp;C716</f>
        <v/>
      </c>
      <c r="B716" s="156" t="inlineStr">
        <is>
          <t>FA</t>
        </is>
      </c>
      <c r="C716" s="156" t="inlineStr">
        <is>
          <t>Thyrick Pitts</t>
        </is>
      </c>
      <c r="D716" s="156" t="inlineStr">
        <is>
          <t>WR</t>
        </is>
      </c>
      <c r="E716" s="156" t="inlineStr">
        <is>
          <t>Undisclosed</t>
        </is>
      </c>
      <c r="F716" s="156" t="inlineStr">
        <is>
          <t>Questionable</t>
        </is>
      </c>
    </row>
    <row r="717" ht="15.6" customHeight="1" s="152">
      <c r="A717" s="167">
        <f>B717&amp;C717</f>
        <v/>
      </c>
      <c r="B717" s="156" t="inlineStr">
        <is>
          <t>NO</t>
        </is>
      </c>
      <c r="C717" s="156" t="inlineStr">
        <is>
          <t>Mason Pline</t>
        </is>
      </c>
      <c r="D717" s="156" t="inlineStr">
        <is>
          <t>TE</t>
        </is>
      </c>
      <c r="E717" s="156" t="inlineStr">
        <is>
          <t>Upper Body</t>
        </is>
      </c>
      <c r="F717" s="156" t="inlineStr">
        <is>
          <t>IR</t>
        </is>
      </c>
    </row>
    <row r="718" ht="15.6" customHeight="1" s="152">
      <c r="A718" s="167">
        <f>B718&amp;C718</f>
        <v/>
      </c>
      <c r="B718" s="156" t="inlineStr">
        <is>
          <t>FA</t>
        </is>
      </c>
      <c r="C718" s="156" t="inlineStr">
        <is>
          <t>John Rhys Plumlee</t>
        </is>
      </c>
      <c r="D718" s="156" t="inlineStr">
        <is>
          <t>WR</t>
        </is>
      </c>
      <c r="E718" s="156" t="inlineStr">
        <is>
          <t>Undisclosed</t>
        </is>
      </c>
      <c r="F718" s="156" t="inlineStr">
        <is>
          <t>Questionable</t>
        </is>
      </c>
    </row>
    <row r="719" ht="15.6" customHeight="1" s="152">
      <c r="A719" s="167">
        <f>B719&amp;C719</f>
        <v/>
      </c>
      <c r="B719" s="156" t="inlineStr">
        <is>
          <t>FA</t>
        </is>
      </c>
      <c r="C719" s="156" t="inlineStr">
        <is>
          <t>Quentin Poling</t>
        </is>
      </c>
      <c r="D719" s="156" t="inlineStr">
        <is>
          <t>LB</t>
        </is>
      </c>
      <c r="E719" s="156" t="inlineStr">
        <is>
          <t>Undisclosed</t>
        </is>
      </c>
      <c r="F719" s="156" t="inlineStr">
        <is>
          <t>Questionable</t>
        </is>
      </c>
    </row>
    <row r="720" ht="15.6" customHeight="1" s="152">
      <c r="A720" s="167">
        <f>B720&amp;C720</f>
        <v/>
      </c>
      <c r="B720" s="156" t="inlineStr">
        <is>
          <t>NO</t>
        </is>
      </c>
      <c r="C720" s="156" t="inlineStr">
        <is>
          <t>Ja'Lynn Polk</t>
        </is>
      </c>
      <c r="D720" s="156" t="inlineStr">
        <is>
          <t>WR</t>
        </is>
      </c>
      <c r="E720" s="156" t="inlineStr">
        <is>
          <t>Shoulder</t>
        </is>
      </c>
      <c r="F720" s="156" t="inlineStr">
        <is>
          <t>IR</t>
        </is>
      </c>
    </row>
    <row r="721" ht="15.6" customHeight="1" s="152">
      <c r="A721" s="167">
        <f>B721&amp;C721</f>
        <v/>
      </c>
      <c r="B721" s="156" t="inlineStr">
        <is>
          <t>FA</t>
        </is>
      </c>
      <c r="C721" s="156" t="inlineStr">
        <is>
          <t>Elijah Ponder</t>
        </is>
      </c>
      <c r="D721" s="156" t="inlineStr">
        <is>
          <t>LB</t>
        </is>
      </c>
      <c r="E721" s="156" t="inlineStr">
        <is>
          <t>Undisclosed</t>
        </is>
      </c>
      <c r="F721" s="156" t="inlineStr">
        <is>
          <t>Questionable</t>
        </is>
      </c>
    </row>
    <row r="722" ht="15.6" customHeight="1" s="152">
      <c r="A722" s="167">
        <f>B722&amp;C722</f>
        <v/>
      </c>
      <c r="B722" s="156" t="inlineStr">
        <is>
          <t>FA</t>
        </is>
      </c>
      <c r="C722" s="156" t="inlineStr">
        <is>
          <t>Troymaine Pope</t>
        </is>
      </c>
      <c r="D722" s="156" t="inlineStr">
        <is>
          <t>RB</t>
        </is>
      </c>
      <c r="E722" s="156" t="inlineStr">
        <is>
          <t>Undisclosed</t>
        </is>
      </c>
      <c r="F722" s="156" t="inlineStr">
        <is>
          <t>Questionable</t>
        </is>
      </c>
    </row>
    <row r="723" ht="15.6" customHeight="1" s="152">
      <c r="A723" s="167">
        <f>B723&amp;C723</f>
        <v/>
      </c>
      <c r="B723" s="156" t="inlineStr">
        <is>
          <t>PIT</t>
        </is>
      </c>
      <c r="C723" s="156" t="inlineStr">
        <is>
          <t>Joey Porter</t>
        </is>
      </c>
      <c r="D723" s="156" t="inlineStr">
        <is>
          <t>CB</t>
        </is>
      </c>
      <c r="E723" s="156" t="inlineStr">
        <is>
          <t>Hamstring</t>
        </is>
      </c>
      <c r="F723" s="156" t="inlineStr">
        <is>
          <t>Questionable</t>
        </is>
      </c>
    </row>
    <row r="724" ht="15.6" customHeight="1" s="152">
      <c r="A724" s="167">
        <f>B724&amp;C724</f>
        <v/>
      </c>
      <c r="B724" s="156" t="inlineStr">
        <is>
          <t>LV</t>
        </is>
      </c>
      <c r="C724" s="156" t="inlineStr">
        <is>
          <t>Jackson Powers-Johnson</t>
        </is>
      </c>
      <c r="D724" s="156" t="inlineStr">
        <is>
          <t>OG</t>
        </is>
      </c>
      <c r="E724" s="156" t="inlineStr">
        <is>
          <t>Concussion</t>
        </is>
      </c>
      <c r="F724" s="156" t="inlineStr">
        <is>
          <t>Questionable</t>
        </is>
      </c>
    </row>
    <row r="725" ht="15.6" customHeight="1" s="152">
      <c r="A725" s="167">
        <f>B725&amp;C725</f>
        <v/>
      </c>
      <c r="B725" s="156" t="inlineStr">
        <is>
          <t>FA</t>
        </is>
      </c>
      <c r="C725" s="156" t="inlineStr">
        <is>
          <t>Kaden Prather</t>
        </is>
      </c>
      <c r="D725" s="156" t="inlineStr">
        <is>
          <t>WR</t>
        </is>
      </c>
      <c r="E725" s="156" t="inlineStr">
        <is>
          <t>Undisclosed</t>
        </is>
      </c>
      <c r="F725" s="156" t="inlineStr">
        <is>
          <t>Questionable</t>
        </is>
      </c>
    </row>
    <row r="726" ht="15.6" customHeight="1" s="152">
      <c r="A726" s="167">
        <f>B726&amp;C726</f>
        <v/>
      </c>
      <c r="B726" s="156" t="inlineStr">
        <is>
          <t>FA</t>
        </is>
      </c>
      <c r="C726" s="156" t="inlineStr">
        <is>
          <t>Michael Pratt</t>
        </is>
      </c>
      <c r="D726" s="156" t="inlineStr">
        <is>
          <t>QB</t>
        </is>
      </c>
      <c r="E726" s="156" t="inlineStr">
        <is>
          <t>Back</t>
        </is>
      </c>
      <c r="F726" s="156" t="inlineStr">
        <is>
          <t>Questionable</t>
        </is>
      </c>
    </row>
    <row r="727" ht="15.6" customHeight="1" s="152">
      <c r="A727" s="167">
        <f>B727&amp;C727</f>
        <v/>
      </c>
      <c r="B727" s="156" t="inlineStr">
        <is>
          <t>NE</t>
        </is>
      </c>
      <c r="C727" s="156" t="inlineStr">
        <is>
          <t>Deneric Prince</t>
        </is>
      </c>
      <c r="D727" s="156" t="inlineStr">
        <is>
          <t>RB</t>
        </is>
      </c>
      <c r="E727" s="156" t="inlineStr">
        <is>
          <t>Undisclosed</t>
        </is>
      </c>
      <c r="F727" s="156" t="inlineStr">
        <is>
          <t>IR</t>
        </is>
      </c>
    </row>
    <row r="728" ht="15.6" customHeight="1" s="152">
      <c r="A728" s="167">
        <f>B728&amp;C728</f>
        <v/>
      </c>
      <c r="B728" s="156" t="inlineStr">
        <is>
          <t>FA</t>
        </is>
      </c>
      <c r="C728" s="156" t="inlineStr">
        <is>
          <t>Isaiah Prince</t>
        </is>
      </c>
      <c r="D728" s="156" t="inlineStr">
        <is>
          <t>OT</t>
        </is>
      </c>
      <c r="E728" s="156" t="inlineStr">
        <is>
          <t>Knee</t>
        </is>
      </c>
      <c r="F728" s="156" t="inlineStr">
        <is>
          <t>Questionable</t>
        </is>
      </c>
    </row>
    <row r="729" ht="15.6" customHeight="1" s="152">
      <c r="A729" s="167">
        <f>B729&amp;C729</f>
        <v/>
      </c>
      <c r="B729" s="156" t="inlineStr">
        <is>
          <t>FA</t>
        </is>
      </c>
      <c r="C729" s="156" t="inlineStr">
        <is>
          <t>Austin Proehl</t>
        </is>
      </c>
      <c r="D729" s="156" t="inlineStr">
        <is>
          <t>WR</t>
        </is>
      </c>
      <c r="E729" s="156" t="inlineStr">
        <is>
          <t>Undisclosed</t>
        </is>
      </c>
      <c r="F729" s="156" t="inlineStr">
        <is>
          <t>Questionable</t>
        </is>
      </c>
    </row>
    <row r="730" ht="15.6" customHeight="1" s="152">
      <c r="A730" s="167">
        <f>B730&amp;C730</f>
        <v/>
      </c>
      <c r="B730" s="156" t="inlineStr">
        <is>
          <t>SF</t>
        </is>
      </c>
      <c r="C730" s="156" t="inlineStr">
        <is>
          <t>Brock Purdy</t>
        </is>
      </c>
      <c r="D730" s="156" t="inlineStr">
        <is>
          <t>QB</t>
        </is>
      </c>
      <c r="E730" s="156" t="inlineStr">
        <is>
          <t>Toe</t>
        </is>
      </c>
      <c r="F730" s="156" t="inlineStr">
        <is>
          <t>Questionable</t>
        </is>
      </c>
    </row>
    <row r="731" ht="15.6" customHeight="1" s="152">
      <c r="A731" s="167">
        <f>B731&amp;C731</f>
        <v/>
      </c>
      <c r="B731" s="156" t="inlineStr">
        <is>
          <t>FA</t>
        </is>
      </c>
      <c r="C731" s="156" t="inlineStr">
        <is>
          <t>Brent Qvale</t>
        </is>
      </c>
      <c r="D731" s="156" t="inlineStr">
        <is>
          <t>OT</t>
        </is>
      </c>
      <c r="E731" s="156" t="inlineStr">
        <is>
          <t>Undisclosed</t>
        </is>
      </c>
      <c r="F731" s="156" t="inlineStr">
        <is>
          <t>Questionable</t>
        </is>
      </c>
    </row>
    <row r="732" ht="15.6" customHeight="1" s="152">
      <c r="A732" s="167">
        <f>B732&amp;C732</f>
        <v/>
      </c>
      <c r="B732" s="156" t="inlineStr">
        <is>
          <t>FA</t>
        </is>
      </c>
      <c r="C732" s="156" t="inlineStr">
        <is>
          <t>Kevin Rader</t>
        </is>
      </c>
      <c r="D732" s="156" t="inlineStr">
        <is>
          <t>TE</t>
        </is>
      </c>
      <c r="E732" s="156" t="inlineStr">
        <is>
          <t>Undisclosed</t>
        </is>
      </c>
      <c r="F732" s="156" t="inlineStr">
        <is>
          <t>Questionable</t>
        </is>
      </c>
    </row>
    <row r="733" ht="15.6" customHeight="1" s="152">
      <c r="A733" s="167">
        <f>B733&amp;C733</f>
        <v/>
      </c>
      <c r="B733" s="156" t="inlineStr">
        <is>
          <t>NO</t>
        </is>
      </c>
      <c r="C733" s="156" t="inlineStr">
        <is>
          <t>Dillon Radunz</t>
        </is>
      </c>
      <c r="D733" s="156" t="inlineStr">
        <is>
          <t>OG</t>
        </is>
      </c>
      <c r="E733" s="156" t="inlineStr">
        <is>
          <t>Toe</t>
        </is>
      </c>
      <c r="F733" s="156" t="inlineStr">
        <is>
          <t>Questionable</t>
        </is>
      </c>
    </row>
    <row r="734" ht="15.6" customHeight="1" s="152">
      <c r="A734" s="167">
        <f>B734&amp;C734</f>
        <v/>
      </c>
      <c r="B734" s="156" t="inlineStr">
        <is>
          <t>FA</t>
        </is>
      </c>
      <c r="C734" s="156" t="inlineStr">
        <is>
          <t>Trey Ragas</t>
        </is>
      </c>
      <c r="D734" s="156" t="inlineStr">
        <is>
          <t>RB</t>
        </is>
      </c>
      <c r="E734" s="156" t="inlineStr">
        <is>
          <t>Undisclosed</t>
        </is>
      </c>
      <c r="F734" s="156" t="inlineStr">
        <is>
          <t>Questionable</t>
        </is>
      </c>
    </row>
    <row r="735" ht="15.6" customHeight="1" s="152">
      <c r="A735" s="167">
        <f>B735&amp;C735</f>
        <v/>
      </c>
      <c r="B735" s="156" t="inlineStr">
        <is>
          <t>FA</t>
        </is>
      </c>
      <c r="C735" s="156" t="inlineStr">
        <is>
          <t>Reggie Ragland</t>
        </is>
      </c>
      <c r="D735" s="156" t="inlineStr">
        <is>
          <t>LB</t>
        </is>
      </c>
      <c r="E735" s="156" t="inlineStr">
        <is>
          <t>Shoulder</t>
        </is>
      </c>
      <c r="F735" s="156" t="inlineStr">
        <is>
          <t>Questionable</t>
        </is>
      </c>
    </row>
    <row r="736" ht="15.6" customHeight="1" s="152">
      <c r="A736" s="167">
        <f>B736&amp;C736</f>
        <v/>
      </c>
      <c r="B736" s="156" t="inlineStr">
        <is>
          <t>DET</t>
        </is>
      </c>
      <c r="C736" s="156" t="inlineStr">
        <is>
          <t>Frank Ragnow</t>
        </is>
      </c>
      <c r="D736" s="156" t="inlineStr">
        <is>
          <t>C</t>
        </is>
      </c>
      <c r="E736" s="156" t="inlineStr">
        <is>
          <t>Undisclosed</t>
        </is>
      </c>
      <c r="F736" s="156" t="inlineStr">
        <is>
          <t>Reserve-Ret</t>
        </is>
      </c>
    </row>
    <row r="737" ht="15.6" customHeight="1" s="152">
      <c r="A737" s="167">
        <f>B737&amp;C737</f>
        <v/>
      </c>
      <c r="B737" s="156" t="inlineStr">
        <is>
          <t>IND</t>
        </is>
      </c>
      <c r="C737" s="156" t="inlineStr">
        <is>
          <t>Bernhard Raimann</t>
        </is>
      </c>
      <c r="D737" s="156" t="inlineStr">
        <is>
          <t>OT</t>
        </is>
      </c>
      <c r="E737" s="156" t="inlineStr">
        <is>
          <t>Illness</t>
        </is>
      </c>
      <c r="F737" s="156" t="inlineStr">
        <is>
          <t>Questionable</t>
        </is>
      </c>
    </row>
    <row r="738" ht="15.6" customHeight="1" s="152">
      <c r="A738" s="167">
        <f>B738&amp;C738</f>
        <v/>
      </c>
      <c r="B738" s="156" t="inlineStr">
        <is>
          <t>DET</t>
        </is>
      </c>
      <c r="C738" s="156" t="inlineStr">
        <is>
          <t>Ennis Rakestraw</t>
        </is>
      </c>
      <c r="D738" s="156" t="inlineStr">
        <is>
          <t>CB</t>
        </is>
      </c>
      <c r="E738" s="156" t="inlineStr">
        <is>
          <t>Shoulder</t>
        </is>
      </c>
      <c r="F738" s="156" t="inlineStr">
        <is>
          <t>IR</t>
        </is>
      </c>
    </row>
    <row r="739" ht="15.6" customHeight="1" s="152">
      <c r="A739" s="167">
        <f>B739&amp;C739</f>
        <v/>
      </c>
      <c r="B739" s="156" t="inlineStr">
        <is>
          <t>FA</t>
        </is>
      </c>
      <c r="C739" s="156" t="inlineStr">
        <is>
          <t>Charleston Rambo</t>
        </is>
      </c>
      <c r="D739" s="156" t="inlineStr">
        <is>
          <t>WR</t>
        </is>
      </c>
      <c r="E739" s="156" t="inlineStr">
        <is>
          <t>Undisclosed</t>
        </is>
      </c>
      <c r="F739" s="156" t="inlineStr">
        <is>
          <t>Questionable</t>
        </is>
      </c>
    </row>
    <row r="740" ht="15.6" customHeight="1" s="152">
      <c r="A740" s="167">
        <f>B740&amp;C740</f>
        <v/>
      </c>
      <c r="B740" s="156" t="inlineStr">
        <is>
          <t>NO</t>
        </is>
      </c>
      <c r="C740" s="156" t="inlineStr">
        <is>
          <t>Ryan Ramczyk</t>
        </is>
      </c>
      <c r="D740" s="156" t="inlineStr">
        <is>
          <t>OT</t>
        </is>
      </c>
      <c r="E740" s="156" t="inlineStr">
        <is>
          <t>Undisclosed</t>
        </is>
      </c>
      <c r="F740" s="156" t="inlineStr">
        <is>
          <t>Reserve-Ret</t>
        </is>
      </c>
    </row>
    <row r="741" ht="15.6" customHeight="1" s="152">
      <c r="A741" s="167">
        <f>B741&amp;C741</f>
        <v/>
      </c>
      <c r="B741" s="156" t="inlineStr">
        <is>
          <t>FA</t>
        </is>
      </c>
      <c r="C741" s="156" t="inlineStr">
        <is>
          <t>Keith Randolph</t>
        </is>
      </c>
      <c r="D741" s="156" t="inlineStr">
        <is>
          <t>DT</t>
        </is>
      </c>
      <c r="E741" s="156" t="inlineStr">
        <is>
          <t>Undisclosed</t>
        </is>
      </c>
      <c r="F741" s="156" t="inlineStr">
        <is>
          <t>Questionable</t>
        </is>
      </c>
    </row>
    <row r="742" ht="15.6" customHeight="1" s="152">
      <c r="A742" s="167">
        <f>B742&amp;C742</f>
        <v/>
      </c>
      <c r="B742" s="156" t="inlineStr">
        <is>
          <t>JAX</t>
        </is>
      </c>
      <c r="C742" s="156" t="inlineStr">
        <is>
          <t>Caleb Ransaw</t>
        </is>
      </c>
      <c r="D742" s="156" t="inlineStr">
        <is>
          <t>CB</t>
        </is>
      </c>
      <c r="E742" s="156" t="inlineStr">
        <is>
          <t>Lower Body</t>
        </is>
      </c>
      <c r="F742" s="156" t="inlineStr">
        <is>
          <t>IR</t>
        </is>
      </c>
    </row>
    <row r="743" ht="15.6" customHeight="1" s="152">
      <c r="A743" s="167">
        <f>B743&amp;C743</f>
        <v/>
      </c>
      <c r="B743" s="156" t="inlineStr">
        <is>
          <t>CAR</t>
        </is>
      </c>
      <c r="C743" s="156" t="inlineStr">
        <is>
          <t>LaBryan Ray</t>
        </is>
      </c>
      <c r="D743" s="156" t="inlineStr">
        <is>
          <t>DE</t>
        </is>
      </c>
      <c r="E743" s="156" t="inlineStr">
        <is>
          <t>Ankle</t>
        </is>
      </c>
      <c r="F743" s="156" t="inlineStr">
        <is>
          <t>IR-R</t>
        </is>
      </c>
    </row>
    <row r="744" ht="15.6" customHeight="1" s="152">
      <c r="A744" s="167">
        <f>B744&amp;C744</f>
        <v/>
      </c>
      <c r="B744" s="156" t="inlineStr">
        <is>
          <t>FA</t>
        </is>
      </c>
      <c r="C744" s="156" t="inlineStr">
        <is>
          <t>Wyatt Ray</t>
        </is>
      </c>
      <c r="D744" s="156" t="inlineStr">
        <is>
          <t>LB</t>
        </is>
      </c>
      <c r="E744" s="156" t="inlineStr">
        <is>
          <t>Undisclosed</t>
        </is>
      </c>
      <c r="F744" s="156" t="inlineStr">
        <is>
          <t>Questionable</t>
        </is>
      </c>
    </row>
    <row r="745" ht="15.6" customHeight="1" s="152">
      <c r="A745" s="167">
        <f>B745&amp;C745</f>
        <v/>
      </c>
      <c r="B745" s="156" t="inlineStr">
        <is>
          <t>FA</t>
        </is>
      </c>
      <c r="C745" s="156" t="inlineStr">
        <is>
          <t>Jalen Reagor</t>
        </is>
      </c>
      <c r="D745" s="156" t="inlineStr">
        <is>
          <t>WR</t>
        </is>
      </c>
      <c r="E745" s="156" t="inlineStr">
        <is>
          <t>Undisclosed</t>
        </is>
      </c>
      <c r="F745" s="156" t="inlineStr">
        <is>
          <t>Questionable</t>
        </is>
      </c>
    </row>
    <row r="746" ht="15.6" customHeight="1" s="152">
      <c r="A746" s="167">
        <f>B746&amp;C746</f>
        <v/>
      </c>
      <c r="B746" s="156" t="inlineStr">
        <is>
          <t>TB</t>
        </is>
      </c>
      <c r="C746" s="156" t="inlineStr">
        <is>
          <t>Haason Reddick</t>
        </is>
      </c>
      <c r="D746" s="156" t="inlineStr">
        <is>
          <t>DE</t>
        </is>
      </c>
      <c r="E746" s="156" t="inlineStr">
        <is>
          <t>Shoulder</t>
        </is>
      </c>
      <c r="F746" s="156" t="inlineStr">
        <is>
          <t>Questionable</t>
        </is>
      </c>
    </row>
    <row r="747" ht="15.6" customHeight="1" s="152">
      <c r="A747" s="167">
        <f>B747&amp;C747</f>
        <v/>
      </c>
      <c r="B747" s="156" t="inlineStr">
        <is>
          <t>FA</t>
        </is>
      </c>
      <c r="C747" s="156" t="inlineStr">
        <is>
          <t>Alex Redmond</t>
        </is>
      </c>
      <c r="D747" s="156" t="inlineStr">
        <is>
          <t>OG</t>
        </is>
      </c>
      <c r="E747" s="156" t="inlineStr">
        <is>
          <t>Undisclosed</t>
        </is>
      </c>
      <c r="F747" s="156" t="inlineStr">
        <is>
          <t>Questionable</t>
        </is>
      </c>
    </row>
    <row r="748" ht="15.6" customHeight="1" s="152">
      <c r="A748" s="167">
        <f>B748&amp;C748</f>
        <v/>
      </c>
      <c r="B748" s="156" t="inlineStr">
        <is>
          <t>GB</t>
        </is>
      </c>
      <c r="C748" s="156" t="inlineStr">
        <is>
          <t>Jayden Reed</t>
        </is>
      </c>
      <c r="D748" s="156" t="inlineStr">
        <is>
          <t>WR</t>
        </is>
      </c>
      <c r="E748" s="156" t="inlineStr">
        <is>
          <t>Collarbone</t>
        </is>
      </c>
      <c r="F748" s="156" t="inlineStr">
        <is>
          <t>Out</t>
        </is>
      </c>
    </row>
    <row r="749" ht="15.6" customHeight="1" s="152">
      <c r="A749" s="167">
        <f>B749&amp;C749</f>
        <v/>
      </c>
      <c r="B749" s="156" t="inlineStr">
        <is>
          <t>HOU</t>
        </is>
      </c>
      <c r="C749" s="156" t="inlineStr">
        <is>
          <t>Jaylen Reed</t>
        </is>
      </c>
      <c r="D749" s="156" t="inlineStr">
        <is>
          <t>S</t>
        </is>
      </c>
      <c r="E749" s="156" t="inlineStr">
        <is>
          <t>Ankle</t>
        </is>
      </c>
      <c r="F749" s="156" t="inlineStr">
        <is>
          <t>IR-R</t>
        </is>
      </c>
    </row>
    <row r="750" ht="15.6" customHeight="1" s="152">
      <c r="A750" s="167">
        <f>B750&amp;C750</f>
        <v/>
      </c>
      <c r="B750" s="156" t="inlineStr">
        <is>
          <t>FA</t>
        </is>
      </c>
      <c r="C750" s="156" t="inlineStr">
        <is>
          <t>Joe Reed</t>
        </is>
      </c>
      <c r="D750" s="156" t="inlineStr">
        <is>
          <t>WR</t>
        </is>
      </c>
      <c r="E750" s="156" t="inlineStr">
        <is>
          <t>Undisclosed</t>
        </is>
      </c>
      <c r="F750" s="156" t="inlineStr">
        <is>
          <t>Questionable</t>
        </is>
      </c>
    </row>
    <row r="751" ht="15.6" customHeight="1" s="152">
      <c r="A751" s="167">
        <f>B751&amp;C751</f>
        <v/>
      </c>
      <c r="B751" s="156" t="inlineStr">
        <is>
          <t>FA</t>
        </is>
      </c>
      <c r="C751" s="156" t="inlineStr">
        <is>
          <t>Louis Rees-Zammit</t>
        </is>
      </c>
      <c r="D751" s="156" t="inlineStr">
        <is>
          <t>WR</t>
        </is>
      </c>
      <c r="E751" s="156" t="inlineStr">
        <is>
          <t>Lower Back</t>
        </is>
      </c>
      <c r="F751" s="156" t="inlineStr">
        <is>
          <t>Questionable</t>
        </is>
      </c>
    </row>
    <row r="752" ht="15.6" customHeight="1" s="152">
      <c r="A752" s="167">
        <f>B752&amp;C752</f>
        <v/>
      </c>
      <c r="B752" s="156" t="inlineStr">
        <is>
          <t>FA</t>
        </is>
      </c>
      <c r="C752" s="156" t="inlineStr">
        <is>
          <t>Trevor Reid</t>
        </is>
      </c>
      <c r="D752" s="156" t="inlineStr">
        <is>
          <t>OT</t>
        </is>
      </c>
      <c r="E752" s="156" t="inlineStr">
        <is>
          <t>Undisclosed</t>
        </is>
      </c>
      <c r="F752" s="156" t="inlineStr">
        <is>
          <t>Questionable</t>
        </is>
      </c>
    </row>
    <row r="753" ht="15.6" customHeight="1" s="152">
      <c r="A753" s="167">
        <f>B753&amp;C753</f>
        <v/>
      </c>
      <c r="B753" s="156" t="inlineStr">
        <is>
          <t>CLE</t>
        </is>
      </c>
      <c r="C753" s="156" t="inlineStr">
        <is>
          <t>Winston Reid</t>
        </is>
      </c>
      <c r="D753" s="156" t="inlineStr">
        <is>
          <t>LB</t>
        </is>
      </c>
      <c r="E753" s="156" t="inlineStr">
        <is>
          <t>Back</t>
        </is>
      </c>
      <c r="F753" s="156" t="inlineStr">
        <is>
          <t>IR-R</t>
        </is>
      </c>
    </row>
    <row r="754" ht="15.6" customHeight="1" s="152">
      <c r="A754" s="167">
        <f>B754&amp;C754</f>
        <v/>
      </c>
      <c r="B754" s="156" t="inlineStr">
        <is>
          <t>FA</t>
        </is>
      </c>
      <c r="C754" s="156" t="inlineStr">
        <is>
          <t>Riley Reiff</t>
        </is>
      </c>
      <c r="D754" s="156" t="inlineStr">
        <is>
          <t>OG</t>
        </is>
      </c>
      <c r="E754" s="156" t="inlineStr">
        <is>
          <t>Knee</t>
        </is>
      </c>
      <c r="F754" s="156" t="inlineStr">
        <is>
          <t>Questionable</t>
        </is>
      </c>
    </row>
    <row r="755" ht="15.6" customHeight="1" s="152">
      <c r="A755" s="167">
        <f>B755&amp;C755</f>
        <v/>
      </c>
      <c r="B755" s="156" t="inlineStr">
        <is>
          <t>ARI</t>
        </is>
      </c>
      <c r="C755" s="156" t="inlineStr">
        <is>
          <t>Tip Reiman</t>
        </is>
      </c>
      <c r="D755" s="156" t="inlineStr">
        <is>
          <t>TE</t>
        </is>
      </c>
      <c r="E755" s="156" t="inlineStr">
        <is>
          <t>Foot</t>
        </is>
      </c>
      <c r="F755" s="156" t="inlineStr">
        <is>
          <t>Questionable</t>
        </is>
      </c>
    </row>
    <row r="756" ht="15.6" customHeight="1" s="152">
      <c r="A756" s="167">
        <f>B756&amp;C756</f>
        <v/>
      </c>
      <c r="B756" s="156" t="inlineStr">
        <is>
          <t>DAL</t>
        </is>
      </c>
      <c r="C756" s="156" t="inlineStr">
        <is>
          <t>Shavon Revel</t>
        </is>
      </c>
      <c r="D756" s="156" t="inlineStr">
        <is>
          <t>CB</t>
        </is>
      </c>
      <c r="E756" s="156" t="inlineStr">
        <is>
          <t>Knee - ACL</t>
        </is>
      </c>
      <c r="F756" s="156" t="inlineStr">
        <is>
          <t>NFI-R</t>
        </is>
      </c>
    </row>
    <row r="757" ht="15.6" customHeight="1" s="152">
      <c r="A757" s="167">
        <f>B757&amp;C757</f>
        <v/>
      </c>
      <c r="B757" s="156" t="inlineStr">
        <is>
          <t>NYJ</t>
        </is>
      </c>
      <c r="C757" s="156" t="inlineStr">
        <is>
          <t>Josh Reynolds</t>
        </is>
      </c>
      <c r="D757" s="156" t="inlineStr">
        <is>
          <t>WR</t>
        </is>
      </c>
      <c r="E757" s="156" t="inlineStr">
        <is>
          <t>Hamstring</t>
        </is>
      </c>
      <c r="F757" s="156" t="inlineStr">
        <is>
          <t>Questionable</t>
        </is>
      </c>
    </row>
    <row r="758" ht="15.6" customHeight="1" s="152">
      <c r="A758" s="167">
        <f>B758&amp;C758</f>
        <v/>
      </c>
      <c r="B758" s="156" t="inlineStr">
        <is>
          <t>FA</t>
        </is>
      </c>
      <c r="C758" s="156" t="inlineStr">
        <is>
          <t>Ross Reynolds</t>
        </is>
      </c>
      <c r="D758" s="156" t="inlineStr">
        <is>
          <t>OG</t>
        </is>
      </c>
      <c r="E758" s="156" t="inlineStr">
        <is>
          <t>Undisclosed</t>
        </is>
      </c>
      <c r="F758" s="156" t="inlineStr">
        <is>
          <t>Questionable</t>
        </is>
      </c>
    </row>
    <row r="759" ht="15.6" customHeight="1" s="152">
      <c r="A759" s="167">
        <f>B759&amp;C759</f>
        <v/>
      </c>
      <c r="B759" s="156" t="inlineStr">
        <is>
          <t>BAL</t>
        </is>
      </c>
      <c r="C759" s="156" t="inlineStr">
        <is>
          <t>Patrick Ricard</t>
        </is>
      </c>
      <c r="D759" s="156" t="inlineStr">
        <is>
          <t>FB</t>
        </is>
      </c>
      <c r="E759" s="156" t="inlineStr">
        <is>
          <t>Calf</t>
        </is>
      </c>
      <c r="F759" s="156" t="inlineStr">
        <is>
          <t>Questionable</t>
        </is>
      </c>
    </row>
    <row r="760" ht="15.6" customHeight="1" s="152">
      <c r="A760" s="167">
        <f>B760&amp;C760</f>
        <v/>
      </c>
      <c r="B760" s="156" t="inlineStr">
        <is>
          <t>KC</t>
        </is>
      </c>
      <c r="C760" s="156" t="inlineStr">
        <is>
          <t>Rashee Rice</t>
        </is>
      </c>
      <c r="D760" s="156" t="inlineStr">
        <is>
          <t>WR</t>
        </is>
      </c>
      <c r="E760" s="156" t="inlineStr">
        <is>
          <t>Suspension</t>
        </is>
      </c>
      <c r="F760" s="156" t="inlineStr">
        <is>
          <t>Reserve-Sus</t>
        </is>
      </c>
    </row>
    <row r="761" ht="15.6" customHeight="1" s="152">
      <c r="A761" s="167">
        <f>B761&amp;C761</f>
        <v/>
      </c>
      <c r="B761" s="156" t="inlineStr">
        <is>
          <t>FA</t>
        </is>
      </c>
      <c r="C761" s="156" t="inlineStr">
        <is>
          <t>Hassan Ridgeway</t>
        </is>
      </c>
      <c r="D761" s="156" t="inlineStr">
        <is>
          <t>DT</t>
        </is>
      </c>
      <c r="E761" s="156" t="inlineStr">
        <is>
          <t>Achilles</t>
        </is>
      </c>
      <c r="F761" s="156" t="inlineStr">
        <is>
          <t>Questionable</t>
        </is>
      </c>
    </row>
    <row r="762" ht="15.6" customHeight="1" s="152">
      <c r="A762" s="167">
        <f>B762&amp;C762</f>
        <v/>
      </c>
      <c r="B762" s="156" t="inlineStr">
        <is>
          <t>NO</t>
        </is>
      </c>
      <c r="C762" s="156" t="inlineStr">
        <is>
          <t>John Ridgeway</t>
        </is>
      </c>
      <c r="D762" s="156" t="inlineStr">
        <is>
          <t>DT</t>
        </is>
      </c>
      <c r="E762" s="156" t="inlineStr">
        <is>
          <t>Pectoral</t>
        </is>
      </c>
      <c r="F762" s="156" t="inlineStr">
        <is>
          <t>IR-R</t>
        </is>
      </c>
    </row>
    <row r="763" ht="15.6" customHeight="1" s="152">
      <c r="A763" s="167">
        <f>B763&amp;C763</f>
        <v/>
      </c>
      <c r="B763" s="156" t="inlineStr">
        <is>
          <t>FA</t>
        </is>
      </c>
      <c r="C763" s="156" t="inlineStr">
        <is>
          <t>Curtis Riley</t>
        </is>
      </c>
      <c r="D763" s="156" t="inlineStr">
        <is>
          <t>S</t>
        </is>
      </c>
      <c r="E763" s="156" t="inlineStr">
        <is>
          <t>Achilles</t>
        </is>
      </c>
      <c r="F763" s="156" t="inlineStr">
        <is>
          <t>Questionable</t>
        </is>
      </c>
    </row>
    <row r="764" ht="15.6" customHeight="1" s="152">
      <c r="A764" s="167">
        <f>B764&amp;C764</f>
        <v/>
      </c>
      <c r="B764" s="156" t="inlineStr">
        <is>
          <t>FA</t>
        </is>
      </c>
      <c r="C764" s="156" t="inlineStr">
        <is>
          <t>Marcus Riley</t>
        </is>
      </c>
      <c r="D764" s="156" t="inlineStr">
        <is>
          <t>WR</t>
        </is>
      </c>
      <c r="E764" s="156" t="inlineStr">
        <is>
          <t>Undisclosed</t>
        </is>
      </c>
      <c r="F764" s="156" t="inlineStr">
        <is>
          <t>Questionable</t>
        </is>
      </c>
    </row>
    <row r="765" ht="15.6" customHeight="1" s="152">
      <c r="A765" s="167">
        <f>B765&amp;C765</f>
        <v/>
      </c>
      <c r="B765" s="156" t="inlineStr">
        <is>
          <t>FA</t>
        </is>
      </c>
      <c r="C765" s="156" t="inlineStr">
        <is>
          <t>Chauncey Rivers</t>
        </is>
      </c>
      <c r="D765" s="156" t="inlineStr">
        <is>
          <t>LB</t>
        </is>
      </c>
      <c r="E765" s="156" t="inlineStr">
        <is>
          <t>Knee - ACL</t>
        </is>
      </c>
      <c r="F765" s="156" t="inlineStr">
        <is>
          <t>Questionable</t>
        </is>
      </c>
    </row>
    <row r="766" ht="15.6" customHeight="1" s="152">
      <c r="A766" s="167">
        <f>B766&amp;C766</f>
        <v/>
      </c>
      <c r="B766" s="156" t="inlineStr">
        <is>
          <t>DEN</t>
        </is>
      </c>
      <c r="C766" s="156" t="inlineStr">
        <is>
          <t>Malcolm Roach</t>
        </is>
      </c>
      <c r="D766" s="156" t="inlineStr">
        <is>
          <t>DT</t>
        </is>
      </c>
      <c r="E766" s="156" t="inlineStr">
        <is>
          <t>Calf</t>
        </is>
      </c>
      <c r="F766" s="156" t="inlineStr">
        <is>
          <t>IR</t>
        </is>
      </c>
    </row>
    <row r="767" ht="15.6" customHeight="1" s="152">
      <c r="A767" s="167">
        <f>B767&amp;C767</f>
        <v/>
      </c>
      <c r="B767" s="156" t="inlineStr">
        <is>
          <t>FA</t>
        </is>
      </c>
      <c r="C767" s="156" t="inlineStr">
        <is>
          <t>Tre Roberson</t>
        </is>
      </c>
      <c r="D767" s="156" t="inlineStr">
        <is>
          <t>CB</t>
        </is>
      </c>
      <c r="E767" s="156" t="inlineStr">
        <is>
          <t>Concussion</t>
        </is>
      </c>
      <c r="F767" s="156" t="inlineStr">
        <is>
          <t>Questionable</t>
        </is>
      </c>
    </row>
    <row r="768" ht="15.6" customHeight="1" s="152">
      <c r="A768" s="167">
        <f>B768&amp;C768</f>
        <v/>
      </c>
      <c r="B768" s="156" t="inlineStr">
        <is>
          <t>TB</t>
        </is>
      </c>
      <c r="C768" s="156" t="inlineStr">
        <is>
          <t>J.J. Roberts</t>
        </is>
      </c>
      <c r="D768" s="156" t="inlineStr">
        <is>
          <t>S</t>
        </is>
      </c>
      <c r="E768" s="156" t="inlineStr">
        <is>
          <t>Knee</t>
        </is>
      </c>
      <c r="F768" s="156" t="inlineStr">
        <is>
          <t>IR</t>
        </is>
      </c>
    </row>
    <row r="769" ht="15.6" customHeight="1" s="152">
      <c r="A769" s="167">
        <f>B769&amp;C769</f>
        <v/>
      </c>
      <c r="B769" s="156" t="inlineStr">
        <is>
          <t>DET</t>
        </is>
      </c>
      <c r="C769" s="156" t="inlineStr">
        <is>
          <t>Kye Robichaux</t>
        </is>
      </c>
      <c r="D769" s="156" t="inlineStr">
        <is>
          <t>RB</t>
        </is>
      </c>
      <c r="E769" s="156" t="inlineStr">
        <is>
          <t>Undisclosed</t>
        </is>
      </c>
      <c r="F769" s="156" t="inlineStr">
        <is>
          <t>IR</t>
        </is>
      </c>
    </row>
    <row r="770" ht="15.6" customHeight="1" s="152">
      <c r="A770" s="167">
        <f>B770&amp;C770</f>
        <v/>
      </c>
      <c r="B770" s="156" t="inlineStr">
        <is>
          <t>FA</t>
        </is>
      </c>
      <c r="C770" s="156" t="inlineStr">
        <is>
          <t>Aaron Robinson</t>
        </is>
      </c>
      <c r="D770" s="156" t="inlineStr">
        <is>
          <t>CB</t>
        </is>
      </c>
      <c r="E770" s="156" t="inlineStr">
        <is>
          <t>Knee - ACL + MCL</t>
        </is>
      </c>
      <c r="F770" s="156" t="inlineStr">
        <is>
          <t>Questionable</t>
        </is>
      </c>
    </row>
    <row r="771" ht="15.6" customHeight="1" s="152">
      <c r="A771" s="167">
        <f>B771&amp;C771</f>
        <v/>
      </c>
      <c r="B771" s="156" t="inlineStr">
        <is>
          <t>MIA</t>
        </is>
      </c>
      <c r="C771" s="156" t="inlineStr">
        <is>
          <t>Chop Robinson</t>
        </is>
      </c>
      <c r="D771" s="156" t="inlineStr">
        <is>
          <t>LB</t>
        </is>
      </c>
      <c r="E771" s="156" t="inlineStr">
        <is>
          <t>Knee</t>
        </is>
      </c>
      <c r="F771" s="156" t="inlineStr">
        <is>
          <t>Questionable</t>
        </is>
      </c>
    </row>
    <row r="772" ht="15.6" customHeight="1" s="152">
      <c r="A772" s="167">
        <f>B772&amp;C772</f>
        <v/>
      </c>
      <c r="B772" s="156" t="inlineStr">
        <is>
          <t>SF</t>
        </is>
      </c>
      <c r="C772" s="156" t="inlineStr">
        <is>
          <t>Demarcus Robinson</t>
        </is>
      </c>
      <c r="D772" s="156" t="inlineStr">
        <is>
          <t>WR</t>
        </is>
      </c>
      <c r="E772" s="156" t="inlineStr">
        <is>
          <t>Suspension</t>
        </is>
      </c>
      <c r="F772" s="156" t="inlineStr">
        <is>
          <t>Reserve-Sus</t>
        </is>
      </c>
    </row>
    <row r="773" ht="15.6" customHeight="1" s="152">
      <c r="A773" s="167">
        <f>B773&amp;C773</f>
        <v/>
      </c>
      <c r="B773" s="156" t="inlineStr">
        <is>
          <t>SF</t>
        </is>
      </c>
      <c r="C773" s="156" t="inlineStr">
        <is>
          <t>Jakob Robinson</t>
        </is>
      </c>
      <c r="D773" s="156" t="inlineStr">
        <is>
          <t>CB</t>
        </is>
      </c>
      <c r="E773" s="156" t="inlineStr">
        <is>
          <t>Forearm</t>
        </is>
      </c>
      <c r="F773" s="156" t="inlineStr">
        <is>
          <t>IR</t>
        </is>
      </c>
    </row>
    <row r="774" ht="15.6" customHeight="1" s="152">
      <c r="A774" s="167">
        <f>B774&amp;C774</f>
        <v/>
      </c>
      <c r="B774" s="156" t="inlineStr">
        <is>
          <t>KC</t>
        </is>
      </c>
      <c r="C774" s="156" t="inlineStr">
        <is>
          <t>Janarius Robinson</t>
        </is>
      </c>
      <c r="D774" s="156" t="inlineStr">
        <is>
          <t>DE</t>
        </is>
      </c>
      <c r="E774" s="156" t="inlineStr">
        <is>
          <t>Foot</t>
        </is>
      </c>
      <c r="F774" s="156" t="inlineStr">
        <is>
          <t>IR</t>
        </is>
      </c>
    </row>
    <row r="775" ht="15.6" customHeight="1" s="152">
      <c r="A775" s="167">
        <f>B775&amp;C775</f>
        <v/>
      </c>
      <c r="B775" s="156" t="inlineStr">
        <is>
          <t>NE</t>
        </is>
      </c>
      <c r="C775" s="156" t="inlineStr">
        <is>
          <t>Layden Robinson</t>
        </is>
      </c>
      <c r="D775" s="156" t="inlineStr">
        <is>
          <t>OG</t>
        </is>
      </c>
      <c r="E775" s="156" t="inlineStr">
        <is>
          <t>Undisclosed</t>
        </is>
      </c>
      <c r="F775" s="156" t="inlineStr">
        <is>
          <t>IR</t>
        </is>
      </c>
    </row>
    <row r="776" ht="15.6" customHeight="1" s="152">
      <c r="A776" s="167">
        <f>B776&amp;C776</f>
        <v/>
      </c>
      <c r="B776" s="156" t="inlineStr">
        <is>
          <t>FA</t>
        </is>
      </c>
      <c r="C776" s="156" t="inlineStr">
        <is>
          <t>Rashard Robinson</t>
        </is>
      </c>
      <c r="D776" s="156" t="inlineStr">
        <is>
          <t>CB</t>
        </is>
      </c>
      <c r="E776" s="156" t="inlineStr">
        <is>
          <t>Undisclosed</t>
        </is>
      </c>
      <c r="F776" s="156" t="inlineStr">
        <is>
          <t>Questionable</t>
        </is>
      </c>
    </row>
    <row r="777" ht="15.6" customHeight="1" s="152">
      <c r="A777" s="167">
        <f>B777&amp;C777</f>
        <v/>
      </c>
      <c r="B777" s="156" t="inlineStr">
        <is>
          <t>FA</t>
        </is>
      </c>
      <c r="C777" s="156" t="inlineStr">
        <is>
          <t>Reggie Robinson</t>
        </is>
      </c>
      <c r="D777" s="156" t="inlineStr">
        <is>
          <t>CB</t>
        </is>
      </c>
      <c r="E777" s="156" t="inlineStr">
        <is>
          <t>Undisclosed</t>
        </is>
      </c>
      <c r="F777" s="156" t="inlineStr">
        <is>
          <t>Questionable</t>
        </is>
      </c>
    </row>
    <row r="778" ht="15.6" customHeight="1" s="152">
      <c r="A778" s="167">
        <f>B778&amp;C778</f>
        <v/>
      </c>
      <c r="B778" s="156" t="inlineStr">
        <is>
          <t>FA</t>
        </is>
      </c>
      <c r="C778" s="156" t="inlineStr">
        <is>
          <t>Tayvion Robinson</t>
        </is>
      </c>
      <c r="D778" s="156" t="inlineStr">
        <is>
          <t>WR</t>
        </is>
      </c>
      <c r="E778" s="156" t="inlineStr">
        <is>
          <t>Undisclosed</t>
        </is>
      </c>
      <c r="F778" s="156" t="inlineStr">
        <is>
          <t>Questionable</t>
        </is>
      </c>
    </row>
    <row r="779" ht="15.6" customHeight="1" s="152">
      <c r="A779" s="167">
        <f>B779&amp;C779</f>
        <v/>
      </c>
      <c r="B779" s="156" t="inlineStr">
        <is>
          <t>NYG</t>
        </is>
      </c>
      <c r="C779" s="156" t="inlineStr">
        <is>
          <t>Wan'Dale Robinson</t>
        </is>
      </c>
      <c r="D779" s="156" t="inlineStr">
        <is>
          <t>WR</t>
        </is>
      </c>
      <c r="E779" s="156" t="inlineStr">
        <is>
          <t>Foot</t>
        </is>
      </c>
      <c r="F779" s="156" t="inlineStr">
        <is>
          <t>Questionable</t>
        </is>
      </c>
    </row>
    <row r="780" ht="15.6" customHeight="1" s="152">
      <c r="A780" s="167">
        <f>B780&amp;C780</f>
        <v/>
      </c>
      <c r="B780" s="156" t="inlineStr">
        <is>
          <t>FA</t>
        </is>
      </c>
      <c r="C780" s="156" t="inlineStr">
        <is>
          <t>Quincy Roche</t>
        </is>
      </c>
      <c r="D780" s="156" t="inlineStr">
        <is>
          <t>LB</t>
        </is>
      </c>
      <c r="E780" s="156" t="inlineStr">
        <is>
          <t>Undisclosed</t>
        </is>
      </c>
      <c r="F780" s="156" t="inlineStr">
        <is>
          <t>Questionable</t>
        </is>
      </c>
    </row>
    <row r="781" ht="15.6" customHeight="1" s="152">
      <c r="A781" s="167">
        <f>B781&amp;C781</f>
        <v/>
      </c>
      <c r="B781" s="156" t="inlineStr">
        <is>
          <t>FA</t>
        </is>
      </c>
      <c r="C781" s="156" t="inlineStr">
        <is>
          <t>Bryce Rodgers</t>
        </is>
      </c>
      <c r="D781" s="156" t="inlineStr">
        <is>
          <t>DT</t>
        </is>
      </c>
      <c r="E781" s="156" t="inlineStr">
        <is>
          <t>Undisclosed</t>
        </is>
      </c>
      <c r="F781" s="156" t="inlineStr">
        <is>
          <t>Questionable</t>
        </is>
      </c>
    </row>
    <row r="782" ht="15.6" customHeight="1" s="152">
      <c r="A782" s="167">
        <f>B782&amp;C782</f>
        <v/>
      </c>
      <c r="B782" s="156" t="inlineStr">
        <is>
          <t>FA</t>
        </is>
      </c>
      <c r="C782" s="156" t="inlineStr">
        <is>
          <t>Richard Rodgers</t>
        </is>
      </c>
      <c r="D782" s="156" t="inlineStr">
        <is>
          <t>TE</t>
        </is>
      </c>
      <c r="E782" s="156" t="inlineStr">
        <is>
          <t>Knee</t>
        </is>
      </c>
      <c r="F782" s="156" t="inlineStr">
        <is>
          <t>Questionable</t>
        </is>
      </c>
    </row>
    <row r="783" ht="15.6" customHeight="1" s="152">
      <c r="A783" s="167">
        <f>B783&amp;C783</f>
        <v/>
      </c>
      <c r="B783" s="156" t="inlineStr">
        <is>
          <t>DET</t>
        </is>
      </c>
      <c r="C783" s="156" t="inlineStr">
        <is>
          <t>Malcolm Rodriguez</t>
        </is>
      </c>
      <c r="D783" s="156" t="inlineStr">
        <is>
          <t>LB</t>
        </is>
      </c>
      <c r="E783" s="156" t="inlineStr">
        <is>
          <t>Knee - ACL</t>
        </is>
      </c>
      <c r="F783" s="156" t="inlineStr">
        <is>
          <t>PUP-R</t>
        </is>
      </c>
    </row>
    <row r="784" ht="15.6" customHeight="1" s="152">
      <c r="A784" s="167">
        <f>B784&amp;C784</f>
        <v/>
      </c>
      <c r="B784" s="156" t="inlineStr">
        <is>
          <t>FA</t>
        </is>
      </c>
      <c r="C784" s="156" t="inlineStr">
        <is>
          <t>Armani Rogers</t>
        </is>
      </c>
      <c r="D784" s="156" t="inlineStr">
        <is>
          <t>TE</t>
        </is>
      </c>
      <c r="E784" s="156" t="inlineStr">
        <is>
          <t>Achilles</t>
        </is>
      </c>
      <c r="F784" s="156" t="inlineStr">
        <is>
          <t>Questionable</t>
        </is>
      </c>
    </row>
    <row r="785" ht="15.6" customHeight="1" s="152">
      <c r="A785" s="167">
        <f>B785&amp;C785</f>
        <v/>
      </c>
      <c r="B785" s="156" t="inlineStr">
        <is>
          <t>LAC</t>
        </is>
      </c>
      <c r="C785" s="156" t="inlineStr">
        <is>
          <t>Eric Rogers</t>
        </is>
      </c>
      <c r="D785" s="156" t="inlineStr">
        <is>
          <t>CB</t>
        </is>
      </c>
      <c r="E785" s="156" t="inlineStr">
        <is>
          <t>Undisclosed</t>
        </is>
      </c>
      <c r="F785" s="156" t="inlineStr">
        <is>
          <t>IR</t>
        </is>
      </c>
    </row>
    <row r="786" ht="15.6" customHeight="1" s="152">
      <c r="A786" s="167">
        <f>B786&amp;C786</f>
        <v/>
      </c>
      <c r="B786" s="156" t="inlineStr">
        <is>
          <t>FA</t>
        </is>
      </c>
      <c r="C786" s="156" t="inlineStr">
        <is>
          <t>Aldrick Rosas</t>
        </is>
      </c>
      <c r="D786" s="156" t="inlineStr">
        <is>
          <t>K</t>
        </is>
      </c>
      <c r="E786" s="156" t="inlineStr">
        <is>
          <t>Undisclosed</t>
        </is>
      </c>
      <c r="F786" s="156" t="inlineStr">
        <is>
          <t>Questionable</t>
        </is>
      </c>
    </row>
    <row r="787" ht="15.6" customHeight="1" s="152">
      <c r="A787" s="167">
        <f>B787&amp;C787</f>
        <v/>
      </c>
      <c r="B787" s="156" t="inlineStr">
        <is>
          <t>FA</t>
        </is>
      </c>
      <c r="C787" s="156" t="inlineStr">
        <is>
          <t>Daniel Ross</t>
        </is>
      </c>
      <c r="D787" s="156" t="inlineStr">
        <is>
          <t>DT</t>
        </is>
      </c>
      <c r="E787" s="156" t="inlineStr">
        <is>
          <t>Undisclosed</t>
        </is>
      </c>
      <c r="F787" s="156" t="inlineStr">
        <is>
          <t>Questionable</t>
        </is>
      </c>
    </row>
    <row r="788" ht="15.6" customHeight="1" s="152">
      <c r="A788" s="167">
        <f>B788&amp;C788</f>
        <v/>
      </c>
      <c r="B788" s="156" t="inlineStr">
        <is>
          <t>FA</t>
        </is>
      </c>
      <c r="C788" s="156" t="inlineStr">
        <is>
          <t>John Ross</t>
        </is>
      </c>
      <c r="D788" s="156" t="inlineStr">
        <is>
          <t>WR</t>
        </is>
      </c>
      <c r="E788" s="156" t="inlineStr">
        <is>
          <t>Undisclosed</t>
        </is>
      </c>
      <c r="F788" s="156" t="inlineStr">
        <is>
          <t>Questionable</t>
        </is>
      </c>
    </row>
    <row r="789" ht="15.6" customHeight="1" s="152">
      <c r="A789" s="167">
        <f>B789&amp;C789</f>
        <v/>
      </c>
      <c r="B789" s="156" t="inlineStr">
        <is>
          <t>FA</t>
        </is>
      </c>
      <c r="C789" s="156" t="inlineStr">
        <is>
          <t>Bunmi Rotimi</t>
        </is>
      </c>
      <c r="D789" s="156" t="inlineStr">
        <is>
          <t>DE</t>
        </is>
      </c>
      <c r="E789" s="156" t="inlineStr">
        <is>
          <t>Foot</t>
        </is>
      </c>
      <c r="F789" s="156" t="inlineStr">
        <is>
          <t>Questionable</t>
        </is>
      </c>
    </row>
    <row r="790" ht="15.6" customHeight="1" s="152">
      <c r="A790" s="167">
        <f>B790&amp;C790</f>
        <v/>
      </c>
      <c r="B790" s="156" t="inlineStr">
        <is>
          <t>SF</t>
        </is>
      </c>
      <c r="C790" s="156" t="inlineStr">
        <is>
          <t>Kurtis Rourke</t>
        </is>
      </c>
      <c r="D790" s="156" t="inlineStr">
        <is>
          <t>QB</t>
        </is>
      </c>
      <c r="E790" s="156" t="inlineStr">
        <is>
          <t>Knee</t>
        </is>
      </c>
      <c r="F790" s="156" t="inlineStr">
        <is>
          <t>NFI-R</t>
        </is>
      </c>
    </row>
    <row r="791" ht="15.6" customHeight="1" s="152">
      <c r="A791" s="167">
        <f>B791&amp;C791</f>
        <v/>
      </c>
      <c r="B791" s="156" t="inlineStr">
        <is>
          <t>NE</t>
        </is>
      </c>
      <c r="C791" s="156" t="inlineStr">
        <is>
          <t>Jaquelin Roy</t>
        </is>
      </c>
      <c r="D791" s="156" t="inlineStr">
        <is>
          <t>DT</t>
        </is>
      </c>
      <c r="E791" s="156" t="inlineStr">
        <is>
          <t>Undisclosed</t>
        </is>
      </c>
      <c r="F791" s="156" t="inlineStr">
        <is>
          <t>IR</t>
        </is>
      </c>
    </row>
    <row r="792" ht="15.6" customHeight="1" s="152">
      <c r="A792" s="167">
        <f>B792&amp;C792</f>
        <v/>
      </c>
      <c r="B792" s="156" t="inlineStr">
        <is>
          <t>KC</t>
        </is>
      </c>
      <c r="C792" s="156" t="inlineStr">
        <is>
          <t>Jalen Royals</t>
        </is>
      </c>
      <c r="D792" s="156" t="inlineStr">
        <is>
          <t>WR</t>
        </is>
      </c>
      <c r="E792" s="156" t="inlineStr">
        <is>
          <t>Knee</t>
        </is>
      </c>
      <c r="F792" s="156" t="inlineStr">
        <is>
          <t>Questionable</t>
        </is>
      </c>
    </row>
    <row r="793" ht="15.6" customHeight="1" s="152">
      <c r="A793" s="167">
        <f>B793&amp;C793</f>
        <v/>
      </c>
      <c r="B793" s="156" t="inlineStr">
        <is>
          <t>FA</t>
        </is>
      </c>
      <c r="C793" s="156" t="inlineStr">
        <is>
          <t>Wayne Ruby</t>
        </is>
      </c>
      <c r="D793" s="156" t="inlineStr">
        <is>
          <t>WR</t>
        </is>
      </c>
      <c r="E793" s="156" t="inlineStr">
        <is>
          <t>Undisclosed</t>
        </is>
      </c>
      <c r="F793" s="156" t="inlineStr">
        <is>
          <t>Questionable</t>
        </is>
      </c>
    </row>
    <row r="794" ht="15.6" customHeight="1" s="152">
      <c r="A794" s="167">
        <f>B794&amp;C794</f>
        <v/>
      </c>
      <c r="B794" s="156" t="inlineStr">
        <is>
          <t>FA</t>
        </is>
      </c>
      <c r="C794" s="156" t="inlineStr">
        <is>
          <t>Trey Rucker</t>
        </is>
      </c>
      <c r="D794" s="156" t="inlineStr">
        <is>
          <t>S</t>
        </is>
      </c>
      <c r="E794" s="156" t="inlineStr">
        <is>
          <t>Undisclosed</t>
        </is>
      </c>
      <c r="F794" s="156" t="inlineStr">
        <is>
          <t>Questionable</t>
        </is>
      </c>
    </row>
    <row r="795" ht="15.6" customHeight="1" s="152">
      <c r="A795" s="167">
        <f>B795&amp;C795</f>
        <v/>
      </c>
      <c r="B795" s="156" t="inlineStr">
        <is>
          <t>NYG</t>
        </is>
      </c>
      <c r="C795" s="156" t="inlineStr">
        <is>
          <t>Jon Runyan</t>
        </is>
      </c>
      <c r="D795" s="156" t="inlineStr">
        <is>
          <t>OG</t>
        </is>
      </c>
      <c r="E795" s="156" t="inlineStr">
        <is>
          <t>Back</t>
        </is>
      </c>
      <c r="F795" s="156" t="inlineStr">
        <is>
          <t>Questionable</t>
        </is>
      </c>
    </row>
    <row r="796" ht="15.6" customHeight="1" s="152">
      <c r="A796" s="167">
        <f>B796&amp;C796</f>
        <v/>
      </c>
      <c r="B796" s="156" t="inlineStr">
        <is>
          <t>ARI</t>
        </is>
      </c>
      <c r="C796" s="156" t="inlineStr">
        <is>
          <t>J.J. Russell</t>
        </is>
      </c>
      <c r="D796" s="156" t="inlineStr">
        <is>
          <t>LB</t>
        </is>
      </c>
      <c r="E796" s="156" t="inlineStr">
        <is>
          <t>Concussion</t>
        </is>
      </c>
      <c r="F796" s="156" t="inlineStr">
        <is>
          <t>IR</t>
        </is>
      </c>
    </row>
    <row r="797" ht="15.6" customHeight="1" s="152">
      <c r="A797" s="167">
        <f>B797&amp;C797</f>
        <v/>
      </c>
      <c r="B797" s="156" t="inlineStr">
        <is>
          <t>NO</t>
        </is>
      </c>
      <c r="C797" s="156" t="inlineStr">
        <is>
          <t>Nick Saldiveri</t>
        </is>
      </c>
      <c r="D797" s="156" t="inlineStr">
        <is>
          <t>OG</t>
        </is>
      </c>
      <c r="E797" s="156" t="inlineStr">
        <is>
          <t>Knee</t>
        </is>
      </c>
      <c r="F797" s="156" t="inlineStr">
        <is>
          <t>IR</t>
        </is>
      </c>
    </row>
    <row r="798" ht="15.6" customHeight="1" s="152">
      <c r="A798" s="167">
        <f>B798&amp;C798</f>
        <v/>
      </c>
      <c r="B798" s="156" t="inlineStr">
        <is>
          <t>FA</t>
        </is>
      </c>
      <c r="C798" s="156" t="inlineStr">
        <is>
          <t>Christian Sam</t>
        </is>
      </c>
      <c r="D798" s="156" t="inlineStr">
        <is>
          <t>LB</t>
        </is>
      </c>
      <c r="E798" s="156" t="inlineStr">
        <is>
          <t>Undisclosed</t>
        </is>
      </c>
      <c r="F798" s="156" t="inlineStr">
        <is>
          <t>Questionable</t>
        </is>
      </c>
    </row>
    <row r="799" ht="15.6" customHeight="1" s="152">
      <c r="A799" s="167">
        <f>B799&amp;C799</f>
        <v/>
      </c>
      <c r="B799" s="156" t="inlineStr">
        <is>
          <t>FA</t>
        </is>
      </c>
      <c r="C799" s="156" t="inlineStr">
        <is>
          <t>Asante Samuel</t>
        </is>
      </c>
      <c r="D799" s="156" t="inlineStr">
        <is>
          <t>CB</t>
        </is>
      </c>
      <c r="E799" s="156" t="inlineStr">
        <is>
          <t>Neck</t>
        </is>
      </c>
      <c r="F799" s="156" t="inlineStr">
        <is>
          <t>Questionable</t>
        </is>
      </c>
    </row>
    <row r="800" ht="15.6" customHeight="1" s="152">
      <c r="A800" s="167">
        <f>B800&amp;C800</f>
        <v/>
      </c>
      <c r="B800" s="156" t="inlineStr">
        <is>
          <t>DEN</t>
        </is>
      </c>
      <c r="C800" s="156" t="inlineStr">
        <is>
          <t>Drew Sanders</t>
        </is>
      </c>
      <c r="D800" s="156" t="inlineStr">
        <is>
          <t>LB</t>
        </is>
      </c>
      <c r="E800" s="156" t="inlineStr">
        <is>
          <t>Foot</t>
        </is>
      </c>
      <c r="F800" s="156" t="inlineStr">
        <is>
          <t>IR-R</t>
        </is>
      </c>
    </row>
    <row r="801" ht="15.6" customHeight="1" s="152">
      <c r="A801" s="167">
        <f>B801&amp;C801</f>
        <v/>
      </c>
      <c r="B801" s="156" t="inlineStr">
        <is>
          <t>MIA</t>
        </is>
      </c>
      <c r="C801" s="156" t="inlineStr">
        <is>
          <t>Jason Sanders</t>
        </is>
      </c>
      <c r="D801" s="156" t="inlineStr">
        <is>
          <t>K</t>
        </is>
      </c>
      <c r="E801" s="156" t="inlineStr">
        <is>
          <t>Hip</t>
        </is>
      </c>
      <c r="F801" s="156" t="inlineStr">
        <is>
          <t>IR-R</t>
        </is>
      </c>
    </row>
    <row r="802" ht="15.6" customHeight="1" s="152">
      <c r="A802" s="167">
        <f>B802&amp;C802</f>
        <v/>
      </c>
      <c r="B802" s="156" t="inlineStr">
        <is>
          <t>FA</t>
        </is>
      </c>
      <c r="C802" s="156" t="inlineStr">
        <is>
          <t>DJ Scaife</t>
        </is>
      </c>
      <c r="D802" s="156" t="inlineStr">
        <is>
          <t>OT</t>
        </is>
      </c>
      <c r="E802" s="156" t="inlineStr">
        <is>
          <t>Leg</t>
        </is>
      </c>
      <c r="F802" s="156" t="inlineStr">
        <is>
          <t>Questionable</t>
        </is>
      </c>
    </row>
    <row r="803" ht="15.6" customHeight="1" s="152">
      <c r="A803" s="167">
        <f>B803&amp;C803</f>
        <v/>
      </c>
      <c r="B803" s="156" t="inlineStr">
        <is>
          <t>PIT</t>
        </is>
      </c>
      <c r="C803" s="156" t="inlineStr">
        <is>
          <t>Max Scharping</t>
        </is>
      </c>
      <c r="D803" s="156" t="inlineStr">
        <is>
          <t>OG</t>
        </is>
      </c>
      <c r="E803" s="156" t="inlineStr">
        <is>
          <t>Knee</t>
        </is>
      </c>
      <c r="F803" s="156" t="inlineStr">
        <is>
          <t>Questionable</t>
        </is>
      </c>
    </row>
    <row r="804" ht="15.6" customHeight="1" s="152">
      <c r="A804" s="167">
        <f>B804&amp;C804</f>
        <v/>
      </c>
      <c r="B804" s="156" t="inlineStr">
        <is>
          <t>FA</t>
        </is>
      </c>
      <c r="C804" s="156" t="inlineStr">
        <is>
          <t>Sam Schlueter</t>
        </is>
      </c>
      <c r="D804" s="156" t="inlineStr">
        <is>
          <t>OT</t>
        </is>
      </c>
      <c r="E804" s="156" t="inlineStr">
        <is>
          <t>Illness</t>
        </is>
      </c>
      <c r="F804" s="156" t="inlineStr">
        <is>
          <t>Questionable</t>
        </is>
      </c>
    </row>
    <row r="805" ht="15.6" customHeight="1" s="152">
      <c r="A805" s="167">
        <f>B805&amp;C805</f>
        <v/>
      </c>
      <c r="B805" s="156" t="inlineStr">
        <is>
          <t>NYG</t>
        </is>
      </c>
      <c r="C805" s="156" t="inlineStr">
        <is>
          <t>John Michael Schmitz</t>
        </is>
      </c>
      <c r="D805" s="156" t="inlineStr">
        <is>
          <t>C</t>
        </is>
      </c>
      <c r="E805" s="156" t="inlineStr">
        <is>
          <t>Toe</t>
        </is>
      </c>
      <c r="F805" s="156" t="inlineStr">
        <is>
          <t>Questionable</t>
        </is>
      </c>
    </row>
    <row r="806" ht="15.6" customHeight="1" s="152">
      <c r="A806" s="167">
        <f>B806&amp;C806</f>
        <v/>
      </c>
      <c r="B806" s="156" t="inlineStr">
        <is>
          <t>FA</t>
        </is>
      </c>
      <c r="C806" s="156" t="inlineStr">
        <is>
          <t>Anthony Schwartz</t>
        </is>
      </c>
      <c r="D806" s="156" t="inlineStr">
        <is>
          <t>WR</t>
        </is>
      </c>
      <c r="E806" s="156" t="inlineStr">
        <is>
          <t>Knee</t>
        </is>
      </c>
      <c r="F806" s="156" t="inlineStr">
        <is>
          <t>Questionable</t>
        </is>
      </c>
    </row>
    <row r="807" ht="15.6" customHeight="1" s="152">
      <c r="A807" s="167">
        <f>B807&amp;C807</f>
        <v/>
      </c>
      <c r="B807" s="156" t="inlineStr">
        <is>
          <t>NE</t>
        </is>
      </c>
      <c r="C807" s="156" t="inlineStr">
        <is>
          <t>Wes Schweitzer</t>
        </is>
      </c>
      <c r="D807" s="156" t="inlineStr">
        <is>
          <t>C</t>
        </is>
      </c>
      <c r="E807" s="156" t="inlineStr">
        <is>
          <t>Undisclosed</t>
        </is>
      </c>
      <c r="F807" s="156" t="inlineStr">
        <is>
          <t>Reserve-Ret</t>
        </is>
      </c>
    </row>
    <row r="808" ht="15.6" customHeight="1" s="152">
      <c r="A808" s="167">
        <f>B808&amp;C808</f>
        <v/>
      </c>
      <c r="B808" s="156" t="inlineStr">
        <is>
          <t>KC</t>
        </is>
      </c>
      <c r="C808" s="156" t="inlineStr">
        <is>
          <t>Eric Scott</t>
        </is>
      </c>
      <c r="D808" s="156" t="inlineStr">
        <is>
          <t>CB</t>
        </is>
      </c>
      <c r="E808" s="156" t="inlineStr">
        <is>
          <t>Undisclosed</t>
        </is>
      </c>
      <c r="F808" s="156" t="inlineStr">
        <is>
          <t>IR</t>
        </is>
      </c>
    </row>
    <row r="809" ht="15.6" customHeight="1" s="152">
      <c r="A809" s="167">
        <f>B809&amp;C809</f>
        <v/>
      </c>
      <c r="B809" s="156" t="inlineStr">
        <is>
          <t>FA</t>
        </is>
      </c>
      <c r="C809" s="156" t="inlineStr">
        <is>
          <t>Ricky Seals-Jones</t>
        </is>
      </c>
      <c r="D809" s="156" t="inlineStr">
        <is>
          <t>TE</t>
        </is>
      </c>
      <c r="E809" s="156" t="inlineStr">
        <is>
          <t>Foot</t>
        </is>
      </c>
      <c r="F809" s="156" t="inlineStr">
        <is>
          <t>Questionable</t>
        </is>
      </c>
    </row>
    <row r="810" ht="15.6" customHeight="1" s="152">
      <c r="A810" s="167">
        <f>B810&amp;C810</f>
        <v/>
      </c>
      <c r="B810" s="156" t="inlineStr">
        <is>
          <t>FA</t>
        </is>
      </c>
      <c r="C810" s="156" t="inlineStr">
        <is>
          <t>Austin Seibert</t>
        </is>
      </c>
      <c r="D810" s="156" t="inlineStr">
        <is>
          <t>K</t>
        </is>
      </c>
      <c r="E810" s="156" t="inlineStr">
        <is>
          <t>Groin</t>
        </is>
      </c>
      <c r="F810" s="156" t="inlineStr">
        <is>
          <t>Questionable</t>
        </is>
      </c>
    </row>
    <row r="811" ht="15.6" customHeight="1" s="152">
      <c r="A811" s="167">
        <f>B811&amp;C811</f>
        <v/>
      </c>
      <c r="B811" s="156" t="inlineStr">
        <is>
          <t>ARI</t>
        </is>
      </c>
      <c r="C811" s="156" t="inlineStr">
        <is>
          <t>Valentin Senn</t>
        </is>
      </c>
      <c r="D811" s="156" t="inlineStr">
        <is>
          <t>OT</t>
        </is>
      </c>
      <c r="E811" s="156" t="inlineStr">
        <is>
          <t>Undisclosed</t>
        </is>
      </c>
      <c r="F811" s="156" t="inlineStr">
        <is>
          <t>IR</t>
        </is>
      </c>
    </row>
    <row r="812" ht="15.6" customHeight="1" s="152">
      <c r="A812" s="167">
        <f>B812&amp;C812</f>
        <v/>
      </c>
      <c r="B812" s="156" t="inlineStr">
        <is>
          <t>FA</t>
        </is>
      </c>
      <c r="C812" s="156" t="inlineStr">
        <is>
          <t>Kevon Seymour</t>
        </is>
      </c>
      <c r="D812" s="156" t="inlineStr">
        <is>
          <t>CB</t>
        </is>
      </c>
      <c r="E812" s="156" t="inlineStr">
        <is>
          <t>Undisclosed</t>
        </is>
      </c>
      <c r="F812" s="156" t="inlineStr">
        <is>
          <t>Questionable</t>
        </is>
      </c>
    </row>
    <row r="813" ht="15.6" customHeight="1" s="152">
      <c r="A813" s="167">
        <f>B813&amp;C813</f>
        <v/>
      </c>
      <c r="B813" s="156" t="inlineStr">
        <is>
          <t>FA</t>
        </is>
      </c>
      <c r="C813" s="156" t="inlineStr">
        <is>
          <t>Liam Shanahan</t>
        </is>
      </c>
      <c r="D813" s="156" t="inlineStr">
        <is>
          <t>C</t>
        </is>
      </c>
      <c r="E813" s="156" t="inlineStr">
        <is>
          <t>Undisclosed</t>
        </is>
      </c>
      <c r="F813" s="156" t="inlineStr">
        <is>
          <t>Questionable</t>
        </is>
      </c>
    </row>
    <row r="814" ht="15.6" customHeight="1" s="152">
      <c r="A814" s="167">
        <f>B814&amp;C814</f>
        <v/>
      </c>
      <c r="B814" s="156" t="inlineStr">
        <is>
          <t>FA</t>
        </is>
      </c>
      <c r="C814" s="156" t="inlineStr">
        <is>
          <t>Tajae Sharpe</t>
        </is>
      </c>
      <c r="D814" s="156" t="inlineStr">
        <is>
          <t>WR</t>
        </is>
      </c>
      <c r="E814" s="156" t="inlineStr">
        <is>
          <t>Undisclosed</t>
        </is>
      </c>
      <c r="F814" s="156" t="inlineStr">
        <is>
          <t>Questionable</t>
        </is>
      </c>
    </row>
    <row r="815" ht="15.6" customHeight="1" s="152">
      <c r="A815" s="167">
        <f>B815&amp;C815</f>
        <v/>
      </c>
      <c r="B815" s="156" t="inlineStr">
        <is>
          <t>FA</t>
        </is>
      </c>
      <c r="C815" s="156" t="inlineStr">
        <is>
          <t>Kendall Sheffield</t>
        </is>
      </c>
      <c r="D815" s="156" t="inlineStr">
        <is>
          <t>CB</t>
        </is>
      </c>
      <c r="E815" s="156" t="inlineStr">
        <is>
          <t>Undisclosed</t>
        </is>
      </c>
      <c r="F815" s="156" t="inlineStr">
        <is>
          <t>Questionable</t>
        </is>
      </c>
    </row>
    <row r="816" ht="15.6" customHeight="1" s="152">
      <c r="A816" s="167">
        <f>B816&amp;C816</f>
        <v/>
      </c>
      <c r="B816" s="156" t="inlineStr">
        <is>
          <t>FA</t>
        </is>
      </c>
      <c r="C816" s="156" t="inlineStr">
        <is>
          <t>Tyler Shelvin</t>
        </is>
      </c>
      <c r="D816" s="156" t="inlineStr">
        <is>
          <t>DT</t>
        </is>
      </c>
      <c r="E816" s="156" t="inlineStr">
        <is>
          <t>Undisclosed</t>
        </is>
      </c>
      <c r="F816" s="156" t="inlineStr">
        <is>
          <t>Questionable</t>
        </is>
      </c>
    </row>
    <row r="817" ht="15.6" customHeight="1" s="152">
      <c r="A817" s="167">
        <f>B817&amp;C817</f>
        <v/>
      </c>
      <c r="B817" s="156" t="inlineStr">
        <is>
          <t>FA</t>
        </is>
      </c>
      <c r="C817" s="156" t="inlineStr">
        <is>
          <t>Darrius Shepherd</t>
        </is>
      </c>
      <c r="D817" s="156" t="inlineStr">
        <is>
          <t>WR</t>
        </is>
      </c>
      <c r="E817" s="156" t="inlineStr">
        <is>
          <t>Undisclosed</t>
        </is>
      </c>
      <c r="F817" s="156" t="inlineStr">
        <is>
          <t>Questionable</t>
        </is>
      </c>
    </row>
    <row r="818" ht="15.6" customHeight="1" s="152">
      <c r="A818" s="167">
        <f>B818&amp;C818</f>
        <v/>
      </c>
      <c r="B818" s="156" t="inlineStr">
        <is>
          <t>FA</t>
        </is>
      </c>
      <c r="C818" s="156" t="inlineStr">
        <is>
          <t>Dakoda Shepley</t>
        </is>
      </c>
      <c r="D818" s="156" t="inlineStr">
        <is>
          <t>OG</t>
        </is>
      </c>
      <c r="E818" s="156" t="inlineStr">
        <is>
          <t>Ankle</t>
        </is>
      </c>
      <c r="F818" s="156" t="inlineStr">
        <is>
          <t>Questionable</t>
        </is>
      </c>
    </row>
    <row r="819" ht="15.6" customHeight="1" s="152">
      <c r="A819" s="167">
        <f>B819&amp;C819</f>
        <v/>
      </c>
      <c r="B819" s="156" t="inlineStr">
        <is>
          <t>PHI</t>
        </is>
      </c>
      <c r="C819" s="156" t="inlineStr">
        <is>
          <t>Will Shipley</t>
        </is>
      </c>
      <c r="D819" s="156" t="inlineStr">
        <is>
          <t>RB</t>
        </is>
      </c>
      <c r="E819" s="156" t="inlineStr">
        <is>
          <t>Oblique</t>
        </is>
      </c>
      <c r="F819" s="156" t="inlineStr">
        <is>
          <t>Questionable</t>
        </is>
      </c>
    </row>
    <row r="820" ht="15.6" customHeight="1" s="152">
      <c r="A820" s="167">
        <f>B820&amp;C820</f>
        <v/>
      </c>
      <c r="B820" s="156" t="inlineStr">
        <is>
          <t>KC</t>
        </is>
      </c>
      <c r="C820" s="156" t="inlineStr">
        <is>
          <t>Josh Simmons</t>
        </is>
      </c>
      <c r="D820" s="156" t="inlineStr">
        <is>
          <t>OT</t>
        </is>
      </c>
      <c r="E820" s="156" t="inlineStr">
        <is>
          <t>Illness</t>
        </is>
      </c>
      <c r="F820" s="156" t="inlineStr">
        <is>
          <t>Questionable</t>
        </is>
      </c>
    </row>
    <row r="821" ht="15.6" customHeight="1" s="152">
      <c r="A821" s="167">
        <f>B821&amp;C821</f>
        <v/>
      </c>
      <c r="B821" s="156" t="inlineStr">
        <is>
          <t>FA</t>
        </is>
      </c>
      <c r="C821" s="156" t="inlineStr">
        <is>
          <t>Lachavious Simmons</t>
        </is>
      </c>
      <c r="D821" s="156" t="inlineStr">
        <is>
          <t>OG</t>
        </is>
      </c>
      <c r="E821" s="156" t="inlineStr">
        <is>
          <t>Undisclosed</t>
        </is>
      </c>
      <c r="F821" s="156" t="inlineStr">
        <is>
          <t>Questionable</t>
        </is>
      </c>
    </row>
    <row r="822" ht="15.6" customHeight="1" s="152">
      <c r="A822" s="167">
        <f>B822&amp;C822</f>
        <v/>
      </c>
      <c r="B822" s="156" t="inlineStr">
        <is>
          <t>FA</t>
        </is>
      </c>
      <c r="C822" s="156" t="inlineStr">
        <is>
          <t>Marcus Simms</t>
        </is>
      </c>
      <c r="D822" s="156" t="inlineStr">
        <is>
          <t>WR</t>
        </is>
      </c>
      <c r="E822" s="156" t="inlineStr">
        <is>
          <t>Undisclosed</t>
        </is>
      </c>
      <c r="F822" s="156" t="inlineStr">
        <is>
          <t>Questionable</t>
        </is>
      </c>
    </row>
    <row r="823" ht="15.6" customHeight="1" s="152">
      <c r="A823" s="167">
        <f>B823&amp;C823</f>
        <v/>
      </c>
      <c r="B823" s="156" t="inlineStr">
        <is>
          <t>ARI</t>
        </is>
      </c>
      <c r="C823" s="156" t="inlineStr">
        <is>
          <t>Cody Simon</t>
        </is>
      </c>
      <c r="D823" s="156" t="inlineStr">
        <is>
          <t>LB</t>
        </is>
      </c>
      <c r="E823" s="156" t="inlineStr">
        <is>
          <t>Concussion</t>
        </is>
      </c>
      <c r="F823" s="156" t="inlineStr">
        <is>
          <t>Questionable</t>
        </is>
      </c>
    </row>
    <row r="824" ht="15.6" customHeight="1" s="152">
      <c r="A824" s="167">
        <f>B824&amp;C824</f>
        <v/>
      </c>
      <c r="B824" s="156" t="inlineStr">
        <is>
          <t>FA</t>
        </is>
      </c>
      <c r="C824" s="156" t="inlineStr">
        <is>
          <t>Cam Sims</t>
        </is>
      </c>
      <c r="D824" s="156" t="inlineStr">
        <is>
          <t>WR</t>
        </is>
      </c>
      <c r="E824" s="156" t="inlineStr">
        <is>
          <t>Undisclosed</t>
        </is>
      </c>
      <c r="F824" s="156" t="inlineStr">
        <is>
          <t>Questionable</t>
        </is>
      </c>
    </row>
    <row r="825" ht="15.6" customHeight="1" s="152">
      <c r="A825" s="167">
        <f>B825&amp;C825</f>
        <v/>
      </c>
      <c r="B825" s="156" t="inlineStr">
        <is>
          <t>FA</t>
        </is>
      </c>
      <c r="C825" s="156" t="inlineStr">
        <is>
          <t>Steven Sims</t>
        </is>
      </c>
      <c r="D825" s="156" t="inlineStr">
        <is>
          <t>WR</t>
        </is>
      </c>
      <c r="E825" s="156" t="inlineStr">
        <is>
          <t>Hamstring</t>
        </is>
      </c>
      <c r="F825" s="156" t="inlineStr">
        <is>
          <t>Questionable</t>
        </is>
      </c>
    </row>
    <row r="826" ht="15.6" customHeight="1" s="152">
      <c r="A826" s="167">
        <f>B826&amp;C826</f>
        <v/>
      </c>
      <c r="B826" s="156" t="inlineStr">
        <is>
          <t>FA</t>
        </is>
      </c>
      <c r="C826" s="156" t="inlineStr">
        <is>
          <t>Tuzar Skipper</t>
        </is>
      </c>
      <c r="D826" s="156" t="inlineStr">
        <is>
          <t>LB</t>
        </is>
      </c>
      <c r="E826" s="156" t="inlineStr">
        <is>
          <t>Undisclosed</t>
        </is>
      </c>
      <c r="F826" s="156" t="inlineStr">
        <is>
          <t>Questionable</t>
        </is>
      </c>
    </row>
    <row r="827" ht="15.6" customHeight="1" s="152">
      <c r="A827" s="167">
        <f>B827&amp;C827</f>
        <v/>
      </c>
      <c r="B827" s="156" t="inlineStr">
        <is>
          <t>MIN</t>
        </is>
      </c>
      <c r="C827" s="156" t="inlineStr">
        <is>
          <t>Justin Skule</t>
        </is>
      </c>
      <c r="D827" s="156" t="inlineStr">
        <is>
          <t>OT</t>
        </is>
      </c>
      <c r="E827" s="156" t="inlineStr">
        <is>
          <t>Concussion</t>
        </is>
      </c>
      <c r="F827" s="156" t="inlineStr">
        <is>
          <t>Questionable</t>
        </is>
      </c>
    </row>
    <row r="828" ht="15.6" customHeight="1" s="152">
      <c r="A828" s="167">
        <f>B828&amp;C828</f>
        <v/>
      </c>
      <c r="B828" s="156" t="inlineStr">
        <is>
          <t>PIT</t>
        </is>
      </c>
      <c r="C828" s="156" t="inlineStr">
        <is>
          <t>Jacob Slade</t>
        </is>
      </c>
      <c r="D828" s="156" t="inlineStr">
        <is>
          <t>DT</t>
        </is>
      </c>
      <c r="E828" s="156" t="inlineStr">
        <is>
          <t>Undisclosed</t>
        </is>
      </c>
      <c r="F828" s="156" t="inlineStr">
        <is>
          <t>IR</t>
        </is>
      </c>
    </row>
    <row r="829" ht="15.6" customHeight="1" s="152">
      <c r="A829" s="167">
        <f>B829&amp;C829</f>
        <v/>
      </c>
      <c r="B829" s="156" t="inlineStr">
        <is>
          <t>LAC</t>
        </is>
      </c>
      <c r="C829" s="156" t="inlineStr">
        <is>
          <t>Rashawn Slater</t>
        </is>
      </c>
      <c r="D829" s="156" t="inlineStr">
        <is>
          <t>OT</t>
        </is>
      </c>
      <c r="E829" s="156" t="inlineStr">
        <is>
          <t>Kneecap</t>
        </is>
      </c>
      <c r="F829" s="156" t="inlineStr">
        <is>
          <t>IR</t>
        </is>
      </c>
    </row>
    <row r="830" ht="15.6" customHeight="1" s="152">
      <c r="A830" s="167">
        <f>B830&amp;C830</f>
        <v/>
      </c>
      <c r="B830" s="156" t="inlineStr">
        <is>
          <t>NYG</t>
        </is>
      </c>
      <c r="C830" s="156" t="inlineStr">
        <is>
          <t>Darius Slayton</t>
        </is>
      </c>
      <c r="D830" s="156" t="inlineStr">
        <is>
          <t>WR</t>
        </is>
      </c>
      <c r="E830" s="156" t="inlineStr">
        <is>
          <t>Groin</t>
        </is>
      </c>
      <c r="F830" s="156" t="inlineStr">
        <is>
          <t>Questionable</t>
        </is>
      </c>
    </row>
    <row r="831" ht="15.6" customHeight="1" s="152">
      <c r="A831" s="167">
        <f>B831&amp;C831</f>
        <v/>
      </c>
      <c r="B831" s="156" t="inlineStr">
        <is>
          <t>FA</t>
        </is>
      </c>
      <c r="C831" s="156" t="inlineStr">
        <is>
          <t>Jabari Small</t>
        </is>
      </c>
      <c r="D831" s="156" t="inlineStr">
        <is>
          <t>RB</t>
        </is>
      </c>
      <c r="E831" s="156" t="inlineStr">
        <is>
          <t>Undisclosed</t>
        </is>
      </c>
      <c r="F831" s="156" t="inlineStr">
        <is>
          <t>Questionable</t>
        </is>
      </c>
    </row>
    <row r="832" ht="15.6" customHeight="1" s="152">
      <c r="A832" s="167">
        <f>B832&amp;C832</f>
        <v/>
      </c>
      <c r="B832" s="156" t="inlineStr">
        <is>
          <t>FA</t>
        </is>
      </c>
      <c r="C832" s="156" t="inlineStr">
        <is>
          <t>Ryan Smenda</t>
        </is>
      </c>
      <c r="D832" s="156" t="inlineStr">
        <is>
          <t>LB</t>
        </is>
      </c>
      <c r="E832" s="156" t="inlineStr">
        <is>
          <t>Undisclosed</t>
        </is>
      </c>
      <c r="F832" s="156" t="inlineStr">
        <is>
          <t>Questionable</t>
        </is>
      </c>
    </row>
    <row r="833" ht="15.6" customHeight="1" s="152">
      <c r="A833" s="167">
        <f>B833&amp;C833</f>
        <v/>
      </c>
      <c r="B833" s="156" t="inlineStr">
        <is>
          <t>MIA</t>
        </is>
      </c>
      <c r="C833" s="156" t="inlineStr">
        <is>
          <t>Cam Smith</t>
        </is>
      </c>
      <c r="D833" s="156" t="inlineStr">
        <is>
          <t>CB</t>
        </is>
      </c>
      <c r="E833" s="156" t="inlineStr">
        <is>
          <t>Undisclosed</t>
        </is>
      </c>
      <c r="F833" s="156" t="inlineStr">
        <is>
          <t>NFI-R</t>
        </is>
      </c>
    </row>
    <row r="834" ht="15.6" customHeight="1" s="152">
      <c r="A834" s="167">
        <f>B834&amp;C834</f>
        <v/>
      </c>
      <c r="B834" s="156" t="inlineStr">
        <is>
          <t>CLE</t>
        </is>
      </c>
      <c r="C834" s="156" t="inlineStr">
        <is>
          <t>Elerson Smith</t>
        </is>
      </c>
      <c r="D834" s="156" t="inlineStr">
        <is>
          <t>DE</t>
        </is>
      </c>
      <c r="E834" s="156" t="inlineStr">
        <is>
          <t>Undisclosed</t>
        </is>
      </c>
      <c r="F834" s="156" t="inlineStr">
        <is>
          <t>Reserve-Ret</t>
        </is>
      </c>
    </row>
    <row r="835" ht="15.6" customHeight="1" s="152">
      <c r="A835" s="167">
        <f>B835&amp;C835</f>
        <v/>
      </c>
      <c r="B835" s="156" t="inlineStr">
        <is>
          <t>MIN</t>
        </is>
      </c>
      <c r="C835" s="156" t="inlineStr">
        <is>
          <t>Harrison Smith</t>
        </is>
      </c>
      <c r="D835" s="156" t="inlineStr">
        <is>
          <t>S</t>
        </is>
      </c>
      <c r="E835" s="156" t="inlineStr">
        <is>
          <t>Illness</t>
        </is>
      </c>
      <c r="F835" s="156" t="inlineStr">
        <is>
          <t>Questionable</t>
        </is>
      </c>
    </row>
    <row r="836" ht="15.6" customHeight="1" s="152">
      <c r="A836" s="167">
        <f>B836&amp;C836</f>
        <v/>
      </c>
      <c r="B836" s="156" t="inlineStr">
        <is>
          <t>HOU</t>
        </is>
      </c>
      <c r="C836" s="156" t="inlineStr">
        <is>
          <t>Irv Smith</t>
        </is>
      </c>
      <c r="D836" s="156" t="inlineStr">
        <is>
          <t>TE</t>
        </is>
      </c>
      <c r="E836" s="156" t="inlineStr">
        <is>
          <t>Ankle</t>
        </is>
      </c>
      <c r="F836" s="156" t="inlineStr">
        <is>
          <t>IR</t>
        </is>
      </c>
    </row>
    <row r="837" ht="15.6" customHeight="1" s="152">
      <c r="A837" s="167">
        <f>B837&amp;C837</f>
        <v/>
      </c>
      <c r="B837" s="156" t="inlineStr">
        <is>
          <t>TB</t>
        </is>
      </c>
      <c r="C837" s="156" t="inlineStr">
        <is>
          <t>Jaden Smith</t>
        </is>
      </c>
      <c r="D837" s="156" t="inlineStr">
        <is>
          <t>WR</t>
        </is>
      </c>
      <c r="E837" s="156" t="inlineStr">
        <is>
          <t>Undisclosed</t>
        </is>
      </c>
      <c r="F837" s="156" t="inlineStr">
        <is>
          <t>IR</t>
        </is>
      </c>
    </row>
    <row r="838" ht="15.6" customHeight="1" s="152">
      <c r="A838" s="167">
        <f>B838&amp;C838</f>
        <v/>
      </c>
      <c r="B838" s="156" t="inlineStr">
        <is>
          <t>HOU</t>
        </is>
      </c>
      <c r="C838" s="156" t="inlineStr">
        <is>
          <t>Jaylin Smith</t>
        </is>
      </c>
      <c r="D838" s="156" t="inlineStr">
        <is>
          <t>CB</t>
        </is>
      </c>
      <c r="E838" s="156" t="inlineStr">
        <is>
          <t>Hamstring</t>
        </is>
      </c>
      <c r="F838" s="156" t="inlineStr">
        <is>
          <t>Questionable</t>
        </is>
      </c>
    </row>
    <row r="839" ht="15.6" customHeight="1" s="152">
      <c r="A839" s="167">
        <f>B839&amp;C839</f>
        <v/>
      </c>
      <c r="B839" s="156" t="inlineStr">
        <is>
          <t>FA</t>
        </is>
      </c>
      <c r="C839" s="156" t="inlineStr">
        <is>
          <t>Jeff Smith</t>
        </is>
      </c>
      <c r="D839" s="156" t="inlineStr">
        <is>
          <t>WR</t>
        </is>
      </c>
      <c r="E839" s="156" t="inlineStr">
        <is>
          <t>Undisclosed</t>
        </is>
      </c>
      <c r="F839" s="156" t="inlineStr">
        <is>
          <t>Questionable</t>
        </is>
      </c>
    </row>
    <row r="840" ht="15.6" customHeight="1" s="152">
      <c r="A840" s="167">
        <f>B840&amp;C840</f>
        <v/>
      </c>
      <c r="B840" s="156" t="inlineStr">
        <is>
          <t>FA</t>
        </is>
      </c>
      <c r="C840" s="156" t="inlineStr">
        <is>
          <t>Keith Smith</t>
        </is>
      </c>
      <c r="D840" s="156" t="inlineStr">
        <is>
          <t>FB</t>
        </is>
      </c>
      <c r="E840" s="156" t="inlineStr">
        <is>
          <t>Ankle</t>
        </is>
      </c>
      <c r="F840" s="156" t="inlineStr">
        <is>
          <t>Questionable</t>
        </is>
      </c>
    </row>
    <row r="841" ht="15.6" customHeight="1" s="152">
      <c r="A841" s="167">
        <f>B841&amp;C841</f>
        <v/>
      </c>
      <c r="B841" s="156" t="inlineStr">
        <is>
          <t>FA</t>
        </is>
      </c>
      <c r="C841" s="156" t="inlineStr">
        <is>
          <t>Maurice Smith</t>
        </is>
      </c>
      <c r="D841" s="156" t="inlineStr">
        <is>
          <t>S</t>
        </is>
      </c>
      <c r="E841" s="156" t="inlineStr">
        <is>
          <t>Undisclosed</t>
        </is>
      </c>
      <c r="F841" s="156" t="inlineStr">
        <is>
          <t>Questionable</t>
        </is>
      </c>
    </row>
    <row r="842" ht="15.6" customHeight="1" s="152">
      <c r="A842" s="167">
        <f>B842&amp;C842</f>
        <v/>
      </c>
      <c r="B842" s="156" t="inlineStr">
        <is>
          <t>FA</t>
        </is>
      </c>
      <c r="C842" s="156" t="inlineStr">
        <is>
          <t>Shi Smith</t>
        </is>
      </c>
      <c r="D842" s="156" t="inlineStr">
        <is>
          <t>WR</t>
        </is>
      </c>
      <c r="E842" s="156" t="inlineStr">
        <is>
          <t>Suspension</t>
        </is>
      </c>
      <c r="F842" s="156" t="inlineStr">
        <is>
          <t>Reserve-Sus</t>
        </is>
      </c>
    </row>
    <row r="843" ht="15.6" customHeight="1" s="152">
      <c r="A843" s="167">
        <f>B843&amp;C843</f>
        <v/>
      </c>
      <c r="B843" s="156" t="inlineStr">
        <is>
          <t>CHI</t>
        </is>
      </c>
      <c r="C843" s="156" t="inlineStr">
        <is>
          <t>Terell Smith</t>
        </is>
      </c>
      <c r="D843" s="156" t="inlineStr">
        <is>
          <t>CB</t>
        </is>
      </c>
      <c r="E843" s="156" t="inlineStr">
        <is>
          <t>Knee</t>
        </is>
      </c>
      <c r="F843" s="156" t="inlineStr">
        <is>
          <t>IR</t>
        </is>
      </c>
    </row>
    <row r="844" ht="15.6" customHeight="1" s="152">
      <c r="A844" s="167">
        <f>B844&amp;C844</f>
        <v/>
      </c>
      <c r="B844" s="156" t="inlineStr">
        <is>
          <t>FA</t>
        </is>
      </c>
      <c r="C844" s="156" t="inlineStr">
        <is>
          <t>Tyler Smith</t>
        </is>
      </c>
      <c r="D844" s="156" t="inlineStr">
        <is>
          <t>OT</t>
        </is>
      </c>
      <c r="E844" s="156" t="inlineStr">
        <is>
          <t>Undisclosed</t>
        </is>
      </c>
      <c r="F844" s="156" t="inlineStr">
        <is>
          <t>Questionable</t>
        </is>
      </c>
    </row>
    <row r="845" ht="15.6" customHeight="1" s="152">
      <c r="A845" s="167">
        <f>B845&amp;C845</f>
        <v/>
      </c>
      <c r="B845" s="156" t="inlineStr">
        <is>
          <t>FA</t>
        </is>
      </c>
      <c r="C845" s="156" t="inlineStr">
        <is>
          <t>James Smith-Williams</t>
        </is>
      </c>
      <c r="D845" s="156" t="inlineStr">
        <is>
          <t>LB</t>
        </is>
      </c>
      <c r="E845" s="156" t="inlineStr">
        <is>
          <t>Lower Leg</t>
        </is>
      </c>
      <c r="F845" s="156" t="inlineStr">
        <is>
          <t>Questionable</t>
        </is>
      </c>
    </row>
    <row r="846" ht="15.6" customHeight="1" s="152">
      <c r="A846" s="167">
        <f>B846&amp;C846</f>
        <v/>
      </c>
      <c r="B846" s="156" t="inlineStr">
        <is>
          <t>TEN</t>
        </is>
      </c>
      <c r="C846" s="156" t="inlineStr">
        <is>
          <t>L'Jarius Sneed</t>
        </is>
      </c>
      <c r="D846" s="156" t="inlineStr">
        <is>
          <t>CB</t>
        </is>
      </c>
      <c r="E846" s="156" t="inlineStr">
        <is>
          <t>Back</t>
        </is>
      </c>
      <c r="F846" s="156" t="inlineStr">
        <is>
          <t>Questionable</t>
        </is>
      </c>
    </row>
    <row r="847" ht="15.6" customHeight="1" s="152">
      <c r="A847" s="167">
        <f>B847&amp;C847</f>
        <v/>
      </c>
      <c r="B847" s="156" t="inlineStr">
        <is>
          <t>FA</t>
        </is>
      </c>
      <c r="C847" s="156" t="inlineStr">
        <is>
          <t>Dylan Soehner</t>
        </is>
      </c>
      <c r="D847" s="156" t="inlineStr">
        <is>
          <t>TE</t>
        </is>
      </c>
      <c r="E847" s="156" t="inlineStr">
        <is>
          <t>Undisclosed</t>
        </is>
      </c>
      <c r="F847" s="156" t="inlineStr">
        <is>
          <t>Questionable</t>
        </is>
      </c>
    </row>
    <row r="848" ht="15.6" customHeight="1" s="152">
      <c r="A848" s="167">
        <f>B848&amp;C848</f>
        <v/>
      </c>
      <c r="B848" s="156" t="inlineStr">
        <is>
          <t>DET</t>
        </is>
      </c>
      <c r="C848" s="156" t="inlineStr">
        <is>
          <t>Colby Sorsdal</t>
        </is>
      </c>
      <c r="D848" s="156" t="inlineStr">
        <is>
          <t>OT</t>
        </is>
      </c>
      <c r="E848" s="156" t="inlineStr">
        <is>
          <t>Undisclosed</t>
        </is>
      </c>
      <c r="F848" s="156" t="inlineStr">
        <is>
          <t>IR</t>
        </is>
      </c>
    </row>
    <row r="849" ht="15.6" customHeight="1" s="152">
      <c r="A849" s="167">
        <f>B849&amp;C849</f>
        <v/>
      </c>
      <c r="B849" s="156" t="inlineStr">
        <is>
          <t>TEN</t>
        </is>
      </c>
      <c r="C849" s="156" t="inlineStr">
        <is>
          <t>Tyjae Spears</t>
        </is>
      </c>
      <c r="D849" s="156" t="inlineStr">
        <is>
          <t>RB</t>
        </is>
      </c>
      <c r="E849" s="156" t="inlineStr">
        <is>
          <t>Ankle</t>
        </is>
      </c>
      <c r="F849" s="156" t="inlineStr">
        <is>
          <t>IR-R</t>
        </is>
      </c>
    </row>
    <row r="850" ht="15.6" customHeight="1" s="152">
      <c r="A850" s="167">
        <f>B850&amp;C850</f>
        <v/>
      </c>
      <c r="B850" s="156" t="inlineStr">
        <is>
          <t>FA</t>
        </is>
      </c>
      <c r="C850" s="156" t="inlineStr">
        <is>
          <t>Jeremy Sprinkle</t>
        </is>
      </c>
      <c r="D850" s="156" t="inlineStr">
        <is>
          <t>TE</t>
        </is>
      </c>
      <c r="E850" s="156" t="inlineStr">
        <is>
          <t>Achilles</t>
        </is>
      </c>
      <c r="F850" s="156" t="inlineStr">
        <is>
          <t>Questionable</t>
        </is>
      </c>
    </row>
    <row r="851" ht="15.6" customHeight="1" s="152">
      <c r="A851" s="167">
        <f>B851&amp;C851</f>
        <v/>
      </c>
      <c r="B851" s="156" t="inlineStr">
        <is>
          <t>FA</t>
        </is>
      </c>
      <c r="C851" s="156" t="inlineStr">
        <is>
          <t>DeAndre Square</t>
        </is>
      </c>
      <c r="D851" s="156" t="inlineStr">
        <is>
          <t>LB</t>
        </is>
      </c>
      <c r="E851" s="156" t="inlineStr">
        <is>
          <t>Undisclosed</t>
        </is>
      </c>
      <c r="F851" s="156" t="inlineStr">
        <is>
          <t>Questionable</t>
        </is>
      </c>
    </row>
    <row r="852" ht="15.6" customHeight="1" s="152">
      <c r="A852" s="167">
        <f>B852&amp;C852</f>
        <v/>
      </c>
      <c r="B852" s="156" t="inlineStr">
        <is>
          <t>FA</t>
        </is>
      </c>
      <c r="C852" s="156" t="inlineStr">
        <is>
          <t>Equanimeous St. Brown</t>
        </is>
      </c>
      <c r="D852" s="156" t="inlineStr">
        <is>
          <t>WR</t>
        </is>
      </c>
      <c r="E852" s="156" t="inlineStr">
        <is>
          <t>Foot</t>
        </is>
      </c>
      <c r="F852" s="156" t="inlineStr">
        <is>
          <t>Questionable</t>
        </is>
      </c>
    </row>
    <row r="853" ht="15.6" customHeight="1" s="152">
      <c r="A853" s="167">
        <f>B853&amp;C853</f>
        <v/>
      </c>
      <c r="B853" s="156" t="inlineStr">
        <is>
          <t>FA</t>
        </is>
      </c>
      <c r="C853" s="156" t="inlineStr">
        <is>
          <t>Taylor Stallworth</t>
        </is>
      </c>
      <c r="D853" s="156" t="inlineStr">
        <is>
          <t>DT</t>
        </is>
      </c>
      <c r="E853" s="156" t="inlineStr">
        <is>
          <t>Undisclosed</t>
        </is>
      </c>
      <c r="F853" s="156" t="inlineStr">
        <is>
          <t>Questionable</t>
        </is>
      </c>
    </row>
    <row r="854" ht="15.6" customHeight="1" s="152">
      <c r="A854" s="167">
        <f>B854&amp;C854</f>
        <v/>
      </c>
      <c r="B854" s="156" t="inlineStr">
        <is>
          <t>FA</t>
        </is>
      </c>
      <c r="C854" s="156" t="inlineStr">
        <is>
          <t>Jayson Stanley</t>
        </is>
      </c>
      <c r="D854" s="156" t="inlineStr">
        <is>
          <t>CB</t>
        </is>
      </c>
      <c r="E854" s="156" t="inlineStr">
        <is>
          <t>Knee</t>
        </is>
      </c>
      <c r="F854" s="156" t="inlineStr">
        <is>
          <t>Questionable</t>
        </is>
      </c>
    </row>
    <row r="855" ht="15.6" customHeight="1" s="152">
      <c r="A855" s="167">
        <f>B855&amp;C855</f>
        <v/>
      </c>
      <c r="B855" s="156" t="inlineStr">
        <is>
          <t>FA</t>
        </is>
      </c>
      <c r="C855" s="156" t="inlineStr">
        <is>
          <t>Rory Starkey</t>
        </is>
      </c>
      <c r="D855" s="156" t="inlineStr">
        <is>
          <t>WR</t>
        </is>
      </c>
      <c r="E855" s="156" t="inlineStr">
        <is>
          <t>Calf</t>
        </is>
      </c>
      <c r="F855" s="156" t="inlineStr">
        <is>
          <t>Questionable</t>
        </is>
      </c>
    </row>
    <row r="856" ht="15.6" customHeight="1" s="152">
      <c r="A856" s="167">
        <f>B856&amp;C856</f>
        <v/>
      </c>
      <c r="B856" s="156" t="inlineStr">
        <is>
          <t>FA</t>
        </is>
      </c>
      <c r="C856" s="156" t="inlineStr">
        <is>
          <t>Wesley Steiner</t>
        </is>
      </c>
      <c r="D856" s="156" t="inlineStr">
        <is>
          <t>FB</t>
        </is>
      </c>
      <c r="E856" s="156" t="inlineStr">
        <is>
          <t>Undisclosed</t>
        </is>
      </c>
      <c r="F856" s="156" t="inlineStr">
        <is>
          <t>Questionable</t>
        </is>
      </c>
    </row>
    <row r="857" ht="15.6" customHeight="1" s="152">
      <c r="A857" s="167">
        <f>B857&amp;C857</f>
        <v/>
      </c>
      <c r="B857" s="156" t="inlineStr">
        <is>
          <t>DAL</t>
        </is>
      </c>
      <c r="C857" s="156" t="inlineStr">
        <is>
          <t>John Stephens</t>
        </is>
      </c>
      <c r="D857" s="156" t="inlineStr">
        <is>
          <t>TE</t>
        </is>
      </c>
      <c r="E857" s="156" t="inlineStr">
        <is>
          <t>Undisclosed</t>
        </is>
      </c>
      <c r="F857" s="156" t="inlineStr">
        <is>
          <t>IR</t>
        </is>
      </c>
    </row>
    <row r="858" ht="15.6" customHeight="1" s="152">
      <c r="A858" s="167">
        <f>B858&amp;C858</f>
        <v/>
      </c>
      <c r="B858" s="156" t="inlineStr">
        <is>
          <t>FA</t>
        </is>
      </c>
      <c r="C858" s="156" t="inlineStr">
        <is>
          <t>Markese Stepp</t>
        </is>
      </c>
      <c r="D858" s="156" t="inlineStr">
        <is>
          <t>RB</t>
        </is>
      </c>
      <c r="E858" s="156" t="inlineStr">
        <is>
          <t>Undisclosed</t>
        </is>
      </c>
      <c r="F858" s="156" t="inlineStr">
        <is>
          <t>Questionable</t>
        </is>
      </c>
    </row>
    <row r="859" ht="15.6" customHeight="1" s="152">
      <c r="A859" s="167">
        <f>B859&amp;C859</f>
        <v/>
      </c>
      <c r="B859" s="156" t="inlineStr">
        <is>
          <t>FA</t>
        </is>
      </c>
      <c r="C859" s="156" t="inlineStr">
        <is>
          <t>Tyarise Stevenson</t>
        </is>
      </c>
      <c r="D859" s="156" t="inlineStr">
        <is>
          <t>DT</t>
        </is>
      </c>
      <c r="E859" s="156" t="inlineStr">
        <is>
          <t>Shoulder - AC Joint</t>
        </is>
      </c>
      <c r="F859" s="156" t="inlineStr">
        <is>
          <t>Questionable</t>
        </is>
      </c>
    </row>
    <row r="860" ht="15.6" customHeight="1" s="152">
      <c r="A860" s="167">
        <f>B860&amp;C860</f>
        <v/>
      </c>
      <c r="B860" s="156" t="inlineStr">
        <is>
          <t>CIN</t>
        </is>
      </c>
      <c r="C860" s="156" t="inlineStr">
        <is>
          <t>Shemar Stewart</t>
        </is>
      </c>
      <c r="D860" s="156" t="inlineStr">
        <is>
          <t>DE</t>
        </is>
      </c>
      <c r="E860" s="156" t="inlineStr">
        <is>
          <t>Ankle</t>
        </is>
      </c>
      <c r="F860" s="156" t="inlineStr">
        <is>
          <t>Doubtful</t>
        </is>
      </c>
    </row>
    <row r="861" ht="15.6" customHeight="1" s="152">
      <c r="A861" s="167">
        <f>B861&amp;C861</f>
        <v/>
      </c>
      <c r="B861" s="156" t="inlineStr">
        <is>
          <t>LAC</t>
        </is>
      </c>
      <c r="C861" s="156" t="inlineStr">
        <is>
          <t>Tarheeb Still</t>
        </is>
      </c>
      <c r="D861" s="156" t="inlineStr">
        <is>
          <t>CB</t>
        </is>
      </c>
      <c r="E861" s="156" t="inlineStr">
        <is>
          <t>Knee</t>
        </is>
      </c>
      <c r="F861" s="156" t="inlineStr">
        <is>
          <t>Questionable</t>
        </is>
      </c>
    </row>
    <row r="862" ht="15.6" customHeight="1" s="152">
      <c r="A862" s="167">
        <f>B862&amp;C862</f>
        <v/>
      </c>
      <c r="B862" s="156" t="inlineStr">
        <is>
          <t>ARI</t>
        </is>
      </c>
      <c r="C862" s="156" t="inlineStr">
        <is>
          <t>Dante Stills</t>
        </is>
      </c>
      <c r="D862" s="156" t="inlineStr">
        <is>
          <t>DE</t>
        </is>
      </c>
      <c r="E862" s="156" t="inlineStr">
        <is>
          <t>Elbow</t>
        </is>
      </c>
      <c r="F862" s="156" t="inlineStr">
        <is>
          <t>Questionable</t>
        </is>
      </c>
    </row>
    <row r="863" ht="15.6" customHeight="1" s="152">
      <c r="A863" s="167">
        <f>B863&amp;C863</f>
        <v/>
      </c>
      <c r="B863" s="156" t="inlineStr">
        <is>
          <t>FA</t>
        </is>
      </c>
      <c r="C863" s="156" t="inlineStr">
        <is>
          <t>Darius Stills</t>
        </is>
      </c>
      <c r="D863" s="156" t="inlineStr">
        <is>
          <t>DT</t>
        </is>
      </c>
      <c r="E863" s="156" t="inlineStr">
        <is>
          <t>Undisclosed</t>
        </is>
      </c>
      <c r="F863" s="156" t="inlineStr">
        <is>
          <t>Questionable</t>
        </is>
      </c>
    </row>
    <row r="864" ht="15.6" customHeight="1" s="152">
      <c r="A864" s="167">
        <f>B864&amp;C864</f>
        <v/>
      </c>
      <c r="B864" s="156" t="inlineStr">
        <is>
          <t>FA</t>
        </is>
      </c>
      <c r="C864" s="156" t="inlineStr">
        <is>
          <t>Eli Stove</t>
        </is>
      </c>
      <c r="D864" s="156" t="inlineStr">
        <is>
          <t>WR</t>
        </is>
      </c>
      <c r="E864" s="156" t="inlineStr">
        <is>
          <t>Knee - ACL</t>
        </is>
      </c>
      <c r="F864" s="156" t="inlineStr">
        <is>
          <t>Questionable</t>
        </is>
      </c>
    </row>
    <row r="865" ht="15.6" customHeight="1" s="152">
      <c r="A865" s="167">
        <f>B865&amp;C865</f>
        <v/>
      </c>
      <c r="B865" s="156" t="inlineStr">
        <is>
          <t>HOU</t>
        </is>
      </c>
      <c r="C865" s="156" t="inlineStr">
        <is>
          <t>Cade Stover</t>
        </is>
      </c>
      <c r="D865" s="156" t="inlineStr">
        <is>
          <t>TE</t>
        </is>
      </c>
      <c r="E865" s="156" t="inlineStr">
        <is>
          <t>Foot</t>
        </is>
      </c>
      <c r="F865" s="156" t="inlineStr">
        <is>
          <t>IR</t>
        </is>
      </c>
    </row>
    <row r="866" ht="15.6" customHeight="1" s="152">
      <c r="A866" s="167">
        <f>B866&amp;C866</f>
        <v/>
      </c>
      <c r="B866" s="156" t="inlineStr">
        <is>
          <t>DEN</t>
        </is>
      </c>
      <c r="C866" s="156" t="inlineStr">
        <is>
          <t>Justin Strnad</t>
        </is>
      </c>
      <c r="D866" s="156" t="inlineStr">
        <is>
          <t>LB</t>
        </is>
      </c>
      <c r="E866" s="156" t="inlineStr">
        <is>
          <t>Foot</t>
        </is>
      </c>
      <c r="F866" s="156" t="inlineStr">
        <is>
          <t>Questionable</t>
        </is>
      </c>
    </row>
    <row r="867" ht="15.6" customHeight="1" s="152">
      <c r="A867" s="167">
        <f>B867&amp;C867</f>
        <v/>
      </c>
      <c r="B867" s="156" t="inlineStr">
        <is>
          <t>FA</t>
        </is>
      </c>
      <c r="C867" s="156" t="inlineStr">
        <is>
          <t>Greg Stroman</t>
        </is>
      </c>
      <c r="D867" s="156" t="inlineStr">
        <is>
          <t>CB</t>
        </is>
      </c>
      <c r="E867" s="156" t="inlineStr">
        <is>
          <t>Shin</t>
        </is>
      </c>
      <c r="F867" s="156" t="inlineStr">
        <is>
          <t>Questionable</t>
        </is>
      </c>
    </row>
    <row r="868" ht="15.6" customHeight="1" s="152">
      <c r="A868" s="167">
        <f>B868&amp;C868</f>
        <v/>
      </c>
      <c r="B868" s="156" t="inlineStr">
        <is>
          <t>FA</t>
        </is>
      </c>
      <c r="C868" s="156" t="inlineStr">
        <is>
          <t>Stephen Sullivan</t>
        </is>
      </c>
      <c r="D868" s="156" t="inlineStr">
        <is>
          <t>TE</t>
        </is>
      </c>
      <c r="E868" s="156" t="inlineStr">
        <is>
          <t>Knee</t>
        </is>
      </c>
      <c r="F868" s="156" t="inlineStr">
        <is>
          <t>Out</t>
        </is>
      </c>
    </row>
    <row r="869" ht="15.6" customHeight="1" s="152">
      <c r="A869" s="167">
        <f>B869&amp;C869</f>
        <v/>
      </c>
      <c r="B869" s="156" t="inlineStr">
        <is>
          <t>FA</t>
        </is>
      </c>
      <c r="C869" s="156" t="inlineStr">
        <is>
          <t>Nick Sundberg</t>
        </is>
      </c>
      <c r="D869" s="156" t="inlineStr">
        <is>
          <t>C</t>
        </is>
      </c>
      <c r="E869" s="156" t="inlineStr">
        <is>
          <t>Elbow</t>
        </is>
      </c>
      <c r="F869" s="156" t="inlineStr">
        <is>
          <t>Questionable</t>
        </is>
      </c>
    </row>
    <row r="870" ht="15.6" customHeight="1" s="152">
      <c r="A870" s="167">
        <f>B870&amp;C870</f>
        <v/>
      </c>
      <c r="B870" s="156" t="inlineStr">
        <is>
          <t>FA</t>
        </is>
      </c>
      <c r="C870" s="156" t="inlineStr">
        <is>
          <t>Sage Surratt</t>
        </is>
      </c>
      <c r="D870" s="156" t="inlineStr">
        <is>
          <t>TE</t>
        </is>
      </c>
      <c r="E870" s="156" t="inlineStr">
        <is>
          <t>Ankle</t>
        </is>
      </c>
      <c r="F870" s="156" t="inlineStr">
        <is>
          <t>Questionable</t>
        </is>
      </c>
    </row>
    <row r="871" ht="15.6" customHeight="1" s="152">
      <c r="A871" s="167">
        <f>B871&amp;C871</f>
        <v/>
      </c>
      <c r="B871" s="156" t="inlineStr">
        <is>
          <t>FA</t>
        </is>
      </c>
      <c r="C871" s="156" t="inlineStr">
        <is>
          <t>Keaton Sutherland</t>
        </is>
      </c>
      <c r="D871" s="156" t="inlineStr">
        <is>
          <t>OG</t>
        </is>
      </c>
      <c r="E871" s="156" t="inlineStr">
        <is>
          <t>Undisclosed</t>
        </is>
      </c>
      <c r="F871" s="156" t="inlineStr">
        <is>
          <t>Questionable</t>
        </is>
      </c>
    </row>
    <row r="872" ht="15.6" customHeight="1" s="152">
      <c r="A872" s="167">
        <f>B872&amp;C872</f>
        <v/>
      </c>
      <c r="B872" s="156" t="inlineStr">
        <is>
          <t>FA</t>
        </is>
      </c>
      <c r="C872" s="156" t="inlineStr">
        <is>
          <t>Geoff Swaim</t>
        </is>
      </c>
      <c r="D872" s="156" t="inlineStr">
        <is>
          <t>TE</t>
        </is>
      </c>
      <c r="E872" s="156" t="inlineStr">
        <is>
          <t>Concussion</t>
        </is>
      </c>
      <c r="F872" s="156" t="inlineStr">
        <is>
          <t>Questionable</t>
        </is>
      </c>
    </row>
    <row r="873" ht="15.6" customHeight="1" s="152">
      <c r="A873" s="167">
        <f>B873&amp;C873</f>
        <v/>
      </c>
      <c r="B873" s="156" t="inlineStr">
        <is>
          <t>FA</t>
        </is>
      </c>
      <c r="C873" s="156" t="inlineStr">
        <is>
          <t>Freddie Swain</t>
        </is>
      </c>
      <c r="D873" s="156" t="inlineStr">
        <is>
          <t>WR</t>
        </is>
      </c>
      <c r="E873" s="156" t="inlineStr">
        <is>
          <t>Undisclosed</t>
        </is>
      </c>
      <c r="F873" s="156" t="inlineStr">
        <is>
          <t>Questionable</t>
        </is>
      </c>
    </row>
    <row r="874" ht="15.6" customHeight="1" s="152">
      <c r="A874" s="167">
        <f>B874&amp;C874</f>
        <v/>
      </c>
      <c r="B874" s="156" t="inlineStr">
        <is>
          <t>FA</t>
        </is>
      </c>
      <c r="C874" s="156" t="inlineStr">
        <is>
          <t>Jordan Swann</t>
        </is>
      </c>
      <c r="D874" s="156" t="inlineStr">
        <is>
          <t>CB</t>
        </is>
      </c>
      <c r="E874" s="156" t="inlineStr">
        <is>
          <t>Undisclosed</t>
        </is>
      </c>
      <c r="F874" s="156" t="inlineStr">
        <is>
          <t>Questionable</t>
        </is>
      </c>
    </row>
    <row r="875" ht="15.6" customHeight="1" s="152">
      <c r="A875" s="167">
        <f>B875&amp;C875</f>
        <v/>
      </c>
      <c r="B875" s="156" t="inlineStr">
        <is>
          <t>TEN</t>
        </is>
      </c>
      <c r="C875" s="156" t="inlineStr">
        <is>
          <t>T'Vondre Sweat</t>
        </is>
      </c>
      <c r="D875" s="156" t="inlineStr">
        <is>
          <t>DT</t>
        </is>
      </c>
      <c r="E875" s="156" t="inlineStr">
        <is>
          <t>Ankle</t>
        </is>
      </c>
      <c r="F875" s="156" t="inlineStr">
        <is>
          <t>Questionable</t>
        </is>
      </c>
    </row>
    <row r="876" ht="15.6" customHeight="1" s="152">
      <c r="A876" s="167">
        <f>B876&amp;C876</f>
        <v/>
      </c>
      <c r="B876" s="156" t="inlineStr">
        <is>
          <t>FA</t>
        </is>
      </c>
      <c r="C876" s="156" t="inlineStr">
        <is>
          <t>Tommy Sweeney</t>
        </is>
      </c>
      <c r="D876" s="156" t="inlineStr">
        <is>
          <t>TE</t>
        </is>
      </c>
      <c r="E876" s="156" t="inlineStr">
        <is>
          <t>Undisclosed</t>
        </is>
      </c>
      <c r="F876" s="156" t="inlineStr">
        <is>
          <t>Out</t>
        </is>
      </c>
    </row>
    <row r="877" ht="15.6" customHeight="1" s="152">
      <c r="A877" s="167">
        <f>B877&amp;C877</f>
        <v/>
      </c>
      <c r="B877" s="156" t="inlineStr">
        <is>
          <t>CHI</t>
        </is>
      </c>
      <c r="C877" s="156" t="inlineStr">
        <is>
          <t>D'Andre Swift</t>
        </is>
      </c>
      <c r="D877" s="156" t="inlineStr">
        <is>
          <t>RB</t>
        </is>
      </c>
      <c r="E877" s="156" t="inlineStr">
        <is>
          <t>Quadriceps</t>
        </is>
      </c>
      <c r="F877" s="156" t="inlineStr">
        <is>
          <t>Questionable</t>
        </is>
      </c>
    </row>
    <row r="878" ht="15.6" customHeight="1" s="152">
      <c r="A878" s="167">
        <f>B878&amp;C878</f>
        <v/>
      </c>
      <c r="B878" s="156" t="inlineStr">
        <is>
          <t>FA</t>
        </is>
      </c>
      <c r="C878" s="156" t="inlineStr">
        <is>
          <t>Ryan Swoboda</t>
        </is>
      </c>
      <c r="D878" s="156" t="inlineStr">
        <is>
          <t>OT</t>
        </is>
      </c>
      <c r="E878" s="156" t="inlineStr">
        <is>
          <t>Undisclosed</t>
        </is>
      </c>
      <c r="F878" s="156" t="inlineStr">
        <is>
          <t>Questionable</t>
        </is>
      </c>
    </row>
    <row r="879" ht="15.6" customHeight="1" s="152">
      <c r="A879" s="167">
        <f>B879&amp;C879</f>
        <v/>
      </c>
      <c r="B879" s="156" t="inlineStr">
        <is>
          <t>FA</t>
        </is>
      </c>
      <c r="C879" s="156" t="inlineStr">
        <is>
          <t>Donte Sylencieux</t>
        </is>
      </c>
      <c r="D879" s="156" t="inlineStr">
        <is>
          <t>WR</t>
        </is>
      </c>
      <c r="E879" s="156" t="inlineStr">
        <is>
          <t>Undisclosed</t>
        </is>
      </c>
      <c r="F879" s="156" t="inlineStr">
        <is>
          <t>Questionable</t>
        </is>
      </c>
    </row>
    <row r="880" ht="15.6" customHeight="1" s="152">
      <c r="A880" s="167">
        <f>B880&amp;C880</f>
        <v/>
      </c>
      <c r="B880" s="156" t="inlineStr">
        <is>
          <t>FA</t>
        </is>
      </c>
      <c r="C880" s="156" t="inlineStr">
        <is>
          <t>Marcus Tate</t>
        </is>
      </c>
      <c r="D880" s="156" t="inlineStr">
        <is>
          <t>OG</t>
        </is>
      </c>
      <c r="E880" s="156" t="inlineStr">
        <is>
          <t>Undisclosed</t>
        </is>
      </c>
      <c r="F880" s="156" t="inlineStr">
        <is>
          <t>Questionable</t>
        </is>
      </c>
    </row>
    <row r="881" ht="15.6" customHeight="1" s="152">
      <c r="A881" s="167">
        <f>B881&amp;C881</f>
        <v/>
      </c>
      <c r="B881" s="156" t="inlineStr">
        <is>
          <t>NE</t>
        </is>
      </c>
      <c r="C881" s="156" t="inlineStr">
        <is>
          <t>Jahlani Tavai</t>
        </is>
      </c>
      <c r="D881" s="156" t="inlineStr">
        <is>
          <t>LB</t>
        </is>
      </c>
      <c r="E881" s="156" t="inlineStr">
        <is>
          <t>Undisclosed</t>
        </is>
      </c>
      <c r="F881" s="156" t="inlineStr">
        <is>
          <t>IR-R</t>
        </is>
      </c>
    </row>
    <row r="882" ht="15.6" customHeight="1" s="152">
      <c r="A882" s="167">
        <f>B882&amp;C882</f>
        <v/>
      </c>
      <c r="B882" s="156" t="inlineStr">
        <is>
          <t>FA</t>
        </is>
      </c>
      <c r="C882" s="156" t="inlineStr">
        <is>
          <t>Jonah Tavai</t>
        </is>
      </c>
      <c r="D882" s="156" t="inlineStr">
        <is>
          <t>DT</t>
        </is>
      </c>
      <c r="E882" s="156" t="inlineStr">
        <is>
          <t>Undisclosed</t>
        </is>
      </c>
      <c r="F882" s="156" t="inlineStr">
        <is>
          <t>Questionable</t>
        </is>
      </c>
    </row>
    <row r="883" ht="15.6" customHeight="1" s="152">
      <c r="A883" s="167">
        <f>B883&amp;C883</f>
        <v/>
      </c>
      <c r="B883" s="156" t="inlineStr">
        <is>
          <t>FA</t>
        </is>
      </c>
      <c r="C883" s="156" t="inlineStr">
        <is>
          <t>Calvin Taylor</t>
        </is>
      </c>
      <c r="D883" s="156" t="inlineStr">
        <is>
          <t>DE</t>
        </is>
      </c>
      <c r="E883" s="156" t="inlineStr">
        <is>
          <t>Undisclosed</t>
        </is>
      </c>
      <c r="F883" s="156" t="inlineStr">
        <is>
          <t>Questionable</t>
        </is>
      </c>
    </row>
    <row r="884" ht="15.6" customHeight="1" s="152">
      <c r="A884" s="167">
        <f>B884&amp;C884</f>
        <v/>
      </c>
      <c r="B884" s="156" t="inlineStr">
        <is>
          <t>HOU</t>
        </is>
      </c>
      <c r="C884" s="156" t="inlineStr">
        <is>
          <t>Darrell Taylor</t>
        </is>
      </c>
      <c r="D884" s="156" t="inlineStr">
        <is>
          <t>DE</t>
        </is>
      </c>
      <c r="E884" s="156" t="inlineStr">
        <is>
          <t>Hip</t>
        </is>
      </c>
      <c r="F884" s="156" t="inlineStr">
        <is>
          <t>Questionable</t>
        </is>
      </c>
    </row>
    <row r="885" ht="15.6" customHeight="1" s="152">
      <c r="A885" s="167">
        <f>B885&amp;C885</f>
        <v/>
      </c>
      <c r="B885" s="156" t="inlineStr">
        <is>
          <t>FA</t>
        </is>
      </c>
      <c r="C885" s="156" t="inlineStr">
        <is>
          <t>Leonard Taylor</t>
        </is>
      </c>
      <c r="D885" s="156" t="inlineStr">
        <is>
          <t>TE</t>
        </is>
      </c>
      <c r="E885" s="156" t="inlineStr">
        <is>
          <t>Undisclosed</t>
        </is>
      </c>
      <c r="F885" s="156" t="inlineStr">
        <is>
          <t>Questionable</t>
        </is>
      </c>
    </row>
    <row r="886" ht="15.6" customHeight="1" s="152">
      <c r="A886" s="167">
        <f>B886&amp;C886</f>
        <v/>
      </c>
      <c r="B886" s="156" t="inlineStr">
        <is>
          <t>SF</t>
        </is>
      </c>
      <c r="C886" s="156" t="inlineStr">
        <is>
          <t>Patrick Taylor</t>
        </is>
      </c>
      <c r="D886" s="156" t="inlineStr">
        <is>
          <t>RB</t>
        </is>
      </c>
      <c r="E886" s="156" t="inlineStr">
        <is>
          <t>Shoulder</t>
        </is>
      </c>
      <c r="F886" s="156" t="inlineStr">
        <is>
          <t>IR</t>
        </is>
      </c>
    </row>
    <row r="887" ht="15.6" customHeight="1" s="152">
      <c r="A887" s="167">
        <f>B887&amp;C887</f>
        <v/>
      </c>
      <c r="B887" s="156" t="inlineStr">
        <is>
          <t>SF</t>
        </is>
      </c>
      <c r="C887" s="156" t="inlineStr">
        <is>
          <t>Trent Taylor</t>
        </is>
      </c>
      <c r="D887" s="156" t="inlineStr">
        <is>
          <t>WR</t>
        </is>
      </c>
      <c r="E887" s="156" t="inlineStr">
        <is>
          <t>Undisclosed</t>
        </is>
      </c>
      <c r="F887" s="156" t="inlineStr">
        <is>
          <t>IR</t>
        </is>
      </c>
    </row>
    <row r="888" ht="15.6" customHeight="1" s="152">
      <c r="A888" s="167">
        <f>B888&amp;C888</f>
        <v/>
      </c>
      <c r="B888" s="156" t="inlineStr">
        <is>
          <t>FA</t>
        </is>
      </c>
      <c r="C888" s="156" t="inlineStr">
        <is>
          <t>Vincent Taylor</t>
        </is>
      </c>
      <c r="D888" s="156" t="inlineStr">
        <is>
          <t>DT</t>
        </is>
      </c>
      <c r="E888" s="156" t="inlineStr">
        <is>
          <t>Achilles</t>
        </is>
      </c>
      <c r="F888" s="156" t="inlineStr">
        <is>
          <t>Questionable</t>
        </is>
      </c>
    </row>
    <row r="889" ht="15.6" customHeight="1" s="152">
      <c r="A889" s="167">
        <f>B889&amp;C889</f>
        <v/>
      </c>
      <c r="B889" s="156" t="inlineStr">
        <is>
          <t>CIN</t>
        </is>
      </c>
      <c r="C889" s="156" t="inlineStr">
        <is>
          <t>Cam Taylor-Britt</t>
        </is>
      </c>
      <c r="D889" s="156" t="inlineStr">
        <is>
          <t>CB</t>
        </is>
      </c>
      <c r="E889" s="156" t="inlineStr">
        <is>
          <t>Hamstring</t>
        </is>
      </c>
      <c r="F889" s="156" t="inlineStr">
        <is>
          <t>Questionable</t>
        </is>
      </c>
    </row>
    <row r="890" ht="15.6" customHeight="1" s="152">
      <c r="A890" s="167">
        <f>B890&amp;C890</f>
        <v/>
      </c>
      <c r="B890" s="156" t="inlineStr">
        <is>
          <t>FA</t>
        </is>
      </c>
      <c r="C890" s="156" t="inlineStr">
        <is>
          <t>Armani Taylor-Prioleau</t>
        </is>
      </c>
      <c r="D890" s="156" t="inlineStr">
        <is>
          <t>OT</t>
        </is>
      </c>
      <c r="E890" s="156" t="inlineStr">
        <is>
          <t>Undisclosed</t>
        </is>
      </c>
      <c r="F890" s="156" t="inlineStr">
        <is>
          <t>Questionable</t>
        </is>
      </c>
    </row>
    <row r="891" ht="15.6" customHeight="1" s="152">
      <c r="A891" s="167">
        <f>B891&amp;C891</f>
        <v/>
      </c>
      <c r="B891" s="156" t="inlineStr">
        <is>
          <t>FA</t>
        </is>
      </c>
      <c r="C891" s="156" t="inlineStr">
        <is>
          <t>Isaac Taylor-Stuart</t>
        </is>
      </c>
      <c r="D891" s="156" t="inlineStr">
        <is>
          <t>CB</t>
        </is>
      </c>
      <c r="E891" s="156" t="inlineStr">
        <is>
          <t>Undisclosed</t>
        </is>
      </c>
      <c r="F891" s="156" t="inlineStr">
        <is>
          <t>Questionable</t>
        </is>
      </c>
    </row>
    <row r="892" ht="15.6" customHeight="1" s="152">
      <c r="A892" s="167">
        <f>B892&amp;C892</f>
        <v/>
      </c>
      <c r="B892" s="156" t="inlineStr">
        <is>
          <t>FA</t>
        </is>
      </c>
      <c r="C892" s="156" t="inlineStr">
        <is>
          <t>Marvell Tell</t>
        </is>
      </c>
      <c r="D892" s="156" t="inlineStr">
        <is>
          <t>CB</t>
        </is>
      </c>
      <c r="E892" s="156" t="inlineStr">
        <is>
          <t>Undisclosed</t>
        </is>
      </c>
      <c r="F892" s="156" t="inlineStr">
        <is>
          <t>Questionable</t>
        </is>
      </c>
    </row>
    <row r="893" ht="15.6" customHeight="1" s="152">
      <c r="A893" s="167">
        <f>B893&amp;C893</f>
        <v/>
      </c>
      <c r="B893" s="156" t="inlineStr">
        <is>
          <t>ATL</t>
        </is>
      </c>
      <c r="C893" s="156" t="inlineStr">
        <is>
          <t>A.J. Terrell</t>
        </is>
      </c>
      <c r="D893" s="156" t="inlineStr">
        <is>
          <t>CB</t>
        </is>
      </c>
      <c r="E893" s="156" t="inlineStr">
        <is>
          <t>Hamstring</t>
        </is>
      </c>
      <c r="F893" s="156" t="inlineStr">
        <is>
          <t>Questionable</t>
        </is>
      </c>
    </row>
    <row r="894" ht="15.6" customHeight="1" s="152">
      <c r="A894" s="167">
        <f>B894&amp;C894</f>
        <v/>
      </c>
      <c r="B894" s="156" t="inlineStr">
        <is>
          <t>FA</t>
        </is>
      </c>
      <c r="C894" s="156" t="inlineStr">
        <is>
          <t>Jermaine Terry</t>
        </is>
      </c>
      <c r="D894" s="156" t="inlineStr">
        <is>
          <t>TE</t>
        </is>
      </c>
      <c r="E894" s="156" t="inlineStr">
        <is>
          <t>Undisclosed</t>
        </is>
      </c>
      <c r="F894" s="156" t="inlineStr">
        <is>
          <t>Questionable</t>
        </is>
      </c>
    </row>
    <row r="895" ht="15.6" customHeight="1" s="152">
      <c r="A895" s="167">
        <f>B895&amp;C895</f>
        <v/>
      </c>
      <c r="B895" s="156" t="inlineStr">
        <is>
          <t>FA</t>
        </is>
      </c>
      <c r="C895" s="156" t="inlineStr">
        <is>
          <t>Sam Tevi</t>
        </is>
      </c>
      <c r="D895" s="156" t="inlineStr">
        <is>
          <t>OT</t>
        </is>
      </c>
      <c r="E895" s="156" t="inlineStr">
        <is>
          <t>Knee - ACL</t>
        </is>
      </c>
      <c r="F895" s="156" t="inlineStr">
        <is>
          <t>Questionable</t>
        </is>
      </c>
    </row>
    <row r="896" ht="15.6" customHeight="1" s="152">
      <c r="A896" s="167">
        <f>B896&amp;C896</f>
        <v/>
      </c>
      <c r="B896" s="156" t="inlineStr">
        <is>
          <t>NYG</t>
        </is>
      </c>
      <c r="C896" s="156" t="inlineStr">
        <is>
          <t>Andrew Thomas</t>
        </is>
      </c>
      <c r="D896" s="156" t="inlineStr">
        <is>
          <t>OT</t>
        </is>
      </c>
      <c r="E896" s="156" t="inlineStr">
        <is>
          <t>Foot</t>
        </is>
      </c>
      <c r="F896" s="156" t="inlineStr">
        <is>
          <t>Questionable</t>
        </is>
      </c>
    </row>
    <row r="897" ht="15.6" customHeight="1" s="152">
      <c r="A897" s="167">
        <f>B897&amp;C897</f>
        <v/>
      </c>
      <c r="B897" s="156" t="inlineStr">
        <is>
          <t>LAR</t>
        </is>
      </c>
      <c r="C897" s="156" t="inlineStr">
        <is>
          <t>Keir Thomas</t>
        </is>
      </c>
      <c r="D897" s="156" t="inlineStr">
        <is>
          <t>LB</t>
        </is>
      </c>
      <c r="E897" s="156" t="inlineStr">
        <is>
          <t>Undisclosed</t>
        </is>
      </c>
      <c r="F897" s="156" t="inlineStr">
        <is>
          <t>IR</t>
        </is>
      </c>
    </row>
    <row r="898" ht="15.6" customHeight="1" s="152">
      <c r="A898" s="167">
        <f>B898&amp;C898</f>
        <v/>
      </c>
      <c r="B898" s="156" t="inlineStr">
        <is>
          <t>FA</t>
        </is>
      </c>
      <c r="C898" s="156" t="inlineStr">
        <is>
          <t>Mike Thomas</t>
        </is>
      </c>
      <c r="D898" s="156" t="inlineStr">
        <is>
          <t>WR</t>
        </is>
      </c>
      <c r="E898" s="156" t="inlineStr">
        <is>
          <t>Shoulder - Labrum</t>
        </is>
      </c>
      <c r="F898" s="156" t="inlineStr">
        <is>
          <t>Questionable</t>
        </is>
      </c>
    </row>
    <row r="899" ht="15.6" customHeight="1" s="152">
      <c r="A899" s="167">
        <f>B899&amp;C899</f>
        <v/>
      </c>
      <c r="B899" s="156" t="inlineStr">
        <is>
          <t>ARI</t>
        </is>
      </c>
      <c r="C899" s="156" t="inlineStr">
        <is>
          <t>Starling Thomas</t>
        </is>
      </c>
      <c r="D899" s="156" t="inlineStr">
        <is>
          <t>CB</t>
        </is>
      </c>
      <c r="E899" s="156" t="inlineStr">
        <is>
          <t>Knee - ACL</t>
        </is>
      </c>
      <c r="F899" s="156" t="inlineStr">
        <is>
          <t>IR</t>
        </is>
      </c>
    </row>
    <row r="900" ht="15.6" customHeight="1" s="152">
      <c r="A900" s="167">
        <f>B900&amp;C900</f>
        <v/>
      </c>
      <c r="B900" s="156" t="inlineStr">
        <is>
          <t>FA</t>
        </is>
      </c>
      <c r="C900" s="156" t="inlineStr">
        <is>
          <t>DeAndre Thompkins</t>
        </is>
      </c>
      <c r="D900" s="156" t="inlineStr">
        <is>
          <t>WR</t>
        </is>
      </c>
      <c r="E900" s="156" t="inlineStr">
        <is>
          <t>Undisclosed</t>
        </is>
      </c>
      <c r="F900" s="156" t="inlineStr">
        <is>
          <t>Questionable</t>
        </is>
      </c>
    </row>
    <row r="901" ht="15.6" customHeight="1" s="152">
      <c r="A901" s="167">
        <f>B901&amp;C901</f>
        <v/>
      </c>
      <c r="B901" s="156" t="inlineStr">
        <is>
          <t>FA</t>
        </is>
      </c>
      <c r="C901" s="156" t="inlineStr">
        <is>
          <t>BJ Thompson</t>
        </is>
      </c>
      <c r="D901" s="156" t="inlineStr">
        <is>
          <t>DE</t>
        </is>
      </c>
      <c r="E901" s="156" t="inlineStr">
        <is>
          <t>Chest</t>
        </is>
      </c>
      <c r="F901" s="156" t="inlineStr">
        <is>
          <t>Questionable</t>
        </is>
      </c>
    </row>
    <row r="902" ht="15.6" customHeight="1" s="152">
      <c r="A902" s="167">
        <f>B902&amp;C902</f>
        <v/>
      </c>
      <c r="B902" s="156" t="inlineStr">
        <is>
          <t>FA</t>
        </is>
      </c>
      <c r="C902" s="156" t="inlineStr">
        <is>
          <t>Chris Thompson</t>
        </is>
      </c>
      <c r="D902" s="156" t="inlineStr">
        <is>
          <t>WR</t>
        </is>
      </c>
      <c r="E902" s="156" t="inlineStr">
        <is>
          <t>Undisclosed</t>
        </is>
      </c>
      <c r="F902" s="156" t="inlineStr">
        <is>
          <t>Questionable</t>
        </is>
      </c>
    </row>
    <row r="903" ht="15.6" customHeight="1" s="152">
      <c r="A903" s="167">
        <f>B903&amp;C903</f>
        <v/>
      </c>
      <c r="B903" s="156" t="inlineStr">
        <is>
          <t>BUF</t>
        </is>
      </c>
      <c r="C903" s="156" t="inlineStr">
        <is>
          <t>Shaq Thompson</t>
        </is>
      </c>
      <c r="D903" s="156" t="inlineStr">
        <is>
          <t>LB</t>
        </is>
      </c>
      <c r="E903" s="156" t="inlineStr">
        <is>
          <t>Hamstring</t>
        </is>
      </c>
      <c r="F903" s="156" t="inlineStr">
        <is>
          <t>Questionable</t>
        </is>
      </c>
    </row>
    <row r="904" ht="15.6" customHeight="1" s="152">
      <c r="A904" s="167">
        <f>B904&amp;C904</f>
        <v/>
      </c>
      <c r="B904" s="156" t="inlineStr">
        <is>
          <t>PIT</t>
        </is>
      </c>
      <c r="C904" s="156" t="inlineStr">
        <is>
          <t>Skylar Thompson</t>
        </is>
      </c>
      <c r="D904" s="156" t="inlineStr">
        <is>
          <t>QB</t>
        </is>
      </c>
      <c r="E904" s="156" t="inlineStr">
        <is>
          <t>Hamstring</t>
        </is>
      </c>
      <c r="F904" s="156" t="inlineStr">
        <is>
          <t>IR</t>
        </is>
      </c>
    </row>
    <row r="905" ht="15.6" customHeight="1" s="152">
      <c r="A905" s="167">
        <f>B905&amp;C905</f>
        <v/>
      </c>
      <c r="B905" s="156" t="inlineStr">
        <is>
          <t>FA</t>
        </is>
      </c>
      <c r="C905" s="156" t="inlineStr">
        <is>
          <t>Levine Toilolo</t>
        </is>
      </c>
      <c r="D905" s="156" t="inlineStr">
        <is>
          <t>TE</t>
        </is>
      </c>
      <c r="E905" s="156" t="inlineStr">
        <is>
          <t>Achilles</t>
        </is>
      </c>
      <c r="F905" s="156" t="inlineStr">
        <is>
          <t>Questionable</t>
        </is>
      </c>
    </row>
    <row r="906" ht="15.6" customHeight="1" s="152">
      <c r="A906" s="167">
        <f>B906&amp;C906</f>
        <v/>
      </c>
      <c r="B906" s="156" t="inlineStr">
        <is>
          <t>GB</t>
        </is>
      </c>
      <c r="C906" s="156" t="inlineStr">
        <is>
          <t>Zach Tom</t>
        </is>
      </c>
      <c r="D906" s="156" t="inlineStr">
        <is>
          <t>OT</t>
        </is>
      </c>
      <c r="E906" s="156" t="inlineStr">
        <is>
          <t>Oblique</t>
        </is>
      </c>
      <c r="F906" s="156" t="inlineStr">
        <is>
          <t>Questionable</t>
        </is>
      </c>
    </row>
    <row r="907" ht="15.6" customHeight="1" s="152">
      <c r="A907" s="167">
        <f>B907&amp;C907</f>
        <v/>
      </c>
      <c r="B907" s="156" t="inlineStr">
        <is>
          <t>SF</t>
        </is>
      </c>
      <c r="C907" s="156" t="inlineStr">
        <is>
          <t>Tre Tomlinson</t>
        </is>
      </c>
      <c r="D907" s="156" t="inlineStr">
        <is>
          <t>CB</t>
        </is>
      </c>
      <c r="E907" s="156" t="inlineStr">
        <is>
          <t>Undisclosed</t>
        </is>
      </c>
      <c r="F907" s="156" t="inlineStr">
        <is>
          <t>IR</t>
        </is>
      </c>
    </row>
    <row r="908" ht="15.6" customHeight="1" s="152">
      <c r="A908" s="167">
        <f>B908&amp;C908</f>
        <v/>
      </c>
      <c r="B908" s="156" t="inlineStr">
        <is>
          <t>FA</t>
        </is>
      </c>
      <c r="C908" s="156" t="inlineStr">
        <is>
          <t>Anthony Torres</t>
        </is>
      </c>
      <c r="D908" s="156" t="inlineStr">
        <is>
          <t>TE</t>
        </is>
      </c>
      <c r="E908" s="156" t="inlineStr">
        <is>
          <t>Ankle</t>
        </is>
      </c>
      <c r="F908" s="156" t="inlineStr">
        <is>
          <t>Questionable</t>
        </is>
      </c>
    </row>
    <row r="909" ht="15.6" customHeight="1" s="152">
      <c r="A909" s="167">
        <f>B909&amp;C909</f>
        <v/>
      </c>
      <c r="B909" s="156" t="inlineStr">
        <is>
          <t>NYG</t>
        </is>
      </c>
      <c r="C909" s="156" t="inlineStr">
        <is>
          <t>Tyrone Tracy</t>
        </is>
      </c>
      <c r="D909" s="156" t="inlineStr">
        <is>
          <t>RB</t>
        </is>
      </c>
      <c r="E909" s="156" t="inlineStr">
        <is>
          <t>Calf</t>
        </is>
      </c>
      <c r="F909" s="156" t="inlineStr">
        <is>
          <t>Questionable</t>
        </is>
      </c>
    </row>
    <row r="910" ht="15.6" customHeight="1" s="152">
      <c r="A910" s="167">
        <f>B910&amp;C910</f>
        <v/>
      </c>
      <c r="B910" s="156" t="inlineStr">
        <is>
          <t>FA</t>
        </is>
      </c>
      <c r="C910" s="156" t="inlineStr">
        <is>
          <t>Badara Traore</t>
        </is>
      </c>
      <c r="D910" s="156" t="inlineStr">
        <is>
          <t>OT</t>
        </is>
      </c>
      <c r="E910" s="156" t="inlineStr">
        <is>
          <t>Knee</t>
        </is>
      </c>
      <c r="F910" s="156" t="inlineStr">
        <is>
          <t>Questionable</t>
        </is>
      </c>
    </row>
    <row r="911" ht="15.6" customHeight="1" s="152">
      <c r="A911" s="167">
        <f>B911&amp;C911</f>
        <v/>
      </c>
      <c r="B911" s="156" t="inlineStr">
        <is>
          <t>NYJ</t>
        </is>
      </c>
      <c r="C911" s="156" t="inlineStr">
        <is>
          <t>Jordan Travis</t>
        </is>
      </c>
      <c r="D911" s="156" t="inlineStr">
        <is>
          <t>QB</t>
        </is>
      </c>
      <c r="E911" s="156" t="inlineStr">
        <is>
          <t>Lower Leg</t>
        </is>
      </c>
      <c r="F911" s="156" t="inlineStr">
        <is>
          <t>Reserve-Ret</t>
        </is>
      </c>
    </row>
    <row r="912" ht="15.6" customHeight="1" s="152">
      <c r="A912" s="167">
        <f>B912&amp;C912</f>
        <v/>
      </c>
      <c r="B912" s="156" t="inlineStr">
        <is>
          <t>ATL</t>
        </is>
      </c>
      <c r="C912" s="156" t="inlineStr">
        <is>
          <t>Bralen Trice</t>
        </is>
      </c>
      <c r="D912" s="156" t="inlineStr">
        <is>
          <t>LB</t>
        </is>
      </c>
      <c r="E912" s="156" t="inlineStr">
        <is>
          <t>Knee</t>
        </is>
      </c>
      <c r="F912" s="156" t="inlineStr">
        <is>
          <t>IR</t>
        </is>
      </c>
    </row>
    <row r="913" ht="15.6" customHeight="1" s="152">
      <c r="A913" s="167">
        <f>B913&amp;C913</f>
        <v/>
      </c>
      <c r="B913" s="156" t="inlineStr">
        <is>
          <t>PIT</t>
        </is>
      </c>
      <c r="C913" s="156" t="inlineStr">
        <is>
          <t>Cory Trice</t>
        </is>
      </c>
      <c r="D913" s="156" t="inlineStr">
        <is>
          <t>CB</t>
        </is>
      </c>
      <c r="E913" s="156" t="inlineStr">
        <is>
          <t>Hamstring</t>
        </is>
      </c>
      <c r="F913" s="156" t="inlineStr">
        <is>
          <t>IR-R</t>
        </is>
      </c>
    </row>
    <row r="914" ht="15.6" customHeight="1" s="152">
      <c r="A914" s="167">
        <f>B914&amp;C914</f>
        <v/>
      </c>
      <c r="B914" s="156" t="inlineStr">
        <is>
          <t>FA</t>
        </is>
      </c>
      <c r="C914" s="156" t="inlineStr">
        <is>
          <t>Justin Tucker</t>
        </is>
      </c>
      <c r="D914" s="156" t="inlineStr">
        <is>
          <t>K</t>
        </is>
      </c>
      <c r="E914" s="156" t="inlineStr">
        <is>
          <t>Suspension</t>
        </is>
      </c>
      <c r="F914" s="156" t="inlineStr">
        <is>
          <t>Reserve-Sus</t>
        </is>
      </c>
    </row>
    <row r="915" ht="15.6" customHeight="1" s="152">
      <c r="A915" s="167">
        <f>B915&amp;C915</f>
        <v/>
      </c>
      <c r="B915" s="156" t="inlineStr">
        <is>
          <t>NYJ</t>
        </is>
      </c>
      <c r="C915" s="156" t="inlineStr">
        <is>
          <t>Jay Tufele</t>
        </is>
      </c>
      <c r="D915" s="156" t="inlineStr">
        <is>
          <t>DT</t>
        </is>
      </c>
      <c r="E915" s="156" t="inlineStr">
        <is>
          <t>Illness</t>
        </is>
      </c>
      <c r="F915" s="156" t="inlineStr">
        <is>
          <t>Questionable</t>
        </is>
      </c>
    </row>
    <row r="916" ht="15.6" customHeight="1" s="152">
      <c r="A916" s="167">
        <f>B916&amp;C916</f>
        <v/>
      </c>
      <c r="B916" s="156" t="inlineStr">
        <is>
          <t>FA</t>
        </is>
      </c>
      <c r="C916" s="156" t="inlineStr">
        <is>
          <t>Jacob Tuioti-Mariner</t>
        </is>
      </c>
      <c r="D916" s="156" t="inlineStr">
        <is>
          <t>LB</t>
        </is>
      </c>
      <c r="E916" s="156" t="inlineStr">
        <is>
          <t>Knee</t>
        </is>
      </c>
      <c r="F916" s="156" t="inlineStr">
        <is>
          <t>Questionable</t>
        </is>
      </c>
    </row>
    <row r="917" ht="15.6" customHeight="1" s="152">
      <c r="A917" s="167">
        <f>B917&amp;C917</f>
        <v/>
      </c>
      <c r="B917" s="156" t="inlineStr">
        <is>
          <t>FA</t>
        </is>
      </c>
      <c r="C917" s="156" t="inlineStr">
        <is>
          <t>Kemoko Turay</t>
        </is>
      </c>
      <c r="D917" s="156" t="inlineStr">
        <is>
          <t>DE</t>
        </is>
      </c>
      <c r="E917" s="156" t="inlineStr">
        <is>
          <t>Undisclosed</t>
        </is>
      </c>
      <c r="F917" s="156" t="inlineStr">
        <is>
          <t>Questionable</t>
        </is>
      </c>
    </row>
    <row r="918" ht="15.6" customHeight="1" s="152">
      <c r="A918" s="167">
        <f>B918&amp;C918</f>
        <v/>
      </c>
      <c r="B918" s="156" t="inlineStr">
        <is>
          <t>FA</t>
        </is>
      </c>
      <c r="C918" s="156" t="inlineStr">
        <is>
          <t>DJ Turner</t>
        </is>
      </c>
      <c r="D918" s="156" t="inlineStr">
        <is>
          <t>WR</t>
        </is>
      </c>
      <c r="E918" s="156" t="inlineStr">
        <is>
          <t>Knee</t>
        </is>
      </c>
      <c r="F918" s="156" t="inlineStr">
        <is>
          <t>Questionable</t>
        </is>
      </c>
    </row>
    <row r="919" ht="15.6" customHeight="1" s="152">
      <c r="A919" s="167">
        <f>B919&amp;C919</f>
        <v/>
      </c>
      <c r="B919" s="156" t="inlineStr">
        <is>
          <t>DET</t>
        </is>
      </c>
      <c r="C919" s="156" t="inlineStr">
        <is>
          <t>Ezekiel Turner</t>
        </is>
      </c>
      <c r="D919" s="156" t="inlineStr">
        <is>
          <t>LB</t>
        </is>
      </c>
      <c r="E919" s="156" t="inlineStr">
        <is>
          <t>Foot</t>
        </is>
      </c>
      <c r="F919" s="156" t="inlineStr">
        <is>
          <t>IR</t>
        </is>
      </c>
    </row>
    <row r="920" ht="15.6" customHeight="1" s="152">
      <c r="A920" s="167">
        <f>B920&amp;C920</f>
        <v/>
      </c>
      <c r="B920" s="156" t="inlineStr">
        <is>
          <t>DAL</t>
        </is>
      </c>
      <c r="C920" s="156" t="inlineStr">
        <is>
          <t>Payton Turner</t>
        </is>
      </c>
      <c r="D920" s="156" t="inlineStr">
        <is>
          <t>DE</t>
        </is>
      </c>
      <c r="E920" s="156" t="inlineStr">
        <is>
          <t>Ribs</t>
        </is>
      </c>
      <c r="F920" s="156" t="inlineStr">
        <is>
          <t>IR-R</t>
        </is>
      </c>
    </row>
    <row r="921" ht="15.6" customHeight="1" s="152">
      <c r="A921" s="167">
        <f>B921&amp;C921</f>
        <v/>
      </c>
      <c r="B921" s="156" t="inlineStr">
        <is>
          <t>FA</t>
        </is>
      </c>
      <c r="C921" s="156" t="inlineStr">
        <is>
          <t>Trai Turner</t>
        </is>
      </c>
      <c r="D921" s="156" t="inlineStr">
        <is>
          <t>OG</t>
        </is>
      </c>
      <c r="E921" s="156" t="inlineStr">
        <is>
          <t>Quadriceps</t>
        </is>
      </c>
      <c r="F921" s="156" t="inlineStr">
        <is>
          <t>Questionable</t>
        </is>
      </c>
    </row>
    <row r="922" ht="15.6" customHeight="1" s="152">
      <c r="A922" s="167">
        <f>B922&amp;C922</f>
        <v/>
      </c>
      <c r="B922" s="156" t="inlineStr">
        <is>
          <t>DAL</t>
        </is>
      </c>
      <c r="C922" s="156" t="inlineStr">
        <is>
          <t>KaVontae Turpin</t>
        </is>
      </c>
      <c r="D922" s="156" t="inlineStr">
        <is>
          <t>WR</t>
        </is>
      </c>
      <c r="E922" s="156" t="inlineStr">
        <is>
          <t>Neck</t>
        </is>
      </c>
      <c r="F922" s="156" t="inlineStr">
        <is>
          <t>Questionable</t>
        </is>
      </c>
    </row>
    <row r="923" ht="15.6" customHeight="1" s="152">
      <c r="A923" s="167">
        <f>B923&amp;C923</f>
        <v/>
      </c>
      <c r="B923" s="156" t="inlineStr">
        <is>
          <t>JAX</t>
        </is>
      </c>
      <c r="C923" s="156" t="inlineStr">
        <is>
          <t>Bhayshul Tuten</t>
        </is>
      </c>
      <c r="D923" s="156" t="inlineStr">
        <is>
          <t>RB</t>
        </is>
      </c>
      <c r="E923" s="156" t="inlineStr">
        <is>
          <t>Shoulder</t>
        </is>
      </c>
      <c r="F923" s="156" t="inlineStr">
        <is>
          <t>Questionable</t>
        </is>
      </c>
    </row>
    <row r="924" ht="15.6" customHeight="1" s="152">
      <c r="A924" s="167">
        <f>B924&amp;C924</f>
        <v/>
      </c>
      <c r="B924" s="156" t="inlineStr">
        <is>
          <t>FA</t>
        </is>
      </c>
      <c r="C924" s="156" t="inlineStr">
        <is>
          <t>Chris Tyree</t>
        </is>
      </c>
      <c r="D924" s="156" t="inlineStr">
        <is>
          <t>WR</t>
        </is>
      </c>
      <c r="E924" s="156" t="inlineStr">
        <is>
          <t>Undisclosed</t>
        </is>
      </c>
      <c r="F924" s="156" t="inlineStr">
        <is>
          <t>Questionable</t>
        </is>
      </c>
    </row>
    <row r="925" ht="15.6" customHeight="1" s="152">
      <c r="A925" s="167">
        <f>B925&amp;C925</f>
        <v/>
      </c>
      <c r="B925" s="156" t="inlineStr">
        <is>
          <t>FA</t>
        </is>
      </c>
      <c r="C925" s="156" t="inlineStr">
        <is>
          <t>Lwal Uguak</t>
        </is>
      </c>
      <c r="D925" s="156" t="inlineStr">
        <is>
          <t>DT</t>
        </is>
      </c>
      <c r="E925" s="156" t="inlineStr">
        <is>
          <t>Undisclosed</t>
        </is>
      </c>
      <c r="F925" s="156" t="inlineStr">
        <is>
          <t>Questionable</t>
        </is>
      </c>
    </row>
    <row r="926" ht="15.6" customHeight="1" s="152">
      <c r="A926" s="167">
        <f>B926&amp;C926</f>
        <v/>
      </c>
      <c r="B926" s="156" t="inlineStr">
        <is>
          <t>FA</t>
        </is>
      </c>
      <c r="C926" s="156" t="inlineStr">
        <is>
          <t>C.J. Uzomah</t>
        </is>
      </c>
      <c r="D926" s="156" t="inlineStr">
        <is>
          <t>TE</t>
        </is>
      </c>
      <c r="E926" s="156" t="inlineStr">
        <is>
          <t>Abdomen</t>
        </is>
      </c>
      <c r="F926" s="156" t="inlineStr">
        <is>
          <t>Questionable</t>
        </is>
      </c>
    </row>
    <row r="927" ht="15.6" customHeight="1" s="152">
      <c r="A927" s="167">
        <f>B927&amp;C927</f>
        <v/>
      </c>
      <c r="B927" s="156" t="inlineStr">
        <is>
          <t>FA</t>
        </is>
      </c>
      <c r="C927" s="156" t="inlineStr">
        <is>
          <t>Halapoulivaati Vaitai</t>
        </is>
      </c>
      <c r="D927" s="156" t="inlineStr">
        <is>
          <t>OG</t>
        </is>
      </c>
      <c r="E927" s="156" t="inlineStr">
        <is>
          <t>Back</t>
        </is>
      </c>
      <c r="F927" s="156" t="inlineStr">
        <is>
          <t>Questionable</t>
        </is>
      </c>
    </row>
    <row r="928" ht="15.6" customHeight="1" s="152">
      <c r="A928" s="167">
        <f>B928&amp;C928</f>
        <v/>
      </c>
      <c r="B928" s="156" t="inlineStr">
        <is>
          <t>DET</t>
        </is>
      </c>
      <c r="C928" s="156" t="inlineStr">
        <is>
          <t>Sione Vaki</t>
        </is>
      </c>
      <c r="D928" s="156" t="inlineStr">
        <is>
          <t>RB</t>
        </is>
      </c>
      <c r="E928" s="156" t="inlineStr">
        <is>
          <t>Hamstring</t>
        </is>
      </c>
      <c r="F928" s="156" t="inlineStr">
        <is>
          <t>Questionable</t>
        </is>
      </c>
    </row>
    <row r="929" ht="15.6" customHeight="1" s="152">
      <c r="A929" s="167">
        <f>B929&amp;C929</f>
        <v/>
      </c>
      <c r="B929" s="156" t="inlineStr">
        <is>
          <t>MIN</t>
        </is>
      </c>
      <c r="C929" s="156" t="inlineStr">
        <is>
          <t>Andrew Van Ginkel</t>
        </is>
      </c>
      <c r="D929" s="156" t="inlineStr">
        <is>
          <t>LB</t>
        </is>
      </c>
      <c r="E929" s="156" t="inlineStr">
        <is>
          <t>Concussion</t>
        </is>
      </c>
      <c r="F929" s="156" t="inlineStr">
        <is>
          <t>Questionable</t>
        </is>
      </c>
    </row>
    <row r="930" ht="15.6" customHeight="1" s="152">
      <c r="A930" s="167">
        <f>B930&amp;C930</f>
        <v/>
      </c>
      <c r="B930" s="156" t="inlineStr">
        <is>
          <t>BAL</t>
        </is>
      </c>
      <c r="C930" s="156" t="inlineStr">
        <is>
          <t>Kyle Van Noy</t>
        </is>
      </c>
      <c r="D930" s="156" t="inlineStr">
        <is>
          <t>LB</t>
        </is>
      </c>
      <c r="E930" s="156" t="inlineStr">
        <is>
          <t>Hamstring</t>
        </is>
      </c>
      <c r="F930" s="156" t="inlineStr">
        <is>
          <t>Questionable</t>
        </is>
      </c>
    </row>
    <row r="931" ht="15.6" customHeight="1" s="152">
      <c r="A931" s="167">
        <f>B931&amp;C931</f>
        <v/>
      </c>
      <c r="B931" s="156" t="inlineStr">
        <is>
          <t>FA</t>
        </is>
      </c>
      <c r="C931" s="156" t="inlineStr">
        <is>
          <t>Zeke Vandenburgh</t>
        </is>
      </c>
      <c r="D931" s="156" t="inlineStr">
        <is>
          <t>LB</t>
        </is>
      </c>
      <c r="E931" s="156" t="inlineStr">
        <is>
          <t>Leg</t>
        </is>
      </c>
      <c r="F931" s="156" t="inlineStr">
        <is>
          <t>Questionable</t>
        </is>
      </c>
    </row>
    <row r="932" ht="15.6" customHeight="1" s="152">
      <c r="A932" s="167">
        <f>B932&amp;C932</f>
        <v/>
      </c>
      <c r="B932" s="156" t="inlineStr">
        <is>
          <t>PHI</t>
        </is>
      </c>
      <c r="C932" s="156" t="inlineStr">
        <is>
          <t>Ben VanSumeren</t>
        </is>
      </c>
      <c r="D932" s="156" t="inlineStr">
        <is>
          <t>FB</t>
        </is>
      </c>
      <c r="E932" s="156" t="inlineStr">
        <is>
          <t>Knee</t>
        </is>
      </c>
      <c r="F932" s="156" t="inlineStr">
        <is>
          <t>IR</t>
        </is>
      </c>
    </row>
    <row r="933" ht="15.6" customHeight="1" s="152">
      <c r="A933" s="167">
        <f>B933&amp;C933</f>
        <v/>
      </c>
      <c r="B933" s="156" t="inlineStr">
        <is>
          <t>FA</t>
        </is>
      </c>
      <c r="C933" s="156" t="inlineStr">
        <is>
          <t>Zach VanValkenburg</t>
        </is>
      </c>
      <c r="D933" s="156" t="inlineStr">
        <is>
          <t>LB</t>
        </is>
      </c>
      <c r="E933" s="156" t="inlineStr">
        <is>
          <t>Undisclosed</t>
        </is>
      </c>
      <c r="F933" s="156" t="inlineStr">
        <is>
          <t>Questionable</t>
        </is>
      </c>
    </row>
    <row r="934" ht="15.6" customHeight="1" s="152">
      <c r="A934" s="167">
        <f>B934&amp;C934</f>
        <v/>
      </c>
      <c r="B934" s="156" t="inlineStr">
        <is>
          <t>NYJ</t>
        </is>
      </c>
      <c r="C934" s="156" t="inlineStr">
        <is>
          <t>Alijah Vera-Tucker</t>
        </is>
      </c>
      <c r="D934" s="156" t="inlineStr">
        <is>
          <t>OG</t>
        </is>
      </c>
      <c r="E934" s="156" t="inlineStr">
        <is>
          <t>Triceps</t>
        </is>
      </c>
      <c r="F934" s="156" t="inlineStr">
        <is>
          <t>IR</t>
        </is>
      </c>
    </row>
    <row r="935" ht="15.6" customHeight="1" s="152">
      <c r="A935" s="167">
        <f>B935&amp;C935</f>
        <v/>
      </c>
      <c r="B935" s="156" t="inlineStr">
        <is>
          <t>ATL</t>
        </is>
      </c>
      <c r="C935" s="156" t="inlineStr">
        <is>
          <t>Malik Verdon</t>
        </is>
      </c>
      <c r="D935" s="156" t="inlineStr">
        <is>
          <t>S</t>
        </is>
      </c>
      <c r="E935" s="156" t="inlineStr">
        <is>
          <t>Undisclosed</t>
        </is>
      </c>
      <c r="F935" s="156" t="inlineStr">
        <is>
          <t>NFI-R</t>
        </is>
      </c>
    </row>
    <row r="936" ht="15.6" customHeight="1" s="152">
      <c r="A936" s="167">
        <f>B936&amp;C936</f>
        <v/>
      </c>
      <c r="B936" s="156" t="inlineStr">
        <is>
          <t>FA</t>
        </is>
      </c>
      <c r="C936" s="156" t="inlineStr">
        <is>
          <t>Olivier Vernon</t>
        </is>
      </c>
      <c r="D936" s="156" t="inlineStr">
        <is>
          <t>DE</t>
        </is>
      </c>
      <c r="E936" s="156" t="inlineStr">
        <is>
          <t>Achilles</t>
        </is>
      </c>
      <c r="F936" s="156" t="inlineStr">
        <is>
          <t>Questionable</t>
        </is>
      </c>
    </row>
    <row r="937" ht="15.6" customHeight="1" s="152">
      <c r="A937" s="167">
        <f>B937&amp;C937</f>
        <v/>
      </c>
      <c r="B937" s="156" t="inlineStr">
        <is>
          <t>FA</t>
        </is>
      </c>
      <c r="C937" s="156" t="inlineStr">
        <is>
          <t>Jason Verrett</t>
        </is>
      </c>
      <c r="D937" s="156" t="inlineStr">
        <is>
          <t>CB</t>
        </is>
      </c>
      <c r="E937" s="156" t="inlineStr">
        <is>
          <t>Shoulder</t>
        </is>
      </c>
      <c r="F937" s="156" t="inlineStr">
        <is>
          <t>Questionable</t>
        </is>
      </c>
    </row>
    <row r="938" ht="15.6" customHeight="1" s="152">
      <c r="A938" s="167">
        <f>B938&amp;C938</f>
        <v/>
      </c>
      <c r="B938" s="156" t="inlineStr">
        <is>
          <t>FA</t>
        </is>
      </c>
      <c r="C938" s="156" t="inlineStr">
        <is>
          <t>Jalen Virgil</t>
        </is>
      </c>
      <c r="D938" s="156" t="inlineStr">
        <is>
          <t>WR</t>
        </is>
      </c>
      <c r="E938" s="156" t="inlineStr">
        <is>
          <t>Hamstring</t>
        </is>
      </c>
      <c r="F938" s="156" t="inlineStr">
        <is>
          <t>Questionable</t>
        </is>
      </c>
    </row>
    <row r="939" ht="15.6" customHeight="1" s="152">
      <c r="A939" s="167">
        <f>B939&amp;C939</f>
        <v/>
      </c>
      <c r="B939" s="156" t="inlineStr">
        <is>
          <t>CIN</t>
        </is>
      </c>
      <c r="C939" s="156" t="inlineStr">
        <is>
          <t>Cordell Volson</t>
        </is>
      </c>
      <c r="D939" s="156" t="inlineStr">
        <is>
          <t>OG</t>
        </is>
      </c>
      <c r="E939" s="156" t="inlineStr">
        <is>
          <t>Shoulder</t>
        </is>
      </c>
      <c r="F939" s="156" t="inlineStr">
        <is>
          <t>IR</t>
        </is>
      </c>
    </row>
    <row r="940" ht="15.6" customHeight="1" s="152">
      <c r="A940" s="167">
        <f>B940&amp;C940</f>
        <v/>
      </c>
      <c r="B940" s="156" t="inlineStr">
        <is>
          <t>MIA</t>
        </is>
      </c>
      <c r="C940" s="156" t="inlineStr">
        <is>
          <t>Jaylen Waddle</t>
        </is>
      </c>
      <c r="D940" s="156" t="inlineStr">
        <is>
          <t>WR</t>
        </is>
      </c>
      <c r="E940" s="156" t="inlineStr">
        <is>
          <t>Shoulder</t>
        </is>
      </c>
      <c r="F940" s="156" t="inlineStr">
        <is>
          <t>Questionable</t>
        </is>
      </c>
    </row>
    <row r="941" ht="15.6" customHeight="1" s="152">
      <c r="A941" s="167">
        <f>B941&amp;C941</f>
        <v/>
      </c>
      <c r="B941" s="156" t="inlineStr">
        <is>
          <t>BAL</t>
        </is>
      </c>
      <c r="C941" s="156" t="inlineStr">
        <is>
          <t>Dayton Wade</t>
        </is>
      </c>
      <c r="D941" s="156" t="inlineStr">
        <is>
          <t>WR</t>
        </is>
      </c>
      <c r="E941" s="156" t="inlineStr">
        <is>
          <t>Ribs</t>
        </is>
      </c>
      <c r="F941" s="156" t="inlineStr">
        <is>
          <t>IR</t>
        </is>
      </c>
    </row>
    <row r="942" ht="15.6" customHeight="1" s="152">
      <c r="A942" s="167">
        <f>B942&amp;C942</f>
        <v/>
      </c>
      <c r="B942" s="156" t="inlineStr">
        <is>
          <t>FA</t>
        </is>
      </c>
      <c r="C942" s="156" t="inlineStr">
        <is>
          <t>Shaun Wade</t>
        </is>
      </c>
      <c r="D942" s="156" t="inlineStr">
        <is>
          <t>CB</t>
        </is>
      </c>
      <c r="E942" s="156" t="inlineStr">
        <is>
          <t>Undisclosed</t>
        </is>
      </c>
      <c r="F942" s="156" t="inlineStr">
        <is>
          <t>Questionable</t>
        </is>
      </c>
    </row>
    <row r="943" ht="15.6" customHeight="1" s="152">
      <c r="A943" s="167">
        <f>B943&amp;C943</f>
        <v/>
      </c>
      <c r="B943" s="156" t="inlineStr">
        <is>
          <t>TB</t>
        </is>
      </c>
      <c r="C943" s="156" t="inlineStr">
        <is>
          <t>David Walker</t>
        </is>
      </c>
      <c r="D943" s="156" t="inlineStr">
        <is>
          <t>DE</t>
        </is>
      </c>
      <c r="E943" s="156" t="inlineStr">
        <is>
          <t>Knee</t>
        </is>
      </c>
      <c r="F943" s="156" t="inlineStr">
        <is>
          <t>IR</t>
        </is>
      </c>
    </row>
    <row r="944" ht="15.6" customHeight="1" s="152">
      <c r="A944" s="167">
        <f>B944&amp;C944</f>
        <v/>
      </c>
      <c r="B944" s="156" t="inlineStr">
        <is>
          <t>CHI</t>
        </is>
      </c>
      <c r="C944" s="156" t="inlineStr">
        <is>
          <t>Jahdae Walker</t>
        </is>
      </c>
      <c r="D944" s="156" t="inlineStr">
        <is>
          <t>WR</t>
        </is>
      </c>
      <c r="E944" s="156" t="inlineStr">
        <is>
          <t>Ankle</t>
        </is>
      </c>
      <c r="F944" s="156" t="inlineStr">
        <is>
          <t>Questionable</t>
        </is>
      </c>
    </row>
    <row r="945" ht="15.6" customHeight="1" s="152">
      <c r="A945" s="167">
        <f>B945&amp;C945</f>
        <v/>
      </c>
      <c r="B945" s="156" t="inlineStr">
        <is>
          <t>DEN</t>
        </is>
      </c>
      <c r="C945" s="156" t="inlineStr">
        <is>
          <t>Johnny Walker</t>
        </is>
      </c>
      <c r="D945" s="156" t="inlineStr">
        <is>
          <t>LB</t>
        </is>
      </c>
      <c r="E945" s="156" t="inlineStr">
        <is>
          <t>Undisclosed</t>
        </is>
      </c>
      <c r="F945" s="156" t="inlineStr">
        <is>
          <t>IR</t>
        </is>
      </c>
    </row>
    <row r="946" ht="15.6" customHeight="1" s="152">
      <c r="A946" s="167">
        <f>B946&amp;C946</f>
        <v/>
      </c>
      <c r="B946" s="156" t="inlineStr">
        <is>
          <t>FA</t>
        </is>
      </c>
      <c r="C946" s="156" t="inlineStr">
        <is>
          <t>Michael Walker</t>
        </is>
      </c>
      <c r="D946" s="156" t="inlineStr">
        <is>
          <t>WR</t>
        </is>
      </c>
      <c r="E946" s="156" t="inlineStr">
        <is>
          <t>Undisclosed</t>
        </is>
      </c>
      <c r="F946" s="156" t="inlineStr">
        <is>
          <t>Questionable</t>
        </is>
      </c>
    </row>
    <row r="947" ht="15.6" customHeight="1" s="152">
      <c r="A947" s="167">
        <f>B947&amp;C947</f>
        <v/>
      </c>
      <c r="B947" s="156" t="inlineStr">
        <is>
          <t>FA</t>
        </is>
      </c>
      <c r="C947" s="156" t="inlineStr">
        <is>
          <t>Tracy Walker</t>
        </is>
      </c>
      <c r="D947" s="156" t="inlineStr">
        <is>
          <t>S</t>
        </is>
      </c>
      <c r="E947" s="156" t="inlineStr">
        <is>
          <t>Suspension</t>
        </is>
      </c>
      <c r="F947" s="156" t="inlineStr">
        <is>
          <t>Reserve-Sus</t>
        </is>
      </c>
    </row>
    <row r="948" ht="15.6" customHeight="1" s="152">
      <c r="A948" s="167">
        <f>B948&amp;C948</f>
        <v/>
      </c>
      <c r="B948" s="156" t="inlineStr">
        <is>
          <t>FA</t>
        </is>
      </c>
      <c r="C948" s="156" t="inlineStr">
        <is>
          <t>Levi Wallace</t>
        </is>
      </c>
      <c r="D948" s="156" t="inlineStr">
        <is>
          <t>CB</t>
        </is>
      </c>
      <c r="E948" s="156" t="inlineStr">
        <is>
          <t>Undisclosed</t>
        </is>
      </c>
      <c r="F948" s="156" t="inlineStr">
        <is>
          <t>Questionable</t>
        </is>
      </c>
    </row>
    <row r="949" ht="15.6" customHeight="1" s="152">
      <c r="A949" s="167">
        <f>B949&amp;C949</f>
        <v/>
      </c>
      <c r="B949" s="156" t="inlineStr">
        <is>
          <t>MIA</t>
        </is>
      </c>
      <c r="C949" s="156" t="inlineStr">
        <is>
          <t>Darren Waller</t>
        </is>
      </c>
      <c r="D949" s="156" t="inlineStr">
        <is>
          <t>TE</t>
        </is>
      </c>
      <c r="E949" s="156" t="inlineStr">
        <is>
          <t>Hip</t>
        </is>
      </c>
      <c r="F949" s="156" t="inlineStr">
        <is>
          <t>Out</t>
        </is>
      </c>
    </row>
    <row r="950" ht="15.6" customHeight="1" s="152">
      <c r="A950" s="167">
        <f>B950&amp;C950</f>
        <v/>
      </c>
      <c r="B950" s="156" t="inlineStr">
        <is>
          <t>IND</t>
        </is>
      </c>
      <c r="C950" s="156" t="inlineStr">
        <is>
          <t>Justin Walley</t>
        </is>
      </c>
      <c r="D950" s="156" t="inlineStr">
        <is>
          <t>CB</t>
        </is>
      </c>
      <c r="E950" s="156" t="inlineStr">
        <is>
          <t>Knee - ACL</t>
        </is>
      </c>
      <c r="F950" s="156" t="inlineStr">
        <is>
          <t>IR</t>
        </is>
      </c>
    </row>
    <row r="951" ht="15.6" customHeight="1" s="152">
      <c r="A951" s="167">
        <f>B951&amp;C951</f>
        <v/>
      </c>
      <c r="B951" s="156" t="inlineStr">
        <is>
          <t>FA</t>
        </is>
      </c>
      <c r="C951" s="156" t="inlineStr">
        <is>
          <t>Austin Walter</t>
        </is>
      </c>
      <c r="D951" s="156" t="inlineStr">
        <is>
          <t>RB</t>
        </is>
      </c>
      <c r="E951" s="156" t="inlineStr">
        <is>
          <t>Undisclosed</t>
        </is>
      </c>
      <c r="F951" s="156" t="inlineStr">
        <is>
          <t>Questionable</t>
        </is>
      </c>
    </row>
    <row r="952" ht="15.6" customHeight="1" s="152">
      <c r="A952" s="167">
        <f>B952&amp;C952</f>
        <v/>
      </c>
      <c r="B952" s="156" t="inlineStr">
        <is>
          <t>IND</t>
        </is>
      </c>
      <c r="C952" s="156" t="inlineStr">
        <is>
          <t>Charvarius Ward</t>
        </is>
      </c>
      <c r="D952" s="156" t="inlineStr">
        <is>
          <t>CB</t>
        </is>
      </c>
      <c r="E952" s="156" t="inlineStr">
        <is>
          <t>Concussion</t>
        </is>
      </c>
      <c r="F952" s="156" t="inlineStr">
        <is>
          <t>Questionable</t>
        </is>
      </c>
    </row>
    <row r="953" ht="15.6" customHeight="1" s="152">
      <c r="A953" s="167">
        <f>B953&amp;C953</f>
        <v/>
      </c>
      <c r="B953" s="156" t="inlineStr">
        <is>
          <t>HOU</t>
        </is>
      </c>
      <c r="C953" s="156" t="inlineStr">
        <is>
          <t>Jimmie Ward</t>
        </is>
      </c>
      <c r="D953" s="156" t="inlineStr">
        <is>
          <t>S</t>
        </is>
      </c>
      <c r="E953" s="156" t="inlineStr">
        <is>
          <t>Foot</t>
        </is>
      </c>
      <c r="F953" s="156" t="inlineStr">
        <is>
          <t>Reserve-CEL</t>
        </is>
      </c>
    </row>
    <row r="954" ht="15.6" customHeight="1" s="152">
      <c r="A954" s="167">
        <f>B954&amp;C954</f>
        <v/>
      </c>
      <c r="B954" s="156" t="inlineStr">
        <is>
          <t>PIT</t>
        </is>
      </c>
      <c r="C954" s="156" t="inlineStr">
        <is>
          <t>Gareth Warren</t>
        </is>
      </c>
      <c r="D954" s="156" t="inlineStr">
        <is>
          <t>OT</t>
        </is>
      </c>
      <c r="E954" s="156" t="inlineStr">
        <is>
          <t>Concussion</t>
        </is>
      </c>
      <c r="F954" s="156" t="inlineStr">
        <is>
          <t>IR</t>
        </is>
      </c>
    </row>
    <row r="955" ht="15.6" customHeight="1" s="152">
      <c r="A955" s="167">
        <f>B955&amp;C955</f>
        <v/>
      </c>
      <c r="B955" s="156" t="inlineStr">
        <is>
          <t>IND</t>
        </is>
      </c>
      <c r="C955" s="156" t="inlineStr">
        <is>
          <t>Tyler Warren</t>
        </is>
      </c>
      <c r="D955" s="156" t="inlineStr">
        <is>
          <t>TE</t>
        </is>
      </c>
      <c r="E955" s="156" t="inlineStr">
        <is>
          <t>Toe</t>
        </is>
      </c>
      <c r="F955" s="156" t="inlineStr">
        <is>
          <t>Questionable</t>
        </is>
      </c>
    </row>
    <row r="956" ht="15.6" customHeight="1" s="152">
      <c r="A956" s="167">
        <f>B956&amp;C956</f>
        <v/>
      </c>
      <c r="B956" s="156" t="inlineStr">
        <is>
          <t>BAL</t>
        </is>
      </c>
      <c r="C956" s="156" t="inlineStr">
        <is>
          <t>Ar'Darius Washington</t>
        </is>
      </c>
      <c r="D956" s="156" t="inlineStr">
        <is>
          <t>S</t>
        </is>
      </c>
      <c r="E956" s="156" t="inlineStr">
        <is>
          <t>Achilles</t>
        </is>
      </c>
      <c r="F956" s="156" t="inlineStr">
        <is>
          <t>PUP-R</t>
        </is>
      </c>
    </row>
    <row r="957" ht="15.6" customHeight="1" s="152">
      <c r="A957" s="167">
        <f>B957&amp;C957</f>
        <v/>
      </c>
      <c r="B957" s="156" t="inlineStr">
        <is>
          <t>ATL</t>
        </is>
      </c>
      <c r="C957" s="156" t="inlineStr">
        <is>
          <t>Casey Washington</t>
        </is>
      </c>
      <c r="D957" s="156" t="inlineStr">
        <is>
          <t>WR</t>
        </is>
      </c>
      <c r="E957" s="156" t="inlineStr">
        <is>
          <t>Concussion</t>
        </is>
      </c>
      <c r="F957" s="156" t="inlineStr">
        <is>
          <t>Questionable</t>
        </is>
      </c>
    </row>
    <row r="958" ht="15.6" customHeight="1" s="152">
      <c r="A958" s="167">
        <f>B958&amp;C958</f>
        <v/>
      </c>
      <c r="B958" s="156" t="inlineStr">
        <is>
          <t>FA</t>
        </is>
      </c>
      <c r="C958" s="156" t="inlineStr">
        <is>
          <t>Dwayne Washington</t>
        </is>
      </c>
      <c r="D958" s="156" t="inlineStr">
        <is>
          <t>RB</t>
        </is>
      </c>
      <c r="E958" s="156" t="inlineStr">
        <is>
          <t>Illness</t>
        </is>
      </c>
      <c r="F958" s="156" t="inlineStr">
        <is>
          <t>Questionable</t>
        </is>
      </c>
    </row>
    <row r="959" ht="15.6" customHeight="1" s="152">
      <c r="A959" s="167">
        <f>B959&amp;C959</f>
        <v/>
      </c>
      <c r="B959" s="156" t="inlineStr">
        <is>
          <t>FA</t>
        </is>
      </c>
      <c r="C959" s="156" t="inlineStr">
        <is>
          <t>Isaiah Washington</t>
        </is>
      </c>
      <c r="D959" s="156" t="inlineStr">
        <is>
          <t>WR</t>
        </is>
      </c>
      <c r="E959" s="156" t="inlineStr">
        <is>
          <t>Undisclosed</t>
        </is>
      </c>
      <c r="F959" s="156" t="inlineStr">
        <is>
          <t>Questionable</t>
        </is>
      </c>
    </row>
    <row r="960" ht="15.6" customHeight="1" s="152">
      <c r="A960" s="167">
        <f>B960&amp;C960</f>
        <v/>
      </c>
      <c r="B960" s="156" t="inlineStr">
        <is>
          <t>FA</t>
        </is>
      </c>
      <c r="C960" s="156" t="inlineStr">
        <is>
          <t>Keith Washington</t>
        </is>
      </c>
      <c r="D960" s="156" t="inlineStr">
        <is>
          <t>CB</t>
        </is>
      </c>
      <c r="E960" s="156" t="inlineStr">
        <is>
          <t>Wrist</t>
        </is>
      </c>
      <c r="F960" s="156" t="inlineStr">
        <is>
          <t>Questionable</t>
        </is>
      </c>
    </row>
    <row r="961" ht="15.6" customHeight="1" s="152">
      <c r="A961" s="167">
        <f>B961&amp;C961</f>
        <v/>
      </c>
      <c r="B961" s="156" t="inlineStr">
        <is>
          <t>LAC</t>
        </is>
      </c>
      <c r="C961" s="156" t="inlineStr">
        <is>
          <t>Savion Washington</t>
        </is>
      </c>
      <c r="D961" s="156" t="inlineStr">
        <is>
          <t>OT</t>
        </is>
      </c>
      <c r="E961" s="156" t="inlineStr">
        <is>
          <t>Undisclosed</t>
        </is>
      </c>
      <c r="F961" s="156" t="inlineStr">
        <is>
          <t>PUP-R</t>
        </is>
      </c>
    </row>
    <row r="962" ht="15.6" customHeight="1" s="152">
      <c r="A962" s="167">
        <f>B962&amp;C962</f>
        <v/>
      </c>
      <c r="B962" s="156" t="inlineStr">
        <is>
          <t>FA</t>
        </is>
      </c>
      <c r="C962" s="156" t="inlineStr">
        <is>
          <t>Quez Watkins</t>
        </is>
      </c>
      <c r="D962" s="156" t="inlineStr">
        <is>
          <t>WR</t>
        </is>
      </c>
      <c r="E962" s="156" t="inlineStr">
        <is>
          <t>Undisclosed</t>
        </is>
      </c>
      <c r="F962" s="156" t="inlineStr">
        <is>
          <t>Questionable</t>
        </is>
      </c>
    </row>
    <row r="963" ht="15.6" customHeight="1" s="152">
      <c r="A963" s="167">
        <f>B963&amp;C963</f>
        <v/>
      </c>
      <c r="B963" s="156" t="inlineStr">
        <is>
          <t>FA</t>
        </is>
      </c>
      <c r="C963" s="156" t="inlineStr">
        <is>
          <t>Blake Watson</t>
        </is>
      </c>
      <c r="D963" s="156" t="inlineStr">
        <is>
          <t>RB</t>
        </is>
      </c>
      <c r="E963" s="156" t="inlineStr">
        <is>
          <t>Knee</t>
        </is>
      </c>
      <c r="F963" s="156" t="inlineStr">
        <is>
          <t>Questionable</t>
        </is>
      </c>
    </row>
    <row r="964" ht="15.6" customHeight="1" s="152">
      <c r="A964" s="167">
        <f>B964&amp;C964</f>
        <v/>
      </c>
      <c r="B964" s="156" t="inlineStr">
        <is>
          <t>GB</t>
        </is>
      </c>
      <c r="C964" s="156" t="inlineStr">
        <is>
          <t>Christian Watson</t>
        </is>
      </c>
      <c r="D964" s="156" t="inlineStr">
        <is>
          <t>WR</t>
        </is>
      </c>
      <c r="E964" s="156" t="inlineStr">
        <is>
          <t>Knee - ACL</t>
        </is>
      </c>
      <c r="F964" s="156" t="inlineStr">
        <is>
          <t>PUP-R</t>
        </is>
      </c>
    </row>
    <row r="965" ht="15.6" customHeight="1" s="152">
      <c r="A965" s="167">
        <f>B965&amp;C965</f>
        <v/>
      </c>
      <c r="B965" s="156" t="inlineStr">
        <is>
          <t>CLE</t>
        </is>
      </c>
      <c r="C965" s="156" t="inlineStr">
        <is>
          <t>Deshaun Watson</t>
        </is>
      </c>
      <c r="D965" s="156" t="inlineStr">
        <is>
          <t>QB</t>
        </is>
      </c>
      <c r="E965" s="156" t="inlineStr">
        <is>
          <t>Achilles</t>
        </is>
      </c>
      <c r="F965" s="156" t="inlineStr">
        <is>
          <t>PUP-R</t>
        </is>
      </c>
    </row>
    <row r="966" ht="15.6" customHeight="1" s="152">
      <c r="A966" s="167">
        <f>B966&amp;C966</f>
        <v/>
      </c>
      <c r="B966" s="156" t="inlineStr">
        <is>
          <t>FA</t>
        </is>
      </c>
      <c r="C966" s="156" t="inlineStr">
        <is>
          <t>Desmond Watson</t>
        </is>
      </c>
      <c r="D966" s="156" t="inlineStr">
        <is>
          <t>DT</t>
        </is>
      </c>
      <c r="E966" s="156" t="inlineStr">
        <is>
          <t>Illness</t>
        </is>
      </c>
      <c r="F966" s="156" t="inlineStr">
        <is>
          <t>Questionable</t>
        </is>
      </c>
    </row>
    <row r="967" ht="15.6" customHeight="1" s="152">
      <c r="A967" s="167">
        <f>B967&amp;C967</f>
        <v/>
      </c>
      <c r="B967" s="156" t="inlineStr">
        <is>
          <t>HOU</t>
        </is>
      </c>
      <c r="C967" s="156" t="inlineStr">
        <is>
          <t>Justin Watson</t>
        </is>
      </c>
      <c r="D967" s="156" t="inlineStr">
        <is>
          <t>WR</t>
        </is>
      </c>
      <c r="E967" s="156" t="inlineStr">
        <is>
          <t>Achilles</t>
        </is>
      </c>
      <c r="F967" s="156" t="inlineStr">
        <is>
          <t>IR</t>
        </is>
      </c>
    </row>
    <row r="968" ht="15.6" customHeight="1" s="152">
      <c r="A968" s="167">
        <f>B968&amp;C968</f>
        <v/>
      </c>
      <c r="B968" s="156" t="inlineStr">
        <is>
          <t>CLE</t>
        </is>
      </c>
      <c r="C968" s="156" t="inlineStr">
        <is>
          <t>Nathaniel Watson</t>
        </is>
      </c>
      <c r="D968" s="156" t="inlineStr">
        <is>
          <t>LB</t>
        </is>
      </c>
      <c r="E968" s="156" t="inlineStr">
        <is>
          <t>Biceps</t>
        </is>
      </c>
      <c r="F968" s="156" t="inlineStr">
        <is>
          <t>IR</t>
        </is>
      </c>
    </row>
    <row r="969" ht="15.6" customHeight="1" s="152">
      <c r="A969" s="167">
        <f>B969&amp;C969</f>
        <v/>
      </c>
      <c r="B969" s="156" t="inlineStr">
        <is>
          <t>FA</t>
        </is>
      </c>
      <c r="C969" s="156" t="inlineStr">
        <is>
          <t>Armani Watts</t>
        </is>
      </c>
      <c r="D969" s="156" t="inlineStr">
        <is>
          <t>S</t>
        </is>
      </c>
      <c r="E969" s="156" t="inlineStr">
        <is>
          <t>Ankle</t>
        </is>
      </c>
      <c r="F969" s="156" t="inlineStr">
        <is>
          <t>Questionable</t>
        </is>
      </c>
    </row>
    <row r="970" ht="15.6" customHeight="1" s="152">
      <c r="A970" s="167">
        <f>B970&amp;C970</f>
        <v/>
      </c>
      <c r="B970" s="156" t="inlineStr">
        <is>
          <t>FA</t>
        </is>
      </c>
      <c r="C970" s="156" t="inlineStr">
        <is>
          <t>Armon Watts</t>
        </is>
      </c>
      <c r="D970" s="156" t="inlineStr">
        <is>
          <t>DT</t>
        </is>
      </c>
      <c r="E970" s="156" t="inlineStr">
        <is>
          <t>Knee</t>
        </is>
      </c>
      <c r="F970" s="156" t="inlineStr">
        <is>
          <t>Questionable</t>
        </is>
      </c>
    </row>
    <row r="971" ht="15.6" customHeight="1" s="152">
      <c r="A971" s="167">
        <f>B971&amp;C971</f>
        <v/>
      </c>
      <c r="B971" s="156" t="inlineStr">
        <is>
          <t>FA</t>
        </is>
      </c>
      <c r="C971" s="156" t="inlineStr">
        <is>
          <t>Isas Waxter</t>
        </is>
      </c>
      <c r="D971" s="156" t="inlineStr">
        <is>
          <t>CB</t>
        </is>
      </c>
      <c r="E971" s="156" t="inlineStr">
        <is>
          <t>Undisclosed</t>
        </is>
      </c>
      <c r="F971" s="156" t="inlineStr">
        <is>
          <t>Questionable</t>
        </is>
      </c>
    </row>
    <row r="972" ht="15.6" customHeight="1" s="152">
      <c r="A972" s="167">
        <f>B972&amp;C972</f>
        <v/>
      </c>
      <c r="B972" s="156" t="inlineStr">
        <is>
          <t>FA</t>
        </is>
      </c>
      <c r="C972" s="156" t="inlineStr">
        <is>
          <t>Stephen Weatherly</t>
        </is>
      </c>
      <c r="D972" s="156" t="inlineStr">
        <is>
          <t>DE</t>
        </is>
      </c>
      <c r="E972" s="156" t="inlineStr">
        <is>
          <t>Knee</t>
        </is>
      </c>
      <c r="F972" s="156" t="inlineStr">
        <is>
          <t>Questionable</t>
        </is>
      </c>
    </row>
    <row r="973" ht="15.6" customHeight="1" s="152">
      <c r="A973" s="167">
        <f>B973&amp;C973</f>
        <v/>
      </c>
      <c r="B973" s="156" t="inlineStr">
        <is>
          <t>FA</t>
        </is>
      </c>
      <c r="C973" s="156" t="inlineStr">
        <is>
          <t>Marcus Webb</t>
        </is>
      </c>
      <c r="D973" s="156" t="inlineStr">
        <is>
          <t>DE</t>
        </is>
      </c>
      <c r="E973" s="156" t="inlineStr">
        <is>
          <t>Undisclosed</t>
        </is>
      </c>
      <c r="F973" s="156" t="inlineStr">
        <is>
          <t>Questionable</t>
        </is>
      </c>
    </row>
    <row r="974" ht="15.6" customHeight="1" s="152">
      <c r="A974" s="167">
        <f>B974&amp;C974</f>
        <v/>
      </c>
      <c r="B974" s="156" t="inlineStr">
        <is>
          <t>FA</t>
        </is>
      </c>
      <c r="C974" s="156" t="inlineStr">
        <is>
          <t>Ken Webster</t>
        </is>
      </c>
      <c r="D974" s="156" t="inlineStr">
        <is>
          <t>CB</t>
        </is>
      </c>
      <c r="E974" s="156" t="inlineStr">
        <is>
          <t>Undisclosed</t>
        </is>
      </c>
      <c r="F974" s="156" t="inlineStr">
        <is>
          <t>Questionable</t>
        </is>
      </c>
    </row>
    <row r="975" ht="15.6" customHeight="1" s="152">
      <c r="A975" s="167">
        <f>B975&amp;C975</f>
        <v/>
      </c>
      <c r="B975" s="156" t="inlineStr">
        <is>
          <t>NO</t>
        </is>
      </c>
      <c r="C975" s="156" t="inlineStr">
        <is>
          <t>Barry Wesley</t>
        </is>
      </c>
      <c r="D975" s="156" t="inlineStr">
        <is>
          <t>OT</t>
        </is>
      </c>
      <c r="E975" s="156" t="inlineStr">
        <is>
          <t>Undisclosed</t>
        </is>
      </c>
      <c r="F975" s="156" t="inlineStr">
        <is>
          <t>IR-R</t>
        </is>
      </c>
    </row>
    <row r="976" ht="15.6" customHeight="1" s="152">
      <c r="A976" s="167">
        <f>B976&amp;C976</f>
        <v/>
      </c>
      <c r="B976" s="156" t="inlineStr">
        <is>
          <t>NYJ</t>
        </is>
      </c>
      <c r="C976" s="156" t="inlineStr">
        <is>
          <t>Ja'Markis Weston</t>
        </is>
      </c>
      <c r="D976" s="156" t="inlineStr">
        <is>
          <t>LB</t>
        </is>
      </c>
      <c r="E976" s="156" t="inlineStr">
        <is>
          <t>Undisclosed</t>
        </is>
      </c>
      <c r="F976" s="156" t="inlineStr">
        <is>
          <t>IR-R</t>
        </is>
      </c>
    </row>
    <row r="977" ht="15.6" customHeight="1" s="152">
      <c r="A977" s="167">
        <f>B977&amp;C977</f>
        <v/>
      </c>
      <c r="B977" s="156" t="inlineStr">
        <is>
          <t>NE</t>
        </is>
      </c>
      <c r="C977" s="156" t="inlineStr">
        <is>
          <t>Jack Westover</t>
        </is>
      </c>
      <c r="D977" s="156" t="inlineStr">
        <is>
          <t>FB</t>
        </is>
      </c>
      <c r="E977" s="156" t="inlineStr">
        <is>
          <t>Hamstring</t>
        </is>
      </c>
      <c r="F977" s="156" t="inlineStr">
        <is>
          <t>Questionable</t>
        </is>
      </c>
    </row>
    <row r="978" ht="15.6" customHeight="1" s="152">
      <c r="A978" s="167">
        <f>B978&amp;C978</f>
        <v/>
      </c>
      <c r="B978" s="156" t="inlineStr">
        <is>
          <t>CAR</t>
        </is>
      </c>
      <c r="C978" s="156" t="inlineStr">
        <is>
          <t>Tershawn Wharton</t>
        </is>
      </c>
      <c r="D978" s="156" t="inlineStr">
        <is>
          <t>DT</t>
        </is>
      </c>
      <c r="E978" s="156" t="inlineStr">
        <is>
          <t>Hamstring</t>
        </is>
      </c>
      <c r="F978" s="156" t="inlineStr">
        <is>
          <t>Questionable</t>
        </is>
      </c>
    </row>
    <row r="979" ht="15.6" customHeight="1" s="152">
      <c r="A979" s="167">
        <f>B979&amp;C979</f>
        <v/>
      </c>
      <c r="B979" s="156" t="inlineStr">
        <is>
          <t>ATL</t>
        </is>
      </c>
      <c r="C979" s="156" t="inlineStr">
        <is>
          <t>Tyrone Wheatley</t>
        </is>
      </c>
      <c r="D979" s="156" t="inlineStr">
        <is>
          <t>OT</t>
        </is>
      </c>
      <c r="E979" s="156" t="inlineStr">
        <is>
          <t>Undisclosed</t>
        </is>
      </c>
      <c r="F979" s="156" t="inlineStr">
        <is>
          <t>IR</t>
        </is>
      </c>
    </row>
    <row r="980" ht="15.6" customHeight="1" s="152">
      <c r="A980" s="167">
        <f>B980&amp;C980</f>
        <v/>
      </c>
      <c r="B980" s="156" t="inlineStr">
        <is>
          <t>FA</t>
        </is>
      </c>
      <c r="C980" s="156" t="inlineStr">
        <is>
          <t>DeAndrew White</t>
        </is>
      </c>
      <c r="D980" s="156" t="inlineStr">
        <is>
          <t>WR</t>
        </is>
      </c>
      <c r="E980" s="156" t="inlineStr">
        <is>
          <t>Undisclosed</t>
        </is>
      </c>
      <c r="F980" s="156" t="inlineStr">
        <is>
          <t>Questionable</t>
        </is>
      </c>
    </row>
    <row r="981" ht="15.6" customHeight="1" s="152">
      <c r="A981" s="167">
        <f>B981&amp;C981</f>
        <v/>
      </c>
      <c r="B981" s="156" t="inlineStr">
        <is>
          <t>FA</t>
        </is>
      </c>
      <c r="C981" s="156" t="inlineStr">
        <is>
          <t>Drew White</t>
        </is>
      </c>
      <c r="D981" s="156" t="inlineStr">
        <is>
          <t>LB</t>
        </is>
      </c>
      <c r="E981" s="156" t="inlineStr">
        <is>
          <t>Knee</t>
        </is>
      </c>
      <c r="F981" s="156" t="inlineStr">
        <is>
          <t>Questionable</t>
        </is>
      </c>
    </row>
    <row r="982" ht="15.6" customHeight="1" s="152">
      <c r="A982" s="167">
        <f>B982&amp;C982</f>
        <v/>
      </c>
      <c r="B982" s="156" t="inlineStr">
        <is>
          <t>FA</t>
        </is>
      </c>
      <c r="C982" s="156" t="inlineStr">
        <is>
          <t>Jalen White</t>
        </is>
      </c>
      <c r="D982" s="156" t="inlineStr">
        <is>
          <t>RB</t>
        </is>
      </c>
      <c r="E982" s="156" t="inlineStr">
        <is>
          <t>Foot</t>
        </is>
      </c>
      <c r="F982" s="156" t="inlineStr">
        <is>
          <t>Questionable</t>
        </is>
      </c>
    </row>
    <row r="983" ht="15.6" customHeight="1" s="152">
      <c r="A983" s="167">
        <f>B983&amp;C983</f>
        <v/>
      </c>
      <c r="B983" s="156" t="inlineStr">
        <is>
          <t>NE</t>
        </is>
      </c>
      <c r="C983" s="156" t="inlineStr">
        <is>
          <t>Keion White</t>
        </is>
      </c>
      <c r="D983" s="156" t="inlineStr">
        <is>
          <t>LB</t>
        </is>
      </c>
      <c r="E983" s="156" t="inlineStr">
        <is>
          <t>Illness</t>
        </is>
      </c>
      <c r="F983" s="156" t="inlineStr">
        <is>
          <t>Questionable</t>
        </is>
      </c>
    </row>
    <row r="984" ht="15.6" customHeight="1" s="152">
      <c r="A984" s="167">
        <f>B984&amp;C984</f>
        <v/>
      </c>
      <c r="B984" s="156" t="inlineStr">
        <is>
          <t>FA</t>
        </is>
      </c>
      <c r="C984" s="156" t="inlineStr">
        <is>
          <t>Christian Wilkins</t>
        </is>
      </c>
      <c r="D984" s="156" t="inlineStr">
        <is>
          <t>DT</t>
        </is>
      </c>
      <c r="E984" s="156" t="inlineStr">
        <is>
          <t>Foot</t>
        </is>
      </c>
      <c r="F984" s="156" t="inlineStr">
        <is>
          <t>Questionable</t>
        </is>
      </c>
    </row>
    <row r="985" ht="15.6" customHeight="1" s="152">
      <c r="A985" s="167">
        <f>B985&amp;C985</f>
        <v/>
      </c>
      <c r="B985" s="156" t="inlineStr">
        <is>
          <t>PHI</t>
        </is>
      </c>
      <c r="C985" s="156" t="inlineStr">
        <is>
          <t>Cameron Williams</t>
        </is>
      </c>
      <c r="D985" s="156" t="inlineStr">
        <is>
          <t>OT</t>
        </is>
      </c>
      <c r="E985" s="156" t="inlineStr">
        <is>
          <t>Shoulder</t>
        </is>
      </c>
      <c r="F985" s="156" t="inlineStr">
        <is>
          <t>IR</t>
        </is>
      </c>
    </row>
    <row r="986" ht="15.6" customHeight="1" s="152">
      <c r="A986" s="167">
        <f>B986&amp;C986</f>
        <v/>
      </c>
      <c r="B986" s="156" t="inlineStr">
        <is>
          <t>FA</t>
        </is>
      </c>
      <c r="C986" s="156" t="inlineStr">
        <is>
          <t>Chad Williams</t>
        </is>
      </c>
      <c r="D986" s="156" t="inlineStr">
        <is>
          <t>WR</t>
        </is>
      </c>
      <c r="E986" s="156" t="inlineStr">
        <is>
          <t>Undisclosed</t>
        </is>
      </c>
      <c r="F986" s="156" t="inlineStr">
        <is>
          <t>Questionable</t>
        </is>
      </c>
    </row>
    <row r="987" ht="15.6" customHeight="1" s="152">
      <c r="A987" s="167">
        <f>B987&amp;C987</f>
        <v/>
      </c>
      <c r="B987" s="156" t="inlineStr">
        <is>
          <t>FA</t>
        </is>
      </c>
      <c r="C987" s="156" t="inlineStr">
        <is>
          <t>Chase Williams</t>
        </is>
      </c>
      <c r="D987" s="156" t="inlineStr">
        <is>
          <t>S</t>
        </is>
      </c>
      <c r="E987" s="156" t="inlineStr">
        <is>
          <t>Head</t>
        </is>
      </c>
      <c r="F987" s="156" t="inlineStr">
        <is>
          <t>Questionable</t>
        </is>
      </c>
    </row>
    <row r="988" ht="15.6" customHeight="1" s="152">
      <c r="A988" s="167">
        <f>B988&amp;C988</f>
        <v/>
      </c>
      <c r="B988" s="156" t="inlineStr">
        <is>
          <t>FA</t>
        </is>
      </c>
      <c r="C988" s="156" t="inlineStr">
        <is>
          <t>D.J. Williams</t>
        </is>
      </c>
      <c r="D988" s="156" t="inlineStr">
        <is>
          <t>RB</t>
        </is>
      </c>
      <c r="E988" s="156" t="inlineStr">
        <is>
          <t>Undisclosed</t>
        </is>
      </c>
      <c r="F988" s="156" t="inlineStr">
        <is>
          <t>Questionable</t>
        </is>
      </c>
    </row>
    <row r="989" ht="15.6" customHeight="1" s="152">
      <c r="A989" s="167">
        <f>B989&amp;C989</f>
        <v/>
      </c>
      <c r="B989" s="156" t="inlineStr">
        <is>
          <t>FA</t>
        </is>
      </c>
      <c r="C989" s="156" t="inlineStr">
        <is>
          <t>Damien Williams</t>
        </is>
      </c>
      <c r="D989" s="156" t="inlineStr">
        <is>
          <t>RB</t>
        </is>
      </c>
      <c r="E989" s="156" t="inlineStr">
        <is>
          <t>Foot</t>
        </is>
      </c>
      <c r="F989" s="156" t="inlineStr">
        <is>
          <t>Questionable</t>
        </is>
      </c>
    </row>
    <row r="990" ht="15.6" customHeight="1" s="152">
      <c r="A990" s="167">
        <f>B990&amp;C990</f>
        <v/>
      </c>
      <c r="B990" s="156" t="inlineStr">
        <is>
          <t>FA</t>
        </is>
      </c>
      <c r="C990" s="156" t="inlineStr">
        <is>
          <t>Duke Williams</t>
        </is>
      </c>
      <c r="D990" s="156" t="inlineStr">
        <is>
          <t>WR</t>
        </is>
      </c>
      <c r="E990" s="156" t="inlineStr">
        <is>
          <t>Hamstring</t>
        </is>
      </c>
      <c r="F990" s="156" t="inlineStr">
        <is>
          <t>Questionable</t>
        </is>
      </c>
    </row>
    <row r="991" ht="15.6" customHeight="1" s="152">
      <c r="A991" s="167">
        <f>B991&amp;C991</f>
        <v/>
      </c>
      <c r="B991" s="156" t="inlineStr">
        <is>
          <t>ARI</t>
        </is>
      </c>
      <c r="C991" s="156" t="inlineStr">
        <is>
          <t>Garrett Williams</t>
        </is>
      </c>
      <c r="D991" s="156" t="inlineStr">
        <is>
          <t>CB</t>
        </is>
      </c>
      <c r="E991" s="156" t="inlineStr">
        <is>
          <t>Knee</t>
        </is>
      </c>
      <c r="F991" s="156" t="inlineStr">
        <is>
          <t>IR</t>
        </is>
      </c>
    </row>
    <row r="992" ht="15.6" customHeight="1" s="152">
      <c r="A992" s="167">
        <f>B992&amp;C992</f>
        <v/>
      </c>
      <c r="B992" s="156" t="inlineStr">
        <is>
          <t>FA</t>
        </is>
      </c>
      <c r="C992" s="156" t="inlineStr">
        <is>
          <t>Jarren Williams</t>
        </is>
      </c>
      <c r="D992" s="156" t="inlineStr">
        <is>
          <t>CB</t>
        </is>
      </c>
      <c r="E992" s="156" t="inlineStr">
        <is>
          <t>Lower Body</t>
        </is>
      </c>
      <c r="F992" s="156" t="inlineStr">
        <is>
          <t>Questionable</t>
        </is>
      </c>
    </row>
    <row r="993" ht="15.6" customHeight="1" s="152">
      <c r="A993" s="167">
        <f>B993&amp;C993</f>
        <v/>
      </c>
      <c r="B993" s="156" t="inlineStr">
        <is>
          <t>GB</t>
        </is>
      </c>
      <c r="C993" s="156" t="inlineStr">
        <is>
          <t>John Williams</t>
        </is>
      </c>
      <c r="D993" s="156" t="inlineStr">
        <is>
          <t>OG</t>
        </is>
      </c>
      <c r="E993" s="156" t="inlineStr">
        <is>
          <t>Back</t>
        </is>
      </c>
      <c r="F993" s="156" t="inlineStr">
        <is>
          <t>PUP-R</t>
        </is>
      </c>
    </row>
    <row r="994" ht="15.6" customHeight="1" s="152">
      <c r="A994" s="167">
        <f>B994&amp;C994</f>
        <v/>
      </c>
      <c r="B994" s="156" t="inlineStr">
        <is>
          <t>FA</t>
        </is>
      </c>
      <c r="C994" s="156" t="inlineStr">
        <is>
          <t>Jonathan Williams</t>
        </is>
      </c>
      <c r="D994" s="156" t="inlineStr">
        <is>
          <t>RB</t>
        </is>
      </c>
      <c r="E994" s="156" t="inlineStr">
        <is>
          <t>Concussion</t>
        </is>
      </c>
      <c r="F994" s="156" t="inlineStr">
        <is>
          <t>Questionable</t>
        </is>
      </c>
    </row>
    <row r="995" ht="15.6" customHeight="1" s="152">
      <c r="A995" s="167">
        <f>B995&amp;C995</f>
        <v/>
      </c>
      <c r="B995" s="156" t="inlineStr">
        <is>
          <t>FA</t>
        </is>
      </c>
      <c r="C995" s="156" t="inlineStr">
        <is>
          <t>Kristian Williams</t>
        </is>
      </c>
      <c r="D995" s="156" t="inlineStr">
        <is>
          <t>DT</t>
        </is>
      </c>
      <c r="E995" s="156" t="inlineStr">
        <is>
          <t>Undisclosed</t>
        </is>
      </c>
      <c r="F995" s="156" t="inlineStr">
        <is>
          <t>Questionable</t>
        </is>
      </c>
    </row>
    <row r="996" ht="15.6" customHeight="1" s="152">
      <c r="A996" s="167">
        <f>B996&amp;C996</f>
        <v/>
      </c>
      <c r="B996" s="156" t="inlineStr">
        <is>
          <t>FA</t>
        </is>
      </c>
      <c r="C996" s="156" t="inlineStr">
        <is>
          <t>Mario Williams</t>
        </is>
      </c>
      <c r="D996" s="156" t="inlineStr">
        <is>
          <t>WR</t>
        </is>
      </c>
      <c r="E996" s="156" t="inlineStr">
        <is>
          <t>Undisclosed</t>
        </is>
      </c>
      <c r="F996" s="156" t="inlineStr">
        <is>
          <t>Questionable</t>
        </is>
      </c>
    </row>
    <row r="997" ht="15.6" customHeight="1" s="152">
      <c r="A997" s="167">
        <f>B997&amp;C997</f>
        <v/>
      </c>
      <c r="B997" s="156" t="inlineStr">
        <is>
          <t>LAC</t>
        </is>
      </c>
      <c r="C997" s="156" t="inlineStr">
        <is>
          <t>Mike Williams</t>
        </is>
      </c>
      <c r="D997" s="156" t="inlineStr">
        <is>
          <t>WR</t>
        </is>
      </c>
      <c r="E997" s="156" t="inlineStr">
        <is>
          <t>Undisclosed</t>
        </is>
      </c>
      <c r="F997" s="156" t="inlineStr">
        <is>
          <t>Reserve-Ex</t>
        </is>
      </c>
    </row>
    <row r="998" ht="15.6" customHeight="1" s="152">
      <c r="A998" s="167">
        <f>B998&amp;C998</f>
        <v/>
      </c>
      <c r="B998" s="156" t="inlineStr">
        <is>
          <t>FA</t>
        </is>
      </c>
      <c r="C998" s="156" t="inlineStr">
        <is>
          <t>Seth Williams</t>
        </is>
      </c>
      <c r="D998" s="156" t="inlineStr">
        <is>
          <t>WR</t>
        </is>
      </c>
      <c r="E998" s="156" t="inlineStr">
        <is>
          <t>Undisclosed</t>
        </is>
      </c>
      <c r="F998" s="156" t="inlineStr">
        <is>
          <t>Questionable</t>
        </is>
      </c>
    </row>
    <row r="999" ht="15.6" customHeight="1" s="152">
      <c r="A999" s="167">
        <f>B999&amp;C999</f>
        <v/>
      </c>
      <c r="B999" s="156" t="inlineStr">
        <is>
          <t>FA</t>
        </is>
      </c>
      <c r="C999" s="156" t="inlineStr">
        <is>
          <t>Tyrell Williams</t>
        </is>
      </c>
      <c r="D999" s="156" t="inlineStr">
        <is>
          <t>WR</t>
        </is>
      </c>
      <c r="E999" s="156" t="inlineStr">
        <is>
          <t>Concussion</t>
        </is>
      </c>
      <c r="F999" s="156" t="inlineStr">
        <is>
          <t>Questionable</t>
        </is>
      </c>
    </row>
    <row r="1000" ht="15.6" customHeight="1" s="152">
      <c r="A1000" s="167">
        <f>B1000&amp;C1000</f>
        <v/>
      </c>
      <c r="B1000" s="156" t="inlineStr">
        <is>
          <t>FA</t>
        </is>
      </c>
      <c r="C1000" s="156" t="inlineStr">
        <is>
          <t>Chris Williamson</t>
        </is>
      </c>
      <c r="D1000" s="156" t="inlineStr">
        <is>
          <t>CB</t>
        </is>
      </c>
      <c r="E1000" s="156" t="inlineStr">
        <is>
          <t>Undisclosed</t>
        </is>
      </c>
      <c r="F1000" s="156" t="inlineStr">
        <is>
          <t>Questionable</t>
        </is>
      </c>
    </row>
    <row r="1001" ht="15.6" customHeight="1" s="152">
      <c r="A1001" s="167">
        <f>B1001&amp;C1001</f>
        <v/>
      </c>
      <c r="B1001" s="156" t="inlineStr">
        <is>
          <t>FA</t>
        </is>
      </c>
      <c r="C1001" s="156" t="inlineStr">
        <is>
          <t>Marcus Willoughby</t>
        </is>
      </c>
      <c r="D1001" s="156" t="inlineStr">
        <is>
          <t>DE</t>
        </is>
      </c>
      <c r="E1001" s="156" t="inlineStr">
        <is>
          <t>Undisclosed</t>
        </is>
      </c>
      <c r="F1001" s="156" t="inlineStr">
        <is>
          <t>Questionable</t>
        </is>
      </c>
    </row>
    <row r="1002" ht="15.6" customHeight="1" s="152">
      <c r="A1002" s="167">
        <f>B1002&amp;C1002</f>
        <v/>
      </c>
      <c r="B1002" s="156" t="inlineStr">
        <is>
          <t>FA</t>
        </is>
      </c>
      <c r="C1002" s="156" t="inlineStr">
        <is>
          <t>Jedrick Wills</t>
        </is>
      </c>
      <c r="D1002" s="156" t="inlineStr">
        <is>
          <t>OT</t>
        </is>
      </c>
      <c r="E1002" s="156" t="inlineStr">
        <is>
          <t>Knee</t>
        </is>
      </c>
      <c r="F1002" s="156" t="inlineStr">
        <is>
          <t>Questionable</t>
        </is>
      </c>
    </row>
    <row r="1003" ht="15.6" customHeight="1" s="152">
      <c r="A1003" s="167">
        <f>B1003&amp;C1003</f>
        <v/>
      </c>
      <c r="B1003" s="156" t="inlineStr">
        <is>
          <t>FA</t>
        </is>
      </c>
      <c r="C1003" s="156" t="inlineStr">
        <is>
          <t>Divaad Wilson</t>
        </is>
      </c>
      <c r="D1003" s="156" t="inlineStr">
        <is>
          <t>CB</t>
        </is>
      </c>
      <c r="E1003" s="156" t="inlineStr">
        <is>
          <t>Undisclosed</t>
        </is>
      </c>
      <c r="F1003" s="156" t="inlineStr">
        <is>
          <t>Questionable</t>
        </is>
      </c>
    </row>
    <row r="1004" ht="15.6" customHeight="1" s="152">
      <c r="A1004" s="167">
        <f>B1004&amp;C1004</f>
        <v/>
      </c>
      <c r="B1004" s="156" t="inlineStr">
        <is>
          <t>IND</t>
        </is>
      </c>
      <c r="C1004" s="156" t="inlineStr">
        <is>
          <t>Jack Wilson</t>
        </is>
      </c>
      <c r="D1004" s="156" t="inlineStr">
        <is>
          <t>OT</t>
        </is>
      </c>
      <c r="E1004" s="156" t="inlineStr">
        <is>
          <t>Undisclosed</t>
        </is>
      </c>
      <c r="F1004" s="156" t="inlineStr">
        <is>
          <t>IR</t>
        </is>
      </c>
    </row>
    <row r="1005" ht="15.6" customHeight="1" s="152">
      <c r="A1005" s="167">
        <f>B1005&amp;C1005</f>
        <v/>
      </c>
      <c r="B1005" s="156" t="inlineStr">
        <is>
          <t>NE</t>
        </is>
      </c>
      <c r="C1005" s="156" t="inlineStr">
        <is>
          <t>Jared Wilson</t>
        </is>
      </c>
      <c r="D1005" s="156" t="inlineStr">
        <is>
          <t>C</t>
        </is>
      </c>
      <c r="E1005" s="156" t="inlineStr">
        <is>
          <t>Thigh</t>
        </is>
      </c>
      <c r="F1005" s="156" t="inlineStr">
        <is>
          <t>Questionable</t>
        </is>
      </c>
    </row>
    <row r="1006" ht="15.6" customHeight="1" s="152">
      <c r="A1006" s="167">
        <f>B1006&amp;C1006</f>
        <v/>
      </c>
      <c r="B1006" s="156" t="inlineStr">
        <is>
          <t>PHI</t>
        </is>
      </c>
      <c r="C1006" s="156" t="inlineStr">
        <is>
          <t>Johnny Wilson</t>
        </is>
      </c>
      <c r="D1006" s="156" t="inlineStr">
        <is>
          <t>WR</t>
        </is>
      </c>
      <c r="E1006" s="156" t="inlineStr">
        <is>
          <t>Knee</t>
        </is>
      </c>
      <c r="F1006" s="156" t="inlineStr">
        <is>
          <t>IR</t>
        </is>
      </c>
    </row>
    <row r="1007" ht="15.6" customHeight="1" s="152">
      <c r="A1007" s="167">
        <f>B1007&amp;C1007</f>
        <v/>
      </c>
      <c r="B1007" s="156" t="inlineStr">
        <is>
          <t>CIN</t>
        </is>
      </c>
      <c r="C1007" s="156" t="inlineStr">
        <is>
          <t>Logan Wilson</t>
        </is>
      </c>
      <c r="D1007" s="156" t="inlineStr">
        <is>
          <t>LB</t>
        </is>
      </c>
      <c r="E1007" s="156" t="inlineStr">
        <is>
          <t>Ankle</t>
        </is>
      </c>
      <c r="F1007" s="156" t="inlineStr">
        <is>
          <t>Questionable</t>
        </is>
      </c>
    </row>
    <row r="1008" ht="15.6" customHeight="1" s="152">
      <c r="A1008" s="167">
        <f>B1008&amp;C1008</f>
        <v/>
      </c>
      <c r="B1008" s="156" t="inlineStr">
        <is>
          <t>FA</t>
        </is>
      </c>
      <c r="C1008" s="156" t="inlineStr">
        <is>
          <t>Tavon Wilson</t>
        </is>
      </c>
      <c r="D1008" s="156" t="inlineStr">
        <is>
          <t>S</t>
        </is>
      </c>
      <c r="E1008" s="156" t="inlineStr">
        <is>
          <t>Foot</t>
        </is>
      </c>
      <c r="F1008" s="156" t="inlineStr">
        <is>
          <t>Questionable</t>
        </is>
      </c>
    </row>
    <row r="1009" ht="15.6" customHeight="1" s="152">
      <c r="A1009" s="167">
        <f>B1009&amp;C1009</f>
        <v/>
      </c>
      <c r="B1009" s="156" t="inlineStr">
        <is>
          <t>FA</t>
        </is>
      </c>
      <c r="C1009" s="156" t="inlineStr">
        <is>
          <t>Juwann Winfree</t>
        </is>
      </c>
      <c r="D1009" s="156" t="inlineStr">
        <is>
          <t>WR</t>
        </is>
      </c>
      <c r="E1009" s="156" t="inlineStr">
        <is>
          <t>Hand</t>
        </is>
      </c>
      <c r="F1009" s="156" t="inlineStr">
        <is>
          <t>Questionable</t>
        </is>
      </c>
    </row>
    <row r="1010" ht="15.6" customHeight="1" s="152">
      <c r="A1010" s="167">
        <f>B1010&amp;C1010</f>
        <v/>
      </c>
      <c r="B1010" s="156" t="inlineStr">
        <is>
          <t>DAL</t>
        </is>
      </c>
      <c r="C1010" s="156" t="inlineStr">
        <is>
          <t>Perrion Winfrey</t>
        </is>
      </c>
      <c r="D1010" s="156" t="inlineStr">
        <is>
          <t>DT</t>
        </is>
      </c>
      <c r="E1010" s="156" t="inlineStr">
        <is>
          <t>Back</t>
        </is>
      </c>
      <c r="F1010" s="156" t="inlineStr">
        <is>
          <t>IR</t>
        </is>
      </c>
    </row>
    <row r="1011" ht="15.6" customHeight="1" s="152">
      <c r="A1011" s="167">
        <f>B1011&amp;C1011</f>
        <v/>
      </c>
      <c r="B1011" s="156" t="inlineStr">
        <is>
          <t>TEN</t>
        </is>
      </c>
      <c r="C1011" s="156" t="inlineStr">
        <is>
          <t>Kevin Winston</t>
        </is>
      </c>
      <c r="D1011" s="156" t="inlineStr">
        <is>
          <t>S</t>
        </is>
      </c>
      <c r="E1011" s="156" t="inlineStr">
        <is>
          <t>Hamstring</t>
        </is>
      </c>
      <c r="F1011" s="156" t="inlineStr">
        <is>
          <t>Questionable</t>
        </is>
      </c>
    </row>
    <row r="1012" ht="15.6" customHeight="1" s="152">
      <c r="A1012" s="167">
        <f>B1012&amp;C1012</f>
        <v/>
      </c>
      <c r="B1012" s="156" t="inlineStr">
        <is>
          <t>TB</t>
        </is>
      </c>
      <c r="C1012" s="156" t="inlineStr">
        <is>
          <t>Tristan Wirfs</t>
        </is>
      </c>
      <c r="D1012" s="156" t="inlineStr">
        <is>
          <t>OT</t>
        </is>
      </c>
      <c r="E1012" s="156" t="inlineStr">
        <is>
          <t>Knee</t>
        </is>
      </c>
      <c r="F1012" s="156" t="inlineStr">
        <is>
          <t>Questionable</t>
        </is>
      </c>
    </row>
    <row r="1013" ht="15.6" customHeight="1" s="152">
      <c r="A1013" s="167">
        <f>B1013&amp;C1013</f>
        <v/>
      </c>
      <c r="B1013" s="156" t="inlineStr">
        <is>
          <t>WAS</t>
        </is>
      </c>
      <c r="C1013" s="156" t="inlineStr">
        <is>
          <t>Deatrich Wise</t>
        </is>
      </c>
      <c r="D1013" s="156" t="inlineStr">
        <is>
          <t>DE</t>
        </is>
      </c>
      <c r="E1013" s="156" t="inlineStr">
        <is>
          <t>Quadriceps</t>
        </is>
      </c>
      <c r="F1013" s="156" t="inlineStr">
        <is>
          <t>IR</t>
        </is>
      </c>
    </row>
    <row r="1014" ht="15.6" customHeight="1" s="152">
      <c r="A1014" s="167">
        <f>B1014&amp;C1014</f>
        <v/>
      </c>
      <c r="B1014" s="156" t="inlineStr">
        <is>
          <t>LAR</t>
        </is>
      </c>
      <c r="C1014" s="156" t="inlineStr">
        <is>
          <t>Ahkello Witherspoon</t>
        </is>
      </c>
      <c r="D1014" s="156" t="inlineStr">
        <is>
          <t>CB</t>
        </is>
      </c>
      <c r="E1014" s="156" t="inlineStr">
        <is>
          <t>Collarbone</t>
        </is>
      </c>
      <c r="F1014" s="156" t="inlineStr">
        <is>
          <t>IR</t>
        </is>
      </c>
    </row>
    <row r="1015" ht="15.6" customHeight="1" s="152">
      <c r="A1015" s="167">
        <f>B1015&amp;C1015</f>
        <v/>
      </c>
      <c r="B1015" s="156" t="inlineStr">
        <is>
          <t>SEA</t>
        </is>
      </c>
      <c r="C1015" s="156" t="inlineStr">
        <is>
          <t>Devon Witherspoon</t>
        </is>
      </c>
      <c r="D1015" s="156" t="inlineStr">
        <is>
          <t>CB</t>
        </is>
      </c>
      <c r="E1015" s="156" t="inlineStr">
        <is>
          <t>Knee - MCL</t>
        </is>
      </c>
      <c r="F1015" s="156" t="inlineStr">
        <is>
          <t>Questionable</t>
        </is>
      </c>
    </row>
    <row r="1016" ht="15.6" customHeight="1" s="152">
      <c r="A1016" s="167">
        <f>B1016&amp;C1016</f>
        <v/>
      </c>
      <c r="B1016" s="156" t="inlineStr">
        <is>
          <t>FA</t>
        </is>
      </c>
      <c r="C1016" s="156" t="inlineStr">
        <is>
          <t>Anthony Witherstone</t>
        </is>
      </c>
      <c r="D1016" s="156" t="inlineStr">
        <is>
          <t>CB</t>
        </is>
      </c>
      <c r="E1016" s="156" t="inlineStr">
        <is>
          <t>Toe</t>
        </is>
      </c>
      <c r="F1016" s="156" t="inlineStr">
        <is>
          <t>Questionable</t>
        </is>
      </c>
    </row>
    <row r="1017" ht="15.6" customHeight="1" s="152">
      <c r="A1017" s="167">
        <f>B1017&amp;C1017</f>
        <v/>
      </c>
      <c r="B1017" s="156" t="inlineStr">
        <is>
          <t>ATL</t>
        </is>
      </c>
      <c r="C1017" s="156" t="inlineStr">
        <is>
          <t>Charlie Woerner</t>
        </is>
      </c>
      <c r="D1017" s="156" t="inlineStr">
        <is>
          <t>TE</t>
        </is>
      </c>
      <c r="E1017" s="156" t="inlineStr">
        <is>
          <t>Ankle</t>
        </is>
      </c>
      <c r="F1017" s="156" t="inlineStr">
        <is>
          <t>Questionable</t>
        </is>
      </c>
    </row>
    <row r="1018" ht="15.6" customHeight="1" s="152">
      <c r="A1018" s="167">
        <f>B1018&amp;C1018</f>
        <v/>
      </c>
      <c r="B1018" s="156" t="inlineStr">
        <is>
          <t>IND</t>
        </is>
      </c>
      <c r="C1018" s="156" t="inlineStr">
        <is>
          <t>Hunter Wohler</t>
        </is>
      </c>
      <c r="D1018" s="156" t="inlineStr">
        <is>
          <t>S</t>
        </is>
      </c>
      <c r="E1018" s="156" t="inlineStr">
        <is>
          <t>Foot</t>
        </is>
      </c>
      <c r="F1018" s="156" t="inlineStr">
        <is>
          <t>IR</t>
        </is>
      </c>
    </row>
    <row r="1019" ht="15.6" customHeight="1" s="152">
      <c r="A1019" s="167">
        <f>B1019&amp;C1019</f>
        <v/>
      </c>
      <c r="B1019" s="156" t="inlineStr">
        <is>
          <t>FA</t>
        </is>
      </c>
      <c r="C1019" s="156" t="inlineStr">
        <is>
          <t>Al Woods</t>
        </is>
      </c>
      <c r="D1019" s="156" t="inlineStr">
        <is>
          <t>DT</t>
        </is>
      </c>
      <c r="E1019" s="156" t="inlineStr">
        <is>
          <t>Achilles</t>
        </is>
      </c>
      <c r="F1019" s="156" t="inlineStr">
        <is>
          <t>Questionable</t>
        </is>
      </c>
    </row>
    <row r="1020" ht="15.6" customHeight="1" s="152">
      <c r="A1020" s="167">
        <f>B1020&amp;C1020</f>
        <v/>
      </c>
      <c r="B1020" s="156" t="inlineStr">
        <is>
          <t>KC</t>
        </is>
      </c>
      <c r="C1020" s="156" t="inlineStr">
        <is>
          <t>Xavier Worthy</t>
        </is>
      </c>
      <c r="D1020" s="156" t="inlineStr">
        <is>
          <t>WR</t>
        </is>
      </c>
      <c r="E1020" s="156" t="inlineStr">
        <is>
          <t>Shoulder - Labrum</t>
        </is>
      </c>
      <c r="F1020" s="156" t="inlineStr">
        <is>
          <t>Questionable</t>
        </is>
      </c>
    </row>
    <row r="1021" ht="15.6" customHeight="1" s="152">
      <c r="A1021" s="167">
        <f>B1021&amp;C1021</f>
        <v/>
      </c>
      <c r="B1021" s="156" t="inlineStr">
        <is>
          <t>FA</t>
        </is>
      </c>
      <c r="C1021" s="156" t="inlineStr">
        <is>
          <t>Renell Wren</t>
        </is>
      </c>
      <c r="D1021" s="156" t="inlineStr">
        <is>
          <t>DT</t>
        </is>
      </c>
      <c r="E1021" s="156" t="inlineStr">
        <is>
          <t>Undisclosed</t>
        </is>
      </c>
      <c r="F1021" s="156" t="inlineStr">
        <is>
          <t>Questionable</t>
        </is>
      </c>
    </row>
    <row r="1022" ht="15.6" customHeight="1" s="152">
      <c r="A1022" s="167">
        <f>B1022&amp;C1022</f>
        <v/>
      </c>
      <c r="B1022" s="156" t="inlineStr">
        <is>
          <t>FA</t>
        </is>
      </c>
      <c r="C1022" s="156" t="inlineStr">
        <is>
          <t>Derek Wright</t>
        </is>
      </c>
      <c r="D1022" s="156" t="inlineStr">
        <is>
          <t>WR</t>
        </is>
      </c>
      <c r="E1022" s="156" t="inlineStr">
        <is>
          <t>Knee</t>
        </is>
      </c>
      <c r="F1022" s="156" t="inlineStr">
        <is>
          <t>Questionable</t>
        </is>
      </c>
    </row>
    <row r="1023" ht="15.6" customHeight="1" s="152">
      <c r="A1023" s="167">
        <f>B1023&amp;C1023</f>
        <v/>
      </c>
      <c r="B1023" s="156" t="inlineStr">
        <is>
          <t>FA</t>
        </is>
      </c>
      <c r="C1023" s="156" t="inlineStr">
        <is>
          <t>Milton Wright</t>
        </is>
      </c>
      <c r="D1023" s="156" t="inlineStr">
        <is>
          <t>WR</t>
        </is>
      </c>
      <c r="E1023" s="156" t="inlineStr">
        <is>
          <t>Undisclosed</t>
        </is>
      </c>
      <c r="F1023" s="156" t="inlineStr">
        <is>
          <t>Questionable</t>
        </is>
      </c>
    </row>
    <row r="1024" ht="15.6" customHeight="1" s="152">
      <c r="A1024" s="167">
        <f>B1024&amp;C1024</f>
        <v/>
      </c>
      <c r="B1024" s="156" t="inlineStr">
        <is>
          <t>WAS</t>
        </is>
      </c>
      <c r="C1024" s="156" t="inlineStr">
        <is>
          <t>Colson Yankoff</t>
        </is>
      </c>
      <c r="D1024" s="156" t="inlineStr">
        <is>
          <t>TE</t>
        </is>
      </c>
      <c r="E1024" s="156" t="inlineStr">
        <is>
          <t>Hip</t>
        </is>
      </c>
      <c r="F1024" s="156" t="inlineStr">
        <is>
          <t>Questionable</t>
        </is>
      </c>
    </row>
    <row r="1025" ht="15.6" customHeight="1" s="152">
      <c r="A1025" s="167">
        <f>B1025&amp;C1025</f>
        <v/>
      </c>
      <c r="B1025" s="156" t="inlineStr">
        <is>
          <t>DET</t>
        </is>
      </c>
      <c r="C1025" s="156" t="inlineStr">
        <is>
          <t>Kenny Yeboah</t>
        </is>
      </c>
      <c r="D1025" s="156" t="inlineStr">
        <is>
          <t>TE</t>
        </is>
      </c>
      <c r="E1025" s="156" t="inlineStr">
        <is>
          <t>Undisclosed</t>
        </is>
      </c>
      <c r="F1025" s="156" t="inlineStr">
        <is>
          <t>IR</t>
        </is>
      </c>
    </row>
    <row r="1026" ht="15.6" customHeight="1" s="152">
      <c r="A1026" s="167">
        <f>B1026&amp;C1026</f>
        <v/>
      </c>
      <c r="B1026" s="156" t="inlineStr">
        <is>
          <t>NO</t>
        </is>
      </c>
      <c r="C1026" s="156" t="inlineStr">
        <is>
          <t>Chase Young</t>
        </is>
      </c>
      <c r="D1026" s="156" t="inlineStr">
        <is>
          <t>LB</t>
        </is>
      </c>
      <c r="E1026" s="156" t="inlineStr">
        <is>
          <t>Calf</t>
        </is>
      </c>
      <c r="F1026" s="156" t="inlineStr">
        <is>
          <t>Questionable</t>
        </is>
      </c>
    </row>
    <row r="1027" ht="15.6" customHeight="1" s="152">
      <c r="A1027" s="167">
        <f>B1027&amp;C1027</f>
        <v/>
      </c>
      <c r="B1027" s="156" t="inlineStr">
        <is>
          <t>NO</t>
        </is>
      </c>
      <c r="C1027" s="156" t="inlineStr">
        <is>
          <t>Landon Young</t>
        </is>
      </c>
      <c r="D1027" s="156" t="inlineStr">
        <is>
          <t>OT</t>
        </is>
      </c>
      <c r="E1027" s="156" t="inlineStr">
        <is>
          <t>Ankle</t>
        </is>
      </c>
      <c r="F1027" s="156" t="inlineStr">
        <is>
          <t>IR</t>
        </is>
      </c>
    </row>
    <row r="1028" ht="15.6" customHeight="1" s="152">
      <c r="A1028" s="167">
        <f>B1028&amp;C1028</f>
        <v/>
      </c>
      <c r="B1028" s="156" t="inlineStr">
        <is>
          <t>FA</t>
        </is>
      </c>
      <c r="C1028" s="156" t="inlineStr">
        <is>
          <t>Tavon Young</t>
        </is>
      </c>
      <c r="D1028" s="156" t="inlineStr">
        <is>
          <t>CB</t>
        </is>
      </c>
      <c r="E1028" s="156" t="inlineStr">
        <is>
          <t>Undisclosed</t>
        </is>
      </c>
      <c r="F1028" s="156" t="inlineStr">
        <is>
          <t>Questionable</t>
        </is>
      </c>
    </row>
    <row r="1029" ht="15.6" customHeight="1" s="152">
      <c r="A1029" s="167">
        <f>B1029&amp;C1029</f>
        <v/>
      </c>
      <c r="B1029" s="156" t="inlineStr">
        <is>
          <t>TEN</t>
        </is>
      </c>
      <c r="C1029" s="156" t="inlineStr">
        <is>
          <t>Kevin Zeitler</t>
        </is>
      </c>
      <c r="D1029" s="156" t="inlineStr">
        <is>
          <t>OG</t>
        </is>
      </c>
      <c r="E1029" s="156" t="inlineStr">
        <is>
          <t>Biceps</t>
        </is>
      </c>
      <c r="F1029" s="156" t="inlineStr">
        <is>
          <t>Questionable</t>
        </is>
      </c>
    </row>
    <row r="1030" ht="15.6" customHeight="1" s="152">
      <c r="A1030" s="167">
        <f>B1030&amp;C1030</f>
        <v/>
      </c>
      <c r="B1030" s="156" t="inlineStr">
        <is>
          <t>FA</t>
        </is>
      </c>
      <c r="C1030" s="156" t="inlineStr">
        <is>
          <t>Justin Zimmer</t>
        </is>
      </c>
      <c r="D1030" s="156" t="inlineStr">
        <is>
          <t>DT</t>
        </is>
      </c>
      <c r="E1030" s="156" t="inlineStr">
        <is>
          <t>Undisclosed</t>
        </is>
      </c>
      <c r="F1030" s="156" t="inlineStr">
        <is>
          <t>Questionable</t>
        </is>
      </c>
    </row>
    <row r="1031" ht="15.6" customHeight="1" s="152">
      <c r="A1031" s="167">
        <f>B1031&amp;C1031</f>
        <v/>
      </c>
      <c r="B1031" s="156" t="inlineStr">
        <is>
          <t>FA</t>
        </is>
      </c>
      <c r="C1031" s="156" t="inlineStr">
        <is>
          <t>Isaiah Zuber</t>
        </is>
      </c>
      <c r="D1031" s="156" t="inlineStr">
        <is>
          <t>WR</t>
        </is>
      </c>
      <c r="E1031" s="156" t="inlineStr">
        <is>
          <t>Undisclosed</t>
        </is>
      </c>
      <c r="F1031" s="156" t="inlineStr">
        <is>
          <t>Questionable</t>
        </is>
      </c>
    </row>
    <row r="1032" ht="15.6" customHeight="1" s="152">
      <c r="A1032" s="167">
        <f>B1032&amp;C1032</f>
        <v/>
      </c>
      <c r="B1032" s="156" t="inlineStr">
        <is>
          <t>FA</t>
        </is>
      </c>
      <c r="C1032" s="156" t="inlineStr">
        <is>
          <t>Greg Zuerlein</t>
        </is>
      </c>
      <c r="D1032" s="156" t="inlineStr">
        <is>
          <t>K</t>
        </is>
      </c>
      <c r="E1032" s="156" t="inlineStr">
        <is>
          <t>Knee</t>
        </is>
      </c>
      <c r="F1032" s="156" t="inlineStr">
        <is>
          <t>Questionable</t>
        </is>
      </c>
    </row>
    <row r="1033" ht="15.6" customHeight="1" s="152">
      <c r="A1033" s="167">
        <f>B1033&amp;C1033</f>
        <v/>
      </c>
      <c r="B1033" s="156" t="inlineStr">
        <is>
          <t>DET</t>
        </is>
      </c>
      <c r="C1033" s="156" t="inlineStr">
        <is>
          <t>Shane Zylstra</t>
        </is>
      </c>
      <c r="D1033" s="156" t="inlineStr">
        <is>
          <t>TE</t>
        </is>
      </c>
      <c r="E1033" s="156" t="inlineStr">
        <is>
          <t>Ankle</t>
        </is>
      </c>
      <c r="F1033" s="156" t="inlineStr">
        <is>
          <t>IR</t>
        </is>
      </c>
    </row>
    <row r="1034" ht="15.6" customHeight="1" s="152">
      <c r="A1034" s="167">
        <f>B1034&amp;C1034</f>
        <v/>
      </c>
    </row>
    <row r="1035" ht="15.6" customHeight="1" s="152">
      <c r="A1035" s="167">
        <f>B1035&amp;C1035</f>
        <v/>
      </c>
    </row>
    <row r="1036" ht="15.6" customHeight="1" s="152">
      <c r="A1036" s="167">
        <f>B1036&amp;C1036</f>
        <v/>
      </c>
    </row>
    <row r="1037" ht="15.6" customHeight="1" s="152">
      <c r="A1037" s="167">
        <f>B1037&amp;C1037</f>
        <v/>
      </c>
    </row>
    <row r="1038" ht="15.6" customHeight="1" s="152">
      <c r="A1038" s="167">
        <f>B1038&amp;C1038</f>
        <v/>
      </c>
    </row>
    <row r="1039" ht="15.6" customHeight="1" s="152">
      <c r="A1039" s="167">
        <f>B1039&amp;C1039</f>
        <v/>
      </c>
    </row>
    <row r="1040" ht="15.6" customHeight="1" s="152">
      <c r="A1040" s="167">
        <f>B1040&amp;C1040</f>
        <v/>
      </c>
    </row>
    <row r="1041" ht="15.6" customHeight="1" s="152">
      <c r="A1041" s="167">
        <f>B1041&amp;C1041</f>
        <v/>
      </c>
    </row>
    <row r="1042" ht="15.6" customHeight="1" s="152">
      <c r="A1042" s="167">
        <f>B1042&amp;C1042</f>
        <v/>
      </c>
    </row>
    <row r="1043" ht="15.6" customHeight="1" s="152">
      <c r="A1043" s="167">
        <f>B1043&amp;C1043</f>
        <v/>
      </c>
    </row>
    <row r="1044" ht="15.6" customHeight="1" s="152">
      <c r="A1044" s="167">
        <f>B1044&amp;C1044</f>
        <v/>
      </c>
    </row>
    <row r="1045" ht="15.6" customHeight="1" s="152">
      <c r="A1045" s="167">
        <f>B1045&amp;C1045</f>
        <v/>
      </c>
    </row>
    <row r="1046" ht="15.6" customHeight="1" s="152">
      <c r="A1046" s="167">
        <f>B1046&amp;C1046</f>
        <v/>
      </c>
    </row>
    <row r="1047" ht="15.6" customHeight="1" s="152">
      <c r="A1047" s="167">
        <f>B1047&amp;C1047</f>
        <v/>
      </c>
    </row>
    <row r="1048" ht="15.6" customHeight="1" s="152">
      <c r="A1048" s="167">
        <f>B1048&amp;C1048</f>
        <v/>
      </c>
    </row>
    <row r="1049" ht="15.6" customHeight="1" s="152">
      <c r="A1049" s="167">
        <f>B1049&amp;C1049</f>
        <v/>
      </c>
    </row>
    <row r="1050" ht="15.6" customHeight="1" s="152">
      <c r="A1050" s="167">
        <f>B1050&amp;C1050</f>
        <v/>
      </c>
    </row>
    <row r="1051" ht="15.6" customHeight="1" s="152">
      <c r="A1051" s="167">
        <f>B1051&amp;C1051</f>
        <v/>
      </c>
    </row>
    <row r="1052" ht="15.6" customHeight="1" s="152">
      <c r="A1052" s="167">
        <f>B1052&amp;C1052</f>
        <v/>
      </c>
    </row>
    <row r="1053" ht="14.4" customHeight="1" s="152"/>
    <row r="1054" ht="14.4" customHeight="1" s="152"/>
    <row r="1055" ht="14.4" customHeight="1" s="152"/>
    <row r="1056" ht="14.4" customHeight="1" s="152"/>
    <row r="1057" ht="14.4" customHeight="1" s="152"/>
    <row r="1058" ht="14.4" customHeight="1" s="152"/>
    <row r="1059" ht="14.4" customHeight="1" s="152"/>
    <row r="1060" ht="14.4" customHeight="1" s="152"/>
    <row r="1061" ht="14.4" customHeight="1" s="152"/>
    <row r="1062" ht="14.4" customHeight="1" s="152"/>
    <row r="1063" ht="14.4" customHeight="1" s="152"/>
    <row r="1064" ht="14.4" customHeight="1" s="152"/>
    <row r="1065" ht="14.4" customHeight="1" s="152"/>
    <row r="1066" ht="14.4" customHeight="1" s="152"/>
    <row r="1067" ht="14.4" customHeight="1" s="152"/>
    <row r="1068" ht="14.4" customHeight="1" s="152"/>
    <row r="1069" ht="14.4" customHeight="1" s="152"/>
    <row r="1070" ht="14.4" customHeight="1" s="152"/>
    <row r="1071" ht="14.4" customHeight="1" s="152"/>
    <row r="1072" ht="14.4" customHeight="1" s="152"/>
    <row r="1073" ht="14.4" customHeight="1" s="152"/>
    <row r="1074" ht="14.4" customHeight="1" s="152"/>
    <row r="1075" ht="14.4" customHeight="1" s="152"/>
    <row r="1076" ht="14.4" customHeight="1" s="152"/>
    <row r="1077" ht="14.4" customHeight="1" s="152"/>
    <row r="1078" ht="14.4" customHeight="1" s="152"/>
    <row r="1079" ht="14.4" customHeight="1" s="152"/>
    <row r="1080" ht="14.4" customHeight="1" s="152"/>
    <row r="1081" ht="14.4" customHeight="1" s="152"/>
    <row r="1082" ht="14.4" customHeight="1" s="152"/>
    <row r="1083" ht="14.4" customHeight="1" s="152"/>
    <row r="1084" ht="14.4" customHeight="1" s="152"/>
    <row r="1085" ht="14.4" customHeight="1" s="152"/>
    <row r="1086" ht="14.4" customHeight="1" s="152"/>
    <row r="1087" ht="14.4" customHeight="1" s="152"/>
    <row r="1088" ht="14.4" customHeight="1" s="152"/>
    <row r="1089" ht="14.4" customHeight="1" s="152"/>
    <row r="1090" ht="14.4" customHeight="1" s="152"/>
    <row r="1091" ht="14.4" customHeight="1" s="152"/>
    <row r="1092" ht="14.4" customHeight="1" s="152"/>
    <row r="1093" ht="14.4" customHeight="1" s="152"/>
    <row r="1094" ht="14.4" customHeight="1" s="152"/>
    <row r="1095" ht="14.4" customHeight="1" s="152"/>
    <row r="1096" ht="14.4" customHeight="1" s="152"/>
    <row r="1097" ht="14.4" customHeight="1" s="152"/>
    <row r="1098" ht="14.4" customHeight="1" s="152"/>
    <row r="1099" ht="14.4" customHeight="1" s="152"/>
    <row r="1100" ht="14.4" customHeight="1" s="152"/>
    <row r="1101" ht="14.4" customHeight="1" s="152"/>
    <row r="1102" ht="14.4" customHeight="1" s="152"/>
    <row r="1103" ht="14.4" customHeight="1" s="152"/>
    <row r="1104" ht="14.4" customHeight="1" s="152"/>
    <row r="1105" ht="14.4" customHeight="1" s="152"/>
    <row r="1106" ht="14.4" customHeight="1" s="152"/>
    <row r="1107" ht="14.4" customHeight="1" s="152"/>
    <row r="1108" ht="14.4" customHeight="1" s="152"/>
    <row r="1109" ht="14.4" customHeight="1" s="152"/>
    <row r="1110" ht="14.4" customHeight="1" s="152"/>
    <row r="1111" ht="14.4" customHeight="1" s="152"/>
    <row r="1112" ht="14.4" customHeight="1" s="152"/>
    <row r="1113" ht="14.4" customHeight="1" s="152"/>
    <row r="1114" ht="14.4" customHeight="1" s="152"/>
    <row r="1115" ht="14.4" customHeight="1" s="152"/>
    <row r="1116" ht="14.4" customHeight="1" s="152"/>
    <row r="1117" ht="14.4" customHeight="1" s="152"/>
    <row r="1118" ht="14.4" customHeight="1" s="152"/>
    <row r="1119" ht="14.4" customHeight="1" s="152"/>
    <row r="1120" ht="14.4" customHeight="1" s="152"/>
    <row r="1121" ht="14.4" customHeight="1" s="152"/>
    <row r="1122" ht="14.4" customHeight="1" s="152"/>
    <row r="1123" ht="14.4" customHeight="1" s="152"/>
    <row r="1124" ht="14.4" customHeight="1" s="152"/>
    <row r="1125" ht="14.4" customHeight="1" s="152"/>
    <row r="1126" ht="14.4" customHeight="1" s="152"/>
    <row r="1127" ht="14.4" customHeight="1" s="152"/>
    <row r="1128" ht="14.4" customHeight="1" s="152"/>
    <row r="1129" ht="14.4" customHeight="1" s="152"/>
    <row r="1130" ht="14.4" customHeight="1" s="152"/>
    <row r="1131" ht="14.4" customHeight="1" s="152"/>
    <row r="1132" ht="14.4" customHeight="1" s="152"/>
    <row r="1133" ht="14.4" customHeight="1" s="152"/>
    <row r="1134" ht="14.4" customHeight="1" s="152"/>
    <row r="1135" ht="14.4" customHeight="1" s="152"/>
    <row r="1136" ht="14.4" customHeight="1" s="152"/>
    <row r="1137" ht="14.4" customHeight="1" s="152"/>
    <row r="1138" ht="14.4" customHeight="1" s="152"/>
    <row r="1139" ht="14.4" customHeight="1" s="152"/>
    <row r="1140" ht="14.4" customHeight="1" s="152"/>
    <row r="1141" ht="14.4" customHeight="1" s="152"/>
    <row r="1142" ht="14.4" customHeight="1" s="152"/>
    <row r="1143" ht="14.4" customHeight="1" s="152"/>
    <row r="1144" ht="14.4" customHeight="1" s="152"/>
    <row r="1145" ht="14.4" customHeight="1" s="152"/>
    <row r="1146" ht="14.4" customHeight="1" s="152"/>
    <row r="1147" ht="14.4" customHeight="1" s="152"/>
    <row r="1148" ht="14.4" customHeight="1" s="152"/>
    <row r="1149" ht="14.4" customHeight="1" s="152"/>
    <row r="1150" ht="14.4" customHeight="1" s="152"/>
    <row r="1151" ht="14.4" customHeight="1" s="152"/>
    <row r="1152" ht="14.4" customHeight="1" s="152"/>
    <row r="1153" ht="14.4" customHeight="1" s="152"/>
    <row r="1154" ht="14.4" customHeight="1" s="152"/>
    <row r="1155" ht="14.4" customHeight="1" s="152"/>
    <row r="1156" ht="14.4" customHeight="1" s="152"/>
    <row r="1157" ht="14.4" customHeight="1" s="152"/>
    <row r="1158" ht="14.4" customHeight="1" s="152"/>
    <row r="1159" ht="14.4" customHeight="1" s="152"/>
    <row r="1160" ht="14.4" customHeight="1" s="152"/>
    <row r="1161" ht="14.4" customHeight="1" s="152"/>
    <row r="1162" ht="14.4" customHeight="1" s="152"/>
    <row r="1163" ht="14.4" customHeight="1" s="152"/>
    <row r="1164" ht="14.4" customHeight="1" s="152"/>
    <row r="1165" ht="14.4" customHeight="1" s="152"/>
    <row r="1166" ht="14.4" customHeight="1" s="152"/>
    <row r="1167" ht="14.4" customHeight="1" s="152"/>
    <row r="1168" ht="14.4" customHeight="1" s="152"/>
    <row r="1169" ht="14.4" customHeight="1" s="152"/>
    <row r="1170" ht="14.4" customHeight="1" s="152"/>
    <row r="1171" ht="14.4" customHeight="1" s="152"/>
    <row r="1172" ht="14.4" customHeight="1" s="152"/>
    <row r="1173" ht="14.4" customHeight="1" s="152"/>
    <row r="1174" ht="14.4" customHeight="1" s="152"/>
    <row r="1175" ht="14.4" customHeight="1" s="152"/>
    <row r="1176" ht="14.4" customHeight="1" s="152"/>
    <row r="1177" ht="14.4" customHeight="1" s="152"/>
    <row r="1178" ht="14.4" customHeight="1" s="152"/>
    <row r="1179" ht="14.4" customHeight="1" s="152"/>
    <row r="1180" ht="14.4" customHeight="1" s="152"/>
    <row r="1181" ht="14.4" customHeight="1" s="152"/>
    <row r="1182" ht="14.4" customHeight="1" s="152"/>
    <row r="1183" ht="14.4" customHeight="1" s="152"/>
    <row r="1184" ht="14.4" customHeight="1" s="152"/>
    <row r="1185" ht="14.4" customHeight="1" s="152"/>
    <row r="1186" ht="14.4" customHeight="1" s="152"/>
    <row r="1187" ht="14.4" customHeight="1" s="152"/>
    <row r="1188" ht="14.4" customHeight="1" s="152"/>
    <row r="1189" ht="14.4" customHeight="1" s="152"/>
    <row r="1190" ht="14.4" customHeight="1" s="152"/>
    <row r="1191" ht="14.4" customHeight="1" s="152"/>
    <row r="1192" ht="14.4" customHeight="1" s="152"/>
    <row r="1193" ht="14.4" customHeight="1" s="152"/>
    <row r="1194" ht="14.4" customHeight="1" s="152"/>
    <row r="1195" ht="14.4" customHeight="1" s="152"/>
    <row r="1196" ht="14.4" customHeight="1" s="152"/>
    <row r="1197" ht="14.4" customHeight="1" s="152"/>
    <row r="1198" ht="14.4" customHeight="1" s="152"/>
    <row r="1199" ht="14.4" customHeight="1" s="152"/>
    <row r="1200" ht="14.4" customHeight="1" s="152"/>
    <row r="1201" ht="14.4" customHeight="1" s="152"/>
    <row r="1202" ht="14.4" customHeight="1" s="152"/>
    <row r="1203" ht="14.4" customHeight="1" s="152"/>
    <row r="1204" ht="14.4" customHeight="1" s="152"/>
    <row r="1205" ht="14.4" customHeight="1" s="152"/>
    <row r="1206" ht="14.4" customHeight="1" s="152"/>
    <row r="1207" ht="14.4" customHeight="1" s="152"/>
    <row r="1208" ht="14.4" customHeight="1" s="152"/>
    <row r="1209" ht="14.4" customHeight="1" s="152"/>
    <row r="1210" ht="14.4" customHeight="1" s="152"/>
    <row r="1211" ht="14.4" customHeight="1" s="152"/>
    <row r="1212" ht="14.4" customHeight="1" s="152"/>
    <row r="1213" ht="14.4" customHeight="1" s="152"/>
    <row r="1214" ht="14.4" customHeight="1" s="152"/>
    <row r="1215" ht="14.4" customHeight="1" s="152"/>
    <row r="1216" ht="14.4" customHeight="1" s="152"/>
    <row r="1217" ht="14.4" customHeight="1" s="152"/>
    <row r="1218" ht="14.4" customHeight="1" s="152"/>
    <row r="1219" ht="14.4" customHeight="1" s="152"/>
    <row r="1220" ht="14.4" customHeight="1" s="152"/>
    <row r="1221" ht="14.4" customHeight="1" s="152"/>
    <row r="1222" ht="14.4" customHeight="1" s="152"/>
    <row r="1223" ht="14.4" customHeight="1" s="152"/>
    <row r="1224" ht="14.4" customHeight="1" s="152"/>
    <row r="1225" ht="14.4" customHeight="1" s="152"/>
    <row r="1226" ht="14.4" customHeight="1" s="152"/>
    <row r="1227" ht="14.4" customHeight="1" s="152"/>
    <row r="1228" ht="14.4" customHeight="1" s="152"/>
    <row r="1229" ht="14.4" customHeight="1" s="152"/>
    <row r="1230" ht="14.4" customHeight="1" s="152"/>
    <row r="1231" ht="14.4" customHeight="1" s="152"/>
    <row r="1232" ht="14.4" customHeight="1" s="152"/>
    <row r="1233" ht="14.4" customHeight="1" s="152"/>
    <row r="1234" ht="14.4" customHeight="1" s="152"/>
    <row r="1235" ht="14.4" customHeight="1" s="152"/>
    <row r="1236" ht="14.4" customHeight="1" s="152"/>
    <row r="1237" ht="14.4" customHeight="1" s="152"/>
    <row r="1238" ht="14.4" customHeight="1" s="152"/>
    <row r="1239" ht="14.4" customHeight="1" s="152"/>
    <row r="1240" ht="14.4" customHeight="1" s="152"/>
    <row r="1241" ht="14.4" customHeight="1" s="152"/>
    <row r="1242" ht="14.4" customHeight="1" s="152"/>
    <row r="1243" ht="14.4" customHeight="1" s="152"/>
    <row r="1244" ht="14.4" customHeight="1" s="152"/>
    <row r="1245" ht="14.4" customHeight="1" s="152"/>
    <row r="1246" ht="14.4" customHeight="1" s="152"/>
    <row r="1247" ht="14.4" customHeight="1" s="152"/>
    <row r="1248" ht="14.4" customHeight="1" s="152"/>
    <row r="1249" ht="14.4" customHeight="1" s="152"/>
    <row r="1250" ht="14.4" customHeight="1" s="152"/>
    <row r="1251" ht="14.4" customHeight="1" s="152"/>
    <row r="1252" ht="14.4" customHeight="1" s="152"/>
    <row r="1253" ht="14.4" customHeight="1" s="152"/>
    <row r="1254" ht="14.4" customHeight="1" s="152"/>
    <row r="1255" ht="14.4" customHeight="1" s="152"/>
    <row r="1256" ht="14.4" customHeight="1" s="152"/>
    <row r="1257" ht="14.4" customHeight="1" s="152"/>
    <row r="1258" ht="14.4" customHeight="1" s="152"/>
    <row r="1259" ht="14.4" customHeight="1" s="152"/>
    <row r="1260" ht="14.4" customHeight="1" s="152"/>
    <row r="1261" ht="14.4" customHeight="1" s="152"/>
    <row r="1262" ht="14.4" customHeight="1" s="152"/>
    <row r="1263" ht="14.4" customHeight="1" s="152"/>
    <row r="1264" ht="14.4" customHeight="1" s="152"/>
    <row r="1265" ht="14.4" customHeight="1" s="152"/>
    <row r="1266" ht="14.4" customHeight="1" s="152"/>
    <row r="1267" ht="14.4" customHeight="1" s="152"/>
    <row r="1268" ht="14.4" customHeight="1" s="152"/>
    <row r="1269" ht="14.4" customHeight="1" s="152"/>
    <row r="1270" ht="14.4" customHeight="1" s="152"/>
    <row r="1271" ht="14.4" customHeight="1" s="152"/>
    <row r="1272" ht="14.4" customHeight="1" s="152"/>
    <row r="1273" ht="14.4" customHeight="1" s="152"/>
    <row r="1274" ht="14.4" customHeight="1" s="152"/>
    <row r="1275" ht="14.4" customHeight="1" s="152"/>
    <row r="1276" ht="14.4" customHeight="1" s="152"/>
    <row r="1277" ht="14.4" customHeight="1" s="152"/>
    <row r="1278" ht="14.4" customHeight="1" s="152"/>
    <row r="1279" ht="14.4" customHeight="1" s="152"/>
    <row r="1280" ht="14.4" customHeight="1" s="152"/>
    <row r="1281" ht="14.4" customHeight="1" s="152"/>
    <row r="1282" ht="14.4" customHeight="1" s="152"/>
    <row r="1283" ht="14.4" customHeight="1" s="152"/>
    <row r="1284" ht="14.4" customHeight="1" s="152"/>
    <row r="1285" ht="14.4" customHeight="1" s="152"/>
    <row r="1286" ht="14.4" customHeight="1" s="152"/>
    <row r="1287" ht="14.4" customHeight="1" s="152"/>
    <row r="1288" ht="14.4" customHeight="1" s="152"/>
    <row r="1289" ht="14.4" customHeight="1" s="152"/>
    <row r="1290" ht="14.4" customHeight="1" s="152"/>
    <row r="1291" ht="14.4" customHeight="1" s="152"/>
    <row r="1292" ht="14.4" customHeight="1" s="152"/>
    <row r="1293" ht="14.4" customHeight="1" s="152"/>
    <row r="1294" ht="14.4" customHeight="1" s="152"/>
    <row r="1295" ht="14.4" customHeight="1" s="152"/>
    <row r="1296" ht="14.4" customHeight="1" s="152"/>
    <row r="1297" ht="14.4" customHeight="1" s="152"/>
    <row r="1298" ht="14.4" customHeight="1" s="152"/>
    <row r="1299" ht="14.4" customHeight="1" s="152"/>
    <row r="1300" ht="14.4" customHeight="1" s="152"/>
    <row r="1301" ht="14.4" customHeight="1" s="152"/>
    <row r="1302" ht="14.4" customHeight="1" s="152"/>
    <row r="1303" ht="14.4" customHeight="1" s="152"/>
    <row r="1304" ht="14.4" customHeight="1" s="152"/>
    <row r="1305" ht="14.4" customHeight="1" s="152"/>
    <row r="1306" ht="14.4" customHeight="1" s="152"/>
    <row r="1307" ht="14.4" customHeight="1" s="152"/>
    <row r="1308" ht="14.4" customHeight="1" s="152"/>
    <row r="1309" ht="14.4" customHeight="1" s="152"/>
    <row r="1310" ht="14.4" customHeight="1" s="152"/>
    <row r="1311" ht="14.4" customHeight="1" s="152"/>
    <row r="1312" ht="14.4" customHeight="1" s="152"/>
    <row r="1313" ht="14.4" customHeight="1" s="152"/>
    <row r="1314" ht="14.4" customHeight="1" s="152"/>
    <row r="1315" ht="14.4" customHeight="1" s="152"/>
    <row r="1316" ht="14.4" customHeight="1" s="152"/>
    <row r="1317" ht="14.4" customHeight="1" s="152"/>
    <row r="1318" ht="14.4" customHeight="1" s="152"/>
    <row r="1319" ht="14.4" customHeight="1" s="152"/>
    <row r="1320" ht="14.4" customHeight="1" s="152"/>
    <row r="1321" ht="14.4" customHeight="1" s="152"/>
    <row r="1322" ht="14.4" customHeight="1" s="152"/>
    <row r="1323" ht="14.4" customHeight="1" s="152"/>
    <row r="1324" ht="14.4" customHeight="1" s="152"/>
    <row r="1325" ht="14.4" customHeight="1" s="152"/>
    <row r="1326" ht="14.4" customHeight="1" s="152"/>
    <row r="1327" ht="14.4" customHeight="1" s="152"/>
    <row r="1328" ht="14.4" customHeight="1" s="152"/>
    <row r="1329" ht="14.4" customHeight="1" s="152"/>
    <row r="1330" ht="14.4" customHeight="1" s="152"/>
    <row r="1331" ht="14.4" customHeight="1" s="152"/>
    <row r="1332" ht="14.4" customHeight="1" s="152"/>
    <row r="1333" ht="14.4" customHeight="1" s="152"/>
    <row r="1334" ht="14.4" customHeight="1" s="152"/>
    <row r="1335" ht="14.4" customHeight="1" s="152"/>
    <row r="1336" ht="14.4" customHeight="1" s="152"/>
    <row r="1337" ht="14.4" customHeight="1" s="152"/>
    <row r="1338" ht="14.4" customHeight="1" s="152"/>
    <row r="1339" ht="14.4" customHeight="1" s="152"/>
    <row r="1340" ht="14.4" customHeight="1" s="152"/>
    <row r="1341" ht="14.4" customHeight="1" s="152"/>
    <row r="1342" ht="14.4" customHeight="1" s="152"/>
    <row r="1343" ht="14.4" customHeight="1" s="152"/>
    <row r="1344" ht="14.4" customHeight="1" s="152"/>
    <row r="1345" ht="14.4" customHeight="1" s="152"/>
    <row r="1346" ht="14.4" customHeight="1" s="152"/>
    <row r="1347" ht="14.4" customHeight="1" s="152"/>
    <row r="1348" ht="14.4" customHeight="1" s="152"/>
    <row r="1349" ht="14.4" customHeight="1" s="152"/>
    <row r="1350" ht="14.4" customHeight="1" s="152"/>
    <row r="1351" ht="14.4" customHeight="1" s="152"/>
    <row r="1352" ht="14.4" customHeight="1" s="152"/>
    <row r="1353" ht="14.4" customHeight="1" s="152"/>
    <row r="1354" ht="14.4" customHeight="1" s="152"/>
    <row r="1355" ht="14.4" customHeight="1" s="152"/>
    <row r="1356" ht="14.4" customHeight="1" s="152"/>
    <row r="1357" ht="14.4" customHeight="1" s="152"/>
    <row r="1358" ht="14.4" customHeight="1" s="152"/>
    <row r="1359" ht="14.4" customHeight="1" s="152"/>
    <row r="1360" ht="14.4" customHeight="1" s="152"/>
    <row r="1361" ht="14.4" customHeight="1" s="152"/>
    <row r="1362" ht="14.4" customHeight="1" s="152"/>
    <row r="1363" ht="14.4" customHeight="1" s="152"/>
    <row r="1364" ht="14.4" customHeight="1" s="152"/>
    <row r="1365" ht="14.4" customHeight="1" s="152"/>
    <row r="1366" ht="14.4" customHeight="1" s="152"/>
    <row r="1367" ht="14.4" customHeight="1" s="152"/>
    <row r="1368" ht="14.4" customHeight="1" s="152"/>
    <row r="1369" ht="14.4" customHeight="1" s="152"/>
    <row r="1370" ht="14.4" customHeight="1" s="152"/>
    <row r="1371" ht="14.4" customHeight="1" s="152"/>
    <row r="1372" ht="14.4" customHeight="1" s="152"/>
    <row r="1373" ht="14.4" customHeight="1" s="152"/>
    <row r="1374" ht="14.4" customHeight="1" s="152"/>
    <row r="1375" ht="14.4" customHeight="1" s="152"/>
    <row r="1376" ht="14.4" customHeight="1" s="152"/>
    <row r="1377" ht="14.4" customHeight="1" s="152"/>
    <row r="1378" ht="14.4" customHeight="1" s="152"/>
    <row r="1379" ht="14.4" customHeight="1" s="152"/>
    <row r="1380" ht="14.4" customHeight="1" s="152"/>
    <row r="1381" ht="14.4" customHeight="1" s="152"/>
    <row r="1382" ht="14.4" customHeight="1" s="152"/>
    <row r="1383" ht="14.4" customHeight="1" s="152"/>
    <row r="1384" ht="14.4" customHeight="1" s="152"/>
    <row r="1385" ht="14.4" customHeight="1" s="152"/>
    <row r="1386" ht="14.4" customHeight="1" s="152"/>
    <row r="1387" ht="14.4" customHeight="1" s="152"/>
    <row r="1388" ht="14.4" customHeight="1" s="152"/>
    <row r="1389" ht="14.4" customHeight="1" s="152"/>
    <row r="1390" ht="14.4" customHeight="1" s="152"/>
    <row r="1391" ht="14.4" customHeight="1" s="152"/>
    <row r="1392" ht="14.4" customHeight="1" s="152"/>
    <row r="1393" ht="14.4" customHeight="1" s="152"/>
    <row r="1394" ht="14.4" customHeight="1" s="152"/>
    <row r="1395" ht="14.4" customHeight="1" s="152"/>
    <row r="1396" ht="14.4" customHeight="1" s="152"/>
    <row r="1397" ht="14.4" customHeight="1" s="152"/>
    <row r="1398" ht="14.4" customHeight="1" s="152"/>
    <row r="1399" ht="14.4" customHeight="1" s="152"/>
    <row r="1400" ht="14.4" customHeight="1" s="152"/>
    <row r="1401" ht="14.4" customHeight="1" s="152"/>
    <row r="1402" ht="14.4" customHeight="1" s="152"/>
    <row r="1403" ht="14.4" customHeight="1" s="152"/>
    <row r="1404" ht="14.4" customHeight="1" s="152"/>
    <row r="1405" ht="14.4" customHeight="1" s="152"/>
    <row r="1406" ht="14.4" customHeight="1" s="152"/>
    <row r="1407" ht="14.4" customHeight="1" s="152"/>
    <row r="1408" ht="14.4" customHeight="1" s="152"/>
    <row r="1409" ht="14.4" customHeight="1" s="152"/>
    <row r="1410" ht="14.4" customHeight="1" s="152"/>
    <row r="1411" ht="14.4" customHeight="1" s="152"/>
    <row r="1412" ht="14.4" customHeight="1" s="152"/>
    <row r="1413" ht="14.4" customHeight="1" s="152"/>
    <row r="1414" ht="14.4" customHeight="1" s="152"/>
    <row r="1415" ht="14.4" customHeight="1" s="152"/>
    <row r="1416" ht="14.4" customHeight="1" s="152"/>
    <row r="1417" ht="14.4" customHeight="1" s="152"/>
    <row r="1418" ht="14.4" customHeight="1" s="152"/>
    <row r="1419" ht="14.4" customHeight="1" s="152"/>
    <row r="1420" ht="14.4" customHeight="1" s="152"/>
    <row r="1421" ht="14.4" customHeight="1" s="152"/>
    <row r="1422" ht="14.4" customHeight="1" s="152"/>
    <row r="1423" ht="14.4" customHeight="1" s="152"/>
    <row r="1424" ht="14.4" customHeight="1" s="152"/>
    <row r="1425" ht="14.4" customHeight="1" s="152"/>
    <row r="1426" ht="14.4" customHeight="1" s="152"/>
    <row r="1427" ht="14.4" customHeight="1" s="152"/>
    <row r="1428" ht="14.4" customHeight="1" s="152"/>
    <row r="1429" ht="14.4" customHeight="1" s="152"/>
    <row r="1430" ht="14.4" customHeight="1" s="152"/>
    <row r="1431" ht="14.4" customHeight="1" s="152"/>
    <row r="1432" ht="14.4" customHeight="1" s="152"/>
    <row r="1433" ht="14.4" customHeight="1" s="152"/>
    <row r="1434" ht="14.4" customHeight="1" s="152"/>
    <row r="1435" ht="14.4" customHeight="1" s="152"/>
    <row r="1436" ht="14.4" customHeight="1" s="152"/>
    <row r="1437" ht="14.4" customHeight="1" s="152"/>
    <row r="1438" ht="14.4" customHeight="1" s="152"/>
    <row r="1439" ht="14.4" customHeight="1" s="152"/>
    <row r="1440" ht="14.4" customHeight="1" s="152"/>
    <row r="1441" ht="14.4" customHeight="1" s="152"/>
    <row r="1442" ht="14.4" customHeight="1" s="152"/>
    <row r="1443" ht="14.4" customHeight="1" s="152"/>
    <row r="1444" ht="14.4" customHeight="1" s="152"/>
    <row r="1445" ht="14.4" customHeight="1" s="152"/>
    <row r="1446" ht="14.4" customHeight="1" s="152"/>
    <row r="1447" ht="14.4" customHeight="1" s="152"/>
    <row r="1448" ht="14.4" customHeight="1" s="152"/>
    <row r="1449" ht="14.4" customHeight="1" s="152"/>
    <row r="1450" ht="14.4" customHeight="1" s="152"/>
    <row r="1451" ht="14.4" customHeight="1" s="152"/>
    <row r="1452" ht="14.4" customHeight="1" s="152"/>
    <row r="1453" ht="14.4" customHeight="1" s="152"/>
    <row r="1454" ht="14.4" customHeight="1" s="152"/>
    <row r="1455" ht="14.4" customHeight="1" s="152"/>
    <row r="1456" ht="14.4" customHeight="1" s="152"/>
    <row r="1457" ht="14.4" customHeight="1" s="152"/>
    <row r="1458" ht="14.4" customHeight="1" s="152"/>
    <row r="1459" ht="14.4" customHeight="1" s="152"/>
    <row r="1460" ht="14.4" customHeight="1" s="152"/>
    <row r="1461" ht="14.4" customHeight="1" s="152"/>
    <row r="1462" ht="14.4" customHeight="1" s="152"/>
    <row r="1463" ht="14.4" customHeight="1" s="152"/>
    <row r="1464" ht="14.4" customHeight="1" s="152"/>
    <row r="1465" ht="14.4" customHeight="1" s="152"/>
    <row r="1466" ht="14.4" customHeight="1" s="152"/>
    <row r="1467" ht="14.4" customHeight="1" s="152"/>
    <row r="1468" ht="14.4" customHeight="1" s="152"/>
    <row r="1469" ht="14.4" customHeight="1" s="152"/>
    <row r="1470" ht="14.4" customHeight="1" s="152"/>
    <row r="1471" ht="14.4" customHeight="1" s="152"/>
    <row r="1472" ht="14.4" customHeight="1" s="152"/>
    <row r="1473" ht="14.4" customHeight="1" s="152"/>
    <row r="1474" ht="14.4" customHeight="1" s="152"/>
    <row r="1475" ht="14.4" customHeight="1" s="152"/>
    <row r="1476" ht="14.4" customHeight="1" s="152"/>
    <row r="1477" ht="14.4" customHeight="1" s="152"/>
    <row r="1478" ht="14.4" customHeight="1" s="152"/>
    <row r="1479" ht="14.4" customHeight="1" s="152"/>
    <row r="1480" ht="14.4" customHeight="1" s="152"/>
    <row r="1481" ht="14.4" customHeight="1" s="152"/>
    <row r="1482" ht="14.4" customHeight="1" s="152"/>
    <row r="1483" ht="14.4" customHeight="1" s="152"/>
    <row r="1484" ht="14.4" customHeight="1" s="152"/>
    <row r="1485" ht="14.4" customHeight="1" s="152"/>
    <row r="1486" ht="14.4" customHeight="1" s="152"/>
    <row r="1487" ht="14.4" customHeight="1" s="152"/>
    <row r="1488" ht="14.4" customHeight="1" s="152"/>
    <row r="1489" ht="14.4" customHeight="1" s="152"/>
    <row r="1490" ht="14.4" customHeight="1" s="152"/>
    <row r="1491" ht="14.4" customHeight="1" s="152"/>
    <row r="1492" ht="14.4" customHeight="1" s="152"/>
    <row r="1493" ht="14.4" customHeight="1" s="152"/>
    <row r="1494" ht="14.4" customHeight="1" s="152"/>
    <row r="1495" ht="14.4" customHeight="1" s="152"/>
    <row r="1496" ht="14.4" customHeight="1" s="152"/>
    <row r="1497" ht="14.4" customHeight="1" s="152"/>
    <row r="1498" ht="14.4" customHeight="1" s="152"/>
    <row r="1499" ht="14.4" customHeight="1" s="152"/>
    <row r="1500" ht="14.4" customHeight="1" s="152"/>
    <row r="1501" ht="14.4" customHeight="1" s="152"/>
    <row r="1502" ht="14.4" customHeight="1" s="152"/>
    <row r="1503" ht="14.4" customHeight="1" s="152"/>
    <row r="1504" ht="14.4" customHeight="1" s="152"/>
    <row r="1505" ht="14.4" customHeight="1" s="152"/>
    <row r="1506" ht="14.4" customHeight="1" s="152"/>
    <row r="1507" ht="14.4" customHeight="1" s="152"/>
    <row r="1508" ht="14.4" customHeight="1" s="152"/>
    <row r="1509" ht="14.4" customHeight="1" s="152"/>
    <row r="1510" ht="14.4" customHeight="1" s="152"/>
    <row r="1511" ht="14.4" customHeight="1" s="152"/>
    <row r="1512" ht="14.4" customHeight="1" s="152"/>
    <row r="1513" ht="14.4" customHeight="1" s="152"/>
    <row r="1514" ht="14.4" customHeight="1" s="152"/>
    <row r="1515" ht="14.4" customHeight="1" s="152"/>
    <row r="1516" ht="14.4" customHeight="1" s="152"/>
    <row r="1517" ht="14.4" customHeight="1" s="152"/>
    <row r="1518" ht="14.4" customHeight="1" s="152"/>
    <row r="1519" ht="14.4" customHeight="1" s="152"/>
    <row r="1520" ht="14.4" customHeight="1" s="152"/>
    <row r="1521" ht="14.4" customHeight="1" s="152"/>
    <row r="1522" ht="14.4" customHeight="1" s="152"/>
    <row r="1523" ht="14.4" customHeight="1" s="152"/>
    <row r="1524" ht="14.4" customHeight="1" s="152"/>
    <row r="1525" ht="14.4" customHeight="1" s="152"/>
    <row r="1526" ht="14.4" customHeight="1" s="152"/>
    <row r="1527" ht="14.4" customHeight="1" s="152"/>
    <row r="1528" ht="14.4" customHeight="1" s="152"/>
    <row r="1529" ht="14.4" customHeight="1" s="152"/>
    <row r="1530" ht="14.4" customHeight="1" s="152"/>
    <row r="1531" ht="14.4" customHeight="1" s="152"/>
    <row r="1532" ht="14.4" customHeight="1" s="152"/>
    <row r="1533" ht="14.4" customHeight="1" s="152"/>
    <row r="1534" ht="14.4" customHeight="1" s="152"/>
    <row r="1535" ht="14.4" customHeight="1" s="152"/>
    <row r="1536" ht="14.4" customHeight="1" s="152"/>
    <row r="1537" ht="14.4" customHeight="1" s="152"/>
    <row r="1538" ht="14.4" customHeight="1" s="152"/>
    <row r="1539" ht="14.4" customHeight="1" s="152"/>
    <row r="1540" ht="14.4" customHeight="1" s="152"/>
    <row r="1541" ht="14.4" customHeight="1" s="152"/>
    <row r="1542" ht="14.4" customHeight="1" s="152"/>
    <row r="1543" ht="14.4" customHeight="1" s="152"/>
    <row r="1544" ht="14.4" customHeight="1" s="152"/>
    <row r="1545" ht="14.4" customHeight="1" s="152"/>
    <row r="1546" ht="14.4" customHeight="1" s="152"/>
    <row r="1547" ht="14.4" customHeight="1" s="152"/>
    <row r="1548" ht="14.4" customHeight="1" s="152"/>
    <row r="1549" ht="14.4" customHeight="1" s="152"/>
    <row r="1550" ht="14.4" customHeight="1" s="152"/>
    <row r="1551" ht="14.4" customHeight="1" s="152"/>
    <row r="1552" ht="14.4" customHeight="1" s="152"/>
    <row r="1553" ht="14.4" customHeight="1" s="152"/>
    <row r="1554" ht="14.4" customHeight="1" s="152"/>
    <row r="1555" ht="14.4" customHeight="1" s="152"/>
    <row r="1556" ht="14.4" customHeight="1" s="152"/>
    <row r="1557" ht="14.4" customHeight="1" s="152"/>
    <row r="1558" ht="14.4" customHeight="1" s="152"/>
    <row r="1559" ht="14.4" customHeight="1" s="152"/>
    <row r="1560" ht="14.4" customHeight="1" s="152"/>
    <row r="1561" ht="14.4" customHeight="1" s="152"/>
    <row r="1562" ht="14.4" customHeight="1" s="152"/>
    <row r="1563" ht="14.4" customHeight="1" s="152"/>
    <row r="1564" ht="14.4" customHeight="1" s="152"/>
    <row r="1565" ht="14.4" customHeight="1" s="152"/>
    <row r="1566" ht="14.4" customHeight="1" s="152"/>
    <row r="1567" ht="14.4" customHeight="1" s="152"/>
    <row r="1568" ht="14.4" customHeight="1" s="152"/>
    <row r="1569" ht="14.4" customHeight="1" s="152"/>
    <row r="1570" ht="14.4" customHeight="1" s="152"/>
    <row r="1571" ht="14.4" customHeight="1" s="152"/>
    <row r="1572" ht="14.4" customHeight="1" s="152"/>
    <row r="1573" ht="14.4" customHeight="1" s="152"/>
    <row r="1574" ht="14.4" customHeight="1" s="152"/>
    <row r="1575" ht="14.4" customHeight="1" s="152"/>
    <row r="1576" ht="14.4" customHeight="1" s="152"/>
    <row r="1577" ht="14.4" customHeight="1" s="152"/>
    <row r="1578" ht="14.4" customHeight="1" s="152"/>
    <row r="1579" ht="14.4" customHeight="1" s="152"/>
    <row r="1580" ht="14.4" customHeight="1" s="152"/>
    <row r="1581" ht="14.4" customHeight="1" s="152"/>
    <row r="1582" ht="14.4" customHeight="1" s="152"/>
    <row r="1583" ht="14.4" customHeight="1" s="152"/>
    <row r="1584" ht="14.4" customHeight="1" s="152"/>
    <row r="1585" ht="14.4" customHeight="1" s="152"/>
    <row r="1586" ht="14.4" customHeight="1" s="152"/>
    <row r="1587" ht="14.4" customHeight="1" s="152"/>
    <row r="1588" ht="14.4" customHeight="1" s="152"/>
    <row r="1589" ht="14.4" customHeight="1" s="152"/>
    <row r="1590" ht="14.4" customHeight="1" s="152"/>
    <row r="1591" ht="14.4" customHeight="1" s="152"/>
    <row r="1592" ht="14.4" customHeight="1" s="152"/>
    <row r="1593" ht="14.4" customHeight="1" s="152"/>
    <row r="1594" ht="14.4" customHeight="1" s="152"/>
    <row r="1595" ht="14.4" customHeight="1" s="152"/>
    <row r="1596" ht="14.4" customHeight="1" s="152"/>
    <row r="1597" ht="14.4" customHeight="1" s="152"/>
    <row r="1598" ht="14.4" customHeight="1" s="152"/>
    <row r="1599" ht="14.4" customHeight="1" s="152"/>
    <row r="1600" ht="14.4" customHeight="1" s="152"/>
    <row r="1601" ht="14.4" customHeight="1" s="152"/>
    <row r="1602" ht="14.4" customHeight="1" s="152"/>
    <row r="1603" ht="14.4" customHeight="1" s="152"/>
    <row r="1604" ht="14.4" customHeight="1" s="152"/>
    <row r="1605" ht="14.4" customHeight="1" s="152"/>
    <row r="1606" ht="14.4" customHeight="1" s="152"/>
    <row r="1607" ht="14.4" customHeight="1" s="152"/>
    <row r="1608" ht="14.4" customHeight="1" s="152"/>
    <row r="1609" ht="14.4" customHeight="1" s="152"/>
    <row r="1610" ht="14.4" customHeight="1" s="152"/>
    <row r="1611" ht="14.4" customHeight="1" s="152"/>
    <row r="1612" ht="14.4" customHeight="1" s="152"/>
    <row r="1613" ht="14.4" customHeight="1" s="152"/>
    <row r="1614" ht="14.4" customHeight="1" s="152"/>
    <row r="1615" ht="14.4" customHeight="1" s="152"/>
    <row r="1616" ht="14.4" customHeight="1" s="152"/>
    <row r="1617" ht="14.4" customHeight="1" s="152"/>
    <row r="1618" ht="14.4" customHeight="1" s="152"/>
    <row r="1619" ht="14.4" customHeight="1" s="152"/>
    <row r="1620" ht="14.4" customHeight="1" s="152"/>
    <row r="1621" ht="14.4" customHeight="1" s="152"/>
    <row r="1622" ht="14.4" customHeight="1" s="152"/>
    <row r="1623" ht="14.4" customHeight="1" s="152"/>
    <row r="1624" ht="14.4" customHeight="1" s="152"/>
    <row r="1625" ht="14.4" customHeight="1" s="152"/>
    <row r="1626" ht="14.4" customHeight="1" s="152"/>
    <row r="1627" ht="14.4" customHeight="1" s="152"/>
    <row r="1628" ht="14.4" customHeight="1" s="152"/>
    <row r="1629" ht="14.4" customHeight="1" s="152"/>
    <row r="1630" ht="14.4" customHeight="1" s="152"/>
    <row r="1631" ht="14.4" customHeight="1" s="152"/>
    <row r="1632" ht="14.4" customHeight="1" s="152"/>
    <row r="1633" ht="14.4" customHeight="1" s="152"/>
    <row r="1634" ht="14.4" customHeight="1" s="152"/>
    <row r="1635" ht="14.4" customHeight="1" s="152"/>
    <row r="1636" ht="14.4" customHeight="1" s="152"/>
    <row r="1637" ht="14.4" customHeight="1" s="152"/>
    <row r="1638" ht="14.4" customHeight="1" s="152"/>
    <row r="1639" ht="14.4" customHeight="1" s="152"/>
    <row r="1640" ht="14.4" customHeight="1" s="152"/>
    <row r="1641" ht="14.4" customHeight="1" s="152"/>
    <row r="1642" ht="14.4" customHeight="1" s="152"/>
    <row r="1643" ht="14.4" customHeight="1" s="152"/>
    <row r="1644" ht="14.4" customHeight="1" s="152"/>
    <row r="1645" ht="14.4" customHeight="1" s="152"/>
    <row r="1646" ht="14.4" customHeight="1" s="152"/>
    <row r="1647" ht="14.4" customHeight="1" s="152"/>
    <row r="1648" ht="14.4" customHeight="1" s="152"/>
    <row r="1649" ht="14.4" customHeight="1" s="152"/>
    <row r="1650" ht="14.4" customHeight="1" s="152"/>
    <row r="1651" ht="14.4" customHeight="1" s="152"/>
    <row r="1652" ht="14.4" customHeight="1" s="152"/>
    <row r="1653" ht="14.4" customHeight="1" s="152"/>
    <row r="1654" ht="14.4" customHeight="1" s="152"/>
    <row r="1655" ht="14.4" customHeight="1" s="152"/>
    <row r="1656" ht="14.4" customHeight="1" s="152"/>
    <row r="1657" ht="14.4" customHeight="1" s="152"/>
    <row r="1658" ht="14.4" customHeight="1" s="152"/>
    <row r="1659" ht="14.4" customHeight="1" s="152"/>
    <row r="1660" ht="14.4" customHeight="1" s="152"/>
    <row r="1661" ht="14.4" customHeight="1" s="152"/>
    <row r="1662" ht="14.4" customHeight="1" s="152"/>
    <row r="1663" ht="14.4" customHeight="1" s="152"/>
    <row r="1664" ht="14.4" customHeight="1" s="152"/>
    <row r="1665" ht="14.4" customHeight="1" s="152"/>
    <row r="1666" ht="14.4" customHeight="1" s="152"/>
    <row r="1667" ht="14.4" customHeight="1" s="152"/>
    <row r="1668" ht="14.4" customHeight="1" s="152"/>
    <row r="1669" ht="14.4" customHeight="1" s="152"/>
    <row r="1670" ht="14.4" customHeight="1" s="152"/>
    <row r="1671" ht="14.4" customHeight="1" s="152"/>
    <row r="1672" ht="14.4" customHeight="1" s="152"/>
    <row r="1673" ht="14.4" customHeight="1" s="152"/>
    <row r="1674" ht="14.4" customHeight="1" s="152"/>
    <row r="1675" ht="14.4" customHeight="1" s="152"/>
    <row r="1676" ht="14.4" customHeight="1" s="152"/>
    <row r="1677" ht="14.4" customHeight="1" s="152"/>
    <row r="1678" ht="14.4" customHeight="1" s="152"/>
    <row r="1679" ht="14.4" customHeight="1" s="152"/>
    <row r="1680" ht="14.4" customHeight="1" s="152"/>
    <row r="1681" ht="14.4" customHeight="1" s="152"/>
    <row r="1682" ht="14.4" customHeight="1" s="152"/>
    <row r="1683" ht="14.4" customHeight="1" s="152"/>
    <row r="1684" ht="14.4" customHeight="1" s="152"/>
    <row r="1685" ht="14.4" customHeight="1" s="152"/>
    <row r="1686" ht="14.4" customHeight="1" s="152"/>
    <row r="1687" ht="14.4" customHeight="1" s="152"/>
    <row r="1688" ht="14.4" customHeight="1" s="152"/>
    <row r="1689" ht="14.4" customHeight="1" s="152"/>
    <row r="1690" ht="14.4" customHeight="1" s="152"/>
    <row r="1691" ht="14.4" customHeight="1" s="152"/>
    <row r="1692" ht="14.4" customHeight="1" s="152"/>
    <row r="1693" ht="14.4" customHeight="1" s="152"/>
    <row r="1694" ht="14.4" customHeight="1" s="152"/>
    <row r="1695" ht="14.4" customHeight="1" s="152"/>
    <row r="1696" ht="14.4" customHeight="1" s="152"/>
    <row r="1697" ht="14.4" customHeight="1" s="152"/>
    <row r="1698" ht="14.4" customHeight="1" s="152"/>
    <row r="1699" ht="14.4" customHeight="1" s="152"/>
    <row r="1700" ht="14.4" customHeight="1" s="152"/>
    <row r="1701" ht="14.4" customHeight="1" s="152"/>
    <row r="1702" ht="14.4" customHeight="1" s="152"/>
    <row r="1703" ht="14.4" customHeight="1" s="152"/>
    <row r="1704" ht="14.4" customHeight="1" s="152"/>
    <row r="1705" ht="14.4" customHeight="1" s="152"/>
    <row r="1706" ht="14.4" customHeight="1" s="152"/>
    <row r="1707" ht="14.4" customHeight="1" s="152"/>
    <row r="1708" ht="14.4" customHeight="1" s="152"/>
    <row r="1709" ht="14.4" customHeight="1" s="152"/>
    <row r="1710" ht="14.4" customHeight="1" s="152"/>
    <row r="1711" ht="14.4" customHeight="1" s="152"/>
    <row r="1712" ht="14.4" customHeight="1" s="152"/>
    <row r="1713" ht="14.4" customHeight="1" s="152"/>
    <row r="1714" ht="14.4" customHeight="1" s="152"/>
    <row r="1715" ht="14.4" customHeight="1" s="152"/>
    <row r="1716" ht="14.4" customHeight="1" s="152"/>
    <row r="1717" ht="14.4" customHeight="1" s="152"/>
    <row r="1718" ht="14.4" customHeight="1" s="152"/>
    <row r="1719" ht="14.4" customHeight="1" s="152"/>
    <row r="1720" ht="14.4" customHeight="1" s="152"/>
    <row r="1721" ht="14.4" customHeight="1" s="152"/>
    <row r="1722" ht="14.4" customHeight="1" s="152"/>
    <row r="1723" ht="14.4" customHeight="1" s="152"/>
    <row r="1724" ht="14.4" customHeight="1" s="152"/>
    <row r="1725" ht="14.4" customHeight="1" s="152"/>
    <row r="1726" ht="14.4" customHeight="1" s="152"/>
    <row r="1727" ht="14.4" customHeight="1" s="152"/>
    <row r="1728" ht="14.4" customHeight="1" s="152"/>
    <row r="1729" ht="14.4" customHeight="1" s="152"/>
    <row r="1730" ht="14.4" customHeight="1" s="152"/>
    <row r="1731" ht="14.4" customHeight="1" s="152"/>
    <row r="1732" ht="14.4" customHeight="1" s="152"/>
    <row r="1733" ht="14.4" customHeight="1" s="152"/>
    <row r="1734" ht="14.4" customHeight="1" s="152"/>
    <row r="1735" ht="14.4" customHeight="1" s="152"/>
    <row r="1736" ht="14.4" customHeight="1" s="152"/>
    <row r="1737" ht="14.4" customHeight="1" s="152"/>
    <row r="1738" ht="14.4" customHeight="1" s="152"/>
    <row r="1739" ht="14.4" customHeight="1" s="152"/>
    <row r="1740" ht="14.4" customHeight="1" s="152"/>
    <row r="1741" ht="14.4" customHeight="1" s="152"/>
    <row r="1742" ht="14.4" customHeight="1" s="152"/>
    <row r="1743" ht="14.4" customHeight="1" s="152"/>
    <row r="1744" ht="14.4" customHeight="1" s="152"/>
    <row r="1745" ht="14.4" customHeight="1" s="152"/>
    <row r="1746" ht="14.4" customHeight="1" s="152"/>
    <row r="1747" ht="14.4" customHeight="1" s="152"/>
    <row r="1748" ht="14.4" customHeight="1" s="152"/>
    <row r="1749" ht="14.4" customHeight="1" s="152"/>
    <row r="1750" ht="14.4" customHeight="1" s="152"/>
    <row r="1751" ht="14.4" customHeight="1" s="152"/>
    <row r="1752" ht="14.4" customHeight="1" s="152"/>
    <row r="1753" ht="14.4" customHeight="1" s="152"/>
    <row r="1754" ht="14.4" customHeight="1" s="152"/>
    <row r="1755" ht="14.4" customHeight="1" s="152"/>
    <row r="1756" ht="14.4" customHeight="1" s="152"/>
    <row r="1757" ht="14.4" customHeight="1" s="152"/>
    <row r="1758" ht="14.4" customHeight="1" s="152"/>
    <row r="1759" ht="14.4" customHeight="1" s="152"/>
    <row r="1760" ht="14.4" customHeight="1" s="152"/>
    <row r="1761" ht="14.4" customHeight="1" s="152"/>
    <row r="1762" ht="14.4" customHeight="1" s="152"/>
    <row r="1763" ht="14.4" customHeight="1" s="152"/>
    <row r="1764" ht="14.4" customHeight="1" s="152"/>
    <row r="1765" ht="14.4" customHeight="1" s="152"/>
    <row r="1766" ht="14.4" customHeight="1" s="152"/>
    <row r="1767" ht="14.4" customHeight="1" s="152"/>
    <row r="1768" ht="14.4" customHeight="1" s="152"/>
    <row r="1769" ht="14.4" customHeight="1" s="152"/>
    <row r="1770" ht="14.4" customHeight="1" s="152"/>
    <row r="1771" ht="14.4" customHeight="1" s="152"/>
    <row r="1772" ht="14.4" customHeight="1" s="152"/>
    <row r="1773" ht="14.4" customHeight="1" s="152"/>
    <row r="1774" ht="14.4" customHeight="1" s="152"/>
    <row r="1775" ht="14.4" customHeight="1" s="152"/>
    <row r="1776" ht="14.4" customHeight="1" s="152"/>
    <row r="1777" ht="14.4" customHeight="1" s="152"/>
    <row r="1778" ht="14.4" customHeight="1" s="152"/>
    <row r="1779" ht="14.4" customHeight="1" s="152"/>
    <row r="1780" ht="14.4" customHeight="1" s="152"/>
    <row r="1781" ht="14.4" customHeight="1" s="152"/>
    <row r="1782" ht="14.4" customHeight="1" s="152"/>
    <row r="1783" ht="14.4" customHeight="1" s="152"/>
    <row r="1784" ht="14.4" customHeight="1" s="152"/>
    <row r="1785" ht="14.4" customHeight="1" s="152"/>
    <row r="1786" ht="14.4" customHeight="1" s="152"/>
    <row r="1787" ht="14.4" customHeight="1" s="152"/>
    <row r="1788" ht="14.4" customHeight="1" s="152"/>
    <row r="1789" ht="14.4" customHeight="1" s="152"/>
    <row r="1790" ht="14.4" customHeight="1" s="152"/>
    <row r="1791" ht="14.4" customHeight="1" s="152"/>
    <row r="1792" ht="14.4" customHeight="1" s="152"/>
    <row r="1793" ht="14.4" customHeight="1" s="152"/>
    <row r="1794" ht="14.4" customHeight="1" s="152"/>
    <row r="1795" ht="14.4" customHeight="1" s="152"/>
    <row r="1796" ht="14.4" customHeight="1" s="152"/>
    <row r="1797" ht="14.4" customHeight="1" s="152"/>
    <row r="1798" ht="14.4" customHeight="1" s="152"/>
    <row r="1799" ht="14.4" customHeight="1" s="152"/>
    <row r="1800" ht="14.4" customHeight="1" s="152"/>
    <row r="1801" ht="14.4" customHeight="1" s="152"/>
    <row r="1802" ht="14.4" customHeight="1" s="152"/>
    <row r="1803" ht="14.4" customHeight="1" s="152"/>
    <row r="1804" ht="14.4" customHeight="1" s="152"/>
    <row r="1805" ht="14.4" customHeight="1" s="152"/>
    <row r="1806" ht="14.4" customHeight="1" s="152"/>
    <row r="1807" ht="14.4" customHeight="1" s="152"/>
    <row r="1808" ht="14.4" customHeight="1" s="152"/>
    <row r="1809" ht="14.4" customHeight="1" s="152"/>
    <row r="1810" ht="14.4" customHeight="1" s="152"/>
    <row r="1811" ht="14.4" customHeight="1" s="152"/>
    <row r="1812" ht="14.4" customHeight="1" s="152"/>
    <row r="1813" ht="14.4" customHeight="1" s="152"/>
    <row r="1814" ht="14.4" customHeight="1" s="152"/>
    <row r="1815" ht="14.4" customHeight="1" s="152"/>
    <row r="1816" ht="14.4" customHeight="1" s="152"/>
    <row r="1817" ht="14.4" customHeight="1" s="152"/>
    <row r="1818" ht="14.4" customHeight="1" s="152"/>
    <row r="1819" ht="14.4" customHeight="1" s="152"/>
    <row r="1820" ht="14.4" customHeight="1" s="152"/>
    <row r="1821" ht="14.4" customHeight="1" s="152"/>
    <row r="1822" ht="14.4" customHeight="1" s="152"/>
    <row r="1823" ht="14.4" customHeight="1" s="152"/>
    <row r="1824" ht="14.4" customHeight="1" s="152"/>
    <row r="1825" ht="14.4" customHeight="1" s="152"/>
    <row r="1826" ht="14.4" customHeight="1" s="152"/>
    <row r="1827" ht="14.4" customHeight="1" s="152"/>
    <row r="1828" ht="14.4" customHeight="1" s="152"/>
    <row r="1829" ht="14.4" customHeight="1" s="152"/>
    <row r="1830" ht="14.4" customHeight="1" s="152"/>
    <row r="1831" ht="14.4" customHeight="1" s="152"/>
    <row r="1832" ht="14.4" customHeight="1" s="152"/>
    <row r="1833" ht="14.4" customHeight="1" s="152"/>
    <row r="1834" ht="14.4" customHeight="1" s="152"/>
    <row r="1835" ht="14.4" customHeight="1" s="152"/>
    <row r="1836" ht="14.4" customHeight="1" s="152"/>
    <row r="1837" ht="14.4" customHeight="1" s="152"/>
    <row r="1838" ht="14.4" customHeight="1" s="152"/>
    <row r="1839" ht="14.4" customHeight="1" s="152"/>
    <row r="1840" ht="14.4" customHeight="1" s="152"/>
    <row r="1841" ht="14.4" customHeight="1" s="152"/>
    <row r="1842" ht="14.4" customHeight="1" s="152"/>
    <row r="1843" ht="14.4" customHeight="1" s="152"/>
    <row r="1844" ht="14.4" customHeight="1" s="152"/>
    <row r="1845" ht="14.4" customHeight="1" s="152"/>
    <row r="1846" ht="14.4" customHeight="1" s="152"/>
    <row r="1847" ht="14.4" customHeight="1" s="152"/>
    <row r="1848" ht="14.4" customHeight="1" s="152"/>
    <row r="1849" ht="14.4" customHeight="1" s="152"/>
    <row r="1850" ht="14.4" customHeight="1" s="152"/>
    <row r="1851" ht="14.4" customHeight="1" s="152"/>
    <row r="1852" ht="14.4" customHeight="1" s="152"/>
    <row r="1853" ht="14.4" customHeight="1" s="152"/>
    <row r="1854" ht="14.4" customHeight="1" s="152"/>
    <row r="1855" ht="14.4" customHeight="1" s="152"/>
    <row r="1856" ht="14.4" customHeight="1" s="152"/>
    <row r="1857" ht="14.4" customHeight="1" s="152"/>
    <row r="1858" ht="14.4" customHeight="1" s="152"/>
    <row r="1859" ht="14.4" customHeight="1" s="152"/>
    <row r="1860" ht="14.4" customHeight="1" s="152"/>
    <row r="1861" ht="14.4" customHeight="1" s="152"/>
    <row r="1862" ht="14.4" customHeight="1" s="152"/>
    <row r="1863" ht="14.4" customHeight="1" s="152"/>
    <row r="1864" ht="14.4" customHeight="1" s="152"/>
    <row r="1865" ht="14.4" customHeight="1" s="152"/>
    <row r="1866" ht="14.4" customHeight="1" s="152"/>
    <row r="1867" ht="14.4" customHeight="1" s="152"/>
    <row r="1868" ht="14.4" customHeight="1" s="152"/>
    <row r="1869" ht="14.4" customHeight="1" s="152"/>
    <row r="1870" ht="14.4" customHeight="1" s="152"/>
    <row r="1871" ht="14.4" customHeight="1" s="152"/>
    <row r="1872" ht="14.4" customHeight="1" s="152"/>
    <row r="1873" ht="14.4" customHeight="1" s="152"/>
    <row r="1874" ht="14.4" customHeight="1" s="152"/>
    <row r="1875" ht="14.4" customHeight="1" s="152"/>
    <row r="1876" ht="14.4" customHeight="1" s="152"/>
    <row r="1877" ht="14.4" customHeight="1" s="152"/>
    <row r="1878" ht="14.4" customHeight="1" s="152"/>
    <row r="1879" ht="14.4" customHeight="1" s="152"/>
    <row r="1880" ht="14.4" customHeight="1" s="152"/>
    <row r="1881" ht="14.4" customHeight="1" s="152"/>
    <row r="1882" ht="14.4" customHeight="1" s="152"/>
    <row r="1883" ht="14.4" customHeight="1" s="152"/>
    <row r="1884" ht="14.4" customHeight="1" s="152"/>
    <row r="1885" ht="14.4" customHeight="1" s="152"/>
    <row r="1886" ht="14.4" customHeight="1" s="152"/>
    <row r="1887" ht="14.4" customHeight="1" s="152"/>
    <row r="1888" ht="14.4" customHeight="1" s="152"/>
    <row r="1889" ht="14.4" customHeight="1" s="152"/>
    <row r="1890" ht="14.4" customHeight="1" s="152"/>
    <row r="1891" ht="14.4" customHeight="1" s="152"/>
    <row r="1892" ht="14.4" customHeight="1" s="152"/>
    <row r="1893" ht="14.4" customHeight="1" s="152"/>
    <row r="1894" ht="14.4" customHeight="1" s="152"/>
    <row r="1895" ht="14.4" customHeight="1" s="152"/>
    <row r="1896" ht="14.4" customHeight="1" s="152"/>
    <row r="1897" ht="14.4" customHeight="1" s="152"/>
    <row r="1898" ht="14.4" customHeight="1" s="152"/>
    <row r="1899" ht="14.4" customHeight="1" s="152"/>
    <row r="1900" ht="14.4" customHeight="1" s="152"/>
    <row r="1901" ht="14.4" customHeight="1" s="152"/>
    <row r="1902" ht="14.4" customHeight="1" s="152"/>
    <row r="1903" ht="14.4" customHeight="1" s="152"/>
    <row r="1904" ht="14.4" customHeight="1" s="152"/>
    <row r="1905" ht="14.4" customHeight="1" s="152"/>
    <row r="1906" ht="14.4" customHeight="1" s="152"/>
    <row r="1907" ht="14.4" customHeight="1" s="152"/>
    <row r="1908" ht="14.4" customHeight="1" s="152"/>
    <row r="1909" ht="14.4" customHeight="1" s="152"/>
    <row r="1910" ht="14.4" customHeight="1" s="152"/>
    <row r="1911" ht="14.4" customHeight="1" s="152"/>
    <row r="1912" ht="14.4" customHeight="1" s="152"/>
    <row r="1913" ht="14.4" customHeight="1" s="152"/>
    <row r="1914" ht="14.4" customHeight="1" s="152"/>
    <row r="1915" ht="14.4" customHeight="1" s="152"/>
    <row r="1916" ht="14.4" customHeight="1" s="152"/>
    <row r="1917" ht="14.4" customHeight="1" s="152"/>
    <row r="1918" ht="14.4" customHeight="1" s="152"/>
    <row r="1919" ht="14.4" customHeight="1" s="152"/>
    <row r="1920" ht="14.4" customHeight="1" s="152"/>
    <row r="1921" ht="14.4" customHeight="1" s="152"/>
    <row r="1922" ht="14.4" customHeight="1" s="152"/>
    <row r="1923" ht="14.4" customHeight="1" s="152"/>
    <row r="1924" ht="14.4" customHeight="1" s="152"/>
    <row r="1925" ht="14.4" customHeight="1" s="152"/>
    <row r="1926" ht="14.4" customHeight="1" s="152"/>
    <row r="1927" ht="14.4" customHeight="1" s="152"/>
    <row r="1928" ht="14.4" customHeight="1" s="152"/>
    <row r="1929" ht="14.4" customHeight="1" s="152"/>
    <row r="1930" ht="14.4" customHeight="1" s="152"/>
    <row r="1931" ht="14.4" customHeight="1" s="152"/>
    <row r="1932" ht="14.4" customHeight="1" s="152"/>
    <row r="1933" ht="14.4" customHeight="1" s="152"/>
    <row r="1934" ht="14.4" customHeight="1" s="152"/>
    <row r="1935" ht="14.4" customHeight="1" s="152"/>
    <row r="1936" ht="14.4" customHeight="1" s="152"/>
    <row r="1937" ht="14.4" customHeight="1" s="152"/>
    <row r="1938" ht="14.4" customHeight="1" s="152"/>
    <row r="1939" ht="14.4" customHeight="1" s="152"/>
    <row r="1940" ht="14.4" customHeight="1" s="152"/>
    <row r="1941" ht="14.4" customHeight="1" s="152"/>
    <row r="1942" ht="14.4" customHeight="1" s="152"/>
    <row r="1943" ht="14.4" customHeight="1" s="152"/>
    <row r="1944" ht="14.4" customHeight="1" s="152"/>
    <row r="1945" ht="14.4" customHeight="1" s="152"/>
    <row r="1946" ht="14.4" customHeight="1" s="152"/>
    <row r="1947" ht="14.4" customHeight="1" s="152"/>
    <row r="1948" ht="14.4" customHeight="1" s="152"/>
    <row r="1949" ht="14.4" customHeight="1" s="152"/>
    <row r="1950" ht="14.4" customHeight="1" s="152"/>
    <row r="1951" ht="14.4" customHeight="1" s="152"/>
    <row r="1952" ht="14.4" customHeight="1" s="152"/>
    <row r="1953" ht="14.4" customHeight="1" s="152"/>
    <row r="1954" ht="14.4" customHeight="1" s="152"/>
    <row r="1955" ht="14.4" customHeight="1" s="152"/>
    <row r="1956" ht="14.4" customHeight="1" s="152"/>
    <row r="1957" ht="14.4" customHeight="1" s="152"/>
    <row r="1958" ht="14.4" customHeight="1" s="152"/>
    <row r="1959" ht="14.4" customHeight="1" s="152"/>
    <row r="1960" ht="14.4" customHeight="1" s="152"/>
    <row r="1961" ht="14.4" customHeight="1" s="152"/>
    <row r="1962" ht="14.4" customHeight="1" s="152"/>
    <row r="1963" ht="14.4" customHeight="1" s="152"/>
    <row r="1964" ht="14.4" customHeight="1" s="152"/>
    <row r="1965" ht="14.4" customHeight="1" s="152"/>
    <row r="1966" ht="14.4" customHeight="1" s="152"/>
    <row r="1967" ht="14.4" customHeight="1" s="152"/>
    <row r="1968" ht="14.4" customHeight="1" s="152"/>
    <row r="1969" ht="14.4" customHeight="1" s="152"/>
    <row r="1970" ht="14.4" customHeight="1" s="152"/>
    <row r="1971" ht="14.4" customHeight="1" s="152"/>
    <row r="1972" ht="14.4" customHeight="1" s="152"/>
    <row r="1973" ht="14.4" customHeight="1" s="152"/>
    <row r="1974" ht="14.4" customHeight="1" s="152"/>
    <row r="1975" ht="14.4" customHeight="1" s="152"/>
    <row r="1976" ht="14.4" customHeight="1" s="152"/>
    <row r="1977" ht="14.4" customHeight="1" s="152"/>
    <row r="1978" ht="14.4" customHeight="1" s="152"/>
    <row r="1979" ht="14.4" customHeight="1" s="152"/>
    <row r="1980" ht="14.4" customHeight="1" s="152"/>
    <row r="1981" ht="14.4" customHeight="1" s="152"/>
    <row r="1982" ht="14.4" customHeight="1" s="152"/>
    <row r="1983" ht="14.4" customHeight="1" s="152"/>
    <row r="1984" ht="14.4" customHeight="1" s="152"/>
    <row r="1985" ht="14.4" customHeight="1" s="152"/>
    <row r="1986" ht="14.4" customHeight="1" s="152"/>
    <row r="1987" ht="14.4" customHeight="1" s="152"/>
    <row r="1988" ht="14.4" customHeight="1" s="152"/>
    <row r="1989" ht="14.4" customHeight="1" s="152"/>
    <row r="1990" ht="14.4" customHeight="1" s="152"/>
    <row r="1991" ht="14.4" customHeight="1" s="152"/>
    <row r="1992" ht="14.4" customHeight="1" s="152"/>
    <row r="1993" ht="14.4" customHeight="1" s="152"/>
    <row r="1994" ht="14.4" customHeight="1" s="152"/>
    <row r="1995" ht="14.4" customHeight="1" s="152"/>
    <row r="1996" ht="14.4" customHeight="1" s="152"/>
    <row r="1997" ht="14.4" customHeight="1" s="152"/>
    <row r="1998" ht="14.4" customHeight="1" s="152"/>
    <row r="1999" ht="14.4" customHeight="1" s="152"/>
    <row r="2000" ht="14.4" customHeight="1" s="152"/>
    <row r="2001" ht="14.4" customHeight="1" s="152"/>
    <row r="2002" ht="14.4" customHeight="1" s="152"/>
    <row r="2003" ht="14.4" customHeight="1" s="152"/>
    <row r="2004" ht="14.4" customHeight="1" s="152"/>
    <row r="2005" ht="14.4" customHeight="1" s="152"/>
    <row r="2006" ht="14.4" customHeight="1" s="152"/>
    <row r="2007" ht="14.4" customHeight="1" s="152"/>
    <row r="2008" ht="14.4" customHeight="1" s="152"/>
    <row r="2009" ht="14.4" customHeight="1" s="152"/>
    <row r="2010" ht="14.4" customHeight="1" s="152"/>
    <row r="2011" ht="14.4" customHeight="1" s="152"/>
    <row r="2012" ht="14.4" customHeight="1" s="152"/>
    <row r="2013" ht="14.4" customHeight="1" s="152"/>
    <row r="2014" ht="14.4" customHeight="1" s="152"/>
    <row r="2015" ht="14.4" customHeight="1" s="152"/>
    <row r="2016" ht="14.4" customHeight="1" s="152"/>
    <row r="2017" ht="14.4" customHeight="1" s="152"/>
    <row r="2018" ht="14.4" customHeight="1" s="152"/>
    <row r="2019" ht="14.4" customHeight="1" s="152"/>
    <row r="2020" ht="14.4" customHeight="1" s="152"/>
    <row r="2021" ht="14.4" customHeight="1" s="152"/>
    <row r="2022" ht="14.4" customHeight="1" s="152"/>
    <row r="2023" ht="14.4" customHeight="1" s="152"/>
    <row r="2024" ht="14.4" customHeight="1" s="152"/>
    <row r="2025" ht="14.4" customHeight="1" s="152"/>
    <row r="2026" ht="14.4" customHeight="1" s="152"/>
    <row r="2027" ht="14.4" customHeight="1" s="152"/>
    <row r="2028" ht="14.4" customHeight="1" s="152"/>
    <row r="2029" ht="14.4" customHeight="1" s="152"/>
    <row r="2030" ht="14.4" customHeight="1" s="152"/>
    <row r="2031" ht="14.4" customHeight="1" s="152"/>
    <row r="2032" ht="14.4" customHeight="1" s="152"/>
    <row r="2033" ht="14.4" customHeight="1" s="152"/>
    <row r="2034" ht="14.4" customHeight="1" s="152"/>
    <row r="2035" ht="14.4" customHeight="1" s="152"/>
    <row r="2036" ht="14.4" customHeight="1" s="152"/>
    <row r="2037" ht="14.4" customHeight="1" s="152"/>
    <row r="2038" ht="14.4" customHeight="1" s="152"/>
    <row r="2039" ht="14.4" customHeight="1" s="152"/>
    <row r="2040" ht="14.4" customHeight="1" s="152"/>
    <row r="2041" ht="14.4" customHeight="1" s="152"/>
    <row r="2042" ht="14.4" customHeight="1" s="152"/>
    <row r="2043" ht="14.4" customHeight="1" s="152"/>
    <row r="2044" ht="14.4" customHeight="1" s="152"/>
    <row r="2045" ht="14.4" customHeight="1" s="152"/>
    <row r="2046" ht="14.4" customHeight="1" s="152"/>
    <row r="2047" ht="14.4" customHeight="1" s="152"/>
    <row r="2048" ht="14.4" customHeight="1" s="152"/>
    <row r="2049" ht="14.4" customHeight="1" s="152"/>
    <row r="2050" ht="14.4" customHeight="1" s="152"/>
    <row r="2051" ht="14.4" customHeight="1" s="152"/>
    <row r="2052" ht="14.4" customHeight="1" s="152"/>
    <row r="2053" ht="14.4" customHeight="1" s="152"/>
    <row r="2054" ht="14.4" customHeight="1" s="152"/>
    <row r="2055" ht="14.4" customHeight="1" s="152"/>
    <row r="2056" ht="14.4" customHeight="1" s="152"/>
    <row r="2057" ht="14.4" customHeight="1" s="152"/>
    <row r="2058" ht="14.4" customHeight="1" s="152"/>
    <row r="2059" ht="14.4" customHeight="1" s="152"/>
    <row r="2060" ht="14.4" customHeight="1" s="152"/>
    <row r="2061" ht="14.4" customHeight="1" s="152"/>
    <row r="2062" ht="14.4" customHeight="1" s="152"/>
    <row r="2063" ht="14.4" customHeight="1" s="152"/>
    <row r="2064" ht="14.4" customHeight="1" s="152"/>
    <row r="2065" ht="14.4" customHeight="1" s="152"/>
    <row r="2066" ht="14.4" customHeight="1" s="152"/>
    <row r="2067" ht="14.4" customHeight="1" s="152"/>
    <row r="2068" ht="14.4" customHeight="1" s="152"/>
    <row r="2069" ht="14.4" customHeight="1" s="152"/>
    <row r="2070" ht="14.4" customHeight="1" s="152"/>
    <row r="2071" ht="14.4" customHeight="1" s="152"/>
    <row r="2072" ht="14.4" customHeight="1" s="152"/>
    <row r="2073" ht="14.4" customHeight="1" s="152"/>
    <row r="2074" ht="14.4" customHeight="1" s="152"/>
    <row r="2075" ht="14.4" customHeight="1" s="152"/>
    <row r="2076" ht="14.4" customHeight="1" s="152"/>
    <row r="2077" ht="14.4" customHeight="1" s="152"/>
    <row r="2078" ht="14.4" customHeight="1" s="152"/>
    <row r="2079" ht="14.4" customHeight="1" s="152"/>
    <row r="2080" ht="14.4" customHeight="1" s="152"/>
    <row r="2081" ht="14.4" customHeight="1" s="152"/>
    <row r="2082" ht="14.4" customHeight="1" s="152"/>
    <row r="2083" ht="14.4" customHeight="1" s="152"/>
    <row r="2084" ht="14.4" customHeight="1" s="152"/>
    <row r="2085" ht="14.4" customHeight="1" s="152"/>
    <row r="2086" ht="14.4" customHeight="1" s="152"/>
    <row r="2087" ht="14.4" customHeight="1" s="152"/>
    <row r="2088" ht="14.4" customHeight="1" s="152"/>
    <row r="2089" ht="14.4" customHeight="1" s="152"/>
    <row r="2090" ht="14.4" customHeight="1" s="152"/>
    <row r="2091" ht="14.4" customHeight="1" s="152"/>
    <row r="2092" ht="14.4" customHeight="1" s="152"/>
    <row r="2093" ht="14.4" customHeight="1" s="152"/>
    <row r="2094" ht="14.4" customHeight="1" s="152"/>
    <row r="2095" ht="14.4" customHeight="1" s="152"/>
    <row r="2096" ht="14.4" customHeight="1" s="152"/>
    <row r="2097" ht="14.4" customHeight="1" s="152"/>
    <row r="2098" ht="14.4" customHeight="1" s="152"/>
    <row r="2099" ht="14.4" customHeight="1" s="152"/>
    <row r="2100" ht="14.4" customHeight="1" s="152"/>
    <row r="2101" ht="14.4" customHeight="1" s="152"/>
    <row r="2102" ht="14.4" customHeight="1" s="152"/>
    <row r="2103" ht="14.4" customHeight="1" s="152"/>
    <row r="2104" ht="14.4" customHeight="1" s="152"/>
    <row r="2105" ht="14.4" customHeight="1" s="152"/>
    <row r="2106" ht="14.4" customHeight="1" s="152"/>
    <row r="2107" ht="14.4" customHeight="1" s="152"/>
    <row r="2108" ht="14.4" customHeight="1" s="152"/>
    <row r="2109" ht="14.4" customHeight="1" s="152"/>
    <row r="2110" ht="14.4" customHeight="1" s="152"/>
    <row r="2111" ht="14.4" customHeight="1" s="152"/>
    <row r="2112" ht="14.4" customHeight="1" s="152"/>
    <row r="2113" ht="14.4" customHeight="1" s="152"/>
    <row r="2114" ht="14.4" customHeight="1" s="152"/>
    <row r="2115" ht="14.4" customHeight="1" s="152"/>
    <row r="2116" ht="14.4" customHeight="1" s="152"/>
    <row r="2117" ht="14.4" customHeight="1" s="152"/>
    <row r="2118" ht="14.4" customHeight="1" s="152"/>
    <row r="2119" ht="14.4" customHeight="1" s="152"/>
    <row r="2120" ht="14.4" customHeight="1" s="152"/>
    <row r="2121" ht="14.4" customHeight="1" s="152"/>
    <row r="2122" ht="14.4" customHeight="1" s="152"/>
    <row r="2123" ht="14.4" customHeight="1" s="152"/>
    <row r="2124" ht="14.4" customHeight="1" s="152"/>
    <row r="2125" ht="14.4" customHeight="1" s="152"/>
    <row r="2126" ht="14.4" customHeight="1" s="152"/>
    <row r="2127" ht="14.4" customHeight="1" s="152"/>
    <row r="2128" ht="14.4" customHeight="1" s="152"/>
    <row r="2129" ht="14.4" customHeight="1" s="152"/>
    <row r="2130" ht="14.4" customHeight="1" s="152"/>
    <row r="2131" ht="14.4" customHeight="1" s="152"/>
    <row r="2132" ht="14.4" customHeight="1" s="152"/>
    <row r="2133" ht="14.4" customHeight="1" s="152"/>
    <row r="2134" ht="14.4" customHeight="1" s="152"/>
    <row r="2135" ht="14.4" customHeight="1" s="152"/>
    <row r="2136" ht="14.4" customHeight="1" s="152"/>
    <row r="2137" ht="14.4" customHeight="1" s="152"/>
    <row r="2138" ht="14.4" customHeight="1" s="152"/>
    <row r="2139" ht="14.4" customHeight="1" s="152"/>
    <row r="2140" ht="14.4" customHeight="1" s="152"/>
    <row r="2141" ht="14.4" customHeight="1" s="152"/>
    <row r="2142" ht="14.4" customHeight="1" s="152"/>
    <row r="2143" ht="14.4" customHeight="1" s="152"/>
    <row r="2144" ht="14.4" customHeight="1" s="152"/>
    <row r="2145" ht="14.4" customHeight="1" s="152"/>
    <row r="2146" ht="14.4" customHeight="1" s="152"/>
    <row r="2147" ht="14.4" customHeight="1" s="152"/>
    <row r="2148" ht="14.4" customHeight="1" s="152"/>
    <row r="2149" ht="14.4" customHeight="1" s="152"/>
    <row r="2150" ht="14.4" customHeight="1" s="152"/>
    <row r="2151" ht="14.4" customHeight="1" s="152"/>
    <row r="2152" ht="14.4" customHeight="1" s="152"/>
    <row r="2153" ht="14.4" customHeight="1" s="152"/>
    <row r="2154" ht="14.4" customHeight="1" s="152"/>
    <row r="2155" ht="14.4" customHeight="1" s="152"/>
    <row r="2156" ht="14.4" customHeight="1" s="152"/>
    <row r="2157" ht="14.4" customHeight="1" s="152"/>
    <row r="2158" ht="14.4" customHeight="1" s="152"/>
    <row r="2159" ht="14.4" customHeight="1" s="152"/>
    <row r="2160" ht="14.4" customHeight="1" s="152"/>
    <row r="2161" ht="14.4" customHeight="1" s="152"/>
    <row r="2162" ht="14.4" customHeight="1" s="152"/>
    <row r="2163" ht="14.4" customHeight="1" s="152"/>
    <row r="2164" ht="14.4" customHeight="1" s="152"/>
    <row r="2165" ht="14.4" customHeight="1" s="152"/>
    <row r="2166" ht="14.4" customHeight="1" s="152"/>
    <row r="2167" ht="14.4" customHeight="1" s="152"/>
    <row r="2168" ht="14.4" customHeight="1" s="152"/>
    <row r="2169" ht="14.4" customHeight="1" s="152"/>
    <row r="2170" ht="14.4" customHeight="1" s="152"/>
    <row r="2171" ht="14.4" customHeight="1" s="152"/>
    <row r="2172" ht="14.4" customHeight="1" s="152"/>
    <row r="2173" ht="14.4" customHeight="1" s="152"/>
    <row r="2174" ht="14.4" customHeight="1" s="152"/>
    <row r="2175" ht="14.4" customHeight="1" s="152"/>
    <row r="2176" ht="14.4" customHeight="1" s="152"/>
    <row r="2177" ht="14.4" customHeight="1" s="152"/>
    <row r="2178" ht="14.4" customHeight="1" s="152"/>
    <row r="2179" ht="14.4" customHeight="1" s="152"/>
    <row r="2180" ht="14.4" customHeight="1" s="152"/>
    <row r="2181" ht="14.4" customHeight="1" s="152"/>
    <row r="2182" ht="14.4" customHeight="1" s="152"/>
    <row r="2183" ht="14.4" customHeight="1" s="152"/>
    <row r="2184" ht="14.4" customHeight="1" s="152"/>
    <row r="2185" ht="14.4" customHeight="1" s="152"/>
    <row r="2186" ht="14.4" customHeight="1" s="152"/>
    <row r="2187" ht="14.4" customHeight="1" s="152"/>
    <row r="2188" ht="14.4" customHeight="1" s="152"/>
    <row r="2189" ht="14.4" customHeight="1" s="152"/>
    <row r="2190" ht="14.4" customHeight="1" s="152"/>
    <row r="2191" ht="14.4" customHeight="1" s="152"/>
    <row r="2192" ht="14.4" customHeight="1" s="152"/>
    <row r="2193" ht="14.4" customHeight="1" s="152"/>
    <row r="2194" ht="14.4" customHeight="1" s="152"/>
    <row r="2195" ht="14.4" customHeight="1" s="152"/>
    <row r="2196" ht="14.4" customHeight="1" s="152"/>
    <row r="2197" ht="14.4" customHeight="1" s="152"/>
    <row r="2198" ht="14.4" customHeight="1" s="152"/>
    <row r="2199" ht="14.4" customHeight="1" s="152"/>
    <row r="2200" ht="14.4" customHeight="1" s="152"/>
    <row r="2201" ht="14.4" customHeight="1" s="152"/>
    <row r="2202" ht="14.4" customHeight="1" s="152"/>
    <row r="2203" ht="14.4" customHeight="1" s="152"/>
    <row r="2204" ht="14.4" customHeight="1" s="152"/>
    <row r="2205" ht="14.4" customHeight="1" s="152"/>
    <row r="2206" ht="14.4" customHeight="1" s="152"/>
    <row r="2207" ht="14.4" customHeight="1" s="152"/>
    <row r="2208" ht="14.4" customHeight="1" s="152"/>
    <row r="2209" ht="14.4" customHeight="1" s="152"/>
    <row r="2210" ht="14.4" customHeight="1" s="152"/>
    <row r="2211" ht="14.4" customHeight="1" s="152"/>
    <row r="2212" ht="14.4" customHeight="1" s="152"/>
    <row r="2213" ht="14.4" customHeight="1" s="152"/>
    <row r="2214" ht="14.4" customHeight="1" s="152"/>
    <row r="2215" ht="14.4" customHeight="1" s="152"/>
    <row r="2216" ht="14.4" customHeight="1" s="152"/>
    <row r="2217" ht="14.4" customHeight="1" s="152"/>
    <row r="2218" ht="14.4" customHeight="1" s="152"/>
    <row r="2219" ht="14.4" customHeight="1" s="152"/>
    <row r="2220" ht="14.4" customHeight="1" s="152"/>
    <row r="2221" ht="14.4" customHeight="1" s="152"/>
    <row r="2222" ht="14.4" customHeight="1" s="152"/>
    <row r="2223" ht="14.4" customHeight="1" s="152"/>
    <row r="2224" ht="14.4" customHeight="1" s="152"/>
    <row r="2225" ht="14.4" customHeight="1" s="152"/>
    <row r="2226" ht="14.4" customHeight="1" s="152"/>
    <row r="2227" ht="14.4" customHeight="1" s="152"/>
    <row r="2228" ht="14.4" customHeight="1" s="152"/>
    <row r="2229" ht="14.4" customHeight="1" s="152"/>
    <row r="2230" ht="14.4" customHeight="1" s="152"/>
    <row r="2231" ht="14.4" customHeight="1" s="152"/>
    <row r="2232" ht="14.4" customHeight="1" s="152"/>
    <row r="2233" ht="14.4" customHeight="1" s="152"/>
    <row r="2234" ht="14.4" customHeight="1" s="152"/>
    <row r="2235" ht="14.4" customHeight="1" s="152"/>
    <row r="2236" ht="14.4" customHeight="1" s="152"/>
    <row r="2237" ht="14.4" customHeight="1" s="152"/>
    <row r="2238" ht="14.4" customHeight="1" s="152"/>
    <row r="2239" ht="14.4" customHeight="1" s="152"/>
    <row r="2240" ht="14.4" customHeight="1" s="152"/>
    <row r="2241" ht="14.4" customHeight="1" s="152"/>
    <row r="2242" ht="14.4" customHeight="1" s="152"/>
    <row r="2243" ht="14.4" customHeight="1" s="152"/>
    <row r="2244" ht="14.4" customHeight="1" s="152"/>
    <row r="2245" ht="14.4" customHeight="1" s="152"/>
    <row r="2246" ht="14.4" customHeight="1" s="152"/>
    <row r="2247" ht="14.4" customHeight="1" s="152"/>
    <row r="2248" ht="14.4" customHeight="1" s="152"/>
    <row r="2249" ht="14.4" customHeight="1" s="152"/>
    <row r="2250" ht="14.4" customHeight="1" s="152"/>
    <row r="2251" ht="14.4" customHeight="1" s="152"/>
    <row r="2252" ht="14.4" customHeight="1" s="152"/>
    <row r="2253" ht="14.4" customHeight="1" s="152"/>
    <row r="2254" ht="14.4" customHeight="1" s="152"/>
    <row r="2255" ht="14.4" customHeight="1" s="152"/>
    <row r="2256" ht="14.4" customHeight="1" s="152"/>
    <row r="2257" ht="14.4" customHeight="1" s="152"/>
    <row r="2258" ht="14.4" customHeight="1" s="152"/>
    <row r="2259" ht="14.4" customHeight="1" s="152"/>
    <row r="2260" ht="14.4" customHeight="1" s="152"/>
    <row r="2261" ht="14.4" customHeight="1" s="152"/>
    <row r="2262" ht="14.4" customHeight="1" s="152"/>
    <row r="2263" ht="14.4" customHeight="1" s="152"/>
    <row r="2264" ht="14.4" customHeight="1" s="152"/>
    <row r="2265" ht="14.4" customHeight="1" s="152"/>
    <row r="2266" ht="14.4" customHeight="1" s="152"/>
    <row r="2267" ht="14.4" customHeight="1" s="152"/>
    <row r="2268" ht="14.4" customHeight="1" s="152"/>
    <row r="2269" ht="14.4" customHeight="1" s="152"/>
    <row r="2270" ht="14.4" customHeight="1" s="152"/>
    <row r="2271" ht="14.4" customHeight="1" s="152"/>
    <row r="2272" ht="14.4" customHeight="1" s="152"/>
    <row r="2273" ht="14.4" customHeight="1" s="152"/>
    <row r="2274" ht="14.4" customHeight="1" s="152"/>
    <row r="2275" ht="14.4" customHeight="1" s="152"/>
    <row r="2276" ht="14.4" customHeight="1" s="152"/>
    <row r="2277" ht="14.4" customHeight="1" s="152"/>
    <row r="2278" ht="14.4" customHeight="1" s="152"/>
    <row r="2279" ht="14.4" customHeight="1" s="152"/>
    <row r="2280" ht="14.4" customHeight="1" s="152"/>
    <row r="2281" ht="14.4" customHeight="1" s="152"/>
    <row r="2282" ht="14.4" customHeight="1" s="152"/>
    <row r="2283" ht="14.4" customHeight="1" s="152"/>
    <row r="2284" ht="14.4" customHeight="1" s="152"/>
    <row r="2285" ht="14.4" customHeight="1" s="152"/>
    <row r="2286" ht="14.4" customHeight="1" s="152"/>
    <row r="2287" ht="14.4" customHeight="1" s="152"/>
    <row r="2288" ht="14.4" customHeight="1" s="152"/>
    <row r="2289" ht="14.4" customHeight="1" s="152"/>
    <row r="2290" ht="14.4" customHeight="1" s="152"/>
    <row r="2291" ht="14.4" customHeight="1" s="152"/>
    <row r="2292" ht="14.4" customHeight="1" s="152"/>
    <row r="2293" ht="14.4" customHeight="1" s="152"/>
    <row r="2294" ht="14.4" customHeight="1" s="152"/>
    <row r="2295" ht="14.4" customHeight="1" s="152"/>
    <row r="2296" ht="14.4" customHeight="1" s="152"/>
    <row r="2297" ht="14.4" customHeight="1" s="152"/>
    <row r="2298" ht="14.4" customHeight="1" s="152"/>
    <row r="2299" ht="14.4" customHeight="1" s="152"/>
    <row r="2300" ht="14.4" customHeight="1" s="152"/>
    <row r="2301" ht="14.4" customHeight="1" s="152"/>
    <row r="2302" ht="14.4" customHeight="1" s="152"/>
    <row r="2303" ht="14.4" customHeight="1" s="152"/>
    <row r="2304" ht="14.4" customHeight="1" s="152"/>
    <row r="2305" ht="14.4" customHeight="1" s="152"/>
    <row r="2306" ht="14.4" customHeight="1" s="152"/>
    <row r="2307" ht="14.4" customHeight="1" s="152"/>
    <row r="2308" ht="14.4" customHeight="1" s="152"/>
    <row r="2309" ht="14.4" customHeight="1" s="152"/>
    <row r="2310" ht="14.4" customHeight="1" s="152"/>
    <row r="2311" ht="14.4" customHeight="1" s="152"/>
    <row r="2312" ht="14.4" customHeight="1" s="152"/>
    <row r="2313" ht="14.4" customHeight="1" s="152"/>
    <row r="2314" ht="14.4" customHeight="1" s="152"/>
    <row r="2315" ht="14.4" customHeight="1" s="152"/>
    <row r="2316" ht="14.4" customHeight="1" s="152"/>
    <row r="2317" ht="14.4" customHeight="1" s="152"/>
    <row r="2318" ht="14.4" customHeight="1" s="152"/>
    <row r="2319" ht="14.4" customHeight="1" s="152"/>
    <row r="2320" ht="14.4" customHeight="1" s="152"/>
    <row r="2321" ht="14.4" customHeight="1" s="152"/>
    <row r="2322" ht="14.4" customHeight="1" s="152"/>
    <row r="2323" ht="14.4" customHeight="1" s="152"/>
    <row r="2324" ht="14.4" customHeight="1" s="152"/>
    <row r="2325" ht="14.4" customHeight="1" s="152"/>
    <row r="2326" ht="14.4" customHeight="1" s="152"/>
    <row r="2327" ht="14.4" customHeight="1" s="152"/>
    <row r="2328" ht="14.4" customHeight="1" s="152"/>
    <row r="2329" ht="14.4" customHeight="1" s="152"/>
    <row r="2330" ht="14.4" customHeight="1" s="152"/>
    <row r="2331" ht="14.4" customHeight="1" s="152"/>
    <row r="2332" ht="14.4" customHeight="1" s="152"/>
    <row r="2333" ht="14.4" customHeight="1" s="152"/>
    <row r="2334" ht="14.4" customHeight="1" s="152"/>
    <row r="2335" ht="14.4" customHeight="1" s="152"/>
    <row r="2336" ht="14.4" customHeight="1" s="152"/>
    <row r="2337" ht="14.4" customHeight="1" s="152"/>
    <row r="2338" ht="14.4" customHeight="1" s="152"/>
    <row r="2339" ht="14.4" customHeight="1" s="152"/>
    <row r="2340" ht="14.4" customHeight="1" s="152"/>
    <row r="2341" ht="14.4" customHeight="1" s="152"/>
    <row r="2342" ht="14.4" customHeight="1" s="152"/>
    <row r="2343" ht="14.4" customHeight="1" s="152"/>
    <row r="2344" ht="14.4" customHeight="1" s="152"/>
    <row r="2345" ht="14.4" customHeight="1" s="152"/>
    <row r="2346" ht="14.4" customHeight="1" s="152"/>
    <row r="2347" ht="14.4" customHeight="1" s="152"/>
    <row r="2348" ht="14.4" customHeight="1" s="152"/>
    <row r="2349" ht="14.4" customHeight="1" s="152"/>
    <row r="2350" ht="14.4" customHeight="1" s="152"/>
    <row r="2351" ht="14.4" customHeight="1" s="152"/>
    <row r="2352" ht="14.4" customHeight="1" s="152"/>
    <row r="2353" ht="14.4" customHeight="1" s="152"/>
    <row r="2354" ht="14.4" customHeight="1" s="152"/>
    <row r="2355" ht="14.4" customHeight="1" s="152"/>
    <row r="2356" ht="14.4" customHeight="1" s="152"/>
    <row r="2357" ht="14.4" customHeight="1" s="152"/>
    <row r="2358" ht="14.4" customHeight="1" s="152"/>
    <row r="2359" ht="14.4" customHeight="1" s="152"/>
    <row r="2360" ht="14.4" customHeight="1" s="152"/>
    <row r="2361" ht="14.4" customHeight="1" s="152"/>
    <row r="2362" ht="14.4" customHeight="1" s="152"/>
    <row r="2363" ht="14.4" customHeight="1" s="152"/>
    <row r="2364" ht="14.4" customHeight="1" s="152"/>
    <row r="2365" ht="14.4" customHeight="1" s="152"/>
    <row r="2366" ht="14.4" customHeight="1" s="152"/>
    <row r="2367" ht="14.4" customHeight="1" s="152"/>
    <row r="2368" ht="14.4" customHeight="1" s="152"/>
    <row r="2369" ht="14.4" customHeight="1" s="152"/>
    <row r="2370" ht="14.4" customHeight="1" s="152"/>
    <row r="2371" ht="14.4" customHeight="1" s="152"/>
    <row r="2372" ht="14.4" customHeight="1" s="152"/>
    <row r="2373" ht="14.4" customHeight="1" s="152"/>
    <row r="2374" ht="14.4" customHeight="1" s="152"/>
    <row r="2375" ht="14.4" customHeight="1" s="152"/>
    <row r="2376" ht="14.4" customHeight="1" s="152"/>
    <row r="2377" ht="14.4" customHeight="1" s="152"/>
    <row r="2378" ht="14.4" customHeight="1" s="152"/>
    <row r="2379" ht="14.4" customHeight="1" s="152"/>
    <row r="2380" ht="14.4" customHeight="1" s="152"/>
    <row r="2381" ht="14.4" customHeight="1" s="152"/>
    <row r="2382" ht="14.4" customHeight="1" s="152"/>
    <row r="2383" ht="14.4" customHeight="1" s="152"/>
    <row r="2384" ht="14.4" customHeight="1" s="152"/>
    <row r="2385" ht="14.4" customHeight="1" s="152"/>
    <row r="2386" ht="14.4" customHeight="1" s="152"/>
    <row r="2387" ht="14.4" customHeight="1" s="152"/>
    <row r="2388" ht="14.4" customHeight="1" s="152"/>
    <row r="2389" ht="14.4" customHeight="1" s="152"/>
    <row r="2390" ht="14.4" customHeight="1" s="152"/>
    <row r="2391" ht="14.4" customHeight="1" s="152"/>
    <row r="2392" ht="14.4" customHeight="1" s="152"/>
    <row r="2393" ht="14.4" customHeight="1" s="152"/>
    <row r="2394" ht="14.4" customHeight="1" s="152"/>
    <row r="2395" ht="14.4" customHeight="1" s="152"/>
    <row r="2396" ht="14.4" customHeight="1" s="152"/>
    <row r="2397" ht="14.4" customHeight="1" s="152"/>
    <row r="2398" ht="14.4" customHeight="1" s="152"/>
    <row r="2399" ht="14.4" customHeight="1" s="152"/>
    <row r="2400" ht="14.4" customHeight="1" s="152"/>
    <row r="2401" ht="14.4" customHeight="1" s="152"/>
    <row r="2402" ht="14.4" customHeight="1" s="152"/>
    <row r="2403" ht="14.4" customHeight="1" s="152"/>
    <row r="2404" ht="14.4" customHeight="1" s="152"/>
    <row r="2405" ht="14.4" customHeight="1" s="152"/>
    <row r="2406" ht="14.4" customHeight="1" s="152"/>
    <row r="2407" ht="14.4" customHeight="1" s="152"/>
    <row r="2408" ht="14.4" customHeight="1" s="152"/>
    <row r="2409" ht="14.4" customHeight="1" s="152"/>
    <row r="2410" ht="14.4" customHeight="1" s="152"/>
    <row r="2411" ht="14.4" customHeight="1" s="152"/>
    <row r="2412" ht="14.4" customHeight="1" s="152"/>
    <row r="2413" ht="14.4" customHeight="1" s="152"/>
    <row r="2414" ht="14.4" customHeight="1" s="152"/>
    <row r="2415" ht="14.4" customHeight="1" s="152"/>
    <row r="2416" ht="14.4" customHeight="1" s="152"/>
    <row r="2417" ht="14.4" customHeight="1" s="152"/>
    <row r="2418" ht="14.4" customHeight="1" s="152"/>
    <row r="2419" ht="14.4" customHeight="1" s="152"/>
    <row r="2420" ht="14.4" customHeight="1" s="152"/>
    <row r="2421" ht="14.4" customHeight="1" s="152"/>
    <row r="2422" ht="14.4" customHeight="1" s="152"/>
    <row r="2423" ht="14.4" customHeight="1" s="152"/>
    <row r="2424" ht="14.4" customHeight="1" s="152"/>
    <row r="2425" ht="14.4" customHeight="1" s="152"/>
    <row r="2426" ht="14.4" customHeight="1" s="152"/>
    <row r="2427" ht="14.4" customHeight="1" s="152"/>
    <row r="2428" ht="14.4" customHeight="1" s="152"/>
    <row r="2429" ht="14.4" customHeight="1" s="152"/>
    <row r="2430" ht="14.4" customHeight="1" s="152"/>
    <row r="2431" ht="14.4" customHeight="1" s="152"/>
    <row r="2432" ht="14.4" customHeight="1" s="152"/>
    <row r="2433" ht="14.4" customHeight="1" s="152"/>
    <row r="2434" ht="14.4" customHeight="1" s="152"/>
    <row r="2435" ht="14.4" customHeight="1" s="152"/>
    <row r="2436" ht="14.4" customHeight="1" s="152"/>
    <row r="2437" ht="14.4" customHeight="1" s="152"/>
    <row r="2438" ht="14.4" customHeight="1" s="152"/>
    <row r="2439" ht="14.4" customHeight="1" s="152"/>
    <row r="2440" ht="14.4" customHeight="1" s="152"/>
    <row r="2441" ht="14.4" customHeight="1" s="152"/>
    <row r="2442" ht="14.4" customHeight="1" s="152"/>
    <row r="2443" ht="14.4" customHeight="1" s="152"/>
    <row r="2444" ht="14.4" customHeight="1" s="152"/>
    <row r="2445" ht="14.4" customHeight="1" s="152"/>
    <row r="2446" ht="14.4" customHeight="1" s="152"/>
    <row r="2447" ht="14.4" customHeight="1" s="152"/>
    <row r="2448" ht="14.4" customHeight="1" s="152"/>
    <row r="2449" ht="14.4" customHeight="1" s="152"/>
    <row r="2450" ht="14.4" customHeight="1" s="152"/>
    <row r="2451" ht="14.4" customHeight="1" s="152"/>
    <row r="2452" ht="14.4" customHeight="1" s="152"/>
    <row r="2453" ht="14.4" customHeight="1" s="152"/>
    <row r="2454" ht="14.4" customHeight="1" s="152"/>
    <row r="2455" ht="14.4" customHeight="1" s="152"/>
    <row r="2456" ht="14.4" customHeight="1" s="152"/>
    <row r="2457" ht="14.4" customHeight="1" s="152"/>
    <row r="2458" ht="14.4" customHeight="1" s="152"/>
    <row r="2459" ht="14.4" customHeight="1" s="152"/>
    <row r="2460" ht="14.4" customHeight="1" s="152"/>
    <row r="2461" ht="14.4" customHeight="1" s="152"/>
    <row r="2462" ht="14.4" customHeight="1" s="152"/>
    <row r="2463" ht="14.4" customHeight="1" s="152"/>
    <row r="2464" ht="14.4" customHeight="1" s="152"/>
    <row r="2465" ht="14.4" customHeight="1" s="152"/>
    <row r="2466" ht="14.4" customHeight="1" s="152"/>
    <row r="2467" ht="14.4" customHeight="1" s="152"/>
    <row r="2468" ht="14.4" customHeight="1" s="152"/>
    <row r="2469" ht="14.4" customHeight="1" s="152"/>
    <row r="2470" ht="14.4" customHeight="1" s="152"/>
    <row r="2471" ht="14.4" customHeight="1" s="152"/>
    <row r="2472" ht="14.4" customHeight="1" s="152"/>
    <row r="2473" ht="14.4" customHeight="1" s="152"/>
    <row r="2474" ht="14.4" customHeight="1" s="152"/>
    <row r="2475" ht="14.4" customHeight="1" s="152"/>
    <row r="2476" ht="14.4" customHeight="1" s="152"/>
    <row r="2477" ht="14.4" customHeight="1" s="152"/>
    <row r="2478" ht="14.4" customHeight="1" s="152"/>
    <row r="2479" ht="14.4" customHeight="1" s="152"/>
    <row r="2480" ht="14.4" customHeight="1" s="152"/>
    <row r="2481" ht="14.4" customHeight="1" s="152"/>
    <row r="2482" ht="14.4" customHeight="1" s="152"/>
    <row r="2483" ht="14.4" customHeight="1" s="152"/>
    <row r="2484" ht="14.4" customHeight="1" s="152"/>
    <row r="2485" ht="14.4" customHeight="1" s="152"/>
    <row r="2486" ht="14.4" customHeight="1" s="152"/>
    <row r="2487" ht="14.4" customHeight="1" s="152"/>
    <row r="2488" ht="14.4" customHeight="1" s="152"/>
    <row r="2489" ht="14.4" customHeight="1" s="152"/>
    <row r="2490" ht="14.4" customHeight="1" s="152"/>
    <row r="2491" ht="14.4" customHeight="1" s="152"/>
    <row r="2492" ht="14.4" customHeight="1" s="152"/>
    <row r="2493" ht="14.4" customHeight="1" s="152"/>
    <row r="2494" ht="14.4" customHeight="1" s="152"/>
    <row r="2495" ht="14.4" customHeight="1" s="152"/>
    <row r="2496" ht="14.4" customHeight="1" s="152"/>
    <row r="2497" ht="14.4" customHeight="1" s="152"/>
    <row r="2498" ht="14.4" customHeight="1" s="152"/>
    <row r="2499" ht="14.4" customHeight="1" s="152"/>
    <row r="2500" ht="14.4" customHeight="1" s="152"/>
    <row r="2501" ht="14.4" customHeight="1" s="152"/>
    <row r="2502" ht="14.4" customHeight="1" s="152"/>
    <row r="2503" ht="14.4" customHeight="1" s="152"/>
    <row r="2504" ht="14.4" customHeight="1" s="152"/>
    <row r="2505" ht="14.4" customHeight="1" s="152"/>
    <row r="2506" ht="14.4" customHeight="1" s="152"/>
    <row r="2507" ht="14.4" customHeight="1" s="152"/>
    <row r="2508" ht="14.4" customHeight="1" s="152"/>
    <row r="2509" ht="14.4" customHeight="1" s="152"/>
    <row r="2510" ht="14.4" customHeight="1" s="152"/>
    <row r="2511" ht="14.4" customHeight="1" s="152"/>
    <row r="2512" ht="14.4" customHeight="1" s="152"/>
    <row r="2513" ht="14.4" customHeight="1" s="152"/>
    <row r="2514" ht="14.4" customHeight="1" s="152"/>
    <row r="2515" ht="14.4" customHeight="1" s="152"/>
    <row r="2516" ht="14.4" customHeight="1" s="152"/>
    <row r="2517" ht="14.4" customHeight="1" s="152"/>
    <row r="2518" ht="14.4" customHeight="1" s="152"/>
    <row r="2519" ht="14.4" customHeight="1" s="152"/>
    <row r="2520" ht="14.4" customHeight="1" s="152"/>
    <row r="2521" ht="14.4" customHeight="1" s="152"/>
    <row r="2522" ht="14.4" customHeight="1" s="152"/>
    <row r="2523" ht="14.4" customHeight="1" s="152"/>
    <row r="2524" ht="14.4" customHeight="1" s="152"/>
    <row r="2525" ht="14.4" customHeight="1" s="152"/>
    <row r="2526" ht="14.4" customHeight="1" s="152"/>
    <row r="2527" ht="14.4" customHeight="1" s="152"/>
    <row r="2528" ht="14.4" customHeight="1" s="152"/>
    <row r="2529" ht="14.4" customHeight="1" s="152"/>
    <row r="2530" ht="14.4" customHeight="1" s="152"/>
    <row r="2531" ht="14.4" customHeight="1" s="152"/>
    <row r="2532" ht="14.4" customHeight="1" s="152"/>
    <row r="2533" ht="14.4" customHeight="1" s="152"/>
    <row r="2534" ht="14.4" customHeight="1" s="152"/>
    <row r="2535" ht="14.4" customHeight="1" s="152"/>
    <row r="2536" ht="14.4" customHeight="1" s="152"/>
    <row r="2537" ht="14.4" customHeight="1" s="152"/>
    <row r="2538" ht="14.4" customHeight="1" s="152"/>
    <row r="2539" ht="14.4" customHeight="1" s="152"/>
    <row r="2540" ht="14.4" customHeight="1" s="152"/>
    <row r="2541" ht="14.4" customHeight="1" s="152"/>
    <row r="2542" ht="14.4" customHeight="1" s="152"/>
    <row r="2543" ht="14.4" customHeight="1" s="152"/>
    <row r="2544" ht="14.4" customHeight="1" s="152"/>
    <row r="2545" ht="14.4" customHeight="1" s="152"/>
    <row r="2546" ht="14.4" customHeight="1" s="152"/>
    <row r="2547" ht="14.4" customHeight="1" s="152"/>
    <row r="2548" ht="14.4" customHeight="1" s="152"/>
    <row r="2549" ht="14.4" customHeight="1" s="152"/>
    <row r="2550" ht="14.4" customHeight="1" s="152"/>
    <row r="2551" ht="14.4" customHeight="1" s="152"/>
    <row r="2552" ht="14.4" customHeight="1" s="152"/>
    <row r="2553" ht="14.4" customHeight="1" s="152"/>
    <row r="2554" ht="14.4" customHeight="1" s="152"/>
    <row r="2555" ht="14.4" customHeight="1" s="152"/>
    <row r="2556" ht="14.4" customHeight="1" s="152"/>
    <row r="2557" ht="14.4" customHeight="1" s="152"/>
    <row r="2558" ht="14.4" customHeight="1" s="152"/>
    <row r="2559" ht="14.4" customHeight="1" s="152"/>
    <row r="2560" ht="14.4" customHeight="1" s="152"/>
    <row r="2561" ht="14.4" customHeight="1" s="152"/>
    <row r="2562" ht="14.4" customHeight="1" s="152"/>
    <row r="2563" ht="14.4" customHeight="1" s="152"/>
    <row r="2564" ht="14.4" customHeight="1" s="152"/>
    <row r="2565" ht="14.4" customHeight="1" s="152"/>
    <row r="2566" ht="14.4" customHeight="1" s="152"/>
    <row r="2567" ht="14.4" customHeight="1" s="152"/>
    <row r="2568" ht="14.4" customHeight="1" s="152"/>
    <row r="2569" ht="14.4" customHeight="1" s="152"/>
    <row r="2570" ht="14.4" customHeight="1" s="152"/>
    <row r="2571" ht="14.4" customHeight="1" s="152"/>
    <row r="2572" ht="14.4" customHeight="1" s="152"/>
    <row r="2573" ht="14.4" customHeight="1" s="152"/>
    <row r="2574" ht="14.4" customHeight="1" s="152"/>
    <row r="2575" ht="14.4" customHeight="1" s="152"/>
    <row r="2576" ht="14.4" customHeight="1" s="152"/>
    <row r="2577" ht="14.4" customHeight="1" s="152"/>
    <row r="2578" ht="14.4" customHeight="1" s="152"/>
    <row r="2579" ht="14.4" customHeight="1" s="152"/>
    <row r="2580" ht="14.4" customHeight="1" s="152"/>
    <row r="2581" ht="14.4" customHeight="1" s="152"/>
    <row r="2582" ht="14.4" customHeight="1" s="152"/>
    <row r="2583" ht="14.4" customHeight="1" s="152"/>
    <row r="2584" ht="14.4" customHeight="1" s="152"/>
    <row r="2585" ht="14.4" customHeight="1" s="152"/>
    <row r="2586" ht="14.4" customHeight="1" s="152"/>
    <row r="2587" ht="14.4" customHeight="1" s="152"/>
    <row r="2588" ht="14.4" customHeight="1" s="152"/>
    <row r="2589" ht="14.4" customHeight="1" s="152"/>
    <row r="2590" ht="14.4" customHeight="1" s="152"/>
    <row r="2591" ht="14.4" customHeight="1" s="152"/>
    <row r="2592" ht="14.4" customHeight="1" s="152"/>
    <row r="2593" ht="14.4" customHeight="1" s="152"/>
    <row r="2594" ht="14.4" customHeight="1" s="152"/>
    <row r="2595" ht="14.4" customHeight="1" s="152"/>
    <row r="2596" ht="14.4" customHeight="1" s="152"/>
    <row r="2597" ht="14.4" customHeight="1" s="152"/>
    <row r="2598" ht="14.4" customHeight="1" s="152"/>
    <row r="2599" ht="14.4" customHeight="1" s="152"/>
    <row r="2600" ht="14.4" customHeight="1" s="152"/>
    <row r="2601" ht="14.4" customHeight="1" s="152"/>
    <row r="2602" ht="14.4" customHeight="1" s="152"/>
    <row r="2603" ht="14.4" customHeight="1" s="152"/>
    <row r="2604" ht="14.4" customHeight="1" s="152"/>
    <row r="2605" ht="14.4" customHeight="1" s="152"/>
    <row r="2606" ht="14.4" customHeight="1" s="152"/>
    <row r="2607" ht="14.4" customHeight="1" s="152"/>
    <row r="2608" ht="14.4" customHeight="1" s="152"/>
    <row r="2609" ht="14.4" customHeight="1" s="152"/>
    <row r="2610" ht="14.4" customHeight="1" s="152"/>
    <row r="2611" ht="14.4" customHeight="1" s="152"/>
    <row r="2612" ht="14.4" customHeight="1" s="152"/>
    <row r="2613" ht="14.4" customHeight="1" s="152"/>
    <row r="2614" ht="14.4" customHeight="1" s="152"/>
    <row r="2615" ht="14.4" customHeight="1" s="152"/>
    <row r="2616" ht="14.4" customHeight="1" s="152"/>
    <row r="2617" ht="14.4" customHeight="1" s="152"/>
    <row r="2618" ht="14.4" customHeight="1" s="152"/>
    <row r="2619" ht="14.4" customHeight="1" s="152"/>
    <row r="2620" ht="14.4" customHeight="1" s="152"/>
    <row r="2621" ht="14.4" customHeight="1" s="152"/>
    <row r="2622" ht="14.4" customHeight="1" s="152"/>
    <row r="2623" ht="14.4" customHeight="1" s="152"/>
    <row r="2624" ht="14.4" customHeight="1" s="152"/>
    <row r="2625" ht="14.4" customHeight="1" s="152"/>
    <row r="2626" ht="14.4" customHeight="1" s="152"/>
    <row r="2627" ht="14.4" customHeight="1" s="152"/>
    <row r="2628" ht="14.4" customHeight="1" s="152"/>
    <row r="2629" ht="14.4" customHeight="1" s="152"/>
    <row r="2630" ht="14.4" customHeight="1" s="152"/>
    <row r="2631" ht="14.4" customHeight="1" s="152"/>
    <row r="2632" ht="14.4" customHeight="1" s="152"/>
    <row r="2633" ht="14.4" customHeight="1" s="152"/>
    <row r="2634" ht="14.4" customHeight="1" s="152"/>
    <row r="2635" ht="14.4" customHeight="1" s="152"/>
    <row r="2636" ht="14.4" customHeight="1" s="152"/>
    <row r="2637" ht="14.4" customHeight="1" s="152"/>
    <row r="2638" ht="14.4" customHeight="1" s="152"/>
    <row r="2639" ht="14.4" customHeight="1" s="152"/>
    <row r="2640" ht="14.4" customHeight="1" s="152"/>
    <row r="2641" ht="14.4" customHeight="1" s="152"/>
    <row r="2642" ht="14.4" customHeight="1" s="152"/>
    <row r="2643" ht="14.4" customHeight="1" s="152"/>
    <row r="2644" ht="14.4" customHeight="1" s="152"/>
    <row r="2645" ht="14.4" customHeight="1" s="152"/>
    <row r="2646" ht="14.4" customHeight="1" s="152"/>
    <row r="2647" ht="14.4" customHeight="1" s="152"/>
    <row r="2648" ht="14.4" customHeight="1" s="152"/>
    <row r="2649" ht="14.4" customHeight="1" s="152"/>
    <row r="2650" ht="14.4" customHeight="1" s="152"/>
    <row r="2651" ht="14.4" customHeight="1" s="152"/>
    <row r="2652" ht="14.4" customHeight="1" s="152"/>
    <row r="2653" ht="14.4" customHeight="1" s="152"/>
    <row r="2654" ht="14.4" customHeight="1" s="152"/>
    <row r="2655" ht="14.4" customHeight="1" s="152"/>
    <row r="2656" ht="14.4" customHeight="1" s="152"/>
    <row r="2657" ht="14.4" customHeight="1" s="152"/>
    <row r="2658" ht="14.4" customHeight="1" s="152"/>
    <row r="2659" ht="14.4" customHeight="1" s="152"/>
    <row r="2660" ht="14.4" customHeight="1" s="152"/>
    <row r="2661" ht="14.4" customHeight="1" s="152"/>
    <row r="2662" ht="14.4" customHeight="1" s="152"/>
    <row r="2663" ht="14.4" customHeight="1" s="152"/>
    <row r="2664" ht="14.4" customHeight="1" s="152"/>
    <row r="2665" ht="14.4" customHeight="1" s="152"/>
    <row r="2666" ht="14.4" customHeight="1" s="152"/>
    <row r="2667" ht="14.4" customHeight="1" s="152"/>
    <row r="2668" ht="14.4" customHeight="1" s="152"/>
    <row r="2669" ht="14.4" customHeight="1" s="152"/>
    <row r="2670" ht="14.4" customHeight="1" s="152"/>
    <row r="2671" ht="14.4" customHeight="1" s="152"/>
    <row r="2672" ht="14.4" customHeight="1" s="152"/>
    <row r="2673" ht="14.4" customHeight="1" s="152"/>
    <row r="2674" ht="14.4" customHeight="1" s="152"/>
    <row r="2675" ht="14.4" customHeight="1" s="152"/>
    <row r="2676" ht="14.4" customHeight="1" s="152"/>
    <row r="2677" ht="14.4" customHeight="1" s="152"/>
    <row r="2678" ht="14.4" customHeight="1" s="152"/>
    <row r="2679" ht="14.4" customHeight="1" s="152"/>
    <row r="2680" ht="14.4" customHeight="1" s="152"/>
    <row r="2681" ht="14.4" customHeight="1" s="152"/>
    <row r="2682" ht="14.4" customHeight="1" s="152"/>
    <row r="2683" ht="14.4" customHeight="1" s="152"/>
    <row r="2684" ht="14.4" customHeight="1" s="152"/>
    <row r="2685" ht="14.4" customHeight="1" s="152"/>
    <row r="2686" ht="14.4" customHeight="1" s="152"/>
    <row r="2687" ht="14.4" customHeight="1" s="152"/>
    <row r="2688" ht="14.4" customHeight="1" s="152"/>
    <row r="2689" ht="14.4" customHeight="1" s="152"/>
    <row r="2690" ht="14.4" customHeight="1" s="152"/>
    <row r="2691" ht="14.4" customHeight="1" s="152"/>
    <row r="2692" ht="14.4" customHeight="1" s="152"/>
    <row r="2693" ht="14.4" customHeight="1" s="152"/>
    <row r="2694" ht="14.4" customHeight="1" s="152"/>
    <row r="2695" ht="14.4" customHeight="1" s="152"/>
    <row r="2696" ht="14.4" customHeight="1" s="152"/>
    <row r="2697" ht="14.4" customHeight="1" s="152"/>
    <row r="2698" ht="14.4" customHeight="1" s="152"/>
    <row r="2699" ht="14.4" customHeight="1" s="152"/>
    <row r="2700" ht="14.4" customHeight="1" s="152"/>
    <row r="2701" ht="14.4" customHeight="1" s="152"/>
    <row r="2702" ht="14.4" customHeight="1" s="152"/>
    <row r="2703" ht="14.4" customHeight="1" s="152"/>
    <row r="2704" ht="14.4" customHeight="1" s="152"/>
    <row r="2705" ht="14.4" customHeight="1" s="152"/>
    <row r="2706" ht="14.4" customHeight="1" s="152"/>
    <row r="2707" ht="14.4" customHeight="1" s="152"/>
    <row r="2708" ht="14.4" customHeight="1" s="152"/>
    <row r="2709" ht="14.4" customHeight="1" s="152"/>
    <row r="2710" ht="14.4" customHeight="1" s="152"/>
    <row r="2711" ht="14.4" customHeight="1" s="152"/>
    <row r="2712" ht="14.4" customHeight="1" s="152"/>
    <row r="2713" ht="14.4" customHeight="1" s="152"/>
    <row r="2714" ht="14.4" customHeight="1" s="152"/>
    <row r="2715" ht="14.4" customHeight="1" s="152"/>
    <row r="2716" ht="14.4" customHeight="1" s="152"/>
    <row r="2717" ht="14.4" customHeight="1" s="152"/>
    <row r="2718" ht="14.4" customHeight="1" s="152"/>
    <row r="2719" ht="14.4" customHeight="1" s="152"/>
    <row r="2720" ht="14.4" customHeight="1" s="152"/>
    <row r="2721" ht="14.4" customHeight="1" s="152"/>
    <row r="2722" ht="14.4" customHeight="1" s="152"/>
    <row r="2723" ht="14.4" customHeight="1" s="152"/>
    <row r="2724" ht="14.4" customHeight="1" s="152"/>
    <row r="2725" ht="14.4" customHeight="1" s="152"/>
    <row r="2726" ht="14.4" customHeight="1" s="152"/>
    <row r="2727" ht="14.4" customHeight="1" s="152"/>
    <row r="2728" ht="14.4" customHeight="1" s="152"/>
    <row r="2729" ht="14.4" customHeight="1" s="152"/>
    <row r="2730" ht="14.4" customHeight="1" s="152"/>
    <row r="2731" ht="14.4" customHeight="1" s="152"/>
    <row r="2732" ht="14.4" customHeight="1" s="152"/>
    <row r="2733" ht="14.4" customHeight="1" s="152"/>
    <row r="2734" ht="14.4" customHeight="1" s="152"/>
    <row r="2735" ht="14.4" customHeight="1" s="152"/>
    <row r="2736" ht="14.4" customHeight="1" s="152"/>
    <row r="2737" ht="14.4" customHeight="1" s="152"/>
    <row r="2738" ht="14.4" customHeight="1" s="152"/>
    <row r="2739" ht="14.4" customHeight="1" s="152"/>
    <row r="2740" ht="14.4" customHeight="1" s="152"/>
    <row r="2741" ht="14.4" customHeight="1" s="152"/>
    <row r="2742" ht="14.4" customHeight="1" s="152"/>
    <row r="2743" ht="14.4" customHeight="1" s="152"/>
    <row r="2744" ht="14.4" customHeight="1" s="152"/>
    <row r="2745" ht="14.4" customHeight="1" s="152"/>
    <row r="2746" ht="14.4" customHeight="1" s="152"/>
    <row r="2747" ht="14.4" customHeight="1" s="152"/>
    <row r="2748" ht="14.4" customHeight="1" s="152"/>
    <row r="2749" ht="14.4" customHeight="1" s="152"/>
    <row r="2750" ht="14.4" customHeight="1" s="152"/>
    <row r="2751" ht="14.4" customHeight="1" s="152"/>
    <row r="2752" ht="14.4" customHeight="1" s="152"/>
    <row r="2753" ht="14.4" customHeight="1" s="152"/>
    <row r="2754" ht="14.4" customHeight="1" s="152"/>
    <row r="2755" ht="14.4" customHeight="1" s="152"/>
    <row r="2756" ht="14.4" customHeight="1" s="152"/>
    <row r="2757" ht="14.4" customHeight="1" s="152"/>
    <row r="2758" ht="14.4" customHeight="1" s="152"/>
    <row r="2759" ht="14.4" customHeight="1" s="152"/>
    <row r="2760" ht="14.4" customHeight="1" s="152"/>
    <row r="2761" ht="14.4" customHeight="1" s="152"/>
    <row r="2762" ht="14.4" customHeight="1" s="152"/>
    <row r="2763" ht="14.4" customHeight="1" s="152"/>
    <row r="2764" ht="14.4" customHeight="1" s="152"/>
    <row r="2765" ht="14.4" customHeight="1" s="152"/>
    <row r="2766" ht="14.4" customHeight="1" s="152"/>
    <row r="2767" ht="14.4" customHeight="1" s="152"/>
    <row r="2768" ht="14.4" customHeight="1" s="152"/>
    <row r="2769" ht="14.4" customHeight="1" s="152"/>
    <row r="2770" ht="14.4" customHeight="1" s="152"/>
    <row r="2771" ht="14.4" customHeight="1" s="152"/>
    <row r="2772" ht="14.4" customHeight="1" s="152"/>
    <row r="2773" ht="14.4" customHeight="1" s="152"/>
    <row r="2774" ht="14.4" customHeight="1" s="152"/>
    <row r="2775" ht="14.4" customHeight="1" s="152"/>
    <row r="2776" ht="14.4" customHeight="1" s="152"/>
    <row r="2777" ht="14.4" customHeight="1" s="152"/>
    <row r="2778" ht="14.4" customHeight="1" s="152"/>
    <row r="2779" ht="14.4" customHeight="1" s="152"/>
    <row r="2780" ht="14.4" customHeight="1" s="152"/>
    <row r="2781" ht="14.4" customHeight="1" s="152"/>
    <row r="2782" ht="14.4" customHeight="1" s="152"/>
    <row r="2783" ht="14.4" customHeight="1" s="152"/>
    <row r="2784" ht="14.4" customHeight="1" s="152"/>
    <row r="2785" ht="14.4" customHeight="1" s="152"/>
    <row r="2786" ht="14.4" customHeight="1" s="152"/>
    <row r="2787" ht="14.4" customHeight="1" s="152"/>
    <row r="2788" ht="14.4" customHeight="1" s="152"/>
    <row r="2789" ht="14.4" customHeight="1" s="152"/>
    <row r="2790" ht="14.4" customHeight="1" s="152"/>
    <row r="2791" ht="14.4" customHeight="1" s="152"/>
    <row r="2792" ht="14.4" customHeight="1" s="152"/>
    <row r="2793" ht="14.4" customHeight="1" s="152"/>
    <row r="2794" ht="14.4" customHeight="1" s="152"/>
    <row r="2795" ht="14.4" customHeight="1" s="152"/>
    <row r="2796" ht="14.4" customHeight="1" s="152"/>
    <row r="2797" ht="14.4" customHeight="1" s="152"/>
    <row r="2798" ht="14.4" customHeight="1" s="152"/>
    <row r="2799" ht="14.4" customHeight="1" s="152"/>
    <row r="2800" ht="14.4" customHeight="1" s="152"/>
    <row r="2801" ht="14.4" customHeight="1" s="152"/>
    <row r="2802" ht="14.4" customHeight="1" s="152"/>
    <row r="2803" ht="14.4" customHeight="1" s="152"/>
    <row r="2804" ht="14.4" customHeight="1" s="152"/>
    <row r="2805" ht="14.4" customHeight="1" s="152"/>
    <row r="2806" ht="14.4" customHeight="1" s="152"/>
    <row r="2807" ht="14.4" customHeight="1" s="152"/>
    <row r="2808" ht="14.4" customHeight="1" s="152"/>
    <row r="2809" ht="14.4" customHeight="1" s="152"/>
    <row r="2810" ht="14.4" customHeight="1" s="152"/>
    <row r="2811" ht="14.4" customHeight="1" s="152"/>
    <row r="2812" ht="14.4" customHeight="1" s="152"/>
    <row r="2813" ht="14.4" customHeight="1" s="152"/>
    <row r="2814" ht="14.4" customHeight="1" s="152"/>
    <row r="2815" ht="14.4" customHeight="1" s="152"/>
    <row r="2816" ht="14.4" customHeight="1" s="152"/>
    <row r="2817" ht="14.4" customHeight="1" s="152"/>
    <row r="2818" ht="14.4" customHeight="1" s="152"/>
    <row r="2819" ht="14.4" customHeight="1" s="152"/>
    <row r="2820" ht="14.4" customHeight="1" s="152"/>
    <row r="2821" ht="14.4" customHeight="1" s="152"/>
    <row r="2822" ht="14.4" customHeight="1" s="152"/>
    <row r="2823" ht="14.4" customHeight="1" s="152"/>
    <row r="2824" ht="14.4" customHeight="1" s="152"/>
    <row r="2825" ht="14.4" customHeight="1" s="152"/>
    <row r="2826" ht="14.4" customHeight="1" s="152"/>
    <row r="2827" ht="14.4" customHeight="1" s="152"/>
    <row r="2828" ht="14.4" customHeight="1" s="152"/>
    <row r="2829" ht="14.4" customHeight="1" s="152"/>
    <row r="2830" ht="14.4" customHeight="1" s="152"/>
    <row r="2831" ht="14.4" customHeight="1" s="152"/>
    <row r="2832" ht="14.4" customHeight="1" s="152"/>
    <row r="2833" ht="14.4" customHeight="1" s="152"/>
    <row r="2834" ht="14.4" customHeight="1" s="152"/>
    <row r="2835" ht="14.4" customHeight="1" s="152"/>
    <row r="2836" ht="14.4" customHeight="1" s="152"/>
    <row r="2837" ht="14.4" customHeight="1" s="152"/>
    <row r="2838" ht="14.4" customHeight="1" s="152"/>
    <row r="2839" ht="14.4" customHeight="1" s="152"/>
    <row r="2840" ht="14.4" customHeight="1" s="152"/>
    <row r="2841" ht="14.4" customHeight="1" s="152"/>
    <row r="2842" ht="14.4" customHeight="1" s="152"/>
    <row r="2843" ht="14.4" customHeight="1" s="152"/>
    <row r="2844" ht="14.4" customHeight="1" s="152"/>
    <row r="2845" ht="14.4" customHeight="1" s="152"/>
    <row r="2846" ht="14.4" customHeight="1" s="152"/>
    <row r="2847" ht="14.4" customHeight="1" s="152"/>
    <row r="2848" ht="14.4" customHeight="1" s="152"/>
    <row r="2849" ht="14.4" customHeight="1" s="152"/>
    <row r="2850" ht="14.4" customHeight="1" s="152"/>
    <row r="2851" ht="14.4" customHeight="1" s="152"/>
    <row r="2852" ht="14.4" customHeight="1" s="152"/>
    <row r="2853" ht="14.4" customHeight="1" s="152"/>
    <row r="2854" ht="14.4" customHeight="1" s="152"/>
    <row r="2855" ht="14.4" customHeight="1" s="152"/>
    <row r="2856" ht="14.4" customHeight="1" s="152"/>
    <row r="2857" ht="14.4" customHeight="1" s="152"/>
    <row r="2858" ht="14.4" customHeight="1" s="152"/>
    <row r="2859" ht="14.4" customHeight="1" s="152"/>
    <row r="2860" ht="14.4" customHeight="1" s="152"/>
    <row r="2861" ht="14.4" customHeight="1" s="152"/>
    <row r="2862" ht="14.4" customHeight="1" s="152"/>
    <row r="2863" ht="14.4" customHeight="1" s="152"/>
    <row r="2864" ht="14.4" customHeight="1" s="152"/>
    <row r="2865" ht="14.4" customHeight="1" s="152"/>
    <row r="2866" ht="14.4" customHeight="1" s="152"/>
    <row r="2867" ht="14.4" customHeight="1" s="152"/>
    <row r="2868" ht="14.4" customHeight="1" s="152"/>
    <row r="2869" ht="14.4" customHeight="1" s="152"/>
    <row r="2870" ht="14.4" customHeight="1" s="152"/>
    <row r="2871" ht="14.4" customHeight="1" s="152"/>
    <row r="2872" ht="14.4" customHeight="1" s="152"/>
    <row r="2873" ht="14.4" customHeight="1" s="152"/>
    <row r="2874" ht="14.4" customHeight="1" s="152"/>
    <row r="2875" ht="14.4" customHeight="1" s="152"/>
    <row r="2876" ht="14.4" customHeight="1" s="152"/>
    <row r="2877" ht="14.4" customHeight="1" s="152"/>
    <row r="2878" ht="14.4" customHeight="1" s="152"/>
    <row r="2879" ht="14.4" customHeight="1" s="152"/>
    <row r="2880" ht="14.4" customHeight="1" s="152"/>
    <row r="2881" ht="14.4" customHeight="1" s="152"/>
    <row r="2882" ht="14.4" customHeight="1" s="152"/>
    <row r="2883" ht="14.4" customHeight="1" s="152"/>
    <row r="2884" ht="14.4" customHeight="1" s="152"/>
    <row r="2885" ht="14.4" customHeight="1" s="152"/>
    <row r="2886" ht="14.4" customHeight="1" s="152"/>
    <row r="2887" ht="14.4" customHeight="1" s="152"/>
    <row r="2888" ht="14.4" customHeight="1" s="152"/>
    <row r="2889" ht="14.4" customHeight="1" s="152"/>
    <row r="2890" ht="14.4" customHeight="1" s="152"/>
    <row r="2891" ht="14.4" customHeight="1" s="152"/>
    <row r="2892" ht="14.4" customHeight="1" s="152"/>
    <row r="2893" ht="14.4" customHeight="1" s="152"/>
    <row r="2894" ht="14.4" customHeight="1" s="152"/>
    <row r="2895" ht="14.4" customHeight="1" s="152"/>
    <row r="2896" ht="14.4" customHeight="1" s="152"/>
    <row r="2897" ht="14.4" customHeight="1" s="152"/>
    <row r="2898" ht="14.4" customHeight="1" s="152"/>
    <row r="2899" ht="14.4" customHeight="1" s="152"/>
    <row r="2900" ht="14.4" customHeight="1" s="152"/>
    <row r="2901" ht="14.4" customHeight="1" s="152"/>
    <row r="2902" ht="14.4" customHeight="1" s="152"/>
    <row r="2903" ht="14.4" customHeight="1" s="152"/>
    <row r="2904" ht="14.4" customHeight="1" s="152"/>
    <row r="2905" ht="14.4" customHeight="1" s="152"/>
    <row r="2906" ht="14.4" customHeight="1" s="152"/>
    <row r="2907" ht="14.4" customHeight="1" s="152"/>
    <row r="2908" ht="14.4" customHeight="1" s="152"/>
    <row r="2909" ht="14.4" customHeight="1" s="152"/>
    <row r="2910" ht="14.4" customHeight="1" s="152"/>
    <row r="2911" ht="14.4" customHeight="1" s="152"/>
    <row r="2912" ht="14.4" customHeight="1" s="152"/>
    <row r="2913" ht="14.4" customHeight="1" s="152"/>
    <row r="2914" ht="14.4" customHeight="1" s="152"/>
    <row r="2915" ht="14.4" customHeight="1" s="152"/>
    <row r="2916" ht="14.4" customHeight="1" s="152"/>
    <row r="2917" ht="14.4" customHeight="1" s="152"/>
    <row r="2918" ht="14.4" customHeight="1" s="152"/>
    <row r="2919" ht="14.4" customHeight="1" s="152"/>
    <row r="2920" ht="14.4" customHeight="1" s="152"/>
    <row r="2921" ht="14.4" customHeight="1" s="152"/>
    <row r="2922" ht="14.4" customHeight="1" s="152"/>
    <row r="2923" ht="14.4" customHeight="1" s="152"/>
    <row r="2924" ht="14.4" customHeight="1" s="152"/>
    <row r="2925" ht="14.4" customHeight="1" s="152"/>
    <row r="2926" ht="14.4" customHeight="1" s="152"/>
    <row r="2927" ht="14.4" customHeight="1" s="152"/>
    <row r="2928" ht="14.4" customHeight="1" s="152"/>
    <row r="2929" ht="14.4" customHeight="1" s="152"/>
    <row r="2930" ht="14.4" customHeight="1" s="152"/>
    <row r="2931" ht="14.4" customHeight="1" s="152"/>
    <row r="2932" ht="14.4" customHeight="1" s="152"/>
    <row r="2933" ht="14.4" customHeight="1" s="152"/>
    <row r="2934" ht="14.4" customHeight="1" s="152"/>
    <row r="2935" ht="14.4" customHeight="1" s="152"/>
    <row r="2936" ht="14.4" customHeight="1" s="152"/>
    <row r="2937" ht="14.4" customHeight="1" s="152"/>
    <row r="2938" ht="14.4" customHeight="1" s="152"/>
    <row r="2939" ht="14.4" customHeight="1" s="152"/>
    <row r="2940" ht="14.4" customHeight="1" s="152"/>
    <row r="2941" ht="14.4" customHeight="1" s="152"/>
    <row r="2942" ht="14.4" customHeight="1" s="152"/>
    <row r="2943" ht="14.4" customHeight="1" s="152"/>
    <row r="2944" ht="14.4" customHeight="1" s="152"/>
    <row r="2945" ht="14.4" customHeight="1" s="152"/>
    <row r="2946" ht="14.4" customHeight="1" s="152"/>
    <row r="2947" ht="14.4" customHeight="1" s="152"/>
    <row r="2948" ht="14.4" customHeight="1" s="152"/>
    <row r="2949" ht="14.4" customHeight="1" s="152"/>
    <row r="2950" ht="14.4" customHeight="1" s="152"/>
    <row r="2951" ht="14.4" customHeight="1" s="152"/>
    <row r="2952" ht="14.4" customHeight="1" s="152"/>
    <row r="2953" ht="14.4" customHeight="1" s="152"/>
    <row r="2954" ht="14.4" customHeight="1" s="152"/>
    <row r="2955" ht="14.4" customHeight="1" s="152"/>
    <row r="2956" ht="14.4" customHeight="1" s="152"/>
    <row r="2957" ht="14.4" customHeight="1" s="152"/>
    <row r="2958" ht="14.4" customHeight="1" s="152"/>
    <row r="2959" ht="14.4" customHeight="1" s="152"/>
    <row r="2960" ht="14.4" customHeight="1" s="152"/>
    <row r="2961" ht="14.4" customHeight="1" s="152"/>
    <row r="2962" ht="14.4" customHeight="1" s="152"/>
    <row r="2963" ht="14.4" customHeight="1" s="152"/>
    <row r="2964" ht="14.4" customHeight="1" s="152"/>
    <row r="2965" ht="14.4" customHeight="1" s="152"/>
    <row r="2966" ht="14.4" customHeight="1" s="152"/>
    <row r="2967" ht="14.4" customHeight="1" s="152"/>
    <row r="2968" ht="14.4" customHeight="1" s="152"/>
    <row r="2969" ht="14.4" customHeight="1" s="152"/>
    <row r="2970" ht="14.4" customHeight="1" s="152"/>
    <row r="2971" ht="14.4" customHeight="1" s="152"/>
    <row r="2972" ht="14.4" customHeight="1" s="152"/>
    <row r="2973" ht="14.4" customHeight="1" s="152"/>
    <row r="2974" ht="14.4" customHeight="1" s="152"/>
    <row r="2975" ht="14.4" customHeight="1" s="152"/>
    <row r="2976" ht="14.4" customHeight="1" s="152"/>
    <row r="2977" ht="14.4" customHeight="1" s="152"/>
    <row r="2978" ht="14.4" customHeight="1" s="152"/>
    <row r="2979" ht="14.4" customHeight="1" s="152"/>
    <row r="2980" ht="14.4" customHeight="1" s="152"/>
    <row r="2981" ht="14.4" customHeight="1" s="152"/>
    <row r="2982" ht="14.4" customHeight="1" s="152"/>
    <row r="2983" ht="14.4" customHeight="1" s="152"/>
    <row r="2984" ht="14.4" customHeight="1" s="152"/>
    <row r="2985" ht="14.4" customHeight="1" s="152"/>
    <row r="2986" ht="14.4" customHeight="1" s="152"/>
    <row r="2987" ht="14.4" customHeight="1" s="152"/>
    <row r="2988" ht="14.4" customHeight="1" s="152"/>
    <row r="2989" ht="14.4" customHeight="1" s="152"/>
    <row r="2990" ht="14.4" customHeight="1" s="152"/>
    <row r="2991" ht="14.4" customHeight="1" s="152"/>
    <row r="2992" ht="14.4" customHeight="1" s="152"/>
    <row r="2993" ht="14.4" customHeight="1" s="152"/>
    <row r="2994" ht="14.4" customHeight="1" s="152"/>
    <row r="2995" ht="14.4" customHeight="1" s="152"/>
    <row r="2996" ht="14.4" customHeight="1" s="152"/>
    <row r="2997" ht="14.4" customHeight="1" s="152"/>
    <row r="2998" ht="14.4" customHeight="1" s="152"/>
    <row r="2999" ht="14.4" customHeight="1" s="152"/>
    <row r="3000" ht="14.4" customHeight="1" s="152"/>
    <row r="3001" ht="14.4" customHeight="1" s="152"/>
    <row r="3002" ht="14.4" customHeight="1" s="152"/>
    <row r="3003" ht="14.4" customHeight="1" s="152"/>
    <row r="3004" ht="14.4" customHeight="1" s="152"/>
    <row r="3005" ht="14.4" customHeight="1" s="152"/>
    <row r="3006" ht="14.4" customHeight="1" s="152"/>
    <row r="3007" ht="14.4" customHeight="1" s="152"/>
    <row r="3008" ht="14.4" customHeight="1" s="152"/>
    <row r="3009" ht="14.4" customHeight="1" s="152"/>
    <row r="3010" ht="14.4" customHeight="1" s="152"/>
    <row r="3011" ht="14.4" customHeight="1" s="152"/>
    <row r="3012" ht="14.4" customHeight="1" s="152"/>
    <row r="3013" ht="14.4" customHeight="1" s="152"/>
    <row r="3014" ht="14.4" customHeight="1" s="152"/>
    <row r="3015" ht="14.4" customHeight="1" s="152"/>
    <row r="3016" ht="14.4" customHeight="1" s="152"/>
    <row r="3017" ht="14.4" customHeight="1" s="152"/>
    <row r="3018" ht="14.4" customHeight="1" s="152"/>
    <row r="3019" ht="14.4" customHeight="1" s="152"/>
    <row r="3020" ht="14.4" customHeight="1" s="152"/>
    <row r="3021" ht="14.4" customHeight="1" s="152"/>
    <row r="3022" ht="14.4" customHeight="1" s="152"/>
    <row r="3023" ht="14.4" customHeight="1" s="152"/>
    <row r="3024" ht="14.4" customHeight="1" s="152"/>
    <row r="3025" ht="14.4" customHeight="1" s="152"/>
    <row r="3026" ht="14.4" customHeight="1" s="152"/>
    <row r="3027" ht="14.4" customHeight="1" s="152"/>
    <row r="3028" ht="14.4" customHeight="1" s="152"/>
    <row r="3029" ht="14.4" customHeight="1" s="152"/>
    <row r="3030" ht="14.4" customHeight="1" s="152"/>
    <row r="3031" ht="14.4" customHeight="1" s="152"/>
    <row r="3032" ht="14.4" customHeight="1" s="152"/>
    <row r="3033" ht="14.4" customHeight="1" s="152"/>
    <row r="3034" ht="14.4" customHeight="1" s="152"/>
    <row r="3035" ht="14.4" customHeight="1" s="152"/>
    <row r="3036" ht="14.4" customHeight="1" s="152"/>
    <row r="3037" ht="14.4" customHeight="1" s="152"/>
    <row r="3038" ht="14.4" customHeight="1" s="152"/>
    <row r="3039" ht="14.4" customHeight="1" s="152"/>
    <row r="3040" ht="14.4" customHeight="1" s="152"/>
    <row r="3041" ht="14.4" customHeight="1" s="152"/>
    <row r="3042" ht="14.4" customHeight="1" s="152"/>
    <row r="3043" ht="14.4" customHeight="1" s="152"/>
    <row r="3044" ht="14.4" customHeight="1" s="152"/>
    <row r="3045" ht="14.4" customHeight="1" s="152"/>
    <row r="3046" ht="14.4" customHeight="1" s="152"/>
    <row r="3047" ht="14.4" customHeight="1" s="152"/>
    <row r="3048" ht="14.4" customHeight="1" s="152"/>
    <row r="3049" ht="14.4" customHeight="1" s="152"/>
    <row r="3050" ht="14.4" customHeight="1" s="152"/>
    <row r="3051" ht="14.4" customHeight="1" s="152"/>
    <row r="3052" ht="14.4" customHeight="1" s="152"/>
    <row r="3053" ht="14.4" customHeight="1" s="152"/>
    <row r="3054" ht="14.4" customHeight="1" s="152"/>
    <row r="3055" ht="14.4" customHeight="1" s="152"/>
    <row r="3056" ht="14.4" customHeight="1" s="152"/>
    <row r="3057" ht="14.4" customHeight="1" s="152"/>
    <row r="3058" ht="14.4" customHeight="1" s="152"/>
    <row r="3059" ht="14.4" customHeight="1" s="152"/>
    <row r="3060" ht="14.4" customHeight="1" s="152"/>
    <row r="3061" ht="14.4" customHeight="1" s="152"/>
    <row r="3062" ht="14.4" customHeight="1" s="152"/>
    <row r="3063" ht="14.4" customHeight="1" s="152"/>
    <row r="3064" ht="14.4" customHeight="1" s="152"/>
    <row r="3065" ht="14.4" customHeight="1" s="152"/>
    <row r="3066" ht="14.4" customHeight="1" s="152"/>
    <row r="3067" ht="14.4" customHeight="1" s="152"/>
    <row r="3068" ht="14.4" customHeight="1" s="152"/>
    <row r="3069" ht="14.4" customHeight="1" s="152"/>
    <row r="3070" ht="14.4" customHeight="1" s="152"/>
    <row r="3071" ht="14.4" customHeight="1" s="152"/>
    <row r="3072" ht="14.4" customHeight="1" s="152"/>
    <row r="3073" ht="14.4" customHeight="1" s="152"/>
    <row r="3074" ht="14.4" customHeight="1" s="152"/>
    <row r="3075" ht="14.4" customHeight="1" s="152"/>
    <row r="3076" ht="14.4" customHeight="1" s="152"/>
    <row r="3077" ht="14.4" customHeight="1" s="152"/>
    <row r="3078" ht="14.4" customHeight="1" s="152"/>
    <row r="3079" ht="14.4" customHeight="1" s="152"/>
    <row r="3080" ht="14.4" customHeight="1" s="152"/>
    <row r="3081" ht="14.4" customHeight="1" s="152"/>
    <row r="3082" ht="14.4" customHeight="1" s="152"/>
    <row r="3083" ht="14.4" customHeight="1" s="152"/>
    <row r="3084" ht="14.4" customHeight="1" s="152"/>
    <row r="3085" ht="14.4" customHeight="1" s="152"/>
    <row r="3086" ht="14.4" customHeight="1" s="152"/>
    <row r="3087" ht="14.4" customHeight="1" s="152"/>
    <row r="3088" ht="14.4" customHeight="1" s="152"/>
    <row r="3089" ht="14.4" customHeight="1" s="152"/>
    <row r="3090" ht="14.4" customHeight="1" s="152"/>
    <row r="3091" ht="14.4" customHeight="1" s="152"/>
    <row r="3092" ht="14.4" customHeight="1" s="152"/>
    <row r="3093" ht="14.4" customHeight="1" s="152"/>
    <row r="3094" ht="14.4" customHeight="1" s="152"/>
    <row r="3095" ht="14.4" customHeight="1" s="152"/>
    <row r="3096" ht="14.4" customHeight="1" s="152"/>
    <row r="3097" ht="14.4" customHeight="1" s="152"/>
    <row r="3098" ht="14.4" customHeight="1" s="152"/>
    <row r="3099" ht="14.4" customHeight="1" s="152"/>
    <row r="3100" ht="14.4" customHeight="1" s="152"/>
    <row r="3101" ht="14.4" customHeight="1" s="152"/>
    <row r="3102" ht="14.4" customHeight="1" s="152"/>
    <row r="3103" ht="14.4" customHeight="1" s="152"/>
    <row r="3104" ht="14.4" customHeight="1" s="152"/>
    <row r="3105" ht="14.4" customHeight="1" s="152"/>
    <row r="3106" ht="14.4" customHeight="1" s="152"/>
    <row r="3107" ht="14.4" customHeight="1" s="152"/>
    <row r="3108" ht="14.4" customHeight="1" s="152"/>
    <row r="3109" ht="14.4" customHeight="1" s="152"/>
    <row r="3110" ht="14.4" customHeight="1" s="152"/>
    <row r="3111" ht="14.4" customHeight="1" s="152"/>
    <row r="3112" ht="14.4" customHeight="1" s="152"/>
    <row r="3113" ht="14.4" customHeight="1" s="152"/>
    <row r="3114" ht="14.4" customHeight="1" s="152"/>
    <row r="3115" ht="14.4" customHeight="1" s="152"/>
    <row r="3116" ht="14.4" customHeight="1" s="152"/>
    <row r="3117" ht="14.4" customHeight="1" s="152"/>
    <row r="3118" ht="14.4" customHeight="1" s="152"/>
    <row r="3119" ht="14.4" customHeight="1" s="152"/>
    <row r="3120" ht="14.4" customHeight="1" s="152"/>
    <row r="3121" ht="14.4" customHeight="1" s="152"/>
    <row r="3122" ht="14.4" customHeight="1" s="152"/>
    <row r="3123" ht="14.4" customHeight="1" s="152"/>
    <row r="3124" ht="14.4" customHeight="1" s="152"/>
    <row r="3125" ht="14.4" customHeight="1" s="152"/>
    <row r="3126" ht="14.4" customHeight="1" s="152"/>
    <row r="3127" ht="14.4" customHeight="1" s="152"/>
    <row r="3128" ht="14.4" customHeight="1" s="152"/>
    <row r="3129" ht="14.4" customHeight="1" s="152"/>
    <row r="3130" ht="14.4" customHeight="1" s="152"/>
    <row r="3131" ht="14.4" customHeight="1" s="152"/>
    <row r="3132" ht="14.4" customHeight="1" s="152"/>
    <row r="3133" ht="14.4" customHeight="1" s="152"/>
    <row r="3134" ht="14.4" customHeight="1" s="152"/>
    <row r="3135" ht="14.4" customHeight="1" s="152"/>
    <row r="3136" ht="14.4" customHeight="1" s="152"/>
    <row r="3137" ht="14.4" customHeight="1" s="152"/>
    <row r="3138" ht="14.4" customHeight="1" s="152"/>
    <row r="3139" ht="14.4" customHeight="1" s="152"/>
    <row r="3140" ht="14.4" customHeight="1" s="152"/>
    <row r="3141" ht="14.4" customHeight="1" s="152"/>
    <row r="3142" ht="14.4" customHeight="1" s="152"/>
    <row r="3143" ht="14.4" customHeight="1" s="152"/>
    <row r="3144" ht="14.4" customHeight="1" s="152"/>
    <row r="3145" ht="14.4" customHeight="1" s="152"/>
    <row r="3146" ht="14.4" customHeight="1" s="152"/>
    <row r="3147" ht="14.4" customHeight="1" s="152"/>
    <row r="3148" ht="14.4" customHeight="1" s="152"/>
    <row r="3149" ht="14.4" customHeight="1" s="152"/>
    <row r="3150" ht="14.4" customHeight="1" s="152"/>
    <row r="3151" ht="14.4" customHeight="1" s="152"/>
    <row r="3152" ht="14.4" customHeight="1" s="152"/>
    <row r="3153" ht="14.4" customHeight="1" s="152"/>
    <row r="3154" ht="14.4" customHeight="1" s="152"/>
    <row r="3155" ht="14.4" customHeight="1" s="152"/>
    <row r="3156" ht="14.4" customHeight="1" s="152"/>
    <row r="3157" ht="14.4" customHeight="1" s="152"/>
    <row r="3158" ht="14.4" customHeight="1" s="152"/>
    <row r="3159" ht="14.4" customHeight="1" s="152"/>
    <row r="3160" ht="14.4" customHeight="1" s="152"/>
    <row r="3161" ht="14.4" customHeight="1" s="152"/>
    <row r="3162" ht="14.4" customHeight="1" s="152"/>
    <row r="3163" ht="14.4" customHeight="1" s="152"/>
    <row r="3164" ht="14.4" customHeight="1" s="152"/>
    <row r="3165" ht="14.4" customHeight="1" s="152"/>
    <row r="3166" ht="14.4" customHeight="1" s="152"/>
    <row r="3167" ht="14.4" customHeight="1" s="152"/>
    <row r="3168" ht="14.4" customHeight="1" s="152"/>
    <row r="3169" ht="14.4" customHeight="1" s="152"/>
    <row r="3170" ht="14.4" customHeight="1" s="152"/>
    <row r="3171" ht="14.4" customHeight="1" s="152"/>
    <row r="3172" ht="14.4" customHeight="1" s="152"/>
    <row r="3173" ht="14.4" customHeight="1" s="152"/>
    <row r="3174" ht="14.4" customHeight="1" s="152"/>
    <row r="3175" ht="14.4" customHeight="1" s="152"/>
    <row r="3176" ht="14.4" customHeight="1" s="152"/>
    <row r="3177" ht="14.4" customHeight="1" s="152"/>
    <row r="3178" ht="14.4" customHeight="1" s="152"/>
    <row r="3179" ht="14.4" customHeight="1" s="152"/>
    <row r="3180" ht="14.4" customHeight="1" s="152"/>
    <row r="3181" ht="14.4" customHeight="1" s="152"/>
    <row r="3182" ht="14.4" customHeight="1" s="152"/>
    <row r="3183" ht="14.4" customHeight="1" s="152"/>
    <row r="3184" ht="14.4" customHeight="1" s="152"/>
    <row r="3185" ht="14.4" customHeight="1" s="152"/>
    <row r="3186" ht="14.4" customHeight="1" s="152"/>
    <row r="3187" ht="14.4" customHeight="1" s="152"/>
    <row r="3188" ht="14.4" customHeight="1" s="152"/>
    <row r="3189" ht="14.4" customHeight="1" s="152"/>
    <row r="3190" ht="14.4" customHeight="1" s="152"/>
    <row r="3191" ht="14.4" customHeight="1" s="152"/>
    <row r="3192" ht="14.4" customHeight="1" s="152"/>
    <row r="3193" ht="14.4" customHeight="1" s="152"/>
    <row r="3194" ht="14.4" customHeight="1" s="152"/>
    <row r="3195" ht="14.4" customHeight="1" s="152"/>
    <row r="3196" ht="14.4" customHeight="1" s="152"/>
    <row r="3197" ht="14.4" customHeight="1" s="152"/>
    <row r="3198" ht="14.4" customHeight="1" s="152"/>
    <row r="3199" ht="14.4" customHeight="1" s="152"/>
    <row r="3200" ht="14.4" customHeight="1" s="152"/>
    <row r="3201" ht="14.4" customHeight="1" s="152"/>
    <row r="3202" ht="14.4" customHeight="1" s="152"/>
    <row r="3203" ht="14.4" customHeight="1" s="152"/>
    <row r="3204" ht="14.4" customHeight="1" s="152"/>
    <row r="3205" ht="14.4" customHeight="1" s="152"/>
    <row r="3206" ht="14.4" customHeight="1" s="152"/>
    <row r="3207" ht="14.4" customHeight="1" s="152"/>
    <row r="3208" ht="14.4" customHeight="1" s="152"/>
    <row r="3209" ht="14.4" customHeight="1" s="152"/>
    <row r="3210" ht="14.4" customHeight="1" s="152"/>
    <row r="3211" ht="14.4" customHeight="1" s="152"/>
    <row r="3212" ht="14.4" customHeight="1" s="152"/>
    <row r="3213" ht="14.4" customHeight="1" s="152"/>
    <row r="3214" ht="14.4" customHeight="1" s="152"/>
    <row r="3215" ht="14.4" customHeight="1" s="152"/>
    <row r="3216" ht="14.4" customHeight="1" s="152"/>
    <row r="3217" ht="14.4" customHeight="1" s="152"/>
    <row r="3218" ht="14.4" customHeight="1" s="152"/>
    <row r="3219" ht="14.4" customHeight="1" s="152"/>
    <row r="3220" ht="14.4" customHeight="1" s="152"/>
    <row r="3221" ht="14.4" customHeight="1" s="152"/>
    <row r="3222" ht="14.4" customHeight="1" s="152"/>
    <row r="3223" ht="14.4" customHeight="1" s="152"/>
    <row r="3224" ht="14.4" customHeight="1" s="152"/>
    <row r="3225" ht="14.4" customHeight="1" s="152"/>
    <row r="3226" ht="14.4" customHeight="1" s="152"/>
    <row r="3227" ht="14.4" customHeight="1" s="152"/>
    <row r="3228" ht="14.4" customHeight="1" s="152"/>
    <row r="3229" ht="14.4" customHeight="1" s="152"/>
    <row r="3230" ht="14.4" customHeight="1" s="152"/>
    <row r="3231" ht="14.4" customHeight="1" s="152"/>
    <row r="3232" ht="14.4" customHeight="1" s="152"/>
    <row r="3233" ht="14.4" customHeight="1" s="152"/>
    <row r="3234" ht="14.4" customHeight="1" s="152"/>
    <row r="3235" ht="14.4" customHeight="1" s="152"/>
    <row r="3236" ht="14.4" customHeight="1" s="152"/>
    <row r="3237" ht="14.4" customHeight="1" s="152"/>
    <row r="3238" ht="14.4" customHeight="1" s="152"/>
    <row r="3239" ht="14.4" customHeight="1" s="152"/>
    <row r="3240" ht="14.4" customHeight="1" s="152"/>
    <row r="3241" ht="14.4" customHeight="1" s="152"/>
    <row r="3242" ht="14.4" customHeight="1" s="152"/>
    <row r="3243" ht="14.4" customHeight="1" s="152"/>
    <row r="3244" ht="14.4" customHeight="1" s="152"/>
    <row r="3245" ht="14.4" customHeight="1" s="152"/>
    <row r="3246" ht="14.4" customHeight="1" s="152"/>
    <row r="3247" ht="14.4" customHeight="1" s="152"/>
    <row r="3248" ht="14.4" customHeight="1" s="152"/>
    <row r="3249" ht="14.4" customHeight="1" s="152"/>
    <row r="3250" ht="14.4" customHeight="1" s="152"/>
    <row r="3251" ht="14.4" customHeight="1" s="152"/>
    <row r="3252" ht="14.4" customHeight="1" s="152"/>
    <row r="3253" ht="14.4" customHeight="1" s="152"/>
    <row r="3254" ht="14.4" customHeight="1" s="152"/>
    <row r="3255" ht="14.4" customHeight="1" s="152"/>
    <row r="3256" ht="14.4" customHeight="1" s="152"/>
    <row r="3257" ht="14.4" customHeight="1" s="152"/>
    <row r="3258" ht="14.4" customHeight="1" s="152"/>
    <row r="3259" ht="14.4" customHeight="1" s="152"/>
    <row r="3260" ht="14.4" customHeight="1" s="152"/>
    <row r="3261" ht="14.4" customHeight="1" s="152"/>
    <row r="3262" ht="14.4" customHeight="1" s="152"/>
    <row r="3263" ht="14.4" customHeight="1" s="152"/>
    <row r="3264" ht="14.4" customHeight="1" s="152"/>
    <row r="3265" ht="14.4" customHeight="1" s="152"/>
    <row r="3266" ht="14.4" customHeight="1" s="152"/>
    <row r="3267" ht="14.4" customHeight="1" s="152"/>
    <row r="3268" ht="14.4" customHeight="1" s="152"/>
    <row r="3269" ht="14.4" customHeight="1" s="152"/>
    <row r="3270" ht="14.4" customHeight="1" s="152"/>
    <row r="3271" ht="14.4" customHeight="1" s="152"/>
    <row r="3272" ht="14.4" customHeight="1" s="152"/>
    <row r="3273" ht="14.4" customHeight="1" s="152"/>
    <row r="3274" ht="14.4" customHeight="1" s="152"/>
    <row r="3275" ht="14.4" customHeight="1" s="152"/>
    <row r="3276" ht="14.4" customHeight="1" s="152"/>
    <row r="3277" ht="14.4" customHeight="1" s="152"/>
    <row r="3278" ht="14.4" customHeight="1" s="152"/>
    <row r="3279" ht="14.4" customHeight="1" s="152"/>
    <row r="3280" ht="14.4" customHeight="1" s="152"/>
    <row r="3281" ht="14.4" customHeight="1" s="152"/>
    <row r="3282" ht="14.4" customHeight="1" s="152"/>
    <row r="3283" ht="14.4" customHeight="1" s="152"/>
    <row r="3284" ht="14.4" customHeight="1" s="152"/>
    <row r="3285" ht="14.4" customHeight="1" s="152"/>
    <row r="3286" ht="14.4" customHeight="1" s="152"/>
    <row r="3287" ht="14.4" customHeight="1" s="152"/>
    <row r="3288" ht="14.4" customHeight="1" s="152"/>
    <row r="3289" ht="14.4" customHeight="1" s="152"/>
    <row r="3290" ht="14.4" customHeight="1" s="152"/>
    <row r="3291" ht="14.4" customHeight="1" s="152"/>
    <row r="3292" ht="14.4" customHeight="1" s="152"/>
    <row r="3293" ht="14.4" customHeight="1" s="152"/>
    <row r="3294" ht="14.4" customHeight="1" s="152"/>
    <row r="3295" ht="14.4" customHeight="1" s="152"/>
    <row r="3296" ht="14.4" customHeight="1" s="152"/>
    <row r="3297" ht="14.4" customHeight="1" s="152"/>
    <row r="3298" ht="14.4" customHeight="1" s="152"/>
    <row r="3299" ht="14.4" customHeight="1" s="152"/>
    <row r="3300" ht="14.4" customHeight="1" s="152"/>
    <row r="3301" ht="14.4" customHeight="1" s="152"/>
    <row r="3302" ht="14.4" customHeight="1" s="152"/>
    <row r="3303" ht="14.4" customHeight="1" s="152"/>
    <row r="3304" ht="14.4" customHeight="1" s="152"/>
    <row r="3305" ht="14.4" customHeight="1" s="152"/>
    <row r="3306" ht="14.4" customHeight="1" s="152"/>
    <row r="3307" ht="14.4" customHeight="1" s="152"/>
    <row r="3308" ht="14.4" customHeight="1" s="152"/>
    <row r="3309" ht="14.4" customHeight="1" s="152"/>
    <row r="3310" ht="14.4" customHeight="1" s="152"/>
    <row r="3311" ht="14.4" customHeight="1" s="152"/>
    <row r="3312" ht="14.4" customHeight="1" s="152"/>
    <row r="3313" ht="14.4" customHeight="1" s="152"/>
    <row r="3314" ht="14.4" customHeight="1" s="152"/>
    <row r="3315" ht="14.4" customHeight="1" s="152"/>
    <row r="3316" ht="14.4" customHeight="1" s="152"/>
    <row r="3317" ht="14.4" customHeight="1" s="152"/>
    <row r="3318" ht="14.4" customHeight="1" s="152"/>
    <row r="3319" ht="14.4" customHeight="1" s="152"/>
    <row r="3320" ht="14.4" customHeight="1" s="152"/>
    <row r="3321" ht="14.4" customHeight="1" s="152"/>
    <row r="3322" ht="14.4" customHeight="1" s="152"/>
    <row r="3323" ht="14.4" customHeight="1" s="152"/>
    <row r="3324" ht="14.4" customHeight="1" s="152"/>
    <row r="3325" ht="14.4" customHeight="1" s="152"/>
    <row r="3326" ht="14.4" customHeight="1" s="152"/>
    <row r="3327" ht="14.4" customHeight="1" s="152"/>
    <row r="3328" ht="14.4" customHeight="1" s="152"/>
    <row r="3329" ht="14.4" customHeight="1" s="152"/>
    <row r="3330" ht="14.4" customHeight="1" s="152"/>
    <row r="3331" ht="14.4" customHeight="1" s="152"/>
    <row r="3332" ht="14.4" customHeight="1" s="152"/>
    <row r="3333" ht="14.4" customHeight="1" s="152"/>
    <row r="3334" ht="14.4" customHeight="1" s="152"/>
    <row r="3335" ht="14.4" customHeight="1" s="152"/>
    <row r="3336" ht="14.4" customHeight="1" s="152"/>
    <row r="3337" ht="14.4" customHeight="1" s="152"/>
    <row r="3338" ht="14.4" customHeight="1" s="152"/>
    <row r="3339" ht="14.4" customHeight="1" s="152"/>
    <row r="3340" ht="14.4" customHeight="1" s="152"/>
    <row r="3341" ht="14.4" customHeight="1" s="152"/>
    <row r="3342" ht="14.4" customHeight="1" s="152"/>
    <row r="3343" ht="14.4" customHeight="1" s="152"/>
    <row r="3344" ht="14.4" customHeight="1" s="152"/>
    <row r="3345" ht="14.4" customHeight="1" s="152"/>
    <row r="3346" ht="14.4" customHeight="1" s="152"/>
    <row r="3347" ht="14.4" customHeight="1" s="152"/>
    <row r="3348" ht="14.4" customHeight="1" s="152"/>
    <row r="3349" ht="14.4" customHeight="1" s="152"/>
    <row r="3350" ht="14.4" customHeight="1" s="152"/>
    <row r="3351" ht="14.4" customHeight="1" s="152"/>
    <row r="3352" ht="14.4" customHeight="1" s="152"/>
    <row r="3353" ht="14.4" customHeight="1" s="152"/>
    <row r="3354" ht="14.4" customHeight="1" s="152"/>
    <row r="3355" ht="14.4" customHeight="1" s="152"/>
    <row r="3356" ht="14.4" customHeight="1" s="152"/>
    <row r="3357" ht="14.4" customHeight="1" s="152"/>
    <row r="3358" ht="14.4" customHeight="1" s="152"/>
    <row r="3359" ht="14.4" customHeight="1" s="152"/>
    <row r="3360" ht="14.4" customHeight="1" s="152"/>
    <row r="3361" ht="14.4" customHeight="1" s="152"/>
    <row r="3362" ht="14.4" customHeight="1" s="152"/>
    <row r="3363" ht="14.4" customHeight="1" s="152"/>
    <row r="3364" ht="14.4" customHeight="1" s="152"/>
    <row r="3365" ht="14.4" customHeight="1" s="152"/>
    <row r="3366" ht="14.4" customHeight="1" s="152"/>
    <row r="3367" ht="14.4" customHeight="1" s="152"/>
    <row r="3368" ht="14.4" customHeight="1" s="152"/>
    <row r="3369" ht="14.4" customHeight="1" s="152"/>
    <row r="3370" ht="14.4" customHeight="1" s="152"/>
    <row r="3371" ht="14.4" customHeight="1" s="152"/>
    <row r="3372" ht="14.4" customHeight="1" s="152"/>
    <row r="3373" ht="14.4" customHeight="1" s="152"/>
    <row r="3374" ht="14.4" customHeight="1" s="152"/>
    <row r="3375" ht="14.4" customHeight="1" s="152"/>
    <row r="3376" ht="14.4" customHeight="1" s="152"/>
    <row r="3377" ht="14.4" customHeight="1" s="152"/>
    <row r="3378" ht="14.4" customHeight="1" s="152"/>
    <row r="3379" ht="14.4" customHeight="1" s="152"/>
    <row r="3380" ht="14.4" customHeight="1" s="152"/>
    <row r="3381" ht="14.4" customHeight="1" s="152"/>
    <row r="3382" ht="14.4" customHeight="1" s="152"/>
    <row r="3383" ht="14.4" customHeight="1" s="152"/>
    <row r="3384" ht="14.4" customHeight="1" s="152"/>
    <row r="3385" ht="14.4" customHeight="1" s="152"/>
    <row r="3386" ht="14.4" customHeight="1" s="152"/>
    <row r="3387" ht="14.4" customHeight="1" s="152"/>
    <row r="3388" ht="14.4" customHeight="1" s="152"/>
    <row r="3389" ht="14.4" customHeight="1" s="152"/>
    <row r="3390" ht="14.4" customHeight="1" s="152"/>
    <row r="3391" ht="14.4" customHeight="1" s="152"/>
    <row r="3392" ht="14.4" customHeight="1" s="152"/>
    <row r="3393" ht="14.4" customHeight="1" s="152"/>
    <row r="3394" ht="14.4" customHeight="1" s="152"/>
    <row r="3395" ht="14.4" customHeight="1" s="152"/>
    <row r="3396" ht="14.4" customHeight="1" s="152"/>
    <row r="3397" ht="14.4" customHeight="1" s="152"/>
    <row r="3398" ht="14.4" customHeight="1" s="152"/>
    <row r="3399" ht="14.4" customHeight="1" s="152"/>
    <row r="3400" ht="14.4" customHeight="1" s="152"/>
    <row r="3401" ht="14.4" customHeight="1" s="152"/>
    <row r="3402" ht="14.4" customHeight="1" s="152"/>
    <row r="3403" ht="14.4" customHeight="1" s="152"/>
    <row r="3404" ht="14.4" customHeight="1" s="152"/>
    <row r="3405" ht="14.4" customHeight="1" s="152"/>
    <row r="3406" ht="14.4" customHeight="1" s="152"/>
    <row r="3407" ht="14.4" customHeight="1" s="152"/>
    <row r="3408" ht="14.4" customHeight="1" s="152"/>
    <row r="3409" ht="14.4" customHeight="1" s="152"/>
    <row r="3410" ht="14.4" customHeight="1" s="152"/>
    <row r="3411" ht="14.4" customHeight="1" s="152"/>
    <row r="3412" ht="14.4" customHeight="1" s="152"/>
    <row r="3413" ht="14.4" customHeight="1" s="152"/>
    <row r="3414" ht="14.4" customHeight="1" s="152"/>
    <row r="3415" ht="14.4" customHeight="1" s="152"/>
    <row r="3416" ht="14.4" customHeight="1" s="152"/>
    <row r="3417" ht="14.4" customHeight="1" s="152"/>
    <row r="3418" ht="14.4" customHeight="1" s="152"/>
    <row r="3419" ht="14.4" customHeight="1" s="152"/>
    <row r="3420" ht="14.4" customHeight="1" s="152"/>
    <row r="3421" ht="14.4" customHeight="1" s="152"/>
    <row r="3422" ht="14.4" customHeight="1" s="152"/>
    <row r="3423" ht="14.4" customHeight="1" s="152"/>
    <row r="3424" ht="14.4" customHeight="1" s="152"/>
    <row r="3425" ht="14.4" customHeight="1" s="152"/>
    <row r="3426" ht="14.4" customHeight="1" s="152"/>
    <row r="3427" ht="14.4" customHeight="1" s="152"/>
    <row r="3428" ht="14.4" customHeight="1" s="152"/>
    <row r="3429" ht="14.4" customHeight="1" s="152"/>
    <row r="3430" ht="14.4" customHeight="1" s="152"/>
    <row r="3431" ht="14.4" customHeight="1" s="152"/>
    <row r="3432" ht="14.4" customHeight="1" s="152"/>
    <row r="3433" ht="14.4" customHeight="1" s="152"/>
    <row r="3434" ht="14.4" customHeight="1" s="152"/>
    <row r="3435" ht="14.4" customHeight="1" s="152"/>
    <row r="3436" ht="14.4" customHeight="1" s="152"/>
    <row r="3437" ht="14.4" customHeight="1" s="152"/>
    <row r="3438" ht="14.4" customHeight="1" s="152"/>
    <row r="3439" ht="14.4" customHeight="1" s="152"/>
    <row r="3440" ht="14.4" customHeight="1" s="152"/>
    <row r="3441" ht="14.4" customHeight="1" s="152"/>
    <row r="3442" ht="14.4" customHeight="1" s="152"/>
    <row r="3443" ht="14.4" customHeight="1" s="152"/>
    <row r="3444" ht="14.4" customHeight="1" s="152"/>
    <row r="3445" ht="14.4" customHeight="1" s="152"/>
    <row r="3446" ht="14.4" customHeight="1" s="152"/>
    <row r="3447" ht="14.4" customHeight="1" s="152"/>
    <row r="3448" ht="14.4" customHeight="1" s="152"/>
    <row r="3449" ht="14.4" customHeight="1" s="152"/>
    <row r="3450" ht="14.4" customHeight="1" s="152"/>
    <row r="3451" ht="14.4" customHeight="1" s="152"/>
    <row r="3452" ht="14.4" customHeight="1" s="152"/>
    <row r="3453" ht="14.4" customHeight="1" s="152"/>
    <row r="3454" ht="14.4" customHeight="1" s="152"/>
    <row r="3455" ht="14.4" customHeight="1" s="152"/>
    <row r="3456" ht="14.4" customHeight="1" s="152"/>
    <row r="3457" ht="14.4" customHeight="1" s="152"/>
    <row r="3458" ht="14.4" customHeight="1" s="152"/>
    <row r="3459" ht="14.4" customHeight="1" s="152"/>
    <row r="3460" ht="14.4" customHeight="1" s="152"/>
    <row r="3461" ht="14.4" customHeight="1" s="152"/>
    <row r="3462" ht="14.4" customHeight="1" s="152"/>
    <row r="3463" ht="14.4" customHeight="1" s="152"/>
    <row r="3464" ht="14.4" customHeight="1" s="152"/>
    <row r="3465" ht="14.4" customHeight="1" s="152"/>
    <row r="3466" ht="14.4" customHeight="1" s="152"/>
    <row r="3467" ht="14.4" customHeight="1" s="152"/>
    <row r="3468" ht="14.4" customHeight="1" s="152"/>
    <row r="3469" ht="14.4" customHeight="1" s="152"/>
    <row r="3470" ht="14.4" customHeight="1" s="152"/>
    <row r="3471" ht="14.4" customHeight="1" s="152"/>
    <row r="3472" ht="14.4" customHeight="1" s="152"/>
    <row r="3473" ht="14.4" customHeight="1" s="152"/>
    <row r="3474" ht="14.4" customHeight="1" s="152"/>
    <row r="3475" ht="14.4" customHeight="1" s="152"/>
    <row r="3476" ht="14.4" customHeight="1" s="152"/>
    <row r="3477" ht="14.4" customHeight="1" s="152"/>
    <row r="3478" ht="14.4" customHeight="1" s="152"/>
    <row r="3479" ht="14.4" customHeight="1" s="152"/>
    <row r="3480" ht="14.4" customHeight="1" s="152"/>
    <row r="3481" ht="14.4" customHeight="1" s="152"/>
    <row r="3482" ht="14.4" customHeight="1" s="152"/>
    <row r="3483" ht="14.4" customHeight="1" s="152"/>
    <row r="3484" ht="14.4" customHeight="1" s="152"/>
    <row r="3485" ht="14.4" customHeight="1" s="152"/>
    <row r="3486" ht="14.4" customHeight="1" s="152"/>
    <row r="3487" ht="14.4" customHeight="1" s="152"/>
    <row r="3488" ht="14.4" customHeight="1" s="152"/>
    <row r="3489" ht="14.4" customHeight="1" s="152"/>
    <row r="3490" ht="14.4" customHeight="1" s="152"/>
    <row r="3491" ht="14.4" customHeight="1" s="152"/>
    <row r="3492" ht="14.4" customHeight="1" s="152"/>
    <row r="3493" ht="14.4" customHeight="1" s="152"/>
    <row r="3494" ht="14.4" customHeight="1" s="152"/>
    <row r="3495" ht="14.4" customHeight="1" s="152"/>
    <row r="3496" ht="14.4" customHeight="1" s="152"/>
    <row r="3497" ht="14.4" customHeight="1" s="152"/>
    <row r="3498" ht="14.4" customHeight="1" s="152"/>
    <row r="3499" ht="14.4" customHeight="1" s="152"/>
    <row r="3500" ht="14.4" customHeight="1" s="152"/>
    <row r="3501" ht="14.4" customHeight="1" s="152"/>
    <row r="3502" ht="14.4" customHeight="1" s="152"/>
    <row r="3503" ht="14.4" customHeight="1" s="152"/>
    <row r="3504" ht="14.4" customHeight="1" s="152"/>
    <row r="3505" ht="14.4" customHeight="1" s="152"/>
    <row r="3506" ht="14.4" customHeight="1" s="152"/>
    <row r="3507" ht="14.4" customHeight="1" s="152"/>
    <row r="3508" ht="14.4" customHeight="1" s="152"/>
    <row r="3509" ht="14.4" customHeight="1" s="152"/>
    <row r="3510" ht="14.4" customHeight="1" s="152"/>
    <row r="3511" ht="14.4" customHeight="1" s="152"/>
    <row r="3512" ht="14.4" customHeight="1" s="152"/>
    <row r="3513" ht="14.4" customHeight="1" s="152"/>
    <row r="3514" ht="14.4" customHeight="1" s="152"/>
    <row r="3515" ht="14.4" customHeight="1" s="152"/>
    <row r="3516" ht="14.4" customHeight="1" s="152"/>
    <row r="3517" ht="14.4" customHeight="1" s="152"/>
    <row r="3518" ht="14.4" customHeight="1" s="152"/>
    <row r="3519" ht="14.4" customHeight="1" s="152"/>
    <row r="3520" ht="14.4" customHeight="1" s="152"/>
    <row r="3521" ht="14.4" customHeight="1" s="152"/>
    <row r="3522" ht="14.4" customHeight="1" s="152"/>
    <row r="3523" ht="14.4" customHeight="1" s="152"/>
    <row r="3524" ht="14.4" customHeight="1" s="152"/>
    <row r="3525" ht="14.4" customHeight="1" s="152"/>
    <row r="3526" ht="14.4" customHeight="1" s="152"/>
    <row r="3527" ht="14.4" customHeight="1" s="152"/>
    <row r="3528" ht="14.4" customHeight="1" s="152"/>
    <row r="3529" ht="14.4" customHeight="1" s="152"/>
    <row r="3530" ht="14.4" customHeight="1" s="152"/>
    <row r="3531" ht="14.4" customHeight="1" s="152"/>
    <row r="3532" ht="14.4" customHeight="1" s="152"/>
    <row r="3533" ht="14.4" customHeight="1" s="152"/>
    <row r="3534" ht="14.4" customHeight="1" s="152"/>
    <row r="3535" ht="14.4" customHeight="1" s="152"/>
    <row r="3536" ht="14.4" customHeight="1" s="152"/>
    <row r="3537" ht="14.4" customHeight="1" s="152"/>
    <row r="3538" ht="14.4" customHeight="1" s="152"/>
    <row r="3539" ht="14.4" customHeight="1" s="152"/>
    <row r="3540" ht="14.4" customHeight="1" s="152"/>
    <row r="3541" ht="14.4" customHeight="1" s="152"/>
    <row r="3542" ht="14.4" customHeight="1" s="152"/>
    <row r="3543" ht="14.4" customHeight="1" s="152"/>
    <row r="3544" ht="14.4" customHeight="1" s="152"/>
    <row r="3545" ht="14.4" customHeight="1" s="152"/>
    <row r="3546" ht="14.4" customHeight="1" s="152"/>
    <row r="3547" ht="14.4" customHeight="1" s="152"/>
    <row r="3548" ht="14.4" customHeight="1" s="152"/>
    <row r="3549" ht="14.4" customHeight="1" s="152"/>
    <row r="3550" ht="14.4" customHeight="1" s="152"/>
    <row r="3551" ht="14.4" customHeight="1" s="152"/>
    <row r="3552" ht="14.4" customHeight="1" s="152"/>
    <row r="3553" ht="14.4" customHeight="1" s="152"/>
    <row r="3554" ht="14.4" customHeight="1" s="152"/>
    <row r="3555" ht="14.4" customHeight="1" s="152"/>
    <row r="3556" ht="14.4" customHeight="1" s="152"/>
    <row r="3557" ht="14.4" customHeight="1" s="152"/>
    <row r="3558" ht="14.4" customHeight="1" s="152"/>
    <row r="3559" ht="14.4" customHeight="1" s="152"/>
    <row r="3560" ht="14.4" customHeight="1" s="152"/>
    <row r="3561" ht="14.4" customHeight="1" s="152"/>
    <row r="3562" ht="14.4" customHeight="1" s="152"/>
    <row r="3563" ht="14.4" customHeight="1" s="152"/>
    <row r="3564" ht="14.4" customHeight="1" s="152"/>
    <row r="3565" ht="14.4" customHeight="1" s="152"/>
    <row r="3566" ht="14.4" customHeight="1" s="152"/>
    <row r="3567" ht="14.4" customHeight="1" s="152"/>
    <row r="3568" ht="14.4" customHeight="1" s="152"/>
    <row r="3569" ht="14.4" customHeight="1" s="152"/>
    <row r="3570" ht="14.4" customHeight="1" s="152"/>
    <row r="3571" ht="14.4" customHeight="1" s="152"/>
    <row r="3572" ht="14.4" customHeight="1" s="152"/>
    <row r="3573" ht="14.4" customHeight="1" s="152"/>
    <row r="3574" ht="14.4" customHeight="1" s="152"/>
    <row r="3575" ht="14.4" customHeight="1" s="152"/>
    <row r="3576" ht="14.4" customHeight="1" s="152"/>
    <row r="3577" ht="14.4" customHeight="1" s="152"/>
    <row r="3578" ht="14.4" customHeight="1" s="152"/>
    <row r="3579" ht="14.4" customHeight="1" s="152"/>
    <row r="3580" ht="14.4" customHeight="1" s="152"/>
    <row r="3581" ht="14.4" customHeight="1" s="152"/>
    <row r="3582" ht="14.4" customHeight="1" s="152"/>
    <row r="3583" ht="14.4" customHeight="1" s="152"/>
    <row r="3584" ht="14.4" customHeight="1" s="152"/>
    <row r="3585" ht="14.4" customHeight="1" s="152"/>
    <row r="3586" ht="14.4" customHeight="1" s="152"/>
    <row r="3587" ht="14.4" customHeight="1" s="152"/>
    <row r="3588" ht="14.4" customHeight="1" s="152"/>
    <row r="3589" ht="14.4" customHeight="1" s="152"/>
    <row r="3590" ht="14.4" customHeight="1" s="152"/>
    <row r="3591" ht="14.4" customHeight="1" s="152"/>
    <row r="3592" ht="14.4" customHeight="1" s="152"/>
    <row r="3593" ht="14.4" customHeight="1" s="152"/>
    <row r="3594" ht="14.4" customHeight="1" s="152"/>
    <row r="3595" ht="14.4" customHeight="1" s="152"/>
    <row r="3596" ht="14.4" customHeight="1" s="152"/>
    <row r="3597" ht="14.4" customHeight="1" s="152"/>
    <row r="3598" ht="14.4" customHeight="1" s="152"/>
    <row r="3599" ht="14.4" customHeight="1" s="152"/>
    <row r="3600" ht="14.4" customHeight="1" s="152"/>
    <row r="3601" ht="14.4" customHeight="1" s="152"/>
    <row r="3602" ht="14.4" customHeight="1" s="152"/>
    <row r="3603" ht="14.4" customHeight="1" s="152"/>
    <row r="3604" ht="14.4" customHeight="1" s="152"/>
    <row r="3605" ht="14.4" customHeight="1" s="152"/>
    <row r="3606" ht="14.4" customHeight="1" s="152"/>
    <row r="3607" ht="14.4" customHeight="1" s="152"/>
    <row r="3608" ht="14.4" customHeight="1" s="152"/>
    <row r="3609" ht="14.4" customHeight="1" s="152"/>
    <row r="3610" ht="14.4" customHeight="1" s="152"/>
    <row r="3611" ht="14.4" customHeight="1" s="152"/>
    <row r="3612" ht="14.4" customHeight="1" s="152"/>
    <row r="3613" ht="14.4" customHeight="1" s="152"/>
    <row r="3614" ht="14.4" customHeight="1" s="152"/>
    <row r="3615" ht="14.4" customHeight="1" s="152"/>
    <row r="3616" ht="14.4" customHeight="1" s="152"/>
    <row r="3617" ht="14.4" customHeight="1" s="152"/>
    <row r="3618" ht="14.4" customHeight="1" s="152"/>
    <row r="3619" ht="14.4" customHeight="1" s="152"/>
    <row r="3620" ht="14.4" customHeight="1" s="152"/>
    <row r="3621" ht="14.4" customHeight="1" s="152"/>
    <row r="3622" ht="14.4" customHeight="1" s="152"/>
    <row r="3623" ht="14.4" customHeight="1" s="152"/>
    <row r="3624" ht="14.4" customHeight="1" s="152"/>
    <row r="3625" ht="14.4" customHeight="1" s="152"/>
    <row r="3626" ht="14.4" customHeight="1" s="152"/>
    <row r="3627" ht="14.4" customHeight="1" s="152"/>
    <row r="3628" ht="14.4" customHeight="1" s="152"/>
    <row r="3629" ht="14.4" customHeight="1" s="152"/>
    <row r="3630" ht="14.4" customHeight="1" s="152"/>
    <row r="3631" ht="14.4" customHeight="1" s="152"/>
    <row r="3632" ht="14.4" customHeight="1" s="152"/>
    <row r="3633" ht="14.4" customHeight="1" s="152"/>
    <row r="3634" ht="14.4" customHeight="1" s="152"/>
    <row r="3635" ht="14.4" customHeight="1" s="152"/>
    <row r="3636" ht="14.4" customHeight="1" s="152"/>
    <row r="3637" ht="14.4" customHeight="1" s="152"/>
    <row r="3638" ht="14.4" customHeight="1" s="152"/>
    <row r="3639" ht="14.4" customHeight="1" s="152"/>
    <row r="3640" ht="14.4" customHeight="1" s="152"/>
    <row r="3641" ht="14.4" customHeight="1" s="152"/>
    <row r="3642" ht="14.4" customHeight="1" s="152"/>
    <row r="3643" ht="14.4" customHeight="1" s="152"/>
    <row r="3644" ht="14.4" customHeight="1" s="152"/>
    <row r="3645" ht="14.4" customHeight="1" s="152"/>
    <row r="3646" ht="14.4" customHeight="1" s="152"/>
    <row r="3647" ht="14.4" customHeight="1" s="152"/>
    <row r="3648" ht="14.4" customHeight="1" s="152"/>
    <row r="3649" ht="14.4" customHeight="1" s="152"/>
    <row r="3650" ht="14.4" customHeight="1" s="152"/>
    <row r="3651" ht="14.4" customHeight="1" s="152"/>
    <row r="3652" ht="14.4" customHeight="1" s="152"/>
    <row r="3653" ht="14.4" customHeight="1" s="152"/>
    <row r="3654" ht="14.4" customHeight="1" s="152"/>
    <row r="3655" ht="14.4" customHeight="1" s="152"/>
    <row r="3656" ht="14.4" customHeight="1" s="152"/>
    <row r="3657" ht="14.4" customHeight="1" s="152"/>
    <row r="3658" ht="14.4" customHeight="1" s="152"/>
    <row r="3659" ht="14.4" customHeight="1" s="152"/>
    <row r="3660" ht="14.4" customHeight="1" s="152"/>
    <row r="3661" ht="14.4" customHeight="1" s="152"/>
    <row r="3662" ht="14.4" customHeight="1" s="152"/>
    <row r="3663" ht="14.4" customHeight="1" s="152"/>
    <row r="3664" ht="14.4" customHeight="1" s="152"/>
    <row r="3665" ht="14.4" customHeight="1" s="152"/>
    <row r="3666" ht="14.4" customHeight="1" s="152"/>
    <row r="3667" ht="14.4" customHeight="1" s="152"/>
    <row r="3668" ht="14.4" customHeight="1" s="152"/>
    <row r="3669" ht="14.4" customHeight="1" s="152"/>
    <row r="3670" ht="14.4" customHeight="1" s="152"/>
    <row r="3671" ht="14.4" customHeight="1" s="152"/>
    <row r="3672" ht="14.4" customHeight="1" s="152"/>
    <row r="3673" ht="14.4" customHeight="1" s="152"/>
    <row r="3674" ht="14.4" customHeight="1" s="152"/>
    <row r="3675" ht="14.4" customHeight="1" s="152"/>
    <row r="3676" ht="14.4" customHeight="1" s="152"/>
    <row r="3677" ht="14.4" customHeight="1" s="152"/>
    <row r="3678" ht="14.4" customHeight="1" s="152"/>
    <row r="3679" ht="14.4" customHeight="1" s="152"/>
    <row r="3680" ht="14.4" customHeight="1" s="152"/>
    <row r="3681" ht="14.4" customHeight="1" s="152"/>
    <row r="3682" ht="14.4" customHeight="1" s="152"/>
    <row r="3683" ht="14.4" customHeight="1" s="152"/>
    <row r="3684" ht="14.4" customHeight="1" s="152"/>
    <row r="3685" ht="14.4" customHeight="1" s="152"/>
    <row r="3686" ht="14.4" customHeight="1" s="152"/>
    <row r="3687" ht="14.4" customHeight="1" s="152"/>
    <row r="3688" ht="14.4" customHeight="1" s="152"/>
    <row r="3689" ht="14.4" customHeight="1" s="152"/>
    <row r="3690" ht="14.4" customHeight="1" s="152"/>
    <row r="3691" ht="14.4" customHeight="1" s="152"/>
    <row r="3692" ht="14.4" customHeight="1" s="152"/>
    <row r="3693" ht="14.4" customHeight="1" s="152"/>
    <row r="3694" ht="14.4" customHeight="1" s="152"/>
    <row r="3695" ht="14.4" customHeight="1" s="152"/>
    <row r="3696" ht="14.4" customHeight="1" s="152"/>
    <row r="3697" ht="14.4" customHeight="1" s="152"/>
    <row r="3698" ht="14.4" customHeight="1" s="152"/>
    <row r="3699" ht="14.4" customHeight="1" s="152"/>
    <row r="3700" ht="14.4" customHeight="1" s="152"/>
    <row r="3701" ht="14.4" customHeight="1" s="152"/>
    <row r="3702" ht="14.4" customHeight="1" s="152"/>
    <row r="3703" ht="14.4" customHeight="1" s="152"/>
    <row r="3704" ht="14.4" customHeight="1" s="152"/>
    <row r="3705" ht="14.4" customHeight="1" s="152"/>
    <row r="3706" ht="14.4" customHeight="1" s="152"/>
    <row r="3707" ht="14.4" customHeight="1" s="152"/>
    <row r="3708" ht="14.4" customHeight="1" s="152"/>
    <row r="3709" ht="14.4" customHeight="1" s="152"/>
    <row r="3710" ht="14.4" customHeight="1" s="152"/>
    <row r="3711" ht="14.4" customHeight="1" s="152"/>
    <row r="3712" ht="14.4" customHeight="1" s="152"/>
    <row r="3713" ht="14.4" customHeight="1" s="152"/>
    <row r="3714" ht="14.4" customHeight="1" s="152"/>
    <row r="3715" ht="14.4" customHeight="1" s="152"/>
    <row r="3716" ht="14.4" customHeight="1" s="152"/>
    <row r="3717" ht="14.4" customHeight="1" s="152"/>
    <row r="3718" ht="14.4" customHeight="1" s="152"/>
    <row r="3719" ht="14.4" customHeight="1" s="152"/>
    <row r="3720" ht="14.4" customHeight="1" s="152"/>
    <row r="3721" ht="14.4" customHeight="1" s="152"/>
    <row r="3722" ht="14.4" customHeight="1" s="152"/>
    <row r="3723" ht="14.4" customHeight="1" s="152"/>
    <row r="3724" ht="14.4" customHeight="1" s="152"/>
    <row r="3725" ht="14.4" customHeight="1" s="152"/>
    <row r="3726" ht="14.4" customHeight="1" s="152"/>
    <row r="3727" ht="14.4" customHeight="1" s="152"/>
    <row r="3728" ht="14.4" customHeight="1" s="152"/>
    <row r="3729" ht="14.4" customHeight="1" s="152"/>
    <row r="3730" ht="14.4" customHeight="1" s="152"/>
    <row r="3731" ht="14.4" customHeight="1" s="152"/>
    <row r="3732" ht="14.4" customHeight="1" s="152"/>
    <row r="3733" ht="14.4" customHeight="1" s="152"/>
    <row r="3734" ht="14.4" customHeight="1" s="152"/>
    <row r="3735" ht="14.4" customHeight="1" s="152"/>
    <row r="3736" ht="14.4" customHeight="1" s="152"/>
    <row r="3737" ht="14.4" customHeight="1" s="152"/>
    <row r="3738" ht="14.4" customHeight="1" s="152"/>
    <row r="3739" ht="14.4" customHeight="1" s="152"/>
    <row r="3740" ht="14.4" customHeight="1" s="152"/>
    <row r="3741" ht="14.4" customHeight="1" s="152"/>
    <row r="3742" ht="14.4" customHeight="1" s="152"/>
    <row r="3743" ht="14.4" customHeight="1" s="152"/>
    <row r="3744" ht="14.4" customHeight="1" s="152"/>
    <row r="3745" ht="14.4" customHeight="1" s="152"/>
    <row r="3746" ht="14.4" customHeight="1" s="152"/>
    <row r="3747" ht="14.4" customHeight="1" s="152"/>
    <row r="3748" ht="14.4" customHeight="1" s="152"/>
    <row r="3749" ht="14.4" customHeight="1" s="152"/>
    <row r="3750" ht="14.4" customHeight="1" s="152"/>
    <row r="3751" ht="14.4" customHeight="1" s="152"/>
    <row r="3752" ht="14.4" customHeight="1" s="152"/>
    <row r="3753" ht="14.4" customHeight="1" s="152"/>
    <row r="3754" ht="14.4" customHeight="1" s="152"/>
    <row r="3755" ht="14.4" customHeight="1" s="152"/>
    <row r="3756" ht="14.4" customHeight="1" s="152"/>
    <row r="3757" ht="14.4" customHeight="1" s="152"/>
    <row r="3758" ht="14.4" customHeight="1" s="152"/>
    <row r="3759" ht="14.4" customHeight="1" s="152"/>
    <row r="3760" ht="14.4" customHeight="1" s="152"/>
    <row r="3761" ht="14.4" customHeight="1" s="152"/>
    <row r="3762" ht="14.4" customHeight="1" s="152"/>
    <row r="3763" ht="14.4" customHeight="1" s="152"/>
    <row r="3764" ht="14.4" customHeight="1" s="152"/>
    <row r="3765" ht="14.4" customHeight="1" s="152"/>
    <row r="3766" ht="14.4" customHeight="1" s="152"/>
    <row r="3767" ht="14.4" customHeight="1" s="152"/>
    <row r="3768" ht="14.4" customHeight="1" s="152"/>
    <row r="3769" ht="14.4" customHeight="1" s="152"/>
    <row r="3770" ht="14.4" customHeight="1" s="152"/>
    <row r="3771" ht="14.4" customHeight="1" s="152"/>
    <row r="3772" ht="14.4" customHeight="1" s="152"/>
    <row r="3773" ht="14.4" customHeight="1" s="152"/>
    <row r="3774" ht="14.4" customHeight="1" s="152"/>
    <row r="3775" ht="14.4" customHeight="1" s="152"/>
    <row r="3776" ht="14.4" customHeight="1" s="152"/>
    <row r="3777" ht="14.4" customHeight="1" s="152"/>
    <row r="3778" ht="14.4" customHeight="1" s="152"/>
    <row r="3779" ht="14.4" customHeight="1" s="152"/>
    <row r="3780" ht="14.4" customHeight="1" s="152"/>
    <row r="3781" ht="14.4" customHeight="1" s="152"/>
    <row r="3782" ht="14.4" customHeight="1" s="152"/>
    <row r="3783" ht="14.4" customHeight="1" s="152"/>
    <row r="3784" ht="14.4" customHeight="1" s="152"/>
    <row r="3785" ht="14.4" customHeight="1" s="152"/>
    <row r="3786" ht="14.4" customHeight="1" s="152"/>
    <row r="3787" ht="14.4" customHeight="1" s="152"/>
    <row r="3788" ht="14.4" customHeight="1" s="152"/>
    <row r="3789" ht="14.4" customHeight="1" s="152"/>
    <row r="3790" ht="14.4" customHeight="1" s="152"/>
    <row r="3791" ht="14.4" customHeight="1" s="152"/>
    <row r="3792" ht="14.4" customHeight="1" s="152"/>
    <row r="3793" ht="14.4" customHeight="1" s="152"/>
    <row r="3794" ht="14.4" customHeight="1" s="152"/>
    <row r="3795" ht="14.4" customHeight="1" s="152"/>
    <row r="3796" ht="14.4" customHeight="1" s="152"/>
    <row r="3797" ht="14.4" customHeight="1" s="152"/>
    <row r="3798" ht="14.4" customHeight="1" s="152"/>
    <row r="3799" ht="14.4" customHeight="1" s="152"/>
    <row r="3800" ht="14.4" customHeight="1" s="152"/>
    <row r="3801" ht="14.4" customHeight="1" s="152"/>
    <row r="3802" ht="14.4" customHeight="1" s="152"/>
    <row r="3803" ht="14.4" customHeight="1" s="152"/>
    <row r="3804" ht="14.4" customHeight="1" s="152"/>
    <row r="3805" ht="14.4" customHeight="1" s="152"/>
    <row r="3806" ht="14.4" customHeight="1" s="152"/>
    <row r="3807" ht="14.4" customHeight="1" s="152"/>
    <row r="3808" ht="14.4" customHeight="1" s="152"/>
    <row r="3809" ht="14.4" customHeight="1" s="152"/>
    <row r="3810" ht="14.4" customHeight="1" s="152"/>
    <row r="3811" ht="14.4" customHeight="1" s="152"/>
    <row r="3812" ht="14.4" customHeight="1" s="152"/>
    <row r="3813" ht="14.4" customHeight="1" s="152"/>
    <row r="3814" ht="14.4" customHeight="1" s="152"/>
    <row r="3815" ht="14.4" customHeight="1" s="152"/>
    <row r="3816" ht="14.4" customHeight="1" s="152"/>
    <row r="3817" ht="14.4" customHeight="1" s="152"/>
    <row r="3818" ht="14.4" customHeight="1" s="152"/>
    <row r="3819" ht="14.4" customHeight="1" s="152"/>
    <row r="3820" ht="14.4" customHeight="1" s="152"/>
    <row r="3821" ht="14.4" customHeight="1" s="152"/>
    <row r="3822" ht="14.4" customHeight="1" s="152"/>
    <row r="3823" ht="14.4" customHeight="1" s="152"/>
    <row r="3824" ht="14.4" customHeight="1" s="152"/>
    <row r="3825" ht="14.4" customHeight="1" s="152"/>
    <row r="3826" ht="14.4" customHeight="1" s="152"/>
    <row r="3827" ht="14.4" customHeight="1" s="152"/>
    <row r="3828" ht="14.4" customHeight="1" s="152"/>
    <row r="3829" ht="14.4" customHeight="1" s="152"/>
    <row r="3830" ht="14.4" customHeight="1" s="152"/>
    <row r="3831" ht="14.4" customHeight="1" s="152"/>
    <row r="3832" ht="14.4" customHeight="1" s="152"/>
    <row r="3833" ht="14.4" customHeight="1" s="152"/>
    <row r="3834" ht="14.4" customHeight="1" s="152"/>
    <row r="3835" ht="14.4" customHeight="1" s="152"/>
    <row r="3836" ht="14.4" customHeight="1" s="152"/>
    <row r="3837" ht="14.4" customHeight="1" s="152"/>
    <row r="3838" ht="14.4" customHeight="1" s="152"/>
    <row r="3839" ht="14.4" customHeight="1" s="152"/>
    <row r="3840" ht="14.4" customHeight="1" s="152"/>
    <row r="3841" ht="14.4" customHeight="1" s="152"/>
    <row r="3842" ht="14.4" customHeight="1" s="152"/>
    <row r="3843" ht="14.4" customHeight="1" s="152"/>
    <row r="3844" ht="14.4" customHeight="1" s="152"/>
    <row r="3845" ht="14.4" customHeight="1" s="152"/>
    <row r="3846" ht="14.4" customHeight="1" s="152"/>
    <row r="3847" ht="14.4" customHeight="1" s="152"/>
    <row r="3848" ht="14.4" customHeight="1" s="152"/>
    <row r="3849" ht="14.4" customHeight="1" s="152"/>
    <row r="3850" ht="14.4" customHeight="1" s="152"/>
    <row r="3851" ht="14.4" customHeight="1" s="152"/>
    <row r="3852" ht="14.4" customHeight="1" s="152"/>
    <row r="3853" ht="14.4" customHeight="1" s="152"/>
    <row r="3854" ht="14.4" customHeight="1" s="152"/>
    <row r="3855" ht="14.4" customHeight="1" s="152"/>
    <row r="3856" ht="14.4" customHeight="1" s="152"/>
    <row r="3857" ht="14.4" customHeight="1" s="152"/>
    <row r="3858" ht="14.4" customHeight="1" s="152"/>
    <row r="3859" ht="14.4" customHeight="1" s="152"/>
    <row r="3860" ht="14.4" customHeight="1" s="152"/>
    <row r="3861" ht="14.4" customHeight="1" s="152"/>
    <row r="3862" ht="14.4" customHeight="1" s="152"/>
    <row r="3863" ht="14.4" customHeight="1" s="152"/>
    <row r="3864" ht="14.4" customHeight="1" s="152"/>
    <row r="3865" ht="14.4" customHeight="1" s="152"/>
    <row r="3866" ht="14.4" customHeight="1" s="152"/>
    <row r="3867" ht="14.4" customHeight="1" s="152"/>
    <row r="3868" ht="14.4" customHeight="1" s="152"/>
    <row r="3869" ht="14.4" customHeight="1" s="152"/>
    <row r="3870" ht="14.4" customHeight="1" s="152"/>
    <row r="3871" ht="14.4" customHeight="1" s="152"/>
    <row r="3872" ht="14.4" customHeight="1" s="152"/>
    <row r="3873" ht="14.4" customHeight="1" s="152"/>
    <row r="3874" ht="14.4" customHeight="1" s="152"/>
    <row r="3875" ht="14.4" customHeight="1" s="152"/>
    <row r="3876" ht="14.4" customHeight="1" s="152"/>
    <row r="3877" ht="14.4" customHeight="1" s="152"/>
    <row r="3878" ht="14.4" customHeight="1" s="152"/>
    <row r="3879" ht="14.4" customHeight="1" s="152"/>
    <row r="3880" ht="14.4" customHeight="1" s="152"/>
    <row r="3881" ht="14.4" customHeight="1" s="152"/>
    <row r="3882" ht="14.4" customHeight="1" s="152"/>
    <row r="3883" ht="14.4" customHeight="1" s="152"/>
    <row r="3884" ht="14.4" customHeight="1" s="152"/>
    <row r="3885" ht="14.4" customHeight="1" s="152"/>
    <row r="3886" ht="14.4" customHeight="1" s="152"/>
    <row r="3887" ht="14.4" customHeight="1" s="152"/>
    <row r="3888" ht="14.4" customHeight="1" s="152"/>
    <row r="3889" ht="14.4" customHeight="1" s="152"/>
    <row r="3890" ht="14.4" customHeight="1" s="152"/>
    <row r="3891" ht="14.4" customHeight="1" s="152"/>
    <row r="3892" ht="14.4" customHeight="1" s="152"/>
    <row r="3893" ht="14.4" customHeight="1" s="152"/>
    <row r="3894" ht="14.4" customHeight="1" s="152"/>
    <row r="3895" ht="14.4" customHeight="1" s="152"/>
    <row r="3896" ht="14.4" customHeight="1" s="152"/>
    <row r="3897" ht="14.4" customHeight="1" s="152"/>
    <row r="3898" ht="14.4" customHeight="1" s="152"/>
    <row r="3899" ht="14.4" customHeight="1" s="152"/>
    <row r="3900" ht="14.4" customHeight="1" s="152"/>
    <row r="3901" ht="14.4" customHeight="1" s="152"/>
    <row r="3902" ht="14.4" customHeight="1" s="152"/>
    <row r="3903" ht="14.4" customHeight="1" s="152"/>
    <row r="3904" ht="14.4" customHeight="1" s="152"/>
    <row r="3905" ht="14.4" customHeight="1" s="152"/>
    <row r="3906" ht="14.4" customHeight="1" s="152"/>
    <row r="3907" ht="14.4" customHeight="1" s="152"/>
    <row r="3908" ht="14.4" customHeight="1" s="152"/>
    <row r="3909" ht="14.4" customHeight="1" s="152"/>
    <row r="3910" ht="14.4" customHeight="1" s="152"/>
    <row r="3911" ht="14.4" customHeight="1" s="152"/>
    <row r="3912" ht="14.4" customHeight="1" s="152"/>
    <row r="3913" ht="14.4" customHeight="1" s="152"/>
    <row r="3914" ht="14.4" customHeight="1" s="152"/>
    <row r="3915" ht="14.4" customHeight="1" s="152"/>
    <row r="3916" ht="14.4" customHeight="1" s="152"/>
    <row r="3917" ht="14.4" customHeight="1" s="152"/>
    <row r="3918" ht="14.4" customHeight="1" s="152"/>
    <row r="3919" ht="14.4" customHeight="1" s="152"/>
    <row r="3920" ht="14.4" customHeight="1" s="152"/>
    <row r="3921" ht="14.4" customHeight="1" s="152"/>
    <row r="3922" ht="14.4" customHeight="1" s="152"/>
    <row r="3923" ht="14.4" customHeight="1" s="152"/>
    <row r="3924" ht="14.4" customHeight="1" s="152"/>
    <row r="3925" ht="14.4" customHeight="1" s="152"/>
    <row r="3926" ht="14.4" customHeight="1" s="152"/>
    <row r="3927" ht="14.4" customHeight="1" s="152"/>
    <row r="3928" ht="14.4" customHeight="1" s="152"/>
    <row r="3929" ht="14.4" customHeight="1" s="152"/>
    <row r="3930" ht="14.4" customHeight="1" s="152"/>
    <row r="3931" ht="14.4" customHeight="1" s="152"/>
    <row r="3932" ht="14.4" customHeight="1" s="152"/>
    <row r="3933" ht="14.4" customHeight="1" s="152"/>
    <row r="3934" ht="14.4" customHeight="1" s="152"/>
    <row r="3935" ht="14.4" customHeight="1" s="152"/>
    <row r="3936" ht="14.4" customHeight="1" s="152"/>
    <row r="3937" ht="14.4" customHeight="1" s="152"/>
    <row r="3938" ht="14.4" customHeight="1" s="152"/>
    <row r="3939" ht="14.4" customHeight="1" s="152"/>
    <row r="3940" ht="14.4" customHeight="1" s="152"/>
    <row r="3941" ht="14.4" customHeight="1" s="152"/>
    <row r="3942" ht="14.4" customHeight="1" s="152"/>
    <row r="3943" ht="14.4" customHeight="1" s="152"/>
    <row r="3944" ht="14.4" customHeight="1" s="152"/>
    <row r="3945" ht="14.4" customHeight="1" s="152"/>
    <row r="3946" ht="14.4" customHeight="1" s="152"/>
    <row r="3947" ht="14.4" customHeight="1" s="152"/>
    <row r="3948" ht="14.4" customHeight="1" s="152"/>
    <row r="3949" ht="14.4" customHeight="1" s="152"/>
    <row r="3950" ht="14.4" customHeight="1" s="152"/>
    <row r="3951" ht="14.4" customHeight="1" s="152"/>
    <row r="3952" ht="14.4" customHeight="1" s="152"/>
    <row r="3953" ht="14.4" customHeight="1" s="152"/>
    <row r="3954" ht="14.4" customHeight="1" s="152"/>
    <row r="3955" ht="14.4" customHeight="1" s="152"/>
    <row r="3956" ht="14.4" customHeight="1" s="152"/>
    <row r="3957" ht="14.4" customHeight="1" s="152"/>
    <row r="3958" ht="14.4" customHeight="1" s="152"/>
    <row r="3959" ht="14.4" customHeight="1" s="152"/>
    <row r="3960" ht="14.4" customHeight="1" s="152"/>
    <row r="3961" ht="14.4" customHeight="1" s="152"/>
    <row r="3962" ht="14.4" customHeight="1" s="152"/>
    <row r="3963" ht="14.4" customHeight="1" s="152"/>
    <row r="3964" ht="14.4" customHeight="1" s="152"/>
    <row r="3965" ht="14.4" customHeight="1" s="152"/>
    <row r="3966" ht="14.4" customHeight="1" s="152"/>
    <row r="3967" ht="14.4" customHeight="1" s="152"/>
    <row r="3968" ht="14.4" customHeight="1" s="152"/>
    <row r="3969" ht="14.4" customHeight="1" s="152"/>
    <row r="3970" ht="14.4" customHeight="1" s="152"/>
    <row r="3971" ht="14.4" customHeight="1" s="152"/>
    <row r="3972" ht="14.4" customHeight="1" s="152"/>
    <row r="3973" ht="14.4" customHeight="1" s="152"/>
    <row r="3974" ht="14.4" customHeight="1" s="152"/>
    <row r="3975" ht="14.4" customHeight="1" s="152"/>
    <row r="3976" ht="14.4" customHeight="1" s="152"/>
    <row r="3977" ht="14.4" customHeight="1" s="152"/>
    <row r="3978" ht="14.4" customHeight="1" s="152"/>
    <row r="3979" ht="14.4" customHeight="1" s="152"/>
    <row r="3980" ht="14.4" customHeight="1" s="152"/>
    <row r="3981" ht="14.4" customHeight="1" s="152"/>
    <row r="3982" ht="14.4" customHeight="1" s="152"/>
    <row r="3983" ht="14.4" customHeight="1" s="152"/>
    <row r="3984" ht="14.4" customHeight="1" s="152"/>
    <row r="3985" ht="14.4" customHeight="1" s="152"/>
    <row r="3986" ht="14.4" customHeight="1" s="152"/>
    <row r="3987" ht="14.4" customHeight="1" s="152"/>
    <row r="3988" ht="14.4" customHeight="1" s="152"/>
    <row r="3989" ht="14.4" customHeight="1" s="152"/>
    <row r="3990" ht="14.4" customHeight="1" s="152"/>
    <row r="3991" ht="14.4" customHeight="1" s="152"/>
    <row r="3992" ht="14.4" customHeight="1" s="152"/>
    <row r="3993" ht="14.4" customHeight="1" s="152"/>
    <row r="3994" ht="14.4" customHeight="1" s="152"/>
    <row r="3995" ht="14.4" customHeight="1" s="152"/>
    <row r="3996" ht="14.4" customHeight="1" s="152"/>
    <row r="3997" ht="14.4" customHeight="1" s="152"/>
    <row r="3998" ht="14.4" customHeight="1" s="152"/>
    <row r="3999" ht="14.4" customHeight="1" s="152"/>
    <row r="4000" ht="14.4" customHeight="1" s="152"/>
    <row r="4001" ht="14.4" customHeight="1" s="152"/>
    <row r="4002" ht="14.4" customHeight="1" s="152"/>
    <row r="4003" ht="14.4" customHeight="1" s="152"/>
    <row r="4004" ht="14.4" customHeight="1" s="152"/>
    <row r="4005" ht="14.4" customHeight="1" s="152"/>
    <row r="4006" ht="14.4" customHeight="1" s="152"/>
    <row r="4007" ht="14.4" customHeight="1" s="152"/>
    <row r="4008" ht="14.4" customHeight="1" s="152"/>
    <row r="4009" ht="14.4" customHeight="1" s="152"/>
    <row r="4010" ht="14.4" customHeight="1" s="152"/>
    <row r="4011" ht="14.4" customHeight="1" s="152"/>
    <row r="4012" ht="14.4" customHeight="1" s="152"/>
    <row r="4013" ht="14.4" customHeight="1" s="152"/>
    <row r="4014" ht="14.4" customHeight="1" s="152"/>
    <row r="4015" ht="14.4" customHeight="1" s="152"/>
    <row r="4016" ht="14.4" customHeight="1" s="152"/>
    <row r="4017" ht="14.4" customHeight="1" s="152"/>
    <row r="4018" ht="14.4" customHeight="1" s="152"/>
    <row r="4019" ht="14.4" customHeight="1" s="152"/>
    <row r="4020" ht="14.4" customHeight="1" s="152"/>
    <row r="4021" ht="14.4" customHeight="1" s="152"/>
    <row r="4022" ht="14.4" customHeight="1" s="152"/>
    <row r="4023" ht="14.4" customHeight="1" s="152"/>
    <row r="4024" ht="14.4" customHeight="1" s="152"/>
    <row r="4025" ht="14.4" customHeight="1" s="152"/>
    <row r="4026" ht="14.4" customHeight="1" s="152"/>
    <row r="4027" ht="14.4" customHeight="1" s="152"/>
    <row r="4028" ht="14.4" customHeight="1" s="152"/>
    <row r="4029" ht="14.4" customHeight="1" s="152"/>
    <row r="4030" ht="14.4" customHeight="1" s="152"/>
    <row r="4031" ht="14.4" customHeight="1" s="152"/>
    <row r="4032" ht="14.4" customHeight="1" s="152"/>
    <row r="4033" ht="14.4" customHeight="1" s="152"/>
    <row r="4034" ht="14.4" customHeight="1" s="152"/>
    <row r="4035" ht="14.4" customHeight="1" s="152"/>
    <row r="4036" ht="14.4" customHeight="1" s="152"/>
    <row r="4037" ht="14.4" customHeight="1" s="152"/>
    <row r="4038" ht="14.4" customHeight="1" s="152"/>
    <row r="4039" ht="14.4" customHeight="1" s="152"/>
    <row r="4040" ht="14.4" customHeight="1" s="152"/>
    <row r="4041" ht="14.4" customHeight="1" s="152"/>
    <row r="4042" ht="14.4" customHeight="1" s="152"/>
    <row r="4043" ht="14.4" customHeight="1" s="152"/>
    <row r="4044" ht="14.4" customHeight="1" s="152"/>
    <row r="4045" ht="14.4" customHeight="1" s="152"/>
    <row r="4046" ht="14.4" customHeight="1" s="152"/>
    <row r="4047" ht="14.4" customHeight="1" s="152"/>
    <row r="4048" ht="14.4" customHeight="1" s="152"/>
    <row r="4049" ht="14.4" customHeight="1" s="152"/>
    <row r="4050" ht="14.4" customHeight="1" s="152"/>
    <row r="4051" ht="14.4" customHeight="1" s="152"/>
    <row r="4052" ht="14.4" customHeight="1" s="152"/>
    <row r="4053" ht="14.4" customHeight="1" s="152"/>
    <row r="4054" ht="14.4" customHeight="1" s="152"/>
    <row r="4055" ht="14.4" customHeight="1" s="152"/>
    <row r="4056" ht="14.4" customHeight="1" s="152"/>
    <row r="4057" ht="14.4" customHeight="1" s="152"/>
    <row r="4058" ht="14.4" customHeight="1" s="152"/>
    <row r="4059" ht="14.4" customHeight="1" s="152"/>
    <row r="4060" ht="14.4" customHeight="1" s="152"/>
    <row r="4061" ht="14.4" customHeight="1" s="152"/>
    <row r="4062" ht="14.4" customHeight="1" s="152"/>
    <row r="4063" ht="14.4" customHeight="1" s="152"/>
    <row r="4064" ht="14.4" customHeight="1" s="152"/>
    <row r="4065" ht="14.4" customHeight="1" s="152"/>
    <row r="4066" ht="14.4" customHeight="1" s="152"/>
    <row r="4067" ht="14.4" customHeight="1" s="152"/>
    <row r="4068" ht="14.4" customHeight="1" s="152"/>
    <row r="4069" ht="14.4" customHeight="1" s="152"/>
    <row r="4070" ht="14.4" customHeight="1" s="152"/>
    <row r="4071" ht="14.4" customHeight="1" s="152"/>
    <row r="4072" ht="14.4" customHeight="1" s="152"/>
    <row r="4073" ht="14.4" customHeight="1" s="152"/>
    <row r="4074" ht="14.4" customHeight="1" s="152"/>
    <row r="4075" ht="14.4" customHeight="1" s="152"/>
    <row r="4076" ht="14.4" customHeight="1" s="152"/>
    <row r="4077" ht="14.4" customHeight="1" s="152"/>
    <row r="4078" ht="14.4" customHeight="1" s="152"/>
    <row r="4079" ht="14.4" customHeight="1" s="152"/>
    <row r="4080" ht="14.4" customHeight="1" s="152"/>
    <row r="4081" ht="14.4" customHeight="1" s="152"/>
    <row r="4082" ht="14.4" customHeight="1" s="152"/>
    <row r="4083" ht="14.4" customHeight="1" s="152"/>
    <row r="4084" ht="14.4" customHeight="1" s="152"/>
    <row r="4085" ht="14.4" customHeight="1" s="152"/>
    <row r="4086" ht="14.4" customHeight="1" s="152"/>
    <row r="4087" ht="14.4" customHeight="1" s="152"/>
    <row r="4088" ht="14.4" customHeight="1" s="152"/>
    <row r="4089" ht="14.4" customHeight="1" s="152"/>
    <row r="4090" ht="14.4" customHeight="1" s="152"/>
    <row r="4091" ht="14.4" customHeight="1" s="152"/>
    <row r="4092" ht="14.4" customHeight="1" s="152"/>
    <row r="4093" ht="14.4" customHeight="1" s="152"/>
    <row r="4094" ht="14.4" customHeight="1" s="152"/>
    <row r="4095" ht="14.4" customHeight="1" s="152"/>
    <row r="4096" ht="14.4" customHeight="1" s="152"/>
    <row r="4097" ht="14.4" customHeight="1" s="152"/>
    <row r="4098" ht="14.4" customHeight="1" s="152"/>
    <row r="4099" ht="14.4" customHeight="1" s="152"/>
    <row r="4100" ht="14.4" customHeight="1" s="152"/>
    <row r="4101" ht="14.4" customHeight="1" s="152"/>
    <row r="4102" ht="14.4" customHeight="1" s="152"/>
    <row r="4103" ht="14.4" customHeight="1" s="152"/>
    <row r="4104" ht="14.4" customHeight="1" s="152"/>
    <row r="4105" ht="14.4" customHeight="1" s="152"/>
    <row r="4106" ht="14.4" customHeight="1" s="152"/>
    <row r="4107" ht="14.4" customHeight="1" s="152"/>
    <row r="4108" ht="14.4" customHeight="1" s="152"/>
    <row r="4109" ht="14.4" customHeight="1" s="152"/>
    <row r="4110" ht="14.4" customHeight="1" s="152"/>
    <row r="4111" ht="14.4" customHeight="1" s="152"/>
    <row r="4112" ht="14.4" customHeight="1" s="152"/>
    <row r="4113" ht="14.4" customHeight="1" s="152"/>
    <row r="4114" ht="14.4" customHeight="1" s="152"/>
    <row r="4115" ht="14.4" customHeight="1" s="152"/>
    <row r="4116" ht="14.4" customHeight="1" s="152"/>
    <row r="4117" ht="14.4" customHeight="1" s="152"/>
    <row r="4118" ht="14.4" customHeight="1" s="152"/>
    <row r="4119" ht="14.4" customHeight="1" s="152"/>
    <row r="4120" ht="14.4" customHeight="1" s="152"/>
    <row r="4121" ht="14.4" customHeight="1" s="152"/>
    <row r="4122" ht="14.4" customHeight="1" s="152"/>
    <row r="4123" ht="14.4" customHeight="1" s="152"/>
    <row r="4124" ht="14.4" customHeight="1" s="152"/>
    <row r="4125" ht="14.4" customHeight="1" s="152"/>
    <row r="4126" ht="14.4" customHeight="1" s="152"/>
    <row r="4127" ht="14.4" customHeight="1" s="152"/>
    <row r="4128" ht="14.4" customHeight="1" s="152"/>
    <row r="4129" ht="14.4" customHeight="1" s="152"/>
    <row r="4130" ht="14.4" customHeight="1" s="152"/>
    <row r="4131" ht="14.4" customHeight="1" s="152"/>
    <row r="4132" ht="14.4" customHeight="1" s="152"/>
    <row r="4133" ht="14.4" customHeight="1" s="152"/>
    <row r="4134" ht="14.4" customHeight="1" s="152"/>
    <row r="4135" ht="14.4" customHeight="1" s="152"/>
    <row r="4136" ht="14.4" customHeight="1" s="152"/>
    <row r="4137" ht="14.4" customHeight="1" s="152"/>
    <row r="4138" ht="14.4" customHeight="1" s="152"/>
    <row r="4139" ht="14.4" customHeight="1" s="152"/>
    <row r="4140" ht="14.4" customHeight="1" s="152"/>
    <row r="4141" ht="14.4" customHeight="1" s="152"/>
    <row r="4142" ht="14.4" customHeight="1" s="152"/>
    <row r="4143" ht="14.4" customHeight="1" s="152"/>
    <row r="4144" ht="14.4" customHeight="1" s="152"/>
    <row r="4145" ht="14.4" customHeight="1" s="152"/>
    <row r="4146" ht="14.4" customHeight="1" s="152"/>
    <row r="4147" ht="14.4" customHeight="1" s="152"/>
    <row r="4148" ht="14.4" customHeight="1" s="152"/>
    <row r="4149" ht="14.4" customHeight="1" s="152"/>
    <row r="4150" ht="14.4" customHeight="1" s="152"/>
    <row r="4151" ht="14.4" customHeight="1" s="152"/>
    <row r="4152" ht="14.4" customHeight="1" s="152"/>
    <row r="4153" ht="14.4" customHeight="1" s="152"/>
    <row r="4154" ht="14.4" customHeight="1" s="152"/>
    <row r="4155" ht="14.4" customHeight="1" s="152"/>
    <row r="4156" ht="14.4" customHeight="1" s="152"/>
    <row r="4157" ht="14.4" customHeight="1" s="152"/>
    <row r="4158" ht="14.4" customHeight="1" s="152"/>
    <row r="4159" ht="14.4" customHeight="1" s="152"/>
    <row r="4160" ht="14.4" customHeight="1" s="152"/>
    <row r="4161" ht="14.4" customHeight="1" s="152"/>
    <row r="4162" ht="14.4" customHeight="1" s="152"/>
    <row r="4163" ht="14.4" customHeight="1" s="152"/>
    <row r="4164" ht="14.4" customHeight="1" s="152"/>
    <row r="4165" ht="14.4" customHeight="1" s="152"/>
    <row r="4166" ht="14.4" customHeight="1" s="152"/>
    <row r="4167" ht="14.4" customHeight="1" s="152"/>
    <row r="4168" ht="14.4" customHeight="1" s="152"/>
    <row r="4169" ht="14.4" customHeight="1" s="152"/>
    <row r="4170" ht="14.4" customHeight="1" s="152"/>
    <row r="4171" ht="14.4" customHeight="1" s="152"/>
    <row r="4172" ht="14.4" customHeight="1" s="152"/>
    <row r="4173" ht="14.4" customHeight="1" s="152"/>
    <row r="4174" ht="14.4" customHeight="1" s="152"/>
    <row r="4175" ht="14.4" customHeight="1" s="152"/>
    <row r="4176" ht="14.4" customHeight="1" s="152"/>
    <row r="4177" ht="14.4" customHeight="1" s="152"/>
    <row r="4178" ht="14.4" customHeight="1" s="152"/>
    <row r="4179" ht="14.4" customHeight="1" s="152"/>
    <row r="4180" ht="14.4" customHeight="1" s="152"/>
    <row r="4181" ht="14.4" customHeight="1" s="152"/>
    <row r="4182" ht="14.4" customHeight="1" s="152"/>
    <row r="4183" ht="14.4" customHeight="1" s="152"/>
    <row r="4184" ht="14.4" customHeight="1" s="152"/>
    <row r="4185" ht="14.4" customHeight="1" s="152"/>
    <row r="4186" ht="14.4" customHeight="1" s="152"/>
    <row r="4187" ht="14.4" customHeight="1" s="152"/>
    <row r="4188" ht="14.4" customHeight="1" s="152"/>
    <row r="4189" ht="14.4" customHeight="1" s="152"/>
    <row r="4190" ht="14.4" customHeight="1" s="152"/>
    <row r="4191" ht="14.4" customHeight="1" s="152"/>
    <row r="4192" ht="14.4" customHeight="1" s="152"/>
    <row r="4193" ht="14.4" customHeight="1" s="152"/>
    <row r="4194" ht="14.4" customHeight="1" s="152"/>
    <row r="4195" ht="14.4" customHeight="1" s="152"/>
    <row r="4196" ht="14.4" customHeight="1" s="152"/>
    <row r="4197" ht="14.4" customHeight="1" s="152"/>
    <row r="4198" ht="14.4" customHeight="1" s="152"/>
    <row r="4199" ht="14.4" customHeight="1" s="152"/>
    <row r="4200" ht="14.4" customHeight="1" s="152"/>
    <row r="4201" ht="14.4" customHeight="1" s="152"/>
    <row r="4202" ht="14.4" customHeight="1" s="152"/>
    <row r="4203" ht="14.4" customHeight="1" s="152"/>
    <row r="4204" ht="14.4" customHeight="1" s="152"/>
    <row r="4205" ht="14.4" customHeight="1" s="152"/>
    <row r="4206" ht="14.4" customHeight="1" s="152"/>
    <row r="4207" ht="14.4" customHeight="1" s="152"/>
    <row r="4208" ht="14.4" customHeight="1" s="152"/>
    <row r="4209" ht="14.4" customHeight="1" s="152"/>
    <row r="4210" ht="14.4" customHeight="1" s="152"/>
    <row r="4211" ht="14.4" customHeight="1" s="152"/>
    <row r="4212" ht="14.4" customHeight="1" s="152"/>
    <row r="4213" ht="14.4" customHeight="1" s="152"/>
    <row r="4214" ht="14.4" customHeight="1" s="152"/>
    <row r="4215" ht="14.4" customHeight="1" s="152"/>
    <row r="4216" ht="14.4" customHeight="1" s="152"/>
    <row r="4217" ht="14.4" customHeight="1" s="152"/>
    <row r="4218" ht="14.4" customHeight="1" s="152"/>
    <row r="4219" ht="14.4" customHeight="1" s="152"/>
    <row r="4220" ht="14.4" customHeight="1" s="152"/>
    <row r="4221" ht="14.4" customHeight="1" s="152"/>
    <row r="4222" ht="14.4" customHeight="1" s="152"/>
    <row r="4223" ht="14.4" customHeight="1" s="152"/>
    <row r="4224" ht="14.4" customHeight="1" s="152"/>
    <row r="4225" ht="14.4" customHeight="1" s="152"/>
    <row r="4226" ht="14.4" customHeight="1" s="152"/>
    <row r="4227" ht="14.4" customHeight="1" s="152"/>
    <row r="4228" ht="14.4" customHeight="1" s="152"/>
    <row r="4229" ht="14.4" customHeight="1" s="152"/>
    <row r="4230" ht="14.4" customHeight="1" s="152"/>
    <row r="4231" ht="14.4" customHeight="1" s="152"/>
    <row r="4232" ht="14.4" customHeight="1" s="152"/>
    <row r="4233" ht="14.4" customHeight="1" s="152"/>
    <row r="4234" ht="14.4" customHeight="1" s="152"/>
    <row r="4235" ht="14.4" customHeight="1" s="152"/>
    <row r="4236" ht="14.4" customHeight="1" s="152"/>
    <row r="4237" ht="14.4" customHeight="1" s="152"/>
    <row r="4238" ht="14.4" customHeight="1" s="152"/>
    <row r="4239" ht="14.4" customHeight="1" s="152"/>
    <row r="4240" ht="14.4" customHeight="1" s="152"/>
    <row r="4241" ht="14.4" customHeight="1" s="152"/>
    <row r="4242" ht="14.4" customHeight="1" s="152"/>
    <row r="4243" ht="14.4" customHeight="1" s="152"/>
    <row r="4244" ht="14.4" customHeight="1" s="152"/>
    <row r="4245" ht="14.4" customHeight="1" s="152"/>
    <row r="4246" ht="14.4" customHeight="1" s="152"/>
    <row r="4247" ht="14.4" customHeight="1" s="152"/>
    <row r="4248" ht="14.4" customHeight="1" s="152"/>
    <row r="4249" ht="14.4" customHeight="1" s="152"/>
    <row r="4250" ht="14.4" customHeight="1" s="152"/>
    <row r="4251" ht="14.4" customHeight="1" s="152"/>
    <row r="4252" ht="14.4" customHeight="1" s="152"/>
    <row r="4253" ht="14.4" customHeight="1" s="152"/>
    <row r="4254" ht="14.4" customHeight="1" s="152"/>
    <row r="4255" ht="14.4" customHeight="1" s="152"/>
    <row r="4256" ht="14.4" customHeight="1" s="152"/>
    <row r="4257" ht="14.4" customHeight="1" s="152"/>
    <row r="4258" ht="14.4" customHeight="1" s="152"/>
    <row r="4259" ht="14.4" customHeight="1" s="152"/>
    <row r="4260" ht="14.4" customHeight="1" s="152"/>
    <row r="4261" ht="14.4" customHeight="1" s="152"/>
    <row r="4262" ht="14.4" customHeight="1" s="152"/>
    <row r="4263" ht="14.4" customHeight="1" s="152"/>
    <row r="4264" ht="14.4" customHeight="1" s="152"/>
    <row r="4265" ht="14.4" customHeight="1" s="152"/>
    <row r="4266" ht="14.4" customHeight="1" s="152"/>
    <row r="4267" ht="14.4" customHeight="1" s="152"/>
    <row r="4268" ht="14.4" customHeight="1" s="152"/>
    <row r="4269" ht="14.4" customHeight="1" s="152"/>
    <row r="4270" ht="14.4" customHeight="1" s="152"/>
    <row r="4271" ht="14.4" customHeight="1" s="152"/>
    <row r="4272" ht="14.4" customHeight="1" s="152"/>
    <row r="4273" ht="14.4" customHeight="1" s="152"/>
    <row r="4274" ht="14.4" customHeight="1" s="152"/>
    <row r="4275" ht="14.4" customHeight="1" s="152"/>
    <row r="4276" ht="14.4" customHeight="1" s="152"/>
    <row r="4277" ht="14.4" customHeight="1" s="152"/>
    <row r="4278" ht="14.4" customHeight="1" s="152"/>
    <row r="4279" ht="14.4" customHeight="1" s="152"/>
    <row r="4280" ht="14.4" customHeight="1" s="152"/>
    <row r="4281" ht="14.4" customHeight="1" s="152"/>
    <row r="4282" ht="14.4" customHeight="1" s="152"/>
    <row r="4283" ht="14.4" customHeight="1" s="152"/>
    <row r="4284" ht="14.4" customHeight="1" s="152"/>
    <row r="4285" ht="14.4" customHeight="1" s="152"/>
    <row r="4286" ht="14.4" customHeight="1" s="152"/>
    <row r="4287" ht="14.4" customHeight="1" s="152"/>
    <row r="4288" ht="14.4" customHeight="1" s="152"/>
    <row r="4289" ht="14.4" customHeight="1" s="152"/>
    <row r="4290" ht="14.4" customHeight="1" s="152"/>
    <row r="4291" ht="14.4" customHeight="1" s="152"/>
    <row r="4292" ht="14.4" customHeight="1" s="152"/>
    <row r="4293" ht="14.4" customHeight="1" s="152"/>
    <row r="4294" ht="14.4" customHeight="1" s="152"/>
    <row r="4295" ht="14.4" customHeight="1" s="152"/>
    <row r="4296" ht="14.4" customHeight="1" s="152"/>
    <row r="4297" ht="14.4" customHeight="1" s="152"/>
    <row r="4298" ht="14.4" customHeight="1" s="152"/>
    <row r="4299" ht="14.4" customHeight="1" s="152"/>
    <row r="4300" ht="14.4" customHeight="1" s="152"/>
    <row r="4301" ht="14.4" customHeight="1" s="152"/>
    <row r="4302" ht="14.4" customHeight="1" s="152"/>
    <row r="4303" ht="14.4" customHeight="1" s="152"/>
    <row r="4304" ht="14.4" customHeight="1" s="152"/>
    <row r="4305" ht="14.4" customHeight="1" s="152"/>
    <row r="4306" ht="14.4" customHeight="1" s="152"/>
    <row r="4307" ht="14.4" customHeight="1" s="152"/>
    <row r="4308" ht="14.4" customHeight="1" s="152"/>
    <row r="4309" ht="14.4" customHeight="1" s="152"/>
    <row r="4310" ht="14.4" customHeight="1" s="152"/>
    <row r="4311" ht="14.4" customHeight="1" s="152"/>
    <row r="4312" ht="14.4" customHeight="1" s="152"/>
    <row r="4313" ht="14.4" customHeight="1" s="152"/>
    <row r="4314" ht="14.4" customHeight="1" s="152"/>
    <row r="4315" ht="14.4" customHeight="1" s="152"/>
    <row r="4316" ht="14.4" customHeight="1" s="152"/>
    <row r="4317" ht="14.4" customHeight="1" s="152"/>
    <row r="4318" ht="14.4" customHeight="1" s="152"/>
    <row r="4319" ht="14.4" customHeight="1" s="152"/>
    <row r="4320" ht="14.4" customHeight="1" s="152"/>
    <row r="4321" ht="14.4" customHeight="1" s="152"/>
    <row r="4322" ht="14.4" customHeight="1" s="152"/>
    <row r="4323" ht="14.4" customHeight="1" s="152"/>
    <row r="4324" ht="14.4" customHeight="1" s="152"/>
    <row r="4325" ht="14.4" customHeight="1" s="152"/>
    <row r="4326" ht="14.4" customHeight="1" s="152"/>
    <row r="4327" ht="14.4" customHeight="1" s="152"/>
    <row r="4328" ht="14.4" customHeight="1" s="152"/>
    <row r="4329" ht="14.4" customHeight="1" s="152"/>
    <row r="4330" ht="14.4" customHeight="1" s="152"/>
    <row r="4331" ht="14.4" customHeight="1" s="152"/>
    <row r="4332" ht="14.4" customHeight="1" s="152"/>
    <row r="4333" ht="14.4" customHeight="1" s="152"/>
    <row r="4334" ht="14.4" customHeight="1" s="152"/>
    <row r="4335" ht="14.4" customHeight="1" s="152"/>
    <row r="4336" ht="14.4" customHeight="1" s="152"/>
    <row r="4337" ht="14.4" customHeight="1" s="152"/>
    <row r="4338" ht="14.4" customHeight="1" s="152"/>
    <row r="4339" ht="14.4" customHeight="1" s="152"/>
    <row r="4340" ht="14.4" customHeight="1" s="152"/>
    <row r="4341" ht="14.4" customHeight="1" s="152"/>
    <row r="4342" ht="14.4" customHeight="1" s="152"/>
    <row r="4343" ht="14.4" customHeight="1" s="152"/>
    <row r="4344" ht="14.4" customHeight="1" s="152"/>
    <row r="4345" ht="14.4" customHeight="1" s="152"/>
    <row r="4346" ht="14.4" customHeight="1" s="152"/>
    <row r="4347" ht="14.4" customHeight="1" s="152"/>
    <row r="4348" ht="14.4" customHeight="1" s="152"/>
    <row r="4349" ht="14.4" customHeight="1" s="152"/>
    <row r="4350" ht="14.4" customHeight="1" s="152"/>
    <row r="4351" ht="14.4" customHeight="1" s="152"/>
    <row r="4352" ht="14.4" customHeight="1" s="152"/>
    <row r="4353" ht="14.4" customHeight="1" s="152"/>
    <row r="4354" ht="14.4" customHeight="1" s="152"/>
    <row r="4355" ht="14.4" customHeight="1" s="152"/>
    <row r="4356" ht="14.4" customHeight="1" s="152"/>
    <row r="4357" ht="14.4" customHeight="1" s="152"/>
    <row r="4358" ht="14.4" customHeight="1" s="152"/>
    <row r="4359" ht="14.4" customHeight="1" s="152"/>
    <row r="4360" ht="14.4" customHeight="1" s="152"/>
    <row r="4361" ht="14.4" customHeight="1" s="152"/>
    <row r="4362" ht="14.4" customHeight="1" s="152"/>
    <row r="4363" ht="14.4" customHeight="1" s="152"/>
    <row r="4364" ht="14.4" customHeight="1" s="152"/>
    <row r="4365" ht="14.4" customHeight="1" s="152"/>
    <row r="4366" ht="14.4" customHeight="1" s="152"/>
    <row r="4367" ht="14.4" customHeight="1" s="152"/>
    <row r="4368" ht="14.4" customHeight="1" s="152"/>
    <row r="4369" ht="14.4" customHeight="1" s="152"/>
    <row r="4370" ht="14.4" customHeight="1" s="152"/>
    <row r="4371" ht="14.4" customHeight="1" s="152"/>
    <row r="4372" ht="14.4" customHeight="1" s="152"/>
    <row r="4373" ht="14.4" customHeight="1" s="152"/>
    <row r="4374" ht="14.4" customHeight="1" s="152"/>
    <row r="4375" ht="14.4" customHeight="1" s="152"/>
    <row r="4376" ht="14.4" customHeight="1" s="152"/>
    <row r="4377" ht="14.4" customHeight="1" s="152"/>
    <row r="4378" ht="14.4" customHeight="1" s="152"/>
    <row r="4379" ht="14.4" customHeight="1" s="152"/>
    <row r="4380" ht="14.4" customHeight="1" s="152"/>
    <row r="4381" ht="14.4" customHeight="1" s="152"/>
    <row r="4382" ht="14.4" customHeight="1" s="152"/>
    <row r="4383" ht="14.4" customHeight="1" s="152"/>
    <row r="4384" ht="14.4" customHeight="1" s="152"/>
    <row r="4385" ht="14.4" customHeight="1" s="152"/>
    <row r="4386" ht="14.4" customHeight="1" s="152"/>
    <row r="4387" ht="14.4" customHeight="1" s="152"/>
    <row r="4388" ht="14.4" customHeight="1" s="152"/>
    <row r="4389" ht="14.4" customHeight="1" s="152"/>
    <row r="4390" ht="14.4" customHeight="1" s="152"/>
    <row r="4391" ht="14.4" customHeight="1" s="152"/>
    <row r="4392" ht="14.4" customHeight="1" s="152"/>
    <row r="4393" ht="14.4" customHeight="1" s="152"/>
    <row r="4394" ht="14.4" customHeight="1" s="152"/>
    <row r="4395" ht="14.4" customHeight="1" s="152"/>
    <row r="4396" ht="14.4" customHeight="1" s="152"/>
    <row r="4397" ht="14.4" customHeight="1" s="152"/>
    <row r="4398" ht="14.4" customHeight="1" s="152"/>
    <row r="4399" ht="14.4" customHeight="1" s="152"/>
    <row r="4400" ht="14.4" customHeight="1" s="152"/>
    <row r="4401" ht="14.4" customHeight="1" s="152"/>
    <row r="4402" ht="14.4" customHeight="1" s="152"/>
    <row r="4403" ht="14.4" customHeight="1" s="152"/>
    <row r="4404" ht="14.4" customHeight="1" s="152"/>
    <row r="4405" ht="14.4" customHeight="1" s="152"/>
    <row r="4406" ht="14.4" customHeight="1" s="152"/>
    <row r="4407" ht="14.4" customHeight="1" s="152"/>
    <row r="4408" ht="14.4" customHeight="1" s="152"/>
    <row r="4409" ht="14.4" customHeight="1" s="152"/>
    <row r="4410" ht="14.4" customHeight="1" s="152"/>
    <row r="4411" ht="14.4" customHeight="1" s="152"/>
    <row r="4412" ht="14.4" customHeight="1" s="152"/>
    <row r="4413" ht="14.4" customHeight="1" s="152"/>
    <row r="4414" ht="14.4" customHeight="1" s="152"/>
    <row r="4415" ht="14.4" customHeight="1" s="152"/>
    <row r="4416" ht="14.4" customHeight="1" s="152"/>
    <row r="4417" ht="14.4" customHeight="1" s="152"/>
    <row r="4418" ht="14.4" customHeight="1" s="152"/>
    <row r="4419" ht="14.4" customHeight="1" s="152"/>
    <row r="4420" ht="14.4" customHeight="1" s="152"/>
    <row r="4421" ht="14.4" customHeight="1" s="152"/>
    <row r="4422" ht="14.4" customHeight="1" s="152"/>
    <row r="4423" ht="14.4" customHeight="1" s="152"/>
    <row r="4424" ht="14.4" customHeight="1" s="152"/>
    <row r="4425" ht="14.4" customHeight="1" s="152"/>
    <row r="4426" ht="14.4" customHeight="1" s="152"/>
    <row r="4427" ht="14.4" customHeight="1" s="152"/>
    <row r="4428" ht="14.4" customHeight="1" s="152"/>
    <row r="4429" ht="14.4" customHeight="1" s="152"/>
    <row r="4430" ht="14.4" customHeight="1" s="152"/>
    <row r="4431" ht="14.4" customHeight="1" s="152"/>
    <row r="4432" ht="14.4" customHeight="1" s="152"/>
    <row r="4433" ht="14.4" customHeight="1" s="152"/>
    <row r="4434" ht="14.4" customHeight="1" s="152"/>
    <row r="4435" ht="14.4" customHeight="1" s="152"/>
    <row r="4436" ht="14.4" customHeight="1" s="152"/>
    <row r="4437" ht="14.4" customHeight="1" s="152"/>
    <row r="4438" ht="14.4" customHeight="1" s="152"/>
    <row r="4439" ht="14.4" customHeight="1" s="152"/>
    <row r="4440" ht="14.4" customHeight="1" s="152"/>
    <row r="4441" ht="14.4" customHeight="1" s="152"/>
    <row r="4442" ht="14.4" customHeight="1" s="152"/>
    <row r="4443" ht="14.4" customHeight="1" s="152"/>
    <row r="4444" ht="14.4" customHeight="1" s="152"/>
    <row r="4445" ht="14.4" customHeight="1" s="152"/>
    <row r="4446" ht="14.4" customHeight="1" s="152"/>
    <row r="4447" ht="14.4" customHeight="1" s="152"/>
    <row r="4448" ht="14.4" customHeight="1" s="152"/>
    <row r="4449" ht="14.4" customHeight="1" s="152"/>
    <row r="4450" ht="14.4" customHeight="1" s="152"/>
    <row r="4451" ht="14.4" customHeight="1" s="152"/>
    <row r="4452" ht="14.4" customHeight="1" s="152"/>
    <row r="4453" ht="14.4" customHeight="1" s="152"/>
    <row r="4454" ht="14.4" customHeight="1" s="152"/>
    <row r="4455" ht="14.4" customHeight="1" s="152"/>
    <row r="4456" ht="14.4" customHeight="1" s="152"/>
    <row r="4457" ht="14.4" customHeight="1" s="152"/>
    <row r="4458" ht="14.4" customHeight="1" s="152"/>
    <row r="4459" ht="14.4" customHeight="1" s="152"/>
    <row r="4460" ht="14.4" customHeight="1" s="152"/>
    <row r="4461" ht="14.4" customHeight="1" s="152"/>
    <row r="4462" ht="14.4" customHeight="1" s="152"/>
    <row r="4463" ht="14.4" customHeight="1" s="152"/>
    <row r="4464" ht="14.4" customHeight="1" s="152"/>
    <row r="4465" ht="14.4" customHeight="1" s="152"/>
    <row r="4466" ht="14.4" customHeight="1" s="152"/>
    <row r="4467" ht="14.4" customHeight="1" s="152"/>
    <row r="4468" ht="14.4" customHeight="1" s="152"/>
    <row r="4469" ht="14.4" customHeight="1" s="152"/>
    <row r="4470" ht="14.4" customHeight="1" s="152"/>
    <row r="4471" ht="14.4" customHeight="1" s="152"/>
    <row r="4472" ht="14.4" customHeight="1" s="152"/>
    <row r="4473" ht="14.4" customHeight="1" s="152"/>
    <row r="4474" ht="14.4" customHeight="1" s="152"/>
    <row r="4475" ht="14.4" customHeight="1" s="152"/>
    <row r="4476" ht="14.4" customHeight="1" s="152"/>
    <row r="4477" ht="14.4" customHeight="1" s="152"/>
    <row r="4478" ht="14.4" customHeight="1" s="152"/>
    <row r="4479" ht="14.4" customHeight="1" s="152"/>
    <row r="4480" ht="14.4" customHeight="1" s="152"/>
    <row r="4481" ht="14.4" customHeight="1" s="152"/>
    <row r="4482" ht="14.4" customHeight="1" s="152"/>
    <row r="4483" ht="14.4" customHeight="1" s="152"/>
    <row r="4484" ht="14.4" customHeight="1" s="152"/>
    <row r="4485" ht="14.4" customHeight="1" s="152"/>
    <row r="4486" ht="14.4" customHeight="1" s="152"/>
    <row r="4487" ht="14.4" customHeight="1" s="152"/>
    <row r="4488" ht="14.4" customHeight="1" s="152"/>
    <row r="4489" ht="14.4" customHeight="1" s="152"/>
    <row r="4490" ht="14.4" customHeight="1" s="152"/>
    <row r="4491" ht="14.4" customHeight="1" s="152"/>
    <row r="4492" ht="14.4" customHeight="1" s="152"/>
    <row r="4493" ht="14.4" customHeight="1" s="152"/>
    <row r="4494" ht="14.4" customHeight="1" s="152"/>
    <row r="4495" ht="14.4" customHeight="1" s="152"/>
    <row r="4496" ht="14.4" customHeight="1" s="152"/>
    <row r="4497" ht="14.4" customHeight="1" s="152"/>
    <row r="4498" ht="14.4" customHeight="1" s="152"/>
    <row r="4499" ht="14.4" customHeight="1" s="152"/>
    <row r="4500" ht="14.4" customHeight="1" s="152"/>
    <row r="4501" ht="14.4" customHeight="1" s="152"/>
    <row r="4502" ht="14.4" customHeight="1" s="152"/>
    <row r="4503" ht="14.4" customHeight="1" s="152"/>
    <row r="4504" ht="14.4" customHeight="1" s="152"/>
    <row r="4505" ht="14.4" customHeight="1" s="152"/>
    <row r="4506" ht="14.4" customHeight="1" s="152"/>
    <row r="4507" ht="14.4" customHeight="1" s="152"/>
    <row r="4508" ht="14.4" customHeight="1" s="152"/>
    <row r="4509" ht="14.4" customHeight="1" s="152"/>
    <row r="4510" ht="14.4" customHeight="1" s="152"/>
    <row r="4511" ht="14.4" customHeight="1" s="152"/>
    <row r="4512" ht="14.4" customHeight="1" s="152"/>
    <row r="4513" ht="14.4" customHeight="1" s="152"/>
    <row r="4514" ht="14.4" customHeight="1" s="152"/>
    <row r="4515" ht="14.4" customHeight="1" s="152"/>
    <row r="4516" ht="14.4" customHeight="1" s="152"/>
    <row r="4517" ht="14.4" customHeight="1" s="152"/>
    <row r="4518" ht="14.4" customHeight="1" s="152"/>
    <row r="4519" ht="14.4" customHeight="1" s="152"/>
    <row r="4520" ht="14.4" customHeight="1" s="152"/>
    <row r="4521" ht="14.4" customHeight="1" s="152"/>
    <row r="4522" ht="14.4" customHeight="1" s="152"/>
    <row r="4523" ht="14.4" customHeight="1" s="152"/>
    <row r="4524" ht="14.4" customHeight="1" s="152"/>
    <row r="4525" ht="14.4" customHeight="1" s="152"/>
    <row r="4526" ht="14.4" customHeight="1" s="152"/>
    <row r="4527" ht="14.4" customHeight="1" s="152"/>
    <row r="4528" ht="14.4" customHeight="1" s="152"/>
    <row r="4529" ht="14.4" customHeight="1" s="152"/>
    <row r="4530" ht="14.4" customHeight="1" s="152"/>
    <row r="4531" ht="14.4" customHeight="1" s="152"/>
    <row r="4532" ht="14.4" customHeight="1" s="152"/>
    <row r="4533" ht="14.4" customHeight="1" s="152"/>
    <row r="4534" ht="14.4" customHeight="1" s="152"/>
    <row r="4535" ht="14.4" customHeight="1" s="152"/>
    <row r="4536" ht="14.4" customHeight="1" s="152"/>
    <row r="4537" ht="14.4" customHeight="1" s="152"/>
    <row r="4538" ht="14.4" customHeight="1" s="152"/>
    <row r="4539" ht="14.4" customHeight="1" s="152"/>
    <row r="4540" ht="14.4" customHeight="1" s="152"/>
    <row r="4541" ht="14.4" customHeight="1" s="152"/>
    <row r="4542" ht="14.4" customHeight="1" s="152"/>
    <row r="4543" ht="14.4" customHeight="1" s="152"/>
    <row r="4544" ht="14.4" customHeight="1" s="152"/>
    <row r="4545" ht="14.4" customHeight="1" s="152"/>
    <row r="4546" ht="14.4" customHeight="1" s="152"/>
    <row r="4547" ht="14.4" customHeight="1" s="152"/>
    <row r="4548" ht="14.4" customHeight="1" s="152"/>
    <row r="4549" ht="14.4" customHeight="1" s="152"/>
    <row r="4550" ht="14.4" customHeight="1" s="152"/>
    <row r="4551" ht="14.4" customHeight="1" s="152"/>
    <row r="4552" ht="14.4" customHeight="1" s="152"/>
    <row r="4553" ht="14.4" customHeight="1" s="152"/>
    <row r="4554" ht="14.4" customHeight="1" s="152"/>
    <row r="4555" ht="14.4" customHeight="1" s="152"/>
    <row r="4556" ht="14.4" customHeight="1" s="152"/>
    <row r="4557" ht="14.4" customHeight="1" s="152"/>
    <row r="4558" ht="14.4" customHeight="1" s="152"/>
    <row r="4559" ht="14.4" customHeight="1" s="152"/>
    <row r="4560" ht="14.4" customHeight="1" s="152"/>
    <row r="4561" ht="14.4" customHeight="1" s="152"/>
    <row r="4562" ht="14.4" customHeight="1" s="152"/>
    <row r="4563" ht="14.4" customHeight="1" s="152"/>
    <row r="4564" ht="14.4" customHeight="1" s="152"/>
    <row r="4565" ht="14.4" customHeight="1" s="152"/>
    <row r="4566" ht="14.4" customHeight="1" s="152"/>
    <row r="4567" ht="14.4" customHeight="1" s="152"/>
    <row r="4568" ht="14.4" customHeight="1" s="152"/>
    <row r="4569" ht="14.4" customHeight="1" s="152"/>
    <row r="4570" ht="14.4" customHeight="1" s="152"/>
    <row r="4571" ht="14.4" customHeight="1" s="152"/>
    <row r="4572" ht="14.4" customHeight="1" s="152"/>
    <row r="4573" ht="14.4" customHeight="1" s="152"/>
    <row r="4574" ht="14.4" customHeight="1" s="152"/>
    <row r="4575" ht="14.4" customHeight="1" s="152"/>
    <row r="4576" ht="14.4" customHeight="1" s="152"/>
    <row r="4577" ht="14.4" customHeight="1" s="152"/>
    <row r="4578" ht="14.4" customHeight="1" s="152"/>
    <row r="4579" ht="14.4" customHeight="1" s="152"/>
    <row r="4580" ht="14.4" customHeight="1" s="152"/>
    <row r="4581" ht="14.4" customHeight="1" s="152"/>
    <row r="4582" ht="14.4" customHeight="1" s="152"/>
    <row r="4583" ht="14.4" customHeight="1" s="152"/>
    <row r="4584" ht="14.4" customHeight="1" s="152"/>
    <row r="4585" ht="14.4" customHeight="1" s="152"/>
    <row r="4586" ht="14.4" customHeight="1" s="152"/>
    <row r="4587" ht="14.4" customHeight="1" s="152"/>
    <row r="4588" ht="14.4" customHeight="1" s="152"/>
    <row r="4589" ht="14.4" customHeight="1" s="152"/>
    <row r="4590" ht="14.4" customHeight="1" s="152"/>
    <row r="4591" ht="14.4" customHeight="1" s="152"/>
    <row r="4592" ht="14.4" customHeight="1" s="152"/>
    <row r="4593" ht="14.4" customHeight="1" s="152"/>
    <row r="4594" ht="14.4" customHeight="1" s="152"/>
    <row r="4595" ht="14.4" customHeight="1" s="152"/>
    <row r="4596" ht="14.4" customHeight="1" s="152"/>
    <row r="4597" ht="14.4" customHeight="1" s="152"/>
    <row r="4598" ht="14.4" customHeight="1" s="152"/>
    <row r="4599" ht="14.4" customHeight="1" s="152"/>
    <row r="4600" ht="14.4" customHeight="1" s="152"/>
    <row r="4601" ht="14.4" customHeight="1" s="152"/>
    <row r="4602" ht="14.4" customHeight="1" s="152"/>
    <row r="4603" ht="14.4" customHeight="1" s="152"/>
    <row r="4604" ht="14.4" customHeight="1" s="152"/>
    <row r="4605" ht="14.4" customHeight="1" s="152"/>
    <row r="4606" ht="14.4" customHeight="1" s="152"/>
    <row r="4607" ht="14.4" customHeight="1" s="152"/>
    <row r="4608" ht="14.4" customHeight="1" s="152"/>
    <row r="4609" ht="14.4" customHeight="1" s="152"/>
    <row r="4610" ht="14.4" customHeight="1" s="152"/>
    <row r="4611" ht="14.4" customHeight="1" s="152"/>
    <row r="4612" ht="14.4" customHeight="1" s="152"/>
    <row r="4613" ht="14.4" customHeight="1" s="152"/>
    <row r="4614" ht="14.4" customHeight="1" s="152"/>
    <row r="4615" ht="14.4" customHeight="1" s="152"/>
    <row r="4616" ht="14.4" customHeight="1" s="152"/>
    <row r="4617" ht="14.4" customHeight="1" s="152"/>
    <row r="4618" ht="14.4" customHeight="1" s="152"/>
    <row r="4619" ht="14.4" customHeight="1" s="152"/>
    <row r="4620" ht="14.4" customHeight="1" s="152"/>
    <row r="4621" ht="14.4" customHeight="1" s="152"/>
    <row r="4622" ht="14.4" customHeight="1" s="152"/>
    <row r="4623" ht="14.4" customHeight="1" s="152"/>
    <row r="4624" ht="14.4" customHeight="1" s="152"/>
    <row r="4625" ht="14.4" customHeight="1" s="152"/>
    <row r="4626" ht="14.4" customHeight="1" s="152"/>
    <row r="4627" ht="14.4" customHeight="1" s="152"/>
    <row r="4628" ht="14.4" customHeight="1" s="152"/>
    <row r="4629" ht="14.4" customHeight="1" s="152"/>
    <row r="4630" ht="14.4" customHeight="1" s="152"/>
    <row r="4631" ht="14.4" customHeight="1" s="152"/>
    <row r="4632" ht="14.4" customHeight="1" s="152"/>
    <row r="4633" ht="14.4" customHeight="1" s="152"/>
    <row r="4634" ht="14.4" customHeight="1" s="152"/>
    <row r="4635" ht="14.4" customHeight="1" s="152"/>
    <row r="4636" ht="14.4" customHeight="1" s="152"/>
    <row r="4637" ht="14.4" customHeight="1" s="152"/>
    <row r="4638" ht="14.4" customHeight="1" s="152"/>
    <row r="4639" ht="14.4" customHeight="1" s="152"/>
    <row r="4640" ht="14.4" customHeight="1" s="152"/>
    <row r="4641" ht="14.4" customHeight="1" s="152"/>
    <row r="4642" ht="14.4" customHeight="1" s="152"/>
    <row r="4643" ht="14.4" customHeight="1" s="152"/>
    <row r="4644" ht="14.4" customHeight="1" s="152"/>
    <row r="4645" ht="14.4" customHeight="1" s="152"/>
    <row r="4646" ht="14.4" customHeight="1" s="152"/>
    <row r="4647" ht="14.4" customHeight="1" s="152"/>
    <row r="4648" ht="14.4" customHeight="1" s="152"/>
    <row r="4649" ht="14.4" customHeight="1" s="152"/>
    <row r="4650" ht="14.4" customHeight="1" s="152"/>
    <row r="4651" ht="14.4" customHeight="1" s="152"/>
    <row r="4652" ht="14.4" customHeight="1" s="152"/>
    <row r="4653" ht="14.4" customHeight="1" s="152"/>
    <row r="4654" ht="14.4" customHeight="1" s="152"/>
    <row r="4655" ht="14.4" customHeight="1" s="152"/>
    <row r="4656" ht="14.4" customHeight="1" s="152"/>
    <row r="4657" ht="14.4" customHeight="1" s="152"/>
    <row r="4658" ht="14.4" customHeight="1" s="152"/>
    <row r="4659" ht="14.4" customHeight="1" s="152"/>
    <row r="4660" ht="14.4" customHeight="1" s="152"/>
    <row r="4661" ht="14.4" customHeight="1" s="152"/>
    <row r="4662" ht="14.4" customHeight="1" s="152"/>
    <row r="4663" ht="14.4" customHeight="1" s="152"/>
    <row r="4664" ht="14.4" customHeight="1" s="152"/>
    <row r="4665" ht="14.4" customHeight="1" s="152"/>
    <row r="4666" ht="14.4" customHeight="1" s="152"/>
    <row r="4667" ht="14.4" customHeight="1" s="152"/>
    <row r="4668" ht="14.4" customHeight="1" s="152"/>
    <row r="4669" ht="14.4" customHeight="1" s="152"/>
    <row r="4670" ht="14.4" customHeight="1" s="152"/>
    <row r="4671" ht="14.4" customHeight="1" s="152"/>
    <row r="4672" ht="14.4" customHeight="1" s="152"/>
    <row r="4673" ht="14.4" customHeight="1" s="152"/>
    <row r="4674" ht="14.4" customHeight="1" s="152"/>
    <row r="4675" ht="14.4" customHeight="1" s="152"/>
    <row r="4676" ht="14.4" customHeight="1" s="152"/>
    <row r="4677" ht="14.4" customHeight="1" s="152"/>
    <row r="4678" ht="14.4" customHeight="1" s="152"/>
    <row r="4679" ht="14.4" customHeight="1" s="152"/>
    <row r="4680" ht="14.4" customHeight="1" s="152"/>
    <row r="4681" ht="14.4" customHeight="1" s="152"/>
    <row r="4682" ht="14.4" customHeight="1" s="152"/>
    <row r="4683" ht="14.4" customHeight="1" s="152"/>
    <row r="4684" ht="14.4" customHeight="1" s="152"/>
    <row r="4685" ht="14.4" customHeight="1" s="152"/>
    <row r="4686" ht="14.4" customHeight="1" s="152"/>
    <row r="4687" ht="14.4" customHeight="1" s="152"/>
    <row r="4688" ht="14.4" customHeight="1" s="152"/>
    <row r="4689" ht="14.4" customHeight="1" s="152"/>
    <row r="4690" ht="14.4" customHeight="1" s="152"/>
    <row r="4691" ht="14.4" customHeight="1" s="152"/>
    <row r="4692" ht="14.4" customHeight="1" s="152"/>
    <row r="4693" ht="14.4" customHeight="1" s="152"/>
    <row r="4694" ht="14.4" customHeight="1" s="152"/>
    <row r="4695" ht="14.4" customHeight="1" s="152"/>
    <row r="4696" ht="14.4" customHeight="1" s="152"/>
    <row r="4697" ht="14.4" customHeight="1" s="152"/>
    <row r="4698" ht="14.4" customHeight="1" s="152"/>
    <row r="4699" ht="14.4" customHeight="1" s="152"/>
    <row r="4700" ht="14.4" customHeight="1" s="152"/>
    <row r="4701" ht="14.4" customHeight="1" s="152"/>
    <row r="4702" ht="14.4" customHeight="1" s="152"/>
    <row r="4703" ht="14.4" customHeight="1" s="152"/>
    <row r="4704" ht="14.4" customHeight="1" s="152"/>
    <row r="4705" ht="14.4" customHeight="1" s="152"/>
    <row r="4706" ht="14.4" customHeight="1" s="152"/>
    <row r="4707" ht="14.4" customHeight="1" s="152"/>
    <row r="4708" ht="14.4" customHeight="1" s="152"/>
    <row r="4709" ht="14.4" customHeight="1" s="152"/>
    <row r="4710" ht="14.4" customHeight="1" s="152"/>
    <row r="4711" ht="14.4" customHeight="1" s="152"/>
    <row r="4712" ht="14.4" customHeight="1" s="152"/>
    <row r="4713" ht="14.4" customHeight="1" s="152"/>
    <row r="4714" ht="14.4" customHeight="1" s="152"/>
    <row r="4715" ht="14.4" customHeight="1" s="152"/>
    <row r="4716" ht="14.4" customHeight="1" s="152"/>
    <row r="4717" ht="14.4" customHeight="1" s="152"/>
    <row r="4718" ht="14.4" customHeight="1" s="152"/>
    <row r="4719" ht="14.4" customHeight="1" s="152"/>
    <row r="4720" ht="14.4" customHeight="1" s="152"/>
    <row r="4721" ht="14.4" customHeight="1" s="152"/>
    <row r="4722" ht="14.4" customHeight="1" s="152"/>
    <row r="4723" ht="14.4" customHeight="1" s="152"/>
    <row r="4724" ht="14.4" customHeight="1" s="152"/>
    <row r="4725" ht="14.4" customHeight="1" s="152"/>
    <row r="4726" ht="14.4" customHeight="1" s="152"/>
    <row r="4727" ht="14.4" customHeight="1" s="152"/>
    <row r="4728" ht="14.4" customHeight="1" s="152"/>
    <row r="4729" ht="14.4" customHeight="1" s="152"/>
    <row r="4730" ht="14.4" customHeight="1" s="152"/>
    <row r="4731" ht="14.4" customHeight="1" s="152"/>
    <row r="4732" ht="14.4" customHeight="1" s="152"/>
    <row r="4733" ht="14.4" customHeight="1" s="152"/>
    <row r="4734" ht="14.4" customHeight="1" s="152"/>
    <row r="4735" ht="14.4" customHeight="1" s="152"/>
    <row r="4736" ht="14.4" customHeight="1" s="152"/>
    <row r="4737" ht="14.4" customHeight="1" s="152"/>
    <row r="4738" ht="14.4" customHeight="1" s="152"/>
    <row r="4739" ht="14.4" customHeight="1" s="152"/>
    <row r="4740" ht="14.4" customHeight="1" s="152"/>
    <row r="4741" ht="14.4" customHeight="1" s="152"/>
    <row r="4742" ht="14.4" customHeight="1" s="152"/>
    <row r="4743" ht="14.4" customHeight="1" s="152"/>
    <row r="4744" ht="14.4" customHeight="1" s="152"/>
    <row r="4745" ht="14.4" customHeight="1" s="152"/>
    <row r="4746" ht="14.4" customHeight="1" s="152"/>
    <row r="4747" ht="14.4" customHeight="1" s="152"/>
    <row r="4748" ht="14.4" customHeight="1" s="152"/>
    <row r="4749" ht="14.4" customHeight="1" s="152"/>
    <row r="4750" ht="14.4" customHeight="1" s="152"/>
    <row r="4751" ht="14.4" customHeight="1" s="152"/>
    <row r="4752" ht="14.4" customHeight="1" s="152"/>
    <row r="4753" ht="14.4" customHeight="1" s="152"/>
    <row r="4754" ht="14.4" customHeight="1" s="152"/>
    <row r="4755" ht="14.4" customHeight="1" s="152"/>
    <row r="4756" ht="14.4" customHeight="1" s="152"/>
    <row r="4757" ht="14.4" customHeight="1" s="152"/>
    <row r="4758" ht="14.4" customHeight="1" s="152"/>
    <row r="4759" ht="14.4" customHeight="1" s="152"/>
    <row r="4760" ht="14.4" customHeight="1" s="152"/>
    <row r="4761" ht="14.4" customHeight="1" s="152"/>
    <row r="4762" ht="14.4" customHeight="1" s="152"/>
    <row r="4763" ht="14.4" customHeight="1" s="152"/>
    <row r="4764" ht="14.4" customHeight="1" s="152"/>
    <row r="4765" ht="14.4" customHeight="1" s="152"/>
    <row r="4766" ht="14.4" customHeight="1" s="152"/>
    <row r="4767" ht="14.4" customHeight="1" s="152"/>
    <row r="4768" ht="14.4" customHeight="1" s="152"/>
    <row r="4769" ht="14.4" customHeight="1" s="152"/>
    <row r="4770" ht="14.4" customHeight="1" s="152"/>
    <row r="4771" ht="14.4" customHeight="1" s="152"/>
    <row r="4772" ht="14.4" customHeight="1" s="152"/>
    <row r="4773" ht="14.4" customHeight="1" s="152"/>
    <row r="4774" ht="14.4" customHeight="1" s="152"/>
    <row r="4775" ht="14.4" customHeight="1" s="152"/>
    <row r="4776" ht="14.4" customHeight="1" s="152"/>
    <row r="4777" ht="14.4" customHeight="1" s="152"/>
    <row r="4778" ht="14.4" customHeight="1" s="152"/>
    <row r="4779" ht="14.4" customHeight="1" s="152"/>
    <row r="4780" ht="14.4" customHeight="1" s="152"/>
    <row r="4781" ht="14.4" customHeight="1" s="152"/>
    <row r="4782" ht="14.4" customHeight="1" s="152"/>
    <row r="4783" ht="14.4" customHeight="1" s="152"/>
    <row r="4784" ht="14.4" customHeight="1" s="152"/>
    <row r="4785" ht="14.4" customHeight="1" s="152"/>
    <row r="4786" ht="14.4" customHeight="1" s="152"/>
    <row r="4787" ht="14.4" customHeight="1" s="152"/>
    <row r="4788" ht="14.4" customHeight="1" s="152"/>
    <row r="4789" ht="14.4" customHeight="1" s="152"/>
    <row r="4790" ht="14.4" customHeight="1" s="152"/>
    <row r="4791" ht="14.4" customHeight="1" s="152"/>
    <row r="4792" ht="14.4" customHeight="1" s="152"/>
    <row r="4793" ht="14.4" customHeight="1" s="152"/>
    <row r="4794" ht="14.4" customHeight="1" s="152"/>
    <row r="4795" ht="14.4" customHeight="1" s="152"/>
    <row r="4796" ht="14.4" customHeight="1" s="152"/>
    <row r="4797" ht="14.4" customHeight="1" s="152"/>
    <row r="4798" ht="14.4" customHeight="1" s="152"/>
    <row r="4799" ht="14.4" customHeight="1" s="152"/>
    <row r="4800" ht="14.4" customHeight="1" s="152"/>
    <row r="4801" ht="14.4" customHeight="1" s="152"/>
    <row r="4802" ht="14.4" customHeight="1" s="152"/>
    <row r="4803" ht="14.4" customHeight="1" s="152"/>
    <row r="4804" ht="14.4" customHeight="1" s="152"/>
    <row r="4805" ht="14.4" customHeight="1" s="152"/>
    <row r="4806" ht="14.4" customHeight="1" s="152"/>
    <row r="4807" ht="14.4" customHeight="1" s="152"/>
    <row r="4808" ht="14.4" customHeight="1" s="152"/>
    <row r="4809" ht="14.4" customHeight="1" s="152"/>
    <row r="4810" ht="14.4" customHeight="1" s="152"/>
    <row r="4811" ht="14.4" customHeight="1" s="152"/>
    <row r="4812" ht="14.4" customHeight="1" s="152"/>
    <row r="4813" ht="14.4" customHeight="1" s="152"/>
    <row r="4814" ht="14.4" customHeight="1" s="152"/>
    <row r="4815" ht="14.4" customHeight="1" s="152"/>
    <row r="4816" ht="14.4" customHeight="1" s="152"/>
    <row r="4817" ht="14.4" customHeight="1" s="152"/>
    <row r="4818" ht="14.4" customHeight="1" s="152"/>
    <row r="4819" ht="14.4" customHeight="1" s="152"/>
    <row r="4820" ht="14.4" customHeight="1" s="152"/>
    <row r="4821" ht="14.4" customHeight="1" s="152"/>
    <row r="4822" ht="14.4" customHeight="1" s="152"/>
    <row r="4823" ht="14.4" customHeight="1" s="152"/>
    <row r="4824" ht="14.4" customHeight="1" s="152"/>
    <row r="4825" ht="14.4" customHeight="1" s="152"/>
    <row r="4826" ht="14.4" customHeight="1" s="152"/>
    <row r="4827" ht="14.4" customHeight="1" s="152"/>
    <row r="4828" ht="14.4" customHeight="1" s="152"/>
    <row r="4829" ht="14.4" customHeight="1" s="152"/>
    <row r="4830" ht="14.4" customHeight="1" s="152"/>
    <row r="4831" ht="14.4" customHeight="1" s="152"/>
    <row r="4832" ht="14.4" customHeight="1" s="152"/>
    <row r="4833" ht="14.4" customHeight="1" s="152"/>
    <row r="4834" ht="14.4" customHeight="1" s="152"/>
    <row r="4835" ht="14.4" customHeight="1" s="152"/>
    <row r="4836" ht="14.4" customHeight="1" s="152"/>
    <row r="4837" ht="14.4" customHeight="1" s="152"/>
    <row r="4838" ht="14.4" customHeight="1" s="152"/>
    <row r="4839" ht="14.4" customHeight="1" s="152"/>
    <row r="4840" ht="14.4" customHeight="1" s="152"/>
    <row r="4841" ht="14.4" customHeight="1" s="152"/>
    <row r="4842" ht="14.4" customHeight="1" s="152"/>
    <row r="4843" ht="14.4" customHeight="1" s="152"/>
    <row r="4844" ht="14.4" customHeight="1" s="152"/>
    <row r="4845" ht="14.4" customHeight="1" s="152"/>
    <row r="4846" ht="14.4" customHeight="1" s="152"/>
    <row r="4847" ht="14.4" customHeight="1" s="152"/>
    <row r="4848" ht="14.4" customHeight="1" s="152"/>
    <row r="4849" ht="14.4" customHeight="1" s="152"/>
    <row r="4850" ht="14.4" customHeight="1" s="152"/>
    <row r="4851" ht="14.4" customHeight="1" s="152"/>
    <row r="4852" ht="14.4" customHeight="1" s="152"/>
    <row r="4853" ht="14.4" customHeight="1" s="152"/>
    <row r="4854" ht="14.4" customHeight="1" s="152"/>
    <row r="4855" ht="14.4" customHeight="1" s="152"/>
    <row r="4856" ht="14.4" customHeight="1" s="152"/>
    <row r="4857" ht="14.4" customHeight="1" s="152"/>
    <row r="4858" ht="14.4" customHeight="1" s="152"/>
    <row r="4859" ht="14.4" customHeight="1" s="152"/>
    <row r="4860" ht="14.4" customHeight="1" s="152"/>
    <row r="4861" ht="14.4" customHeight="1" s="152"/>
    <row r="4862" ht="14.4" customHeight="1" s="152"/>
    <row r="4863" ht="14.4" customHeight="1" s="152"/>
    <row r="4864" ht="14.4" customHeight="1" s="152"/>
    <row r="4865" ht="14.4" customHeight="1" s="152"/>
    <row r="4866" ht="14.4" customHeight="1" s="152"/>
    <row r="4867" ht="14.4" customHeight="1" s="152"/>
    <row r="4868" ht="14.4" customHeight="1" s="152"/>
    <row r="4869" ht="14.4" customHeight="1" s="152"/>
    <row r="4870" ht="14.4" customHeight="1" s="152"/>
    <row r="4871" ht="14.4" customHeight="1" s="152"/>
    <row r="4872" ht="14.4" customHeight="1" s="152"/>
    <row r="4873" ht="14.4" customHeight="1" s="152"/>
    <row r="4874" ht="14.4" customHeight="1" s="152"/>
    <row r="4875" ht="14.4" customHeight="1" s="152"/>
    <row r="4876" ht="14.4" customHeight="1" s="152"/>
    <row r="4877" ht="14.4" customHeight="1" s="152"/>
    <row r="4878" ht="14.4" customHeight="1" s="152"/>
    <row r="4879" ht="14.4" customHeight="1" s="152"/>
    <row r="4880" ht="14.4" customHeight="1" s="152"/>
    <row r="4881" ht="14.4" customHeight="1" s="152"/>
    <row r="4882" ht="14.4" customHeight="1" s="152"/>
    <row r="4883" ht="14.4" customHeight="1" s="152"/>
    <row r="4884" ht="14.4" customHeight="1" s="152"/>
    <row r="4885" ht="14.4" customHeight="1" s="152"/>
    <row r="4886" ht="14.4" customHeight="1" s="152"/>
    <row r="4887" ht="14.4" customHeight="1" s="152"/>
    <row r="4888" ht="14.4" customHeight="1" s="152"/>
    <row r="4889" ht="14.4" customHeight="1" s="152"/>
    <row r="4890" ht="14.4" customHeight="1" s="152"/>
    <row r="4891" ht="14.4" customHeight="1" s="152"/>
    <row r="4892" ht="14.4" customHeight="1" s="152"/>
    <row r="4893" ht="14.4" customHeight="1" s="152"/>
    <row r="4894" ht="14.4" customHeight="1" s="152"/>
    <row r="4895" ht="14.4" customHeight="1" s="152"/>
    <row r="4896" ht="14.4" customHeight="1" s="152"/>
    <row r="4897" ht="14.4" customHeight="1" s="152"/>
    <row r="4898" ht="14.4" customHeight="1" s="152"/>
    <row r="4899" ht="14.4" customHeight="1" s="152"/>
    <row r="4900" ht="14.4" customHeight="1" s="152"/>
    <row r="4901" ht="14.4" customHeight="1" s="152"/>
    <row r="4902" ht="14.4" customHeight="1" s="152"/>
    <row r="4903" ht="14.4" customHeight="1" s="152"/>
    <row r="4904" ht="14.4" customHeight="1" s="152"/>
    <row r="4905" ht="14.4" customHeight="1" s="152"/>
    <row r="4906" ht="14.4" customHeight="1" s="152"/>
    <row r="4907" ht="14.4" customHeight="1" s="152"/>
    <row r="4908" ht="14.4" customHeight="1" s="152"/>
    <row r="4909" ht="14.4" customHeight="1" s="152"/>
    <row r="4910" ht="14.4" customHeight="1" s="152"/>
    <row r="4911" ht="14.4" customHeight="1" s="152"/>
    <row r="4912" ht="14.4" customHeight="1" s="152"/>
    <row r="4913" ht="14.4" customHeight="1" s="152"/>
    <row r="4914" ht="14.4" customHeight="1" s="152"/>
    <row r="4915" ht="14.4" customHeight="1" s="152"/>
    <row r="4916" ht="14.4" customHeight="1" s="152"/>
    <row r="4917" ht="14.4" customHeight="1" s="152"/>
    <row r="4918" ht="14.4" customHeight="1" s="152"/>
    <row r="4919" ht="14.4" customHeight="1" s="152"/>
    <row r="4920" ht="14.4" customHeight="1" s="152"/>
    <row r="4921" ht="14.4" customHeight="1" s="152"/>
    <row r="4922" ht="14.4" customHeight="1" s="152"/>
    <row r="4923" ht="14.4" customHeight="1" s="152"/>
    <row r="4924" ht="14.4" customHeight="1" s="152"/>
    <row r="4925" ht="14.4" customHeight="1" s="152"/>
    <row r="4926" ht="14.4" customHeight="1" s="152"/>
    <row r="4927" ht="14.4" customHeight="1" s="152"/>
    <row r="4928" ht="14.4" customHeight="1" s="152"/>
    <row r="4929" ht="14.4" customHeight="1" s="152"/>
    <row r="4930" ht="14.4" customHeight="1" s="152"/>
    <row r="4931" ht="14.4" customHeight="1" s="152"/>
    <row r="4932" ht="14.4" customHeight="1" s="152"/>
    <row r="4933" ht="14.4" customHeight="1" s="152"/>
    <row r="4934" ht="14.4" customHeight="1" s="152"/>
    <row r="4935" ht="14.4" customHeight="1" s="152"/>
    <row r="4936" ht="14.4" customHeight="1" s="152"/>
    <row r="4937" ht="14.4" customHeight="1" s="152"/>
    <row r="4938" ht="14.4" customHeight="1" s="152"/>
    <row r="4939" ht="14.4" customHeight="1" s="152"/>
    <row r="4940" ht="14.4" customHeight="1" s="152"/>
    <row r="4941" ht="14.4" customHeight="1" s="152"/>
    <row r="4942" ht="14.4" customHeight="1" s="152"/>
    <row r="4943" ht="14.4" customHeight="1" s="152"/>
    <row r="4944" ht="14.4" customHeight="1" s="152"/>
    <row r="4945" ht="14.4" customHeight="1" s="152"/>
    <row r="4946" ht="14.4" customHeight="1" s="152"/>
    <row r="4947" ht="14.4" customHeight="1" s="152"/>
    <row r="4948" ht="14.4" customHeight="1" s="152"/>
    <row r="4949" ht="14.4" customHeight="1" s="152"/>
    <row r="4950" ht="14.4" customHeight="1" s="152"/>
    <row r="4951" ht="14.4" customHeight="1" s="152"/>
    <row r="4952" ht="14.4" customHeight="1" s="152"/>
    <row r="4953" ht="14.4" customHeight="1" s="152"/>
    <row r="4954" ht="14.4" customHeight="1" s="152"/>
    <row r="4955" ht="14.4" customHeight="1" s="152"/>
    <row r="4956" ht="14.4" customHeight="1" s="152"/>
    <row r="4957" ht="14.4" customHeight="1" s="152"/>
    <row r="4958" ht="14.4" customHeight="1" s="152"/>
    <row r="4959" ht="14.4" customHeight="1" s="152"/>
    <row r="4960" ht="14.4" customHeight="1" s="152"/>
    <row r="4961" ht="14.4" customHeight="1" s="152"/>
    <row r="4962" ht="14.4" customHeight="1" s="152"/>
    <row r="4963" ht="14.4" customHeight="1" s="152"/>
    <row r="4964" ht="14.4" customHeight="1" s="152"/>
    <row r="4965" ht="14.4" customHeight="1" s="152"/>
    <row r="4966" ht="14.4" customHeight="1" s="152"/>
    <row r="4967" ht="14.4" customHeight="1" s="152"/>
    <row r="4968" ht="14.4" customHeight="1" s="152"/>
    <row r="4969" ht="14.4" customHeight="1" s="152"/>
    <row r="4970" ht="14.4" customHeight="1" s="152"/>
    <row r="4971" ht="14.4" customHeight="1" s="152"/>
    <row r="4972" ht="14.4" customHeight="1" s="152"/>
    <row r="4973" ht="14.4" customHeight="1" s="152"/>
    <row r="4974" ht="14.4" customHeight="1" s="152"/>
    <row r="4975" ht="14.4" customHeight="1" s="152"/>
    <row r="4976" ht="14.4" customHeight="1" s="152"/>
    <row r="4977" ht="14.4" customHeight="1" s="152"/>
    <row r="4978" ht="14.4" customHeight="1" s="152"/>
    <row r="4979" ht="14.4" customHeight="1" s="152"/>
    <row r="4980" ht="14.4" customHeight="1" s="152"/>
    <row r="4981" ht="14.4" customHeight="1" s="152"/>
    <row r="4982" ht="14.4" customHeight="1" s="152"/>
    <row r="4983" ht="14.4" customHeight="1" s="152"/>
    <row r="4984" ht="14.4" customHeight="1" s="152"/>
    <row r="4985" ht="14.4" customHeight="1" s="152"/>
    <row r="4986" ht="14.4" customHeight="1" s="152"/>
    <row r="4987" ht="14.4" customHeight="1" s="152"/>
    <row r="4988" ht="14.4" customHeight="1" s="152"/>
    <row r="4989" ht="14.4" customHeight="1" s="152"/>
    <row r="4990" ht="14.4" customHeight="1" s="152"/>
    <row r="4991" ht="14.4" customHeight="1" s="152"/>
    <row r="4992" ht="14.4" customHeight="1" s="152"/>
    <row r="4993" ht="14.4" customHeight="1" s="152"/>
    <row r="4994" ht="14.4" customHeight="1" s="152"/>
    <row r="4995" ht="14.4" customHeight="1" s="152"/>
    <row r="4996" ht="14.4" customHeight="1" s="152"/>
    <row r="4997" ht="14.4" customHeight="1" s="152"/>
    <row r="4998" ht="14.4" customHeight="1" s="152"/>
    <row r="4999" ht="14.4" customHeight="1" s="152"/>
    <row r="5000" ht="14.4" customHeight="1" s="152"/>
    <row r="5001" ht="14.4" customHeight="1" s="152"/>
    <row r="5002" ht="14.4" customHeight="1" s="152"/>
    <row r="5003" ht="14.4" customHeight="1" s="152"/>
    <row r="5004" ht="14.4" customHeight="1" s="152"/>
    <row r="5005" ht="14.4" customHeight="1" s="152"/>
    <row r="5006" ht="14.4" customHeight="1" s="152"/>
    <row r="5007" ht="14.4" customHeight="1" s="152"/>
    <row r="5008" ht="14.4" customHeight="1" s="152"/>
    <row r="5009" ht="14.4" customHeight="1" s="152"/>
    <row r="5010" ht="14.4" customHeight="1" s="152"/>
    <row r="5011" ht="14.4" customHeight="1" s="152"/>
    <row r="5012" ht="14.4" customHeight="1" s="152"/>
    <row r="5013" ht="14.4" customHeight="1" s="152"/>
    <row r="5014" ht="14.4" customHeight="1" s="152"/>
    <row r="5015" ht="14.4" customHeight="1" s="152"/>
    <row r="5016" ht="14.4" customHeight="1" s="152"/>
    <row r="5017" ht="14.4" customHeight="1" s="152"/>
    <row r="5018" ht="14.4" customHeight="1" s="152"/>
    <row r="5019" ht="14.4" customHeight="1" s="152"/>
    <row r="5020" ht="14.4" customHeight="1" s="152"/>
    <row r="5021" ht="14.4" customHeight="1" s="152"/>
    <row r="5022" ht="14.4" customHeight="1" s="152"/>
    <row r="5023" ht="14.4" customHeight="1" s="152"/>
    <row r="5024" ht="14.4" customHeight="1" s="152"/>
    <row r="5025" ht="14.4" customHeight="1" s="152"/>
    <row r="5026" ht="14.4" customHeight="1" s="152"/>
    <row r="5027" ht="14.4" customHeight="1" s="152"/>
    <row r="5028" ht="14.4" customHeight="1" s="152"/>
    <row r="5029" ht="14.4" customHeight="1" s="152"/>
    <row r="5030" ht="14.4" customHeight="1" s="152"/>
    <row r="5031" ht="14.4" customHeight="1" s="152"/>
    <row r="5032" ht="14.4" customHeight="1" s="152"/>
    <row r="5033" ht="14.4" customHeight="1" s="152"/>
    <row r="5034" ht="14.4" customHeight="1" s="152"/>
    <row r="5035" ht="14.4" customHeight="1" s="152"/>
    <row r="5036" ht="14.4" customHeight="1" s="152"/>
    <row r="5037" ht="14.4" customHeight="1" s="152"/>
    <row r="5038" ht="14.4" customHeight="1" s="152"/>
    <row r="5039" ht="14.4" customHeight="1" s="152"/>
    <row r="5040" ht="14.4" customHeight="1" s="152"/>
    <row r="5041" ht="14.4" customHeight="1" s="152"/>
    <row r="5042" ht="14.4" customHeight="1" s="152"/>
    <row r="5043" ht="14.4" customHeight="1" s="152"/>
    <row r="5044" ht="14.4" customHeight="1" s="152"/>
    <row r="5045" ht="14.4" customHeight="1" s="152"/>
    <row r="5046" ht="14.4" customHeight="1" s="152"/>
    <row r="5047" ht="14.4" customHeight="1" s="152"/>
    <row r="5048" ht="14.4" customHeight="1" s="152"/>
    <row r="5049" ht="14.4" customHeight="1" s="152"/>
    <row r="5050" ht="14.4" customHeight="1" s="152"/>
    <row r="5051" ht="14.4" customHeight="1" s="152"/>
    <row r="5052" ht="14.4" customHeight="1" s="152"/>
    <row r="5053" ht="14.4" customHeight="1" s="152"/>
    <row r="5054" ht="14.4" customHeight="1" s="152"/>
    <row r="5055" ht="14.4" customHeight="1" s="152"/>
    <row r="5056" ht="14.4" customHeight="1" s="152"/>
    <row r="5057" ht="14.4" customHeight="1" s="152"/>
    <row r="5058" ht="14.4" customHeight="1" s="152"/>
    <row r="5059" ht="14.4" customHeight="1" s="152"/>
    <row r="5060" ht="14.4" customHeight="1" s="152"/>
    <row r="5061" ht="14.4" customHeight="1" s="152"/>
    <row r="5062" ht="14.4" customHeight="1" s="152"/>
    <row r="5063" ht="14.4" customHeight="1" s="152"/>
    <row r="5064" ht="14.4" customHeight="1" s="152"/>
    <row r="5065" ht="14.4" customHeight="1" s="152"/>
    <row r="5066" ht="14.4" customHeight="1" s="152"/>
    <row r="5067" ht="14.4" customHeight="1" s="152"/>
    <row r="5068" ht="14.4" customHeight="1" s="152"/>
    <row r="5069" ht="14.4" customHeight="1" s="152"/>
    <row r="5070" ht="14.4" customHeight="1" s="152"/>
    <row r="5071" ht="14.4" customHeight="1" s="152"/>
    <row r="5072" ht="14.4" customHeight="1" s="152"/>
    <row r="5073" ht="14.4" customHeight="1" s="152"/>
    <row r="5074" ht="14.4" customHeight="1" s="152"/>
    <row r="5075" ht="14.4" customHeight="1" s="152"/>
    <row r="5076" ht="14.4" customHeight="1" s="152"/>
    <row r="5077" ht="14.4" customHeight="1" s="152"/>
    <row r="5078" ht="14.4" customHeight="1" s="152"/>
    <row r="5079" ht="14.4" customHeight="1" s="152"/>
    <row r="5080" ht="14.4" customHeight="1" s="152"/>
    <row r="5081" ht="14.4" customHeight="1" s="152"/>
    <row r="5082" ht="14.4" customHeight="1" s="152"/>
    <row r="5083" ht="14.4" customHeight="1" s="152"/>
    <row r="5084" ht="14.4" customHeight="1" s="152"/>
    <row r="5085" ht="14.4" customHeight="1" s="152"/>
    <row r="5086" ht="14.4" customHeight="1" s="152"/>
    <row r="5087" ht="14.4" customHeight="1" s="152"/>
    <row r="5088" ht="14.4" customHeight="1" s="152"/>
    <row r="5089" ht="14.4" customHeight="1" s="152"/>
    <row r="5090" ht="14.4" customHeight="1" s="152"/>
    <row r="5091" ht="14.4" customHeight="1" s="152"/>
    <row r="5092" ht="14.4" customHeight="1" s="152"/>
    <row r="5093" ht="14.4" customHeight="1" s="152"/>
    <row r="5094" ht="14.4" customHeight="1" s="152"/>
    <row r="5095" ht="14.4" customHeight="1" s="152"/>
    <row r="5096" ht="14.4" customHeight="1" s="152"/>
    <row r="5097" ht="14.4" customHeight="1" s="152"/>
    <row r="5098" ht="14.4" customHeight="1" s="152"/>
    <row r="5099" ht="14.4" customHeight="1" s="152"/>
    <row r="5100" ht="14.4" customHeight="1" s="152"/>
    <row r="5101" ht="14.4" customHeight="1" s="152"/>
    <row r="5102" ht="14.4" customHeight="1" s="152"/>
    <row r="5103" ht="14.4" customHeight="1" s="152"/>
    <row r="5104" ht="14.4" customHeight="1" s="152"/>
    <row r="5105" ht="14.4" customHeight="1" s="152"/>
    <row r="5106" ht="14.4" customHeight="1" s="152"/>
    <row r="5107" ht="14.4" customHeight="1" s="152"/>
    <row r="5108" ht="14.4" customHeight="1" s="152"/>
    <row r="5109" ht="14.4" customHeight="1" s="152"/>
    <row r="5110" ht="14.4" customHeight="1" s="152"/>
    <row r="5111" ht="14.4" customHeight="1" s="152"/>
    <row r="5112" ht="14.4" customHeight="1" s="152"/>
    <row r="5113" ht="14.4" customHeight="1" s="152"/>
    <row r="5114" ht="14.4" customHeight="1" s="152"/>
    <row r="5115" ht="14.4" customHeight="1" s="152"/>
    <row r="5116" ht="14.4" customHeight="1" s="152"/>
    <row r="5117" ht="14.4" customHeight="1" s="152"/>
    <row r="5118" ht="14.4" customHeight="1" s="152"/>
    <row r="5119" ht="14.4" customHeight="1" s="152"/>
    <row r="5120" ht="14.4" customHeight="1" s="152"/>
    <row r="5121" ht="14.4" customHeight="1" s="152"/>
    <row r="5122" ht="14.4" customHeight="1" s="152"/>
    <row r="5123" ht="14.4" customHeight="1" s="152"/>
    <row r="5124" ht="14.4" customHeight="1" s="152"/>
    <row r="5125" ht="14.4" customHeight="1" s="152"/>
    <row r="5126" ht="14.4" customHeight="1" s="152"/>
    <row r="5127" ht="14.4" customHeight="1" s="152"/>
    <row r="5128" ht="14.4" customHeight="1" s="152"/>
    <row r="5129" ht="14.4" customHeight="1" s="152"/>
    <row r="5130" ht="14.4" customHeight="1" s="152"/>
    <row r="5131" ht="14.4" customHeight="1" s="152"/>
    <row r="5132" ht="14.4" customHeight="1" s="152"/>
    <row r="5133" ht="14.4" customHeight="1" s="152"/>
    <row r="5134" ht="14.4" customHeight="1" s="152"/>
    <row r="5135" ht="14.4" customHeight="1" s="152"/>
    <row r="5136" ht="14.4" customHeight="1" s="152"/>
    <row r="5137" ht="14.4" customHeight="1" s="152"/>
    <row r="5138" ht="14.4" customHeight="1" s="152"/>
    <row r="5139" ht="14.4" customHeight="1" s="152"/>
    <row r="5140" ht="14.4" customHeight="1" s="152"/>
    <row r="5141" ht="14.4" customHeight="1" s="152"/>
    <row r="5142" ht="14.4" customHeight="1" s="152"/>
    <row r="5143" ht="14.4" customHeight="1" s="152"/>
    <row r="5144" ht="14.4" customHeight="1" s="152"/>
    <row r="5145" ht="14.4" customHeight="1" s="152"/>
    <row r="5146" ht="14.4" customHeight="1" s="152"/>
    <row r="5147" ht="14.4" customHeight="1" s="152"/>
    <row r="5148" ht="14.4" customHeight="1" s="152"/>
    <row r="5149" ht="14.4" customHeight="1" s="152"/>
    <row r="5150" ht="14.4" customHeight="1" s="152"/>
    <row r="5151" ht="14.4" customHeight="1" s="152"/>
    <row r="5152" ht="14.4" customHeight="1" s="152"/>
    <row r="5153" ht="14.4" customHeight="1" s="152"/>
    <row r="5154" ht="14.4" customHeight="1" s="152"/>
    <row r="5155" ht="14.4" customHeight="1" s="152"/>
    <row r="5156" ht="14.4" customHeight="1" s="152"/>
    <row r="5157" ht="14.4" customHeight="1" s="152"/>
    <row r="5158" ht="14.4" customHeight="1" s="152"/>
    <row r="5159" ht="14.4" customHeight="1" s="152"/>
    <row r="5160" ht="14.4" customHeight="1" s="152"/>
    <row r="5161" ht="14.4" customHeight="1" s="152"/>
    <row r="5162" ht="14.4" customHeight="1" s="152"/>
    <row r="5163" ht="14.4" customHeight="1" s="152"/>
    <row r="5164" ht="14.4" customHeight="1" s="152"/>
    <row r="5165" ht="14.4" customHeight="1" s="152"/>
    <row r="5166" ht="14.4" customHeight="1" s="152"/>
    <row r="5167" ht="14.4" customHeight="1" s="152"/>
    <row r="5168" ht="14.4" customHeight="1" s="152"/>
    <row r="5169" ht="14.4" customHeight="1" s="152"/>
    <row r="5170" ht="14.4" customHeight="1" s="152"/>
    <row r="5171" ht="14.4" customHeight="1" s="152"/>
    <row r="5172" ht="14.4" customHeight="1" s="152"/>
    <row r="5173" ht="14.4" customHeight="1" s="152"/>
    <row r="5174" ht="14.4" customHeight="1" s="152"/>
    <row r="5175" ht="14.4" customHeight="1" s="152"/>
    <row r="5176" ht="14.4" customHeight="1" s="152"/>
    <row r="5177" ht="14.4" customHeight="1" s="152"/>
    <row r="5178" ht="14.4" customHeight="1" s="152"/>
    <row r="5179" ht="14.4" customHeight="1" s="152"/>
    <row r="5180" ht="14.4" customHeight="1" s="152"/>
    <row r="5181" ht="14.4" customHeight="1" s="152"/>
    <row r="5182" ht="14.4" customHeight="1" s="152"/>
    <row r="5183" ht="14.4" customHeight="1" s="152"/>
    <row r="5184" ht="14.4" customHeight="1" s="152"/>
    <row r="5185" ht="14.4" customHeight="1" s="152"/>
    <row r="5186" ht="14.4" customHeight="1" s="152"/>
    <row r="5187" ht="14.4" customHeight="1" s="152"/>
    <row r="5188" ht="14.4" customHeight="1" s="152"/>
    <row r="5189" ht="14.4" customHeight="1" s="152"/>
    <row r="5190" ht="14.4" customHeight="1" s="152"/>
    <row r="5191" ht="14.4" customHeight="1" s="152"/>
    <row r="5192" ht="14.4" customHeight="1" s="152"/>
    <row r="5193" ht="14.4" customHeight="1" s="152"/>
    <row r="5194" ht="14.4" customHeight="1" s="152"/>
    <row r="5195" ht="14.4" customHeight="1" s="152"/>
    <row r="5196" ht="14.4" customHeight="1" s="152"/>
    <row r="5197" ht="14.4" customHeight="1" s="152"/>
    <row r="5198" ht="14.4" customHeight="1" s="152"/>
    <row r="5199" ht="14.4" customHeight="1" s="152"/>
    <row r="5200" ht="14.4" customHeight="1" s="152"/>
    <row r="5201" ht="14.4" customHeight="1" s="152"/>
    <row r="5202" ht="14.4" customHeight="1" s="152"/>
    <row r="5203" ht="14.4" customHeight="1" s="152"/>
    <row r="5204" ht="14.4" customHeight="1" s="152"/>
    <row r="5205" ht="14.4" customHeight="1" s="152"/>
    <row r="5206" ht="14.4" customHeight="1" s="152"/>
    <row r="5207" ht="14.4" customHeight="1" s="152"/>
    <row r="5208" ht="14.4" customHeight="1" s="152"/>
    <row r="5209" ht="14.4" customHeight="1" s="152"/>
    <row r="5210" ht="14.4" customHeight="1" s="152"/>
    <row r="5211" ht="14.4" customHeight="1" s="152"/>
    <row r="5212" ht="14.4" customHeight="1" s="152"/>
    <row r="5213" ht="14.4" customHeight="1" s="152"/>
    <row r="5214" ht="14.4" customHeight="1" s="152"/>
    <row r="5215" ht="14.4" customHeight="1" s="152"/>
    <row r="5216" ht="14.4" customHeight="1" s="152"/>
    <row r="5217" ht="14.4" customHeight="1" s="152"/>
    <row r="5218" ht="14.4" customHeight="1" s="152"/>
    <row r="5219" ht="14.4" customHeight="1" s="152"/>
    <row r="5220" ht="14.4" customHeight="1" s="152"/>
    <row r="5221" ht="14.4" customHeight="1" s="152"/>
    <row r="5222" ht="14.4" customHeight="1" s="152"/>
    <row r="5223" ht="14.4" customHeight="1" s="152"/>
    <row r="5224" ht="14.4" customHeight="1" s="152"/>
    <row r="5225" ht="14.4" customHeight="1" s="152"/>
    <row r="5226" ht="14.4" customHeight="1" s="152"/>
    <row r="5227" ht="14.4" customHeight="1" s="152"/>
    <row r="5228" ht="14.4" customHeight="1" s="152"/>
    <row r="5229" ht="14.4" customHeight="1" s="152"/>
    <row r="5230" ht="14.4" customHeight="1" s="152"/>
    <row r="5231" ht="14.4" customHeight="1" s="152"/>
    <row r="5232" ht="14.4" customHeight="1" s="152"/>
    <row r="5233" ht="14.4" customHeight="1" s="152"/>
    <row r="5234" ht="14.4" customHeight="1" s="152"/>
    <row r="5235" ht="14.4" customHeight="1" s="152"/>
    <row r="5236" ht="14.4" customHeight="1" s="152"/>
    <row r="5237" ht="14.4" customHeight="1" s="152"/>
    <row r="5238" ht="14.4" customHeight="1" s="152"/>
    <row r="5239" ht="14.4" customHeight="1" s="152"/>
    <row r="5240" ht="14.4" customHeight="1" s="152"/>
    <row r="5241" ht="14.4" customHeight="1" s="152"/>
    <row r="5242" ht="14.4" customHeight="1" s="152"/>
    <row r="5243" ht="14.4" customHeight="1" s="152"/>
    <row r="5244" ht="14.4" customHeight="1" s="152"/>
    <row r="5245" ht="14.4" customHeight="1" s="152"/>
    <row r="5246" ht="14.4" customHeight="1" s="152"/>
    <row r="5247" ht="14.4" customHeight="1" s="152"/>
    <row r="5248" ht="14.4" customHeight="1" s="152"/>
    <row r="5249" ht="14.4" customHeight="1" s="152"/>
    <row r="5250" ht="14.4" customHeight="1" s="152"/>
    <row r="5251" ht="14.4" customHeight="1" s="152"/>
    <row r="5252" ht="14.4" customHeight="1" s="152"/>
    <row r="5253" ht="14.4" customHeight="1" s="152"/>
    <row r="5254" ht="14.4" customHeight="1" s="152"/>
    <row r="5255" ht="14.4" customHeight="1" s="152"/>
    <row r="5256" ht="14.4" customHeight="1" s="152"/>
    <row r="5257" ht="14.4" customHeight="1" s="152"/>
    <row r="5258" ht="14.4" customHeight="1" s="152"/>
    <row r="5259" ht="14.4" customHeight="1" s="152"/>
    <row r="5260" ht="14.4" customHeight="1" s="152"/>
    <row r="5261" ht="14.4" customHeight="1" s="152"/>
    <row r="5262" ht="14.4" customHeight="1" s="152"/>
    <row r="5263" ht="14.4" customHeight="1" s="152"/>
    <row r="5264" ht="14.4" customHeight="1" s="152"/>
    <row r="5265" ht="14.4" customHeight="1" s="152"/>
    <row r="5266" ht="14.4" customHeight="1" s="152"/>
    <row r="5267" ht="14.4" customHeight="1" s="152"/>
    <row r="5268" ht="14.4" customHeight="1" s="152"/>
    <row r="5269" ht="14.4" customHeight="1" s="152"/>
    <row r="5270" ht="14.4" customHeight="1" s="152"/>
    <row r="5271" ht="14.4" customHeight="1" s="152"/>
    <row r="5272" ht="14.4" customHeight="1" s="152"/>
    <row r="5273" ht="14.4" customHeight="1" s="152"/>
    <row r="5274" ht="14.4" customHeight="1" s="152"/>
    <row r="5275" ht="14.4" customHeight="1" s="152"/>
    <row r="5276" ht="14.4" customHeight="1" s="152"/>
    <row r="5277" ht="14.4" customHeight="1" s="152"/>
    <row r="5278" ht="14.4" customHeight="1" s="152"/>
    <row r="5279" ht="14.4" customHeight="1" s="152"/>
    <row r="5280" ht="14.4" customHeight="1" s="152"/>
    <row r="5281" ht="14.4" customHeight="1" s="152"/>
    <row r="5282" ht="14.4" customHeight="1" s="152"/>
    <row r="5283" ht="14.4" customHeight="1" s="152"/>
    <row r="5284" ht="14.4" customHeight="1" s="152"/>
    <row r="5285" ht="14.4" customHeight="1" s="152"/>
    <row r="5286" ht="14.4" customHeight="1" s="152"/>
    <row r="5287" ht="14.4" customHeight="1" s="152"/>
    <row r="5288" ht="14.4" customHeight="1" s="152"/>
    <row r="5289" ht="14.4" customHeight="1" s="152"/>
    <row r="5290" ht="14.4" customHeight="1" s="152"/>
    <row r="5291" ht="14.4" customHeight="1" s="152"/>
    <row r="5292" ht="14.4" customHeight="1" s="152"/>
    <row r="5293" ht="14.4" customHeight="1" s="152"/>
    <row r="5294" ht="14.4" customHeight="1" s="152"/>
    <row r="5295" ht="14.4" customHeight="1" s="152"/>
    <row r="5296" ht="14.4" customHeight="1" s="152"/>
    <row r="5297" ht="14.4" customHeight="1" s="152"/>
    <row r="5298" ht="14.4" customHeight="1" s="152"/>
    <row r="5299" ht="14.4" customHeight="1" s="152"/>
    <row r="5300" ht="14.4" customHeight="1" s="152"/>
    <row r="5301" ht="14.4" customHeight="1" s="152"/>
    <row r="5302" ht="14.4" customHeight="1" s="152"/>
    <row r="5303" ht="14.4" customHeight="1" s="152"/>
    <row r="5304" ht="14.4" customHeight="1" s="152"/>
    <row r="5305" ht="14.4" customHeight="1" s="152"/>
    <row r="5306" ht="14.4" customHeight="1" s="152"/>
    <row r="5307" ht="14.4" customHeight="1" s="152"/>
    <row r="5308" ht="14.4" customHeight="1" s="152"/>
    <row r="5309" ht="14.4" customHeight="1" s="152"/>
    <row r="5310" ht="14.4" customHeight="1" s="152"/>
    <row r="5311" ht="14.4" customHeight="1" s="152"/>
    <row r="5312" ht="14.4" customHeight="1" s="152"/>
    <row r="5313" ht="14.4" customHeight="1" s="152"/>
    <row r="5314" ht="14.4" customHeight="1" s="152"/>
    <row r="5315" ht="14.4" customHeight="1" s="152"/>
    <row r="5316" ht="14.4" customHeight="1" s="152"/>
    <row r="5317" ht="14.4" customHeight="1" s="152"/>
    <row r="5318" ht="14.4" customHeight="1" s="152"/>
    <row r="5319" ht="14.4" customHeight="1" s="152"/>
    <row r="5320" ht="14.4" customHeight="1" s="152"/>
    <row r="5321" ht="14.4" customHeight="1" s="152"/>
    <row r="5322" ht="14.4" customHeight="1" s="152"/>
    <row r="5323" ht="14.4" customHeight="1" s="152"/>
    <row r="5324" ht="14.4" customHeight="1" s="152"/>
    <row r="5325" ht="14.4" customHeight="1" s="152"/>
    <row r="5326" ht="14.4" customHeight="1" s="152"/>
    <row r="5327" ht="14.4" customHeight="1" s="152"/>
    <row r="5328" ht="14.4" customHeight="1" s="152"/>
    <row r="5329" ht="14.4" customHeight="1" s="152"/>
    <row r="5330" ht="14.4" customHeight="1" s="152"/>
    <row r="5331" ht="14.4" customHeight="1" s="152"/>
    <row r="5332" ht="14.4" customHeight="1" s="152"/>
    <row r="5333" ht="14.4" customHeight="1" s="152"/>
    <row r="5334" ht="14.4" customHeight="1" s="152"/>
    <row r="5335" ht="14.4" customHeight="1" s="152"/>
    <row r="5336" ht="14.4" customHeight="1" s="152"/>
    <row r="5337" ht="14.4" customHeight="1" s="152"/>
    <row r="5338" ht="14.4" customHeight="1" s="152"/>
    <row r="5339" ht="14.4" customHeight="1" s="152"/>
    <row r="5340" ht="14.4" customHeight="1" s="152"/>
    <row r="5341" ht="14.4" customHeight="1" s="152"/>
    <row r="5342" ht="14.4" customHeight="1" s="152"/>
    <row r="5343" ht="14.4" customHeight="1" s="152"/>
    <row r="5344" ht="14.4" customHeight="1" s="152"/>
    <row r="5345" ht="14.4" customHeight="1" s="152"/>
    <row r="5346" ht="14.4" customHeight="1" s="152"/>
    <row r="5347" ht="14.4" customHeight="1" s="152"/>
    <row r="5348" ht="14.4" customHeight="1" s="152"/>
    <row r="5349" ht="14.4" customHeight="1" s="152"/>
    <row r="5350" ht="14.4" customHeight="1" s="152"/>
    <row r="5351" ht="14.4" customHeight="1" s="152"/>
    <row r="5352" ht="14.4" customHeight="1" s="152"/>
    <row r="5353" ht="14.4" customHeight="1" s="152"/>
    <row r="5354" ht="14.4" customHeight="1" s="152"/>
    <row r="5355" ht="14.4" customHeight="1" s="152"/>
    <row r="5356" ht="14.4" customHeight="1" s="152"/>
    <row r="5357" ht="14.4" customHeight="1" s="152"/>
    <row r="5358" ht="14.4" customHeight="1" s="152"/>
    <row r="5359" ht="14.4" customHeight="1" s="152"/>
    <row r="5360" ht="14.4" customHeight="1" s="152"/>
    <row r="5361" ht="14.4" customHeight="1" s="152"/>
    <row r="5362" ht="14.4" customHeight="1" s="152"/>
    <row r="5363" ht="14.4" customHeight="1" s="152"/>
    <row r="5364" ht="14.4" customHeight="1" s="152"/>
    <row r="5365" ht="14.4" customHeight="1" s="152"/>
    <row r="5366" ht="14.4" customHeight="1" s="152"/>
    <row r="5367" ht="14.4" customHeight="1" s="152"/>
    <row r="5368" ht="14.4" customHeight="1" s="152"/>
    <row r="5369" ht="14.4" customHeight="1" s="152"/>
    <row r="5370" ht="14.4" customHeight="1" s="152"/>
    <row r="5371" ht="14.4" customHeight="1" s="152"/>
    <row r="5372" ht="14.4" customHeight="1" s="152"/>
    <row r="5373" ht="14.4" customHeight="1" s="152"/>
    <row r="5374" ht="14.4" customHeight="1" s="152"/>
    <row r="5375" ht="14.4" customHeight="1" s="152"/>
    <row r="5376" ht="14.4" customHeight="1" s="152"/>
    <row r="5377" ht="14.4" customHeight="1" s="152"/>
    <row r="5378" ht="14.4" customHeight="1" s="152"/>
    <row r="5379" ht="14.4" customHeight="1" s="152"/>
    <row r="5380" ht="14.4" customHeight="1" s="152"/>
    <row r="5381" ht="14.4" customHeight="1" s="152"/>
    <row r="5382" ht="14.4" customHeight="1" s="152"/>
    <row r="5383" ht="14.4" customHeight="1" s="152"/>
    <row r="5384" ht="14.4" customHeight="1" s="152"/>
    <row r="5385" ht="14.4" customHeight="1" s="152"/>
    <row r="5386" ht="14.4" customHeight="1" s="152"/>
    <row r="5387" ht="14.4" customHeight="1" s="152"/>
    <row r="5388" ht="14.4" customHeight="1" s="152"/>
    <row r="5389" ht="14.4" customHeight="1" s="152"/>
    <row r="5390" ht="14.4" customHeight="1" s="152"/>
    <row r="5391" ht="14.4" customHeight="1" s="152"/>
    <row r="5392" ht="14.4" customHeight="1" s="152"/>
    <row r="5393" ht="14.4" customHeight="1" s="152"/>
    <row r="5394" ht="14.4" customHeight="1" s="152"/>
    <row r="5395" ht="14.4" customHeight="1" s="152"/>
    <row r="5396" ht="14.4" customHeight="1" s="152"/>
    <row r="5397" ht="14.4" customHeight="1" s="152"/>
    <row r="5398" ht="14.4" customHeight="1" s="152"/>
    <row r="5399" ht="14.4" customHeight="1" s="152"/>
    <row r="5400" ht="14.4" customHeight="1" s="152"/>
    <row r="5401" ht="14.4" customHeight="1" s="152"/>
    <row r="5402" ht="14.4" customHeight="1" s="152"/>
    <row r="5403" ht="14.4" customHeight="1" s="152"/>
    <row r="5404" ht="14.4" customHeight="1" s="152"/>
    <row r="5405" ht="14.4" customHeight="1" s="152"/>
    <row r="5406" ht="14.4" customHeight="1" s="152"/>
    <row r="5407" ht="14.4" customHeight="1" s="152"/>
    <row r="5408" ht="14.4" customHeight="1" s="152"/>
    <row r="5409" ht="14.4" customHeight="1" s="152"/>
    <row r="5410" ht="14.4" customHeight="1" s="152"/>
    <row r="5411" ht="14.4" customHeight="1" s="152"/>
    <row r="5412" ht="14.4" customHeight="1" s="152"/>
    <row r="5413" ht="14.4" customHeight="1" s="152"/>
    <row r="5414" ht="14.4" customHeight="1" s="152"/>
    <row r="5415" ht="14.4" customHeight="1" s="152"/>
    <row r="5416" ht="14.4" customHeight="1" s="152"/>
    <row r="5417" ht="14.4" customHeight="1" s="152"/>
    <row r="5418" ht="14.4" customHeight="1" s="152"/>
    <row r="5419" ht="14.4" customHeight="1" s="152"/>
    <row r="5420" ht="14.4" customHeight="1" s="152"/>
    <row r="5421" ht="14.4" customHeight="1" s="152"/>
    <row r="5422" ht="14.4" customHeight="1" s="152"/>
    <row r="5423" ht="14.4" customHeight="1" s="152"/>
    <row r="5424" ht="14.4" customHeight="1" s="152"/>
    <row r="5425" ht="14.4" customHeight="1" s="152"/>
    <row r="5426" ht="14.4" customHeight="1" s="152"/>
    <row r="5427" ht="14.4" customHeight="1" s="152"/>
    <row r="5428" ht="14.4" customHeight="1" s="152"/>
    <row r="5429" ht="14.4" customHeight="1" s="152"/>
    <row r="5430" ht="14.4" customHeight="1" s="152"/>
    <row r="5431" ht="14.4" customHeight="1" s="152"/>
    <row r="5432" ht="14.4" customHeight="1" s="152"/>
    <row r="5433" ht="14.4" customHeight="1" s="152"/>
    <row r="5434" ht="14.4" customHeight="1" s="152"/>
    <row r="5435" ht="14.4" customHeight="1" s="152"/>
    <row r="5436" ht="14.4" customHeight="1" s="152"/>
    <row r="5437" ht="14.4" customHeight="1" s="152"/>
    <row r="5438" ht="14.4" customHeight="1" s="152"/>
    <row r="5439" ht="14.4" customHeight="1" s="152"/>
    <row r="5440" ht="14.4" customHeight="1" s="152"/>
    <row r="5441" ht="14.4" customHeight="1" s="152"/>
    <row r="5442" ht="14.4" customHeight="1" s="152"/>
    <row r="5443" ht="14.4" customHeight="1" s="152"/>
    <row r="5444" ht="14.4" customHeight="1" s="152"/>
    <row r="5445" ht="14.4" customHeight="1" s="152"/>
    <row r="5446" ht="14.4" customHeight="1" s="152"/>
    <row r="5447" ht="14.4" customHeight="1" s="152"/>
    <row r="5448" ht="14.4" customHeight="1" s="152"/>
    <row r="5449" ht="14.4" customHeight="1" s="152"/>
    <row r="5450" ht="14.4" customHeight="1" s="152"/>
    <row r="5451" ht="14.4" customHeight="1" s="152"/>
    <row r="5452" ht="14.4" customHeight="1" s="152"/>
    <row r="5453" ht="14.4" customHeight="1" s="152"/>
    <row r="5454" ht="14.4" customHeight="1" s="152"/>
    <row r="5455" ht="14.4" customHeight="1" s="152"/>
    <row r="5456" ht="14.4" customHeight="1" s="152"/>
    <row r="5457" ht="14.4" customHeight="1" s="152"/>
    <row r="5458" ht="14.4" customHeight="1" s="152"/>
    <row r="5459" ht="14.4" customHeight="1" s="152"/>
    <row r="5460" ht="14.4" customHeight="1" s="152"/>
    <row r="5461" ht="14.4" customHeight="1" s="152"/>
    <row r="5462" ht="14.4" customHeight="1" s="152"/>
    <row r="5463" ht="14.4" customHeight="1" s="152"/>
    <row r="5464" ht="14.4" customHeight="1" s="152"/>
    <row r="5465" ht="14.4" customHeight="1" s="152"/>
    <row r="5466" ht="14.4" customHeight="1" s="152"/>
    <row r="5467" ht="14.4" customHeight="1" s="152"/>
    <row r="5468" ht="14.4" customHeight="1" s="152"/>
    <row r="5469" ht="14.4" customHeight="1" s="152"/>
    <row r="5470" ht="14.4" customHeight="1" s="152"/>
    <row r="5471" ht="14.4" customHeight="1" s="152"/>
    <row r="5472" ht="14.4" customHeight="1" s="152"/>
    <row r="5473" ht="14.4" customHeight="1" s="152"/>
    <row r="5474" ht="14.4" customHeight="1" s="152"/>
    <row r="5475" ht="14.4" customHeight="1" s="152"/>
    <row r="5476" ht="14.4" customHeight="1" s="152"/>
    <row r="5477" ht="14.4" customHeight="1" s="152"/>
    <row r="5478" ht="14.4" customHeight="1" s="152"/>
    <row r="5479" ht="14.4" customHeight="1" s="152"/>
    <row r="5480" ht="14.4" customHeight="1" s="152"/>
    <row r="5481" ht="14.4" customHeight="1" s="152"/>
    <row r="5482" ht="14.4" customHeight="1" s="152"/>
    <row r="5483" ht="14.4" customHeight="1" s="152"/>
    <row r="5484" ht="14.4" customHeight="1" s="152"/>
    <row r="5485" ht="14.4" customHeight="1" s="152"/>
    <row r="5486" ht="14.4" customHeight="1" s="152"/>
    <row r="5487" ht="14.4" customHeight="1" s="152"/>
    <row r="5488" ht="14.4" customHeight="1" s="152"/>
    <row r="5489" ht="14.4" customHeight="1" s="152"/>
    <row r="5490" ht="14.4" customHeight="1" s="152"/>
    <row r="5491" ht="14.4" customHeight="1" s="152"/>
    <row r="5492" ht="14.4" customHeight="1" s="152"/>
    <row r="5493" ht="14.4" customHeight="1" s="152"/>
    <row r="5494" ht="14.4" customHeight="1" s="152"/>
    <row r="5495" ht="14.4" customHeight="1" s="152"/>
    <row r="5496" ht="14.4" customHeight="1" s="152"/>
    <row r="5497" ht="14.4" customHeight="1" s="152"/>
    <row r="5498" ht="14.4" customHeight="1" s="152"/>
    <row r="5499" ht="14.4" customHeight="1" s="152"/>
    <row r="5500" ht="14.4" customHeight="1" s="152"/>
    <row r="5501" ht="14.4" customHeight="1" s="152"/>
    <row r="5502" ht="14.4" customHeight="1" s="152"/>
    <row r="5503" ht="14.4" customHeight="1" s="152"/>
    <row r="5504" ht="14.4" customHeight="1" s="152"/>
    <row r="5505" ht="14.4" customHeight="1" s="152"/>
    <row r="5506" ht="14.4" customHeight="1" s="152"/>
    <row r="5507" ht="14.4" customHeight="1" s="152"/>
    <row r="5508" ht="14.4" customHeight="1" s="152"/>
    <row r="5509" ht="14.4" customHeight="1" s="152"/>
    <row r="5510" ht="14.4" customHeight="1" s="152"/>
    <row r="5511" ht="14.4" customHeight="1" s="152"/>
    <row r="5512" ht="14.4" customHeight="1" s="152"/>
    <row r="5513" ht="14.4" customHeight="1" s="152"/>
    <row r="5514" ht="14.4" customHeight="1" s="152"/>
    <row r="5515" ht="14.4" customHeight="1" s="152"/>
    <row r="5516" ht="14.4" customHeight="1" s="152"/>
    <row r="5517" ht="14.4" customHeight="1" s="152"/>
    <row r="5518" ht="14.4" customHeight="1" s="152"/>
    <row r="5519" ht="14.4" customHeight="1" s="152"/>
    <row r="5520" ht="14.4" customHeight="1" s="152"/>
    <row r="5521" ht="14.4" customHeight="1" s="152"/>
    <row r="5522" ht="14.4" customHeight="1" s="152"/>
    <row r="5523" ht="14.4" customHeight="1" s="152"/>
    <row r="5524" ht="14.4" customHeight="1" s="152"/>
    <row r="5525" ht="14.4" customHeight="1" s="152"/>
    <row r="5526" ht="14.4" customHeight="1" s="152"/>
    <row r="5527" ht="14.4" customHeight="1" s="152"/>
    <row r="5528" ht="14.4" customHeight="1" s="152"/>
    <row r="5529" ht="14.4" customHeight="1" s="152"/>
    <row r="5530" ht="14.4" customHeight="1" s="152"/>
    <row r="5531" ht="14.4" customHeight="1" s="152"/>
    <row r="5532" ht="14.4" customHeight="1" s="152"/>
    <row r="5533" ht="14.4" customHeight="1" s="152"/>
    <row r="5534" ht="14.4" customHeight="1" s="152"/>
    <row r="5535" ht="14.4" customHeight="1" s="152"/>
    <row r="5536" ht="14.4" customHeight="1" s="152"/>
    <row r="5537" ht="14.4" customHeight="1" s="152"/>
    <row r="5538" ht="14.4" customHeight="1" s="152"/>
    <row r="5539" ht="14.4" customHeight="1" s="152"/>
    <row r="5540" ht="14.4" customHeight="1" s="152"/>
    <row r="5541" ht="14.4" customHeight="1" s="152"/>
    <row r="5542" ht="14.4" customHeight="1" s="152"/>
    <row r="5543" ht="14.4" customHeight="1" s="152"/>
    <row r="5544" ht="14.4" customHeight="1" s="152"/>
    <row r="5545" ht="14.4" customHeight="1" s="152"/>
    <row r="5546" ht="14.4" customHeight="1" s="152"/>
    <row r="5547" ht="14.4" customHeight="1" s="152"/>
    <row r="5548" ht="14.4" customHeight="1" s="152"/>
    <row r="5549" ht="14.4" customHeight="1" s="152"/>
    <row r="5550" ht="14.4" customHeight="1" s="152"/>
    <row r="5551" ht="14.4" customHeight="1" s="152"/>
    <row r="5552" ht="14.4" customHeight="1" s="152"/>
    <row r="5553" ht="14.4" customHeight="1" s="152"/>
    <row r="5554" ht="14.4" customHeight="1" s="152"/>
    <row r="5555" ht="14.4" customHeight="1" s="152"/>
    <row r="5556" ht="14.4" customHeight="1" s="152"/>
    <row r="5557" ht="14.4" customHeight="1" s="152"/>
    <row r="5558" ht="14.4" customHeight="1" s="152"/>
    <row r="5559" ht="14.4" customHeight="1" s="152"/>
    <row r="5560" ht="14.4" customHeight="1" s="152"/>
    <row r="5561" ht="14.4" customHeight="1" s="152"/>
    <row r="5562" ht="14.4" customHeight="1" s="152"/>
    <row r="5563" ht="14.4" customHeight="1" s="152"/>
    <row r="5564" ht="14.4" customHeight="1" s="152"/>
    <row r="5565" ht="14.4" customHeight="1" s="152"/>
    <row r="5566" ht="14.4" customHeight="1" s="152"/>
    <row r="5567" ht="14.4" customHeight="1" s="152"/>
    <row r="5568" ht="14.4" customHeight="1" s="152"/>
    <row r="5569" ht="14.4" customHeight="1" s="152"/>
    <row r="5570" ht="14.4" customHeight="1" s="152"/>
    <row r="5571" ht="14.4" customHeight="1" s="152"/>
    <row r="5572" ht="14.4" customHeight="1" s="152"/>
    <row r="5573" ht="14.4" customHeight="1" s="152"/>
    <row r="5574" ht="14.4" customHeight="1" s="152"/>
    <row r="5575" ht="14.4" customHeight="1" s="152"/>
    <row r="5576" ht="14.4" customHeight="1" s="152"/>
    <row r="5577" ht="14.4" customHeight="1" s="152"/>
    <row r="5578" ht="14.4" customHeight="1" s="152"/>
    <row r="5579" ht="14.4" customHeight="1" s="152"/>
    <row r="5580" ht="14.4" customHeight="1" s="152"/>
    <row r="5581" ht="14.4" customHeight="1" s="152"/>
    <row r="5582" ht="14.4" customHeight="1" s="152"/>
    <row r="5583" ht="14.4" customHeight="1" s="152"/>
    <row r="5584" ht="14.4" customHeight="1" s="152"/>
    <row r="5585" ht="14.4" customHeight="1" s="152"/>
    <row r="5586" ht="14.4" customHeight="1" s="152"/>
    <row r="5587" ht="14.4" customHeight="1" s="152"/>
    <row r="5588" ht="14.4" customHeight="1" s="152"/>
    <row r="5589" ht="14.4" customHeight="1" s="152"/>
    <row r="5590" ht="14.4" customHeight="1" s="152"/>
    <row r="5591" ht="14.4" customHeight="1" s="152"/>
    <row r="5592" ht="14.4" customHeight="1" s="152"/>
    <row r="5593" ht="14.4" customHeight="1" s="152"/>
    <row r="5594" ht="14.4" customHeight="1" s="152"/>
    <row r="5595" ht="14.4" customHeight="1" s="152"/>
    <row r="5596" ht="14.4" customHeight="1" s="152"/>
    <row r="5597" ht="14.4" customHeight="1" s="152"/>
    <row r="5598" ht="14.4" customHeight="1" s="152"/>
    <row r="5599" ht="14.4" customHeight="1" s="152"/>
    <row r="5600" ht="14.4" customHeight="1" s="152"/>
    <row r="5601" ht="14.4" customHeight="1" s="152"/>
    <row r="5602" ht="14.4" customHeight="1" s="152"/>
    <row r="5603" ht="14.4" customHeight="1" s="152"/>
    <row r="5604" ht="14.4" customHeight="1" s="152"/>
    <row r="5605" ht="14.4" customHeight="1" s="152"/>
    <row r="5606" ht="14.4" customHeight="1" s="152"/>
    <row r="5607" ht="14.4" customHeight="1" s="152"/>
    <row r="5608" ht="14.4" customHeight="1" s="152"/>
    <row r="5609" ht="14.4" customHeight="1" s="152"/>
    <row r="5610" ht="14.4" customHeight="1" s="152"/>
    <row r="5611" ht="14.4" customHeight="1" s="152"/>
    <row r="5612" ht="14.4" customHeight="1" s="152"/>
    <row r="5613" ht="14.4" customHeight="1" s="152"/>
    <row r="5614" ht="14.4" customHeight="1" s="152"/>
    <row r="5615" ht="14.4" customHeight="1" s="152"/>
    <row r="5616" ht="14.4" customHeight="1" s="152"/>
    <row r="5617" ht="14.4" customHeight="1" s="152"/>
    <row r="5618" ht="14.4" customHeight="1" s="152"/>
    <row r="5619" ht="14.4" customHeight="1" s="152"/>
    <row r="5620" ht="14.4" customHeight="1" s="152"/>
    <row r="5621" ht="14.4" customHeight="1" s="152"/>
    <row r="5622" ht="14.4" customHeight="1" s="152"/>
    <row r="5623" ht="14.4" customHeight="1" s="152"/>
    <row r="5624" ht="14.4" customHeight="1" s="152"/>
    <row r="5625" ht="14.4" customHeight="1" s="152"/>
    <row r="5626" ht="14.4" customHeight="1" s="152"/>
    <row r="5627" ht="14.4" customHeight="1" s="152"/>
    <row r="5628" ht="14.4" customHeight="1" s="152"/>
    <row r="5629" ht="14.4" customHeight="1" s="152"/>
    <row r="5630" ht="14.4" customHeight="1" s="152"/>
    <row r="5631" ht="14.4" customHeight="1" s="152"/>
    <row r="5632" ht="14.4" customHeight="1" s="152"/>
    <row r="5633" ht="14.4" customHeight="1" s="152"/>
    <row r="5634" ht="14.4" customHeight="1" s="152"/>
    <row r="5635" ht="14.4" customHeight="1" s="152"/>
    <row r="5636" ht="14.4" customHeight="1" s="152"/>
    <row r="5637" ht="14.4" customHeight="1" s="152"/>
    <row r="5638" ht="14.4" customHeight="1" s="152"/>
    <row r="5639" ht="14.4" customHeight="1" s="152"/>
    <row r="5640" ht="14.4" customHeight="1" s="152"/>
    <row r="5641" ht="14.4" customHeight="1" s="152"/>
    <row r="5642" ht="14.4" customHeight="1" s="152"/>
    <row r="5643" ht="14.4" customHeight="1" s="152"/>
    <row r="5644" ht="14.4" customHeight="1" s="152"/>
    <row r="5645" ht="14.4" customHeight="1" s="152"/>
    <row r="5646" ht="14.4" customHeight="1" s="152"/>
    <row r="5647" ht="14.4" customHeight="1" s="152"/>
    <row r="5648" ht="14.4" customHeight="1" s="152"/>
    <row r="5649" ht="14.4" customHeight="1" s="152"/>
    <row r="5650" ht="14.4" customHeight="1" s="152"/>
    <row r="5651" ht="14.4" customHeight="1" s="152"/>
    <row r="5652" ht="14.4" customHeight="1" s="152"/>
    <row r="5653" ht="14.4" customHeight="1" s="152"/>
    <row r="5654" ht="14.4" customHeight="1" s="152"/>
    <row r="5655" ht="14.4" customHeight="1" s="152"/>
    <row r="5656" ht="14.4" customHeight="1" s="152"/>
    <row r="5657" ht="14.4" customHeight="1" s="152"/>
    <row r="5658" ht="14.4" customHeight="1" s="152"/>
    <row r="5659" ht="14.4" customHeight="1" s="152"/>
    <row r="5660" ht="14.4" customHeight="1" s="152"/>
    <row r="5661" ht="14.4" customHeight="1" s="152"/>
    <row r="5662" ht="14.4" customHeight="1" s="152"/>
    <row r="5663" ht="14.4" customHeight="1" s="152"/>
    <row r="5664" ht="14.4" customHeight="1" s="152"/>
    <row r="5665" ht="14.4" customHeight="1" s="152"/>
    <row r="5666" ht="14.4" customHeight="1" s="152"/>
    <row r="5667" ht="14.4" customHeight="1" s="152"/>
    <row r="5668" ht="14.4" customHeight="1" s="152"/>
    <row r="5669" ht="14.4" customHeight="1" s="152"/>
    <row r="5670" ht="14.4" customHeight="1" s="152"/>
    <row r="5671" ht="14.4" customHeight="1" s="152"/>
    <row r="5672" ht="14.4" customHeight="1" s="152"/>
    <row r="5673" ht="14.4" customHeight="1" s="152"/>
    <row r="5674" ht="14.4" customHeight="1" s="152"/>
    <row r="5675" ht="14.4" customHeight="1" s="152"/>
    <row r="5676" ht="14.4" customHeight="1" s="152"/>
    <row r="5677" ht="14.4" customHeight="1" s="152"/>
    <row r="5678" ht="14.4" customHeight="1" s="152"/>
    <row r="5679" ht="14.4" customHeight="1" s="152"/>
    <row r="5680" ht="14.4" customHeight="1" s="152"/>
    <row r="5681" ht="14.4" customHeight="1" s="152"/>
    <row r="5682" ht="14.4" customHeight="1" s="152"/>
    <row r="5683" ht="14.4" customHeight="1" s="152"/>
    <row r="5684" ht="14.4" customHeight="1" s="152"/>
    <row r="5685" ht="14.4" customHeight="1" s="152"/>
    <row r="5686" ht="14.4" customHeight="1" s="152"/>
    <row r="5687" ht="14.4" customHeight="1" s="152"/>
    <row r="5688" ht="14.4" customHeight="1" s="152"/>
    <row r="5689" ht="14.4" customHeight="1" s="152"/>
    <row r="5690" ht="14.4" customHeight="1" s="152"/>
    <row r="5691" ht="14.4" customHeight="1" s="152"/>
    <row r="5692" ht="14.4" customHeight="1" s="152"/>
    <row r="5693" ht="14.4" customHeight="1" s="152"/>
    <row r="5694" ht="14.4" customHeight="1" s="152"/>
    <row r="5695" ht="14.4" customHeight="1" s="152"/>
    <row r="5696" ht="14.4" customHeight="1" s="152"/>
    <row r="5697" ht="14.4" customHeight="1" s="152"/>
    <row r="5698" ht="14.4" customHeight="1" s="152"/>
    <row r="5699" ht="14.4" customHeight="1" s="152"/>
    <row r="5700" ht="14.4" customHeight="1" s="152"/>
    <row r="5701" ht="14.4" customHeight="1" s="152"/>
    <row r="5702" ht="14.4" customHeight="1" s="152"/>
    <row r="5703" ht="14.4" customHeight="1" s="152"/>
    <row r="5704" ht="14.4" customHeight="1" s="152"/>
    <row r="5705" ht="14.4" customHeight="1" s="152"/>
    <row r="5706" ht="14.4" customHeight="1" s="152"/>
    <row r="5707" ht="14.4" customHeight="1" s="152"/>
    <row r="5708" ht="14.4" customHeight="1" s="152"/>
    <row r="5709" ht="14.4" customHeight="1" s="152"/>
    <row r="5710" ht="14.4" customHeight="1" s="152"/>
    <row r="5711" ht="14.4" customHeight="1" s="152"/>
    <row r="5712" ht="14.4" customHeight="1" s="152"/>
    <row r="5713" ht="14.4" customHeight="1" s="152"/>
    <row r="5714" ht="14.4" customHeight="1" s="152"/>
    <row r="5715" ht="14.4" customHeight="1" s="152"/>
    <row r="5716" ht="14.4" customHeight="1" s="152"/>
    <row r="5717" ht="14.4" customHeight="1" s="152"/>
    <row r="5718" ht="14.4" customHeight="1" s="152"/>
    <row r="5719" ht="14.4" customHeight="1" s="152"/>
    <row r="5720" ht="14.4" customHeight="1" s="152"/>
    <row r="5721" ht="14.4" customHeight="1" s="152"/>
    <row r="5722" ht="14.4" customHeight="1" s="152"/>
    <row r="5723" ht="14.4" customHeight="1" s="152"/>
    <row r="5724" ht="14.4" customHeight="1" s="152"/>
    <row r="5725" ht="14.4" customHeight="1" s="152"/>
    <row r="5726" ht="14.4" customHeight="1" s="152"/>
    <row r="5727" ht="14.4" customHeight="1" s="152"/>
    <row r="5728" ht="14.4" customHeight="1" s="152"/>
    <row r="5729" ht="14.4" customHeight="1" s="152"/>
    <row r="5730" ht="14.4" customHeight="1" s="152"/>
    <row r="5731" ht="14.4" customHeight="1" s="152"/>
    <row r="5732" ht="14.4" customHeight="1" s="152"/>
    <row r="5733" ht="14.4" customHeight="1" s="152"/>
    <row r="5734" ht="14.4" customHeight="1" s="152"/>
    <row r="5735" ht="14.4" customHeight="1" s="152"/>
    <row r="5736" ht="14.4" customHeight="1" s="152"/>
    <row r="5737" ht="14.4" customHeight="1" s="152"/>
    <row r="5738" ht="14.4" customHeight="1" s="152"/>
    <row r="5739" ht="14.4" customHeight="1" s="152"/>
    <row r="5740" ht="14.4" customHeight="1" s="152"/>
    <row r="5741" ht="14.4" customHeight="1" s="152"/>
    <row r="5742" ht="14.4" customHeight="1" s="152"/>
    <row r="5743" ht="14.4" customHeight="1" s="152"/>
    <row r="5744" ht="14.4" customHeight="1" s="152"/>
    <row r="5745" ht="14.4" customHeight="1" s="152"/>
    <row r="5746" ht="14.4" customHeight="1" s="152"/>
    <row r="5747" ht="14.4" customHeight="1" s="152"/>
    <row r="5748" ht="14.4" customHeight="1" s="152"/>
    <row r="5749" ht="14.4" customHeight="1" s="152"/>
    <row r="5750" ht="14.4" customHeight="1" s="152"/>
    <row r="5751" ht="14.4" customHeight="1" s="152"/>
    <row r="5752" ht="14.4" customHeight="1" s="152"/>
    <row r="5753" ht="14.4" customHeight="1" s="152"/>
    <row r="5754" ht="14.4" customHeight="1" s="152"/>
    <row r="5755" ht="14.4" customHeight="1" s="152"/>
    <row r="5756" ht="14.4" customHeight="1" s="152"/>
    <row r="5757" ht="14.4" customHeight="1" s="152"/>
    <row r="5758" ht="14.4" customHeight="1" s="152"/>
    <row r="5759" ht="14.4" customHeight="1" s="152"/>
    <row r="5760" ht="14.4" customHeight="1" s="152"/>
    <row r="5761" ht="14.4" customHeight="1" s="152"/>
    <row r="5762" ht="14.4" customHeight="1" s="152"/>
    <row r="5763" ht="14.4" customHeight="1" s="152"/>
    <row r="5764" ht="14.4" customHeight="1" s="152"/>
    <row r="5765" ht="14.4" customHeight="1" s="152"/>
    <row r="5766" ht="14.4" customHeight="1" s="152"/>
    <row r="5767" ht="14.4" customHeight="1" s="152"/>
    <row r="5768" ht="14.4" customHeight="1" s="152"/>
    <row r="5769" ht="14.4" customHeight="1" s="152"/>
    <row r="5770" ht="14.4" customHeight="1" s="152"/>
    <row r="5771" ht="14.4" customHeight="1" s="152"/>
    <row r="5772" ht="14.4" customHeight="1" s="152"/>
    <row r="5773" ht="14.4" customHeight="1" s="152"/>
    <row r="5774" ht="14.4" customHeight="1" s="152"/>
    <row r="5775" ht="14.4" customHeight="1" s="152"/>
    <row r="5776" ht="14.4" customHeight="1" s="152"/>
    <row r="5777" ht="14.4" customHeight="1" s="152"/>
    <row r="5778" ht="14.4" customHeight="1" s="152"/>
    <row r="5779" ht="14.4" customHeight="1" s="152"/>
    <row r="5780" ht="14.4" customHeight="1" s="152"/>
    <row r="5781" ht="14.4" customHeight="1" s="152"/>
    <row r="5782" ht="14.4" customHeight="1" s="152"/>
    <row r="5783" ht="14.4" customHeight="1" s="152"/>
    <row r="5784" ht="14.4" customHeight="1" s="152"/>
    <row r="5785" ht="14.4" customHeight="1" s="152"/>
    <row r="5786" ht="14.4" customHeight="1" s="152"/>
    <row r="5787" ht="14.4" customHeight="1" s="152"/>
    <row r="5788" ht="14.4" customHeight="1" s="152"/>
    <row r="5789" ht="14.4" customHeight="1" s="152"/>
    <row r="5790" ht="14.4" customHeight="1" s="152"/>
    <row r="5791" ht="14.4" customHeight="1" s="152"/>
    <row r="5792" ht="14.4" customHeight="1" s="152"/>
    <row r="5793" ht="14.4" customHeight="1" s="152"/>
    <row r="5794" ht="14.4" customHeight="1" s="152"/>
    <row r="5795" ht="14.4" customHeight="1" s="152"/>
    <row r="5796" ht="14.4" customHeight="1" s="152"/>
    <row r="5797" ht="14.4" customHeight="1" s="152"/>
    <row r="5798" ht="14.4" customHeight="1" s="152"/>
    <row r="5799" ht="14.4" customHeight="1" s="152"/>
    <row r="5800" ht="14.4" customHeight="1" s="152"/>
    <row r="5801" ht="14.4" customHeight="1" s="152"/>
    <row r="5802" ht="14.4" customHeight="1" s="152"/>
    <row r="5803" ht="14.4" customHeight="1" s="152"/>
    <row r="5804" ht="14.4" customHeight="1" s="152"/>
    <row r="5805" ht="14.4" customHeight="1" s="152"/>
    <row r="5806" ht="14.4" customHeight="1" s="152"/>
    <row r="5807" ht="14.4" customHeight="1" s="152"/>
    <row r="5808" ht="14.4" customHeight="1" s="152"/>
    <row r="5809" ht="14.4" customHeight="1" s="152"/>
    <row r="5810" ht="14.4" customHeight="1" s="152"/>
    <row r="5811" ht="14.4" customHeight="1" s="152"/>
    <row r="5812" ht="14.4" customHeight="1" s="152"/>
    <row r="5813" ht="14.4" customHeight="1" s="152"/>
    <row r="5814" ht="14.4" customHeight="1" s="152"/>
    <row r="5815" ht="14.4" customHeight="1" s="152"/>
    <row r="5816" ht="14.4" customHeight="1" s="152"/>
    <row r="5817" ht="14.4" customHeight="1" s="152"/>
    <row r="5818" ht="14.4" customHeight="1" s="152"/>
    <row r="5819" ht="14.4" customHeight="1" s="152"/>
    <row r="5820" ht="14.4" customHeight="1" s="152"/>
    <row r="5821" ht="14.4" customHeight="1" s="152"/>
    <row r="5822" ht="14.4" customHeight="1" s="152"/>
    <row r="5823" ht="14.4" customHeight="1" s="152"/>
    <row r="5824" ht="14.4" customHeight="1" s="152"/>
    <row r="5825" ht="14.4" customHeight="1" s="152"/>
    <row r="5826" ht="14.4" customHeight="1" s="152"/>
    <row r="5827" ht="14.4" customHeight="1" s="152"/>
    <row r="5828" ht="14.4" customHeight="1" s="152"/>
    <row r="5829" ht="14.4" customHeight="1" s="152"/>
    <row r="5830" ht="14.4" customHeight="1" s="152"/>
    <row r="5831" ht="14.4" customHeight="1" s="152"/>
    <row r="5832" ht="14.4" customHeight="1" s="152"/>
    <row r="5833" ht="14.4" customHeight="1" s="152"/>
    <row r="5834" ht="14.4" customHeight="1" s="152"/>
    <row r="5835" ht="14.4" customHeight="1" s="152"/>
    <row r="5836" ht="14.4" customHeight="1" s="152"/>
    <row r="5837" ht="14.4" customHeight="1" s="152"/>
    <row r="5838" ht="14.4" customHeight="1" s="152"/>
    <row r="5839" ht="14.4" customHeight="1" s="152"/>
    <row r="5840" ht="14.4" customHeight="1" s="152"/>
    <row r="5841" ht="14.4" customHeight="1" s="152"/>
    <row r="5842" ht="14.4" customHeight="1" s="152"/>
    <row r="5843" ht="14.4" customHeight="1" s="152"/>
    <row r="5844" ht="14.4" customHeight="1" s="152"/>
    <row r="5845" ht="14.4" customHeight="1" s="152"/>
    <row r="5846" ht="14.4" customHeight="1" s="152"/>
    <row r="5847" ht="14.4" customHeight="1" s="152"/>
    <row r="5848" ht="14.4" customHeight="1" s="152"/>
    <row r="5849" ht="14.4" customHeight="1" s="152"/>
    <row r="5850" ht="14.4" customHeight="1" s="152"/>
    <row r="5851" ht="14.4" customHeight="1" s="152"/>
    <row r="5852" ht="14.4" customHeight="1" s="152"/>
    <row r="5853" ht="14.4" customHeight="1" s="152"/>
    <row r="5854" ht="14.4" customHeight="1" s="152"/>
    <row r="5855" ht="14.4" customHeight="1" s="152"/>
    <row r="5856" ht="14.4" customHeight="1" s="152"/>
    <row r="5857" ht="14.4" customHeight="1" s="152"/>
    <row r="5858" ht="14.4" customHeight="1" s="152"/>
    <row r="5859" ht="14.4" customHeight="1" s="152"/>
    <row r="5860" ht="14.4" customHeight="1" s="152"/>
    <row r="5861" ht="14.4" customHeight="1" s="152"/>
    <row r="5862" ht="14.4" customHeight="1" s="152"/>
    <row r="5863" ht="14.4" customHeight="1" s="152"/>
    <row r="5864" ht="14.4" customHeight="1" s="152"/>
    <row r="5865" ht="14.4" customHeight="1" s="152"/>
    <row r="5866" ht="14.4" customHeight="1" s="152"/>
    <row r="5867" ht="14.4" customHeight="1" s="152"/>
    <row r="5868" ht="14.4" customHeight="1" s="152"/>
    <row r="5869" ht="14.4" customHeight="1" s="152"/>
    <row r="5870" ht="14.4" customHeight="1" s="152"/>
    <row r="5871" ht="14.4" customHeight="1" s="152"/>
    <row r="5872" ht="14.4" customHeight="1" s="152"/>
    <row r="5873" ht="14.4" customHeight="1" s="152"/>
    <row r="5874" ht="14.4" customHeight="1" s="152"/>
    <row r="5875" ht="14.4" customHeight="1" s="152"/>
    <row r="5876" ht="14.4" customHeight="1" s="152"/>
    <row r="5877" ht="14.4" customHeight="1" s="152"/>
    <row r="5878" ht="14.4" customHeight="1" s="152"/>
    <row r="5879" ht="14.4" customHeight="1" s="152"/>
    <row r="5880" ht="14.4" customHeight="1" s="152"/>
    <row r="5881" ht="14.4" customHeight="1" s="152"/>
    <row r="5882" ht="14.4" customHeight="1" s="152"/>
    <row r="5883" ht="14.4" customHeight="1" s="152"/>
    <row r="5884" ht="14.4" customHeight="1" s="152"/>
    <row r="5885" ht="14.4" customHeight="1" s="152"/>
    <row r="5886" ht="14.4" customHeight="1" s="152"/>
    <row r="5887" ht="14.4" customHeight="1" s="152"/>
    <row r="5888" ht="14.4" customHeight="1" s="152"/>
    <row r="5889" ht="14.4" customHeight="1" s="152"/>
    <row r="5890" ht="14.4" customHeight="1" s="152"/>
    <row r="5891" ht="14.4" customHeight="1" s="152"/>
    <row r="5892" ht="14.4" customHeight="1" s="152"/>
    <row r="5893" ht="14.4" customHeight="1" s="152"/>
    <row r="5894" ht="14.4" customHeight="1" s="152"/>
    <row r="5895" ht="14.4" customHeight="1" s="152"/>
    <row r="5896" ht="14.4" customHeight="1" s="152"/>
    <row r="5897" ht="14.4" customHeight="1" s="152"/>
    <row r="5898" ht="14.4" customHeight="1" s="152"/>
    <row r="5899" ht="14.4" customHeight="1" s="152"/>
    <row r="5900" ht="14.4" customHeight="1" s="152"/>
    <row r="5901" ht="14.4" customHeight="1" s="152"/>
    <row r="5902" ht="14.4" customHeight="1" s="152"/>
    <row r="5903" ht="14.4" customHeight="1" s="152"/>
    <row r="5904" ht="14.4" customHeight="1" s="152"/>
    <row r="5905" ht="14.4" customHeight="1" s="152"/>
    <row r="5906" ht="14.4" customHeight="1" s="152"/>
    <row r="5907" ht="14.4" customHeight="1" s="152"/>
    <row r="5908" ht="14.4" customHeight="1" s="152"/>
    <row r="5909" ht="14.4" customHeight="1" s="152"/>
    <row r="5910" ht="14.4" customHeight="1" s="152"/>
    <row r="5911" ht="14.4" customHeight="1" s="152"/>
    <row r="5912" ht="14.4" customHeight="1" s="152"/>
    <row r="5913" ht="14.4" customHeight="1" s="152"/>
    <row r="5914" ht="14.4" customHeight="1" s="152"/>
    <row r="5915" ht="14.4" customHeight="1" s="152"/>
    <row r="5916" ht="14.4" customHeight="1" s="152"/>
    <row r="5917" ht="14.4" customHeight="1" s="152"/>
    <row r="5918" ht="14.4" customHeight="1" s="152"/>
    <row r="5919" ht="14.4" customHeight="1" s="152"/>
    <row r="5920" ht="14.4" customHeight="1" s="152"/>
    <row r="5921" ht="14.4" customHeight="1" s="152"/>
    <row r="5922" ht="14.4" customHeight="1" s="152"/>
    <row r="5923" ht="14.4" customHeight="1" s="152"/>
    <row r="5924" ht="14.4" customHeight="1" s="152"/>
    <row r="5925" ht="14.4" customHeight="1" s="152"/>
    <row r="5926" ht="14.4" customHeight="1" s="152"/>
    <row r="5927" ht="14.4" customHeight="1" s="152"/>
    <row r="5928" ht="14.4" customHeight="1" s="152"/>
    <row r="5929" ht="14.4" customHeight="1" s="152"/>
    <row r="5930" ht="14.4" customHeight="1" s="152"/>
    <row r="5931" ht="14.4" customHeight="1" s="152"/>
    <row r="5932" ht="14.4" customHeight="1" s="152"/>
    <row r="5933" ht="14.4" customHeight="1" s="152"/>
    <row r="5934" ht="14.4" customHeight="1" s="152"/>
    <row r="5935" ht="14.4" customHeight="1" s="152"/>
    <row r="5936" ht="14.4" customHeight="1" s="152"/>
    <row r="5937" ht="14.4" customHeight="1" s="152"/>
    <row r="5938" ht="14.4" customHeight="1" s="152"/>
    <row r="5939" ht="14.4" customHeight="1" s="152"/>
    <row r="5940" ht="14.4" customHeight="1" s="152"/>
    <row r="5941" ht="14.4" customHeight="1" s="152"/>
    <row r="5942" ht="14.4" customHeight="1" s="152"/>
    <row r="5943" ht="14.4" customHeight="1" s="152"/>
    <row r="5944" ht="14.4" customHeight="1" s="152"/>
    <row r="5945" ht="14.4" customHeight="1" s="152"/>
    <row r="5946" ht="14.4" customHeight="1" s="152"/>
    <row r="5947" ht="14.4" customHeight="1" s="152"/>
    <row r="5948" ht="14.4" customHeight="1" s="152"/>
    <row r="5949" ht="14.4" customHeight="1" s="152"/>
    <row r="5950" ht="14.4" customHeight="1" s="152"/>
    <row r="5951" ht="14.4" customHeight="1" s="152"/>
    <row r="5952" ht="14.4" customHeight="1" s="152"/>
    <row r="5953" ht="14.4" customHeight="1" s="152"/>
    <row r="5954" ht="14.4" customHeight="1" s="152"/>
    <row r="5955" ht="14.4" customHeight="1" s="152"/>
    <row r="5956" ht="14.4" customHeight="1" s="152"/>
    <row r="5957" ht="14.4" customHeight="1" s="152"/>
    <row r="5958" ht="14.4" customHeight="1" s="152"/>
    <row r="5959" ht="14.4" customHeight="1" s="152"/>
    <row r="5960" ht="14.4" customHeight="1" s="152"/>
    <row r="5961" ht="14.4" customHeight="1" s="152"/>
    <row r="5962" ht="14.4" customHeight="1" s="152"/>
    <row r="5963" ht="14.4" customHeight="1" s="152"/>
    <row r="5964" ht="14.4" customHeight="1" s="152"/>
    <row r="5965" ht="14.4" customHeight="1" s="152"/>
    <row r="5966" ht="14.4" customHeight="1" s="152"/>
    <row r="5967" ht="14.4" customHeight="1" s="152"/>
    <row r="5968" ht="14.4" customHeight="1" s="152"/>
    <row r="5969" ht="14.4" customHeight="1" s="152"/>
    <row r="5970" ht="14.4" customHeight="1" s="152"/>
    <row r="5971" ht="14.4" customHeight="1" s="152"/>
    <row r="5972" ht="14.4" customHeight="1" s="152"/>
    <row r="5973" ht="14.4" customHeight="1" s="152"/>
    <row r="5974" ht="14.4" customHeight="1" s="152"/>
    <row r="5975" ht="14.4" customHeight="1" s="152"/>
    <row r="5976" ht="14.4" customHeight="1" s="152"/>
    <row r="5977" ht="14.4" customHeight="1" s="152"/>
    <row r="5978" ht="14.4" customHeight="1" s="152"/>
    <row r="5979" ht="14.4" customHeight="1" s="152"/>
    <row r="5980" ht="14.4" customHeight="1" s="152"/>
    <row r="5981" ht="14.4" customHeight="1" s="152"/>
    <row r="5982" ht="14.4" customHeight="1" s="152"/>
    <row r="5983" ht="14.4" customHeight="1" s="152"/>
    <row r="5984" ht="14.4" customHeight="1" s="152"/>
    <row r="5985" ht="14.4" customHeight="1" s="152"/>
    <row r="5986" ht="14.4" customHeight="1" s="152"/>
    <row r="5987" ht="14.4" customHeight="1" s="152"/>
    <row r="5988" ht="14.4" customHeight="1" s="152"/>
    <row r="5989" ht="14.4" customHeight="1" s="152"/>
    <row r="5990" ht="14.4" customHeight="1" s="152"/>
    <row r="5991" ht="14.4" customHeight="1" s="152"/>
    <row r="5992" ht="14.4" customHeight="1" s="152"/>
    <row r="5993" ht="14.4" customHeight="1" s="152"/>
    <row r="5994" ht="14.4" customHeight="1" s="152"/>
    <row r="5995" ht="14.4" customHeight="1" s="152"/>
    <row r="5996" ht="14.4" customHeight="1" s="152"/>
    <row r="5997" ht="14.4" customHeight="1" s="152"/>
    <row r="5998" ht="14.4" customHeight="1" s="152"/>
    <row r="5999" ht="14.4" customHeight="1" s="152"/>
    <row r="6000" ht="14.4" customHeight="1" s="152"/>
    <row r="6001" ht="14.4" customHeight="1" s="152"/>
    <row r="6002" ht="14.4" customHeight="1" s="152"/>
    <row r="6003" ht="14.4" customHeight="1" s="152"/>
    <row r="6004" ht="14.4" customHeight="1" s="152"/>
    <row r="6005" ht="14.4" customHeight="1" s="152"/>
    <row r="6006" ht="14.4" customHeight="1" s="152"/>
    <row r="6007" ht="14.4" customHeight="1" s="152"/>
    <row r="6008" ht="14.4" customHeight="1" s="152"/>
    <row r="6009" ht="14.4" customHeight="1" s="152"/>
    <row r="6010" ht="14.4" customHeight="1" s="152"/>
    <row r="6011" ht="14.4" customHeight="1" s="152"/>
    <row r="6012" ht="14.4" customHeight="1" s="152"/>
    <row r="6013" ht="14.4" customHeight="1" s="152"/>
    <row r="6014" ht="14.4" customHeight="1" s="152"/>
    <row r="6015" ht="14.4" customHeight="1" s="152"/>
    <row r="6016" ht="14.4" customHeight="1" s="152"/>
    <row r="6017" ht="14.4" customHeight="1" s="152"/>
    <row r="6018" ht="14.4" customHeight="1" s="152"/>
    <row r="6019" ht="14.4" customHeight="1" s="152"/>
    <row r="6020" ht="14.4" customHeight="1" s="152"/>
    <row r="6021" ht="14.4" customHeight="1" s="152"/>
    <row r="6022" ht="14.4" customHeight="1" s="152"/>
    <row r="6023" ht="14.4" customHeight="1" s="152"/>
    <row r="6024" ht="14.4" customHeight="1" s="152"/>
    <row r="6025" ht="14.4" customHeight="1" s="152"/>
    <row r="6026" ht="14.4" customHeight="1" s="152"/>
    <row r="6027" ht="14.4" customHeight="1" s="152"/>
    <row r="6028" ht="14.4" customHeight="1" s="152"/>
    <row r="6029" ht="14.4" customHeight="1" s="152"/>
    <row r="6030" ht="14.4" customHeight="1" s="152"/>
    <row r="6031" ht="14.4" customHeight="1" s="152"/>
    <row r="6032" ht="14.4" customHeight="1" s="152"/>
    <row r="6033" ht="14.4" customHeight="1" s="152"/>
    <row r="6034" ht="14.4" customHeight="1" s="152"/>
    <row r="6035" ht="14.4" customHeight="1" s="152"/>
    <row r="6036" ht="14.4" customHeight="1" s="152"/>
    <row r="6037" ht="14.4" customHeight="1" s="152"/>
    <row r="6038" ht="14.4" customHeight="1" s="152"/>
    <row r="6039" ht="14.4" customHeight="1" s="152"/>
    <row r="6040" ht="14.4" customHeight="1" s="152"/>
    <row r="6041" ht="14.4" customHeight="1" s="152"/>
    <row r="6042" ht="14.4" customHeight="1" s="152"/>
    <row r="6043" ht="14.4" customHeight="1" s="152"/>
    <row r="6044" ht="14.4" customHeight="1" s="152"/>
    <row r="6045" ht="14.4" customHeight="1" s="152"/>
    <row r="6046" ht="14.4" customHeight="1" s="152"/>
    <row r="6047" ht="14.4" customHeight="1" s="152"/>
    <row r="6048" ht="14.4" customHeight="1" s="152"/>
    <row r="6049" ht="14.4" customHeight="1" s="152"/>
    <row r="6050" ht="14.4" customHeight="1" s="152"/>
    <row r="6051" ht="14.4" customHeight="1" s="152"/>
    <row r="6052" ht="14.4" customHeight="1" s="152"/>
    <row r="6053" ht="14.4" customHeight="1" s="152"/>
    <row r="6054" ht="14.4" customHeight="1" s="152"/>
    <row r="6055" ht="14.4" customHeight="1" s="152"/>
    <row r="6056" ht="14.4" customHeight="1" s="152"/>
    <row r="6057" ht="14.4" customHeight="1" s="152"/>
    <row r="6058" ht="14.4" customHeight="1" s="152"/>
    <row r="6059" ht="14.4" customHeight="1" s="152"/>
    <row r="6060" ht="14.4" customHeight="1" s="152"/>
    <row r="6061" ht="14.4" customHeight="1" s="152"/>
    <row r="6062" ht="14.4" customHeight="1" s="152"/>
    <row r="6063" ht="14.4" customHeight="1" s="152"/>
    <row r="6064" ht="14.4" customHeight="1" s="152"/>
    <row r="6065" ht="14.4" customHeight="1" s="152"/>
    <row r="6066" ht="14.4" customHeight="1" s="152"/>
    <row r="6067" ht="14.4" customHeight="1" s="152"/>
    <row r="6068" ht="14.4" customHeight="1" s="152"/>
    <row r="6069" ht="14.4" customHeight="1" s="152"/>
    <row r="6070" ht="14.4" customHeight="1" s="152"/>
    <row r="6071" ht="14.4" customHeight="1" s="152"/>
    <row r="6072" ht="14.4" customHeight="1" s="152"/>
    <row r="6073" ht="14.4" customHeight="1" s="152"/>
    <row r="6074" ht="14.4" customHeight="1" s="152"/>
    <row r="6075" ht="14.4" customHeight="1" s="152"/>
    <row r="6076" ht="14.4" customHeight="1" s="152"/>
    <row r="6077" ht="14.4" customHeight="1" s="152"/>
    <row r="6078" ht="14.4" customHeight="1" s="152"/>
    <row r="6079" ht="14.4" customHeight="1" s="152"/>
    <row r="6080" ht="14.4" customHeight="1" s="152"/>
    <row r="6081" ht="14.4" customHeight="1" s="152"/>
    <row r="6082" ht="14.4" customHeight="1" s="152"/>
    <row r="6083" ht="14.4" customHeight="1" s="152"/>
    <row r="6084" ht="14.4" customHeight="1" s="152"/>
    <row r="6085" ht="14.4" customHeight="1" s="152"/>
    <row r="6086" ht="14.4" customHeight="1" s="152"/>
    <row r="6087" ht="14.4" customHeight="1" s="152"/>
    <row r="6088" ht="14.4" customHeight="1" s="152"/>
    <row r="6089" ht="14.4" customHeight="1" s="152"/>
    <row r="6090" ht="14.4" customHeight="1" s="152"/>
    <row r="6091" ht="14.4" customHeight="1" s="152"/>
    <row r="6092" ht="14.4" customHeight="1" s="152"/>
    <row r="6093" ht="14.4" customHeight="1" s="152"/>
    <row r="6094" ht="14.4" customHeight="1" s="152"/>
    <row r="6095" ht="14.4" customHeight="1" s="152"/>
    <row r="6096" ht="14.4" customHeight="1" s="152"/>
    <row r="6097" ht="14.4" customHeight="1" s="152"/>
    <row r="6098" ht="14.4" customHeight="1" s="152"/>
    <row r="6099" ht="14.4" customHeight="1" s="152"/>
    <row r="6100" ht="14.4" customHeight="1" s="152"/>
    <row r="6101" ht="14.4" customHeight="1" s="152"/>
    <row r="6102" ht="14.4" customHeight="1" s="152"/>
    <row r="6103" ht="14.4" customHeight="1" s="152"/>
    <row r="6104" ht="14.4" customHeight="1" s="152"/>
    <row r="6105" ht="14.4" customHeight="1" s="152"/>
    <row r="6106" ht="14.4" customHeight="1" s="152"/>
    <row r="6107" ht="14.4" customHeight="1" s="152"/>
    <row r="6108" ht="14.4" customHeight="1" s="152"/>
    <row r="6109" ht="14.4" customHeight="1" s="152"/>
    <row r="6110" ht="14.4" customHeight="1" s="152"/>
    <row r="6111" ht="14.4" customHeight="1" s="152"/>
    <row r="6112" ht="14.4" customHeight="1" s="152"/>
    <row r="6113" ht="14.4" customHeight="1" s="152"/>
    <row r="6114" ht="14.4" customHeight="1" s="152"/>
    <row r="6115" ht="14.4" customHeight="1" s="152"/>
    <row r="6116" ht="14.4" customHeight="1" s="152"/>
    <row r="6117" ht="14.4" customHeight="1" s="152"/>
    <row r="6118" ht="14.4" customHeight="1" s="152"/>
    <row r="6119" ht="14.4" customHeight="1" s="152"/>
    <row r="6120" ht="14.4" customHeight="1" s="152"/>
    <row r="6121" ht="14.4" customHeight="1" s="152"/>
    <row r="6122" ht="14.4" customHeight="1" s="152"/>
    <row r="6123" ht="14.4" customHeight="1" s="152"/>
    <row r="6124" ht="14.4" customHeight="1" s="152"/>
    <row r="6125" ht="14.4" customHeight="1" s="152"/>
    <row r="6126" ht="14.4" customHeight="1" s="152"/>
    <row r="6127" ht="14.4" customHeight="1" s="152"/>
    <row r="6128" ht="14.4" customHeight="1" s="152"/>
    <row r="6129" ht="14.4" customHeight="1" s="152"/>
    <row r="6130" ht="14.4" customHeight="1" s="152"/>
    <row r="6131" ht="14.4" customHeight="1" s="152"/>
    <row r="6132" ht="14.4" customHeight="1" s="152"/>
    <row r="6133" ht="14.4" customHeight="1" s="152"/>
    <row r="6134" ht="14.4" customHeight="1" s="152"/>
    <row r="6135" ht="14.4" customHeight="1" s="152"/>
    <row r="6136" ht="14.4" customHeight="1" s="152"/>
    <row r="6137" ht="14.4" customHeight="1" s="152"/>
    <row r="6138" ht="14.4" customHeight="1" s="152"/>
    <row r="6139" ht="14.4" customHeight="1" s="152"/>
    <row r="6140" ht="14.4" customHeight="1" s="152"/>
    <row r="6141" ht="14.4" customHeight="1" s="152"/>
    <row r="6142" ht="14.4" customHeight="1" s="152"/>
    <row r="6143" ht="14.4" customHeight="1" s="152"/>
    <row r="6144" ht="14.4" customHeight="1" s="152"/>
    <row r="6145" ht="14.4" customHeight="1" s="152"/>
    <row r="6146" ht="14.4" customHeight="1" s="152"/>
    <row r="6147" ht="14.4" customHeight="1" s="152"/>
    <row r="6148" ht="14.4" customHeight="1" s="152"/>
    <row r="6149" ht="14.4" customHeight="1" s="152"/>
    <row r="6150" ht="14.4" customHeight="1" s="152"/>
    <row r="6151" ht="14.4" customHeight="1" s="152"/>
    <row r="6152" ht="14.4" customHeight="1" s="152"/>
    <row r="6153" ht="14.4" customHeight="1" s="152"/>
    <row r="6154" ht="14.4" customHeight="1" s="152"/>
    <row r="6155" ht="14.4" customHeight="1" s="152"/>
    <row r="6156" ht="14.4" customHeight="1" s="152"/>
    <row r="6157" ht="14.4" customHeight="1" s="152"/>
    <row r="6158" ht="14.4" customHeight="1" s="152"/>
    <row r="6159" ht="14.4" customHeight="1" s="152"/>
    <row r="6160" ht="14.4" customHeight="1" s="152"/>
    <row r="6161" ht="14.4" customHeight="1" s="152"/>
    <row r="6162" ht="14.4" customHeight="1" s="152"/>
    <row r="6163" ht="14.4" customHeight="1" s="152"/>
    <row r="6164" ht="14.4" customHeight="1" s="152"/>
    <row r="6165" ht="14.4" customHeight="1" s="152"/>
    <row r="6166" ht="14.4" customHeight="1" s="152"/>
    <row r="6167" ht="14.4" customHeight="1" s="152"/>
    <row r="6168" ht="14.4" customHeight="1" s="152"/>
    <row r="6169" ht="14.4" customHeight="1" s="152"/>
    <row r="6170" ht="14.4" customHeight="1" s="152"/>
    <row r="6171" ht="14.4" customHeight="1" s="152"/>
    <row r="6172" ht="14.4" customHeight="1" s="152"/>
    <row r="6173" ht="14.4" customHeight="1" s="152"/>
    <row r="6174" ht="14.4" customHeight="1" s="152"/>
    <row r="6175" ht="14.4" customHeight="1" s="152"/>
    <row r="6176" ht="14.4" customHeight="1" s="152"/>
    <row r="6177" ht="14.4" customHeight="1" s="152"/>
    <row r="6178" ht="14.4" customHeight="1" s="152"/>
    <row r="6179" ht="14.4" customHeight="1" s="152"/>
    <row r="6180" ht="14.4" customHeight="1" s="152"/>
    <row r="6181" ht="14.4" customHeight="1" s="152"/>
    <row r="6182" ht="14.4" customHeight="1" s="152"/>
    <row r="6183" ht="14.4" customHeight="1" s="152"/>
    <row r="6184" ht="14.4" customHeight="1" s="152"/>
    <row r="6185" ht="14.4" customHeight="1" s="152"/>
    <row r="6186" ht="14.4" customHeight="1" s="152"/>
    <row r="6187" ht="14.4" customHeight="1" s="152"/>
    <row r="6188" ht="14.4" customHeight="1" s="152"/>
    <row r="6189" ht="14.4" customHeight="1" s="152"/>
    <row r="6190" ht="14.4" customHeight="1" s="152"/>
    <row r="6191" ht="14.4" customHeight="1" s="152"/>
    <row r="6192" ht="14.4" customHeight="1" s="152"/>
    <row r="6193" ht="14.4" customHeight="1" s="152"/>
    <row r="6194" ht="14.4" customHeight="1" s="152"/>
    <row r="6195" ht="14.4" customHeight="1" s="152"/>
    <row r="6196" ht="14.4" customHeight="1" s="152"/>
    <row r="6197" ht="14.4" customHeight="1" s="152"/>
    <row r="6198" ht="14.4" customHeight="1" s="152"/>
    <row r="6199" ht="14.4" customHeight="1" s="152"/>
    <row r="6200" ht="14.4" customHeight="1" s="152"/>
    <row r="6201" ht="14.4" customHeight="1" s="152"/>
    <row r="6202" ht="14.4" customHeight="1" s="152"/>
    <row r="6203" ht="14.4" customHeight="1" s="152"/>
    <row r="6204" ht="14.4" customHeight="1" s="152"/>
    <row r="6205" ht="14.4" customHeight="1" s="152"/>
    <row r="6206" ht="14.4" customHeight="1" s="152"/>
    <row r="6207" ht="14.4" customHeight="1" s="152"/>
    <row r="6208" ht="14.4" customHeight="1" s="152"/>
    <row r="6209" ht="14.4" customHeight="1" s="152"/>
    <row r="6210" ht="14.4" customHeight="1" s="152"/>
    <row r="6211" ht="14.4" customHeight="1" s="152"/>
    <row r="6212" ht="14.4" customHeight="1" s="152"/>
    <row r="6213" ht="14.4" customHeight="1" s="152"/>
    <row r="6214" ht="14.4" customHeight="1" s="152"/>
    <row r="6215" ht="14.4" customHeight="1" s="152"/>
    <row r="6216" ht="14.4" customHeight="1" s="152"/>
  </sheetData>
  <hyperlinks>
    <hyperlink xmlns:r="http://schemas.openxmlformats.org/officeDocument/2006/relationships" ref="H1" display="https://www.rotowire.com/football/injury-report.php"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1">
    <tabColor rgb="FF002060"/>
    <outlinePr summaryBelow="1" summaryRight="1"/>
    <pageSetUpPr fitToPage="0"/>
  </sheetPr>
  <dimension ref="A1:AB833"/>
  <sheetViews>
    <sheetView showFormulas="0" showGridLines="0"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F178" activeCellId="0" sqref="F178"/>
    </sheetView>
  </sheetViews>
  <sheetFormatPr baseColWidth="8" defaultColWidth="8.796875" defaultRowHeight="14.4" zeroHeight="0" outlineLevelRow="0"/>
  <cols>
    <col width="7.11" customWidth="1" style="156" min="1" max="1"/>
    <col width="26.66" customWidth="1" style="156" min="2" max="2"/>
    <col width="9.130000000000001" customWidth="1" style="156" min="3" max="3"/>
    <col width="59.08" customWidth="1" style="156" min="4" max="4"/>
    <col width="10.45" customWidth="1" style="157" min="5" max="5"/>
    <col width="27.12" customWidth="1" style="156" min="6" max="6"/>
    <col width="12.89" customWidth="1" style="156" min="10" max="10"/>
    <col width="10.89" customWidth="1" style="213" min="11" max="11"/>
    <col width="13.43" customWidth="1" style="156" min="12" max="12"/>
    <col width="11.57" customWidth="1" style="156" min="13" max="13"/>
    <col width="11.45" customWidth="1" style="156" min="14" max="14"/>
    <col width="21.66" customWidth="1" style="156" min="17" max="17"/>
  </cols>
  <sheetData>
    <row r="1" ht="46.25" customHeight="1" s="152">
      <c r="A1" s="214" t="inlineStr">
        <is>
          <t>Line Ref No</t>
        </is>
      </c>
      <c r="B1" s="214" t="inlineStr">
        <is>
          <t>Team Streamlined Name</t>
        </is>
      </c>
      <c r="C1" s="215" t="inlineStr">
        <is>
          <t>C- Score</t>
        </is>
      </c>
      <c r="D1" s="214" t="inlineStr">
        <is>
          <t>Injury Status</t>
        </is>
      </c>
      <c r="E1" s="211" t="inlineStr">
        <is>
          <t>Depth String</t>
        </is>
      </c>
      <c r="F1" s="214" t="inlineStr">
        <is>
          <t>Name</t>
        </is>
      </c>
      <c r="G1" s="214" t="inlineStr">
        <is>
          <t>Team</t>
        </is>
      </c>
      <c r="H1" s="214" t="inlineStr">
        <is>
          <t>Pos</t>
        </is>
      </c>
      <c r="I1" s="214" t="inlineStr">
        <is>
          <t>PosString Combo</t>
        </is>
      </c>
      <c r="J1" s="214" t="inlineStr">
        <is>
          <t>Error Check</t>
        </is>
      </c>
      <c r="K1" s="216" t="inlineStr">
        <is>
          <t>C-Score Override</t>
        </is>
      </c>
      <c r="L1" s="215" t="inlineStr">
        <is>
          <t>QB C-Score Supp</t>
        </is>
      </c>
      <c r="M1" s="215" t="inlineStr">
        <is>
          <t>RB C-Score Supp</t>
        </is>
      </c>
      <c r="N1" s="215" t="inlineStr">
        <is>
          <t>Rec C-Score Supp</t>
        </is>
      </c>
      <c r="O1" s="215" t="inlineStr">
        <is>
          <t>Returns Score</t>
        </is>
      </c>
    </row>
    <row r="2" hidden="1" ht="15.6" customHeight="1" s="152">
      <c r="A2" s="217" t="n">
        <v>1</v>
      </c>
      <c r="B2" s="218">
        <f>VLOOKUP(G2,Matrix!R:AA,10,0)</f>
        <v/>
      </c>
      <c r="C2" s="156">
        <f>IF(K2&gt;=0.01,K2,IFERROR(VLOOKUP(F2&amp;G2,Pass!B:C,2,0),K2)+SUM(L2:N2))</f>
        <v/>
      </c>
      <c r="D2" s="218">
        <f>_xlfn.IFNA(INDEX('Injury Report'!F:F, MATCH(G2&amp;F2, 'Injury Report'!A:A, 0)), "Healthy")</f>
        <v/>
      </c>
      <c r="E2" s="219">
        <f>VLOOKUP(A2,'QB Depth'!A:G,7,0)-1</f>
        <v/>
      </c>
      <c r="F2" s="218">
        <f>VLOOKUP(A2,'QB Depth'!A:C,3,0)</f>
        <v/>
      </c>
      <c r="G2" s="218">
        <f>VLOOKUP(A2,'QB Depth'!A:B,2,0)</f>
        <v/>
      </c>
      <c r="H2" s="218">
        <f>VLOOKUP(A2,'QB Depth'!A:D,4,0)</f>
        <v/>
      </c>
      <c r="I2" s="218">
        <f>H2&amp;E2</f>
        <v/>
      </c>
      <c r="J2" s="220">
        <f>IF(VLOOKUP(F2,Pass!F:G,2,0)=G2,"OK","Check Team")</f>
        <v/>
      </c>
      <c r="K2" s="156" t="n"/>
      <c r="L2" s="156">
        <f>IFERROR(VLOOKUP(F2&amp;G2,Pass!B:C,2,0),0)</f>
        <v/>
      </c>
      <c r="M2" s="156">
        <f>IFERROR(VLOOKUP(F2&amp;G2,Rush!B:C,2,0),0)</f>
        <v/>
      </c>
      <c r="N2" s="156">
        <f>IFERROR(VLOOKUP(F2&amp;G2,Rec!B:C,2,0),0)</f>
        <v/>
      </c>
      <c r="O2" s="156">
        <f>IFERROR(VLOOKUP(F2&amp;G2,Returns!A:B,2,0),0)</f>
        <v/>
      </c>
      <c r="Q2" s="156" t="inlineStr">
        <is>
          <t>Israel Abanikanda</t>
        </is>
      </c>
      <c r="R2" s="156" t="inlineStr">
        <is>
          <t>SF</t>
        </is>
      </c>
      <c r="S2" s="156" t="inlineStr">
        <is>
          <t>RB</t>
        </is>
      </c>
    </row>
    <row r="3" hidden="1" ht="15.6" customHeight="1" s="152">
      <c r="A3" s="217" t="n">
        <v>2</v>
      </c>
      <c r="B3" s="218">
        <f>VLOOKUP(G3,Matrix!R:AA,10,0)</f>
        <v/>
      </c>
      <c r="C3" s="156">
        <f>IF(K3&gt;=0.01,K3,IFERROR(VLOOKUP(F3&amp;G3,Pass!B:C,2,0),K3)+SUM(L3:N3))</f>
        <v/>
      </c>
      <c r="D3" s="218">
        <f>_xlfn.IFNA(INDEX('Injury Report'!F:F, MATCH(G3&amp;F3, 'Injury Report'!A:A, 0)), "Healthy")</f>
        <v/>
      </c>
      <c r="E3" s="219">
        <f>VLOOKUP(A3,'QB Depth'!A:G,7,0)-1</f>
        <v/>
      </c>
      <c r="F3" s="218">
        <f>VLOOKUP(A3,'QB Depth'!A:C,3,0)</f>
        <v/>
      </c>
      <c r="G3" s="218">
        <f>VLOOKUP(A3,'QB Depth'!A:B,2,0)</f>
        <v/>
      </c>
      <c r="H3" s="218">
        <f>VLOOKUP(A3,'QB Depth'!A:D,4,0)</f>
        <v/>
      </c>
      <c r="I3" s="218">
        <f>H3&amp;E3</f>
        <v/>
      </c>
      <c r="J3" s="220">
        <f>IF(VLOOKUP(F3,Pass!F:G,2,0)=G3,"OK","Check Team")</f>
        <v/>
      </c>
      <c r="K3" s="156" t="n"/>
      <c r="L3" s="156">
        <f>IFERROR(VLOOKUP(F3&amp;G3,Pass!B:C,2,0),0)</f>
        <v/>
      </c>
      <c r="M3" s="156">
        <f>IFERROR(VLOOKUP(F3&amp;G3,Rush!B:C,2,0),0)</f>
        <v/>
      </c>
      <c r="N3" s="156">
        <f>IFERROR(VLOOKUP(F3&amp;G3,Rec!B:C,2,0),0)</f>
        <v/>
      </c>
      <c r="O3" s="156">
        <f>IFERROR(VLOOKUP(F3&amp;G3,Returns!A:B,2,0),0)</f>
        <v/>
      </c>
      <c r="Q3" s="156" t="inlineStr">
        <is>
          <t>Ameer Abdullah</t>
        </is>
      </c>
      <c r="R3" s="156" t="inlineStr">
        <is>
          <t>LV</t>
        </is>
      </c>
      <c r="S3" s="156" t="inlineStr">
        <is>
          <t>RB</t>
        </is>
      </c>
    </row>
    <row r="4" hidden="1" ht="15.6" customHeight="1" s="152">
      <c r="A4" s="217" t="n">
        <v>3</v>
      </c>
      <c r="B4" s="218">
        <f>VLOOKUP(G4,Matrix!R:AA,10,0)</f>
        <v/>
      </c>
      <c r="C4" s="156">
        <f>IF(K4&gt;=0.01,K4,IFERROR(VLOOKUP(F4&amp;G4,Pass!B:C,2,0),K4)+SUM(L4:N4))</f>
        <v/>
      </c>
      <c r="D4" s="218">
        <f>_xlfn.IFNA(INDEX('Injury Report'!F:F, MATCH(G4&amp;F4, 'Injury Report'!A:A, 0)), "Healthy")</f>
        <v/>
      </c>
      <c r="E4" s="219">
        <f>VLOOKUP(A4,'QB Depth'!A:G,7,0)-1</f>
        <v/>
      </c>
      <c r="F4" s="218">
        <f>VLOOKUP(A4,'QB Depth'!A:C,3,0)</f>
        <v/>
      </c>
      <c r="G4" s="218">
        <f>VLOOKUP(A4,'QB Depth'!A:B,2,0)</f>
        <v/>
      </c>
      <c r="H4" s="218">
        <f>VLOOKUP(A4,'QB Depth'!A:D,4,0)</f>
        <v/>
      </c>
      <c r="I4" s="218">
        <f>H4&amp;E4</f>
        <v/>
      </c>
      <c r="J4" s="220">
        <f>IF(VLOOKUP(F4,Pass!F:G,2,0)=G4,"OK","Check Team")</f>
        <v/>
      </c>
      <c r="K4" s="156" t="n"/>
      <c r="L4" s="156">
        <f>IFERROR(VLOOKUP(F4&amp;G4,Pass!B:C,2,0),0)</f>
        <v/>
      </c>
      <c r="M4" s="156">
        <f>IFERROR(VLOOKUP(F4&amp;G4,Rush!B:C,2,0),0)</f>
        <v/>
      </c>
      <c r="N4" s="156">
        <f>IFERROR(VLOOKUP(F4&amp;G4,Rec!B:C,2,0),0)</f>
        <v/>
      </c>
      <c r="O4" s="156">
        <f>IFERROR(VLOOKUP(F4&amp;G4,Returns!A:B,2,0),0)</f>
        <v/>
      </c>
      <c r="Q4" s="156" t="inlineStr">
        <is>
          <t>Keshunn Abram</t>
        </is>
      </c>
      <c r="R4" s="156" t="inlineStr">
        <is>
          <t>FA</t>
        </is>
      </c>
      <c r="S4" s="156" t="inlineStr">
        <is>
          <t>WR</t>
        </is>
      </c>
    </row>
    <row r="5" hidden="1" ht="15.6" customHeight="1" s="152">
      <c r="A5" s="217" t="n">
        <v>4</v>
      </c>
      <c r="B5" s="218">
        <f>VLOOKUP(G5,Matrix!R:AA,10,0)</f>
        <v/>
      </c>
      <c r="C5" s="156">
        <f>IF(K5&gt;=0.01,K5,IFERROR(VLOOKUP(F5&amp;G5,Pass!B:C,2,0),K5)+SUM(L5:N5))</f>
        <v/>
      </c>
      <c r="D5" s="218">
        <f>_xlfn.IFNA(INDEX('Injury Report'!F:F, MATCH(G5&amp;F5, 'Injury Report'!A:A, 0)), "Healthy")</f>
        <v/>
      </c>
      <c r="E5" s="219">
        <f>VLOOKUP(A5,'QB Depth'!A:G,7,0)-1</f>
        <v/>
      </c>
      <c r="F5" s="218">
        <f>VLOOKUP(A5,'QB Depth'!A:C,3,0)</f>
        <v/>
      </c>
      <c r="G5" s="218">
        <f>VLOOKUP(A5,'QB Depth'!A:B,2,0)</f>
        <v/>
      </c>
      <c r="H5" s="218">
        <f>VLOOKUP(A5,'QB Depth'!A:D,4,0)</f>
        <v/>
      </c>
      <c r="I5" s="218">
        <f>H5&amp;E5</f>
        <v/>
      </c>
      <c r="J5" s="220">
        <f>IF(VLOOKUP(F5,Pass!F:G,2,0)=G5,"OK","Check Team")</f>
        <v/>
      </c>
      <c r="K5" s="156" t="n"/>
      <c r="L5" s="156">
        <f>IFERROR(VLOOKUP(F5&amp;G5,Pass!B:C,2,0),0)</f>
        <v/>
      </c>
      <c r="M5" s="156">
        <f>IFERROR(VLOOKUP(F5&amp;G5,Rush!B:C,2,0),0)</f>
        <v/>
      </c>
      <c r="N5" s="156">
        <f>IFERROR(VLOOKUP(F5&amp;G5,Rec!B:C,2,0),0)</f>
        <v/>
      </c>
      <c r="O5" s="156">
        <f>IFERROR(VLOOKUP(F5&amp;G5,Returns!A:B,2,0),0)</f>
        <v/>
      </c>
      <c r="Q5" s="156" t="inlineStr">
        <is>
          <t>De'Von Achane</t>
        </is>
      </c>
      <c r="R5" s="156" t="inlineStr">
        <is>
          <t>MIA</t>
        </is>
      </c>
      <c r="S5" s="156" t="inlineStr">
        <is>
          <t>RB</t>
        </is>
      </c>
    </row>
    <row r="6" hidden="1" ht="15.6" customHeight="1" s="152">
      <c r="A6" s="217" t="n">
        <v>5</v>
      </c>
      <c r="B6" s="218">
        <f>VLOOKUP(G6,Matrix!R:AA,10,0)</f>
        <v/>
      </c>
      <c r="C6" s="156">
        <f>IF(K6&gt;=0.01,K6,IFERROR(VLOOKUP(F6&amp;G6,Pass!B:C,2,0),K6)+SUM(L6:N6))</f>
        <v/>
      </c>
      <c r="D6" s="218">
        <f>_xlfn.IFNA(INDEX('Injury Report'!F:F, MATCH(G6&amp;F6, 'Injury Report'!A:A, 0)), "Healthy")</f>
        <v/>
      </c>
      <c r="E6" s="219">
        <f>VLOOKUP(A6,'QB Depth'!A:G,7,0)-1</f>
        <v/>
      </c>
      <c r="F6" s="218">
        <f>VLOOKUP(A$6,'QB Depth'!A:C,3,0)</f>
        <v/>
      </c>
      <c r="G6" s="218">
        <f>VLOOKUP(A6,'QB Depth'!A:B,2,0)</f>
        <v/>
      </c>
      <c r="H6" s="218">
        <f>VLOOKUP(A6,'QB Depth'!A:D,4,0)</f>
        <v/>
      </c>
      <c r="I6" s="218">
        <f>H6&amp;E6</f>
        <v/>
      </c>
      <c r="J6" s="220">
        <f>IF(VLOOKUP(F6,Pass!F:G,2,0)=G6,"OK","Check Team")</f>
        <v/>
      </c>
      <c r="K6" s="156" t="n"/>
      <c r="L6" s="156">
        <f>IFERROR(VLOOKUP(F6&amp;G6,Pass!B:C,2,0),0)</f>
        <v/>
      </c>
      <c r="M6" s="156">
        <f>IFERROR(VLOOKUP(F6&amp;G6,Rush!B:C,2,0),0)</f>
        <v/>
      </c>
      <c r="N6" s="156">
        <f>IFERROR(VLOOKUP(F6&amp;G6,Rec!B:C,2,0),0)</f>
        <v/>
      </c>
      <c r="O6" s="156">
        <f>IFERROR(VLOOKUP(F6&amp;G6,Returns!A:B,2,0),0)</f>
        <v/>
      </c>
      <c r="Q6" s="156" t="inlineStr">
        <is>
          <t>Davante Adams</t>
        </is>
      </c>
      <c r="R6" s="156" t="inlineStr">
        <is>
          <t>NYJ</t>
        </is>
      </c>
      <c r="S6" s="156" t="inlineStr">
        <is>
          <t>WR</t>
        </is>
      </c>
    </row>
    <row r="7" hidden="1" ht="15.6" customHeight="1" s="152">
      <c r="A7" s="217" t="n">
        <v>6</v>
      </c>
      <c r="B7" s="218">
        <f>VLOOKUP(G7,Matrix!R:AA,10,0)</f>
        <v/>
      </c>
      <c r="C7" s="156">
        <f>IF(K7&gt;=0.01,K7,IFERROR(VLOOKUP(F7&amp;G7,Pass!B:C,2,0),K7)+SUM(L7:N7))</f>
        <v/>
      </c>
      <c r="D7" s="218">
        <f>_xlfn.IFNA(INDEX('Injury Report'!F:F, MATCH(G7&amp;F7, 'Injury Report'!A:A, 0)), "Healthy")</f>
        <v/>
      </c>
      <c r="E7" s="219">
        <f>VLOOKUP(A7,'QB Depth'!A:G,7,0)-1</f>
        <v/>
      </c>
      <c r="F7" s="218">
        <f>VLOOKUP(A7,'QB Depth'!A:C,3,0)</f>
        <v/>
      </c>
      <c r="G7" s="218">
        <f>VLOOKUP(A7,'QB Depth'!A:B,2,0)</f>
        <v/>
      </c>
      <c r="H7" s="218">
        <f>VLOOKUP(A7,'QB Depth'!A:D,4,0)</f>
        <v/>
      </c>
      <c r="I7" s="218">
        <f>H7&amp;E7</f>
        <v/>
      </c>
      <c r="J7" s="220">
        <f>IF(VLOOKUP(F7,Pass!F:G,2,0)=G7,"OK","Check Team")</f>
        <v/>
      </c>
      <c r="K7" s="156" t="n"/>
      <c r="L7" s="156">
        <f>IFERROR(VLOOKUP(F7&amp;G7,Pass!B:C,2,0),0)</f>
        <v/>
      </c>
      <c r="M7" s="156">
        <f>IFERROR(VLOOKUP(F7&amp;G7,Rush!B:C,2,0),0)</f>
        <v/>
      </c>
      <c r="N7" s="156">
        <f>IFERROR(VLOOKUP(F7&amp;G7,Rec!B:C,2,0),0)</f>
        <v/>
      </c>
      <c r="O7" s="156">
        <f>IFERROR(VLOOKUP(F7&amp;G7,Returns!A:B,2,0),0)</f>
        <v/>
      </c>
      <c r="Q7" s="156" t="inlineStr">
        <is>
          <t>Jordan Addison</t>
        </is>
      </c>
      <c r="R7" s="156" t="inlineStr">
        <is>
          <t>MIN</t>
        </is>
      </c>
      <c r="S7" s="156" t="inlineStr">
        <is>
          <t>WR</t>
        </is>
      </c>
    </row>
    <row r="8" hidden="1" ht="15.6" customHeight="1" s="152">
      <c r="A8" s="217" t="n">
        <v>7</v>
      </c>
      <c r="B8" s="218">
        <f>VLOOKUP(G8,Matrix!R:AA,10,0)</f>
        <v/>
      </c>
      <c r="C8" s="156">
        <f>IF(K8&gt;=0.01,K8,IFERROR(VLOOKUP(F8&amp;G8,Pass!B:C,2,0),K8)+SUM(L8:N8))</f>
        <v/>
      </c>
      <c r="D8" s="218">
        <f>_xlfn.IFNA(INDEX('Injury Report'!F:F, MATCH(G8&amp;F8, 'Injury Report'!A:A, 0)), "Healthy")</f>
        <v/>
      </c>
      <c r="E8" s="219">
        <f>VLOOKUP(A8,'QB Depth'!A:G,7,0)-1</f>
        <v/>
      </c>
      <c r="F8" s="218">
        <f>VLOOKUP(A8,'QB Depth'!A:C,3,0)</f>
        <v/>
      </c>
      <c r="G8" s="218">
        <f>VLOOKUP(A8,'QB Depth'!A:B,2,0)</f>
        <v/>
      </c>
      <c r="H8" s="218">
        <f>VLOOKUP(A8,'QB Depth'!A:D,4,0)</f>
        <v/>
      </c>
      <c r="I8" s="218">
        <f>H8&amp;E8</f>
        <v/>
      </c>
      <c r="J8" s="220">
        <f>IF(VLOOKUP(F8,Pass!F:G,2,0)=G8,"OK","Check Team")</f>
        <v/>
      </c>
      <c r="K8" s="156" t="n"/>
      <c r="L8" s="156">
        <f>IFERROR(VLOOKUP(F8&amp;G8,Pass!B:C,2,0),0)</f>
        <v/>
      </c>
      <c r="M8" s="156">
        <f>IFERROR(VLOOKUP(F8&amp;G8,Rush!B:C,2,0),0)</f>
        <v/>
      </c>
      <c r="N8" s="156">
        <f>IFERROR(VLOOKUP(F8&amp;G8,Rec!B:C,2,0),0)</f>
        <v/>
      </c>
      <c r="O8" s="156">
        <f>IFERROR(VLOOKUP(F8&amp;G8,Returns!A:B,2,0),0)</f>
        <v/>
      </c>
      <c r="Q8" s="156" t="inlineStr">
        <is>
          <t>Nelson Agholor</t>
        </is>
      </c>
      <c r="R8" s="156" t="inlineStr">
        <is>
          <t>BAL</t>
        </is>
      </c>
      <c r="S8" s="156" t="inlineStr">
        <is>
          <t>WR</t>
        </is>
      </c>
    </row>
    <row r="9" hidden="1" ht="15.6" customHeight="1" s="152">
      <c r="A9" s="217" t="n">
        <v>8</v>
      </c>
      <c r="B9" s="218">
        <f>VLOOKUP(G9,Matrix!R:AA,10,0)</f>
        <v/>
      </c>
      <c r="C9" s="156">
        <f>IF(K9&gt;=0.01,K9,IFERROR(VLOOKUP(F9&amp;G9,Pass!B:C,2,0),K9)+SUM(L9:N9))</f>
        <v/>
      </c>
      <c r="D9" s="218">
        <f>_xlfn.IFNA(INDEX('Injury Report'!F:F, MATCH(G9&amp;F9, 'Injury Report'!A:A, 0)), "Healthy")</f>
        <v/>
      </c>
      <c r="E9" s="219">
        <f>VLOOKUP(A9,'QB Depth'!A:G,7,0)-1</f>
        <v/>
      </c>
      <c r="F9" s="218">
        <f>VLOOKUP(A9,'QB Depth'!A:C,3,0)</f>
        <v/>
      </c>
      <c r="G9" s="218">
        <f>VLOOKUP(A9,'QB Depth'!A:B,2,0)</f>
        <v/>
      </c>
      <c r="H9" s="218">
        <f>VLOOKUP(A9,'QB Depth'!A:D,4,0)</f>
        <v/>
      </c>
      <c r="I9" s="218">
        <f>H9&amp;E9</f>
        <v/>
      </c>
      <c r="J9" s="220">
        <f>IF(VLOOKUP(F9,Pass!F:G,2,0)=G9,"OK","Check Team")</f>
        <v/>
      </c>
      <c r="K9" s="156" t="n"/>
      <c r="L9" s="156">
        <f>IFERROR(VLOOKUP(F9&amp;G9,Pass!B:C,2,0),0)</f>
        <v/>
      </c>
      <c r="M9" s="156">
        <f>IFERROR(VLOOKUP(F9&amp;G9,Rush!B:C,2,0),0)</f>
        <v/>
      </c>
      <c r="N9" s="156">
        <f>IFERROR(VLOOKUP(F9&amp;G9,Rec!B:C,2,0),0)</f>
        <v/>
      </c>
      <c r="O9" s="156">
        <f>IFERROR(VLOOKUP(F9&amp;G9,Returns!A:B,2,0),0)</f>
        <v/>
      </c>
      <c r="Q9" s="156" t="inlineStr">
        <is>
          <t>Jamal Agnew</t>
        </is>
      </c>
      <c r="R9" s="156" t="inlineStr">
        <is>
          <t>FA</t>
        </is>
      </c>
      <c r="S9" s="156" t="inlineStr">
        <is>
          <t>WR</t>
        </is>
      </c>
    </row>
    <row r="10" hidden="1" ht="15.6" customHeight="1" s="152">
      <c r="A10" s="217" t="n">
        <v>9</v>
      </c>
      <c r="B10" s="218">
        <f>VLOOKUP(G10,Matrix!R:AA,10,0)</f>
        <v/>
      </c>
      <c r="C10" s="156">
        <f>IF(K10&gt;=0.01,K10,IFERROR(VLOOKUP(F10&amp;G10,Pass!B:C,2,0),K10)+SUM(L10:N10))</f>
        <v/>
      </c>
      <c r="D10" s="218">
        <f>_xlfn.IFNA(INDEX('Injury Report'!F:F, MATCH(G10&amp;F10, 'Injury Report'!A:A, 0)), "Healthy")</f>
        <v/>
      </c>
      <c r="E10" s="219">
        <f>VLOOKUP(A10,'QB Depth'!A:G,7,0)-1</f>
        <v/>
      </c>
      <c r="F10" s="218">
        <f>VLOOKUP(A10,'QB Depth'!A:C,3,0)</f>
        <v/>
      </c>
      <c r="G10" s="218">
        <f>VLOOKUP(A10,'QB Depth'!A:B,2,0)</f>
        <v/>
      </c>
      <c r="H10" s="218">
        <f>VLOOKUP(A10,'QB Depth'!A:D,4,0)</f>
        <v/>
      </c>
      <c r="I10" s="218">
        <f>H10&amp;E10</f>
        <v/>
      </c>
      <c r="J10" s="220">
        <f>IF(VLOOKUP(F10,Pass!F:G,2,0)=G10,"OK","Check Team")</f>
        <v/>
      </c>
      <c r="K10" s="156" t="n"/>
      <c r="L10" s="156">
        <f>IFERROR(VLOOKUP(F10&amp;G10,Pass!B:C,2,0),0)</f>
        <v/>
      </c>
      <c r="M10" s="156">
        <f>IFERROR(VLOOKUP(F10&amp;G10,Rush!B:C,2,0),0)</f>
        <v/>
      </c>
      <c r="N10" s="156">
        <f>IFERROR(VLOOKUP(F10&amp;G10,Rec!B:C,2,0),0)</f>
        <v/>
      </c>
      <c r="O10" s="156">
        <f>IFERROR(VLOOKUP(F10&amp;G10,Returns!A:B,2,0),0)</f>
        <v/>
      </c>
      <c r="Q10" s="156" t="inlineStr">
        <is>
          <t>Ramiz Ahmed</t>
        </is>
      </c>
      <c r="R10" s="156" t="inlineStr">
        <is>
          <t>FA</t>
        </is>
      </c>
      <c r="S10" s="156" t="inlineStr">
        <is>
          <t>K</t>
        </is>
      </c>
    </row>
    <row r="11" hidden="1" ht="15.6" customHeight="1" s="152">
      <c r="A11" s="217" t="n">
        <v>10</v>
      </c>
      <c r="B11" s="218">
        <f>VLOOKUP(G11,Matrix!R:AA,10,0)</f>
        <v/>
      </c>
      <c r="C11" s="156">
        <f>IF(K11&gt;=0.01,K11,IFERROR(VLOOKUP(F11&amp;G11,Pass!B:C,2,0),K11)+SUM(L11:N11))</f>
        <v/>
      </c>
      <c r="D11" s="218">
        <f>_xlfn.IFNA(INDEX('Injury Report'!F:F, MATCH(G11&amp;F11, 'Injury Report'!A:A, 0)), "Healthy")</f>
        <v/>
      </c>
      <c r="E11" s="219">
        <f>VLOOKUP(A11,'QB Depth'!A:G,7,0)-1</f>
        <v/>
      </c>
      <c r="F11" s="218">
        <f>VLOOKUP(A11,'QB Depth'!A:C,3,0)</f>
        <v/>
      </c>
      <c r="G11" s="218">
        <f>VLOOKUP(A11,'QB Depth'!A:B,2,0)</f>
        <v/>
      </c>
      <c r="H11" s="218">
        <f>VLOOKUP(A11,'QB Depth'!A:D,4,0)</f>
        <v/>
      </c>
      <c r="I11" s="218">
        <f>H11&amp;E11</f>
        <v/>
      </c>
      <c r="J11" s="220">
        <f>IF(VLOOKUP(F11,Pass!F:G,2,0)=G11,"OK","Check Team")</f>
        <v/>
      </c>
      <c r="K11" s="156" t="n"/>
      <c r="L11" s="156">
        <f>IFERROR(VLOOKUP(F11&amp;G11,Pass!B:C,2,0),0)</f>
        <v/>
      </c>
      <c r="M11" s="156">
        <f>IFERROR(VLOOKUP(F11&amp;G11,Rush!B:C,2,0),0)</f>
        <v/>
      </c>
      <c r="N11" s="156">
        <f>IFERROR(VLOOKUP(F11&amp;G11,Rec!B:C,2,0),0)</f>
        <v/>
      </c>
      <c r="O11" s="156">
        <f>IFERROR(VLOOKUP(F11&amp;G11,Returns!A:B,2,0),0)</f>
        <v/>
      </c>
      <c r="Q11" s="156" t="inlineStr">
        <is>
          <t>Salvon Ahmed</t>
        </is>
      </c>
      <c r="R11" s="156" t="inlineStr">
        <is>
          <t>IND</t>
        </is>
      </c>
      <c r="S11" s="156" t="inlineStr">
        <is>
          <t>RB</t>
        </is>
      </c>
    </row>
    <row r="12" hidden="1" ht="15.6" customHeight="1" s="152">
      <c r="A12" s="217" t="n">
        <v>11</v>
      </c>
      <c r="B12" s="218">
        <f>VLOOKUP(G12,Matrix!R:AA,10,0)</f>
        <v/>
      </c>
      <c r="C12" s="156">
        <f>IF(K12&gt;=0.01,K12,IFERROR(VLOOKUP(F12&amp;G12,Pass!B:C,2,0),K12)+SUM(L12:N12))</f>
        <v/>
      </c>
      <c r="D12" s="218">
        <f>_xlfn.IFNA(INDEX('Injury Report'!F:F, MATCH(G12&amp;F12, 'Injury Report'!A:A, 0)), "Healthy")</f>
        <v/>
      </c>
      <c r="E12" s="219">
        <f>VLOOKUP(A12,'QB Depth'!A:G,7,0)-1</f>
        <v/>
      </c>
      <c r="F12" s="218">
        <f>VLOOKUP(A12,'QB Depth'!A:C,3,0)</f>
        <v/>
      </c>
      <c r="G12" s="218">
        <f>VLOOKUP(A12,'QB Depth'!A:B,2,0)</f>
        <v/>
      </c>
      <c r="H12" s="218">
        <f>VLOOKUP(A12,'QB Depth'!A:D,4,0)</f>
        <v/>
      </c>
      <c r="I12" s="218">
        <f>H12&amp;E12</f>
        <v/>
      </c>
      <c r="J12" s="220">
        <f>IF(VLOOKUP(F12,Pass!F:G,2,0)=G12,"OK","Check Team")</f>
        <v/>
      </c>
      <c r="K12" s="156" t="n"/>
      <c r="L12" s="156">
        <f>IFERROR(VLOOKUP(F12&amp;G12,Pass!B:C,2,0),0)</f>
        <v/>
      </c>
      <c r="M12" s="156">
        <f>IFERROR(VLOOKUP(F12&amp;G12,Rush!B:C,2,0),0)</f>
        <v/>
      </c>
      <c r="N12" s="156">
        <f>IFERROR(VLOOKUP(F12&amp;G12,Rec!B:C,2,0),0)</f>
        <v/>
      </c>
      <c r="O12" s="156">
        <f>IFERROR(VLOOKUP(F12&amp;G12,Returns!A:B,2,0),0)</f>
        <v/>
      </c>
      <c r="Q12" s="156" t="inlineStr">
        <is>
          <t>Brandon Aiyuk</t>
        </is>
      </c>
      <c r="R12" s="156" t="inlineStr">
        <is>
          <t>SF</t>
        </is>
      </c>
      <c r="S12" s="156" t="inlineStr">
        <is>
          <t>WR</t>
        </is>
      </c>
    </row>
    <row r="13" hidden="1" ht="15.6" customHeight="1" s="152">
      <c r="A13" s="217" t="n">
        <v>12</v>
      </c>
      <c r="B13" s="218">
        <f>VLOOKUP(G13,Matrix!R:AA,10,0)</f>
        <v/>
      </c>
      <c r="C13" s="156">
        <f>IF(K13&gt;=0.01,K13,IFERROR(VLOOKUP(F13&amp;G13,Pass!B:C,2,0),K13)+SUM(L13:N13))</f>
        <v/>
      </c>
      <c r="D13" s="218">
        <f>_xlfn.IFNA(INDEX('Injury Report'!F:F, MATCH(G13&amp;F13, 'Injury Report'!A:A, 0)), "Healthy")</f>
        <v/>
      </c>
      <c r="E13" s="219">
        <f>VLOOKUP(A13,'QB Depth'!A:G,7,0)-1</f>
        <v/>
      </c>
      <c r="F13" s="218">
        <f>VLOOKUP(A13,'QB Depth'!A:C,3,0)</f>
        <v/>
      </c>
      <c r="G13" s="218">
        <f>VLOOKUP(A13,'QB Depth'!A:B,2,0)</f>
        <v/>
      </c>
      <c r="H13" s="218">
        <f>VLOOKUP(A13,'QB Depth'!A:D,4,0)</f>
        <v/>
      </c>
      <c r="I13" s="218">
        <f>H13&amp;E13</f>
        <v/>
      </c>
      <c r="J13" s="220">
        <f>IF(VLOOKUP(F13,Pass!F:G,2,0)=G13,"OK","Check Team")</f>
        <v/>
      </c>
      <c r="K13" s="156" t="n"/>
      <c r="L13" s="156">
        <f>IFERROR(VLOOKUP(F13&amp;G13,Pass!B:C,2,0),0)</f>
        <v/>
      </c>
      <c r="M13" s="156">
        <f>IFERROR(VLOOKUP(F13&amp;G13,Rush!B:C,2,0),0)</f>
        <v/>
      </c>
      <c r="N13" s="156">
        <f>IFERROR(VLOOKUP(F13&amp;G13,Rec!B:C,2,0),0)</f>
        <v/>
      </c>
      <c r="O13" s="156">
        <f>IFERROR(VLOOKUP(F13&amp;G13,Returns!A:B,2,0),0)</f>
        <v/>
      </c>
      <c r="Q13" s="156" t="inlineStr">
        <is>
          <t>Cam Akers</t>
        </is>
      </c>
      <c r="R13" s="156" t="inlineStr">
        <is>
          <t>MIN</t>
        </is>
      </c>
      <c r="S13" s="156" t="inlineStr">
        <is>
          <t>RB</t>
        </is>
      </c>
    </row>
    <row r="14" hidden="1" ht="15.6" customHeight="1" s="152">
      <c r="A14" s="217" t="n">
        <v>13</v>
      </c>
      <c r="B14" s="218">
        <f>VLOOKUP(G14,Matrix!R:AA,10,0)</f>
        <v/>
      </c>
      <c r="C14" s="156">
        <f>IF(K14&gt;=0.01,K14,IFERROR(VLOOKUP(F14&amp;G14,Pass!B:C,2,0),K14)+SUM(L14:N14))</f>
        <v/>
      </c>
      <c r="D14" s="218">
        <f>_xlfn.IFNA(INDEX('Injury Report'!F:F, MATCH(G14&amp;F14, 'Injury Report'!A:A, 0)), "Healthy")</f>
        <v/>
      </c>
      <c r="E14" s="219">
        <f>VLOOKUP(A14,'QB Depth'!A:G,7,0)-1</f>
        <v/>
      </c>
      <c r="F14" s="218">
        <f>VLOOKUP(A14,'QB Depth'!A:C,3,0)</f>
        <v/>
      </c>
      <c r="G14" s="218">
        <f>VLOOKUP(A14,'QB Depth'!A:B,2,0)</f>
        <v/>
      </c>
      <c r="H14" s="218">
        <f>VLOOKUP(A14,'QB Depth'!A:D,4,0)</f>
        <v/>
      </c>
      <c r="I14" s="218">
        <f>H14&amp;E14</f>
        <v/>
      </c>
      <c r="J14" s="220">
        <f>IF(VLOOKUP(F14,Pass!F:G,2,0)=G14,"OK","Check Team")</f>
        <v/>
      </c>
      <c r="K14" s="156" t="n"/>
      <c r="L14" s="156">
        <f>IFERROR(VLOOKUP(F14&amp;G14,Pass!B:C,2,0),0)</f>
        <v/>
      </c>
      <c r="M14" s="156">
        <f>IFERROR(VLOOKUP(F14&amp;G14,Rush!B:C,2,0),0)</f>
        <v/>
      </c>
      <c r="N14" s="156">
        <f>IFERROR(VLOOKUP(F14&amp;G14,Rec!B:C,2,0),0)</f>
        <v/>
      </c>
      <c r="O14" s="156">
        <f>IFERROR(VLOOKUP(F14&amp;G14,Returns!A:B,2,0),0)</f>
        <v/>
      </c>
      <c r="Q14" s="156" t="inlineStr">
        <is>
          <t>Jordan Akins</t>
        </is>
      </c>
      <c r="R14" s="156" t="inlineStr">
        <is>
          <t>CLE</t>
        </is>
      </c>
      <c r="S14" s="156" t="inlineStr">
        <is>
          <t>TE</t>
        </is>
      </c>
    </row>
    <row r="15" hidden="1" ht="15.6" customHeight="1" s="152">
      <c r="A15" s="217" t="n">
        <v>14</v>
      </c>
      <c r="B15" s="218">
        <f>VLOOKUP(G15,Matrix!R:AA,10,0)</f>
        <v/>
      </c>
      <c r="C15" s="156">
        <f>IF(K15&gt;=0.01,K15,IFERROR(VLOOKUP(F15&amp;G15,Pass!B:C,2,0),K15)+SUM(L15:N15))</f>
        <v/>
      </c>
      <c r="D15" s="218">
        <f>_xlfn.IFNA(INDEX('Injury Report'!F:F, MATCH(G15&amp;F15, 'Injury Report'!A:A, 0)), "Healthy")</f>
        <v/>
      </c>
      <c r="E15" s="219">
        <f>VLOOKUP(A15,'QB Depth'!A:G,7,0)-1</f>
        <v/>
      </c>
      <c r="F15" s="218">
        <f>VLOOKUP(A15,'QB Depth'!A:C,3,0)</f>
        <v/>
      </c>
      <c r="G15" s="218">
        <f>VLOOKUP(A15,'QB Depth'!A:B,2,0)</f>
        <v/>
      </c>
      <c r="H15" s="218">
        <f>VLOOKUP(A15,'QB Depth'!A:D,4,0)</f>
        <v/>
      </c>
      <c r="I15" s="218">
        <f>H15&amp;E15</f>
        <v/>
      </c>
      <c r="J15" s="220">
        <f>IF(VLOOKUP(F15,Pass!F:G,2,0)=G15,"OK","Check Team")</f>
        <v/>
      </c>
      <c r="K15" s="156" t="n"/>
      <c r="L15" s="156">
        <f>IFERROR(VLOOKUP(F15&amp;G15,Pass!B:C,2,0),0)</f>
        <v/>
      </c>
      <c r="M15" s="156">
        <f>IFERROR(VLOOKUP(F15&amp;G15,Rush!B:C,2,0),0)</f>
        <v/>
      </c>
      <c r="N15" s="156">
        <f>IFERROR(VLOOKUP(F15&amp;G15,Rec!B:C,2,0),0)</f>
        <v/>
      </c>
      <c r="O15" s="156">
        <f>IFERROR(VLOOKUP(F15&amp;G15,Returns!A:B,2,0),0)</f>
        <v/>
      </c>
      <c r="Q15" s="156" t="inlineStr">
        <is>
          <t>Rasheen Ali</t>
        </is>
      </c>
      <c r="R15" s="156" t="inlineStr">
        <is>
          <t>BAL</t>
        </is>
      </c>
      <c r="S15" s="156" t="inlineStr">
        <is>
          <t>RB</t>
        </is>
      </c>
    </row>
    <row r="16" hidden="1" ht="15.6" customHeight="1" s="152">
      <c r="A16" s="217" t="n">
        <v>15</v>
      </c>
      <c r="B16" s="218">
        <f>VLOOKUP(G16,Matrix!R:AA,10,0)</f>
        <v/>
      </c>
      <c r="C16" s="156">
        <f>IF(K16&gt;=0.01,K16,IFERROR(VLOOKUP(F16&amp;G16,Pass!B:C,2,0),K16)+SUM(L16:N16))</f>
        <v/>
      </c>
      <c r="D16" s="218">
        <f>_xlfn.IFNA(INDEX('Injury Report'!F:F, MATCH(G16&amp;F16, 'Injury Report'!A:A, 0)), "Healthy")</f>
        <v/>
      </c>
      <c r="E16" s="219">
        <f>VLOOKUP(A16,'QB Depth'!A:G,7,0)-1</f>
        <v/>
      </c>
      <c r="F16" s="218">
        <f>VLOOKUP(A16,'QB Depth'!A:C,3,0)</f>
        <v/>
      </c>
      <c r="G16" s="218">
        <f>VLOOKUP(A16,'QB Depth'!A:B,2,0)</f>
        <v/>
      </c>
      <c r="H16" s="218">
        <f>VLOOKUP(A16,'QB Depth'!A:D,4,0)</f>
        <v/>
      </c>
      <c r="I16" s="218">
        <f>H16&amp;E16</f>
        <v/>
      </c>
      <c r="J16" s="220">
        <f>IF(VLOOKUP(F16,Pass!F:G,2,0)=G16,"OK","Check Team")</f>
        <v/>
      </c>
      <c r="K16" s="156" t="n"/>
      <c r="L16" s="156">
        <f>IFERROR(VLOOKUP(F16&amp;G16,Pass!B:C,2,0),0)</f>
        <v/>
      </c>
      <c r="M16" s="156">
        <f>IFERROR(VLOOKUP(F16&amp;G16,Rush!B:C,2,0),0)</f>
        <v/>
      </c>
      <c r="N16" s="156">
        <f>IFERROR(VLOOKUP(F16&amp;G16,Rec!B:C,2,0),0)</f>
        <v/>
      </c>
      <c r="O16" s="156">
        <f>IFERROR(VLOOKUP(F16&amp;G16,Returns!A:B,2,0),0)</f>
        <v/>
      </c>
      <c r="Q16" s="156" t="inlineStr">
        <is>
          <t>Mo Alie-Cox</t>
        </is>
      </c>
      <c r="R16" s="156" t="inlineStr">
        <is>
          <t>IND</t>
        </is>
      </c>
      <c r="S16" s="156" t="inlineStr">
        <is>
          <t>TE</t>
        </is>
      </c>
    </row>
    <row r="17" hidden="1" ht="15.6" customHeight="1" s="152">
      <c r="A17" s="217" t="n">
        <v>16</v>
      </c>
      <c r="B17" s="218">
        <f>VLOOKUP(G17,Matrix!R:AA,10,0)</f>
        <v/>
      </c>
      <c r="C17" s="156">
        <f>IF(K17&gt;=0.01,K17,IFERROR(VLOOKUP(F17&amp;G17,Pass!B:C,2,0),K17)+SUM(L17:N17))</f>
        <v/>
      </c>
      <c r="D17" s="218">
        <f>_xlfn.IFNA(INDEX('Injury Report'!F:F, MATCH(G17&amp;F17, 'Injury Report'!A:A, 0)), "Healthy")</f>
        <v/>
      </c>
      <c r="E17" s="219">
        <f>VLOOKUP(A17,'QB Depth'!A:G,7,0)-1</f>
        <v/>
      </c>
      <c r="F17" s="218">
        <f>VLOOKUP(A17,'QB Depth'!A:C,3,0)</f>
        <v/>
      </c>
      <c r="G17" s="218">
        <f>VLOOKUP(A17,'QB Depth'!A:B,2,0)</f>
        <v/>
      </c>
      <c r="H17" s="218">
        <f>VLOOKUP(A17,'QB Depth'!A:D,4,0)</f>
        <v/>
      </c>
      <c r="I17" s="218">
        <f>H17&amp;E17</f>
        <v/>
      </c>
      <c r="J17" s="220">
        <f>IF(VLOOKUP(F17,Pass!F:G,2,0)=G17,"OK","Check Team")</f>
        <v/>
      </c>
      <c r="K17" s="156" t="n"/>
      <c r="L17" s="156">
        <f>IFERROR(VLOOKUP(F17&amp;G17,Pass!B:C,2,0),0)</f>
        <v/>
      </c>
      <c r="M17" s="156">
        <f>IFERROR(VLOOKUP(F17&amp;G17,Rush!B:C,2,0),0)</f>
        <v/>
      </c>
      <c r="N17" s="156">
        <f>IFERROR(VLOOKUP(F17&amp;G17,Rec!B:C,2,0),0)</f>
        <v/>
      </c>
      <c r="O17" s="156">
        <f>IFERROR(VLOOKUP(F17&amp;G17,Returns!A:B,2,0),0)</f>
        <v/>
      </c>
      <c r="Q17" s="156" t="inlineStr">
        <is>
          <t>Erick All</t>
        </is>
      </c>
      <c r="R17" s="156" t="inlineStr">
        <is>
          <t>CIN</t>
        </is>
      </c>
      <c r="S17" s="156" t="inlineStr">
        <is>
          <t>TE</t>
        </is>
      </c>
    </row>
    <row r="18" hidden="1" ht="15.6" customHeight="1" s="152">
      <c r="A18" s="217" t="n">
        <v>17</v>
      </c>
      <c r="B18" s="218">
        <f>VLOOKUP(G18,Matrix!R:AA,10,0)</f>
        <v/>
      </c>
      <c r="C18" s="156">
        <f>IF(K18&gt;=0.01,K18,IFERROR(VLOOKUP(F18&amp;G18,Pass!B:C,2,0),K18)+SUM(L18:N18))</f>
        <v/>
      </c>
      <c r="D18" s="218">
        <f>_xlfn.IFNA(INDEX('Injury Report'!F:F, MATCH(G18&amp;F18, 'Injury Report'!A:A, 0)), "Healthy")</f>
        <v/>
      </c>
      <c r="E18" s="219">
        <f>VLOOKUP(A18,'QB Depth'!A:G,7,0)-1</f>
        <v/>
      </c>
      <c r="F18" s="218">
        <f>VLOOKUP(A18,'QB Depth'!A:C,3,0)</f>
        <v/>
      </c>
      <c r="G18" s="218">
        <f>VLOOKUP(A18,'QB Depth'!A:B,2,0)</f>
        <v/>
      </c>
      <c r="H18" s="218">
        <f>VLOOKUP(A18,'QB Depth'!A:D,4,0)</f>
        <v/>
      </c>
      <c r="I18" s="218">
        <f>H18&amp;E18</f>
        <v/>
      </c>
      <c r="J18" s="220">
        <f>IF(VLOOKUP(F18,Pass!F:G,2,0)=G18,"OK","Check Team")</f>
        <v/>
      </c>
      <c r="K18" s="156" t="n"/>
      <c r="L18" s="156">
        <f>IFERROR(VLOOKUP(F18&amp;G18,Pass!B:C,2,0),0)</f>
        <v/>
      </c>
      <c r="M18" s="156">
        <f>IFERROR(VLOOKUP(F18&amp;G18,Rush!B:C,2,0),0)</f>
        <v/>
      </c>
      <c r="N18" s="156">
        <f>IFERROR(VLOOKUP(F18&amp;G18,Rec!B:C,2,0),0)</f>
        <v/>
      </c>
      <c r="O18" s="156">
        <f>IFERROR(VLOOKUP(F18&amp;G18,Returns!A:B,2,0),0)</f>
        <v/>
      </c>
      <c r="Q18" s="156" t="inlineStr">
        <is>
          <t>Braelon Allen</t>
        </is>
      </c>
      <c r="R18" s="156" t="inlineStr">
        <is>
          <t>NYJ</t>
        </is>
      </c>
      <c r="S18" s="156" t="inlineStr">
        <is>
          <t>RB</t>
        </is>
      </c>
    </row>
    <row r="19" hidden="1" ht="15.6" customHeight="1" s="152">
      <c r="A19" s="217" t="n">
        <v>18</v>
      </c>
      <c r="B19" s="218">
        <f>VLOOKUP(G19,Matrix!R:AA,10,0)</f>
        <v/>
      </c>
      <c r="C19" s="156">
        <f>IF(K19&gt;=0.01,K19,IFERROR(VLOOKUP(F19&amp;G19,Pass!B:C,2,0),K19)+SUM(L19:N19))</f>
        <v/>
      </c>
      <c r="D19" s="218">
        <f>_xlfn.IFNA(INDEX('Injury Report'!F:F, MATCH(G19&amp;F19, 'Injury Report'!A:A, 0)), "Healthy")</f>
        <v/>
      </c>
      <c r="E19" s="219">
        <f>VLOOKUP(A19,'QB Depth'!A:G,7,0)-1</f>
        <v/>
      </c>
      <c r="F19" s="218">
        <f>VLOOKUP(A19,'QB Depth'!A:C,3,0)</f>
        <v/>
      </c>
      <c r="G19" s="218">
        <f>VLOOKUP(A19,'QB Depth'!A:B,2,0)</f>
        <v/>
      </c>
      <c r="H19" s="218">
        <f>VLOOKUP(A19,'QB Depth'!A:D,4,0)</f>
        <v/>
      </c>
      <c r="I19" s="218">
        <f>H19&amp;E19</f>
        <v/>
      </c>
      <c r="J19" s="220">
        <f>IF(VLOOKUP(F19,Pass!F:G,2,0)=G19,"OK","Check Team")</f>
        <v/>
      </c>
      <c r="K19" s="156" t="n"/>
      <c r="L19" s="156">
        <f>IFERROR(VLOOKUP(F19&amp;G19,Pass!B:C,2,0),0)</f>
        <v/>
      </c>
      <c r="M19" s="156">
        <f>IFERROR(VLOOKUP(F19&amp;G19,Rush!B:C,2,0),0)</f>
        <v/>
      </c>
      <c r="N19" s="156">
        <f>IFERROR(VLOOKUP(F19&amp;G19,Rec!B:C,2,0),0)</f>
        <v/>
      </c>
      <c r="O19" s="156">
        <f>IFERROR(VLOOKUP(F19&amp;G19,Returns!A:B,2,0),0)</f>
        <v/>
      </c>
      <c r="Q19" s="156" t="inlineStr">
        <is>
          <t>Davis Allen</t>
        </is>
      </c>
      <c r="R19" s="156" t="inlineStr">
        <is>
          <t>LAR</t>
        </is>
      </c>
      <c r="S19" s="156" t="inlineStr">
        <is>
          <t>TE</t>
        </is>
      </c>
    </row>
    <row r="20" hidden="1" ht="15.6" customHeight="1" s="152">
      <c r="A20" s="217" t="n">
        <v>19</v>
      </c>
      <c r="B20" s="218">
        <f>VLOOKUP(G20,Matrix!R:AA,10,0)</f>
        <v/>
      </c>
      <c r="C20" s="156">
        <f>IF(K20&gt;=0.01,K20,IFERROR(VLOOKUP(F20&amp;G20,Pass!B:C,2,0),K20)+SUM(L20:N20))</f>
        <v/>
      </c>
      <c r="D20" s="218">
        <f>_xlfn.IFNA(INDEX('Injury Report'!F:F, MATCH(G20&amp;F20, 'Injury Report'!A:A, 0)), "Healthy")</f>
        <v/>
      </c>
      <c r="E20" s="219">
        <f>VLOOKUP(A20,'QB Depth'!A:G,7,0)-1</f>
        <v/>
      </c>
      <c r="F20" s="218">
        <f>VLOOKUP(A20,'QB Depth'!A:C,3,0)</f>
        <v/>
      </c>
      <c r="G20" s="218">
        <f>VLOOKUP(A20,'QB Depth'!A:B,2,0)</f>
        <v/>
      </c>
      <c r="H20" s="218">
        <f>VLOOKUP(A20,'QB Depth'!A:D,4,0)</f>
        <v/>
      </c>
      <c r="I20" s="218">
        <f>H20&amp;E20</f>
        <v/>
      </c>
      <c r="J20" s="220">
        <f>IF(VLOOKUP(F20,Pass!F:G,2,0)=G20,"OK","Check Team")</f>
        <v/>
      </c>
      <c r="K20" s="156" t="n"/>
      <c r="L20" s="156">
        <f>IFERROR(VLOOKUP(F20&amp;G20,Pass!B:C,2,0),0)</f>
        <v/>
      </c>
      <c r="M20" s="156">
        <f>IFERROR(VLOOKUP(F20&amp;G20,Rush!B:C,2,0),0)</f>
        <v/>
      </c>
      <c r="N20" s="156">
        <f>IFERROR(VLOOKUP(F20&amp;G20,Rec!B:C,2,0),0)</f>
        <v/>
      </c>
      <c r="O20" s="156">
        <f>IFERROR(VLOOKUP(F20&amp;G20,Returns!A:B,2,0),0)</f>
        <v/>
      </c>
      <c r="Q20" s="156" t="inlineStr">
        <is>
          <t>Josh Allen</t>
        </is>
      </c>
      <c r="R20" s="156" t="inlineStr">
        <is>
          <t>BUF</t>
        </is>
      </c>
      <c r="S20" s="156" t="inlineStr">
        <is>
          <t>QB</t>
        </is>
      </c>
    </row>
    <row r="21" hidden="1" ht="15.6" customHeight="1" s="152">
      <c r="A21" s="217" t="n">
        <v>20</v>
      </c>
      <c r="B21" s="218">
        <f>VLOOKUP(G21,Matrix!R:AA,10,0)</f>
        <v/>
      </c>
      <c r="C21" s="156">
        <f>IF(K21&gt;=0.01,K21,IFERROR(VLOOKUP(F21&amp;G21,Pass!B:C,2,0),K21)+SUM(L21:N21))</f>
        <v/>
      </c>
      <c r="D21" s="218">
        <f>_xlfn.IFNA(INDEX('Injury Report'!F:F, MATCH(G21&amp;F21, 'Injury Report'!A:A, 0)), "Healthy")</f>
        <v/>
      </c>
      <c r="E21" s="219">
        <f>VLOOKUP(A21,'QB Depth'!A:G,7,0)-1</f>
        <v/>
      </c>
      <c r="F21" s="218">
        <f>VLOOKUP(A21,'QB Depth'!A:C,3,0)</f>
        <v/>
      </c>
      <c r="G21" s="218">
        <f>VLOOKUP(A21,'QB Depth'!A:B,2,0)</f>
        <v/>
      </c>
      <c r="H21" s="218">
        <f>VLOOKUP(A21,'QB Depth'!A:D,4,0)</f>
        <v/>
      </c>
      <c r="I21" s="218">
        <f>H21&amp;E21</f>
        <v/>
      </c>
      <c r="J21" s="220">
        <f>IF(VLOOKUP(F21,Pass!F:G,2,0)=G21,"OK","Check Team")</f>
        <v/>
      </c>
      <c r="K21" s="156" t="n"/>
      <c r="L21" s="156">
        <f>IFERROR(VLOOKUP(F21&amp;G21,Pass!B:C,2,0),0)</f>
        <v/>
      </c>
      <c r="M21" s="156">
        <f>IFERROR(VLOOKUP(F21&amp;G21,Rush!B:C,2,0),0)</f>
        <v/>
      </c>
      <c r="N21" s="156">
        <f>IFERROR(VLOOKUP(F21&amp;G21,Rec!B:C,2,0),0)</f>
        <v/>
      </c>
      <c r="O21" s="156">
        <f>IFERROR(VLOOKUP(F21&amp;G21,Returns!A:B,2,0),0)</f>
        <v/>
      </c>
      <c r="Q21" s="156" t="inlineStr">
        <is>
          <t>Kyle Allen</t>
        </is>
      </c>
      <c r="R21" s="156" t="inlineStr">
        <is>
          <t>PIT</t>
        </is>
      </c>
      <c r="S21" s="156" t="inlineStr">
        <is>
          <t>QB</t>
        </is>
      </c>
    </row>
    <row r="22" hidden="1" ht="15.6" customHeight="1" s="152">
      <c r="A22" s="217" t="n">
        <v>21</v>
      </c>
      <c r="B22" s="218">
        <f>VLOOKUP(G22,Matrix!R:AA,10,0)</f>
        <v/>
      </c>
      <c r="C22" s="156">
        <f>IF(K22&gt;=0.01,K22,IFERROR(VLOOKUP(F22&amp;G22,Pass!B:C,2,0),K22)+SUM(L22:N22))</f>
        <v/>
      </c>
      <c r="D22" s="218">
        <f>_xlfn.IFNA(INDEX('Injury Report'!F:F, MATCH(G22&amp;F22, 'Injury Report'!A:A, 0)), "Healthy")</f>
        <v/>
      </c>
      <c r="E22" s="219">
        <f>VLOOKUP(A22,'QB Depth'!A:G,7,0)-1</f>
        <v/>
      </c>
      <c r="F22" s="218">
        <f>VLOOKUP(A22,'QB Depth'!A:C,3,0)</f>
        <v/>
      </c>
      <c r="G22" s="218">
        <f>VLOOKUP(A22,'QB Depth'!A:B,2,0)</f>
        <v/>
      </c>
      <c r="H22" s="218">
        <f>VLOOKUP(A22,'QB Depth'!A:D,4,0)</f>
        <v/>
      </c>
      <c r="I22" s="218">
        <f>H22&amp;E22</f>
        <v/>
      </c>
      <c r="J22" s="220">
        <f>IF(VLOOKUP(F22,Pass!F:G,2,0)=G22,"OK","Check Team")</f>
        <v/>
      </c>
      <c r="K22" s="156" t="n"/>
      <c r="L22" s="156">
        <f>IFERROR(VLOOKUP(F22&amp;G22,Pass!B:C,2,0),0)</f>
        <v/>
      </c>
      <c r="M22" s="156">
        <f>IFERROR(VLOOKUP(F22&amp;G22,Rush!B:C,2,0),0)</f>
        <v/>
      </c>
      <c r="N22" s="156">
        <f>IFERROR(VLOOKUP(F22&amp;G22,Rec!B:C,2,0),0)</f>
        <v/>
      </c>
      <c r="O22" s="156">
        <f>IFERROR(VLOOKUP(F22&amp;G22,Returns!A:B,2,0),0)</f>
        <v/>
      </c>
      <c r="Q22" s="156" t="inlineStr">
        <is>
          <t>Keenan Allen</t>
        </is>
      </c>
      <c r="R22" s="156" t="inlineStr">
        <is>
          <t>CHI</t>
        </is>
      </c>
      <c r="S22" s="156" t="inlineStr">
        <is>
          <t>WR</t>
        </is>
      </c>
    </row>
    <row r="23" hidden="1" ht="15.6" customHeight="1" s="152">
      <c r="A23" s="217" t="n">
        <v>22</v>
      </c>
      <c r="B23" s="218">
        <f>VLOOKUP(G23,Matrix!R:AA,10,0)</f>
        <v/>
      </c>
      <c r="C23" s="156">
        <f>IF(K23&gt;=0.01,K23,IFERROR(VLOOKUP(F23&amp;G23,Pass!B:C,2,0),K23)+SUM(L23:N23))</f>
        <v/>
      </c>
      <c r="D23" s="218">
        <f>_xlfn.IFNA(INDEX('Injury Report'!F:F, MATCH(G23&amp;F23, 'Injury Report'!A:A, 0)), "Healthy")</f>
        <v/>
      </c>
      <c r="E23" s="219">
        <f>VLOOKUP(A23,'QB Depth'!A:G,7,0)-1</f>
        <v/>
      </c>
      <c r="F23" s="218">
        <f>VLOOKUP(A23,'QB Depth'!A:C,3,0)</f>
        <v/>
      </c>
      <c r="G23" s="218">
        <f>VLOOKUP(A23,'QB Depth'!A:B,2,0)</f>
        <v/>
      </c>
      <c r="H23" s="218">
        <f>VLOOKUP(A23,'QB Depth'!A:D,4,0)</f>
        <v/>
      </c>
      <c r="I23" s="218">
        <f>H23&amp;E23</f>
        <v/>
      </c>
      <c r="J23" s="220">
        <f>IF(VLOOKUP(F23,Pass!F:G,2,0)=G23,"OK","Check Team")</f>
        <v/>
      </c>
      <c r="K23" s="156" t="n"/>
      <c r="L23" s="156">
        <f>IFERROR(VLOOKUP(F23&amp;G23,Pass!B:C,2,0),0)</f>
        <v/>
      </c>
      <c r="M23" s="156">
        <f>IFERROR(VLOOKUP(F23&amp;G23,Rush!B:C,2,0),0)</f>
        <v/>
      </c>
      <c r="N23" s="156">
        <f>IFERROR(VLOOKUP(F23&amp;G23,Rec!B:C,2,0),0)</f>
        <v/>
      </c>
      <c r="O23" s="156">
        <f>IFERROR(VLOOKUP(F23&amp;G23,Returns!A:B,2,0),0)</f>
        <v/>
      </c>
      <c r="Q23" s="156" t="inlineStr">
        <is>
          <t>Brandon Allen</t>
        </is>
      </c>
      <c r="R23" s="156" t="inlineStr">
        <is>
          <t>SF</t>
        </is>
      </c>
      <c r="S23" s="156" t="inlineStr">
        <is>
          <t>QB</t>
        </is>
      </c>
    </row>
    <row r="24" hidden="1" ht="15.6" customHeight="1" s="152">
      <c r="A24" s="217" t="n">
        <v>23</v>
      </c>
      <c r="B24" s="218">
        <f>VLOOKUP(G24,Matrix!R:AA,10,0)</f>
        <v/>
      </c>
      <c r="C24" s="156">
        <f>IF(K24&gt;=0.01,K24,IFERROR(VLOOKUP(F24&amp;G24,Pass!B:C,2,0),K24)+SUM(L24:N24))</f>
        <v/>
      </c>
      <c r="D24" s="218">
        <f>_xlfn.IFNA(INDEX('Injury Report'!F:F, MATCH(G24&amp;F24, 'Injury Report'!A:A, 0)), "Healthy")</f>
        <v/>
      </c>
      <c r="E24" s="219">
        <f>VLOOKUP(A24,'QB Depth'!A:G,7,0)-1</f>
        <v/>
      </c>
      <c r="F24" s="218">
        <f>VLOOKUP(A24,'QB Depth'!A:C,3,0)</f>
        <v/>
      </c>
      <c r="G24" s="218">
        <f>VLOOKUP(A24,'QB Depth'!A:B,2,0)</f>
        <v/>
      </c>
      <c r="H24" s="218">
        <f>VLOOKUP(A24,'QB Depth'!A:D,4,0)</f>
        <v/>
      </c>
      <c r="I24" s="218">
        <f>H24&amp;E24</f>
        <v/>
      </c>
      <c r="J24" s="220">
        <f>IF(VLOOKUP(F24,Pass!F:G,2,0)=G24,"OK","Check Team")</f>
        <v/>
      </c>
      <c r="K24" s="156" t="n"/>
      <c r="L24" s="156">
        <f>IFERROR(VLOOKUP(F24&amp;G24,Pass!B:C,2,0),0)</f>
        <v/>
      </c>
      <c r="M24" s="156">
        <f>IFERROR(VLOOKUP(F24&amp;G24,Rush!B:C,2,0),0)</f>
        <v/>
      </c>
      <c r="N24" s="156">
        <f>IFERROR(VLOOKUP(F24&amp;G24,Rec!B:C,2,0),0)</f>
        <v/>
      </c>
      <c r="O24" s="156">
        <f>IFERROR(VLOOKUP(F24&amp;G24,Returns!A:B,2,0),0)</f>
        <v/>
      </c>
      <c r="Q24" s="156" t="inlineStr">
        <is>
          <t>Tyler Allgeier</t>
        </is>
      </c>
      <c r="R24" s="156" t="inlineStr">
        <is>
          <t>ATL</t>
        </is>
      </c>
      <c r="S24" s="156" t="inlineStr">
        <is>
          <t>RB</t>
        </is>
      </c>
    </row>
    <row r="25" hidden="1" ht="15.6" customHeight="1" s="152">
      <c r="A25" s="217" t="n">
        <v>24</v>
      </c>
      <c r="B25" s="218">
        <f>VLOOKUP(G25,Matrix!R:AA,10,0)</f>
        <v/>
      </c>
      <c r="C25" s="156">
        <f>IF(K25&gt;=0.01,K25,IFERROR(VLOOKUP(F25&amp;G25,Pass!B:C,2,0),K25)+SUM(L25:N25))</f>
        <v/>
      </c>
      <c r="D25" s="218">
        <f>_xlfn.IFNA(INDEX('Injury Report'!F:F, MATCH(G25&amp;F25, 'Injury Report'!A:A, 0)), "Healthy")</f>
        <v/>
      </c>
      <c r="E25" s="219">
        <f>VLOOKUP(A25,'QB Depth'!A:G,7,0)-1</f>
        <v/>
      </c>
      <c r="F25" s="218">
        <f>VLOOKUP(A25,'QB Depth'!A:C,3,0)</f>
        <v/>
      </c>
      <c r="G25" s="218">
        <f>VLOOKUP(A25,'QB Depth'!A:B,2,0)</f>
        <v/>
      </c>
      <c r="H25" s="218">
        <f>VLOOKUP(A25,'QB Depth'!A:D,4,0)</f>
        <v/>
      </c>
      <c r="I25" s="218">
        <f>H25&amp;E25</f>
        <v/>
      </c>
      <c r="J25" s="220">
        <f>IF(VLOOKUP(F25,Pass!F:G,2,0)=G25,"OK","Check Team")</f>
        <v/>
      </c>
      <c r="K25" s="156" t="n"/>
      <c r="L25" s="156">
        <f>IFERROR(VLOOKUP(F25&amp;G25,Pass!B:C,2,0),0)</f>
        <v/>
      </c>
      <c r="M25" s="156">
        <f>IFERROR(VLOOKUP(F25&amp;G25,Rush!B:C,2,0),0)</f>
        <v/>
      </c>
      <c r="N25" s="156">
        <f>IFERROR(VLOOKUP(F25&amp;G25,Rec!B:C,2,0),0)</f>
        <v/>
      </c>
      <c r="O25" s="156">
        <f>IFERROR(VLOOKUP(F25&amp;G25,Returns!A:B,2,0),0)</f>
        <v/>
      </c>
      <c r="Q25" s="156" t="inlineStr">
        <is>
          <t>Matt Ammendola</t>
        </is>
      </c>
      <c r="R25" s="156" t="inlineStr">
        <is>
          <t>FA</t>
        </is>
      </c>
      <c r="S25" s="156" t="inlineStr">
        <is>
          <t>K</t>
        </is>
      </c>
    </row>
    <row r="26" hidden="1" ht="15.6" customHeight="1" s="152">
      <c r="A26" s="217" t="n">
        <v>25</v>
      </c>
      <c r="B26" s="218">
        <f>VLOOKUP(G26,Matrix!R:AA,10,0)</f>
        <v/>
      </c>
      <c r="C26" s="156">
        <f>IF(K26&gt;=0.01,K26,IFERROR(VLOOKUP(F26&amp;G26,Pass!B:C,2,0),K26)+SUM(L26:N26))</f>
        <v/>
      </c>
      <c r="D26" s="218">
        <f>_xlfn.IFNA(INDEX('Injury Report'!F:F, MATCH(G26&amp;F26, 'Injury Report'!A:A, 0)), "Healthy")</f>
        <v/>
      </c>
      <c r="E26" s="219">
        <f>VLOOKUP(A26,'QB Depth'!A:G,7,0)-1</f>
        <v/>
      </c>
      <c r="F26" s="218">
        <f>VLOOKUP(A26,'QB Depth'!A:C,3,0)</f>
        <v/>
      </c>
      <c r="G26" s="218">
        <f>VLOOKUP(A26,'QB Depth'!A:B,2,0)</f>
        <v/>
      </c>
      <c r="H26" s="218">
        <f>VLOOKUP(A26,'QB Depth'!A:D,4,0)</f>
        <v/>
      </c>
      <c r="I26" s="218">
        <f>H26&amp;E26</f>
        <v/>
      </c>
      <c r="J26" s="220">
        <f>IF(VLOOKUP(F26,Pass!F:G,2,0)=G26,"OK","Check Team")</f>
        <v/>
      </c>
      <c r="K26" s="156" t="n"/>
      <c r="L26" s="156">
        <f>IFERROR(VLOOKUP(F26&amp;G26,Pass!B:C,2,0),0)</f>
        <v/>
      </c>
      <c r="M26" s="156">
        <f>IFERROR(VLOOKUP(F26&amp;G26,Rush!B:C,2,0),0)</f>
        <v/>
      </c>
      <c r="N26" s="156">
        <f>IFERROR(VLOOKUP(F26&amp;G26,Rec!B:C,2,0),0)</f>
        <v/>
      </c>
      <c r="O26" s="156">
        <f>IFERROR(VLOOKUP(F26&amp;G26,Returns!A:B,2,0),0)</f>
        <v/>
      </c>
      <c r="Q26" s="156" t="inlineStr">
        <is>
          <t>Mark Andrews</t>
        </is>
      </c>
      <c r="R26" s="156" t="inlineStr">
        <is>
          <t>BAL</t>
        </is>
      </c>
      <c r="S26" s="156" t="inlineStr">
        <is>
          <t>TE</t>
        </is>
      </c>
    </row>
    <row r="27" hidden="1" ht="15.6" customHeight="1" s="152">
      <c r="A27" s="217" t="n">
        <v>26</v>
      </c>
      <c r="B27" s="218">
        <f>VLOOKUP(G27,Matrix!R:AA,10,0)</f>
        <v/>
      </c>
      <c r="C27" s="156">
        <f>IF(K27&gt;=0.01,K27,IFERROR(VLOOKUP(F27&amp;G27,Pass!B:C,2,0),K27)+SUM(L27:N27))</f>
        <v/>
      </c>
      <c r="D27" s="218">
        <f>_xlfn.IFNA(INDEX('Injury Report'!F:F, MATCH(G27&amp;F27, 'Injury Report'!A:A, 0)), "Healthy")</f>
        <v/>
      </c>
      <c r="E27" s="219">
        <f>VLOOKUP(A27,'QB Depth'!A:G,7,0)-1</f>
        <v/>
      </c>
      <c r="F27" s="218">
        <f>VLOOKUP(A27,'QB Depth'!A:C,3,0)</f>
        <v/>
      </c>
      <c r="G27" s="218">
        <f>VLOOKUP(A27,'QB Depth'!A:B,2,0)</f>
        <v/>
      </c>
      <c r="H27" s="218">
        <f>VLOOKUP(A27,'QB Depth'!A:D,4,0)</f>
        <v/>
      </c>
      <c r="I27" s="218">
        <f>H27&amp;E27</f>
        <v/>
      </c>
      <c r="J27" s="220">
        <f>IF(VLOOKUP(F27,Pass!F:G,2,0)=G27,"OK","Check Team")</f>
        <v/>
      </c>
      <c r="K27" s="156" t="n"/>
      <c r="L27" s="156">
        <f>IFERROR(VLOOKUP(F27&amp;G27,Pass!B:C,2,0),0)</f>
        <v/>
      </c>
      <c r="M27" s="156">
        <f>IFERROR(VLOOKUP(F27&amp;G27,Rush!B:C,2,0),0)</f>
        <v/>
      </c>
      <c r="N27" s="156">
        <f>IFERROR(VLOOKUP(F27&amp;G27,Rec!B:C,2,0),0)</f>
        <v/>
      </c>
      <c r="O27" s="156">
        <f>IFERROR(VLOOKUP(F27&amp;G27,Returns!A:B,2,0),0)</f>
        <v/>
      </c>
      <c r="Q27" s="156" t="inlineStr">
        <is>
          <t>Tutu Atwell</t>
        </is>
      </c>
      <c r="R27" s="156" t="inlineStr">
        <is>
          <t>LAR</t>
        </is>
      </c>
      <c r="S27" s="156" t="inlineStr">
        <is>
          <t>WR</t>
        </is>
      </c>
    </row>
    <row r="28" hidden="1" ht="15.6" customHeight="1" s="152">
      <c r="A28" s="217" t="n">
        <v>27</v>
      </c>
      <c r="B28" s="218">
        <f>VLOOKUP(G28,Matrix!R:AA,10,0)</f>
        <v/>
      </c>
      <c r="C28" s="156">
        <f>IF(K28&gt;=0.01,K28,IFERROR(VLOOKUP(F28&amp;G28,Pass!B:C,2,0),K28)+SUM(L28:N28))</f>
        <v/>
      </c>
      <c r="D28" s="218">
        <f>_xlfn.IFNA(INDEX('Injury Report'!F:F, MATCH(G28&amp;F28, 'Injury Report'!A:A, 0)), "Healthy")</f>
        <v/>
      </c>
      <c r="E28" s="219">
        <f>VLOOKUP(A28,'QB Depth'!A:G,7,0)-1</f>
        <v/>
      </c>
      <c r="F28" s="218">
        <f>VLOOKUP(A28,'QB Depth'!A:C,3,0)</f>
        <v/>
      </c>
      <c r="G28" s="218">
        <f>VLOOKUP(A28,'QB Depth'!A:B,2,0)</f>
        <v/>
      </c>
      <c r="H28" s="218">
        <f>VLOOKUP(A28,'QB Depth'!A:D,4,0)</f>
        <v/>
      </c>
      <c r="I28" s="218">
        <f>H28&amp;E28</f>
        <v/>
      </c>
      <c r="J28" s="220">
        <f>IF(VLOOKUP(F28,Pass!F:G,2,0)=G28,"OK","Check Team")</f>
        <v/>
      </c>
      <c r="K28" s="156" t="n"/>
      <c r="L28" s="156">
        <f>IFERROR(VLOOKUP(F28&amp;G28,Pass!B:C,2,0),0)</f>
        <v/>
      </c>
      <c r="M28" s="156">
        <f>IFERROR(VLOOKUP(F28&amp;G28,Rush!B:C,2,0),0)</f>
        <v/>
      </c>
      <c r="N28" s="156">
        <f>IFERROR(VLOOKUP(F28&amp;G28,Rec!B:C,2,0),0)</f>
        <v/>
      </c>
      <c r="O28" s="156">
        <f>IFERROR(VLOOKUP(F28&amp;G28,Returns!A:B,2,0),0)</f>
        <v/>
      </c>
      <c r="Q28" s="156" t="inlineStr">
        <is>
          <t>Brandon Aubrey</t>
        </is>
      </c>
      <c r="R28" s="156" t="inlineStr">
        <is>
          <t>DAL</t>
        </is>
      </c>
      <c r="S28" s="156" t="inlineStr">
        <is>
          <t>K</t>
        </is>
      </c>
    </row>
    <row r="29" hidden="1" ht="15.6" customHeight="1" s="152">
      <c r="A29" s="217" t="n">
        <v>28</v>
      </c>
      <c r="B29" s="218">
        <f>VLOOKUP(G29,Matrix!R:AA,10,0)</f>
        <v/>
      </c>
      <c r="C29" s="156">
        <f>IF(K29&gt;=0.01,K29,IFERROR(VLOOKUP(F29&amp;G29,Pass!B:C,2,0),K29)+SUM(L29:N29))</f>
        <v/>
      </c>
      <c r="D29" s="218">
        <f>_xlfn.IFNA(INDEX('Injury Report'!F:F, MATCH(G29&amp;F29, 'Injury Report'!A:A, 0)), "Healthy")</f>
        <v/>
      </c>
      <c r="E29" s="219">
        <f>VLOOKUP(A29,'QB Depth'!A:G,7,0)-1</f>
        <v/>
      </c>
      <c r="F29" s="218">
        <f>VLOOKUP(A29,'QB Depth'!A:C,3,0)</f>
        <v/>
      </c>
      <c r="G29" s="218">
        <f>VLOOKUP(A29,'QB Depth'!A:B,2,0)</f>
        <v/>
      </c>
      <c r="H29" s="218">
        <f>VLOOKUP(A29,'QB Depth'!A:D,4,0)</f>
        <v/>
      </c>
      <c r="I29" s="218">
        <f>H29&amp;E29</f>
        <v/>
      </c>
      <c r="J29" s="220">
        <f>IF(VLOOKUP(F29,Pass!F:G,2,0)=G29,"OK","Check Team")</f>
        <v/>
      </c>
      <c r="K29" s="156" t="n"/>
      <c r="L29" s="156">
        <f>IFERROR(VLOOKUP(F29&amp;G29,Pass!B:C,2,0),0)</f>
        <v/>
      </c>
      <c r="M29" s="156">
        <f>IFERROR(VLOOKUP(F29&amp;G29,Rush!B:C,2,0),0)</f>
        <v/>
      </c>
      <c r="N29" s="156">
        <f>IFERROR(VLOOKUP(F29&amp;G29,Rec!B:C,2,0),0)</f>
        <v/>
      </c>
      <c r="O29" s="156">
        <f>IFERROR(VLOOKUP(F29&amp;G29,Returns!A:B,2,0),0)</f>
        <v/>
      </c>
      <c r="Q29" s="156" t="inlineStr">
        <is>
          <t>Kevin Austin</t>
        </is>
      </c>
      <c r="R29" s="156" t="inlineStr">
        <is>
          <t>NO</t>
        </is>
      </c>
      <c r="S29" s="156" t="inlineStr">
        <is>
          <t>WR</t>
        </is>
      </c>
    </row>
    <row r="30" hidden="1" ht="15.6" customHeight="1" s="152">
      <c r="A30" s="217" t="n">
        <v>29</v>
      </c>
      <c r="B30" s="218">
        <f>VLOOKUP(G30,Matrix!R:AA,10,0)</f>
        <v/>
      </c>
      <c r="C30" s="156">
        <f>IF(K30&gt;=0.01,K30,IFERROR(VLOOKUP(F30&amp;G30,Pass!B:C,2,0),K30)+SUM(L30:N30))</f>
        <v/>
      </c>
      <c r="D30" s="218">
        <f>_xlfn.IFNA(INDEX('Injury Report'!F:F, MATCH(G30&amp;F30, 'Injury Report'!A:A, 0)), "Healthy")</f>
        <v/>
      </c>
      <c r="E30" s="219">
        <f>VLOOKUP(A30,'QB Depth'!A:G,7,0)-1</f>
        <v/>
      </c>
      <c r="F30" s="218">
        <f>VLOOKUP(A30,'QB Depth'!A:C,3,0)</f>
        <v/>
      </c>
      <c r="G30" s="218">
        <f>VLOOKUP(A30,'QB Depth'!A:B,2,0)</f>
        <v/>
      </c>
      <c r="H30" s="218">
        <f>VLOOKUP(A30,'QB Depth'!A:D,4,0)</f>
        <v/>
      </c>
      <c r="I30" s="218">
        <f>H30&amp;E30</f>
        <v/>
      </c>
      <c r="J30" s="220">
        <f>IF(VLOOKUP(F30,Pass!F:G,2,0)=G30,"OK","Check Team")</f>
        <v/>
      </c>
      <c r="K30" s="156" t="n"/>
      <c r="L30" s="156">
        <f>IFERROR(VLOOKUP(F30&amp;G30,Pass!B:C,2,0),0)</f>
        <v/>
      </c>
      <c r="M30" s="156">
        <f>IFERROR(VLOOKUP(F30&amp;G30,Rush!B:C,2,0),0)</f>
        <v/>
      </c>
      <c r="N30" s="156">
        <f>IFERROR(VLOOKUP(F30&amp;G30,Rec!B:C,2,0),0)</f>
        <v/>
      </c>
      <c r="O30" s="156">
        <f>IFERROR(VLOOKUP(F30&amp;G30,Returns!A:B,2,0),0)</f>
        <v/>
      </c>
      <c r="Q30" s="156" t="inlineStr">
        <is>
          <t>Calvin Austin</t>
        </is>
      </c>
      <c r="R30" s="156" t="inlineStr">
        <is>
          <t>PIT</t>
        </is>
      </c>
      <c r="S30" s="156" t="inlineStr">
        <is>
          <t>WR</t>
        </is>
      </c>
    </row>
    <row r="31" hidden="1" ht="15.6" customHeight="1" s="152">
      <c r="A31" s="217" t="n">
        <v>30</v>
      </c>
      <c r="B31" s="218">
        <f>VLOOKUP(G31,Matrix!R:AA,10,0)</f>
        <v/>
      </c>
      <c r="C31" s="156">
        <f>IF(K31&gt;=0.01,K31,IFERROR(VLOOKUP(F31&amp;G31,Pass!B:C,2,0),K31)+SUM(L31:N31))</f>
        <v/>
      </c>
      <c r="D31" s="218">
        <f>_xlfn.IFNA(INDEX('Injury Report'!F:F, MATCH(G31&amp;F31, 'Injury Report'!A:A, 0)), "Healthy")</f>
        <v/>
      </c>
      <c r="E31" s="219">
        <f>VLOOKUP(A31,'QB Depth'!A:G,7,0)-1</f>
        <v/>
      </c>
      <c r="F31" s="218">
        <f>VLOOKUP(A31,'QB Depth'!A:C,3,0)</f>
        <v/>
      </c>
      <c r="G31" s="218">
        <f>VLOOKUP(A31,'QB Depth'!A:B,2,0)</f>
        <v/>
      </c>
      <c r="H31" s="218">
        <f>VLOOKUP(A31,'QB Depth'!A:D,4,0)</f>
        <v/>
      </c>
      <c r="I31" s="218">
        <f>H31&amp;E31</f>
        <v/>
      </c>
      <c r="J31" s="220">
        <f>IF(VLOOKUP(F31,Pass!F:G,2,0)=G31,"OK","Check Team")</f>
        <v/>
      </c>
      <c r="K31" s="156" t="n"/>
      <c r="L31" s="156">
        <f>IFERROR(VLOOKUP(F31&amp;G31,Pass!B:C,2,0),0)</f>
        <v/>
      </c>
      <c r="M31" s="156">
        <f>IFERROR(VLOOKUP(F31&amp;G31,Rush!B:C,2,0),0)</f>
        <v/>
      </c>
      <c r="N31" s="156">
        <f>IFERROR(VLOOKUP(F31&amp;G31,Rec!B:C,2,0),0)</f>
        <v/>
      </c>
      <c r="O31" s="156">
        <f>IFERROR(VLOOKUP(F31&amp;G31,Returns!A:B,2,0),0)</f>
        <v/>
      </c>
      <c r="Q31" s="156" t="inlineStr">
        <is>
          <t>Michael Badgley</t>
        </is>
      </c>
      <c r="R31" s="156" t="inlineStr">
        <is>
          <t>DET</t>
        </is>
      </c>
      <c r="S31" s="156" t="inlineStr">
        <is>
          <t>K</t>
        </is>
      </c>
    </row>
    <row r="32" hidden="1" ht="15.6" customHeight="1" s="152">
      <c r="A32" s="217" t="n">
        <v>31</v>
      </c>
      <c r="B32" s="218">
        <f>VLOOKUP(G32,Matrix!R:AA,10,0)</f>
        <v/>
      </c>
      <c r="C32" s="156">
        <f>IF(K32&gt;=0.01,K32,IFERROR(VLOOKUP(F32&amp;G32,Pass!B:C,2,0),K32)+SUM(L32:N32))</f>
        <v/>
      </c>
      <c r="D32" s="218">
        <f>_xlfn.IFNA(INDEX('Injury Report'!F:F, MATCH(G32&amp;F32, 'Injury Report'!A:A, 0)), "Healthy")</f>
        <v/>
      </c>
      <c r="E32" s="219">
        <f>VLOOKUP(A32,'QB Depth'!A:G,7,0)-1</f>
        <v/>
      </c>
      <c r="F32" s="218">
        <f>VLOOKUP(A32,'QB Depth'!A:C,3,0)</f>
        <v/>
      </c>
      <c r="G32" s="218">
        <f>VLOOKUP(A32,'QB Depth'!A:B,2,0)</f>
        <v/>
      </c>
      <c r="H32" s="218">
        <f>VLOOKUP(A32,'QB Depth'!A:D,4,0)</f>
        <v/>
      </c>
      <c r="I32" s="218">
        <f>H32&amp;E32</f>
        <v/>
      </c>
      <c r="J32" s="220">
        <f>IF(VLOOKUP(F32,Pass!F:G,2,0)=G32,"OK","Check Team")</f>
        <v/>
      </c>
      <c r="K32" s="156" t="n"/>
      <c r="L32" s="156">
        <f>IFERROR(VLOOKUP(F32&amp;G32,Pass!B:C,2,0),0)</f>
        <v/>
      </c>
      <c r="M32" s="156">
        <f>IFERROR(VLOOKUP(F32&amp;G32,Rush!B:C,2,0),0)</f>
        <v/>
      </c>
      <c r="N32" s="156">
        <f>IFERROR(VLOOKUP(F32&amp;G32,Rec!B:C,2,0),0)</f>
        <v/>
      </c>
      <c r="O32" s="156">
        <f>IFERROR(VLOOKUP(F32&amp;G32,Returns!A:B,2,0),0)</f>
        <v/>
      </c>
      <c r="Q32" s="156" t="inlineStr">
        <is>
          <t>Tyler Badie</t>
        </is>
      </c>
      <c r="R32" s="156" t="inlineStr">
        <is>
          <t>DEN</t>
        </is>
      </c>
      <c r="S32" s="156" t="inlineStr">
        <is>
          <t>RB</t>
        </is>
      </c>
    </row>
    <row r="33" hidden="1" ht="15.6" customHeight="1" s="152">
      <c r="A33" s="217" t="n">
        <v>32</v>
      </c>
      <c r="B33" s="218">
        <f>VLOOKUP(G33,Matrix!R:AA,10,0)</f>
        <v/>
      </c>
      <c r="C33" s="156">
        <f>IF(K33&gt;=0.01,K33,IFERROR(VLOOKUP(F33&amp;G33,Pass!B:C,2,0),K33)+SUM(L33:N33))</f>
        <v/>
      </c>
      <c r="D33" s="218">
        <f>_xlfn.IFNA(INDEX('Injury Report'!F:F, MATCH(G33&amp;F33, 'Injury Report'!A:A, 0)), "Healthy")</f>
        <v/>
      </c>
      <c r="E33" s="219">
        <f>VLOOKUP(A33,'QB Depth'!A:G,7,0)-1</f>
        <v/>
      </c>
      <c r="F33" s="218">
        <f>VLOOKUP(A33,'QB Depth'!A:C,3,0)</f>
        <v/>
      </c>
      <c r="G33" s="218">
        <f>VLOOKUP(A33,'QB Depth'!A:B,2,0)</f>
        <v/>
      </c>
      <c r="H33" s="218">
        <f>VLOOKUP(A33,'QB Depth'!A:D,4,0)</f>
        <v/>
      </c>
      <c r="I33" s="218">
        <f>H33&amp;E33</f>
        <v/>
      </c>
      <c r="J33" s="220">
        <f>IF(VLOOKUP(F33,Pass!F:G,2,0)=G33,"OK","Check Team")</f>
        <v/>
      </c>
      <c r="K33" s="156" t="n"/>
      <c r="L33" s="156">
        <f>IFERROR(VLOOKUP(F33&amp;G33,Pass!B:C,2,0),0)</f>
        <v/>
      </c>
      <c r="M33" s="156">
        <f>IFERROR(VLOOKUP(F33&amp;G33,Rush!B:C,2,0),0)</f>
        <v/>
      </c>
      <c r="N33" s="156">
        <f>IFERROR(VLOOKUP(F33&amp;G33,Rec!B:C,2,0),0)</f>
        <v/>
      </c>
      <c r="O33" s="156">
        <f>IFERROR(VLOOKUP(F33&amp;G33,Returns!A:B,2,0),0)</f>
        <v/>
      </c>
      <c r="Q33" s="156" t="inlineStr">
        <is>
          <t>Tyson Bagent</t>
        </is>
      </c>
      <c r="R33" s="156" t="inlineStr">
        <is>
          <t>CHI</t>
        </is>
      </c>
      <c r="S33" s="156" t="inlineStr">
        <is>
          <t>QB</t>
        </is>
      </c>
    </row>
    <row r="34" hidden="1" ht="15.6" customHeight="1" s="152">
      <c r="A34" s="217" t="n">
        <v>33</v>
      </c>
      <c r="B34" s="218">
        <f>VLOOKUP(G34,Matrix!R:AA,10,0)</f>
        <v/>
      </c>
      <c r="C34" s="156">
        <f>IF(K34&gt;=0.01,K34,IFERROR(VLOOKUP(F34&amp;G34,Pass!B:C,2,0),K34)+SUM(L34:N34))</f>
        <v/>
      </c>
      <c r="D34" s="218">
        <f>_xlfn.IFNA(INDEX('Injury Report'!F:F, MATCH(G34&amp;F34, 'Injury Report'!A:A, 0)), "Healthy")</f>
        <v/>
      </c>
      <c r="E34" s="219">
        <f>VLOOKUP(A34,'QB Depth'!A:G,7,0)-1</f>
        <v/>
      </c>
      <c r="F34" s="218">
        <f>VLOOKUP(A34,'QB Depth'!A:C,3,0)</f>
        <v/>
      </c>
      <c r="G34" s="218">
        <f>VLOOKUP(A34,'QB Depth'!A:B,2,0)</f>
        <v/>
      </c>
      <c r="H34" s="218">
        <f>VLOOKUP(A34,'QB Depth'!A:D,4,0)</f>
        <v/>
      </c>
      <c r="I34" s="218">
        <f>H34&amp;E34</f>
        <v/>
      </c>
      <c r="J34" s="220">
        <f>IF(VLOOKUP(F34,Pass!F:G,2,0)=G34,"OK","Check Team")</f>
        <v/>
      </c>
      <c r="K34" s="156" t="n"/>
      <c r="L34" s="156">
        <f>IFERROR(VLOOKUP(F34&amp;G34,Pass!B:C,2,0),0)</f>
        <v/>
      </c>
      <c r="M34" s="156">
        <f>IFERROR(VLOOKUP(F34&amp;G34,Rush!B:C,2,0),0)</f>
        <v/>
      </c>
      <c r="N34" s="156">
        <f>IFERROR(VLOOKUP(F34&amp;G34,Rec!B:C,2,0),0)</f>
        <v/>
      </c>
      <c r="O34" s="156">
        <f>IFERROR(VLOOKUP(F34&amp;G34,Returns!A:B,2,0),0)</f>
        <v/>
      </c>
      <c r="Q34" s="156" t="inlineStr">
        <is>
          <t>Emani Bailey</t>
        </is>
      </c>
      <c r="R34" s="156" t="inlineStr">
        <is>
          <t>CAR</t>
        </is>
      </c>
      <c r="S34" s="156" t="inlineStr">
        <is>
          <t>RB</t>
        </is>
      </c>
    </row>
    <row r="35" hidden="1" ht="15.6" customHeight="1" s="152">
      <c r="A35" s="217" t="n">
        <v>34</v>
      </c>
      <c r="B35" s="218">
        <f>VLOOKUP(G35,Matrix!R:AA,10,0)</f>
        <v/>
      </c>
      <c r="C35" s="156">
        <f>IF(K35&gt;=0.01,K35,IFERROR(VLOOKUP(F35&amp;G35,Pass!B:C,2,0),K35)+SUM(L35:N35))</f>
        <v/>
      </c>
      <c r="D35" s="218">
        <f>_xlfn.IFNA(INDEX('Injury Report'!F:F, MATCH(G35&amp;F35, 'Injury Report'!A:A, 0)), "Healthy")</f>
        <v/>
      </c>
      <c r="E35" s="219">
        <f>VLOOKUP(A35,'QB Depth'!A:G,7,0)-1</f>
        <v/>
      </c>
      <c r="F35" s="218">
        <f>VLOOKUP(A35,'QB Depth'!A:C,3,0)</f>
        <v/>
      </c>
      <c r="G35" s="218">
        <f>VLOOKUP(A35,'QB Depth'!A:B,2,0)</f>
        <v/>
      </c>
      <c r="H35" s="218">
        <f>VLOOKUP(A35,'QB Depth'!A:D,4,0)</f>
        <v/>
      </c>
      <c r="I35" s="218">
        <f>H35&amp;E35</f>
        <v/>
      </c>
      <c r="J35" s="220">
        <f>IF(VLOOKUP(F35,Pass!F:G,2,0)=G35,"OK","Check Team")</f>
        <v/>
      </c>
      <c r="K35" s="156" t="n"/>
      <c r="L35" s="156">
        <f>IFERROR(VLOOKUP(F35&amp;G35,Pass!B:C,2,0),0)</f>
        <v/>
      </c>
      <c r="M35" s="156">
        <f>IFERROR(VLOOKUP(F35&amp;G35,Rush!B:C,2,0),0)</f>
        <v/>
      </c>
      <c r="N35" s="156">
        <f>IFERROR(VLOOKUP(F35&amp;G35,Rec!B:C,2,0),0)</f>
        <v/>
      </c>
      <c r="O35" s="156">
        <f>IFERROR(VLOOKUP(F35&amp;G35,Returns!A:B,2,0),0)</f>
        <v/>
      </c>
      <c r="Q35" s="156" t="inlineStr">
        <is>
          <t>Javon Baker</t>
        </is>
      </c>
      <c r="R35" s="156" t="inlineStr">
        <is>
          <t>NE</t>
        </is>
      </c>
      <c r="S35" s="156" t="inlineStr">
        <is>
          <t>WR</t>
        </is>
      </c>
    </row>
    <row r="36" hidden="1" ht="15.6" customHeight="1" s="152">
      <c r="A36" s="217" t="n">
        <v>35</v>
      </c>
      <c r="B36" s="218">
        <f>VLOOKUP(G36,Matrix!R:AA,10,0)</f>
        <v/>
      </c>
      <c r="C36" s="156">
        <f>IF(K36&gt;=0.01,K36,IFERROR(VLOOKUP(F36&amp;G36,Pass!B:C,2,0),K36)+SUM(L36:N36))</f>
        <v/>
      </c>
      <c r="D36" s="218">
        <f>_xlfn.IFNA(INDEX('Injury Report'!F:F, MATCH(G36&amp;F36, 'Injury Report'!A:A, 0)), "Healthy")</f>
        <v/>
      </c>
      <c r="E36" s="219">
        <f>VLOOKUP(A36,'QB Depth'!A:G,7,0)-1</f>
        <v/>
      </c>
      <c r="F36" s="218">
        <f>VLOOKUP(A36,'QB Depth'!A:C,3,0)</f>
        <v/>
      </c>
      <c r="G36" s="218">
        <f>VLOOKUP(A36,'QB Depth'!A:B,2,0)</f>
        <v/>
      </c>
      <c r="H36" s="218">
        <f>VLOOKUP(A36,'QB Depth'!A:D,4,0)</f>
        <v/>
      </c>
      <c r="I36" s="218">
        <f>H36&amp;E36</f>
        <v/>
      </c>
      <c r="J36" s="220">
        <f>IF(VLOOKUP(F36,Pass!F:G,2,0)=G36,"OK","Check Team")</f>
        <v/>
      </c>
      <c r="K36" s="156" t="n"/>
      <c r="L36" s="156">
        <f>IFERROR(VLOOKUP(F36&amp;G36,Pass!B:C,2,0),0)</f>
        <v/>
      </c>
      <c r="M36" s="156">
        <f>IFERROR(VLOOKUP(F36&amp;G36,Rush!B:C,2,0),0)</f>
        <v/>
      </c>
      <c r="N36" s="156">
        <f>IFERROR(VLOOKUP(F36&amp;G36,Rec!B:C,2,0),0)</f>
        <v/>
      </c>
      <c r="O36" s="156">
        <f>IFERROR(VLOOKUP(F36&amp;G36,Returns!A:B,2,0),0)</f>
        <v/>
      </c>
      <c r="Q36" s="156" t="inlineStr">
        <is>
          <t>Saquon Barkley</t>
        </is>
      </c>
      <c r="R36" s="156" t="inlineStr">
        <is>
          <t>PHI</t>
        </is>
      </c>
      <c r="S36" s="156" t="inlineStr">
        <is>
          <t>RB</t>
        </is>
      </c>
    </row>
    <row r="37" hidden="1" ht="15.6" customHeight="1" s="152">
      <c r="A37" s="217" t="n">
        <v>36</v>
      </c>
      <c r="B37" s="218">
        <f>VLOOKUP(G37,Matrix!R:AA,10,0)</f>
        <v/>
      </c>
      <c r="C37" s="156">
        <f>IF(K37&gt;=0.01,K37,IFERROR(VLOOKUP(F37&amp;G37,Pass!B:C,2,0),K37)+SUM(L37:N37))</f>
        <v/>
      </c>
      <c r="D37" s="218">
        <f>_xlfn.IFNA(INDEX('Injury Report'!F:F, MATCH(G37&amp;F37, 'Injury Report'!A:A, 0)), "Healthy")</f>
        <v/>
      </c>
      <c r="E37" s="219">
        <f>VLOOKUP(A37,'QB Depth'!A:G,7,0)-1</f>
        <v/>
      </c>
      <c r="F37" s="218">
        <f>VLOOKUP(A37,'QB Depth'!A:C,3,0)</f>
        <v/>
      </c>
      <c r="G37" s="218">
        <f>VLOOKUP(A37,'QB Depth'!A:B,2,0)</f>
        <v/>
      </c>
      <c r="H37" s="218">
        <f>VLOOKUP(A37,'QB Depth'!A:D,4,0)</f>
        <v/>
      </c>
      <c r="I37" s="218">
        <f>H37&amp;E37</f>
        <v/>
      </c>
      <c r="J37" s="220">
        <f>IF(VLOOKUP(F37,Pass!F:G,2,0)=G37,"OK","Check Team")</f>
        <v/>
      </c>
      <c r="K37" s="156" t="n"/>
      <c r="L37" s="156">
        <f>IFERROR(VLOOKUP(F37&amp;G37,Pass!B:C,2,0),0)</f>
        <v/>
      </c>
      <c r="M37" s="156">
        <f>IFERROR(VLOOKUP(F37&amp;G37,Rush!B:C,2,0),0)</f>
        <v/>
      </c>
      <c r="N37" s="156">
        <f>IFERROR(VLOOKUP(F37&amp;G37,Rec!B:C,2,0),0)</f>
        <v/>
      </c>
      <c r="O37" s="156">
        <f>IFERROR(VLOOKUP(F37&amp;G37,Returns!A:B,2,0),0)</f>
        <v/>
      </c>
      <c r="Q37" s="156" t="inlineStr">
        <is>
          <t>AJ Barner</t>
        </is>
      </c>
      <c r="R37" s="156" t="inlineStr">
        <is>
          <t>SEA</t>
        </is>
      </c>
      <c r="S37" s="156" t="inlineStr">
        <is>
          <t>TE</t>
        </is>
      </c>
    </row>
    <row r="38" hidden="1" ht="15.6" customHeight="1" s="152">
      <c r="A38" s="217" t="n">
        <v>37</v>
      </c>
      <c r="B38" s="218">
        <f>VLOOKUP(G38,Matrix!R:AA,10,0)</f>
        <v/>
      </c>
      <c r="C38" s="156">
        <f>IF(K38&gt;=0.01,K38,IFERROR(VLOOKUP(F38&amp;G38,Pass!B:C,2,0),K38)+SUM(L38:N38))</f>
        <v/>
      </c>
      <c r="D38" s="218">
        <f>_xlfn.IFNA(INDEX('Injury Report'!F:F, MATCH(G38&amp;F38, 'Injury Report'!A:A, 0)), "Healthy")</f>
        <v/>
      </c>
      <c r="E38" s="219">
        <f>VLOOKUP(A38,'QB Depth'!A:G,7,0)-1</f>
        <v/>
      </c>
      <c r="F38" s="218">
        <f>VLOOKUP(A38,'QB Depth'!A:C,3,0)</f>
        <v/>
      </c>
      <c r="G38" s="218">
        <f>VLOOKUP(A38,'QB Depth'!A:B,2,0)</f>
        <v/>
      </c>
      <c r="H38" s="218">
        <f>VLOOKUP(A38,'QB Depth'!A:D,4,0)</f>
        <v/>
      </c>
      <c r="I38" s="218">
        <f>H38&amp;E38</f>
        <v/>
      </c>
      <c r="J38" s="220">
        <f>IF(VLOOKUP(F38,Pass!F:G,2,0)=G38,"OK","Check Team")</f>
        <v/>
      </c>
      <c r="K38" s="156" t="n"/>
      <c r="L38" s="156">
        <f>IFERROR(VLOOKUP(F38&amp;G38,Pass!B:C,2,0),0)</f>
        <v/>
      </c>
      <c r="M38" s="156">
        <f>IFERROR(VLOOKUP(F38&amp;G38,Rush!B:C,2,0),0)</f>
        <v/>
      </c>
      <c r="N38" s="156">
        <f>IFERROR(VLOOKUP(F38&amp;G38,Rec!B:C,2,0),0)</f>
        <v/>
      </c>
      <c r="O38" s="156">
        <f>IFERROR(VLOOKUP(F38&amp;G38,Returns!A:B,2,0),0)</f>
        <v/>
      </c>
      <c r="Q38" s="156" t="inlineStr">
        <is>
          <t>Tyler Bass</t>
        </is>
      </c>
      <c r="R38" s="156" t="inlineStr">
        <is>
          <t>BUF</t>
        </is>
      </c>
      <c r="S38" s="156" t="inlineStr">
        <is>
          <t>K</t>
        </is>
      </c>
    </row>
    <row r="39" hidden="1" ht="15.6" customHeight="1" s="152">
      <c r="A39" s="217" t="n">
        <v>38</v>
      </c>
      <c r="B39" s="218">
        <f>VLOOKUP(G39,Matrix!R:AA,10,0)</f>
        <v/>
      </c>
      <c r="C39" s="156">
        <f>IF(K39&gt;=0.01,K39,IFERROR(VLOOKUP(F39&amp;G39,Pass!B:C,2,0),K39)+SUM(L39:N39))</f>
        <v/>
      </c>
      <c r="D39" s="218">
        <f>_xlfn.IFNA(INDEX('Injury Report'!F:F, MATCH(G39&amp;F39, 'Injury Report'!A:A, 0)), "Healthy")</f>
        <v/>
      </c>
      <c r="E39" s="219">
        <f>VLOOKUP(A39,'QB Depth'!A:G,7,0)-1</f>
        <v/>
      </c>
      <c r="F39" s="218">
        <f>VLOOKUP(A39,'QB Depth'!A:C,3,0)</f>
        <v/>
      </c>
      <c r="G39" s="218">
        <f>VLOOKUP(A39,'QB Depth'!A:B,2,0)</f>
        <v/>
      </c>
      <c r="H39" s="218">
        <f>VLOOKUP(A39,'QB Depth'!A:D,4,0)</f>
        <v/>
      </c>
      <c r="I39" s="218">
        <f>H39&amp;E39</f>
        <v/>
      </c>
      <c r="J39" s="220">
        <f>IF(VLOOKUP(F39,Pass!F:G,2,0)=G39,"OK","Check Team")</f>
        <v/>
      </c>
      <c r="K39" s="156" t="n"/>
      <c r="L39" s="156">
        <f>IFERROR(VLOOKUP(F39&amp;G39,Pass!B:C,2,0),0)</f>
        <v/>
      </c>
      <c r="M39" s="156">
        <f>IFERROR(VLOOKUP(F39&amp;G39,Rush!B:C,2,0),0)</f>
        <v/>
      </c>
      <c r="N39" s="156">
        <f>IFERROR(VLOOKUP(F39&amp;G39,Rec!B:C,2,0),0)</f>
        <v/>
      </c>
      <c r="O39" s="156">
        <f>IFERROR(VLOOKUP(F39&amp;G39,Returns!A:B,2,0),0)</f>
        <v/>
      </c>
      <c r="Q39" s="156" t="inlineStr">
        <is>
          <t>Rashod Bateman</t>
        </is>
      </c>
      <c r="R39" s="156" t="inlineStr">
        <is>
          <t>BAL</t>
        </is>
      </c>
      <c r="S39" s="156" t="inlineStr">
        <is>
          <t>WR</t>
        </is>
      </c>
    </row>
    <row r="40" hidden="1" ht="15.6" customHeight="1" s="152">
      <c r="A40" s="217" t="n">
        <v>39</v>
      </c>
      <c r="B40" s="218">
        <f>VLOOKUP(G40,Matrix!R:AA,10,0)</f>
        <v/>
      </c>
      <c r="C40" s="156">
        <f>IF(K40&gt;=0.01,K40,IFERROR(VLOOKUP(F40&amp;G40,Pass!B:C,2,0),K40)+SUM(L40:N40))</f>
        <v/>
      </c>
      <c r="D40" s="218">
        <f>_xlfn.IFNA(INDEX('Injury Report'!F:F, MATCH(G40&amp;F40, 'Injury Report'!A:A, 0)), "Healthy")</f>
        <v/>
      </c>
      <c r="E40" s="219">
        <f>VLOOKUP(A40,'QB Depth'!A:G,7,0)-1</f>
        <v/>
      </c>
      <c r="F40" s="218">
        <f>VLOOKUP(A40,'QB Depth'!A:C,3,0)</f>
        <v/>
      </c>
      <c r="G40" s="218">
        <f>VLOOKUP(A40,'QB Depth'!A:B,2,0)</f>
        <v/>
      </c>
      <c r="H40" s="218">
        <f>VLOOKUP(A40,'QB Depth'!A:D,4,0)</f>
        <v/>
      </c>
      <c r="I40" s="218">
        <f>H40&amp;E40</f>
        <v/>
      </c>
      <c r="J40" s="220">
        <f>IF(VLOOKUP(F40,Pass!F:G,2,0)=G40,"OK","Check Team")</f>
        <v/>
      </c>
      <c r="K40" s="156" t="n"/>
      <c r="L40" s="156">
        <f>IFERROR(VLOOKUP(F40&amp;G40,Pass!B:C,2,0),0)</f>
        <v/>
      </c>
      <c r="M40" s="156">
        <f>IFERROR(VLOOKUP(F40&amp;G40,Rush!B:C,2,0),0)</f>
        <v/>
      </c>
      <c r="N40" s="156">
        <f>IFERROR(VLOOKUP(F40&amp;G40,Rec!B:C,2,0),0)</f>
        <v/>
      </c>
      <c r="O40" s="156">
        <f>IFERROR(VLOOKUP(F40&amp;G40,Returns!A:B,2,0),0)</f>
        <v/>
      </c>
      <c r="Q40" s="156" t="inlineStr">
        <is>
          <t>John Bates</t>
        </is>
      </c>
      <c r="R40" s="156" t="inlineStr">
        <is>
          <t>WAS</t>
        </is>
      </c>
      <c r="S40" s="156" t="inlineStr">
        <is>
          <t>TE</t>
        </is>
      </c>
    </row>
    <row r="41" hidden="1" ht="15.6" customHeight="1" s="152">
      <c r="A41" s="217" t="n">
        <v>40</v>
      </c>
      <c r="B41" s="218">
        <f>VLOOKUP(G41,Matrix!R:AA,10,0)</f>
        <v/>
      </c>
      <c r="C41" s="156">
        <f>IF(K41&gt;=0.01,K41,IFERROR(VLOOKUP(F41&amp;G41,Pass!B:C,2,0),K41)+SUM(L41:N41))</f>
        <v/>
      </c>
      <c r="D41" s="218">
        <f>_xlfn.IFNA(INDEX('Injury Report'!F:F, MATCH(G41&amp;F41, 'Injury Report'!A:A, 0)), "Healthy")</f>
        <v/>
      </c>
      <c r="E41" s="219">
        <f>VLOOKUP(A41,'QB Depth'!A:G,7,0)-1</f>
        <v/>
      </c>
      <c r="F41" s="218">
        <f>VLOOKUP(A41,'QB Depth'!A:C,3,0)</f>
        <v/>
      </c>
      <c r="G41" s="218">
        <f>VLOOKUP(A41,'QB Depth'!A:B,2,0)</f>
        <v/>
      </c>
      <c r="H41" s="218">
        <f>VLOOKUP(A41,'QB Depth'!A:D,4,0)</f>
        <v/>
      </c>
      <c r="I41" s="218">
        <f>H41&amp;E41</f>
        <v/>
      </c>
      <c r="J41" s="220">
        <f>IF(VLOOKUP(F41,Pass!F:G,2,0)=G41,"OK","Check Team")</f>
        <v/>
      </c>
      <c r="K41" s="156" t="n"/>
      <c r="L41" s="156">
        <f>IFERROR(VLOOKUP(F41&amp;G41,Pass!B:C,2,0),0)</f>
        <v/>
      </c>
      <c r="M41" s="156">
        <f>IFERROR(VLOOKUP(F41&amp;G41,Rush!B:C,2,0),0)</f>
        <v/>
      </c>
      <c r="N41" s="156">
        <f>IFERROR(VLOOKUP(F41&amp;G41,Rec!B:C,2,0),0)</f>
        <v/>
      </c>
      <c r="O41" s="156">
        <f>IFERROR(VLOOKUP(F41&amp;G41,Returns!A:B,2,0),0)</f>
        <v/>
      </c>
      <c r="Q41" s="156" t="inlineStr">
        <is>
          <t>Jake Bates</t>
        </is>
      </c>
      <c r="R41" s="156" t="inlineStr">
        <is>
          <t>DET</t>
        </is>
      </c>
      <c r="S41" s="156" t="inlineStr">
        <is>
          <t>K</t>
        </is>
      </c>
    </row>
    <row r="42" hidden="1" ht="15.6" customHeight="1" s="152">
      <c r="A42" s="217" t="n">
        <v>41</v>
      </c>
      <c r="B42" s="218">
        <f>VLOOKUP(G42,Matrix!R:AA,10,0)</f>
        <v/>
      </c>
      <c r="C42" s="156">
        <f>IF(K42&gt;=0.01,K42,IFERROR(VLOOKUP(F42&amp;G42,Pass!B:C,2,0),K42)+SUM(L42:N42))</f>
        <v/>
      </c>
      <c r="D42" s="218">
        <f>_xlfn.IFNA(INDEX('Injury Report'!F:F, MATCH(G42&amp;F42, 'Injury Report'!A:A, 0)), "Healthy")</f>
        <v/>
      </c>
      <c r="E42" s="219">
        <f>VLOOKUP(A42,'QB Depth'!A:G,7,0)-1</f>
        <v/>
      </c>
      <c r="F42" s="218">
        <f>VLOOKUP(A42,'QB Depth'!A:C,3,0)</f>
        <v/>
      </c>
      <c r="G42" s="218">
        <f>VLOOKUP(A42,'QB Depth'!A:B,2,0)</f>
        <v/>
      </c>
      <c r="H42" s="218">
        <f>VLOOKUP(A42,'QB Depth'!A:D,4,0)</f>
        <v/>
      </c>
      <c r="I42" s="218">
        <f>H42&amp;E42</f>
        <v/>
      </c>
      <c r="J42" s="220">
        <f>IF(VLOOKUP(F42,Pass!F:G,2,0)=G42,"OK","Check Team")</f>
        <v/>
      </c>
      <c r="K42" s="156" t="n"/>
      <c r="L42" s="156">
        <f>IFERROR(VLOOKUP(F42&amp;G42,Pass!B:C,2,0),0)</f>
        <v/>
      </c>
      <c r="M42" s="156">
        <f>IFERROR(VLOOKUP(F42&amp;G42,Rush!B:C,2,0),0)</f>
        <v/>
      </c>
      <c r="N42" s="156">
        <f>IFERROR(VLOOKUP(F42&amp;G42,Rec!B:C,2,0),0)</f>
        <v/>
      </c>
      <c r="O42" s="156">
        <f>IFERROR(VLOOKUP(F42&amp;G42,Returns!A:B,2,0),0)</f>
        <v/>
      </c>
      <c r="Q42" s="156" t="inlineStr">
        <is>
          <t>C.J. Beathard</t>
        </is>
      </c>
      <c r="R42" s="156" t="inlineStr">
        <is>
          <t>JAX</t>
        </is>
      </c>
      <c r="S42" s="156" t="inlineStr">
        <is>
          <t>QB</t>
        </is>
      </c>
    </row>
    <row r="43" hidden="1" ht="15.6" customHeight="1" s="152">
      <c r="A43" s="217" t="n">
        <v>42</v>
      </c>
      <c r="B43" s="218">
        <f>VLOOKUP(G43,Matrix!R:AA,10,0)</f>
        <v/>
      </c>
      <c r="C43" s="156">
        <f>IF(K43&gt;=0.01,K43,IFERROR(VLOOKUP(F43&amp;G43,Pass!B:C,2,0),K43)+SUM(L43:N43))</f>
        <v/>
      </c>
      <c r="D43" s="218">
        <f>_xlfn.IFNA(INDEX('Injury Report'!F:F, MATCH(G43&amp;F43, 'Injury Report'!A:A, 0)), "Healthy")</f>
        <v/>
      </c>
      <c r="E43" s="219">
        <f>VLOOKUP(A43,'QB Depth'!A:G,7,0)-1</f>
        <v/>
      </c>
      <c r="F43" s="218">
        <f>VLOOKUP(A43,'QB Depth'!A:C,3,0)</f>
        <v/>
      </c>
      <c r="G43" s="218">
        <f>VLOOKUP(A43,'QB Depth'!A:B,2,0)</f>
        <v/>
      </c>
      <c r="H43" s="218">
        <f>VLOOKUP(A43,'QB Depth'!A:D,4,0)</f>
        <v/>
      </c>
      <c r="I43" s="218">
        <f>H43&amp;E43</f>
        <v/>
      </c>
      <c r="J43" s="220">
        <f>IF(VLOOKUP(F43,Pass!F:G,2,0)=G43,"OK","Check Team")</f>
        <v/>
      </c>
      <c r="K43" s="156" t="n"/>
      <c r="L43" s="156">
        <f>IFERROR(VLOOKUP(F43&amp;G43,Pass!B:C,2,0),0)</f>
        <v/>
      </c>
      <c r="M43" s="156">
        <f>IFERROR(VLOOKUP(F43&amp;G43,Rush!B:C,2,0),0)</f>
        <v/>
      </c>
      <c r="N43" s="156">
        <f>IFERROR(VLOOKUP(F43&amp;G43,Rec!B:C,2,0),0)</f>
        <v/>
      </c>
      <c r="O43" s="156">
        <f>IFERROR(VLOOKUP(F43&amp;G43,Returns!A:B,2,0),0)</f>
        <v/>
      </c>
      <c r="Q43" s="156" t="inlineStr">
        <is>
          <t>Odell Beckham</t>
        </is>
      </c>
      <c r="R43" s="156" t="inlineStr">
        <is>
          <t>FA</t>
        </is>
      </c>
      <c r="S43" s="156" t="inlineStr">
        <is>
          <t>WR</t>
        </is>
      </c>
    </row>
    <row r="44" hidden="1" ht="15.6" customHeight="1" s="152">
      <c r="A44" s="217" t="n">
        <v>43</v>
      </c>
      <c r="B44" s="218">
        <f>VLOOKUP(G44,Matrix!R:AA,10,0)</f>
        <v/>
      </c>
      <c r="C44" s="156">
        <f>IF(K44&gt;=0.01,K44,IFERROR(VLOOKUP(F44&amp;G44,Pass!B:C,2,0),K44)+SUM(L44:N44))</f>
        <v/>
      </c>
      <c r="D44" s="218">
        <f>_xlfn.IFNA(INDEX('Injury Report'!F:F, MATCH(G44&amp;F44, 'Injury Report'!A:A, 0)), "Healthy")</f>
        <v/>
      </c>
      <c r="E44" s="219">
        <f>VLOOKUP(A44,'QB Depth'!A:G,7,0)-1</f>
        <v/>
      </c>
      <c r="F44" s="218">
        <f>VLOOKUP(A44,'QB Depth'!A:C,3,0)</f>
        <v/>
      </c>
      <c r="G44" s="218">
        <f>VLOOKUP(A44,'QB Depth'!A:B,2,0)</f>
        <v/>
      </c>
      <c r="H44" s="218">
        <f>VLOOKUP(A44,'QB Depth'!A:D,4,0)</f>
        <v/>
      </c>
      <c r="I44" s="218">
        <f>H44&amp;E44</f>
        <v/>
      </c>
      <c r="J44" s="220">
        <f>IF(VLOOKUP(F44,Pass!F:G,2,0)=G44,"OK","Check Team")</f>
        <v/>
      </c>
      <c r="K44" s="156" t="n"/>
      <c r="L44" s="156">
        <f>IFERROR(VLOOKUP(F44&amp;G44,Pass!B:C,2,0),0)</f>
        <v/>
      </c>
      <c r="M44" s="156">
        <f>IFERROR(VLOOKUP(F44&amp;G44,Rush!B:C,2,0),0)</f>
        <v/>
      </c>
      <c r="N44" s="156">
        <f>IFERROR(VLOOKUP(F44&amp;G44,Rec!B:C,2,0),0)</f>
        <v/>
      </c>
      <c r="O44" s="156">
        <f>IFERROR(VLOOKUP(F44&amp;G44,Returns!A:B,2,0),0)</f>
        <v/>
      </c>
      <c r="Q44" s="156" t="inlineStr">
        <is>
          <t>David Bell</t>
        </is>
      </c>
      <c r="R44" s="156" t="inlineStr">
        <is>
          <t>CLE</t>
        </is>
      </c>
      <c r="S44" s="156" t="inlineStr">
        <is>
          <t>WR</t>
        </is>
      </c>
    </row>
    <row r="45" hidden="1" ht="15.6" customHeight="1" s="152">
      <c r="A45" s="217" t="n">
        <v>44</v>
      </c>
      <c r="B45" s="218">
        <f>VLOOKUP(G45,Matrix!R:AA,10,0)</f>
        <v/>
      </c>
      <c r="C45" s="156">
        <f>IF(K45&gt;=0.01,K45,IFERROR(VLOOKUP(F45&amp;G45,Pass!B:C,2,0),K45)+SUM(L45:N45))</f>
        <v/>
      </c>
      <c r="D45" s="218">
        <f>_xlfn.IFNA(INDEX('Injury Report'!F:F, MATCH(G45&amp;F45, 'Injury Report'!A:A, 0)), "Healthy")</f>
        <v/>
      </c>
      <c r="E45" s="219">
        <f>VLOOKUP(A45,'QB Depth'!A:G,7,0)-1</f>
        <v/>
      </c>
      <c r="F45" s="218">
        <f>VLOOKUP(A45,'QB Depth'!A:C,3,0)</f>
        <v/>
      </c>
      <c r="G45" s="218">
        <f>VLOOKUP(A45,'QB Depth'!A:B,2,0)</f>
        <v/>
      </c>
      <c r="H45" s="218">
        <f>VLOOKUP(A45,'QB Depth'!A:D,4,0)</f>
        <v/>
      </c>
      <c r="I45" s="218">
        <f>H45&amp;E45</f>
        <v/>
      </c>
      <c r="J45" s="220">
        <f>IF(VLOOKUP(F45,Pass!F:G,2,0)=G45,"OK","Check Team")</f>
        <v/>
      </c>
      <c r="K45" s="156" t="n"/>
      <c r="L45" s="156">
        <f>IFERROR(VLOOKUP(F45&amp;G45,Pass!B:C,2,0),0)</f>
        <v/>
      </c>
      <c r="M45" s="156">
        <f>IFERROR(VLOOKUP(F45&amp;G45,Rush!B:C,2,0),0)</f>
        <v/>
      </c>
      <c r="N45" s="156">
        <f>IFERROR(VLOOKUP(F45&amp;G45,Rec!B:C,2,0),0)</f>
        <v/>
      </c>
      <c r="O45" s="156">
        <f>IFERROR(VLOOKUP(F45&amp;G45,Returns!A:B,2,0),0)</f>
        <v/>
      </c>
      <c r="Q45" s="156" t="inlineStr">
        <is>
          <t>Ronnie Bell</t>
        </is>
      </c>
      <c r="R45" s="156" t="inlineStr">
        <is>
          <t>FA</t>
        </is>
      </c>
      <c r="S45" s="156" t="inlineStr">
        <is>
          <t>WR</t>
        </is>
      </c>
    </row>
    <row r="46" hidden="1" ht="15.6" customHeight="1" s="152">
      <c r="A46" s="217" t="n">
        <v>45</v>
      </c>
      <c r="B46" s="218">
        <f>VLOOKUP(G46,Matrix!R:AA,10,0)</f>
        <v/>
      </c>
      <c r="C46" s="156">
        <f>IF(K46&gt;=0.01,K46,IFERROR(VLOOKUP(F46&amp;G46,Pass!B:C,2,0),K46)+SUM(L46:N46))</f>
        <v/>
      </c>
      <c r="D46" s="218">
        <f>_xlfn.IFNA(INDEX('Injury Report'!F:F, MATCH(G46&amp;F46, 'Injury Report'!A:A, 0)), "Healthy")</f>
        <v/>
      </c>
      <c r="E46" s="219">
        <f>VLOOKUP(A46,'QB Depth'!A:G,7,0)-1</f>
        <v/>
      </c>
      <c r="F46" s="218">
        <f>VLOOKUP(A46,'QB Depth'!A:C,3,0)</f>
        <v/>
      </c>
      <c r="G46" s="218">
        <f>VLOOKUP(A46,'QB Depth'!A:B,2,0)</f>
        <v/>
      </c>
      <c r="H46" s="218">
        <f>VLOOKUP(A46,'QB Depth'!A:D,4,0)</f>
        <v/>
      </c>
      <c r="I46" s="218">
        <f>H46&amp;E46</f>
        <v/>
      </c>
      <c r="J46" s="220">
        <f>IF(VLOOKUP(F46,Pass!F:G,2,0)=G46,"OK","Check Team")</f>
        <v/>
      </c>
      <c r="K46" s="156" t="n"/>
      <c r="L46" s="156">
        <f>IFERROR(VLOOKUP(F46&amp;G46,Pass!B:C,2,0),0)</f>
        <v/>
      </c>
      <c r="M46" s="156">
        <f>IFERROR(VLOOKUP(F46&amp;G46,Rush!B:C,2,0),0)</f>
        <v/>
      </c>
      <c r="N46" s="156">
        <f>IFERROR(VLOOKUP(F46&amp;G46,Rec!B:C,2,0),0)</f>
        <v/>
      </c>
      <c r="O46" s="156">
        <f>IFERROR(VLOOKUP(F46&amp;G46,Returns!A:B,2,0),0)</f>
        <v/>
      </c>
      <c r="Q46" s="156" t="inlineStr">
        <is>
          <t>Jaheim Bell</t>
        </is>
      </c>
      <c r="R46" s="156" t="inlineStr">
        <is>
          <t>NE</t>
        </is>
      </c>
      <c r="S46" s="156" t="inlineStr">
        <is>
          <t>TE</t>
        </is>
      </c>
    </row>
    <row r="47" hidden="1" ht="15.6" customHeight="1" s="152">
      <c r="A47" s="217" t="n">
        <v>46</v>
      </c>
      <c r="B47" s="218">
        <f>VLOOKUP(G47,Matrix!R:AA,10,0)</f>
        <v/>
      </c>
      <c r="C47" s="156">
        <f>IF(K47&gt;=0.01,K47,IFERROR(VLOOKUP(F47&amp;G47,Pass!B:C,2,0),K47)+SUM(L47:N47))</f>
        <v/>
      </c>
      <c r="D47" s="218">
        <f>_xlfn.IFNA(INDEX('Injury Report'!F:F, MATCH(G47&amp;F47, 'Injury Report'!A:A, 0)), "Healthy")</f>
        <v/>
      </c>
      <c r="E47" s="219">
        <f>VLOOKUP(A47,'QB Depth'!A:G,7,0)-1</f>
        <v/>
      </c>
      <c r="F47" s="218">
        <f>VLOOKUP(A47,'QB Depth'!A:C,3,0)</f>
        <v/>
      </c>
      <c r="G47" s="218">
        <f>VLOOKUP(A47,'QB Depth'!A:B,2,0)</f>
        <v/>
      </c>
      <c r="H47" s="218">
        <f>VLOOKUP(A47,'QB Depth'!A:D,4,0)</f>
        <v/>
      </c>
      <c r="I47" s="218">
        <f>H47&amp;E47</f>
        <v/>
      </c>
      <c r="J47" s="220">
        <f>IF(VLOOKUP(F47,Pass!F:G,2,0)=G47,"OK","Check Team")</f>
        <v/>
      </c>
      <c r="K47" s="156" t="n"/>
      <c r="L47" s="156">
        <f>IFERROR(VLOOKUP(F47&amp;G47,Pass!B:C,2,0),0)</f>
        <v/>
      </c>
      <c r="M47" s="156">
        <f>IFERROR(VLOOKUP(F47&amp;G47,Rush!B:C,2,0),0)</f>
        <v/>
      </c>
      <c r="N47" s="156">
        <f>IFERROR(VLOOKUP(F47&amp;G47,Rec!B:C,2,0),0)</f>
        <v/>
      </c>
      <c r="O47" s="156">
        <f>IFERROR(VLOOKUP(F47&amp;G47,Returns!A:B,2,0),0)</f>
        <v/>
      </c>
      <c r="Q47" s="156" t="inlineStr">
        <is>
          <t>Daniel Bellinger</t>
        </is>
      </c>
      <c r="R47" s="156" t="inlineStr">
        <is>
          <t>NYG</t>
        </is>
      </c>
      <c r="S47" s="156" t="inlineStr">
        <is>
          <t>TE</t>
        </is>
      </c>
    </row>
    <row r="48" hidden="1" ht="15.6" customHeight="1" s="152">
      <c r="A48" s="217" t="n">
        <v>47</v>
      </c>
      <c r="B48" s="218">
        <f>VLOOKUP(G48,Matrix!R:AA,10,0)</f>
        <v/>
      </c>
      <c r="C48" s="156">
        <f>IF(K48&gt;=0.01,K48,IFERROR(VLOOKUP(F48&amp;G48,Pass!B:C,2,0),K48)+SUM(L48:N48))</f>
        <v/>
      </c>
      <c r="D48" s="218">
        <f>_xlfn.IFNA(INDEX('Injury Report'!F:F, MATCH(G48&amp;F48, 'Injury Report'!A:A, 0)), "Healthy")</f>
        <v/>
      </c>
      <c r="E48" s="219">
        <f>VLOOKUP(A48,'QB Depth'!A:G,7,0)-1</f>
        <v/>
      </c>
      <c r="F48" s="218">
        <f>VLOOKUP(A48,'QB Depth'!A:C,3,0)</f>
        <v/>
      </c>
      <c r="G48" s="218">
        <f>VLOOKUP(A48,'QB Depth'!A:B,2,0)</f>
        <v/>
      </c>
      <c r="H48" s="218">
        <f>VLOOKUP(A48,'QB Depth'!A:D,4,0)</f>
        <v/>
      </c>
      <c r="I48" s="218">
        <f>H48&amp;E48</f>
        <v/>
      </c>
      <c r="J48" s="220">
        <f>IF(VLOOKUP(F48,Pass!F:G,2,0)=G48,"OK","Check Team")</f>
        <v/>
      </c>
      <c r="K48" s="156" t="n"/>
      <c r="L48" s="156">
        <f>IFERROR(VLOOKUP(F48&amp;G48,Pass!B:C,2,0),0)</f>
        <v/>
      </c>
      <c r="M48" s="156">
        <f>IFERROR(VLOOKUP(F48&amp;G48,Rush!B:C,2,0),0)</f>
        <v/>
      </c>
      <c r="N48" s="156">
        <f>IFERROR(VLOOKUP(F48&amp;G48,Rec!B:C,2,0),0)</f>
        <v/>
      </c>
      <c r="O48" s="156">
        <f>IFERROR(VLOOKUP(F48&amp;G48,Returns!A:B,2,0),0)</f>
        <v/>
      </c>
      <c r="Q48" s="156" t="inlineStr">
        <is>
          <t>Stetson Bennett</t>
        </is>
      </c>
      <c r="R48" s="156" t="inlineStr">
        <is>
          <t>LAR</t>
        </is>
      </c>
      <c r="S48" s="156" t="inlineStr">
        <is>
          <t>QB</t>
        </is>
      </c>
    </row>
    <row r="49" hidden="1" ht="15.6" customHeight="1" s="152">
      <c r="A49" s="217" t="n">
        <v>48</v>
      </c>
      <c r="B49" s="218">
        <f>VLOOKUP(G49,Matrix!R:AA,10,0)</f>
        <v/>
      </c>
      <c r="C49" s="156">
        <f>IF(K49&gt;=0.01,K49,IFERROR(VLOOKUP(F49&amp;G49,Pass!B:C,2,0),K49)+SUM(L49:N49))</f>
        <v/>
      </c>
      <c r="D49" s="218">
        <f>_xlfn.IFNA(INDEX('Injury Report'!F:F, MATCH(G49&amp;F49, 'Injury Report'!A:A, 0)), "Healthy")</f>
        <v/>
      </c>
      <c r="E49" s="219">
        <f>VLOOKUP(A49,'QB Depth'!A:G,7,0)-1</f>
        <v/>
      </c>
      <c r="F49" s="218">
        <f>VLOOKUP(A49,'QB Depth'!A:C,3,0)</f>
        <v/>
      </c>
      <c r="G49" s="218">
        <f>VLOOKUP(A49,'QB Depth'!A:B,2,0)</f>
        <v/>
      </c>
      <c r="H49" s="218">
        <f>VLOOKUP(A49,'QB Depth'!A:D,4,0)</f>
        <v/>
      </c>
      <c r="I49" s="218">
        <f>H49&amp;E49</f>
        <v/>
      </c>
      <c r="J49" s="220">
        <f>IF(VLOOKUP(F49,Pass!F:G,2,0)=G49,"OK","Check Team")</f>
        <v/>
      </c>
      <c r="K49" s="156" t="n"/>
      <c r="L49" s="156">
        <f>IFERROR(VLOOKUP(F49&amp;G49,Pass!B:C,2,0),0)</f>
        <v/>
      </c>
      <c r="M49" s="156">
        <f>IFERROR(VLOOKUP(F49&amp;G49,Rush!B:C,2,0),0)</f>
        <v/>
      </c>
      <c r="N49" s="156">
        <f>IFERROR(VLOOKUP(F49&amp;G49,Rec!B:C,2,0),0)</f>
        <v/>
      </c>
      <c r="O49" s="156">
        <f>IFERROR(VLOOKUP(F49&amp;G49,Returns!A:B,2,0),0)</f>
        <v/>
      </c>
      <c r="Q49" s="156" t="inlineStr">
        <is>
          <t>Trey Benson</t>
        </is>
      </c>
      <c r="R49" s="156" t="inlineStr">
        <is>
          <t>ARI</t>
        </is>
      </c>
      <c r="S49" s="156" t="inlineStr">
        <is>
          <t>RB</t>
        </is>
      </c>
    </row>
    <row r="50" hidden="1" ht="15.6" customHeight="1" s="152">
      <c r="A50" s="217" t="n">
        <v>49</v>
      </c>
      <c r="B50" s="218">
        <f>VLOOKUP(G50,Matrix!R:AA,10,0)</f>
        <v/>
      </c>
      <c r="C50" s="156">
        <f>IF(K50&gt;=0.01,K50,IFERROR(VLOOKUP(F50&amp;G50,Pass!B:C,2,0),K50)+SUM(L50:N50))</f>
        <v/>
      </c>
      <c r="D50" s="218">
        <f>_xlfn.IFNA(INDEX('Injury Report'!F:F, MATCH(G50&amp;F50, 'Injury Report'!A:A, 0)), "Healthy")</f>
        <v/>
      </c>
      <c r="E50" s="219">
        <f>VLOOKUP(A50,'QB Depth'!A:G,7,0)-1</f>
        <v/>
      </c>
      <c r="F50" s="218">
        <f>VLOOKUP(A50,'QB Depth'!A:C,3,0)</f>
        <v/>
      </c>
      <c r="G50" s="218">
        <f>VLOOKUP(A50,'QB Depth'!A:B,2,0)</f>
        <v/>
      </c>
      <c r="H50" s="218">
        <f>VLOOKUP(A50,'QB Depth'!A:D,4,0)</f>
        <v/>
      </c>
      <c r="I50" s="218">
        <f>H50&amp;E50</f>
        <v/>
      </c>
      <c r="J50" s="220">
        <f>IF(VLOOKUP(F50,Pass!F:G,2,0)=G50,"OK","Check Team")</f>
        <v/>
      </c>
      <c r="K50" s="156" t="n"/>
      <c r="L50" s="156">
        <f>IFERROR(VLOOKUP(F50&amp;G50,Pass!B:C,2,0),0)</f>
        <v/>
      </c>
      <c r="M50" s="156">
        <f>IFERROR(VLOOKUP(F50&amp;G50,Rush!B:C,2,0),0)</f>
        <v/>
      </c>
      <c r="N50" s="156">
        <f>IFERROR(VLOOKUP(F50&amp;G50,Rec!B:C,2,0),0)</f>
        <v/>
      </c>
      <c r="O50" s="156">
        <f>IFERROR(VLOOKUP(F50&amp;G50,Returns!A:B,2,0),0)</f>
        <v/>
      </c>
      <c r="Q50" s="156" t="inlineStr">
        <is>
          <t>Braxton Berrios</t>
        </is>
      </c>
      <c r="R50" s="156" t="inlineStr">
        <is>
          <t>MIA</t>
        </is>
      </c>
      <c r="S50" s="156" t="inlineStr">
        <is>
          <t>WR</t>
        </is>
      </c>
    </row>
    <row r="51" hidden="1" ht="15.6" customHeight="1" s="152">
      <c r="A51" s="217" t="n">
        <v>50</v>
      </c>
      <c r="B51" s="218">
        <f>VLOOKUP(G51,Matrix!R:AA,10,0)</f>
        <v/>
      </c>
      <c r="C51" s="156">
        <f>IF(K51&gt;=0.01,K51,IFERROR(VLOOKUP(F51&amp;G51,Pass!B:C,2,0),K51)+SUM(L51:N51))</f>
        <v/>
      </c>
      <c r="D51" s="218">
        <f>_xlfn.IFNA(INDEX('Injury Report'!F:F, MATCH(G51&amp;F51, 'Injury Report'!A:A, 0)), "Healthy")</f>
        <v/>
      </c>
      <c r="E51" s="219">
        <f>VLOOKUP(A51,'QB Depth'!A:G,7,0)-1</f>
        <v/>
      </c>
      <c r="F51" s="218">
        <f>VLOOKUP(A51,'QB Depth'!A:C,3,0)</f>
        <v/>
      </c>
      <c r="G51" s="218">
        <f>VLOOKUP(A51,'QB Depth'!A:B,2,0)</f>
        <v/>
      </c>
      <c r="H51" s="218">
        <f>VLOOKUP(A51,'QB Depth'!A:D,4,0)</f>
        <v/>
      </c>
      <c r="I51" s="218">
        <f>H51&amp;E51</f>
        <v/>
      </c>
      <c r="J51" s="220">
        <f>IF(VLOOKUP(F51,Pass!F:G,2,0)=G51,"OK","Check Team")</f>
        <v/>
      </c>
      <c r="K51" s="156" t="n"/>
      <c r="L51" s="156">
        <f>IFERROR(VLOOKUP(F51&amp;G51,Pass!B:C,2,0),0)</f>
        <v/>
      </c>
      <c r="M51" s="156">
        <f>IFERROR(VLOOKUP(F51&amp;G51,Rush!B:C,2,0),0)</f>
        <v/>
      </c>
      <c r="N51" s="156">
        <f>IFERROR(VLOOKUP(F51&amp;G51,Rec!B:C,2,0),0)</f>
        <v/>
      </c>
      <c r="O51" s="156">
        <f>IFERROR(VLOOKUP(F51&amp;G51,Returns!A:B,2,0),0)</f>
        <v/>
      </c>
      <c r="Q51" s="156" t="inlineStr">
        <is>
          <t>Tank Bigsby</t>
        </is>
      </c>
      <c r="R51" s="156" t="inlineStr">
        <is>
          <t>JAX</t>
        </is>
      </c>
      <c r="S51" s="156" t="inlineStr">
        <is>
          <t>RB</t>
        </is>
      </c>
    </row>
    <row r="52" hidden="1" ht="15.6" customHeight="1" s="152">
      <c r="A52" s="217" t="n">
        <v>51</v>
      </c>
      <c r="B52" s="218">
        <f>VLOOKUP(G52,Matrix!R:AA,10,0)</f>
        <v/>
      </c>
      <c r="C52" s="156">
        <f>IF(K52&gt;=0.01,K52,IFERROR(VLOOKUP(F52&amp;G52,Pass!B:C,2,0),K52)+SUM(L52:N52))</f>
        <v/>
      </c>
      <c r="D52" s="218">
        <f>_xlfn.IFNA(INDEX('Injury Report'!F:F, MATCH(G52&amp;F52, 'Injury Report'!A:A, 0)), "Healthy")</f>
        <v/>
      </c>
      <c r="E52" s="219">
        <f>VLOOKUP(A52,'QB Depth'!A:G,7,0)-1</f>
        <v/>
      </c>
      <c r="F52" s="218">
        <f>VLOOKUP(A52,'QB Depth'!A:C,3,0)</f>
        <v/>
      </c>
      <c r="G52" s="218">
        <f>VLOOKUP(A52,'QB Depth'!A:B,2,0)</f>
        <v/>
      </c>
      <c r="H52" s="218">
        <f>VLOOKUP(A52,'QB Depth'!A:D,4,0)</f>
        <v/>
      </c>
      <c r="I52" s="218">
        <f>H52&amp;E52</f>
        <v/>
      </c>
      <c r="J52" s="220">
        <f>IF(VLOOKUP(F52,Pass!F:G,2,0)=G52,"OK","Check Team")</f>
        <v/>
      </c>
      <c r="K52" s="156" t="n"/>
      <c r="L52" s="156">
        <f>IFERROR(VLOOKUP(F52&amp;G52,Pass!B:C,2,0),0)</f>
        <v/>
      </c>
      <c r="M52" s="156">
        <f>IFERROR(VLOOKUP(F52&amp;G52,Rush!B:C,2,0),0)</f>
        <v/>
      </c>
      <c r="N52" s="156">
        <f>IFERROR(VLOOKUP(F52&amp;G52,Rec!B:C,2,0),0)</f>
        <v/>
      </c>
      <c r="O52" s="156">
        <f>IFERROR(VLOOKUP(F52&amp;G52,Returns!A:B,2,0),0)</f>
        <v/>
      </c>
      <c r="Q52" s="156" t="inlineStr">
        <is>
          <t>Raheem Blackshear</t>
        </is>
      </c>
      <c r="R52" s="156" t="inlineStr">
        <is>
          <t>CAR</t>
        </is>
      </c>
      <c r="S52" s="156" t="inlineStr">
        <is>
          <t>RB</t>
        </is>
      </c>
    </row>
    <row r="53" hidden="1" ht="15.6" customHeight="1" s="152">
      <c r="A53" s="217" t="n">
        <v>52</v>
      </c>
      <c r="B53" s="218">
        <f>VLOOKUP(G53,Matrix!R:AA,10,0)</f>
        <v/>
      </c>
      <c r="C53" s="156">
        <f>IF(K53&gt;=0.01,K53,IFERROR(VLOOKUP(F53&amp;G53,Pass!B:C,2,0),K53)+SUM(L53:N53))</f>
        <v/>
      </c>
      <c r="D53" s="218">
        <f>_xlfn.IFNA(INDEX('Injury Report'!F:F, MATCH(G53&amp;F53, 'Injury Report'!A:A, 0)), "Healthy")</f>
        <v/>
      </c>
      <c r="E53" s="219">
        <f>VLOOKUP(A53,'QB Depth'!A:G,7,0)-1</f>
        <v/>
      </c>
      <c r="F53" s="218">
        <f>VLOOKUP(A53,'QB Depth'!A:C,3,0)</f>
        <v/>
      </c>
      <c r="G53" s="218">
        <f>VLOOKUP(A53,'QB Depth'!A:B,2,0)</f>
        <v/>
      </c>
      <c r="H53" s="218">
        <f>VLOOKUP(A53,'QB Depth'!A:D,4,0)</f>
        <v/>
      </c>
      <c r="I53" s="218">
        <f>H53&amp;E53</f>
        <v/>
      </c>
      <c r="J53" s="220">
        <f>IF(VLOOKUP(F53,Pass!F:G,2,0)=G53,"OK","Check Team")</f>
        <v/>
      </c>
      <c r="K53" s="156" t="n"/>
      <c r="L53" s="156">
        <f>IFERROR(VLOOKUP(F53&amp;G53,Pass!B:C,2,0),0)</f>
        <v/>
      </c>
      <c r="M53" s="156">
        <f>IFERROR(VLOOKUP(F53&amp;G53,Rush!B:C,2,0),0)</f>
        <v/>
      </c>
      <c r="N53" s="156">
        <f>IFERROR(VLOOKUP(F53&amp;G53,Rec!B:C,2,0),0)</f>
        <v/>
      </c>
      <c r="O53" s="156">
        <f>IFERROR(VLOOKUP(F53&amp;G53,Returns!A:B,2,0),0)</f>
        <v/>
      </c>
      <c r="Q53" s="156" t="inlineStr">
        <is>
          <t>Chris Blair</t>
        </is>
      </c>
      <c r="R53" s="156" t="inlineStr">
        <is>
          <t>ATL</t>
        </is>
      </c>
      <c r="S53" s="156" t="inlineStr">
        <is>
          <t>WR</t>
        </is>
      </c>
    </row>
    <row r="54" hidden="1" ht="15.6" customHeight="1" s="152">
      <c r="A54" s="217" t="n">
        <v>53</v>
      </c>
      <c r="B54" s="218">
        <f>VLOOKUP(G54,Matrix!R:AA,10,0)</f>
        <v/>
      </c>
      <c r="C54" s="156">
        <f>IF(K54&gt;=0.01,K54,IFERROR(VLOOKUP(F54&amp;G54,Pass!B:C,2,0),K54)+SUM(L54:N54))</f>
        <v/>
      </c>
      <c r="D54" s="218">
        <f>_xlfn.IFNA(INDEX('Injury Report'!F:F, MATCH(G54&amp;F54, 'Injury Report'!A:A, 0)), "Healthy")</f>
        <v/>
      </c>
      <c r="E54" s="219">
        <f>VLOOKUP(A54,'QB Depth'!A:G,7,0)-1</f>
        <v/>
      </c>
      <c r="F54" s="218">
        <f>VLOOKUP(A54,'QB Depth'!A:C,3,0)</f>
        <v/>
      </c>
      <c r="G54" s="218">
        <f>VLOOKUP(A54,'QB Depth'!A:B,2,0)</f>
        <v/>
      </c>
      <c r="H54" s="218">
        <f>VLOOKUP(A54,'QB Depth'!A:D,4,0)</f>
        <v/>
      </c>
      <c r="I54" s="218">
        <f>H54&amp;E54</f>
        <v/>
      </c>
      <c r="J54" s="220">
        <f>IF(VLOOKUP(F54,Pass!F:G,2,0)=G54,"OK","Check Team")</f>
        <v/>
      </c>
      <c r="K54" s="156" t="n"/>
      <c r="L54" s="156">
        <f>IFERROR(VLOOKUP(F54&amp;G54,Pass!B:C,2,0),0)</f>
        <v/>
      </c>
      <c r="M54" s="156">
        <f>IFERROR(VLOOKUP(F54&amp;G54,Rush!B:C,2,0),0)</f>
        <v/>
      </c>
      <c r="N54" s="156">
        <f>IFERROR(VLOOKUP(F54&amp;G54,Rec!B:C,2,0),0)</f>
        <v/>
      </c>
      <c r="O54" s="156">
        <f>IFERROR(VLOOKUP(F54&amp;G54,Returns!A:B,2,0),0)</f>
        <v/>
      </c>
      <c r="Q54" s="156" t="inlineStr">
        <is>
          <t>Rodrigo Blankenship</t>
        </is>
      </c>
      <c r="R54" s="156" t="inlineStr">
        <is>
          <t>FA</t>
        </is>
      </c>
      <c r="S54" s="156" t="inlineStr">
        <is>
          <t>K</t>
        </is>
      </c>
    </row>
    <row r="55" hidden="1" ht="15.6" customHeight="1" s="152">
      <c r="A55" s="217" t="n">
        <v>54</v>
      </c>
      <c r="B55" s="218">
        <f>VLOOKUP(G55,Matrix!R:AA,10,0)</f>
        <v/>
      </c>
      <c r="C55" s="156">
        <f>IF(K55&gt;=0.01,K55,IFERROR(VLOOKUP(F55&amp;G55,Pass!B:C,2,0),K55)+SUM(L55:N55))</f>
        <v/>
      </c>
      <c r="D55" s="218">
        <f>_xlfn.IFNA(INDEX('Injury Report'!F:F, MATCH(G55&amp;F55, 'Injury Report'!A:A, 0)), "Healthy")</f>
        <v/>
      </c>
      <c r="E55" s="219">
        <f>VLOOKUP(A55,'QB Depth'!A:G,7,0)-1</f>
        <v/>
      </c>
      <c r="F55" s="218">
        <f>VLOOKUP(A55,'QB Depth'!A:C,3,0)</f>
        <v/>
      </c>
      <c r="G55" s="218">
        <f>VLOOKUP(A55,'QB Depth'!A:B,2,0)</f>
        <v/>
      </c>
      <c r="H55" s="218">
        <f>VLOOKUP(A55,'QB Depth'!A:D,4,0)</f>
        <v/>
      </c>
      <c r="I55" s="218">
        <f>H55&amp;E55</f>
        <v/>
      </c>
      <c r="J55" s="220">
        <f>IF(VLOOKUP(F55,Pass!F:G,2,0)=G55,"OK","Check Team")</f>
        <v/>
      </c>
      <c r="K55" s="156" t="n"/>
      <c r="L55" s="156">
        <f>IFERROR(VLOOKUP(F55&amp;G55,Pass!B:C,2,0),0)</f>
        <v/>
      </c>
      <c r="M55" s="156">
        <f>IFERROR(VLOOKUP(F55&amp;G55,Rush!B:C,2,0),0)</f>
        <v/>
      </c>
      <c r="N55" s="156">
        <f>IFERROR(VLOOKUP(F55&amp;G55,Rec!B:C,2,0),0)</f>
        <v/>
      </c>
      <c r="O55" s="156">
        <f>IFERROR(VLOOKUP(F55&amp;G55,Returns!A:B,2,0),0)</f>
        <v/>
      </c>
      <c r="Q55" s="156" t="inlineStr">
        <is>
          <t>Jake Bobo</t>
        </is>
      </c>
      <c r="R55" s="156" t="inlineStr">
        <is>
          <t>SEA</t>
        </is>
      </c>
      <c r="S55" s="156" t="inlineStr">
        <is>
          <t>WR</t>
        </is>
      </c>
    </row>
    <row r="56" hidden="1" ht="15.6" customHeight="1" s="152">
      <c r="A56" s="217" t="n">
        <v>55</v>
      </c>
      <c r="B56" s="218">
        <f>VLOOKUP(G56,Matrix!R:AA,10,0)</f>
        <v/>
      </c>
      <c r="C56" s="156">
        <f>IF(K56&gt;=0.01,K56,IFERROR(VLOOKUP(F56&amp;G56,Pass!B:C,2,0),K56)+SUM(L56:N56))</f>
        <v/>
      </c>
      <c r="D56" s="218">
        <f>_xlfn.IFNA(INDEX('Injury Report'!F:F, MATCH(G56&amp;F56, 'Injury Report'!A:A, 0)), "Healthy")</f>
        <v/>
      </c>
      <c r="E56" s="219">
        <f>VLOOKUP(A56,'QB Depth'!A:G,7,0)-1</f>
        <v/>
      </c>
      <c r="F56" s="218">
        <f>VLOOKUP(A56,'QB Depth'!A:C,3,0)</f>
        <v/>
      </c>
      <c r="G56" s="218">
        <f>VLOOKUP(A56,'QB Depth'!A:B,2,0)</f>
        <v/>
      </c>
      <c r="H56" s="218">
        <f>VLOOKUP(A56,'QB Depth'!A:D,4,0)</f>
        <v/>
      </c>
      <c r="I56" s="218">
        <f>H56&amp;E56</f>
        <v/>
      </c>
      <c r="J56" s="220">
        <f>IF(VLOOKUP(F56,Pass!F:G,2,0)=G56,"OK","Check Team")</f>
        <v/>
      </c>
      <c r="K56" s="156" t="n"/>
      <c r="L56" s="156">
        <f>IFERROR(VLOOKUP(F56&amp;G56,Pass!B:C,2,0),0)</f>
        <v/>
      </c>
      <c r="M56" s="156">
        <f>IFERROR(VLOOKUP(F56&amp;G56,Rush!B:C,2,0),0)</f>
        <v/>
      </c>
      <c r="N56" s="156">
        <f>IFERROR(VLOOKUP(F56&amp;G56,Rec!B:C,2,0),0)</f>
        <v/>
      </c>
      <c r="O56" s="156">
        <f>IFERROR(VLOOKUP(F56&amp;G56,Returns!A:B,2,0),0)</f>
        <v/>
      </c>
      <c r="Q56" s="156" t="inlineStr">
        <is>
          <t>Brandon Bolden</t>
        </is>
      </c>
      <c r="R56" s="156" t="inlineStr">
        <is>
          <t>FA</t>
        </is>
      </c>
      <c r="S56" s="156" t="inlineStr">
        <is>
          <t>RB</t>
        </is>
      </c>
    </row>
    <row r="57" hidden="1" ht="15.6" customHeight="1" s="152">
      <c r="A57" s="217" t="n">
        <v>56</v>
      </c>
      <c r="B57" s="218">
        <f>VLOOKUP(G57,Matrix!R:AA,10,0)</f>
        <v/>
      </c>
      <c r="C57" s="156">
        <f>IF(K57&gt;=0.01,K57,IFERROR(VLOOKUP(F57&amp;G57,Pass!B:C,2,0),K57)+SUM(L57:N57))</f>
        <v/>
      </c>
      <c r="D57" s="218">
        <f>_xlfn.IFNA(INDEX('Injury Report'!F:F, MATCH(G57&amp;F57, 'Injury Report'!A:A, 0)), "Healthy")</f>
        <v/>
      </c>
      <c r="E57" s="219">
        <f>VLOOKUP(A57,'QB Depth'!A:G,7,0)-1</f>
        <v/>
      </c>
      <c r="F57" s="218">
        <f>VLOOKUP(A57,'QB Depth'!A:C,3,0)</f>
        <v/>
      </c>
      <c r="G57" s="218">
        <f>VLOOKUP(A57,'QB Depth'!A:B,2,0)</f>
        <v/>
      </c>
      <c r="H57" s="218">
        <f>VLOOKUP(A57,'QB Depth'!A:D,4,0)</f>
        <v/>
      </c>
      <c r="I57" s="218">
        <f>H57&amp;E57</f>
        <v/>
      </c>
      <c r="J57" s="220">
        <f>IF(VLOOKUP(F57,Pass!F:G,2,0)=G57,"OK","Check Team")</f>
        <v/>
      </c>
      <c r="K57" s="156" t="n"/>
      <c r="L57" s="156">
        <f>IFERROR(VLOOKUP(F57&amp;G57,Pass!B:C,2,0),0)</f>
        <v/>
      </c>
      <c r="M57" s="156">
        <f>IFERROR(VLOOKUP(F57&amp;G57,Rush!B:C,2,0),0)</f>
        <v/>
      </c>
      <c r="N57" s="156">
        <f>IFERROR(VLOOKUP(F57&amp;G57,Rec!B:C,2,0),0)</f>
        <v/>
      </c>
      <c r="O57" s="156">
        <f>IFERROR(VLOOKUP(F57&amp;G57,Returns!A:B,2,0),0)</f>
        <v/>
      </c>
      <c r="Q57" s="156" t="inlineStr">
        <is>
          <t>Mike Boone</t>
        </is>
      </c>
      <c r="R57" s="156" t="inlineStr">
        <is>
          <t>CAR</t>
        </is>
      </c>
      <c r="S57" s="156" t="inlineStr">
        <is>
          <t>RB</t>
        </is>
      </c>
    </row>
    <row r="58" hidden="1" ht="15.6" customHeight="1" s="152">
      <c r="A58" s="217" t="n">
        <v>57</v>
      </c>
      <c r="B58" s="218">
        <f>VLOOKUP(G58,Matrix!R:AA,10,0)</f>
        <v/>
      </c>
      <c r="C58" s="156">
        <f>IF(K58&gt;=0.01,K58,IFERROR(VLOOKUP(F58&amp;G58,Pass!B:C,2,0),K58)+SUM(L58:N58))</f>
        <v/>
      </c>
      <c r="D58" s="218">
        <f>_xlfn.IFNA(INDEX('Injury Report'!F:F, MATCH(G58&amp;F58, 'Injury Report'!A:A, 0)), "Healthy")</f>
        <v/>
      </c>
      <c r="E58" s="219">
        <f>VLOOKUP(A58,'QB Depth'!A:G,7,0)-1</f>
        <v/>
      </c>
      <c r="F58" s="218">
        <f>VLOOKUP(A58,'QB Depth'!A:C,3,0)</f>
        <v/>
      </c>
      <c r="G58" s="218">
        <f>VLOOKUP(A58,'QB Depth'!A:B,2,0)</f>
        <v/>
      </c>
      <c r="H58" s="218">
        <f>VLOOKUP(A58,'QB Depth'!A:D,4,0)</f>
        <v/>
      </c>
      <c r="I58" s="218">
        <f>H58&amp;E58</f>
        <v/>
      </c>
      <c r="J58" s="220">
        <f>IF(VLOOKUP(F58,Pass!F:G,2,0)=G58,"OK","Check Team")</f>
        <v/>
      </c>
      <c r="K58" s="156" t="n"/>
      <c r="L58" s="156">
        <f>IFERROR(VLOOKUP(F58&amp;G58,Pass!B:C,2,0),0)</f>
        <v/>
      </c>
      <c r="M58" s="156">
        <f>IFERROR(VLOOKUP(F58&amp;G58,Rush!B:C,2,0),0)</f>
        <v/>
      </c>
      <c r="N58" s="156">
        <f>IFERROR(VLOOKUP(F58&amp;G58,Rec!B:C,2,0),0)</f>
        <v/>
      </c>
      <c r="O58" s="156">
        <f>IFERROR(VLOOKUP(F58&amp;G58,Returns!A:B,2,0),0)</f>
        <v/>
      </c>
      <c r="Q58" s="156" t="inlineStr">
        <is>
          <t>Chris Boswell</t>
        </is>
      </c>
      <c r="R58" s="156" t="inlineStr">
        <is>
          <t>PIT</t>
        </is>
      </c>
      <c r="S58" s="156" t="inlineStr">
        <is>
          <t>K</t>
        </is>
      </c>
    </row>
    <row r="59" hidden="1" ht="15.6" customHeight="1" s="152">
      <c r="A59" s="217" t="n">
        <v>58</v>
      </c>
      <c r="B59" s="218">
        <f>VLOOKUP(G59,Matrix!R:AA,10,0)</f>
        <v/>
      </c>
      <c r="C59" s="156">
        <f>IF(K59&gt;=0.01,K59,IFERROR(VLOOKUP(F59&amp;G59,Pass!B:C,2,0),K59)+SUM(L59:N59))</f>
        <v/>
      </c>
      <c r="D59" s="218">
        <f>_xlfn.IFNA(INDEX('Injury Report'!F:F, MATCH(G59&amp;F59, 'Injury Report'!A:A, 0)), "Healthy")</f>
        <v/>
      </c>
      <c r="E59" s="219">
        <f>VLOOKUP(A59,'QB Depth'!A:G,7,0)-1</f>
        <v/>
      </c>
      <c r="F59" s="218">
        <f>VLOOKUP(A59,'QB Depth'!A:C,3,0)</f>
        <v/>
      </c>
      <c r="G59" s="218">
        <f>VLOOKUP(A59,'QB Depth'!A:B,2,0)</f>
        <v/>
      </c>
      <c r="H59" s="218">
        <f>VLOOKUP(A59,'QB Depth'!A:D,4,0)</f>
        <v/>
      </c>
      <c r="I59" s="218">
        <f>H59&amp;E59</f>
        <v/>
      </c>
      <c r="J59" s="220">
        <f>IF(VLOOKUP(F59,Pass!F:G,2,0)=G59,"OK","Check Team")</f>
        <v/>
      </c>
      <c r="K59" s="156" t="n"/>
      <c r="L59" s="156">
        <f>IFERROR(VLOOKUP(F59&amp;G59,Pass!B:C,2,0),0)</f>
        <v/>
      </c>
      <c r="M59" s="156">
        <f>IFERROR(VLOOKUP(F59&amp;G59,Rush!B:C,2,0),0)</f>
        <v/>
      </c>
      <c r="N59" s="156">
        <f>IFERROR(VLOOKUP(F59&amp;G59,Rec!B:C,2,0),0)</f>
        <v/>
      </c>
      <c r="O59" s="156">
        <f>IFERROR(VLOOKUP(F59&amp;G59,Returns!A:B,2,0),0)</f>
        <v/>
      </c>
      <c r="Q59" s="156" t="inlineStr">
        <is>
          <t>Kendrick Bourne</t>
        </is>
      </c>
      <c r="R59" s="156" t="inlineStr">
        <is>
          <t>NE</t>
        </is>
      </c>
      <c r="S59" s="156" t="inlineStr">
        <is>
          <t>WR</t>
        </is>
      </c>
    </row>
    <row r="60" hidden="1" ht="15.6" customHeight="1" s="152">
      <c r="A60" s="217" t="n">
        <v>59</v>
      </c>
      <c r="B60" s="218">
        <f>VLOOKUP(G60,Matrix!R:AA,10,0)</f>
        <v/>
      </c>
      <c r="C60" s="156">
        <f>IF(K60&gt;=0.01,K60,IFERROR(VLOOKUP(F60&amp;G60,Pass!B:C,2,0),K60)+SUM(L60:N60))</f>
        <v/>
      </c>
      <c r="D60" s="218">
        <f>_xlfn.IFNA(INDEX('Injury Report'!F:F, MATCH(G60&amp;F60, 'Injury Report'!A:A, 0)), "Healthy")</f>
        <v/>
      </c>
      <c r="E60" s="219">
        <f>VLOOKUP(A60,'QB Depth'!A:G,7,0)-1</f>
        <v/>
      </c>
      <c r="F60" s="218">
        <f>VLOOKUP(A60,'QB Depth'!A:C,3,0)</f>
        <v/>
      </c>
      <c r="G60" s="218">
        <f>VLOOKUP(A60,'QB Depth'!A:B,2,0)</f>
        <v/>
      </c>
      <c r="H60" s="218">
        <f>VLOOKUP(A60,'QB Depth'!A:D,4,0)</f>
        <v/>
      </c>
      <c r="I60" s="218">
        <f>H60&amp;E60</f>
        <v/>
      </c>
      <c r="J60" s="220">
        <f>IF(VLOOKUP(F60,Pass!F:G,2,0)=G60,"OK","Check Team")</f>
        <v/>
      </c>
      <c r="K60" s="156" t="n"/>
      <c r="L60" s="156">
        <f>IFERROR(VLOOKUP(F60&amp;G60,Pass!B:C,2,0),0)</f>
        <v/>
      </c>
      <c r="M60" s="156">
        <f>IFERROR(VLOOKUP(F60&amp;G60,Rush!B:C,2,0),0)</f>
        <v/>
      </c>
      <c r="N60" s="156">
        <f>IFERROR(VLOOKUP(F60&amp;G60,Rec!B:C,2,0),0)</f>
        <v/>
      </c>
      <c r="O60" s="156">
        <f>IFERROR(VLOOKUP(F60&amp;G60,Returns!A:B,2,0),0)</f>
        <v/>
      </c>
      <c r="Q60" s="156" t="inlineStr">
        <is>
          <t>Kayshon Boutte</t>
        </is>
      </c>
      <c r="R60" s="156" t="inlineStr">
        <is>
          <t>NE</t>
        </is>
      </c>
      <c r="S60" s="156" t="inlineStr">
        <is>
          <t>WR</t>
        </is>
      </c>
    </row>
    <row r="61" hidden="1" ht="15.6" customHeight="1" s="152">
      <c r="A61" s="217" t="n">
        <v>60</v>
      </c>
      <c r="B61" s="218">
        <f>VLOOKUP(G61,Matrix!R:AA,10,0)</f>
        <v/>
      </c>
      <c r="C61" s="156">
        <f>IF(K61&gt;=0.01,K61,IFERROR(VLOOKUP(F61&amp;G61,Pass!B:C,2,0),K61)+SUM(L61:N61))</f>
        <v/>
      </c>
      <c r="D61" s="218">
        <f>_xlfn.IFNA(INDEX('Injury Report'!F:F, MATCH(G61&amp;F61, 'Injury Report'!A:A, 0)), "Healthy")</f>
        <v/>
      </c>
      <c r="E61" s="219">
        <f>VLOOKUP(A61,'QB Depth'!A:G,7,0)-1</f>
        <v/>
      </c>
      <c r="F61" s="218">
        <f>VLOOKUP(A61,'QB Depth'!A:C,3,0)</f>
        <v/>
      </c>
      <c r="G61" s="218">
        <f>VLOOKUP(A61,'QB Depth'!A:B,2,0)</f>
        <v/>
      </c>
      <c r="H61" s="218">
        <f>VLOOKUP(A61,'QB Depth'!A:D,4,0)</f>
        <v/>
      </c>
      <c r="I61" s="218">
        <f>H61&amp;E61</f>
        <v/>
      </c>
      <c r="J61" s="220">
        <f>IF(VLOOKUP(F61,Pass!F:G,2,0)=G61,"OK","Check Team")</f>
        <v/>
      </c>
      <c r="K61" s="156" t="n"/>
      <c r="L61" s="156">
        <f>IFERROR(VLOOKUP(F61&amp;G61,Pass!B:C,2,0),0)</f>
        <v/>
      </c>
      <c r="M61" s="156">
        <f>IFERROR(VLOOKUP(F61&amp;G61,Rush!B:C,2,0),0)</f>
        <v/>
      </c>
      <c r="N61" s="156">
        <f>IFERROR(VLOOKUP(F61&amp;G61,Rec!B:C,2,0),0)</f>
        <v/>
      </c>
      <c r="O61" s="156">
        <f>IFERROR(VLOOKUP(F61&amp;G61,Returns!A:B,2,0),0)</f>
        <v/>
      </c>
      <c r="Q61" s="156" t="inlineStr">
        <is>
          <t>Brock Bowers</t>
        </is>
      </c>
      <c r="R61" s="156" t="inlineStr">
        <is>
          <t>LV</t>
        </is>
      </c>
      <c r="S61" s="156" t="inlineStr">
        <is>
          <t>TE</t>
        </is>
      </c>
    </row>
    <row r="62" hidden="1" ht="15.6" customHeight="1" s="152">
      <c r="A62" s="217" t="n">
        <v>61</v>
      </c>
      <c r="B62" s="218">
        <f>VLOOKUP(G62,Matrix!R:AA,10,0)</f>
        <v/>
      </c>
      <c r="C62" s="156">
        <f>IF(K62&gt;=0.01,K62,IFERROR(VLOOKUP(F62&amp;G62,Pass!B:C,2,0),K62)+SUM(L62:N62))</f>
        <v/>
      </c>
      <c r="D62" s="218">
        <f>_xlfn.IFNA(INDEX('Injury Report'!F:F, MATCH(G62&amp;F62, 'Injury Report'!A:A, 0)), "Healthy")</f>
        <v/>
      </c>
      <c r="E62" s="219">
        <f>VLOOKUP(A62,'QB Depth'!A:G,7,0)-1</f>
        <v/>
      </c>
      <c r="F62" s="218">
        <f>VLOOKUP(A62,'QB Depth'!A:C,3,0)</f>
        <v/>
      </c>
      <c r="G62" s="218">
        <f>VLOOKUP(A62,'QB Depth'!A:B,2,0)</f>
        <v/>
      </c>
      <c r="H62" s="218">
        <f>VLOOKUP(A62,'QB Depth'!A:D,4,0)</f>
        <v/>
      </c>
      <c r="I62" s="218">
        <f>H62&amp;E62</f>
        <v/>
      </c>
      <c r="J62" s="220">
        <f>IF(VLOOKUP(F62,Pass!F:G,2,0)=G62,"OK","Check Team")</f>
        <v/>
      </c>
      <c r="K62" s="156" t="n"/>
      <c r="L62" s="156">
        <f>IFERROR(VLOOKUP(F62&amp;G62,Pass!B:C,2,0),0)</f>
        <v/>
      </c>
      <c r="M62" s="156">
        <f>IFERROR(VLOOKUP(F62&amp;G62,Rush!B:C,2,0),0)</f>
        <v/>
      </c>
      <c r="N62" s="156">
        <f>IFERROR(VLOOKUP(F62&amp;G62,Rec!B:C,2,0),0)</f>
        <v/>
      </c>
      <c r="O62" s="156">
        <f>IFERROR(VLOOKUP(F62&amp;G62,Returns!A:B,2,0),0)</f>
        <v/>
      </c>
      <c r="Q62" s="156" t="inlineStr">
        <is>
          <t>Tyler Boyd</t>
        </is>
      </c>
      <c r="R62" s="156" t="inlineStr">
        <is>
          <t>TEN</t>
        </is>
      </c>
      <c r="S62" s="156" t="inlineStr">
        <is>
          <t>WR</t>
        </is>
      </c>
    </row>
    <row r="63" hidden="1" ht="15.6" customHeight="1" s="152">
      <c r="A63" s="217" t="n">
        <v>62</v>
      </c>
      <c r="B63" s="218">
        <f>VLOOKUP(G63,Matrix!R:AA,10,0)</f>
        <v/>
      </c>
      <c r="C63" s="156">
        <f>IF(K63&gt;=0.01,K63,IFERROR(VLOOKUP(F63&amp;G63,Pass!B:C,2,0),K63)+SUM(L63:N63))</f>
        <v/>
      </c>
      <c r="D63" s="218">
        <f>_xlfn.IFNA(INDEX('Injury Report'!F:F, MATCH(G63&amp;F63, 'Injury Report'!A:A, 0)), "Healthy")</f>
        <v/>
      </c>
      <c r="E63" s="219">
        <f>VLOOKUP(A63,'QB Depth'!A:G,7,0)-1</f>
        <v/>
      </c>
      <c r="F63" s="218">
        <f>VLOOKUP(A63,'QB Depth'!A:C,3,0)</f>
        <v/>
      </c>
      <c r="G63" s="218">
        <f>VLOOKUP(A63,'QB Depth'!A:B,2,0)</f>
        <v/>
      </c>
      <c r="H63" s="218">
        <f>VLOOKUP(A63,'QB Depth'!A:D,4,0)</f>
        <v/>
      </c>
      <c r="I63" s="218">
        <f>H63&amp;E63</f>
        <v/>
      </c>
      <c r="J63" s="220">
        <f>IF(VLOOKUP(F63,Pass!F:G,2,0)=G63,"OK","Check Team")</f>
        <v/>
      </c>
      <c r="K63" s="156" t="n"/>
      <c r="L63" s="156">
        <f>IFERROR(VLOOKUP(F63&amp;G63,Pass!B:C,2,0),0)</f>
        <v/>
      </c>
      <c r="M63" s="156">
        <f>IFERROR(VLOOKUP(F63&amp;G63,Rush!B:C,2,0),0)</f>
        <v/>
      </c>
      <c r="N63" s="156">
        <f>IFERROR(VLOOKUP(F63&amp;G63,Rec!B:C,2,0),0)</f>
        <v/>
      </c>
      <c r="O63" s="156">
        <f>IFERROR(VLOOKUP(F63&amp;G63,Returns!A:B,2,0),0)</f>
        <v/>
      </c>
      <c r="Q63" s="156" t="inlineStr">
        <is>
          <t>Matt Breida</t>
        </is>
      </c>
      <c r="R63" s="156" t="inlineStr">
        <is>
          <t>FA</t>
        </is>
      </c>
      <c r="S63" s="156" t="inlineStr">
        <is>
          <t>RB</t>
        </is>
      </c>
    </row>
    <row r="64" hidden="1" ht="15.6" customHeight="1" s="152">
      <c r="A64" s="217" t="n">
        <v>63</v>
      </c>
      <c r="B64" s="218">
        <f>VLOOKUP(G64,Matrix!R:AA,10,0)</f>
        <v/>
      </c>
      <c r="C64" s="156">
        <f>IF(K64&gt;=0.01,K64,IFERROR(VLOOKUP(F64&amp;G64,Pass!B:C,2,0),K64)+SUM(L64:N64))</f>
        <v/>
      </c>
      <c r="D64" s="218">
        <f>_xlfn.IFNA(INDEX('Injury Report'!F:F, MATCH(G64&amp;F64, 'Injury Report'!A:A, 0)), "Healthy")</f>
        <v/>
      </c>
      <c r="E64" s="219">
        <f>VLOOKUP(A64,'QB Depth'!A:G,7,0)-1</f>
        <v/>
      </c>
      <c r="F64" s="218">
        <f>VLOOKUP(A64,'QB Depth'!A:C,3,0)</f>
        <v/>
      </c>
      <c r="G64" s="218">
        <f>VLOOKUP(A64,'QB Depth'!A:B,2,0)</f>
        <v/>
      </c>
      <c r="H64" s="218">
        <f>VLOOKUP(A64,'QB Depth'!A:D,4,0)</f>
        <v/>
      </c>
      <c r="I64" s="218">
        <f>H64&amp;E64</f>
        <v/>
      </c>
      <c r="J64" s="220">
        <f>IF(VLOOKUP(F64,Pass!F:G,2,0)=G64,"OK","Check Team")</f>
        <v/>
      </c>
      <c r="K64" s="156" t="n"/>
      <c r="L64" s="156">
        <f>IFERROR(VLOOKUP(F64&amp;G64,Pass!B:C,2,0),0)</f>
        <v/>
      </c>
      <c r="M64" s="156">
        <f>IFERROR(VLOOKUP(F64&amp;G64,Rush!B:C,2,0),0)</f>
        <v/>
      </c>
      <c r="N64" s="156">
        <f>IFERROR(VLOOKUP(F64&amp;G64,Rec!B:C,2,0),0)</f>
        <v/>
      </c>
      <c r="O64" s="156">
        <f>IFERROR(VLOOKUP(F64&amp;G64,Returns!A:B,2,0),0)</f>
        <v/>
      </c>
      <c r="Q64" s="156" t="inlineStr">
        <is>
          <t>Teddy Bridgewater</t>
        </is>
      </c>
      <c r="R64" s="156" t="inlineStr">
        <is>
          <t>DET</t>
        </is>
      </c>
      <c r="S64" s="156" t="inlineStr">
        <is>
          <t>QB</t>
        </is>
      </c>
    </row>
    <row r="65" hidden="1" ht="15.6" customHeight="1" s="152">
      <c r="A65" s="217" t="n">
        <v>64</v>
      </c>
      <c r="B65" s="218">
        <f>VLOOKUP(G65,Matrix!R:AA,10,0)</f>
        <v/>
      </c>
      <c r="C65" s="156">
        <f>IF(K65&gt;=0.01,K65,IFERROR(VLOOKUP(F65&amp;G65,Pass!B:C,2,0),K65)+SUM(L65:N65))</f>
        <v/>
      </c>
      <c r="D65" s="218">
        <f>_xlfn.IFNA(INDEX('Injury Report'!F:F, MATCH(G65&amp;F65, 'Injury Report'!A:A, 0)), "Healthy")</f>
        <v/>
      </c>
      <c r="E65" s="219">
        <f>VLOOKUP(A65,'QB Depth'!A:G,7,0)-1</f>
        <v/>
      </c>
      <c r="F65" s="218">
        <f>VLOOKUP(A65,'QB Depth'!A:C,3,0)</f>
        <v/>
      </c>
      <c r="G65" s="218">
        <f>VLOOKUP(A65,'QB Depth'!A:B,2,0)</f>
        <v/>
      </c>
      <c r="H65" s="218">
        <f>VLOOKUP(A65,'QB Depth'!A:D,4,0)</f>
        <v/>
      </c>
      <c r="I65" s="218">
        <f>H65&amp;E65</f>
        <v/>
      </c>
      <c r="J65" s="220">
        <f>IF(VLOOKUP(F65,Pass!F:G,2,0)=G65,"OK","Check Team")</f>
        <v/>
      </c>
      <c r="K65" s="156" t="n"/>
      <c r="L65" s="156">
        <f>IFERROR(VLOOKUP(F65&amp;G65,Pass!B:C,2,0),0)</f>
        <v/>
      </c>
      <c r="M65" s="156">
        <f>IFERROR(VLOOKUP(F65&amp;G65,Rush!B:C,2,0),0)</f>
        <v/>
      </c>
      <c r="N65" s="156">
        <f>IFERROR(VLOOKUP(F65&amp;G65,Rec!B:C,2,0),0)</f>
        <v/>
      </c>
      <c r="O65" s="156">
        <f>IFERROR(VLOOKUP(F65&amp;G65,Returns!A:B,2,0),0)</f>
        <v/>
      </c>
      <c r="Q65" s="156" t="inlineStr">
        <is>
          <t>Jacoby Brissett</t>
        </is>
      </c>
      <c r="R65" s="156" t="inlineStr">
        <is>
          <t>NE</t>
        </is>
      </c>
      <c r="S65" s="156" t="inlineStr">
        <is>
          <t>QB</t>
        </is>
      </c>
    </row>
    <row r="66" hidden="1" ht="15.6" customHeight="1" s="152">
      <c r="A66" s="217" t="n">
        <v>65</v>
      </c>
      <c r="B66" s="218">
        <f>VLOOKUP(G66,Matrix!R:AA,10,0)</f>
        <v/>
      </c>
      <c r="C66" s="156">
        <f>IF(K66&gt;=0.01,K66,IFERROR(VLOOKUP(F66&amp;G66,Pass!B:C,2,0),K66)+SUM(L66:N66))</f>
        <v/>
      </c>
      <c r="D66" s="218">
        <f>_xlfn.IFNA(INDEX('Injury Report'!F:F, MATCH(G66&amp;F66, 'Injury Report'!A:A, 0)), "Healthy")</f>
        <v/>
      </c>
      <c r="E66" s="219">
        <f>VLOOKUP(A66,'QB Depth'!A:G,7,0)-1</f>
        <v/>
      </c>
      <c r="F66" s="218">
        <f>VLOOKUP(A66,'QB Depth'!A:C,3,0)</f>
        <v/>
      </c>
      <c r="G66" s="218">
        <f>VLOOKUP(A66,'QB Depth'!A:B,2,0)</f>
        <v/>
      </c>
      <c r="H66" s="218">
        <f>VLOOKUP(A66,'QB Depth'!A:D,4,0)</f>
        <v/>
      </c>
      <c r="I66" s="218">
        <f>H66&amp;E66</f>
        <v/>
      </c>
      <c r="J66" s="220">
        <f>IF(VLOOKUP(F66,Pass!F:G,2,0)=G66,"OK","Check Team")</f>
        <v/>
      </c>
      <c r="K66" s="156" t="n"/>
      <c r="L66" s="156">
        <f>IFERROR(VLOOKUP(F66&amp;G66,Pass!B:C,2,0),0)</f>
        <v/>
      </c>
      <c r="M66" s="156">
        <f>IFERROR(VLOOKUP(F66&amp;G66,Rush!B:C,2,0),0)</f>
        <v/>
      </c>
      <c r="N66" s="156">
        <f>IFERROR(VLOOKUP(F66&amp;G66,Rec!B:C,2,0),0)</f>
        <v/>
      </c>
      <c r="O66" s="156">
        <f>IFERROR(VLOOKUP(F66&amp;G66,Returns!A:B,2,0),0)</f>
        <v/>
      </c>
      <c r="Q66" s="156" t="inlineStr">
        <is>
          <t>Chris Brooks</t>
        </is>
      </c>
      <c r="R66" s="156" t="inlineStr">
        <is>
          <t>GB</t>
        </is>
      </c>
      <c r="S66" s="156" t="inlineStr">
        <is>
          <t>RB</t>
        </is>
      </c>
    </row>
    <row r="67" hidden="1" ht="15.6" customHeight="1" s="152">
      <c r="A67" s="217" t="n">
        <v>66</v>
      </c>
      <c r="B67" s="218">
        <f>VLOOKUP(G67,Matrix!R:AA,10,0)</f>
        <v/>
      </c>
      <c r="C67" s="156">
        <f>IF(K67&gt;=0.01,K67,IFERROR(VLOOKUP(F67&amp;G67,Pass!B:C,2,0),K67)+SUM(L67:N67))</f>
        <v/>
      </c>
      <c r="D67" s="218">
        <f>_xlfn.IFNA(INDEX('Injury Report'!F:F, MATCH(G67&amp;F67, 'Injury Report'!A:A, 0)), "Healthy")</f>
        <v/>
      </c>
      <c r="E67" s="219">
        <f>VLOOKUP(A67,'QB Depth'!A:G,7,0)-1</f>
        <v/>
      </c>
      <c r="F67" s="218">
        <f>VLOOKUP(A67,'QB Depth'!A:C,3,0)</f>
        <v/>
      </c>
      <c r="G67" s="218">
        <f>VLOOKUP(A67,'QB Depth'!A:B,2,0)</f>
        <v/>
      </c>
      <c r="H67" s="218">
        <f>VLOOKUP(A67,'QB Depth'!A:D,4,0)</f>
        <v/>
      </c>
      <c r="I67" s="218">
        <f>H67&amp;E67</f>
        <v/>
      </c>
      <c r="J67" s="220">
        <f>IF(VLOOKUP(F67,Pass!F:G,2,0)=G67,"OK","Check Team")</f>
        <v/>
      </c>
      <c r="K67" s="156" t="n"/>
      <c r="L67" s="156">
        <f>IFERROR(VLOOKUP(F67&amp;G67,Pass!B:C,2,0),0)</f>
        <v/>
      </c>
      <c r="M67" s="156">
        <f>IFERROR(VLOOKUP(F67&amp;G67,Rush!B:C,2,0),0)</f>
        <v/>
      </c>
      <c r="N67" s="156">
        <f>IFERROR(VLOOKUP(F67&amp;G67,Rec!B:C,2,0),0)</f>
        <v/>
      </c>
      <c r="O67" s="156">
        <f>IFERROR(VLOOKUP(F67&amp;G67,Returns!A:B,2,0),0)</f>
        <v/>
      </c>
      <c r="Q67" s="156" t="inlineStr">
        <is>
          <t>Jalen Brooks</t>
        </is>
      </c>
      <c r="R67" s="156" t="inlineStr">
        <is>
          <t>DAL</t>
        </is>
      </c>
      <c r="S67" s="156" t="inlineStr">
        <is>
          <t>WR</t>
        </is>
      </c>
    </row>
    <row r="68" hidden="1" ht="15.6" customHeight="1" s="152">
      <c r="A68" s="217" t="n">
        <v>67</v>
      </c>
      <c r="B68" s="218">
        <f>VLOOKUP(G68,Matrix!R:AA,10,0)</f>
        <v/>
      </c>
      <c r="C68" s="156">
        <f>IF(K68&gt;=0.01,K68,IFERROR(VLOOKUP(F68&amp;G68,Pass!B:C,2,0),K68)+SUM(L68:N68))</f>
        <v/>
      </c>
      <c r="D68" s="218">
        <f>_xlfn.IFNA(INDEX('Injury Report'!F:F, MATCH(G68&amp;F68, 'Injury Report'!A:A, 0)), "Healthy")</f>
        <v/>
      </c>
      <c r="E68" s="219">
        <f>VLOOKUP(A68,'QB Depth'!A:G,7,0)-1</f>
        <v/>
      </c>
      <c r="F68" s="218">
        <f>VLOOKUP(A68,'QB Depth'!A:C,3,0)</f>
        <v/>
      </c>
      <c r="G68" s="218">
        <f>VLOOKUP(A68,'QB Depth'!A:B,2,0)</f>
        <v/>
      </c>
      <c r="H68" s="218">
        <f>VLOOKUP(A68,'QB Depth'!A:D,4,0)</f>
        <v/>
      </c>
      <c r="I68" s="218">
        <f>H68&amp;E68</f>
        <v/>
      </c>
      <c r="J68" s="220">
        <f>IF(VLOOKUP(F68,Pass!F:G,2,0)=G68,"OK","Check Team")</f>
        <v/>
      </c>
      <c r="K68" s="156" t="n"/>
      <c r="L68" s="156">
        <f>IFERROR(VLOOKUP(F68&amp;G68,Pass!B:C,2,0),0)</f>
        <v/>
      </c>
      <c r="M68" s="156">
        <f>IFERROR(VLOOKUP(F68&amp;G68,Rush!B:C,2,0),0)</f>
        <v/>
      </c>
      <c r="N68" s="156">
        <f>IFERROR(VLOOKUP(F68&amp;G68,Rec!B:C,2,0),0)</f>
        <v/>
      </c>
      <c r="O68" s="156">
        <f>IFERROR(VLOOKUP(F68&amp;G68,Returns!A:B,2,0),0)</f>
        <v/>
      </c>
      <c r="Q68" s="156" t="inlineStr">
        <is>
          <t>Jonathon Brooks</t>
        </is>
      </c>
      <c r="R68" s="156" t="inlineStr">
        <is>
          <t>CAR</t>
        </is>
      </c>
      <c r="S68" s="156" t="inlineStr">
        <is>
          <t>RB</t>
        </is>
      </c>
    </row>
    <row r="69" hidden="1" ht="15.6" customHeight="1" s="152">
      <c r="A69" s="217" t="n">
        <v>68</v>
      </c>
      <c r="B69" s="218">
        <f>VLOOKUP(G69,Matrix!R:AA,10,0)</f>
        <v/>
      </c>
      <c r="C69" s="156">
        <f>IF(K69&gt;=0.01,K69,IFERROR(VLOOKUP(F69&amp;G69,Pass!B:C,2,0),K69)+SUM(L69:N69))</f>
        <v/>
      </c>
      <c r="D69" s="218">
        <f>_xlfn.IFNA(INDEX('Injury Report'!F:F, MATCH(G69&amp;F69, 'Injury Report'!A:A, 0)), "Healthy")</f>
        <v/>
      </c>
      <c r="E69" s="219">
        <f>VLOOKUP(A69,'QB Depth'!A:G,7,0)-1</f>
        <v/>
      </c>
      <c r="F69" s="218">
        <f>VLOOKUP(A69,'QB Depth'!A:C,3,0)</f>
        <v/>
      </c>
      <c r="G69" s="218">
        <f>VLOOKUP(A69,'QB Depth'!A:B,2,0)</f>
        <v/>
      </c>
      <c r="H69" s="218">
        <f>VLOOKUP(A69,'QB Depth'!A:D,4,0)</f>
        <v/>
      </c>
      <c r="I69" s="218">
        <f>H69&amp;E69</f>
        <v/>
      </c>
      <c r="J69" s="220">
        <f>IF(VLOOKUP(F69,Pass!F:G,2,0)=G69,"OK","Check Team")</f>
        <v/>
      </c>
      <c r="K69" s="156" t="n"/>
      <c r="L69" s="156">
        <f>IFERROR(VLOOKUP(F69&amp;G69,Pass!B:C,2,0),0)</f>
        <v/>
      </c>
      <c r="M69" s="156">
        <f>IFERROR(VLOOKUP(F69&amp;G69,Rush!B:C,2,0),0)</f>
        <v/>
      </c>
      <c r="N69" s="156">
        <f>IFERROR(VLOOKUP(F69&amp;G69,Rec!B:C,2,0),0)</f>
        <v/>
      </c>
      <c r="O69" s="156">
        <f>IFERROR(VLOOKUP(F69&amp;G69,Returns!A:B,2,0),0)</f>
        <v/>
      </c>
      <c r="Q69" s="156" t="inlineStr">
        <is>
          <t>Tanner Brown</t>
        </is>
      </c>
      <c r="R69" s="156" t="inlineStr">
        <is>
          <t>FA</t>
        </is>
      </c>
      <c r="S69" s="156" t="inlineStr">
        <is>
          <t>K</t>
        </is>
      </c>
    </row>
    <row r="70" hidden="1" ht="15.6" customHeight="1" s="152">
      <c r="A70" s="217" t="n">
        <v>69</v>
      </c>
      <c r="B70" s="218">
        <f>VLOOKUP(G70,Matrix!R:AA,10,0)</f>
        <v/>
      </c>
      <c r="C70" s="156">
        <f>IF(K70&gt;=0.01,K70,IFERROR(VLOOKUP(F70&amp;G70,Pass!B:C,2,0),K70)+SUM(L70:N70))</f>
        <v/>
      </c>
      <c r="D70" s="218">
        <f>_xlfn.IFNA(INDEX('Injury Report'!F:F, MATCH(G70&amp;F70, 'Injury Report'!A:A, 0)), "Healthy")</f>
        <v/>
      </c>
      <c r="E70" s="219">
        <f>VLOOKUP(A70,'QB Depth'!A:G,7,0)-1</f>
        <v/>
      </c>
      <c r="F70" s="218">
        <f>VLOOKUP(A70,'QB Depth'!A:C,3,0)</f>
        <v/>
      </c>
      <c r="G70" s="218">
        <f>VLOOKUP(A70,'QB Depth'!A:B,2,0)</f>
        <v/>
      </c>
      <c r="H70" s="218">
        <f>VLOOKUP(A70,'QB Depth'!A:D,4,0)</f>
        <v/>
      </c>
      <c r="I70" s="218">
        <f>H70&amp;E70</f>
        <v/>
      </c>
      <c r="J70" s="220">
        <f>IF(VLOOKUP(F70,Pass!F:G,2,0)=G70,"OK","Check Team")</f>
        <v/>
      </c>
      <c r="K70" s="156" t="n"/>
      <c r="L70" s="156">
        <f>IFERROR(VLOOKUP(F70&amp;G70,Pass!B:C,2,0),0)</f>
        <v/>
      </c>
      <c r="M70" s="156">
        <f>IFERROR(VLOOKUP(F70&amp;G70,Rush!B:C,2,0),0)</f>
        <v/>
      </c>
      <c r="N70" s="156">
        <f>IFERROR(VLOOKUP(F70&amp;G70,Rec!B:C,2,0),0)</f>
        <v/>
      </c>
      <c r="O70" s="156">
        <f>IFERROR(VLOOKUP(F70&amp;G70,Returns!A:B,2,0),0)</f>
        <v/>
      </c>
      <c r="Q70" s="156" t="inlineStr">
        <is>
          <t>Chase Brown</t>
        </is>
      </c>
      <c r="R70" s="156" t="inlineStr">
        <is>
          <t>CIN</t>
        </is>
      </c>
      <c r="S70" s="156" t="inlineStr">
        <is>
          <t>RB</t>
        </is>
      </c>
    </row>
    <row r="71" hidden="1" ht="15.6" customHeight="1" s="152">
      <c r="A71" s="217" t="n">
        <v>70</v>
      </c>
      <c r="B71" s="218">
        <f>VLOOKUP(G71,Matrix!R:AA,10,0)</f>
        <v/>
      </c>
      <c r="C71" s="156">
        <f>IF(K71&gt;=0.01,K71,IFERROR(VLOOKUP(F71&amp;G71,Pass!B:C,2,0),K71)+SUM(L71:N71))</f>
        <v/>
      </c>
      <c r="D71" s="218">
        <f>_xlfn.IFNA(INDEX('Injury Report'!F:F, MATCH(G71&amp;F71, 'Injury Report'!A:A, 0)), "Healthy")</f>
        <v/>
      </c>
      <c r="E71" s="219">
        <f>VLOOKUP(A71,'QB Depth'!A:G,7,0)-1</f>
        <v/>
      </c>
      <c r="F71" s="218">
        <f>VLOOKUP(A71,'QB Depth'!A:C,3,0)</f>
        <v/>
      </c>
      <c r="G71" s="218">
        <f>VLOOKUP(A71,'QB Depth'!A:B,2,0)</f>
        <v/>
      </c>
      <c r="H71" s="218">
        <f>VLOOKUP(A71,'QB Depth'!A:D,4,0)</f>
        <v/>
      </c>
      <c r="I71" s="218">
        <f>H71&amp;E71</f>
        <v/>
      </c>
      <c r="J71" s="220">
        <f>IF(VLOOKUP(F71,Pass!F:G,2,0)=G71,"OK","Check Team")</f>
        <v/>
      </c>
      <c r="K71" s="156" t="n"/>
      <c r="L71" s="156">
        <f>IFERROR(VLOOKUP(F71&amp;G71,Pass!B:C,2,0),0)</f>
        <v/>
      </c>
      <c r="M71" s="156">
        <f>IFERROR(VLOOKUP(F71&amp;G71,Rush!B:C,2,0),0)</f>
        <v/>
      </c>
      <c r="N71" s="156">
        <f>IFERROR(VLOOKUP(F71&amp;G71,Rec!B:C,2,0),0)</f>
        <v/>
      </c>
      <c r="O71" s="156">
        <f>IFERROR(VLOOKUP(F71&amp;G71,Returns!A:B,2,0),0)</f>
        <v/>
      </c>
      <c r="Q71" s="156" t="inlineStr">
        <is>
          <t>Dyami Brown</t>
        </is>
      </c>
      <c r="R71" s="156" t="inlineStr">
        <is>
          <t>WAS</t>
        </is>
      </c>
      <c r="S71" s="156" t="inlineStr">
        <is>
          <t>WR</t>
        </is>
      </c>
    </row>
    <row r="72" hidden="1" ht="15.6" customHeight="1" s="152">
      <c r="A72" s="217" t="n">
        <v>71</v>
      </c>
      <c r="B72" s="218">
        <f>VLOOKUP(G72,Matrix!R:AA,10,0)</f>
        <v/>
      </c>
      <c r="C72" s="156">
        <f>IF(K72&gt;=0.01,K72,IFERROR(VLOOKUP(F72&amp;G72,Pass!B:C,2,0),K72)+SUM(L72:N72))</f>
        <v/>
      </c>
      <c r="D72" s="218">
        <f>_xlfn.IFNA(INDEX('Injury Report'!F:F, MATCH(G72&amp;F72, 'Injury Report'!A:A, 0)), "Healthy")</f>
        <v/>
      </c>
      <c r="E72" s="219">
        <f>VLOOKUP(A72,'QB Depth'!A:G,7,0)-1</f>
        <v/>
      </c>
      <c r="F72" s="218">
        <f>VLOOKUP(A72,'QB Depth'!A:C,3,0)</f>
        <v/>
      </c>
      <c r="G72" s="218">
        <f>VLOOKUP(A72,'QB Depth'!A:B,2,0)</f>
        <v/>
      </c>
      <c r="H72" s="218">
        <f>VLOOKUP(A72,'QB Depth'!A:D,4,0)</f>
        <v/>
      </c>
      <c r="I72" s="218">
        <f>H72&amp;E72</f>
        <v/>
      </c>
      <c r="J72" s="220">
        <f>IF(VLOOKUP(F72,Pass!F:G,2,0)=G72,"OK","Check Team")</f>
        <v/>
      </c>
      <c r="K72" s="156" t="n"/>
      <c r="L72" s="156">
        <f>IFERROR(VLOOKUP(F72&amp;G72,Pass!B:C,2,0),0)</f>
        <v/>
      </c>
      <c r="M72" s="156">
        <f>IFERROR(VLOOKUP(F72&amp;G72,Rush!B:C,2,0),0)</f>
        <v/>
      </c>
      <c r="N72" s="156">
        <f>IFERROR(VLOOKUP(F72&amp;G72,Rec!B:C,2,0),0)</f>
        <v/>
      </c>
      <c r="O72" s="156">
        <f>IFERROR(VLOOKUP(F72&amp;G72,Returns!A:B,2,0),0)</f>
        <v/>
      </c>
      <c r="Q72" s="156" t="inlineStr">
        <is>
          <t>Pharaoh Brown</t>
        </is>
      </c>
      <c r="R72" s="156" t="inlineStr">
        <is>
          <t>SEA</t>
        </is>
      </c>
      <c r="S72" s="156" t="inlineStr">
        <is>
          <t>TE</t>
        </is>
      </c>
    </row>
    <row r="73" hidden="1" ht="15.6" customHeight="1" s="152">
      <c r="A73" s="217" t="n">
        <v>72</v>
      </c>
      <c r="B73" s="218">
        <f>VLOOKUP(G73,Matrix!R:AA,10,0)</f>
        <v/>
      </c>
      <c r="C73" s="156">
        <f>IF(K73&gt;=0.01,K73,IFERROR(VLOOKUP(F73&amp;G73,Pass!B:C,2,0),K73)+SUM(L73:N73))</f>
        <v/>
      </c>
      <c r="D73" s="218">
        <f>_xlfn.IFNA(INDEX('Injury Report'!F:F, MATCH(G73&amp;F73, 'Injury Report'!A:A, 0)), "Healthy")</f>
        <v/>
      </c>
      <c r="E73" s="219">
        <f>VLOOKUP(A73,'QB Depth'!A:G,7,0)-1</f>
        <v/>
      </c>
      <c r="F73" s="218">
        <f>VLOOKUP(A73,'QB Depth'!A:C,3,0)</f>
        <v/>
      </c>
      <c r="G73" s="218">
        <f>VLOOKUP(A73,'QB Depth'!A:B,2,0)</f>
        <v/>
      </c>
      <c r="H73" s="218">
        <f>VLOOKUP(A73,'QB Depth'!A:D,4,0)</f>
        <v/>
      </c>
      <c r="I73" s="218">
        <f>H73&amp;E73</f>
        <v/>
      </c>
      <c r="J73" s="220">
        <f>IF(VLOOKUP(F73,Pass!F:G,2,0)=G73,"OK","Check Team")</f>
        <v/>
      </c>
      <c r="K73" s="156" t="n"/>
      <c r="L73" s="156">
        <f>IFERROR(VLOOKUP(F73&amp;G73,Pass!B:C,2,0),0)</f>
        <v/>
      </c>
      <c r="M73" s="156">
        <f>IFERROR(VLOOKUP(F73&amp;G73,Rush!B:C,2,0),0)</f>
        <v/>
      </c>
      <c r="N73" s="156">
        <f>IFERROR(VLOOKUP(F73&amp;G73,Rec!B:C,2,0),0)</f>
        <v/>
      </c>
      <c r="O73" s="156">
        <f>IFERROR(VLOOKUP(F73&amp;G73,Returns!A:B,2,0),0)</f>
        <v/>
      </c>
      <c r="Q73" s="156" t="inlineStr">
        <is>
          <t>Noah Brown</t>
        </is>
      </c>
      <c r="R73" s="156" t="inlineStr">
        <is>
          <t>WAS</t>
        </is>
      </c>
      <c r="S73" s="156" t="inlineStr">
        <is>
          <t>WR</t>
        </is>
      </c>
    </row>
    <row r="74" hidden="1" ht="15.6" customHeight="1" s="152">
      <c r="A74" s="217" t="n">
        <v>73</v>
      </c>
      <c r="B74" s="218">
        <f>VLOOKUP(G74,Matrix!R:AA,10,0)</f>
        <v/>
      </c>
      <c r="C74" s="156">
        <f>IF(K74&gt;=0.01,K74,IFERROR(VLOOKUP(F74&amp;G74,Pass!B:C,2,0),K74)+SUM(L74:N74))</f>
        <v/>
      </c>
      <c r="D74" s="218">
        <f>_xlfn.IFNA(INDEX('Injury Report'!F:F, MATCH(G74&amp;F74, 'Injury Report'!A:A, 0)), "Healthy")</f>
        <v/>
      </c>
      <c r="E74" s="219">
        <f>VLOOKUP(A74,'QB Depth'!A:G,7,0)-1</f>
        <v/>
      </c>
      <c r="F74" s="218">
        <f>VLOOKUP(A74,'QB Depth'!A:C,3,0)</f>
        <v/>
      </c>
      <c r="G74" s="218">
        <f>VLOOKUP(A74,'QB Depth'!A:B,2,0)</f>
        <v/>
      </c>
      <c r="H74" s="218">
        <f>VLOOKUP(A74,'QB Depth'!A:D,4,0)</f>
        <v/>
      </c>
      <c r="I74" s="218">
        <f>H74&amp;E74</f>
        <v/>
      </c>
      <c r="J74" s="220">
        <f>IF(VLOOKUP(F74,Pass!F:G,2,0)=G74,"OK","Check Team")</f>
        <v/>
      </c>
      <c r="K74" s="156" t="n"/>
      <c r="L74" s="156">
        <f>IFERROR(VLOOKUP(F74&amp;G74,Pass!B:C,2,0),0)</f>
        <v/>
      </c>
      <c r="M74" s="156">
        <f>IFERROR(VLOOKUP(F74&amp;G74,Rush!B:C,2,0),0)</f>
        <v/>
      </c>
      <c r="N74" s="156">
        <f>IFERROR(VLOOKUP(F74&amp;G74,Rec!B:C,2,0),0)</f>
        <v/>
      </c>
      <c r="O74" s="156">
        <f>IFERROR(VLOOKUP(F74&amp;G74,Returns!A:B,2,0),0)</f>
        <v/>
      </c>
      <c r="Q74" s="156" t="inlineStr">
        <is>
          <t>A.J. Brown</t>
        </is>
      </c>
      <c r="R74" s="156" t="inlineStr">
        <is>
          <t>PHI</t>
        </is>
      </c>
      <c r="S74" s="156" t="inlineStr">
        <is>
          <t>WR</t>
        </is>
      </c>
    </row>
    <row r="75" hidden="1" ht="15.6" customHeight="1" s="152">
      <c r="A75" s="217" t="n">
        <v>74</v>
      </c>
      <c r="B75" s="218">
        <f>VLOOKUP(G75,Matrix!R:AA,10,0)</f>
        <v/>
      </c>
      <c r="C75" s="156">
        <f>IF(K75&gt;=0.01,K75,IFERROR(VLOOKUP(F75&amp;G75,Pass!B:C,2,0),K75)+SUM(L75:N75))</f>
        <v/>
      </c>
      <c r="D75" s="218">
        <f>_xlfn.IFNA(INDEX('Injury Report'!F:F, MATCH(G75&amp;F75, 'Injury Report'!A:A, 0)), "Healthy")</f>
        <v/>
      </c>
      <c r="E75" s="219">
        <f>VLOOKUP(A75,'QB Depth'!A:G,7,0)-1</f>
        <v/>
      </c>
      <c r="F75" s="218">
        <f>VLOOKUP(A75,'QB Depth'!A:C,3,0)</f>
        <v/>
      </c>
      <c r="G75" s="218">
        <f>VLOOKUP(A75,'QB Depth'!A:B,2,0)</f>
        <v/>
      </c>
      <c r="H75" s="218">
        <f>VLOOKUP(A75,'QB Depth'!A:D,4,0)</f>
        <v/>
      </c>
      <c r="I75" s="218">
        <f>H75&amp;E75</f>
        <v/>
      </c>
      <c r="J75" s="220">
        <f>IF(VLOOKUP(F75,Pass!F:G,2,0)=G75,"OK","Check Team")</f>
        <v/>
      </c>
      <c r="K75" s="156" t="n"/>
      <c r="L75" s="156">
        <f>IFERROR(VLOOKUP(F75&amp;G75,Pass!B:C,2,0),0)</f>
        <v/>
      </c>
      <c r="M75" s="156">
        <f>IFERROR(VLOOKUP(F75&amp;G75,Rush!B:C,2,0),0)</f>
        <v/>
      </c>
      <c r="N75" s="156">
        <f>IFERROR(VLOOKUP(F75&amp;G75,Rec!B:C,2,0),0)</f>
        <v/>
      </c>
      <c r="O75" s="156">
        <f>IFERROR(VLOOKUP(F75&amp;G75,Returns!A:B,2,0),0)</f>
        <v/>
      </c>
      <c r="Q75" s="156" t="inlineStr">
        <is>
          <t>Marquise Brown</t>
        </is>
      </c>
      <c r="R75" s="156" t="inlineStr">
        <is>
          <t>KC</t>
        </is>
      </c>
      <c r="S75" s="156" t="inlineStr">
        <is>
          <t>WR</t>
        </is>
      </c>
    </row>
    <row r="76" hidden="1" ht="15.6" customHeight="1" s="152">
      <c r="A76" s="217" t="n">
        <v>75</v>
      </c>
      <c r="B76" s="218">
        <f>VLOOKUP(G76,Matrix!R:AA,10,0)</f>
        <v/>
      </c>
      <c r="C76" s="156">
        <f>IF(K76&gt;=0.01,K76,IFERROR(VLOOKUP(F76&amp;G76,Pass!B:C,2,0),K76)+SUM(L76:N76))</f>
        <v/>
      </c>
      <c r="D76" s="218">
        <f>_xlfn.IFNA(INDEX('Injury Report'!F:F, MATCH(G76&amp;F76, 'Injury Report'!A:A, 0)), "Healthy")</f>
        <v/>
      </c>
      <c r="E76" s="219">
        <f>VLOOKUP(A76,'QB Depth'!A:G,7,0)-1</f>
        <v/>
      </c>
      <c r="F76" s="218">
        <f>VLOOKUP(A76,'QB Depth'!A:C,3,0)</f>
        <v/>
      </c>
      <c r="G76" s="218">
        <f>VLOOKUP(A76,'QB Depth'!A:B,2,0)</f>
        <v/>
      </c>
      <c r="H76" s="218">
        <f>VLOOKUP(A76,'QB Depth'!A:D,4,0)</f>
        <v/>
      </c>
      <c r="I76" s="218">
        <f>H76&amp;E76</f>
        <v/>
      </c>
      <c r="J76" s="220">
        <f>IF(VLOOKUP(F76,Pass!F:G,2,0)=G76,"OK","Check Team")</f>
        <v/>
      </c>
      <c r="K76" s="156" t="n"/>
      <c r="L76" s="156">
        <f>IFERROR(VLOOKUP(F76&amp;G76,Pass!B:C,2,0),0)</f>
        <v/>
      </c>
      <c r="M76" s="156">
        <f>IFERROR(VLOOKUP(F76&amp;G76,Rush!B:C,2,0),0)</f>
        <v/>
      </c>
      <c r="N76" s="156">
        <f>IFERROR(VLOOKUP(F76&amp;G76,Rec!B:C,2,0),0)</f>
        <v/>
      </c>
      <c r="O76" s="156">
        <f>IFERROR(VLOOKUP(F76&amp;G76,Returns!A:B,2,0),0)</f>
        <v/>
      </c>
      <c r="Q76" s="156" t="inlineStr">
        <is>
          <t>Jake Browning</t>
        </is>
      </c>
      <c r="R76" s="156" t="inlineStr">
        <is>
          <t>CIN</t>
        </is>
      </c>
      <c r="S76" s="156" t="inlineStr">
        <is>
          <t>QB</t>
        </is>
      </c>
    </row>
    <row r="77" hidden="1" ht="15.6" customHeight="1" s="152">
      <c r="A77" s="217" t="n">
        <v>76</v>
      </c>
      <c r="B77" s="218">
        <f>VLOOKUP(G77,Matrix!R:AA,10,0)</f>
        <v/>
      </c>
      <c r="C77" s="156">
        <f>IF(K77&gt;=0.01,K77,IFERROR(VLOOKUP(F77&amp;G77,Pass!B:C,2,0),K77)+SUM(L77:N77))</f>
        <v/>
      </c>
      <c r="D77" s="218">
        <f>_xlfn.IFNA(INDEX('Injury Report'!F:F, MATCH(G77&amp;F77, 'Injury Report'!A:A, 0)), "Healthy")</f>
        <v/>
      </c>
      <c r="E77" s="219">
        <f>VLOOKUP(A77,'QB Depth'!A:G,7,0)-1</f>
        <v/>
      </c>
      <c r="F77" s="218">
        <f>VLOOKUP(A77,'QB Depth'!A:C,3,0)</f>
        <v/>
      </c>
      <c r="G77" s="218">
        <f>VLOOKUP(A77,'QB Depth'!A:B,2,0)</f>
        <v/>
      </c>
      <c r="H77" s="218">
        <f>VLOOKUP(A77,'QB Depth'!A:D,4,0)</f>
        <v/>
      </c>
      <c r="I77" s="218">
        <f>H77&amp;E77</f>
        <v/>
      </c>
      <c r="J77" s="220">
        <f>IF(VLOOKUP(F77,Pass!F:G,2,0)=G77,"OK","Check Team")</f>
        <v/>
      </c>
      <c r="K77" s="156" t="n"/>
      <c r="L77" s="156">
        <f>IFERROR(VLOOKUP(F77&amp;G77,Pass!B:C,2,0),0)</f>
        <v/>
      </c>
      <c r="M77" s="156">
        <f>IFERROR(VLOOKUP(F77&amp;G77,Rush!B:C,2,0),0)</f>
        <v/>
      </c>
      <c r="N77" s="156">
        <f>IFERROR(VLOOKUP(F77&amp;G77,Rec!B:C,2,0),0)</f>
        <v/>
      </c>
      <c r="O77" s="156">
        <f>IFERROR(VLOOKUP(F77&amp;G77,Returns!A:B,2,0),0)</f>
        <v/>
      </c>
      <c r="Q77" s="156" t="inlineStr">
        <is>
          <t>Jason Brownlee</t>
        </is>
      </c>
      <c r="R77" s="156" t="inlineStr">
        <is>
          <t>FA</t>
        </is>
      </c>
      <c r="S77" s="156" t="inlineStr">
        <is>
          <t>WR</t>
        </is>
      </c>
    </row>
    <row r="78" hidden="1" ht="15.6" customHeight="1" s="152">
      <c r="A78" s="217" t="n">
        <v>77</v>
      </c>
      <c r="B78" s="218">
        <f>VLOOKUP(G78,Matrix!R:AA,10,0)</f>
        <v/>
      </c>
      <c r="C78" s="156">
        <f>IF(K78&gt;=0.01,K78,IFERROR(VLOOKUP(F78&amp;G78,Pass!B:C,2,0),K78)+SUM(L78:N78))</f>
        <v/>
      </c>
      <c r="D78" s="218">
        <f>_xlfn.IFNA(INDEX('Injury Report'!F:F, MATCH(G78&amp;F78, 'Injury Report'!A:A, 0)), "Healthy")</f>
        <v/>
      </c>
      <c r="E78" s="219">
        <f>VLOOKUP(A78,'QB Depth'!A:G,7,0)-1</f>
        <v/>
      </c>
      <c r="F78" s="218">
        <f>VLOOKUP(A78,'QB Depth'!A:C,3,0)</f>
        <v/>
      </c>
      <c r="G78" s="218">
        <f>VLOOKUP(A78,'QB Depth'!A:B,2,0)</f>
        <v/>
      </c>
      <c r="H78" s="218">
        <f>VLOOKUP(A78,'QB Depth'!A:D,4,0)</f>
        <v/>
      </c>
      <c r="I78" s="218">
        <f>H78&amp;E78</f>
        <v/>
      </c>
      <c r="J78" s="220">
        <f>IF(VLOOKUP(F78,Pass!F:G,2,0)=G78,"OK","Check Team")</f>
        <v/>
      </c>
      <c r="K78" s="156" t="n"/>
      <c r="L78" s="156">
        <f>IFERROR(VLOOKUP(F78&amp;G78,Pass!B:C,2,0),0)</f>
        <v/>
      </c>
      <c r="M78" s="156">
        <f>IFERROR(VLOOKUP(F78&amp;G78,Rush!B:C,2,0),0)</f>
        <v/>
      </c>
      <c r="N78" s="156">
        <f>IFERROR(VLOOKUP(F78&amp;G78,Rec!B:C,2,0),0)</f>
        <v/>
      </c>
      <c r="O78" s="156">
        <f>IFERROR(VLOOKUP(F78&amp;G78,Returns!A:B,2,0),0)</f>
        <v/>
      </c>
      <c r="Q78" s="156" t="inlineStr">
        <is>
          <t>Harrison Bryant</t>
        </is>
      </c>
      <c r="R78" s="156" t="inlineStr">
        <is>
          <t>LV</t>
        </is>
      </c>
      <c r="S78" s="156" t="inlineStr">
        <is>
          <t>TE</t>
        </is>
      </c>
    </row>
    <row r="79" hidden="1" ht="15.6" customHeight="1" s="152">
      <c r="A79" s="217" t="n">
        <v>78</v>
      </c>
      <c r="B79" s="218">
        <f>VLOOKUP(G79,Matrix!R:AA,10,0)</f>
        <v/>
      </c>
      <c r="C79" s="156">
        <f>IF(K79&gt;=0.01,K79,IFERROR(VLOOKUP(F79&amp;G79,Pass!B:C,2,0),K79)+SUM(L79:N79))</f>
        <v/>
      </c>
      <c r="D79" s="218">
        <f>_xlfn.IFNA(INDEX('Injury Report'!F:F, MATCH(G79&amp;F79, 'Injury Report'!A:A, 0)), "Healthy")</f>
        <v/>
      </c>
      <c r="E79" s="219">
        <f>VLOOKUP(A79,'QB Depth'!A:G,7,0)-1</f>
        <v/>
      </c>
      <c r="F79" s="218">
        <f>VLOOKUP(A79,'QB Depth'!A:C,3,0)</f>
        <v/>
      </c>
      <c r="G79" s="218">
        <f>VLOOKUP(A79,'QB Depth'!A:B,2,0)</f>
        <v/>
      </c>
      <c r="H79" s="218">
        <f>VLOOKUP(A79,'QB Depth'!A:D,4,0)</f>
        <v/>
      </c>
      <c r="I79" s="218">
        <f>H79&amp;E79</f>
        <v/>
      </c>
      <c r="J79" s="220">
        <f>IF(VLOOKUP(F79,Pass!F:G,2,0)=G79,"OK","Check Team")</f>
        <v/>
      </c>
      <c r="K79" s="156" t="n"/>
      <c r="L79" s="156">
        <f>IFERROR(VLOOKUP(F79&amp;G79,Pass!B:C,2,0),0)</f>
        <v/>
      </c>
      <c r="M79" s="156">
        <f>IFERROR(VLOOKUP(F79&amp;G79,Rush!B:C,2,0),0)</f>
        <v/>
      </c>
      <c r="N79" s="156">
        <f>IFERROR(VLOOKUP(F79&amp;G79,Rec!B:C,2,0),0)</f>
        <v/>
      </c>
      <c r="O79" s="156">
        <f>IFERROR(VLOOKUP(F79&amp;G79,Returns!A:B,2,0),0)</f>
        <v/>
      </c>
      <c r="Q79" s="156" t="inlineStr">
        <is>
          <t>Randy Bullock</t>
        </is>
      </c>
      <c r="R79" s="156" t="inlineStr">
        <is>
          <t>FA</t>
        </is>
      </c>
      <c r="S79" s="156" t="inlineStr">
        <is>
          <t>K</t>
        </is>
      </c>
    </row>
    <row r="80" hidden="1" ht="15.6" customHeight="1" s="152">
      <c r="A80" s="217" t="n">
        <v>79</v>
      </c>
      <c r="B80" s="218">
        <f>VLOOKUP(G80,Matrix!R:AA,10,0)</f>
        <v/>
      </c>
      <c r="C80" s="156">
        <f>IF(K80&gt;=0.01,K80,IFERROR(VLOOKUP(F80&amp;G80,Pass!B:C,2,0),K80)+SUM(L80:N80))</f>
        <v/>
      </c>
      <c r="D80" s="218">
        <f>_xlfn.IFNA(INDEX('Injury Report'!F:F, MATCH(G80&amp;F80, 'Injury Report'!A:A, 0)), "Healthy")</f>
        <v/>
      </c>
      <c r="E80" s="219">
        <f>VLOOKUP(A80,'QB Depth'!A:G,7,0)-1</f>
        <v/>
      </c>
      <c r="F80" s="218">
        <f>VLOOKUP(A80,'QB Depth'!A:C,3,0)</f>
        <v/>
      </c>
      <c r="G80" s="218">
        <f>VLOOKUP(A80,'QB Depth'!A:B,2,0)</f>
        <v/>
      </c>
      <c r="H80" s="218">
        <f>VLOOKUP(A80,'QB Depth'!A:D,4,0)</f>
        <v/>
      </c>
      <c r="I80" s="218">
        <f>H80&amp;E80</f>
        <v/>
      </c>
      <c r="J80" s="220">
        <f>IF(VLOOKUP(F80,Pass!F:G,2,0)=G80,"OK","Check Team")</f>
        <v/>
      </c>
      <c r="K80" s="156" t="n"/>
      <c r="L80" s="156">
        <f>IFERROR(VLOOKUP(F80&amp;G80,Pass!B:C,2,0),0)</f>
        <v/>
      </c>
      <c r="M80" s="156">
        <f>IFERROR(VLOOKUP(F80&amp;G80,Rush!B:C,2,0),0)</f>
        <v/>
      </c>
      <c r="N80" s="156">
        <f>IFERROR(VLOOKUP(F80&amp;G80,Rec!B:C,2,0),0)</f>
        <v/>
      </c>
      <c r="O80" s="156">
        <f>IFERROR(VLOOKUP(F80&amp;G80,Returns!A:B,2,0),0)</f>
        <v/>
      </c>
      <c r="Q80" s="156" t="inlineStr">
        <is>
          <t>Treylon Burks</t>
        </is>
      </c>
      <c r="R80" s="156" t="inlineStr">
        <is>
          <t>TEN</t>
        </is>
      </c>
      <c r="S80" s="156" t="inlineStr">
        <is>
          <t>WR</t>
        </is>
      </c>
    </row>
    <row r="81" hidden="1" ht="15.6" customHeight="1" s="152">
      <c r="A81" s="217" t="n">
        <v>80</v>
      </c>
      <c r="B81" s="218">
        <f>VLOOKUP(G81,Matrix!R:AA,10,0)</f>
        <v/>
      </c>
      <c r="C81" s="156">
        <f>IF(K81&gt;=0.01,K81,IFERROR(VLOOKUP(F81&amp;G81,Pass!B:C,2,0),K81)+SUM(L81:N81))</f>
        <v/>
      </c>
      <c r="D81" s="218">
        <f>_xlfn.IFNA(INDEX('Injury Report'!F:F, MATCH(G81&amp;F81, 'Injury Report'!A:A, 0)), "Healthy")</f>
        <v/>
      </c>
      <c r="E81" s="219">
        <f>VLOOKUP(A81,'QB Depth'!A:G,7,0)-1</f>
        <v/>
      </c>
      <c r="F81" s="218">
        <f>VLOOKUP(A81,'QB Depth'!A:C,3,0)</f>
        <v/>
      </c>
      <c r="G81" s="218">
        <f>VLOOKUP(A81,'QB Depth'!A:B,2,0)</f>
        <v/>
      </c>
      <c r="H81" s="218">
        <f>VLOOKUP(A81,'QB Depth'!A:D,4,0)</f>
        <v/>
      </c>
      <c r="I81" s="218">
        <f>H81&amp;E81</f>
        <v/>
      </c>
      <c r="J81" s="220">
        <f>IF(VLOOKUP(F81,Pass!F:G,2,0)=G81,"OK","Check Team")</f>
        <v/>
      </c>
      <c r="K81" s="156" t="n"/>
      <c r="L81" s="156">
        <f>IFERROR(VLOOKUP(F81&amp;G81,Pass!B:C,2,0),0)</f>
        <v/>
      </c>
      <c r="M81" s="156">
        <f>IFERROR(VLOOKUP(F81&amp;G81,Rush!B:C,2,0),0)</f>
        <v/>
      </c>
      <c r="N81" s="156">
        <f>IFERROR(VLOOKUP(F81&amp;G81,Rec!B:C,2,0),0)</f>
        <v/>
      </c>
      <c r="O81" s="156">
        <f>IFERROR(VLOOKUP(F81&amp;G81,Returns!A:B,2,0),0)</f>
        <v/>
      </c>
      <c r="Q81" s="156" t="inlineStr">
        <is>
          <t>Joe Burrow</t>
        </is>
      </c>
      <c r="R81" s="156" t="inlineStr">
        <is>
          <t>CIN</t>
        </is>
      </c>
      <c r="S81" s="156" t="inlineStr">
        <is>
          <t>QB</t>
        </is>
      </c>
    </row>
    <row r="82" hidden="1" ht="15.6" customHeight="1" s="152">
      <c r="A82" s="217" t="n">
        <v>81</v>
      </c>
      <c r="B82" s="218">
        <f>VLOOKUP(G82,Matrix!R:AA,10,0)</f>
        <v/>
      </c>
      <c r="C82" s="156">
        <f>IF(K82&gt;=0.01,K82,IFERROR(VLOOKUP(F82&amp;G82,Pass!B:C,2,0),K82)+SUM(L82:N82))</f>
        <v/>
      </c>
      <c r="D82" s="218">
        <f>_xlfn.IFNA(INDEX('Injury Report'!F:F, MATCH(G82&amp;F82, 'Injury Report'!A:A, 0)), "Healthy")</f>
        <v/>
      </c>
      <c r="E82" s="219">
        <f>VLOOKUP(A82,'QB Depth'!A:G,7,0)-1</f>
        <v/>
      </c>
      <c r="F82" s="218">
        <f>VLOOKUP(A82,'QB Depth'!A:C,3,0)</f>
        <v/>
      </c>
      <c r="G82" s="218">
        <f>VLOOKUP(A82,'QB Depth'!A:B,2,0)</f>
        <v/>
      </c>
      <c r="H82" s="218">
        <f>VLOOKUP(A82,'QB Depth'!A:D,4,0)</f>
        <v/>
      </c>
      <c r="I82" s="218">
        <f>H82&amp;E82</f>
        <v/>
      </c>
      <c r="J82" s="220">
        <f>IF(VLOOKUP(F82,Pass!F:G,2,0)=G82,"OK","Check Team")</f>
        <v/>
      </c>
      <c r="K82" s="156" t="n"/>
      <c r="L82" s="156">
        <f>IFERROR(VLOOKUP(F82&amp;G82,Pass!B:C,2,0),0)</f>
        <v/>
      </c>
      <c r="M82" s="156">
        <f>IFERROR(VLOOKUP(F82&amp;G82,Rush!B:C,2,0),0)</f>
        <v/>
      </c>
      <c r="N82" s="156">
        <f>IFERROR(VLOOKUP(F82&amp;G82,Rec!B:C,2,0),0)</f>
        <v/>
      </c>
      <c r="O82" s="156">
        <f>IFERROR(VLOOKUP(F82&amp;G82,Returns!A:B,2,0),0)</f>
        <v/>
      </c>
      <c r="Q82" s="156" t="inlineStr">
        <is>
          <t>Jermaine Burton</t>
        </is>
      </c>
      <c r="R82" s="156" t="inlineStr">
        <is>
          <t>CIN</t>
        </is>
      </c>
      <c r="S82" s="156" t="inlineStr">
        <is>
          <t>WR</t>
        </is>
      </c>
    </row>
    <row r="83" hidden="1" ht="15.6" customHeight="1" s="152">
      <c r="A83" s="217" t="n">
        <v>82</v>
      </c>
      <c r="B83" s="218">
        <f>VLOOKUP(G83,Matrix!R:AA,10,0)</f>
        <v/>
      </c>
      <c r="C83" s="156">
        <f>IF(K83&gt;=0.01,K83,IFERROR(VLOOKUP(F83&amp;G83,Pass!B:C,2,0),K83)+SUM(L83:N83))</f>
        <v/>
      </c>
      <c r="D83" s="218">
        <f>_xlfn.IFNA(INDEX('Injury Report'!F:F, MATCH(G83&amp;F83, 'Injury Report'!A:A, 0)), "Healthy")</f>
        <v/>
      </c>
      <c r="E83" s="219">
        <f>VLOOKUP(A83,'QB Depth'!A:G,7,0)-1</f>
        <v/>
      </c>
      <c r="F83" s="218">
        <f>VLOOKUP(A83,'QB Depth'!A:C,3,0)</f>
        <v/>
      </c>
      <c r="G83" s="218">
        <f>VLOOKUP(A83,'QB Depth'!A:B,2,0)</f>
        <v/>
      </c>
      <c r="H83" s="218">
        <f>VLOOKUP(A83,'QB Depth'!A:D,4,0)</f>
        <v/>
      </c>
      <c r="I83" s="218">
        <f>H83&amp;E83</f>
        <v/>
      </c>
      <c r="J83" s="220">
        <f>IF(VLOOKUP(F83,Pass!F:G,2,0)=G83,"OK","Check Team")</f>
        <v/>
      </c>
      <c r="K83" s="156" t="n"/>
      <c r="L83" s="156">
        <f>IFERROR(VLOOKUP(F83&amp;G83,Pass!B:C,2,0),0)</f>
        <v/>
      </c>
      <c r="M83" s="156">
        <f>IFERROR(VLOOKUP(F83&amp;G83,Rush!B:C,2,0),0)</f>
        <v/>
      </c>
      <c r="N83" s="156">
        <f>IFERROR(VLOOKUP(F83&amp;G83,Rec!B:C,2,0),0)</f>
        <v/>
      </c>
      <c r="O83" s="156">
        <f>IFERROR(VLOOKUP(F83&amp;G83,Returns!A:B,2,0),0)</f>
        <v/>
      </c>
      <c r="Q83" s="156" t="inlineStr">
        <is>
          <t>Harrison Butker</t>
        </is>
      </c>
      <c r="R83" s="156" t="inlineStr">
        <is>
          <t>KC</t>
        </is>
      </c>
      <c r="S83" s="156" t="inlineStr">
        <is>
          <t>K</t>
        </is>
      </c>
    </row>
    <row r="84" hidden="1" ht="15.6" customHeight="1" s="152">
      <c r="A84" s="217" t="n">
        <v>83</v>
      </c>
      <c r="B84" s="218">
        <f>VLOOKUP(G84,Matrix!R:AA,10,0)</f>
        <v/>
      </c>
      <c r="C84" s="156">
        <f>IF(K84&gt;=0.01,K84,IFERROR(VLOOKUP(F84&amp;G84,Pass!B:C,2,0),K84)+SUM(L84:N84))</f>
        <v/>
      </c>
      <c r="D84" s="218">
        <f>_xlfn.IFNA(INDEX('Injury Report'!F:F, MATCH(G84&amp;F84, 'Injury Report'!A:A, 0)), "Healthy")</f>
        <v/>
      </c>
      <c r="E84" s="219">
        <f>VLOOKUP(A84,'QB Depth'!A:G,7,0)-1</f>
        <v/>
      </c>
      <c r="F84" s="218">
        <f>VLOOKUP(A84,'QB Depth'!A:C,3,0)</f>
        <v/>
      </c>
      <c r="G84" s="218">
        <f>VLOOKUP(A84,'QB Depth'!A:B,2,0)</f>
        <v/>
      </c>
      <c r="H84" s="218">
        <f>VLOOKUP(A84,'QB Depth'!A:D,4,0)</f>
        <v/>
      </c>
      <c r="I84" s="218">
        <f>H84&amp;E84</f>
        <v/>
      </c>
      <c r="J84" s="220">
        <f>IF(VLOOKUP(F84,Pass!F:G,2,0)=G84,"OK","Check Team")</f>
        <v/>
      </c>
      <c r="K84" s="156" t="n"/>
      <c r="L84" s="156">
        <f>IFERROR(VLOOKUP(F84&amp;G84,Pass!B:C,2,0),0)</f>
        <v/>
      </c>
      <c r="M84" s="156">
        <f>IFERROR(VLOOKUP(F84&amp;G84,Rush!B:C,2,0),0)</f>
        <v/>
      </c>
      <c r="N84" s="156">
        <f>IFERROR(VLOOKUP(F84&amp;G84,Rec!B:C,2,0),0)</f>
        <v/>
      </c>
      <c r="O84" s="156">
        <f>IFERROR(VLOOKUP(F84&amp;G84,Returns!A:B,2,0),0)</f>
        <v/>
      </c>
      <c r="Q84" s="156" t="inlineStr">
        <is>
          <t>Damiere Byrd</t>
        </is>
      </c>
      <c r="R84" s="156" t="inlineStr">
        <is>
          <t>FA</t>
        </is>
      </c>
      <c r="S84" s="156" t="inlineStr">
        <is>
          <t>WR</t>
        </is>
      </c>
    </row>
    <row r="85" hidden="1" ht="15.6" customHeight="1" s="152">
      <c r="A85" s="217" t="n">
        <v>84</v>
      </c>
      <c r="B85" s="218">
        <f>VLOOKUP(G85,Matrix!R:AA,10,0)</f>
        <v/>
      </c>
      <c r="C85" s="156">
        <f>IF(K85&gt;=0.01,K85,IFERROR(VLOOKUP(F85&amp;G85,Pass!B:C,2,0),K85)+SUM(L85:N85))</f>
        <v/>
      </c>
      <c r="D85" s="218">
        <f>_xlfn.IFNA(INDEX('Injury Report'!F:F, MATCH(G85&amp;F85, 'Injury Report'!A:A, 0)), "Healthy")</f>
        <v/>
      </c>
      <c r="E85" s="219">
        <f>VLOOKUP(A85,'QB Depth'!A:G,7,0)-1</f>
        <v/>
      </c>
      <c r="F85" s="218">
        <f>VLOOKUP(A85,'QB Depth'!A:C,3,0)</f>
        <v/>
      </c>
      <c r="G85" s="218">
        <f>VLOOKUP(A85,'QB Depth'!A:B,2,0)</f>
        <v/>
      </c>
      <c r="H85" s="218">
        <f>VLOOKUP(A85,'QB Depth'!A:D,4,0)</f>
        <v/>
      </c>
      <c r="I85" s="218">
        <f>H85&amp;E85</f>
        <v/>
      </c>
      <c r="J85" s="220">
        <f>IF(VLOOKUP(F85,Pass!F:G,2,0)=G85,"OK","Check Team")</f>
        <v/>
      </c>
      <c r="K85" s="156" t="n"/>
      <c r="L85" s="156">
        <f>IFERROR(VLOOKUP(F85&amp;G85,Pass!B:C,2,0),0)</f>
        <v/>
      </c>
      <c r="M85" s="156">
        <f>IFERROR(VLOOKUP(F85&amp;G85,Rush!B:C,2,0),0)</f>
        <v/>
      </c>
      <c r="N85" s="156">
        <f>IFERROR(VLOOKUP(F85&amp;G85,Rec!B:C,2,0),0)</f>
        <v/>
      </c>
      <c r="O85" s="156">
        <f>IFERROR(VLOOKUP(F85&amp;G85,Returns!A:B,2,0),0)</f>
        <v/>
      </c>
      <c r="Q85" s="156" t="inlineStr">
        <is>
          <t>Grant Calcaterra</t>
        </is>
      </c>
      <c r="R85" s="156" t="inlineStr">
        <is>
          <t>PHI</t>
        </is>
      </c>
      <c r="S85" s="156" t="inlineStr">
        <is>
          <t>TE</t>
        </is>
      </c>
    </row>
    <row r="86" hidden="1" ht="15.6" customHeight="1" s="152">
      <c r="A86" s="217" t="n">
        <v>85</v>
      </c>
      <c r="B86" s="218">
        <f>VLOOKUP(G86,Matrix!R:AA,10,0)</f>
        <v/>
      </c>
      <c r="C86" s="156">
        <f>IF(K86&gt;=0.01,K86,IFERROR(VLOOKUP(F86&amp;G86,Pass!B:C,2,0),K86)+SUM(L86:N86))</f>
        <v/>
      </c>
      <c r="D86" s="218">
        <f>_xlfn.IFNA(INDEX('Injury Report'!F:F, MATCH(G86&amp;F86, 'Injury Report'!A:A, 0)), "Healthy")</f>
        <v/>
      </c>
      <c r="E86" s="219">
        <f>VLOOKUP(A86,'QB Depth'!A:G,7,0)-1</f>
        <v/>
      </c>
      <c r="F86" s="218">
        <f>VLOOKUP(A86,'QB Depth'!A:C,3,0)</f>
        <v/>
      </c>
      <c r="G86" s="218">
        <f>VLOOKUP(A86,'QB Depth'!A:B,2,0)</f>
        <v/>
      </c>
      <c r="H86" s="218">
        <f>VLOOKUP(A86,'QB Depth'!A:D,4,0)</f>
        <v/>
      </c>
      <c r="I86" s="218">
        <f>H86&amp;E86</f>
        <v/>
      </c>
      <c r="J86" s="220">
        <f>IF(VLOOKUP(F86,Pass!F:G,2,0)=G86,"OK","Check Team")</f>
        <v/>
      </c>
      <c r="K86" s="156" t="n"/>
      <c r="L86" s="156">
        <f>IFERROR(VLOOKUP(F86&amp;G86,Pass!B:C,2,0),0)</f>
        <v/>
      </c>
      <c r="M86" s="156">
        <f>IFERROR(VLOOKUP(F86&amp;G86,Rush!B:C,2,0),0)</f>
        <v/>
      </c>
      <c r="N86" s="156">
        <f>IFERROR(VLOOKUP(F86&amp;G86,Rec!B:C,2,0),0)</f>
        <v/>
      </c>
      <c r="O86" s="156">
        <f>IFERROR(VLOOKUP(F86&amp;G86,Returns!A:B,2,0),0)</f>
        <v/>
      </c>
      <c r="Q86" s="156" t="inlineStr">
        <is>
          <t>Parris Campbell</t>
        </is>
      </c>
      <c r="R86" s="156" t="inlineStr">
        <is>
          <t>FA</t>
        </is>
      </c>
      <c r="S86" s="156" t="inlineStr">
        <is>
          <t>WR</t>
        </is>
      </c>
    </row>
    <row r="87" hidden="1" ht="15.6" customHeight="1" s="152">
      <c r="A87" s="217" t="n">
        <v>86</v>
      </c>
      <c r="B87" s="218">
        <f>VLOOKUP(G87,Matrix!R:AA,10,0)</f>
        <v/>
      </c>
      <c r="C87" s="156">
        <f>IF(K87&gt;=0.01,K87,IFERROR(VLOOKUP(F87&amp;G87,Pass!B:C,2,0),K87)+SUM(L87:N87))</f>
        <v/>
      </c>
      <c r="D87" s="218">
        <f>_xlfn.IFNA(INDEX('Injury Report'!F:F, MATCH(G87&amp;F87, 'Injury Report'!A:A, 0)), "Healthy")</f>
        <v/>
      </c>
      <c r="E87" s="219">
        <f>VLOOKUP(A87,'QB Depth'!A:G,7,0)-1</f>
        <v/>
      </c>
      <c r="F87" s="218">
        <f>VLOOKUP(A87,'QB Depth'!A:C,3,0)</f>
        <v/>
      </c>
      <c r="G87" s="218">
        <f>VLOOKUP(A87,'QB Depth'!A:B,2,0)</f>
        <v/>
      </c>
      <c r="H87" s="218">
        <f>VLOOKUP(A87,'QB Depth'!A:D,4,0)</f>
        <v/>
      </c>
      <c r="I87" s="218">
        <f>H87&amp;E87</f>
        <v/>
      </c>
      <c r="J87" s="220">
        <f>IF(VLOOKUP(F87,Pass!F:G,2,0)=G87,"OK","Check Team")</f>
        <v/>
      </c>
      <c r="K87" s="156" t="n"/>
      <c r="L87" s="156">
        <f>IFERROR(VLOOKUP(F87&amp;G87,Pass!B:C,2,0),0)</f>
        <v/>
      </c>
      <c r="M87" s="156">
        <f>IFERROR(VLOOKUP(F87&amp;G87,Rush!B:C,2,0),0)</f>
        <v/>
      </c>
      <c r="N87" s="156">
        <f>IFERROR(VLOOKUP(F87&amp;G87,Rec!B:C,2,0),0)</f>
        <v/>
      </c>
      <c r="O87" s="156">
        <f>IFERROR(VLOOKUP(F87&amp;G87,Returns!A:B,2,0),0)</f>
        <v/>
      </c>
      <c r="Q87" s="156" t="inlineStr">
        <is>
          <t>Anders Carlson</t>
        </is>
      </c>
      <c r="R87" s="156" t="inlineStr">
        <is>
          <t>FA</t>
        </is>
      </c>
      <c r="S87" s="156" t="inlineStr">
        <is>
          <t>K</t>
        </is>
      </c>
    </row>
    <row r="88" hidden="1" ht="15.6" customHeight="1" s="152">
      <c r="A88" s="217" t="n">
        <v>87</v>
      </c>
      <c r="B88" s="218">
        <f>VLOOKUP(G88,Matrix!R:AA,10,0)</f>
        <v/>
      </c>
      <c r="C88" s="156">
        <f>IF(K88&gt;=0.01,K88,IFERROR(VLOOKUP(F88&amp;G88,Pass!B:C,2,0),K88)+SUM(L88:N88))</f>
        <v/>
      </c>
      <c r="D88" s="218">
        <f>_xlfn.IFNA(INDEX('Injury Report'!F:F, MATCH(G88&amp;F88, 'Injury Report'!A:A, 0)), "Healthy")</f>
        <v/>
      </c>
      <c r="E88" s="219">
        <f>VLOOKUP(A88,'QB Depth'!A:G,7,0)-1</f>
        <v/>
      </c>
      <c r="F88" s="218">
        <f>VLOOKUP(A88,'QB Depth'!A:C,3,0)</f>
        <v/>
      </c>
      <c r="G88" s="218">
        <f>VLOOKUP(A88,'QB Depth'!A:B,2,0)</f>
        <v/>
      </c>
      <c r="H88" s="218">
        <f>VLOOKUP(A88,'QB Depth'!A:D,4,0)</f>
        <v/>
      </c>
      <c r="I88" s="218">
        <f>H88&amp;E88</f>
        <v/>
      </c>
      <c r="J88" s="220">
        <f>IF(VLOOKUP(F88,Pass!F:G,2,0)=G88,"OK","Check Team")</f>
        <v/>
      </c>
      <c r="K88" s="156" t="n"/>
      <c r="L88" s="156">
        <f>IFERROR(VLOOKUP(F88&amp;G88,Pass!B:C,2,0),0)</f>
        <v/>
      </c>
      <c r="M88" s="156">
        <f>IFERROR(VLOOKUP(F88&amp;G88,Rush!B:C,2,0),0)</f>
        <v/>
      </c>
      <c r="N88" s="156">
        <f>IFERROR(VLOOKUP(F88&amp;G88,Rec!B:C,2,0),0)</f>
        <v/>
      </c>
      <c r="O88" s="156">
        <f>IFERROR(VLOOKUP(F88&amp;G88,Returns!A:B,2,0),0)</f>
        <v/>
      </c>
      <c r="Q88" s="156" t="inlineStr">
        <is>
          <t>Daniel Carlson</t>
        </is>
      </c>
      <c r="R88" s="156" t="inlineStr">
        <is>
          <t>LV</t>
        </is>
      </c>
      <c r="S88" s="156" t="inlineStr">
        <is>
          <t>K</t>
        </is>
      </c>
    </row>
    <row r="89" hidden="1" ht="15.6" customHeight="1" s="152">
      <c r="A89" s="217" t="n">
        <v>88</v>
      </c>
      <c r="B89" s="218">
        <f>VLOOKUP(G89,Matrix!R:AA,10,0)</f>
        <v/>
      </c>
      <c r="C89" s="156">
        <f>IF(K89&gt;=0.01,K89,IFERROR(VLOOKUP(F89&amp;G89,Pass!B:C,2,0),K89)+SUM(L89:N89))</f>
        <v/>
      </c>
      <c r="D89" s="218">
        <f>_xlfn.IFNA(INDEX('Injury Report'!F:F, MATCH(G89&amp;F89, 'Injury Report'!A:A, 0)), "Healthy")</f>
        <v/>
      </c>
      <c r="E89" s="219">
        <f>VLOOKUP(A89,'QB Depth'!A:G,7,0)-1</f>
        <v/>
      </c>
      <c r="F89" s="218">
        <f>VLOOKUP(A89,'QB Depth'!A:C,3,0)</f>
        <v/>
      </c>
      <c r="G89" s="218">
        <f>VLOOKUP(A89,'QB Depth'!A:B,2,0)</f>
        <v/>
      </c>
      <c r="H89" s="218">
        <f>VLOOKUP(A89,'QB Depth'!A:D,4,0)</f>
        <v/>
      </c>
      <c r="I89" s="218">
        <f>H89&amp;E89</f>
        <v/>
      </c>
      <c r="J89" s="220">
        <f>IF(VLOOKUP(F89,Pass!F:G,2,0)=G89,"OK","Check Team")</f>
        <v/>
      </c>
      <c r="K89" s="156" t="n"/>
      <c r="L89" s="156">
        <f>IFERROR(VLOOKUP(F89&amp;G89,Pass!B:C,2,0),0)</f>
        <v/>
      </c>
      <c r="M89" s="156">
        <f>IFERROR(VLOOKUP(F89&amp;G89,Rush!B:C,2,0),0)</f>
        <v/>
      </c>
      <c r="N89" s="156">
        <f>IFERROR(VLOOKUP(F89&amp;G89,Rec!B:C,2,0),0)</f>
        <v/>
      </c>
      <c r="O89" s="156">
        <f>IFERROR(VLOOKUP(F89&amp;G89,Returns!A:B,2,0),0)</f>
        <v/>
      </c>
      <c r="Q89" s="156" t="inlineStr">
        <is>
          <t>Derek Carr</t>
        </is>
      </c>
      <c r="R89" s="156" t="inlineStr">
        <is>
          <t>NO</t>
        </is>
      </c>
      <c r="S89" s="156" t="inlineStr">
        <is>
          <t>QB</t>
        </is>
      </c>
    </row>
    <row r="90" hidden="1" ht="15.6" customHeight="1" s="152">
      <c r="A90" s="217" t="n">
        <v>89</v>
      </c>
      <c r="B90" s="218">
        <f>VLOOKUP(G90,Matrix!R:AA,10,0)</f>
        <v/>
      </c>
      <c r="C90" s="156">
        <f>IF(K90&gt;=0.01,K90,IFERROR(VLOOKUP(F90&amp;G90,Pass!B:C,2,0),K90)+SUM(L90:N90))</f>
        <v/>
      </c>
      <c r="D90" s="218">
        <f>_xlfn.IFNA(INDEX('Injury Report'!F:F, MATCH(G90&amp;F90, 'Injury Report'!A:A, 0)), "Healthy")</f>
        <v/>
      </c>
      <c r="E90" s="219">
        <f>VLOOKUP(A90,'QB Depth'!A:G,7,0)-1</f>
        <v/>
      </c>
      <c r="F90" s="218">
        <f>VLOOKUP(A90,'QB Depth'!A:C,3,0)</f>
        <v/>
      </c>
      <c r="G90" s="218">
        <f>VLOOKUP(A90,'QB Depth'!A:B,2,0)</f>
        <v/>
      </c>
      <c r="H90" s="218">
        <f>VLOOKUP(A90,'QB Depth'!A:D,4,0)</f>
        <v/>
      </c>
      <c r="I90" s="218">
        <f>H90&amp;E90</f>
        <v/>
      </c>
      <c r="J90" s="220">
        <f>IF(VLOOKUP(F90,Pass!F:G,2,0)=G90,"OK","Check Team")</f>
        <v/>
      </c>
      <c r="K90" s="156" t="n"/>
      <c r="L90" s="156">
        <f>IFERROR(VLOOKUP(F90&amp;G90,Pass!B:C,2,0),0)</f>
        <v/>
      </c>
      <c r="M90" s="156">
        <f>IFERROR(VLOOKUP(F90&amp;G90,Rush!B:C,2,0),0)</f>
        <v/>
      </c>
      <c r="N90" s="156">
        <f>IFERROR(VLOOKUP(F90&amp;G90,Rec!B:C,2,0),0)</f>
        <v/>
      </c>
      <c r="O90" s="156">
        <f>IFERROR(VLOOKUP(F90&amp;G90,Returns!A:B,2,0),0)</f>
        <v/>
      </c>
      <c r="Q90" s="156" t="inlineStr">
        <is>
          <t>DeAndre Carter</t>
        </is>
      </c>
      <c r="R90" s="156" t="inlineStr">
        <is>
          <t>CHI</t>
        </is>
      </c>
      <c r="S90" s="156" t="inlineStr">
        <is>
          <t>WR</t>
        </is>
      </c>
    </row>
    <row r="91" hidden="1" ht="15.6" customHeight="1" s="152">
      <c r="A91" s="217" t="n">
        <v>90</v>
      </c>
      <c r="B91" s="218">
        <f>VLOOKUP(G91,Matrix!R:AA,10,0)</f>
        <v/>
      </c>
      <c r="C91" s="156">
        <f>IF(K91&gt;=0.01,K91,IFERROR(VLOOKUP(F91&amp;G91,Pass!B:C,2,0),K91)+SUM(L91:N91))</f>
        <v/>
      </c>
      <c r="D91" s="218">
        <f>_xlfn.IFNA(INDEX('Injury Report'!F:F, MATCH(G91&amp;F91, 'Injury Report'!A:A, 0)), "Healthy")</f>
        <v/>
      </c>
      <c r="E91" s="219">
        <f>VLOOKUP(A91,'QB Depth'!A:G,7,0)-1</f>
        <v/>
      </c>
      <c r="F91" s="218">
        <f>VLOOKUP(A91,'QB Depth'!A:C,3,0)</f>
        <v/>
      </c>
      <c r="G91" s="218">
        <f>VLOOKUP(A91,'QB Depth'!A:B,2,0)</f>
        <v/>
      </c>
      <c r="H91" s="218">
        <f>VLOOKUP(A91,'QB Depth'!A:D,4,0)</f>
        <v/>
      </c>
      <c r="I91" s="218">
        <f>H91&amp;E91</f>
        <v/>
      </c>
      <c r="J91" s="220">
        <f>IF(VLOOKUP(F91,Pass!F:G,2,0)=G91,"OK","Check Team")</f>
        <v/>
      </c>
      <c r="K91" s="156" t="n"/>
      <c r="L91" s="156">
        <f>IFERROR(VLOOKUP(F91&amp;G91,Pass!B:C,2,0),0)</f>
        <v/>
      </c>
      <c r="M91" s="156">
        <f>IFERROR(VLOOKUP(F91&amp;G91,Rush!B:C,2,0),0)</f>
        <v/>
      </c>
      <c r="N91" s="156">
        <f>IFERROR(VLOOKUP(F91&amp;G91,Rec!B:C,2,0),0)</f>
        <v/>
      </c>
      <c r="O91" s="156">
        <f>IFERROR(VLOOKUP(F91&amp;G91,Returns!A:B,2,0),0)</f>
        <v/>
      </c>
      <c r="Q91" s="156" t="inlineStr">
        <is>
          <t>Michael Carter</t>
        </is>
      </c>
      <c r="R91" s="156" t="inlineStr">
        <is>
          <t>ARI</t>
        </is>
      </c>
      <c r="S91" s="156" t="inlineStr">
        <is>
          <t>RB</t>
        </is>
      </c>
    </row>
    <row r="92" hidden="1" ht="15.6" customHeight="1" s="152">
      <c r="A92" s="217" t="n">
        <v>91</v>
      </c>
      <c r="B92" s="218">
        <f>VLOOKUP(G92,Matrix!R:AA,10,0)</f>
        <v/>
      </c>
      <c r="C92" s="156">
        <f>IF(K92&gt;=0.01,K92,IFERROR(VLOOKUP(F92&amp;G92,Pass!B:C,2,0),K92)+SUM(L92:N92))</f>
        <v/>
      </c>
      <c r="D92" s="218">
        <f>_xlfn.IFNA(INDEX('Injury Report'!F:F, MATCH(G92&amp;F92, 'Injury Report'!A:A, 0)), "Healthy")</f>
        <v/>
      </c>
      <c r="E92" s="219">
        <f>VLOOKUP(A92,'QB Depth'!A:G,7,0)-1</f>
        <v/>
      </c>
      <c r="F92" s="218">
        <f>VLOOKUP(A92,'QB Depth'!A:C,3,0)</f>
        <v/>
      </c>
      <c r="G92" s="218">
        <f>VLOOKUP(A92,'QB Depth'!A:B,2,0)</f>
        <v/>
      </c>
      <c r="H92" s="218">
        <f>VLOOKUP(A92,'QB Depth'!A:D,4,0)</f>
        <v/>
      </c>
      <c r="I92" s="218">
        <f>H92&amp;E92</f>
        <v/>
      </c>
      <c r="J92" s="220">
        <f>IF(VLOOKUP(F92,Pass!F:G,2,0)=G92,"OK","Check Team")</f>
        <v/>
      </c>
      <c r="K92" s="156" t="n"/>
      <c r="L92" s="156">
        <f>IFERROR(VLOOKUP(F92&amp;G92,Pass!B:C,2,0),0)</f>
        <v/>
      </c>
      <c r="M92" s="156">
        <f>IFERROR(VLOOKUP(F92&amp;G92,Rush!B:C,2,0),0)</f>
        <v/>
      </c>
      <c r="N92" s="156">
        <f>IFERROR(VLOOKUP(F92&amp;G92,Rec!B:C,2,0),0)</f>
        <v/>
      </c>
      <c r="O92" s="156">
        <f>IFERROR(VLOOKUP(F92&amp;G92,Returns!A:B,2,0),0)</f>
        <v/>
      </c>
      <c r="Q92" s="156" t="inlineStr">
        <is>
          <t>Ty Chandler</t>
        </is>
      </c>
      <c r="R92" s="156" t="inlineStr">
        <is>
          <t>MIN</t>
        </is>
      </c>
      <c r="S92" s="156" t="inlineStr">
        <is>
          <t>RB</t>
        </is>
      </c>
    </row>
    <row r="93" hidden="1" ht="15.6" customHeight="1" s="152">
      <c r="A93" s="217" t="n">
        <v>92</v>
      </c>
      <c r="B93" s="218">
        <f>VLOOKUP(G93,Matrix!R:AA,10,0)</f>
        <v/>
      </c>
      <c r="C93" s="156">
        <f>IF(K93&gt;=0.01,K93,IFERROR(VLOOKUP(F93&amp;G93,Pass!B:C,2,0),K93)+SUM(L93:N93))</f>
        <v/>
      </c>
      <c r="D93" s="218">
        <f>_xlfn.IFNA(INDEX('Injury Report'!F:F, MATCH(G93&amp;F93, 'Injury Report'!A:A, 0)), "Healthy")</f>
        <v/>
      </c>
      <c r="E93" s="219">
        <f>VLOOKUP(A93,'QB Depth'!A:G,7,0)-1</f>
        <v/>
      </c>
      <c r="F93" s="218">
        <f>VLOOKUP(A93,'QB Depth'!A:C,3,0)</f>
        <v/>
      </c>
      <c r="G93" s="218">
        <f>VLOOKUP(A93,'QB Depth'!A:B,2,0)</f>
        <v/>
      </c>
      <c r="H93" s="218">
        <f>VLOOKUP(A93,'QB Depth'!A:D,4,0)</f>
        <v/>
      </c>
      <c r="I93" s="218">
        <f>H93&amp;E93</f>
        <v/>
      </c>
      <c r="J93" s="220">
        <f>IF(VLOOKUP(F93,Pass!F:G,2,0)=G93,"OK","Check Team")</f>
        <v/>
      </c>
      <c r="K93" s="156" t="n"/>
      <c r="L93" s="156">
        <f>IFERROR(VLOOKUP(F93&amp;G93,Pass!B:C,2,0),0)</f>
        <v/>
      </c>
      <c r="M93" s="156">
        <f>IFERROR(VLOOKUP(F93&amp;G93,Rush!B:C,2,0),0)</f>
        <v/>
      </c>
      <c r="N93" s="156">
        <f>IFERROR(VLOOKUP(F93&amp;G93,Rec!B:C,2,0),0)</f>
        <v/>
      </c>
      <c r="O93" s="156">
        <f>IFERROR(VLOOKUP(F93&amp;G93,Returns!A:B,2,0),0)</f>
        <v/>
      </c>
      <c r="Q93" s="156" t="inlineStr">
        <is>
          <t>Zach Charbonnet</t>
        </is>
      </c>
      <c r="R93" s="156" t="inlineStr">
        <is>
          <t>SEA</t>
        </is>
      </c>
      <c r="S93" s="156" t="inlineStr">
        <is>
          <t>RB</t>
        </is>
      </c>
    </row>
    <row r="94" hidden="1" ht="15.6" customHeight="1" s="152">
      <c r="A94" s="217" t="n">
        <v>93</v>
      </c>
      <c r="B94" s="218">
        <f>VLOOKUP(G94,Matrix!R:AA,10,0)</f>
        <v/>
      </c>
      <c r="C94" s="156">
        <f>IF(K94&gt;=0.01,K94,IFERROR(VLOOKUP(F94&amp;G94,Pass!B:C,2,0),K94)+SUM(L94:N94))</f>
        <v/>
      </c>
      <c r="D94" s="218">
        <f>_xlfn.IFNA(INDEX('Injury Report'!F:F, MATCH(G94&amp;F94, 'Injury Report'!A:A, 0)), "Healthy")</f>
        <v/>
      </c>
      <c r="E94" s="219">
        <f>VLOOKUP(A94,'QB Depth'!A:G,7,0)-1</f>
        <v/>
      </c>
      <c r="F94" s="218">
        <f>VLOOKUP(A94,'QB Depth'!A:C,3,0)</f>
        <v/>
      </c>
      <c r="G94" s="218">
        <f>VLOOKUP(A94,'QB Depth'!A:B,2,0)</f>
        <v/>
      </c>
      <c r="H94" s="218">
        <f>VLOOKUP(A94,'QB Depth'!A:D,4,0)</f>
        <v/>
      </c>
      <c r="I94" s="218">
        <f>H94&amp;E94</f>
        <v/>
      </c>
      <c r="J94" s="220">
        <f>IF(VLOOKUP(F94,Pass!F:G,2,0)=G94,"OK","Check Team")</f>
        <v/>
      </c>
      <c r="K94" s="156" t="n"/>
      <c r="L94" s="156">
        <f>IFERROR(VLOOKUP(F94&amp;G94,Pass!B:C,2,0),0)</f>
        <v/>
      </c>
      <c r="M94" s="156">
        <f>IFERROR(VLOOKUP(F94&amp;G94,Rush!B:C,2,0),0)</f>
        <v/>
      </c>
      <c r="N94" s="156">
        <f>IFERROR(VLOOKUP(F94&amp;G94,Rec!B:C,2,0),0)</f>
        <v/>
      </c>
      <c r="O94" s="156">
        <f>IFERROR(VLOOKUP(F94&amp;G94,Returns!A:B,2,0),0)</f>
        <v/>
      </c>
      <c r="Q94" s="156" t="inlineStr">
        <is>
          <t>DJ Chark</t>
        </is>
      </c>
      <c r="R94" s="156" t="inlineStr">
        <is>
          <t>LAC</t>
        </is>
      </c>
      <c r="S94" s="156" t="inlineStr">
        <is>
          <t>WR</t>
        </is>
      </c>
    </row>
    <row r="95" hidden="1" ht="15.6" customHeight="1" s="152">
      <c r="A95" s="217" t="n">
        <v>94</v>
      </c>
      <c r="B95" s="218">
        <f>VLOOKUP(G95,Matrix!R:AA,10,0)</f>
        <v/>
      </c>
      <c r="C95" s="156">
        <f>IF(K95&gt;=0.01,K95,IFERROR(VLOOKUP(F95&amp;G95,Pass!B:C,2,0),K95)+SUM(L95:N95))</f>
        <v/>
      </c>
      <c r="D95" s="218">
        <f>_xlfn.IFNA(INDEX('Injury Report'!F:F, MATCH(G95&amp;F95, 'Injury Report'!A:A, 0)), "Healthy")</f>
        <v/>
      </c>
      <c r="E95" s="219">
        <f>VLOOKUP(A95,'QB Depth'!A:G,7,0)-1</f>
        <v/>
      </c>
      <c r="F95" s="218">
        <f>VLOOKUP(A95,'QB Depth'!A:C,3,0)</f>
        <v/>
      </c>
      <c r="G95" s="218">
        <f>VLOOKUP(A95,'QB Depth'!A:B,2,0)</f>
        <v/>
      </c>
      <c r="H95" s="218">
        <f>VLOOKUP(A95,'QB Depth'!A:D,4,0)</f>
        <v/>
      </c>
      <c r="I95" s="218">
        <f>H95&amp;E95</f>
        <v/>
      </c>
      <c r="J95" s="220">
        <f>IF(VLOOKUP(F95,Pass!F:G,2,0)=G95,"OK","Check Team")</f>
        <v/>
      </c>
      <c r="K95" s="156" t="n"/>
      <c r="L95" s="156">
        <f>IFERROR(VLOOKUP(F95&amp;G95,Pass!B:C,2,0),0)</f>
        <v/>
      </c>
      <c r="M95" s="156">
        <f>IFERROR(VLOOKUP(F95&amp;G95,Rush!B:C,2,0),0)</f>
        <v/>
      </c>
      <c r="N95" s="156">
        <f>IFERROR(VLOOKUP(F95&amp;G95,Rec!B:C,2,0),0)</f>
        <v/>
      </c>
      <c r="O95" s="156">
        <f>IFERROR(VLOOKUP(F95&amp;G95,Returns!A:B,2,0),0)</f>
        <v/>
      </c>
      <c r="Q95" s="156" t="inlineStr">
        <is>
          <t>Ja'Marr Chase</t>
        </is>
      </c>
      <c r="R95" s="156" t="inlineStr">
        <is>
          <t>CIN</t>
        </is>
      </c>
      <c r="S95" s="156" t="inlineStr">
        <is>
          <t>WR</t>
        </is>
      </c>
    </row>
    <row r="96" hidden="1" ht="15.6" customHeight="1" s="152">
      <c r="A96" s="217" t="n">
        <v>95</v>
      </c>
      <c r="B96" s="218">
        <f>VLOOKUP(G96,Matrix!R:AA,10,0)</f>
        <v/>
      </c>
      <c r="C96" s="156">
        <f>IF(K96&gt;=0.01,K96,IFERROR(VLOOKUP(F96&amp;G96,Pass!B:C,2,0),K96)+SUM(L96:N96))</f>
        <v/>
      </c>
      <c r="D96" s="218">
        <f>_xlfn.IFNA(INDEX('Injury Report'!F:F, MATCH(G96&amp;F96, 'Injury Report'!A:A, 0)), "Healthy")</f>
        <v/>
      </c>
      <c r="E96" s="219">
        <f>VLOOKUP(A96,'QB Depth'!A:G,7,0)-1</f>
        <v/>
      </c>
      <c r="F96" s="218">
        <f>VLOOKUP(A96,'QB Depth'!A:C,3,0)</f>
        <v/>
      </c>
      <c r="G96" s="218">
        <f>VLOOKUP(A96,'QB Depth'!A:B,2,0)</f>
        <v/>
      </c>
      <c r="H96" s="218">
        <f>VLOOKUP(A96,'QB Depth'!A:D,4,0)</f>
        <v/>
      </c>
      <c r="I96" s="218">
        <f>H96&amp;E96</f>
        <v/>
      </c>
      <c r="J96" s="220">
        <f>IF(VLOOKUP(F96,Pass!F:G,2,0)=G96,"OK","Check Team")</f>
        <v/>
      </c>
      <c r="K96" s="156" t="n"/>
      <c r="L96" s="156">
        <f>IFERROR(VLOOKUP(F96&amp;G96,Pass!B:C,2,0),0)</f>
        <v/>
      </c>
      <c r="M96" s="156">
        <f>IFERROR(VLOOKUP(F96&amp;G96,Rush!B:C,2,0),0)</f>
        <v/>
      </c>
      <c r="N96" s="156">
        <f>IFERROR(VLOOKUP(F96&amp;G96,Rec!B:C,2,0),0)</f>
        <v/>
      </c>
      <c r="O96" s="156">
        <f>IFERROR(VLOOKUP(F96&amp;G96,Returns!A:B,2,0),0)</f>
        <v/>
      </c>
      <c r="Q96" s="156" t="inlineStr">
        <is>
          <t>Julius Chestnut</t>
        </is>
      </c>
      <c r="R96" s="156" t="inlineStr">
        <is>
          <t>TEN</t>
        </is>
      </c>
      <c r="S96" s="156" t="inlineStr">
        <is>
          <t>RB</t>
        </is>
      </c>
    </row>
    <row r="97" hidden="1" ht="15.6" customHeight="1" s="152">
      <c r="A97" s="217" t="n">
        <v>96</v>
      </c>
      <c r="B97" s="218">
        <f>VLOOKUP(G97,Matrix!R:AA,10,0)</f>
        <v/>
      </c>
      <c r="C97" s="156">
        <f>IF(K97&gt;=0.01,K97,IFERROR(VLOOKUP(F97&amp;G97,Pass!B:C,2,0),K97)+SUM(L97:N97))</f>
        <v/>
      </c>
      <c r="D97" s="218">
        <f>_xlfn.IFNA(INDEX('Injury Report'!F:F, MATCH(G97&amp;F97, 'Injury Report'!A:A, 0)), "Healthy")</f>
        <v/>
      </c>
      <c r="E97" s="219">
        <f>VLOOKUP(A97,'QB Depth'!A:G,7,0)-1</f>
        <v/>
      </c>
      <c r="F97" s="218">
        <f>VLOOKUP(A97,'QB Depth'!A:C,3,0)</f>
        <v/>
      </c>
      <c r="G97" s="218">
        <f>VLOOKUP(A97,'QB Depth'!A:B,2,0)</f>
        <v/>
      </c>
      <c r="H97" s="218">
        <f>VLOOKUP(A97,'QB Depth'!A:D,4,0)</f>
        <v/>
      </c>
      <c r="I97" s="218">
        <f>H97&amp;E97</f>
        <v/>
      </c>
      <c r="J97" s="220">
        <f>IF(VLOOKUP(F97,Pass!F:G,2,0)=G97,"OK","Check Team")</f>
        <v/>
      </c>
      <c r="K97" s="156" t="n"/>
      <c r="L97" s="156">
        <f>IFERROR(VLOOKUP(F97&amp;G97,Pass!B:C,2,0),0)</f>
        <v/>
      </c>
      <c r="M97" s="156">
        <f>IFERROR(VLOOKUP(F97&amp;G97,Rush!B:C,2,0),0)</f>
        <v/>
      </c>
      <c r="N97" s="156">
        <f>IFERROR(VLOOKUP(F97&amp;G97,Rec!B:C,2,0),0)</f>
        <v/>
      </c>
      <c r="O97" s="156">
        <f>IFERROR(VLOOKUP(F97&amp;G97,Returns!A:B,2,0),0)</f>
        <v/>
      </c>
      <c r="Q97" s="156" t="inlineStr">
        <is>
          <t>Dan Chisena</t>
        </is>
      </c>
      <c r="R97" s="156" t="inlineStr">
        <is>
          <t>CAR</t>
        </is>
      </c>
      <c r="S97" s="156" t="inlineStr">
        <is>
          <t>WR</t>
        </is>
      </c>
    </row>
    <row r="98" hidden="1" ht="15.6" customHeight="1" s="152">
      <c r="A98" s="217" t="n">
        <v>97</v>
      </c>
      <c r="B98" s="218">
        <f>VLOOKUP(G98,Matrix!R:AA,10,0)</f>
        <v/>
      </c>
      <c r="C98" s="156">
        <f>IF(K98&gt;=0.01,K98,IFERROR(VLOOKUP(F98&amp;G98,Pass!B:C,2,0),K98)+SUM(L98:N98))</f>
        <v/>
      </c>
      <c r="D98" s="218">
        <f>_xlfn.IFNA(INDEX('Injury Report'!F:F, MATCH(G98&amp;F98, 'Injury Report'!A:A, 0)), "Healthy")</f>
        <v/>
      </c>
      <c r="E98" s="219">
        <f>VLOOKUP(A98,'QB Depth'!A:G,7,0)-1</f>
        <v/>
      </c>
      <c r="F98" s="218">
        <f>VLOOKUP(A98,'QB Depth'!A:C,3,0)</f>
        <v/>
      </c>
      <c r="G98" s="218">
        <f>VLOOKUP(A98,'QB Depth'!A:B,2,0)</f>
        <v/>
      </c>
      <c r="H98" s="218">
        <f>VLOOKUP(A98,'QB Depth'!A:D,4,0)</f>
        <v/>
      </c>
      <c r="I98" s="218">
        <f>H98&amp;E98</f>
        <v/>
      </c>
      <c r="J98" s="220">
        <f>IF(VLOOKUP(F98,Pass!F:G,2,0)=G98,"OK","Check Team")</f>
        <v/>
      </c>
      <c r="K98" s="156" t="n"/>
      <c r="L98" s="156">
        <f>IFERROR(VLOOKUP(F98&amp;G98,Pass!B:C,2,0),0)</f>
        <v/>
      </c>
      <c r="M98" s="156">
        <f>IFERROR(VLOOKUP(F98&amp;G98,Rush!B:C,2,0),0)</f>
        <v/>
      </c>
      <c r="N98" s="156">
        <f>IFERROR(VLOOKUP(F98&amp;G98,Rec!B:C,2,0),0)</f>
        <v/>
      </c>
      <c r="O98" s="156">
        <f>IFERROR(VLOOKUP(F98&amp;G98,Returns!A:B,2,0),0)</f>
        <v/>
      </c>
      <c r="Q98" s="156" t="inlineStr">
        <is>
          <t>Robbie Chosen</t>
        </is>
      </c>
      <c r="R98" s="156" t="inlineStr">
        <is>
          <t>FA</t>
        </is>
      </c>
      <c r="S98" s="156" t="inlineStr">
        <is>
          <t>WR</t>
        </is>
      </c>
    </row>
    <row r="99" hidden="1" ht="15.6" customHeight="1" s="152">
      <c r="A99" s="217" t="n">
        <v>98</v>
      </c>
      <c r="B99" s="218">
        <f>VLOOKUP(G99,Matrix!R:AA,10,0)</f>
        <v/>
      </c>
      <c r="C99" s="156">
        <f>IF(K99&gt;=0.01,K99,IFERROR(VLOOKUP(F99&amp;G99,Pass!B:C,2,0),K99)+SUM(L99:N99))</f>
        <v/>
      </c>
      <c r="D99" s="218">
        <f>_xlfn.IFNA(INDEX('Injury Report'!F:F, MATCH(G99&amp;F99, 'Injury Report'!A:A, 0)), "Healthy")</f>
        <v/>
      </c>
      <c r="E99" s="219">
        <f>VLOOKUP(A99,'QB Depth'!A:G,7,0)-1</f>
        <v/>
      </c>
      <c r="F99" s="218">
        <f>VLOOKUP(A99,'QB Depth'!A:C,3,0)</f>
        <v/>
      </c>
      <c r="G99" s="218">
        <f>VLOOKUP(A99,'QB Depth'!A:B,2,0)</f>
        <v/>
      </c>
      <c r="H99" s="218">
        <f>VLOOKUP(A99,'QB Depth'!A:D,4,0)</f>
        <v/>
      </c>
      <c r="I99" s="218">
        <f>H99&amp;E99</f>
        <v/>
      </c>
      <c r="J99" s="220">
        <f>IF(VLOOKUP(F99,Pass!F:G,2,0)=G99,"OK","Check Team")</f>
        <v/>
      </c>
      <c r="K99" s="156" t="n"/>
      <c r="L99" s="156">
        <f>IFERROR(VLOOKUP(F99&amp;G99,Pass!B:C,2,0),0)</f>
        <v/>
      </c>
      <c r="M99" s="156">
        <f>IFERROR(VLOOKUP(F99&amp;G99,Rush!B:C,2,0),0)</f>
        <v/>
      </c>
      <c r="N99" s="156">
        <f>IFERROR(VLOOKUP(F99&amp;G99,Rec!B:C,2,0),0)</f>
        <v/>
      </c>
      <c r="O99" s="156">
        <f>IFERROR(VLOOKUP(F99&amp;G99,Returns!A:B,2,0),0)</f>
        <v/>
      </c>
      <c r="Q99" s="156" t="inlineStr">
        <is>
          <t>Nick Chubb</t>
        </is>
      </c>
      <c r="R99" s="156" t="inlineStr">
        <is>
          <t>CLE</t>
        </is>
      </c>
      <c r="S99" s="156" t="inlineStr">
        <is>
          <t>RB</t>
        </is>
      </c>
    </row>
    <row r="100" hidden="1" ht="15.6" customHeight="1" s="152">
      <c r="A100" s="217" t="n">
        <v>99</v>
      </c>
      <c r="B100" s="218">
        <f>VLOOKUP(G100,Matrix!R:AA,10,0)</f>
        <v/>
      </c>
      <c r="C100" s="156">
        <f>IF(K100&gt;=0.01,K100,IFERROR(VLOOKUP(F100&amp;G100,Pass!B:C,2,0),K100)+SUM(L100:N100))</f>
        <v/>
      </c>
      <c r="D100" s="218">
        <f>_xlfn.IFNA(INDEX('Injury Report'!F:F, MATCH(G100&amp;F100, 'Injury Report'!A:A, 0)), "Healthy")</f>
        <v/>
      </c>
      <c r="E100" s="219">
        <f>VLOOKUP(A100,'QB Depth'!A:G,7,0)-1</f>
        <v/>
      </c>
      <c r="F100" s="218">
        <f>VLOOKUP(A100,'QB Depth'!A:C,3,0)</f>
        <v/>
      </c>
      <c r="G100" s="218">
        <f>VLOOKUP(A100,'QB Depth'!A:B,2,0)</f>
        <v/>
      </c>
      <c r="H100" s="218">
        <f>VLOOKUP(A100,'QB Depth'!A:D,4,0)</f>
        <v/>
      </c>
      <c r="I100" s="218">
        <f>H100&amp;E100</f>
        <v/>
      </c>
      <c r="J100" s="220">
        <f>IF(VLOOKUP(F100,Pass!F:G,2,0)=G100,"OK","Check Team")</f>
        <v/>
      </c>
      <c r="K100" s="156" t="n"/>
      <c r="L100" s="156">
        <f>IFERROR(VLOOKUP(F100&amp;G100,Pass!B:C,2,0),0)</f>
        <v/>
      </c>
      <c r="M100" s="156">
        <f>IFERROR(VLOOKUP(F100&amp;G100,Rush!B:C,2,0),0)</f>
        <v/>
      </c>
      <c r="N100" s="156">
        <f>IFERROR(VLOOKUP(F100&amp;G100,Rec!B:C,2,0),0)</f>
        <v/>
      </c>
      <c r="O100" s="156">
        <f>IFERROR(VLOOKUP(F100&amp;G100,Returns!A:B,2,0),0)</f>
        <v/>
      </c>
      <c r="Q100" s="156" t="inlineStr">
        <is>
          <t>Chase Claypool</t>
        </is>
      </c>
      <c r="R100" s="156" t="inlineStr">
        <is>
          <t>FA</t>
        </is>
      </c>
      <c r="S100" s="156" t="inlineStr">
        <is>
          <t>WR</t>
        </is>
      </c>
    </row>
    <row r="101" hidden="1" ht="15.6" customHeight="1" s="152">
      <c r="A101" s="217" t="n">
        <v>100</v>
      </c>
      <c r="B101" s="218">
        <f>VLOOKUP(G101,Matrix!R:AA,10,0)</f>
        <v/>
      </c>
      <c r="C101" s="156">
        <f>IF(K101&gt;=0.01,K101,IFERROR(VLOOKUP(F101&amp;G101,Pass!B:C,2,0),K101)+SUM(L101:N101))</f>
        <v/>
      </c>
      <c r="D101" s="218">
        <f>_xlfn.IFNA(INDEX('Injury Report'!F:F, MATCH(G101&amp;F101, 'Injury Report'!A:A, 0)), "Healthy")</f>
        <v/>
      </c>
      <c r="E101" s="219">
        <f>VLOOKUP(A101,'QB Depth'!A:G,7,0)-1</f>
        <v/>
      </c>
      <c r="F101" s="218">
        <f>VLOOKUP(A101,'QB Depth'!A:C,3,0)</f>
        <v/>
      </c>
      <c r="G101" s="218">
        <f>VLOOKUP(A101,'QB Depth'!A:B,2,0)</f>
        <v/>
      </c>
      <c r="H101" s="218">
        <f>VLOOKUP(A101,'QB Depth'!A:D,4,0)</f>
        <v/>
      </c>
      <c r="I101" s="218">
        <f>H101&amp;E101</f>
        <v/>
      </c>
      <c r="J101" s="220">
        <f>IF(VLOOKUP(F101,Pass!F:G,2,0)=G101,"OK","Check Team")</f>
        <v/>
      </c>
      <c r="K101" s="156" t="n"/>
      <c r="L101" s="156">
        <f>IFERROR(VLOOKUP(F101&amp;G101,Pass!B:C,2,0),0)</f>
        <v/>
      </c>
      <c r="M101" s="156">
        <f>IFERROR(VLOOKUP(F101&amp;G101,Rush!B:C,2,0),0)</f>
        <v/>
      </c>
      <c r="N101" s="156">
        <f>IFERROR(VLOOKUP(F101&amp;G101,Rec!B:C,2,0),0)</f>
        <v/>
      </c>
      <c r="O101" s="156">
        <f>IFERROR(VLOOKUP(F101&amp;G101,Returns!A:B,2,0),0)</f>
        <v/>
      </c>
      <c r="Q101" s="156" t="inlineStr">
        <is>
          <t>Sean Clifford</t>
        </is>
      </c>
      <c r="R101" s="156" t="inlineStr">
        <is>
          <t>FA</t>
        </is>
      </c>
      <c r="S101" s="156" t="inlineStr">
        <is>
          <t>QB</t>
        </is>
      </c>
    </row>
    <row r="102" hidden="1" ht="15.6" customHeight="1" s="152">
      <c r="A102" s="217" t="n">
        <v>101</v>
      </c>
      <c r="B102" s="218">
        <f>VLOOKUP(G102,Matrix!R:AA,10,0)</f>
        <v/>
      </c>
      <c r="C102" s="156">
        <f>IF(K102&gt;=0.01,K102,IFERROR(VLOOKUP(F102&amp;G102,Pass!B:C,2,0),K102)+SUM(L102:N102))</f>
        <v/>
      </c>
      <c r="D102" s="218">
        <f>_xlfn.IFNA(INDEX('Injury Report'!F:F, MATCH(G102&amp;F102, 'Injury Report'!A:A, 0)), "Healthy")</f>
        <v/>
      </c>
      <c r="E102" s="219">
        <f>VLOOKUP(A102,'QB Depth'!A:G,7,0)-1</f>
        <v/>
      </c>
      <c r="F102" s="218">
        <f>VLOOKUP(A102,'QB Depth'!A:C,3,0)</f>
        <v/>
      </c>
      <c r="G102" s="218">
        <f>VLOOKUP(A102,'QB Depth'!A:B,2,0)</f>
        <v/>
      </c>
      <c r="H102" s="218">
        <f>VLOOKUP(A102,'QB Depth'!A:D,4,0)</f>
        <v/>
      </c>
      <c r="I102" s="218">
        <f>H102&amp;E102</f>
        <v/>
      </c>
      <c r="J102" s="220">
        <f>IF(VLOOKUP(F102,Pass!F:G,2,0)=G102,"OK","Check Team")</f>
        <v/>
      </c>
      <c r="K102" s="156" t="n"/>
      <c r="L102" s="156">
        <f>IFERROR(VLOOKUP(F102&amp;G102,Pass!B:C,2,0),0)</f>
        <v/>
      </c>
      <c r="M102" s="156">
        <f>IFERROR(VLOOKUP(F102&amp;G102,Rush!B:C,2,0),0)</f>
        <v/>
      </c>
      <c r="N102" s="156">
        <f>IFERROR(VLOOKUP(F102&amp;G102,Rec!B:C,2,0),0)</f>
        <v/>
      </c>
      <c r="O102" s="156">
        <f>IFERROR(VLOOKUP(F102&amp;G102,Returns!A:B,2,0),0)</f>
        <v/>
      </c>
      <c r="Q102" s="156" t="inlineStr">
        <is>
          <t>Randall Cobb</t>
        </is>
      </c>
      <c r="R102" s="156" t="inlineStr">
        <is>
          <t>FA</t>
        </is>
      </c>
      <c r="S102" s="156" t="inlineStr">
        <is>
          <t>WR</t>
        </is>
      </c>
    </row>
    <row r="103" hidden="1" ht="15.6" customHeight="1" s="152">
      <c r="A103" s="217" t="n">
        <v>102</v>
      </c>
      <c r="B103" s="218">
        <f>VLOOKUP(G103,Matrix!R:AA,10,0)</f>
        <v/>
      </c>
      <c r="C103" s="156">
        <f>IF(K103&gt;=0.01,K103,IFERROR(VLOOKUP(F103&amp;G103,Pass!B:C,2,0),K103)+SUM(L103:N103))</f>
        <v/>
      </c>
      <c r="D103" s="218">
        <f>_xlfn.IFNA(INDEX('Injury Report'!F:F, MATCH(G103&amp;F103, 'Injury Report'!A:A, 0)), "Healthy")</f>
        <v/>
      </c>
      <c r="E103" s="219">
        <f>VLOOKUP(A103,'QB Depth'!A:G,7,0)-1</f>
        <v/>
      </c>
      <c r="F103" s="218">
        <f>VLOOKUP(A103,'QB Depth'!A:C,3,0)</f>
        <v/>
      </c>
      <c r="G103" s="218">
        <f>VLOOKUP(A103,'QB Depth'!A:B,2,0)</f>
        <v/>
      </c>
      <c r="H103" s="218">
        <f>VLOOKUP(A103,'QB Depth'!A:D,4,0)</f>
        <v/>
      </c>
      <c r="I103" s="218">
        <f>H103&amp;E103</f>
        <v/>
      </c>
      <c r="J103" s="220">
        <f>IF(VLOOKUP(F103,Pass!F:G,2,0)=G103,"OK","Check Team")</f>
        <v/>
      </c>
      <c r="K103" s="156" t="n"/>
      <c r="L103" s="156">
        <f>IFERROR(VLOOKUP(F103&amp;G103,Pass!B:C,2,0),0)</f>
        <v/>
      </c>
      <c r="M103" s="156">
        <f>IFERROR(VLOOKUP(F103&amp;G103,Rush!B:C,2,0),0)</f>
        <v/>
      </c>
      <c r="N103" s="156">
        <f>IFERROR(VLOOKUP(F103&amp;G103,Rec!B:C,2,0),0)</f>
        <v/>
      </c>
      <c r="O103" s="156">
        <f>IFERROR(VLOOKUP(F103&amp;G103,Returns!A:B,2,0),0)</f>
        <v/>
      </c>
      <c r="Q103" s="156" t="inlineStr">
        <is>
          <t>Jalen Coker</t>
        </is>
      </c>
      <c r="R103" s="156" t="inlineStr">
        <is>
          <t>CAR</t>
        </is>
      </c>
      <c r="S103" s="156" t="inlineStr">
        <is>
          <t>WR</t>
        </is>
      </c>
    </row>
    <row r="104" hidden="1" ht="15.6" customHeight="1" s="152">
      <c r="A104" s="217" t="n">
        <v>103</v>
      </c>
      <c r="B104" s="218">
        <f>VLOOKUP(G104,Matrix!R:AA,10,0)</f>
        <v/>
      </c>
      <c r="C104" s="156">
        <f>IF(K104&gt;=0.01,K104,IFERROR(VLOOKUP(F104&amp;G104,Pass!B:C,2,0),K104)+SUM(L104:N104))</f>
        <v/>
      </c>
      <c r="D104" s="218">
        <f>_xlfn.IFNA(INDEX('Injury Report'!F:F, MATCH(G104&amp;F104, 'Injury Report'!A:A, 0)), "Healthy")</f>
        <v/>
      </c>
      <c r="E104" s="219">
        <f>VLOOKUP(A104,'QB Depth'!A:G,7,0)-1</f>
        <v/>
      </c>
      <c r="F104" s="218">
        <f>VLOOKUP(A104,'QB Depth'!A:C,3,0)</f>
        <v/>
      </c>
      <c r="G104" s="218">
        <f>VLOOKUP(A104,'QB Depth'!A:B,2,0)</f>
        <v/>
      </c>
      <c r="H104" s="218">
        <f>VLOOKUP(A104,'QB Depth'!A:D,4,0)</f>
        <v/>
      </c>
      <c r="I104" s="218">
        <f>H104&amp;E104</f>
        <v/>
      </c>
      <c r="J104" s="220">
        <f>IF(VLOOKUP(F104,Pass!F:G,2,0)=G104,"OK","Check Team")</f>
        <v/>
      </c>
      <c r="K104" s="156" t="n"/>
      <c r="L104" s="156">
        <f>IFERROR(VLOOKUP(F104&amp;G104,Pass!B:C,2,0),0)</f>
        <v/>
      </c>
      <c r="M104" s="156">
        <f>IFERROR(VLOOKUP(F104&amp;G104,Rush!B:C,2,0),0)</f>
        <v/>
      </c>
      <c r="N104" s="156">
        <f>IFERROR(VLOOKUP(F104&amp;G104,Rec!B:C,2,0),0)</f>
        <v/>
      </c>
      <c r="O104" s="156">
        <f>IFERROR(VLOOKUP(F104&amp;G104,Returns!A:B,2,0),0)</f>
        <v/>
      </c>
      <c r="Q104" s="156" t="inlineStr">
        <is>
          <t>Keon Coleman</t>
        </is>
      </c>
      <c r="R104" s="156" t="inlineStr">
        <is>
          <t>BUF</t>
        </is>
      </c>
      <c r="S104" s="156" t="inlineStr">
        <is>
          <t>WR</t>
        </is>
      </c>
    </row>
    <row r="105" hidden="1" ht="15.6" customHeight="1" s="152">
      <c r="A105" s="217" t="n">
        <v>104</v>
      </c>
      <c r="B105" s="218">
        <f>VLOOKUP(G105,Matrix!R:AA,10,0)</f>
        <v/>
      </c>
      <c r="C105" s="156">
        <f>IF(K105&gt;=0.01,K105,IFERROR(VLOOKUP(F105&amp;G105,Pass!B:C,2,0),K105)+SUM(L105:N105))</f>
        <v/>
      </c>
      <c r="D105" s="218">
        <f>_xlfn.IFNA(INDEX('Injury Report'!F:F, MATCH(G105&amp;F105, 'Injury Report'!A:A, 0)), "Healthy")</f>
        <v/>
      </c>
      <c r="E105" s="219">
        <f>VLOOKUP(A105,'QB Depth'!A:G,7,0)-1</f>
        <v/>
      </c>
      <c r="F105" s="218">
        <f>VLOOKUP(A105,'QB Depth'!A:C,3,0)</f>
        <v/>
      </c>
      <c r="G105" s="218">
        <f>VLOOKUP(A105,'QB Depth'!A:B,2,0)</f>
        <v/>
      </c>
      <c r="H105" s="218">
        <f>VLOOKUP(A105,'QB Depth'!A:D,4,0)</f>
        <v/>
      </c>
      <c r="I105" s="218">
        <f>H105&amp;E105</f>
        <v/>
      </c>
      <c r="J105" s="220">
        <f>IF(VLOOKUP(F105,Pass!F:G,2,0)=G105,"OK","Check Team")</f>
        <v/>
      </c>
      <c r="K105" s="156" t="n"/>
      <c r="L105" s="156">
        <f>IFERROR(VLOOKUP(F105&amp;G105,Pass!B:C,2,0),0)</f>
        <v/>
      </c>
      <c r="M105" s="156">
        <f>IFERROR(VLOOKUP(F105&amp;G105,Rush!B:C,2,0),0)</f>
        <v/>
      </c>
      <c r="N105" s="156">
        <f>IFERROR(VLOOKUP(F105&amp;G105,Rec!B:C,2,0),0)</f>
        <v/>
      </c>
      <c r="O105" s="156">
        <f>IFERROR(VLOOKUP(F105&amp;G105,Returns!A:B,2,0),0)</f>
        <v/>
      </c>
      <c r="Q105" s="156" t="inlineStr">
        <is>
          <t>Nico Collins</t>
        </is>
      </c>
      <c r="R105" s="156" t="inlineStr">
        <is>
          <t>HOU</t>
        </is>
      </c>
      <c r="S105" s="156" t="inlineStr">
        <is>
          <t>WR</t>
        </is>
      </c>
    </row>
    <row r="106" hidden="1" ht="15.6" customHeight="1" s="152">
      <c r="A106" s="217" t="n">
        <v>105</v>
      </c>
      <c r="B106" s="218">
        <f>VLOOKUP(G106,Matrix!R:AA,10,0)</f>
        <v/>
      </c>
      <c r="C106" s="156">
        <f>IF(K106&gt;=0.01,K106,IFERROR(VLOOKUP(F106&amp;G106,Pass!B:C,2,0),K106)+SUM(L106:N106))</f>
        <v/>
      </c>
      <c r="D106" s="218">
        <f>_xlfn.IFNA(INDEX('Injury Report'!F:F, MATCH(G106&amp;F106, 'Injury Report'!A:A, 0)), "Healthy")</f>
        <v/>
      </c>
      <c r="E106" s="219">
        <f>VLOOKUP(A106,'QB Depth'!A:G,7,0)-1</f>
        <v/>
      </c>
      <c r="F106" s="218">
        <f>VLOOKUP(A106,'QB Depth'!A:C,3,0)</f>
        <v/>
      </c>
      <c r="G106" s="218">
        <f>VLOOKUP(A106,'QB Depth'!A:B,2,0)</f>
        <v/>
      </c>
      <c r="H106" s="218">
        <f>VLOOKUP(A106,'QB Depth'!A:D,4,0)</f>
        <v/>
      </c>
      <c r="I106" s="218">
        <f>H106&amp;E106</f>
        <v/>
      </c>
      <c r="J106" s="220">
        <f>IF(VLOOKUP(F106,Pass!F:G,2,0)=G106,"OK","Check Team")</f>
        <v/>
      </c>
      <c r="K106" s="156" t="n"/>
      <c r="L106" s="156">
        <f>IFERROR(VLOOKUP(F106&amp;G106,Pass!B:C,2,0),0)</f>
        <v/>
      </c>
      <c r="M106" s="156">
        <f>IFERROR(VLOOKUP(F106&amp;G106,Rush!B:C,2,0),0)</f>
        <v/>
      </c>
      <c r="N106" s="156">
        <f>IFERROR(VLOOKUP(F106&amp;G106,Rec!B:C,2,0),0)</f>
        <v/>
      </c>
      <c r="O106" s="156">
        <f>IFERROR(VLOOKUP(F106&amp;G106,Returns!A:B,2,0),0)</f>
        <v/>
      </c>
      <c r="Q106" s="156" t="inlineStr">
        <is>
          <t>Tyler Conklin</t>
        </is>
      </c>
      <c r="R106" s="156" t="inlineStr">
        <is>
          <t>NYJ</t>
        </is>
      </c>
      <c r="S106" s="156" t="inlineStr">
        <is>
          <t>TE</t>
        </is>
      </c>
    </row>
    <row r="107" hidden="1" ht="15.6" customHeight="1" s="152">
      <c r="A107" s="217" t="n">
        <v>106</v>
      </c>
      <c r="B107" s="218">
        <f>VLOOKUP(G107,Matrix!R:AA,10,0)</f>
        <v/>
      </c>
      <c r="C107" s="156">
        <f>IF(K107&gt;=0.01,K107,IFERROR(VLOOKUP(F107&amp;G107,Pass!B:C,2,0),K107)+SUM(L107:N107))</f>
        <v/>
      </c>
      <c r="D107" s="218">
        <f>_xlfn.IFNA(INDEX('Injury Report'!F:F, MATCH(G107&amp;F107, 'Injury Report'!A:A, 0)), "Healthy")</f>
        <v/>
      </c>
      <c r="E107" s="219">
        <f>VLOOKUP(A107,'QB Depth'!A:G,7,0)-1</f>
        <v/>
      </c>
      <c r="F107" s="218">
        <f>VLOOKUP(A107,'QB Depth'!A:C,3,0)</f>
        <v/>
      </c>
      <c r="G107" s="218">
        <f>VLOOKUP(A107,'QB Depth'!A:B,2,0)</f>
        <v/>
      </c>
      <c r="H107" s="218">
        <f>VLOOKUP(A107,'QB Depth'!A:D,4,0)</f>
        <v/>
      </c>
      <c r="I107" s="218">
        <f>H107&amp;E107</f>
        <v/>
      </c>
      <c r="J107" s="220">
        <f>IF(VLOOKUP(F107,Pass!F:G,2,0)=G107,"OK","Check Team")</f>
        <v/>
      </c>
      <c r="K107" s="156" t="n"/>
      <c r="L107" s="156">
        <f>IFERROR(VLOOKUP(F107&amp;G107,Pass!B:C,2,0),0)</f>
        <v/>
      </c>
      <c r="M107" s="156">
        <f>IFERROR(VLOOKUP(F107&amp;G107,Rush!B:C,2,0),0)</f>
        <v/>
      </c>
      <c r="N107" s="156">
        <f>IFERROR(VLOOKUP(F107&amp;G107,Rec!B:C,2,0),0)</f>
        <v/>
      </c>
      <c r="O107" s="156">
        <f>IFERROR(VLOOKUP(F107&amp;G107,Returns!A:B,2,0),0)</f>
        <v/>
      </c>
      <c r="Q107" s="156" t="inlineStr">
        <is>
          <t>Chris Conley</t>
        </is>
      </c>
      <c r="R107" s="156" t="inlineStr">
        <is>
          <t>SF</t>
        </is>
      </c>
      <c r="S107" s="156" t="inlineStr">
        <is>
          <t>WR</t>
        </is>
      </c>
    </row>
    <row r="108" hidden="1" ht="15.6" customHeight="1" s="152">
      <c r="A108" s="217" t="n">
        <v>107</v>
      </c>
      <c r="B108" s="218">
        <f>VLOOKUP(G108,Matrix!R:AA,10,0)</f>
        <v/>
      </c>
      <c r="C108" s="156">
        <f>IF(K108&gt;=0.01,K108,IFERROR(VLOOKUP(F108&amp;G108,Pass!B:C,2,0),K108)+SUM(L108:N108))</f>
        <v/>
      </c>
      <c r="D108" s="218">
        <f>_xlfn.IFNA(INDEX('Injury Report'!F:F, MATCH(G108&amp;F108, 'Injury Report'!A:A, 0)), "Healthy")</f>
        <v/>
      </c>
      <c r="E108" s="219">
        <f>VLOOKUP(A108,'QB Depth'!A:G,7,0)-1</f>
        <v/>
      </c>
      <c r="F108" s="218">
        <f>VLOOKUP(A108,'QB Depth'!A:C,3,0)</f>
        <v/>
      </c>
      <c r="G108" s="218">
        <f>VLOOKUP(A108,'QB Depth'!A:B,2,0)</f>
        <v/>
      </c>
      <c r="H108" s="218">
        <f>VLOOKUP(A108,'QB Depth'!A:D,4,0)</f>
        <v/>
      </c>
      <c r="I108" s="218">
        <f>H108&amp;E108</f>
        <v/>
      </c>
      <c r="J108" s="220">
        <f>IF(VLOOKUP(F108,Pass!F:G,2,0)=G108,"OK","Check Team")</f>
        <v/>
      </c>
      <c r="K108" s="156" t="n"/>
      <c r="L108" s="156">
        <f>IFERROR(VLOOKUP(F108&amp;G108,Pass!B:C,2,0),0)</f>
        <v/>
      </c>
      <c r="M108" s="156">
        <f>IFERROR(VLOOKUP(F108&amp;G108,Rush!B:C,2,0),0)</f>
        <v/>
      </c>
      <c r="N108" s="156">
        <f>IFERROR(VLOOKUP(F108&amp;G108,Rec!B:C,2,0),0)</f>
        <v/>
      </c>
      <c r="O108" s="156">
        <f>IFERROR(VLOOKUP(F108&amp;G108,Returns!A:B,2,0),0)</f>
        <v/>
      </c>
      <c r="Q108" s="156" t="inlineStr">
        <is>
          <t>James Conner</t>
        </is>
      </c>
      <c r="R108" s="156" t="inlineStr">
        <is>
          <t>ARI</t>
        </is>
      </c>
      <c r="S108" s="156" t="inlineStr">
        <is>
          <t>RB</t>
        </is>
      </c>
    </row>
    <row r="109" hidden="1" ht="15.6" customHeight="1" s="152">
      <c r="A109" s="217" t="n">
        <v>108</v>
      </c>
      <c r="B109" s="218">
        <f>VLOOKUP(G109,Matrix!R:AA,10,0)</f>
        <v/>
      </c>
      <c r="C109" s="156">
        <f>IF(K109&gt;=0.01,K109,IFERROR(VLOOKUP(F109&amp;G109,Pass!B:C,2,0),K109)+SUM(L109:N109))</f>
        <v/>
      </c>
      <c r="D109" s="218">
        <f>_xlfn.IFNA(INDEX('Injury Report'!F:F, MATCH(G109&amp;F109, 'Injury Report'!A:A, 0)), "Healthy")</f>
        <v/>
      </c>
      <c r="E109" s="219">
        <f>VLOOKUP(A109,'QB Depth'!A:G,7,0)-1</f>
        <v/>
      </c>
      <c r="F109" s="218">
        <f>VLOOKUP(A109,'QB Depth'!A:C,3,0)</f>
        <v/>
      </c>
      <c r="G109" s="218">
        <f>VLOOKUP(A109,'QB Depth'!A:B,2,0)</f>
        <v/>
      </c>
      <c r="H109" s="218">
        <f>VLOOKUP(A109,'QB Depth'!A:D,4,0)</f>
        <v/>
      </c>
      <c r="I109" s="218">
        <f>H109&amp;E109</f>
        <v/>
      </c>
      <c r="J109" s="220">
        <f>IF(VLOOKUP(F109,Pass!F:G,2,0)=G109,"OK","Check Team")</f>
        <v/>
      </c>
      <c r="K109" s="156" t="n"/>
      <c r="L109" s="156">
        <f>IFERROR(VLOOKUP(F109&amp;G109,Pass!B:C,2,0),0)</f>
        <v/>
      </c>
      <c r="M109" s="156">
        <f>IFERROR(VLOOKUP(F109&amp;G109,Rush!B:C,2,0),0)</f>
        <v/>
      </c>
      <c r="N109" s="156">
        <f>IFERROR(VLOOKUP(F109&amp;G109,Rec!B:C,2,0),0)</f>
        <v/>
      </c>
      <c r="O109" s="156">
        <f>IFERROR(VLOOKUP(F109&amp;G109,Returns!A:B,2,0),0)</f>
        <v/>
      </c>
      <c r="Q109" s="156" t="inlineStr">
        <is>
          <t>Dalvin Cook</t>
        </is>
      </c>
      <c r="R109" s="156" t="inlineStr">
        <is>
          <t>FA</t>
        </is>
      </c>
      <c r="S109" s="156" t="inlineStr">
        <is>
          <t>RB</t>
        </is>
      </c>
    </row>
    <row r="110" hidden="1" ht="15.6" customHeight="1" s="152">
      <c r="A110" s="217" t="n">
        <v>109</v>
      </c>
      <c r="B110" s="218">
        <f>VLOOKUP(G110,Matrix!R:AA,10,0)</f>
        <v/>
      </c>
      <c r="C110" s="156">
        <f>IF(K110&gt;=0.01,K110,IFERROR(VLOOKUP(F110&amp;G110,Pass!B:C,2,0),K110)+SUM(L110:N110))</f>
        <v/>
      </c>
      <c r="D110" s="218">
        <f>_xlfn.IFNA(INDEX('Injury Report'!F:F, MATCH(G110&amp;F110, 'Injury Report'!A:A, 0)), "Healthy")</f>
        <v/>
      </c>
      <c r="E110" s="219">
        <f>VLOOKUP(A110,'QB Depth'!A:G,7,0)-1</f>
        <v/>
      </c>
      <c r="F110" s="218">
        <f>VLOOKUP(A110,'QB Depth'!A:C,3,0)</f>
        <v/>
      </c>
      <c r="G110" s="218">
        <f>VLOOKUP(A110,'QB Depth'!A:B,2,0)</f>
        <v/>
      </c>
      <c r="H110" s="218">
        <f>VLOOKUP(A110,'QB Depth'!A:D,4,0)</f>
        <v/>
      </c>
      <c r="I110" s="218">
        <f>H110&amp;E110</f>
        <v/>
      </c>
      <c r="J110" s="220">
        <f>IF(VLOOKUP(F110,Pass!F:G,2,0)=G110,"OK","Check Team")</f>
        <v/>
      </c>
      <c r="K110" s="156" t="n"/>
      <c r="L110" s="156">
        <f>IFERROR(VLOOKUP(F110&amp;G110,Pass!B:C,2,0),0)</f>
        <v/>
      </c>
      <c r="M110" s="156">
        <f>IFERROR(VLOOKUP(F110&amp;G110,Rush!B:C,2,0),0)</f>
        <v/>
      </c>
      <c r="N110" s="156">
        <f>IFERROR(VLOOKUP(F110&amp;G110,Rec!B:C,2,0),0)</f>
        <v/>
      </c>
      <c r="O110" s="156">
        <f>IFERROR(VLOOKUP(F110&amp;G110,Returns!A:B,2,0),0)</f>
        <v/>
      </c>
      <c r="Q110" s="156" t="inlineStr">
        <is>
          <t>James Cook</t>
        </is>
      </c>
      <c r="R110" s="156" t="inlineStr">
        <is>
          <t>BUF</t>
        </is>
      </c>
      <c r="S110" s="156" t="inlineStr">
        <is>
          <t>RB</t>
        </is>
      </c>
    </row>
    <row r="111" hidden="1" ht="15.6" customHeight="1" s="152">
      <c r="A111" s="217" t="n">
        <v>110</v>
      </c>
      <c r="B111" s="218">
        <f>VLOOKUP(G111,Matrix!R:AA,10,0)</f>
        <v/>
      </c>
      <c r="C111" s="156">
        <f>IF(K111&gt;=0.01,K111,IFERROR(VLOOKUP(F111&amp;G111,Pass!B:C,2,0),K111)+SUM(L111:N111))</f>
        <v/>
      </c>
      <c r="D111" s="218">
        <f>_xlfn.IFNA(INDEX('Injury Report'!F:F, MATCH(G111&amp;F111, 'Injury Report'!A:A, 0)), "Healthy")</f>
        <v/>
      </c>
      <c r="E111" s="219">
        <f>VLOOKUP(A111,'QB Depth'!A:G,7,0)-1</f>
        <v/>
      </c>
      <c r="F111" s="218">
        <f>VLOOKUP(A111,'QB Depth'!A:C,3,0)</f>
        <v/>
      </c>
      <c r="G111" s="218">
        <f>VLOOKUP(A111,'QB Depth'!A:B,2,0)</f>
        <v/>
      </c>
      <c r="H111" s="218">
        <f>VLOOKUP(A111,'QB Depth'!A:D,4,0)</f>
        <v/>
      </c>
      <c r="I111" s="218">
        <f>H111&amp;E111</f>
        <v/>
      </c>
      <c r="J111" s="220">
        <f>IF(VLOOKUP(F111,Pass!F:G,2,0)=G111,"OK","Check Team")</f>
        <v/>
      </c>
      <c r="K111" s="156" t="n"/>
      <c r="L111" s="156">
        <f>IFERROR(VLOOKUP(F111&amp;G111,Pass!B:C,2,0),0)</f>
        <v/>
      </c>
      <c r="M111" s="156">
        <f>IFERROR(VLOOKUP(F111&amp;G111,Rush!B:C,2,0),0)</f>
        <v/>
      </c>
      <c r="N111" s="156">
        <f>IFERROR(VLOOKUP(F111&amp;G111,Rec!B:C,2,0),0)</f>
        <v/>
      </c>
      <c r="O111" s="156">
        <f>IFERROR(VLOOKUP(F111&amp;G111,Returns!A:B,2,0),0)</f>
        <v/>
      </c>
      <c r="Q111" s="156" t="inlineStr">
        <is>
          <t>Brandin Cooks</t>
        </is>
      </c>
      <c r="R111" s="156" t="inlineStr">
        <is>
          <t>DAL</t>
        </is>
      </c>
      <c r="S111" s="156" t="inlineStr">
        <is>
          <t>WR</t>
        </is>
      </c>
    </row>
    <row r="112" hidden="1" ht="15.6" customHeight="1" s="152">
      <c r="A112" s="217" t="n">
        <v>111</v>
      </c>
      <c r="B112" s="218">
        <f>VLOOKUP(G112,Matrix!R:AA,10,0)</f>
        <v/>
      </c>
      <c r="C112" s="156">
        <f>IF(K112&gt;=0.01,K112,IFERROR(VLOOKUP(F112&amp;G112,Pass!B:C,2,0),K112)+SUM(L112:N112))</f>
        <v/>
      </c>
      <c r="D112" s="218">
        <f>_xlfn.IFNA(INDEX('Injury Report'!F:F, MATCH(G112&amp;F112, 'Injury Report'!A:A, 0)), "Healthy")</f>
        <v/>
      </c>
      <c r="E112" s="219">
        <f>VLOOKUP(A112,'QB Depth'!A:G,7,0)-1</f>
        <v/>
      </c>
      <c r="F112" s="218">
        <f>VLOOKUP(A112,'QB Depth'!A:C,3,0)</f>
        <v/>
      </c>
      <c r="G112" s="218">
        <f>VLOOKUP(A112,'QB Depth'!A:B,2,0)</f>
        <v/>
      </c>
      <c r="H112" s="218">
        <f>VLOOKUP(A112,'QB Depth'!A:D,4,0)</f>
        <v/>
      </c>
      <c r="I112" s="218">
        <f>H112&amp;E112</f>
        <v/>
      </c>
      <c r="J112" s="220">
        <f>IF(VLOOKUP(F112,Pass!F:G,2,0)=G112,"OK","Check Team")</f>
        <v/>
      </c>
      <c r="K112" s="156" t="n"/>
      <c r="L112" s="156">
        <f>IFERROR(VLOOKUP(F112&amp;G112,Pass!B:C,2,0),0)</f>
        <v/>
      </c>
      <c r="M112" s="156">
        <f>IFERROR(VLOOKUP(F112&amp;G112,Rush!B:C,2,0),0)</f>
        <v/>
      </c>
      <c r="N112" s="156">
        <f>IFERROR(VLOOKUP(F112&amp;G112,Rec!B:C,2,0),0)</f>
        <v/>
      </c>
      <c r="O112" s="156">
        <f>IFERROR(VLOOKUP(F112&amp;G112,Returns!A:B,2,0),0)</f>
        <v/>
      </c>
      <c r="Q112" s="156" t="inlineStr">
        <is>
          <t>Amari Cooper</t>
        </is>
      </c>
      <c r="R112" s="156" t="inlineStr">
        <is>
          <t>BUF</t>
        </is>
      </c>
      <c r="S112" s="156" t="inlineStr">
        <is>
          <t>WR</t>
        </is>
      </c>
    </row>
    <row r="113" hidden="1" ht="15.6" customHeight="1" s="152">
      <c r="A113" s="217" t="n">
        <v>112</v>
      </c>
      <c r="B113" s="218">
        <f>VLOOKUP(G113,Matrix!R:AA,10,0)</f>
        <v/>
      </c>
      <c r="C113" s="156">
        <f>IF(K113&gt;=0.01,K113,IFERROR(VLOOKUP(F113&amp;G113,Pass!B:C,2,0),K113)+SUM(L113:N113))</f>
        <v/>
      </c>
      <c r="D113" s="218">
        <f>_xlfn.IFNA(INDEX('Injury Report'!F:F, MATCH(G113&amp;F113, 'Injury Report'!A:A, 0)), "Healthy")</f>
        <v/>
      </c>
      <c r="E113" s="219">
        <f>VLOOKUP(A113,'QB Depth'!A:G,7,0)-1</f>
        <v/>
      </c>
      <c r="F113" s="218">
        <f>VLOOKUP(A113,'QB Depth'!A:C,3,0)</f>
        <v/>
      </c>
      <c r="G113" s="218">
        <f>VLOOKUP(A113,'QB Depth'!A:B,2,0)</f>
        <v/>
      </c>
      <c r="H113" s="218">
        <f>VLOOKUP(A113,'QB Depth'!A:D,4,0)</f>
        <v/>
      </c>
      <c r="I113" s="218">
        <f>H113&amp;E113</f>
        <v/>
      </c>
      <c r="J113" s="220">
        <f>IF(VLOOKUP(F113,Pass!F:G,2,0)=G113,"OK","Check Team")</f>
        <v/>
      </c>
      <c r="K113" s="156" t="n"/>
      <c r="L113" s="156">
        <f>IFERROR(VLOOKUP(F113&amp;G113,Pass!B:C,2,0),0)</f>
        <v/>
      </c>
      <c r="M113" s="156">
        <f>IFERROR(VLOOKUP(F113&amp;G113,Rush!B:C,2,0),0)</f>
        <v/>
      </c>
      <c r="N113" s="156">
        <f>IFERROR(VLOOKUP(F113&amp;G113,Rec!B:C,2,0),0)</f>
        <v/>
      </c>
      <c r="O113" s="156">
        <f>IFERROR(VLOOKUP(F113&amp;G113,Returns!A:B,2,0),0)</f>
        <v/>
      </c>
      <c r="Q113" s="156" t="inlineStr">
        <is>
          <t>Malachi Corley</t>
        </is>
      </c>
      <c r="R113" s="156" t="inlineStr">
        <is>
          <t>NYJ</t>
        </is>
      </c>
      <c r="S113" s="156" t="inlineStr">
        <is>
          <t>WR</t>
        </is>
      </c>
    </row>
    <row r="114" hidden="1" ht="15.6" customHeight="1" s="152">
      <c r="A114" s="217" t="n">
        <v>113</v>
      </c>
      <c r="B114" s="218">
        <f>VLOOKUP(G114,Matrix!R:AA,10,0)</f>
        <v/>
      </c>
      <c r="C114" s="156">
        <f>IF(K114&gt;=0.01,K114,IFERROR(VLOOKUP(F114&amp;G114,Pass!B:C,2,0),K114)+SUM(L114:N114))</f>
        <v/>
      </c>
      <c r="D114" s="218">
        <f>_xlfn.IFNA(INDEX('Injury Report'!F:F, MATCH(G114&amp;F114, 'Injury Report'!A:A, 0)), "Healthy")</f>
        <v/>
      </c>
      <c r="E114" s="219">
        <f>VLOOKUP(A114,'QB Depth'!A:G,7,0)-1</f>
        <v/>
      </c>
      <c r="F114" s="218">
        <f>VLOOKUP(A114,'QB Depth'!A:C,3,0)</f>
        <v/>
      </c>
      <c r="G114" s="218">
        <f>VLOOKUP(A114,'QB Depth'!A:B,2,0)</f>
        <v/>
      </c>
      <c r="H114" s="218">
        <f>VLOOKUP(A114,'QB Depth'!A:D,4,0)</f>
        <v/>
      </c>
      <c r="I114" s="218">
        <f>H114&amp;E114</f>
        <v/>
      </c>
      <c r="J114" s="220">
        <f>IF(VLOOKUP(F114,Pass!F:G,2,0)=G114,"OK","Check Team")</f>
        <v/>
      </c>
      <c r="K114" s="156" t="n"/>
      <c r="L114" s="156">
        <f>IFERROR(VLOOKUP(F114&amp;G114,Pass!B:C,2,0),0)</f>
        <v/>
      </c>
      <c r="M114" s="156">
        <f>IFERROR(VLOOKUP(F114&amp;G114,Rush!B:C,2,0),0)</f>
        <v/>
      </c>
      <c r="N114" s="156">
        <f>IFERROR(VLOOKUP(F114&amp;G114,Rec!B:C,2,0),0)</f>
        <v/>
      </c>
      <c r="O114" s="156">
        <f>IFERROR(VLOOKUP(F114&amp;G114,Returns!A:B,2,0),0)</f>
        <v/>
      </c>
      <c r="Q114" s="156" t="inlineStr">
        <is>
          <t>Blake Corum</t>
        </is>
      </c>
      <c r="R114" s="156" t="inlineStr">
        <is>
          <t>LAR</t>
        </is>
      </c>
      <c r="S114" s="156" t="inlineStr">
        <is>
          <t>RB</t>
        </is>
      </c>
    </row>
    <row r="115" hidden="1" ht="15.6" customHeight="1" s="152">
      <c r="A115" s="217" t="n">
        <v>114</v>
      </c>
      <c r="B115" s="218">
        <f>VLOOKUP(G115,Matrix!R:AA,10,0)</f>
        <v/>
      </c>
      <c r="C115" s="156">
        <f>IF(K115&gt;=0.01,K115,IFERROR(VLOOKUP(F115&amp;G115,Pass!B:C,2,0),K115)+SUM(L115:N115))</f>
        <v/>
      </c>
      <c r="D115" s="218">
        <f>_xlfn.IFNA(INDEX('Injury Report'!F:F, MATCH(G115&amp;F115, 'Injury Report'!A:A, 0)), "Healthy")</f>
        <v/>
      </c>
      <c r="E115" s="219">
        <f>VLOOKUP(A115,'QB Depth'!A:G,7,0)-1</f>
        <v/>
      </c>
      <c r="F115" s="218">
        <f>VLOOKUP(A115,'QB Depth'!A:C,3,0)</f>
        <v/>
      </c>
      <c r="G115" s="218">
        <f>VLOOKUP(A115,'QB Depth'!A:B,2,0)</f>
        <v/>
      </c>
      <c r="H115" s="218">
        <f>VLOOKUP(A115,'QB Depth'!A:D,4,0)</f>
        <v/>
      </c>
      <c r="I115" s="218">
        <f>H115&amp;E115</f>
        <v/>
      </c>
      <c r="J115" s="220">
        <f>IF(VLOOKUP(F115,Pass!F:G,2,0)=G115,"OK","Check Team")</f>
        <v/>
      </c>
      <c r="K115" s="156" t="n"/>
      <c r="L115" s="156">
        <f>IFERROR(VLOOKUP(F115&amp;G115,Pass!B:C,2,0),0)</f>
        <v/>
      </c>
      <c r="M115" s="156">
        <f>IFERROR(VLOOKUP(F115&amp;G115,Rush!B:C,2,0),0)</f>
        <v/>
      </c>
      <c r="N115" s="156">
        <f>IFERROR(VLOOKUP(F115&amp;G115,Rec!B:C,2,0),0)</f>
        <v/>
      </c>
      <c r="O115" s="156">
        <f>IFERROR(VLOOKUP(F115&amp;G115,Returns!A:B,2,0),0)</f>
        <v/>
      </c>
      <c r="Q115" s="156" t="inlineStr">
        <is>
          <t>Kirk Cousins</t>
        </is>
      </c>
      <c r="R115" s="156" t="inlineStr">
        <is>
          <t>ATL</t>
        </is>
      </c>
      <c r="S115" s="156" t="inlineStr">
        <is>
          <t>QB</t>
        </is>
      </c>
    </row>
    <row r="116" hidden="1" ht="15.6" customHeight="1" s="152">
      <c r="A116" s="217" t="n">
        <v>115</v>
      </c>
      <c r="B116" s="218">
        <f>VLOOKUP(G116,Matrix!R:AA,10,0)</f>
        <v/>
      </c>
      <c r="C116" s="156">
        <f>IF(K116&gt;=0.01,K116,IFERROR(VLOOKUP(F116&amp;G116,Pass!B:C,2,0),K116)+SUM(L116:N116))</f>
        <v/>
      </c>
      <c r="D116" s="218">
        <f>_xlfn.IFNA(INDEX('Injury Report'!F:F, MATCH(G116&amp;F116, 'Injury Report'!A:A, 0)), "Healthy")</f>
        <v/>
      </c>
      <c r="E116" s="219">
        <f>VLOOKUP(A116,'QB Depth'!A:G,7,0)-1</f>
        <v/>
      </c>
      <c r="F116" s="218">
        <f>VLOOKUP(A116,'QB Depth'!A:C,3,0)</f>
        <v/>
      </c>
      <c r="G116" s="218">
        <f>VLOOKUP(A116,'QB Depth'!A:B,2,0)</f>
        <v/>
      </c>
      <c r="H116" s="218">
        <f>VLOOKUP(A116,'QB Depth'!A:D,4,0)</f>
        <v/>
      </c>
      <c r="I116" s="218">
        <f>H116&amp;E116</f>
        <v/>
      </c>
      <c r="J116" s="220">
        <f>IF(VLOOKUP(F116,Pass!F:G,2,0)=G116,"OK","Check Team")</f>
        <v/>
      </c>
      <c r="K116" s="156" t="n"/>
      <c r="L116" s="156">
        <f>IFERROR(VLOOKUP(F116&amp;G116,Pass!B:C,2,0),0)</f>
        <v/>
      </c>
      <c r="M116" s="156">
        <f>IFERROR(VLOOKUP(F116&amp;G116,Rush!B:C,2,0),0)</f>
        <v/>
      </c>
      <c r="N116" s="156">
        <f>IFERROR(VLOOKUP(F116&amp;G116,Rec!B:C,2,0),0)</f>
        <v/>
      </c>
      <c r="O116" s="156">
        <f>IFERROR(VLOOKUP(F116&amp;G116,Returns!A:B,2,0),0)</f>
        <v/>
      </c>
      <c r="Q116" s="156" t="inlineStr">
        <is>
          <t>Britain Covey</t>
        </is>
      </c>
      <c r="R116" s="156" t="inlineStr">
        <is>
          <t>PHI</t>
        </is>
      </c>
      <c r="S116" s="156" t="inlineStr">
        <is>
          <t>WR</t>
        </is>
      </c>
    </row>
    <row r="117" hidden="1" ht="15.6" customHeight="1" s="152">
      <c r="A117" s="217" t="n">
        <v>116</v>
      </c>
      <c r="B117" s="218">
        <f>VLOOKUP(G117,Matrix!R:AA,10,0)</f>
        <v/>
      </c>
      <c r="C117" s="156">
        <f>IF(K117&gt;=0.01,K117,IFERROR(VLOOKUP(F117&amp;G117,Pass!B:C,2,0),K117)+SUM(L117:N117))</f>
        <v/>
      </c>
      <c r="D117" s="218">
        <f>_xlfn.IFNA(INDEX('Injury Report'!F:F, MATCH(G117&amp;F117, 'Injury Report'!A:A, 0)), "Healthy")</f>
        <v/>
      </c>
      <c r="E117" s="219">
        <f>VLOOKUP(A117,'QB Depth'!A:G,7,0)-1</f>
        <v/>
      </c>
      <c r="F117" s="218">
        <f>VLOOKUP(A117,'QB Depth'!A:C,3,0)</f>
        <v/>
      </c>
      <c r="G117" s="218">
        <f>VLOOKUP(A117,'QB Depth'!A:B,2,0)</f>
        <v/>
      </c>
      <c r="H117" s="218">
        <f>VLOOKUP(A117,'QB Depth'!A:D,4,0)</f>
        <v/>
      </c>
      <c r="I117" s="218">
        <f>H117&amp;E117</f>
        <v/>
      </c>
      <c r="J117" s="220">
        <f>IF(VLOOKUP(F117,Pass!F:G,2,0)=G117,"OK","Check Team")</f>
        <v/>
      </c>
      <c r="K117" s="156" t="n"/>
      <c r="L117" s="156">
        <f>IFERROR(VLOOKUP(F117&amp;G117,Pass!B:C,2,0),0)</f>
        <v/>
      </c>
      <c r="M117" s="156">
        <f>IFERROR(VLOOKUP(F117&amp;G117,Rush!B:C,2,0),0)</f>
        <v/>
      </c>
      <c r="N117" s="156">
        <f>IFERROR(VLOOKUP(F117&amp;G117,Rec!B:C,2,0),0)</f>
        <v/>
      </c>
      <c r="O117" s="156">
        <f>IFERROR(VLOOKUP(F117&amp;G117,Returns!A:B,2,0),0)</f>
        <v/>
      </c>
      <c r="Q117" s="156" t="inlineStr">
        <is>
          <t>Jacob Cowing</t>
        </is>
      </c>
      <c r="R117" s="156" t="inlineStr">
        <is>
          <t>SF</t>
        </is>
      </c>
      <c r="S117" s="156" t="inlineStr">
        <is>
          <t>WR</t>
        </is>
      </c>
    </row>
    <row r="118" hidden="1" ht="15.6" customHeight="1" s="152">
      <c r="A118" s="217" t="n">
        <v>117</v>
      </c>
      <c r="B118" s="218">
        <f>VLOOKUP(G118,Matrix!R:AA,10,0)</f>
        <v/>
      </c>
      <c r="C118" s="156">
        <f>IF(K118&gt;=0.01,K118,IFERROR(VLOOKUP(F118&amp;G118,Pass!B:C,2,0),K118)+SUM(L118:N118))</f>
        <v/>
      </c>
      <c r="D118" s="218">
        <f>_xlfn.IFNA(INDEX('Injury Report'!F:F, MATCH(G118&amp;F118, 'Injury Report'!A:A, 0)), "Healthy")</f>
        <v/>
      </c>
      <c r="E118" s="219">
        <f>VLOOKUP(A118,'QB Depth'!A:G,7,0)-1</f>
        <v/>
      </c>
      <c r="F118" s="218">
        <f>VLOOKUP(A118,'QB Depth'!A:C,3,0)</f>
        <v/>
      </c>
      <c r="G118" s="218">
        <f>VLOOKUP(A118,'QB Depth'!A:B,2,0)</f>
        <v/>
      </c>
      <c r="H118" s="218">
        <f>VLOOKUP(A118,'QB Depth'!A:D,4,0)</f>
        <v/>
      </c>
      <c r="I118" s="218">
        <f>H118&amp;E118</f>
        <v/>
      </c>
      <c r="J118" s="220">
        <f>IF(VLOOKUP(F118,Pass!F:G,2,0)=G118,"OK","Check Team")</f>
        <v/>
      </c>
      <c r="K118" s="156" t="n"/>
      <c r="L118" s="156">
        <f>IFERROR(VLOOKUP(F118&amp;G118,Pass!B:C,2,0),0)</f>
        <v/>
      </c>
      <c r="M118" s="156">
        <f>IFERROR(VLOOKUP(F118&amp;G118,Rush!B:C,2,0),0)</f>
        <v/>
      </c>
      <c r="N118" s="156">
        <f>IFERROR(VLOOKUP(F118&amp;G118,Rec!B:C,2,0),0)</f>
        <v/>
      </c>
      <c r="O118" s="156">
        <f>IFERROR(VLOOKUP(F118&amp;G118,Returns!A:B,2,0),0)</f>
        <v/>
      </c>
      <c r="Q118" s="156" t="inlineStr">
        <is>
          <t>River Cracraft</t>
        </is>
      </c>
      <c r="R118" s="156" t="inlineStr">
        <is>
          <t>MIA</t>
        </is>
      </c>
      <c r="S118" s="156" t="inlineStr">
        <is>
          <t>WR</t>
        </is>
      </c>
    </row>
    <row r="119" hidden="1" ht="15.6" customHeight="1" s="152">
      <c r="A119" s="217" t="n">
        <v>118</v>
      </c>
      <c r="B119" s="218">
        <f>VLOOKUP(G119,Matrix!R:AA,10,0)</f>
        <v/>
      </c>
      <c r="C119" s="156">
        <f>IF(K119&gt;=0.01,K119,IFERROR(VLOOKUP(F119&amp;G119,Pass!B:C,2,0),K119)+SUM(L119:N119))</f>
        <v/>
      </c>
      <c r="D119" s="218">
        <f>_xlfn.IFNA(INDEX('Injury Report'!F:F, MATCH(G119&amp;F119, 'Injury Report'!A:A, 0)), "Healthy")</f>
        <v/>
      </c>
      <c r="E119" s="219">
        <f>VLOOKUP(A119,'QB Depth'!A:G,7,0)-1</f>
        <v/>
      </c>
      <c r="F119" s="218">
        <f>VLOOKUP(A119,'QB Depth'!A:C,3,0)</f>
        <v/>
      </c>
      <c r="G119" s="218">
        <f>VLOOKUP(A119,'QB Depth'!A:B,2,0)</f>
        <v/>
      </c>
      <c r="H119" s="218">
        <f>VLOOKUP(A119,'QB Depth'!A:D,4,0)</f>
        <v/>
      </c>
      <c r="I119" s="218">
        <f>H119&amp;E119</f>
        <v/>
      </c>
      <c r="J119" s="220">
        <f>IF(VLOOKUP(F119,Pass!F:G,2,0)=G119,"OK","Check Team")</f>
        <v/>
      </c>
      <c r="K119" s="156" t="n"/>
      <c r="L119" s="156">
        <f>IFERROR(VLOOKUP(F119&amp;G119,Pass!B:C,2,0),0)</f>
        <v/>
      </c>
      <c r="M119" s="156">
        <f>IFERROR(VLOOKUP(F119&amp;G119,Rush!B:C,2,0),0)</f>
        <v/>
      </c>
      <c r="N119" s="156">
        <f>IFERROR(VLOOKUP(F119&amp;G119,Rec!B:C,2,0),0)</f>
        <v/>
      </c>
      <c r="O119" s="156">
        <f>IFERROR(VLOOKUP(F119&amp;G119,Returns!A:B,2,0),0)</f>
        <v/>
      </c>
      <c r="Q119" s="156" t="inlineStr">
        <is>
          <t>Mason Crosby</t>
        </is>
      </c>
      <c r="R119" s="156" t="inlineStr">
        <is>
          <t>FA</t>
        </is>
      </c>
      <c r="S119" s="156" t="inlineStr">
        <is>
          <t>K</t>
        </is>
      </c>
    </row>
    <row r="120" hidden="1" ht="15.6" customHeight="1" s="152">
      <c r="A120" s="217" t="n">
        <v>119</v>
      </c>
      <c r="B120" s="218">
        <f>VLOOKUP(G120,Matrix!R:AA,10,0)</f>
        <v/>
      </c>
      <c r="C120" s="156">
        <f>IF(K120&gt;=0.01,K120,IFERROR(VLOOKUP(F120&amp;G120,Pass!B:C,2,0),K120)+SUM(L120:N120))</f>
        <v/>
      </c>
      <c r="D120" s="218">
        <f>_xlfn.IFNA(INDEX('Injury Report'!F:F, MATCH(G120&amp;F120, 'Injury Report'!A:A, 0)), "Healthy")</f>
        <v/>
      </c>
      <c r="E120" s="219">
        <f>VLOOKUP(A120,'QB Depth'!A:G,7,0)-1</f>
        <v/>
      </c>
      <c r="F120" s="218">
        <f>VLOOKUP(A120,'QB Depth'!A:C,3,0)</f>
        <v/>
      </c>
      <c r="G120" s="218">
        <f>VLOOKUP(A120,'QB Depth'!A:B,2,0)</f>
        <v/>
      </c>
      <c r="H120" s="218">
        <f>VLOOKUP(A120,'QB Depth'!A:D,4,0)</f>
        <v/>
      </c>
      <c r="I120" s="218">
        <f>H120&amp;E120</f>
        <v/>
      </c>
      <c r="J120" s="220">
        <f>IF(VLOOKUP(F120,Pass!F:G,2,0)=G120,"OK","Check Team")</f>
        <v/>
      </c>
      <c r="K120" s="156" t="n"/>
      <c r="L120" s="156">
        <f>IFERROR(VLOOKUP(F120&amp;G120,Pass!B:C,2,0),0)</f>
        <v/>
      </c>
      <c r="M120" s="156">
        <f>IFERROR(VLOOKUP(F120&amp;G120,Rush!B:C,2,0),0)</f>
        <v/>
      </c>
      <c r="N120" s="156">
        <f>IFERROR(VLOOKUP(F120&amp;G120,Rec!B:C,2,0),0)</f>
        <v/>
      </c>
      <c r="O120" s="156">
        <f>IFERROR(VLOOKUP(F120&amp;G120,Returns!A:B,2,0),0)</f>
        <v/>
      </c>
      <c r="Q120" s="156" t="inlineStr">
        <is>
          <t>Jamison Crowder</t>
        </is>
      </c>
      <c r="R120" s="156" t="inlineStr">
        <is>
          <t>WAS</t>
        </is>
      </c>
      <c r="S120" s="156" t="inlineStr">
        <is>
          <t>WR</t>
        </is>
      </c>
    </row>
    <row r="121" hidden="1" ht="15.6" customHeight="1" s="152">
      <c r="A121" s="217" t="n">
        <v>120</v>
      </c>
      <c r="B121" s="218">
        <f>VLOOKUP(G121,Matrix!R:AA,10,0)</f>
        <v/>
      </c>
      <c r="C121" s="156">
        <f>IF(K121&gt;=0.01,K121,IFERROR(VLOOKUP(F121&amp;G121,Pass!B:C,2,0),K121)+SUM(L121:N121))</f>
        <v/>
      </c>
      <c r="D121" s="218">
        <f>_xlfn.IFNA(INDEX('Injury Report'!F:F, MATCH(G121&amp;F121, 'Injury Report'!A:A, 0)), "Healthy")</f>
        <v/>
      </c>
      <c r="E121" s="219">
        <f>VLOOKUP(A121,'QB Depth'!A:G,7,0)-1</f>
        <v/>
      </c>
      <c r="F121" s="218">
        <f>VLOOKUP(A121,'QB Depth'!A:C,3,0)</f>
        <v/>
      </c>
      <c r="G121" s="218">
        <f>VLOOKUP(A121,'QB Depth'!A:B,2,0)</f>
        <v/>
      </c>
      <c r="H121" s="218">
        <f>VLOOKUP(A121,'QB Depth'!A:D,4,0)</f>
        <v/>
      </c>
      <c r="I121" s="218">
        <f>H121&amp;E121</f>
        <v/>
      </c>
      <c r="J121" s="220">
        <f>IF(VLOOKUP(F121,Pass!F:G,2,0)=G121,"OK","Check Team")</f>
        <v/>
      </c>
      <c r="K121" s="156" t="n"/>
      <c r="L121" s="156">
        <f>IFERROR(VLOOKUP(F121&amp;G121,Pass!B:C,2,0),0)</f>
        <v/>
      </c>
      <c r="M121" s="156">
        <f>IFERROR(VLOOKUP(F121&amp;G121,Rush!B:C,2,0),0)</f>
        <v/>
      </c>
      <c r="N121" s="156">
        <f>IFERROR(VLOOKUP(F121&amp;G121,Rec!B:C,2,0),0)</f>
        <v/>
      </c>
      <c r="O121" s="156">
        <f>IFERROR(VLOOKUP(F121&amp;G121,Returns!A:B,2,0),0)</f>
        <v/>
      </c>
      <c r="Q121" s="156" t="inlineStr">
        <is>
          <t>Devin Culp</t>
        </is>
      </c>
      <c r="R121" s="156" t="inlineStr">
        <is>
          <t>TB</t>
        </is>
      </c>
      <c r="S121" s="156" t="inlineStr">
        <is>
          <t>TE</t>
        </is>
      </c>
    </row>
    <row r="122" hidden="1" ht="15.6" customHeight="1" s="152">
      <c r="A122" s="217" t="n">
        <v>121</v>
      </c>
      <c r="B122" s="218">
        <f>VLOOKUP(G122,Matrix!R:AA,10,0)</f>
        <v/>
      </c>
      <c r="C122" s="156">
        <f>IF(K122&gt;=0.01,K122,IFERROR(VLOOKUP(F122&amp;G122,Pass!B:C,2,0),K122)+SUM(L122:N122))</f>
        <v/>
      </c>
      <c r="D122" s="218">
        <f>_xlfn.IFNA(INDEX('Injury Report'!F:F, MATCH(G122&amp;F122, 'Injury Report'!A:A, 0)), "Healthy")</f>
        <v/>
      </c>
      <c r="E122" s="219">
        <f>VLOOKUP(A122,'QB Depth'!A:G,7,0)-1</f>
        <v/>
      </c>
      <c r="F122" s="218">
        <f>VLOOKUP(A122,'QB Depth'!A:C,3,0)</f>
        <v/>
      </c>
      <c r="G122" s="218">
        <f>VLOOKUP(A122,'QB Depth'!A:B,2,0)</f>
        <v/>
      </c>
      <c r="H122" s="218">
        <f>VLOOKUP(A122,'QB Depth'!A:D,4,0)</f>
        <v/>
      </c>
      <c r="I122" s="218">
        <f>H122&amp;E122</f>
        <v/>
      </c>
      <c r="J122" s="220">
        <f>IF(VLOOKUP(F122,Pass!F:G,2,0)=G122,"OK","Check Team")</f>
        <v/>
      </c>
      <c r="K122" s="156" t="n"/>
      <c r="L122" s="156">
        <f>IFERROR(VLOOKUP(F122&amp;G122,Pass!B:C,2,0),0)</f>
        <v/>
      </c>
      <c r="M122" s="156">
        <f>IFERROR(VLOOKUP(F122&amp;G122,Rush!B:C,2,0),0)</f>
        <v/>
      </c>
      <c r="N122" s="156">
        <f>IFERROR(VLOOKUP(F122&amp;G122,Rec!B:C,2,0),0)</f>
        <v/>
      </c>
      <c r="O122" s="156">
        <f>IFERROR(VLOOKUP(F122&amp;G122,Returns!A:B,2,0),0)</f>
        <v/>
      </c>
      <c r="Q122" s="156" t="inlineStr">
        <is>
          <t>DeeJay Dallas</t>
        </is>
      </c>
      <c r="R122" s="156" t="inlineStr">
        <is>
          <t>ARI</t>
        </is>
      </c>
      <c r="S122" s="156" t="inlineStr">
        <is>
          <t>RB</t>
        </is>
      </c>
    </row>
    <row r="123" hidden="1" ht="15.6" customHeight="1" s="152">
      <c r="A123" s="217" t="n">
        <v>122</v>
      </c>
      <c r="B123" s="218">
        <f>VLOOKUP(G123,Matrix!R:AA,10,0)</f>
        <v/>
      </c>
      <c r="C123" s="156">
        <f>IF(K123&gt;=0.01,K123,IFERROR(VLOOKUP(F123&amp;G123,Pass!B:C,2,0),K123)+SUM(L123:N123))</f>
        <v/>
      </c>
      <c r="D123" s="218">
        <f>_xlfn.IFNA(INDEX('Injury Report'!F:F, MATCH(G123&amp;F123, 'Injury Report'!A:A, 0)), "Healthy")</f>
        <v/>
      </c>
      <c r="E123" s="219">
        <f>VLOOKUP(A123,'QB Depth'!A:G,7,0)-1</f>
        <v/>
      </c>
      <c r="F123" s="218">
        <f>VLOOKUP(A123,'QB Depth'!A:C,3,0)</f>
        <v/>
      </c>
      <c r="G123" s="218">
        <f>VLOOKUP(A123,'QB Depth'!A:B,2,0)</f>
        <v/>
      </c>
      <c r="H123" s="218">
        <f>VLOOKUP(A123,'QB Depth'!A:D,4,0)</f>
        <v/>
      </c>
      <c r="I123" s="218">
        <f>H123&amp;E123</f>
        <v/>
      </c>
      <c r="J123" s="220">
        <f>IF(VLOOKUP(F123,Pass!F:G,2,0)=G123,"OK","Check Team")</f>
        <v/>
      </c>
      <c r="K123" s="156" t="n"/>
      <c r="L123" s="156">
        <f>IFERROR(VLOOKUP(F123&amp;G123,Pass!B:C,2,0),0)</f>
        <v/>
      </c>
      <c r="M123" s="156">
        <f>IFERROR(VLOOKUP(F123&amp;G123,Rush!B:C,2,0),0)</f>
        <v/>
      </c>
      <c r="N123" s="156">
        <f>IFERROR(VLOOKUP(F123&amp;G123,Rec!B:C,2,0),0)</f>
        <v/>
      </c>
      <c r="O123" s="156">
        <f>IFERROR(VLOOKUP(F123&amp;G123,Returns!A:B,2,0),0)</f>
        <v/>
      </c>
      <c r="Q123" s="156" t="inlineStr">
        <is>
          <t>Andy Dalton</t>
        </is>
      </c>
      <c r="R123" s="156" t="inlineStr">
        <is>
          <t>CAR</t>
        </is>
      </c>
      <c r="S123" s="156" t="inlineStr">
        <is>
          <t>QB</t>
        </is>
      </c>
    </row>
    <row r="124" hidden="1" ht="15.6" customHeight="1" s="152">
      <c r="A124" s="217" t="n">
        <v>123</v>
      </c>
      <c r="B124" s="218">
        <f>VLOOKUP(G124,Matrix!R:AA,10,0)</f>
        <v/>
      </c>
      <c r="C124" s="156">
        <f>IF(K124&gt;=0.01,K124,IFERROR(VLOOKUP(F124&amp;G124,Pass!B:C,2,0),K124)+SUM(L124:N124))</f>
        <v/>
      </c>
      <c r="D124" s="218">
        <f>_xlfn.IFNA(INDEX('Injury Report'!F:F, MATCH(G124&amp;F124, 'Injury Report'!A:A, 0)), "Healthy")</f>
        <v/>
      </c>
      <c r="E124" s="219">
        <f>VLOOKUP(A124,'QB Depth'!A:G,7,0)-1</f>
        <v/>
      </c>
      <c r="F124" s="218">
        <f>VLOOKUP(A124,'QB Depth'!A:C,3,0)</f>
        <v/>
      </c>
      <c r="G124" s="218">
        <f>VLOOKUP(A124,'QB Depth'!A:B,2,0)</f>
        <v/>
      </c>
      <c r="H124" s="218">
        <f>VLOOKUP(A124,'QB Depth'!A:D,4,0)</f>
        <v/>
      </c>
      <c r="I124" s="218">
        <f>H124&amp;E124</f>
        <v/>
      </c>
      <c r="J124" s="220">
        <f>IF(VLOOKUP(F124,Pass!F:G,2,0)=G124,"OK","Check Team")</f>
        <v/>
      </c>
      <c r="K124" s="156" t="n"/>
      <c r="L124" s="156">
        <f>IFERROR(VLOOKUP(F124&amp;G124,Pass!B:C,2,0),0)</f>
        <v/>
      </c>
      <c r="M124" s="156">
        <f>IFERROR(VLOOKUP(F124&amp;G124,Rush!B:C,2,0),0)</f>
        <v/>
      </c>
      <c r="N124" s="156">
        <f>IFERROR(VLOOKUP(F124&amp;G124,Rec!B:C,2,0),0)</f>
        <v/>
      </c>
      <c r="O124" s="156">
        <f>IFERROR(VLOOKUP(F124&amp;G124,Returns!A:B,2,0),0)</f>
        <v/>
      </c>
      <c r="Q124" s="156" t="inlineStr">
        <is>
          <t>Jayden Daniels</t>
        </is>
      </c>
      <c r="R124" s="156" t="inlineStr">
        <is>
          <t>WAS</t>
        </is>
      </c>
      <c r="S124" s="156" t="inlineStr">
        <is>
          <t>QB</t>
        </is>
      </c>
    </row>
    <row r="125" hidden="1" ht="15.6" customHeight="1" s="152">
      <c r="A125" s="217" t="n">
        <v>124</v>
      </c>
      <c r="B125" s="218">
        <f>VLOOKUP(G125,Matrix!R:AA,10,0)</f>
        <v/>
      </c>
      <c r="C125" s="156">
        <f>IF(K125&gt;=0.01,K125,IFERROR(VLOOKUP(F125&amp;G125,Pass!B:C,2,0),K125)+SUM(L125:N125))</f>
        <v/>
      </c>
      <c r="D125" s="218">
        <f>_xlfn.IFNA(INDEX('Injury Report'!F:F, MATCH(G125&amp;F125, 'Injury Report'!A:A, 0)), "Healthy")</f>
        <v/>
      </c>
      <c r="E125" s="219">
        <f>VLOOKUP(A125,'QB Depth'!A:G,7,0)-1</f>
        <v/>
      </c>
      <c r="F125" s="218">
        <f>VLOOKUP(A125,'QB Depth'!A:C,3,0)</f>
        <v/>
      </c>
      <c r="G125" s="218">
        <f>VLOOKUP(A125,'QB Depth'!A:B,2,0)</f>
        <v/>
      </c>
      <c r="H125" s="218">
        <f>VLOOKUP(A125,'QB Depth'!A:D,4,0)</f>
        <v/>
      </c>
      <c r="I125" s="218">
        <f>H125&amp;E125</f>
        <v/>
      </c>
      <c r="J125" s="220">
        <f>IF(VLOOKUP(F125,Pass!F:G,2,0)=G125,"OK","Check Team")</f>
        <v/>
      </c>
      <c r="K125" s="156" t="n"/>
      <c r="L125" s="156">
        <f>IFERROR(VLOOKUP(F125&amp;G125,Pass!B:C,2,0),0)</f>
        <v/>
      </c>
      <c r="M125" s="156">
        <f>IFERROR(VLOOKUP(F125&amp;G125,Rush!B:C,2,0),0)</f>
        <v/>
      </c>
      <c r="N125" s="156">
        <f>IFERROR(VLOOKUP(F125&amp;G125,Rec!B:C,2,0),0)</f>
        <v/>
      </c>
      <c r="O125" s="156">
        <f>IFERROR(VLOOKUP(F125&amp;G125,Returns!A:B,2,0),0)</f>
        <v/>
      </c>
      <c r="Q125" s="156" t="inlineStr">
        <is>
          <t>Sam Darnold</t>
        </is>
      </c>
      <c r="R125" s="156" t="inlineStr">
        <is>
          <t>MIN</t>
        </is>
      </c>
      <c r="S125" s="156" t="inlineStr">
        <is>
          <t>QB</t>
        </is>
      </c>
    </row>
    <row r="126" hidden="1" ht="15.6" customHeight="1" s="152">
      <c r="A126" s="217" t="n">
        <v>125</v>
      </c>
      <c r="B126" s="218">
        <f>VLOOKUP(G126,Matrix!R:AA,10,0)</f>
        <v/>
      </c>
      <c r="C126" s="156">
        <f>IF(K126&gt;=0.01,K126,IFERROR(VLOOKUP(F126&amp;G126,Pass!B:C,2,0),K126)+SUM(L126:N126))</f>
        <v/>
      </c>
      <c r="D126" s="218">
        <f>_xlfn.IFNA(INDEX('Injury Report'!F:F, MATCH(G126&amp;F126, 'Injury Report'!A:A, 0)), "Healthy")</f>
        <v/>
      </c>
      <c r="E126" s="219">
        <f>VLOOKUP(A126,'QB Depth'!A:G,7,0)-1</f>
        <v/>
      </c>
      <c r="F126" s="218">
        <f>VLOOKUP(A126,'QB Depth'!A:C,3,0)</f>
        <v/>
      </c>
      <c r="G126" s="218">
        <f>VLOOKUP(A126,'QB Depth'!A:B,2,0)</f>
        <v/>
      </c>
      <c r="H126" s="218">
        <f>VLOOKUP(A126,'QB Depth'!A:D,4,0)</f>
        <v/>
      </c>
      <c r="I126" s="218">
        <f>H126&amp;E126</f>
        <v/>
      </c>
      <c r="J126" s="220">
        <f>IF(VLOOKUP(F126,Pass!F:G,2,0)=G126,"OK","Check Team")</f>
        <v/>
      </c>
      <c r="K126" s="156" t="n"/>
      <c r="L126" s="156">
        <f>IFERROR(VLOOKUP(F126&amp;G126,Pass!B:C,2,0),0)</f>
        <v/>
      </c>
      <c r="M126" s="156">
        <f>IFERROR(VLOOKUP(F126&amp;G126,Rush!B:C,2,0),0)</f>
        <v/>
      </c>
      <c r="N126" s="156">
        <f>IFERROR(VLOOKUP(F126&amp;G126,Rec!B:C,2,0),0)</f>
        <v/>
      </c>
      <c r="O126" s="156">
        <f>IFERROR(VLOOKUP(F126&amp;G126,Returns!A:B,2,0),0)</f>
        <v/>
      </c>
      <c r="Q126" s="156" t="inlineStr">
        <is>
          <t>Malik Davis</t>
        </is>
      </c>
      <c r="R126" s="156" t="inlineStr">
        <is>
          <t>FA</t>
        </is>
      </c>
      <c r="S126" s="156" t="inlineStr">
        <is>
          <t>RB</t>
        </is>
      </c>
    </row>
    <row r="127" hidden="1" ht="15.6" customHeight="1" s="152">
      <c r="A127" s="217" t="n">
        <v>126</v>
      </c>
      <c r="B127" s="218">
        <f>VLOOKUP(G127,Matrix!R:AA,10,0)</f>
        <v/>
      </c>
      <c r="C127" s="156">
        <f>IF(K127&gt;=0.01,K127,IFERROR(VLOOKUP(F127&amp;G127,Pass!B:C,2,0),K127)+SUM(L127:N127))</f>
        <v/>
      </c>
      <c r="D127" s="218">
        <f>_xlfn.IFNA(INDEX('Injury Report'!F:F, MATCH(G127&amp;F127, 'Injury Report'!A:A, 0)), "Healthy")</f>
        <v/>
      </c>
      <c r="E127" s="219">
        <f>VLOOKUP(A127,'QB Depth'!A:G,7,0)-1</f>
        <v/>
      </c>
      <c r="F127" s="218">
        <f>VLOOKUP(A127,'QB Depth'!A:C,3,0)</f>
        <v/>
      </c>
      <c r="G127" s="218">
        <f>VLOOKUP(A127,'QB Depth'!A:B,2,0)</f>
        <v/>
      </c>
      <c r="H127" s="218">
        <f>VLOOKUP(A127,'QB Depth'!A:D,4,0)</f>
        <v/>
      </c>
      <c r="I127" s="218">
        <f>H127&amp;E127</f>
        <v/>
      </c>
      <c r="J127" s="220">
        <f>IF(VLOOKUP(F127,Pass!F:G,2,0)=G127,"OK","Check Team")</f>
        <v/>
      </c>
      <c r="K127" s="156" t="n"/>
      <c r="L127" s="156">
        <f>IFERROR(VLOOKUP(F127&amp;G127,Pass!B:C,2,0),0)</f>
        <v/>
      </c>
      <c r="M127" s="156">
        <f>IFERROR(VLOOKUP(F127&amp;G127,Rush!B:C,2,0),0)</f>
        <v/>
      </c>
      <c r="N127" s="156">
        <f>IFERROR(VLOOKUP(F127&amp;G127,Rec!B:C,2,0),0)</f>
        <v/>
      </c>
      <c r="O127" s="156">
        <f>IFERROR(VLOOKUP(F127&amp;G127,Returns!A:B,2,0),0)</f>
        <v/>
      </c>
      <c r="Q127" s="156" t="inlineStr">
        <is>
          <t>Gabe Davis</t>
        </is>
      </c>
      <c r="R127" s="156" t="inlineStr">
        <is>
          <t>JAX</t>
        </is>
      </c>
      <c r="S127" s="156" t="inlineStr">
        <is>
          <t>WR</t>
        </is>
      </c>
    </row>
    <row r="128" hidden="1" ht="15.6" customHeight="1" s="152">
      <c r="A128" s="217" t="n">
        <v>127</v>
      </c>
      <c r="B128" s="218">
        <f>VLOOKUP(G128,Matrix!R:AA,10,0)</f>
        <v/>
      </c>
      <c r="C128" s="156">
        <f>IF(K128&gt;=0.01,K128,IFERROR(VLOOKUP(F128&amp;G128,Pass!B:C,2,0),K128)+SUM(L128:N128))</f>
        <v/>
      </c>
      <c r="D128" s="218">
        <f>_xlfn.IFNA(INDEX('Injury Report'!F:F, MATCH(G128&amp;F128, 'Injury Report'!A:A, 0)), "Healthy")</f>
        <v/>
      </c>
      <c r="E128" s="219">
        <f>VLOOKUP(A128,'QB Depth'!A:G,7,0)-1</f>
        <v/>
      </c>
      <c r="F128" s="218">
        <f>VLOOKUP(A128,'QB Depth'!A:C,3,0)</f>
        <v/>
      </c>
      <c r="G128" s="218">
        <f>VLOOKUP(A128,'QB Depth'!A:B,2,0)</f>
        <v/>
      </c>
      <c r="H128" s="218">
        <f>VLOOKUP(A128,'QB Depth'!A:D,4,0)</f>
        <v/>
      </c>
      <c r="I128" s="218">
        <f>H128&amp;E128</f>
        <v/>
      </c>
      <c r="J128" s="220">
        <f>IF(VLOOKUP(F128,Pass!F:G,2,0)=G128,"OK","Check Team")</f>
        <v/>
      </c>
      <c r="K128" s="156" t="n"/>
      <c r="L128" s="156">
        <f>IFERROR(VLOOKUP(F128&amp;G128,Pass!B:C,2,0),0)</f>
        <v/>
      </c>
      <c r="M128" s="156">
        <f>IFERROR(VLOOKUP(F128&amp;G128,Rush!B:C,2,0),0)</f>
        <v/>
      </c>
      <c r="N128" s="156">
        <f>IFERROR(VLOOKUP(F128&amp;G128,Rec!B:C,2,0),0)</f>
        <v/>
      </c>
      <c r="O128" s="156">
        <f>IFERROR(VLOOKUP(F128&amp;G128,Returns!A:B,2,0),0)</f>
        <v/>
      </c>
      <c r="Q128" s="156" t="inlineStr">
        <is>
          <t>Corey Davis</t>
        </is>
      </c>
      <c r="R128" s="156" t="inlineStr">
        <is>
          <t>FA</t>
        </is>
      </c>
      <c r="S128" s="156" t="inlineStr">
        <is>
          <t>WR</t>
        </is>
      </c>
    </row>
    <row r="129" hidden="1" ht="15.6" customHeight="1" s="152">
      <c r="A129" s="217" t="n">
        <v>128</v>
      </c>
      <c r="B129" s="218">
        <f>VLOOKUP(G129,Matrix!R:AA,10,0)</f>
        <v/>
      </c>
      <c r="C129" s="156">
        <f>IF(K129&gt;=0.01,K129,IFERROR(VLOOKUP(F129&amp;G129,Pass!B:C,2,0),K129)+SUM(L129:N129))</f>
        <v/>
      </c>
      <c r="D129" s="218">
        <f>_xlfn.IFNA(INDEX('Injury Report'!F:F, MATCH(G129&amp;F129, 'Injury Report'!A:A, 0)), "Healthy")</f>
        <v/>
      </c>
      <c r="E129" s="219">
        <f>VLOOKUP(A129,'QB Depth'!A:G,7,0)-1</f>
        <v/>
      </c>
      <c r="F129" s="218">
        <f>VLOOKUP(A129,'QB Depth'!A:C,3,0)</f>
        <v/>
      </c>
      <c r="G129" s="218">
        <f>VLOOKUP(A129,'QB Depth'!A:B,2,0)</f>
        <v/>
      </c>
      <c r="H129" s="218">
        <f>VLOOKUP(A129,'QB Depth'!A:D,4,0)</f>
        <v/>
      </c>
      <c r="I129" s="218">
        <f>H129&amp;E129</f>
        <v/>
      </c>
      <c r="J129" s="220">
        <f>IF(VLOOKUP(F129,Pass!F:G,2,0)=G129,"OK","Check Team")</f>
        <v/>
      </c>
      <c r="K129" s="156" t="n"/>
      <c r="L129" s="156">
        <f>IFERROR(VLOOKUP(F129&amp;G129,Pass!B:C,2,0),0)</f>
        <v/>
      </c>
      <c r="M129" s="156">
        <f>IFERROR(VLOOKUP(F129&amp;G129,Rush!B:C,2,0),0)</f>
        <v/>
      </c>
      <c r="N129" s="156">
        <f>IFERROR(VLOOKUP(F129&amp;G129,Rec!B:C,2,0),0)</f>
        <v/>
      </c>
      <c r="O129" s="156">
        <f>IFERROR(VLOOKUP(F129&amp;G129,Returns!A:B,2,0),0)</f>
        <v/>
      </c>
      <c r="Q129" s="156" t="inlineStr">
        <is>
          <t>Isaiah Davis</t>
        </is>
      </c>
      <c r="R129" s="156" t="inlineStr">
        <is>
          <t>NYJ</t>
        </is>
      </c>
      <c r="S129" s="156" t="inlineStr">
        <is>
          <t>RB</t>
        </is>
      </c>
    </row>
    <row r="130" hidden="1" ht="15.6" customHeight="1" s="152">
      <c r="A130" s="217" t="n">
        <v>129</v>
      </c>
      <c r="B130" s="218">
        <f>VLOOKUP(G130,Matrix!R:AA,10,0)</f>
        <v/>
      </c>
      <c r="C130" s="156">
        <f>IF(K130&gt;=0.01,K130,IFERROR(VLOOKUP(F130&amp;G130,Pass!B:C,2,0),K130)+SUM(L130:N130))</f>
        <v/>
      </c>
      <c r="D130" s="218">
        <f>_xlfn.IFNA(INDEX('Injury Report'!F:F, MATCH(G130&amp;F130, 'Injury Report'!A:A, 0)), "Healthy")</f>
        <v/>
      </c>
      <c r="E130" s="219">
        <f>VLOOKUP(A130,'QB Depth'!A:G,7,0)-1</f>
        <v/>
      </c>
      <c r="F130" s="218">
        <f>VLOOKUP(A130,'QB Depth'!A:C,3,0)</f>
        <v/>
      </c>
      <c r="G130" s="218">
        <f>VLOOKUP(A130,'QB Depth'!A:B,2,0)</f>
        <v/>
      </c>
      <c r="H130" s="218">
        <f>VLOOKUP(A130,'QB Depth'!A:D,4,0)</f>
        <v/>
      </c>
      <c r="I130" s="218">
        <f>H130&amp;E130</f>
        <v/>
      </c>
      <c r="J130" s="220">
        <f>IF(VLOOKUP(F130,Pass!F:G,2,0)=G130,"OK","Check Team")</f>
        <v/>
      </c>
      <c r="K130" s="156" t="n"/>
      <c r="L130" s="156">
        <f>IFERROR(VLOOKUP(F130&amp;G130,Pass!B:C,2,0),0)</f>
        <v/>
      </c>
      <c r="M130" s="156">
        <f>IFERROR(VLOOKUP(F130&amp;G130,Rush!B:C,2,0),0)</f>
        <v/>
      </c>
      <c r="N130" s="156">
        <f>IFERROR(VLOOKUP(F130&amp;G130,Rec!B:C,2,0),0)</f>
        <v/>
      </c>
      <c r="O130" s="156">
        <f>IFERROR(VLOOKUP(F130&amp;G130,Returns!A:B,2,0),0)</f>
        <v/>
      </c>
      <c r="Q130" s="156" t="inlineStr">
        <is>
          <t>Derius Davis</t>
        </is>
      </c>
      <c r="R130" s="156" t="inlineStr">
        <is>
          <t>LAC</t>
        </is>
      </c>
      <c r="S130" s="156" t="inlineStr">
        <is>
          <t>WR</t>
        </is>
      </c>
    </row>
    <row r="131" hidden="1" ht="15.6" customHeight="1" s="152">
      <c r="A131" s="217" t="n">
        <v>130</v>
      </c>
      <c r="B131" s="218">
        <f>VLOOKUP(G131,Matrix!R:AA,10,0)</f>
        <v/>
      </c>
      <c r="C131" s="156">
        <f>IF(K131&gt;=0.01,K131,IFERROR(VLOOKUP(F131&amp;G131,Pass!B:C,2,0),K131)+SUM(L131:N131))</f>
        <v/>
      </c>
      <c r="D131" s="218">
        <f>_xlfn.IFNA(INDEX('Injury Report'!F:F, MATCH(G131&amp;F131, 'Injury Report'!A:A, 0)), "Healthy")</f>
        <v/>
      </c>
      <c r="E131" s="219">
        <f>VLOOKUP(A131,'QB Depth'!A:G,7,0)-1</f>
        <v/>
      </c>
      <c r="F131" s="218">
        <f>VLOOKUP(A131,'QB Depth'!A:C,3,0)</f>
        <v/>
      </c>
      <c r="G131" s="218">
        <f>VLOOKUP(A131,'QB Depth'!A:B,2,0)</f>
        <v/>
      </c>
      <c r="H131" s="218">
        <f>VLOOKUP(A131,'QB Depth'!A:D,4,0)</f>
        <v/>
      </c>
      <c r="I131" s="218">
        <f>H131&amp;E131</f>
        <v/>
      </c>
      <c r="J131" s="220">
        <f>IF(VLOOKUP(F131,Pass!F:G,2,0)=G131,"OK","Check Team")</f>
        <v/>
      </c>
      <c r="K131" s="156" t="n"/>
      <c r="L131" s="156">
        <f>IFERROR(VLOOKUP(F131&amp;G131,Pass!B:C,2,0),0)</f>
        <v/>
      </c>
      <c r="M131" s="156">
        <f>IFERROR(VLOOKUP(F131&amp;G131,Rush!B:C,2,0),0)</f>
        <v/>
      </c>
      <c r="N131" s="156">
        <f>IFERROR(VLOOKUP(F131&amp;G131,Rec!B:C,2,0),0)</f>
        <v/>
      </c>
      <c r="O131" s="156">
        <f>IFERROR(VLOOKUP(F131&amp;G131,Returns!A:B,2,0),0)</f>
        <v/>
      </c>
      <c r="Q131" s="156" t="inlineStr">
        <is>
          <t>Ray Davis</t>
        </is>
      </c>
      <c r="R131" s="156" t="inlineStr">
        <is>
          <t>BUF</t>
        </is>
      </c>
      <c r="S131" s="156" t="inlineStr">
        <is>
          <t>RB</t>
        </is>
      </c>
    </row>
    <row r="132" hidden="1" ht="15.6" customHeight="1" s="152">
      <c r="A132" s="217" t="n">
        <v>131</v>
      </c>
      <c r="B132" s="218">
        <f>VLOOKUP(G132,Matrix!R:AA,10,0)</f>
        <v/>
      </c>
      <c r="C132" s="156">
        <f>IF(K132&gt;=0.01,K132,IFERROR(VLOOKUP(F132&amp;G132,Pass!B:C,2,0),K132)+SUM(L132:N132))</f>
        <v/>
      </c>
      <c r="D132" s="218">
        <f>_xlfn.IFNA(INDEX('Injury Report'!F:F, MATCH(G132&amp;F132, 'Injury Report'!A:A, 0)), "Healthy")</f>
        <v/>
      </c>
      <c r="E132" s="219">
        <f>VLOOKUP(A132,'QB Depth'!A:G,7,0)-1</f>
        <v/>
      </c>
      <c r="F132" s="218">
        <f>VLOOKUP(A132,'QB Depth'!A:C,3,0)</f>
        <v/>
      </c>
      <c r="G132" s="218">
        <f>VLOOKUP(A132,'QB Depth'!A:B,2,0)</f>
        <v/>
      </c>
      <c r="H132" s="218">
        <f>VLOOKUP(A132,'QB Depth'!A:D,4,0)</f>
        <v/>
      </c>
      <c r="I132" s="218">
        <f>H132&amp;E132</f>
        <v/>
      </c>
      <c r="J132" s="220">
        <f>IF(VLOOKUP(F132,Pass!F:G,2,0)=G132,"OK","Check Team")</f>
        <v/>
      </c>
      <c r="K132" s="156" t="n"/>
      <c r="L132" s="156">
        <f>IFERROR(VLOOKUP(F132&amp;G132,Pass!B:C,2,0),0)</f>
        <v/>
      </c>
      <c r="M132" s="156">
        <f>IFERROR(VLOOKUP(F132&amp;G132,Rush!B:C,2,0),0)</f>
        <v/>
      </c>
      <c r="N132" s="156">
        <f>IFERROR(VLOOKUP(F132&amp;G132,Rec!B:C,2,0),0)</f>
        <v/>
      </c>
      <c r="O132" s="156">
        <f>IFERROR(VLOOKUP(F132&amp;G132,Returns!A:B,2,0),0)</f>
        <v/>
      </c>
      <c r="Q132" s="156" t="inlineStr">
        <is>
          <t>Tyrion Davis-Price</t>
        </is>
      </c>
      <c r="R132" s="156" t="inlineStr">
        <is>
          <t>FA</t>
        </is>
      </c>
      <c r="S132" s="156" t="inlineStr">
        <is>
          <t>RB</t>
        </is>
      </c>
    </row>
    <row r="133" hidden="1" ht="15.6" customHeight="1" s="152">
      <c r="A133" s="217" t="n">
        <v>132</v>
      </c>
      <c r="B133" s="218">
        <f>VLOOKUP(G133,Matrix!R:AA,10,0)</f>
        <v/>
      </c>
      <c r="C133" s="156">
        <f>IF(K133&gt;=0.01,K133,IFERROR(VLOOKUP(F133&amp;G133,Pass!B:C,2,0),K133)+SUM(L133:N133))</f>
        <v/>
      </c>
      <c r="D133" s="218">
        <f>_xlfn.IFNA(INDEX('Injury Report'!F:F, MATCH(G133&amp;F133, 'Injury Report'!A:A, 0)), "Healthy")</f>
        <v/>
      </c>
      <c r="E133" s="219">
        <f>VLOOKUP(A133,'QB Depth'!A:G,7,0)-1</f>
        <v/>
      </c>
      <c r="F133" s="218">
        <f>VLOOKUP(A133,'QB Depth'!A:C,3,0)</f>
        <v/>
      </c>
      <c r="G133" s="218">
        <f>VLOOKUP(A133,'QB Depth'!A:B,2,0)</f>
        <v/>
      </c>
      <c r="H133" s="218">
        <f>VLOOKUP(A133,'QB Depth'!A:D,4,0)</f>
        <v/>
      </c>
      <c r="I133" s="218">
        <f>H133&amp;E133</f>
        <v/>
      </c>
      <c r="J133" s="220">
        <f>IF(VLOOKUP(F133,Pass!F:G,2,0)=G133,"OK","Check Team")</f>
        <v/>
      </c>
      <c r="K133" s="156" t="n"/>
      <c r="L133" s="156">
        <f>IFERROR(VLOOKUP(F133&amp;G133,Pass!B:C,2,0),0)</f>
        <v/>
      </c>
      <c r="M133" s="156">
        <f>IFERROR(VLOOKUP(F133&amp;G133,Rush!B:C,2,0),0)</f>
        <v/>
      </c>
      <c r="N133" s="156">
        <f>IFERROR(VLOOKUP(F133&amp;G133,Rec!B:C,2,0),0)</f>
        <v/>
      </c>
      <c r="O133" s="156">
        <f>IFERROR(VLOOKUP(F133&amp;G133,Returns!A:B,2,0),0)</f>
        <v/>
      </c>
      <c r="Q133" s="156" t="inlineStr">
        <is>
          <t>Josiah Deguara</t>
        </is>
      </c>
      <c r="R133" s="156" t="inlineStr">
        <is>
          <t>JAX</t>
        </is>
      </c>
      <c r="S133" s="156" t="inlineStr">
        <is>
          <t>TE</t>
        </is>
      </c>
    </row>
    <row r="134" hidden="1" ht="15.6" customHeight="1" s="152">
      <c r="A134" s="217" t="n">
        <v>133</v>
      </c>
      <c r="B134" s="218">
        <f>VLOOKUP(G134,Matrix!R:AA,10,0)</f>
        <v/>
      </c>
      <c r="C134" s="156">
        <f>IF(K134&gt;=0.01,K134,IFERROR(VLOOKUP(F134&amp;G134,Pass!B:C,2,0),K134)+SUM(L134:N134))</f>
        <v/>
      </c>
      <c r="D134" s="218">
        <f>_xlfn.IFNA(INDEX('Injury Report'!F:F, MATCH(G134&amp;F134, 'Injury Report'!A:A, 0)), "Healthy")</f>
        <v/>
      </c>
      <c r="E134" s="219">
        <f>VLOOKUP(A134,'QB Depth'!A:G,7,0)-1</f>
        <v/>
      </c>
      <c r="F134" s="218">
        <f>VLOOKUP(A134,'QB Depth'!A:C,3,0)</f>
        <v/>
      </c>
      <c r="G134" s="218">
        <f>VLOOKUP(A134,'QB Depth'!A:B,2,0)</f>
        <v/>
      </c>
      <c r="H134" s="218">
        <f>VLOOKUP(A134,'QB Depth'!A:D,4,0)</f>
        <v/>
      </c>
      <c r="I134" s="218">
        <f>H134&amp;E134</f>
        <v/>
      </c>
      <c r="J134" s="220">
        <f>IF(VLOOKUP(F134,Pass!F:G,2,0)=G134,"OK","Check Team")</f>
        <v/>
      </c>
      <c r="K134" s="156" t="n"/>
      <c r="L134" s="156">
        <f>IFERROR(VLOOKUP(F134&amp;G134,Pass!B:C,2,0),0)</f>
        <v/>
      </c>
      <c r="M134" s="156">
        <f>IFERROR(VLOOKUP(F134&amp;G134,Rush!B:C,2,0),0)</f>
        <v/>
      </c>
      <c r="N134" s="156">
        <f>IFERROR(VLOOKUP(F134&amp;G134,Rec!B:C,2,0),0)</f>
        <v/>
      </c>
      <c r="O134" s="156">
        <f>IFERROR(VLOOKUP(F134&amp;G134,Returns!A:B,2,0),0)</f>
        <v/>
      </c>
      <c r="Q134" s="156" t="inlineStr">
        <is>
          <t>Tank Dell</t>
        </is>
      </c>
      <c r="R134" s="156" t="inlineStr">
        <is>
          <t>HOU</t>
        </is>
      </c>
      <c r="S134" s="156" t="inlineStr">
        <is>
          <t>WR</t>
        </is>
      </c>
    </row>
    <row r="135" hidden="1" ht="15.6" customHeight="1" s="152">
      <c r="A135" s="217" t="n">
        <v>134</v>
      </c>
      <c r="B135" s="218">
        <f>VLOOKUP(G135,Matrix!R:AA,10,0)</f>
        <v/>
      </c>
      <c r="C135" s="156">
        <f>IF(K135&gt;=0.01,K135,IFERROR(VLOOKUP(F135&amp;G135,Pass!B:C,2,0),K135)+SUM(L135:N135))</f>
        <v/>
      </c>
      <c r="D135" s="218">
        <f>_xlfn.IFNA(INDEX('Injury Report'!F:F, MATCH(G135&amp;F135, 'Injury Report'!A:A, 0)), "Healthy")</f>
        <v/>
      </c>
      <c r="E135" s="219">
        <f>VLOOKUP(A135,'QB Depth'!A:G,7,0)-1</f>
        <v/>
      </c>
      <c r="F135" s="218">
        <f>VLOOKUP(A135,'QB Depth'!A:C,3,0)</f>
        <v/>
      </c>
      <c r="G135" s="218">
        <f>VLOOKUP(A135,'QB Depth'!A:B,2,0)</f>
        <v/>
      </c>
      <c r="H135" s="218">
        <f>VLOOKUP(A135,'QB Depth'!A:D,4,0)</f>
        <v/>
      </c>
      <c r="I135" s="218">
        <f>H135&amp;E135</f>
        <v/>
      </c>
      <c r="J135" s="220">
        <f>IF(VLOOKUP(F135,Pass!F:G,2,0)=G135,"OK","Check Team")</f>
        <v/>
      </c>
      <c r="K135" s="156" t="n"/>
      <c r="L135" s="156">
        <f>IFERROR(VLOOKUP(F135&amp;G135,Pass!B:C,2,0),0)</f>
        <v/>
      </c>
      <c r="M135" s="156">
        <f>IFERROR(VLOOKUP(F135&amp;G135,Rush!B:C,2,0),0)</f>
        <v/>
      </c>
      <c r="N135" s="156">
        <f>IFERROR(VLOOKUP(F135&amp;G135,Rec!B:C,2,0),0)</f>
        <v/>
      </c>
      <c r="O135" s="156">
        <f>IFERROR(VLOOKUP(F135&amp;G135,Returns!A:B,2,0),0)</f>
        <v/>
      </c>
      <c r="Q135" s="156" t="inlineStr">
        <is>
          <t>Emari Demercado</t>
        </is>
      </c>
      <c r="R135" s="156" t="inlineStr">
        <is>
          <t>ARI</t>
        </is>
      </c>
      <c r="S135" s="156" t="inlineStr">
        <is>
          <t>RB</t>
        </is>
      </c>
    </row>
    <row r="136" hidden="1" ht="15.6" customHeight="1" s="152">
      <c r="A136" s="217" t="n">
        <v>135</v>
      </c>
      <c r="B136" s="218">
        <f>VLOOKUP(G136,Matrix!R:AA,10,0)</f>
        <v/>
      </c>
      <c r="C136" s="156">
        <f>IF(K136&gt;=0.01,K136,IFERROR(VLOOKUP(F136&amp;G136,Pass!B:C,2,0),K136)+SUM(L136:N136))</f>
        <v/>
      </c>
      <c r="D136" s="218">
        <f>_xlfn.IFNA(INDEX('Injury Report'!F:F, MATCH(G136&amp;F136, 'Injury Report'!A:A, 0)), "Healthy")</f>
        <v/>
      </c>
      <c r="E136" s="219">
        <f>VLOOKUP(A136,'QB Depth'!A:G,7,0)-1</f>
        <v/>
      </c>
      <c r="F136" s="218">
        <f>VLOOKUP(A136,'QB Depth'!A:C,3,0)</f>
        <v/>
      </c>
      <c r="G136" s="218">
        <f>VLOOKUP(A136,'QB Depth'!A:B,2,0)</f>
        <v/>
      </c>
      <c r="H136" s="218">
        <f>VLOOKUP(A136,'QB Depth'!A:D,4,0)</f>
        <v/>
      </c>
      <c r="I136" s="218">
        <f>H136&amp;E136</f>
        <v/>
      </c>
      <c r="J136" s="220">
        <f>IF(VLOOKUP(F136,Pass!F:G,2,0)=G136,"OK","Check Team")</f>
        <v/>
      </c>
      <c r="K136" s="156" t="n"/>
      <c r="L136" s="156">
        <f>IFERROR(VLOOKUP(F136&amp;G136,Pass!B:C,2,0),0)</f>
        <v/>
      </c>
      <c r="M136" s="156">
        <f>IFERROR(VLOOKUP(F136&amp;G136,Rush!B:C,2,0),0)</f>
        <v/>
      </c>
      <c r="N136" s="156">
        <f>IFERROR(VLOOKUP(F136&amp;G136,Rec!B:C,2,0),0)</f>
        <v/>
      </c>
      <c r="O136" s="156">
        <f>IFERROR(VLOOKUP(F136&amp;G136,Returns!A:B,2,0),0)</f>
        <v/>
      </c>
      <c r="Q136" s="156" t="inlineStr">
        <is>
          <t>Tommy DeVito</t>
        </is>
      </c>
      <c r="R136" s="156" t="inlineStr">
        <is>
          <t>NYG</t>
        </is>
      </c>
      <c r="S136" s="156" t="inlineStr">
        <is>
          <t>QB</t>
        </is>
      </c>
    </row>
    <row r="137" hidden="1" ht="15.6" customHeight="1" s="152">
      <c r="A137" s="217" t="n">
        <v>136</v>
      </c>
      <c r="B137" s="218">
        <f>VLOOKUP(G137,Matrix!R:AA,10,0)</f>
        <v/>
      </c>
      <c r="C137" s="156">
        <f>IF(K137&gt;=0.01,K137,IFERROR(VLOOKUP(F137&amp;G137,Pass!B:C,2,0),K137)+SUM(L137:N137))</f>
        <v/>
      </c>
      <c r="D137" s="218">
        <f>_xlfn.IFNA(INDEX('Injury Report'!F:F, MATCH(G137&amp;F137, 'Injury Report'!A:A, 0)), "Healthy")</f>
        <v/>
      </c>
      <c r="E137" s="219">
        <f>VLOOKUP(A137,'QB Depth'!A:G,7,0)-1</f>
        <v/>
      </c>
      <c r="F137" s="218">
        <f>VLOOKUP(A137,'QB Depth'!A:C,3,0)</f>
        <v/>
      </c>
      <c r="G137" s="218">
        <f>VLOOKUP(A137,'QB Depth'!A:B,2,0)</f>
        <v/>
      </c>
      <c r="H137" s="218">
        <f>VLOOKUP(A137,'QB Depth'!A:D,4,0)</f>
        <v/>
      </c>
      <c r="I137" s="218">
        <f>H137&amp;E137</f>
        <v/>
      </c>
      <c r="J137" s="220">
        <f>IF(VLOOKUP(F137,Pass!F:G,2,0)=G137,"OK","Check Team")</f>
        <v/>
      </c>
      <c r="K137" s="156" t="n"/>
      <c r="L137" s="156">
        <f>IFERROR(VLOOKUP(F137&amp;G137,Pass!B:C,2,0),0)</f>
        <v/>
      </c>
      <c r="M137" s="156">
        <f>IFERROR(VLOOKUP(F137&amp;G137,Rush!B:C,2,0),0)</f>
        <v/>
      </c>
      <c r="N137" s="156">
        <f>IFERROR(VLOOKUP(F137&amp;G137,Rec!B:C,2,0),0)</f>
        <v/>
      </c>
      <c r="O137" s="156">
        <f>IFERROR(VLOOKUP(F137&amp;G137,Returns!A:B,2,0),0)</f>
        <v/>
      </c>
      <c r="Q137" s="156" t="inlineStr">
        <is>
          <t>Cameron Dicker</t>
        </is>
      </c>
      <c r="R137" s="156" t="inlineStr">
        <is>
          <t>LAC</t>
        </is>
      </c>
      <c r="S137" s="156" t="inlineStr">
        <is>
          <t>K</t>
        </is>
      </c>
    </row>
    <row r="138" hidden="1" ht="15.6" customHeight="1" s="152">
      <c r="A138" s="217" t="n">
        <v>137</v>
      </c>
      <c r="B138" s="218">
        <f>VLOOKUP(G138,Matrix!R:AA,10,0)</f>
        <v/>
      </c>
      <c r="C138" s="156">
        <f>IF(K138&gt;=0.01,K138,IFERROR(VLOOKUP(F138&amp;G138,Pass!B:C,2,0),K138)+SUM(L138:N138))</f>
        <v/>
      </c>
      <c r="D138" s="218">
        <f>_xlfn.IFNA(INDEX('Injury Report'!F:F, MATCH(G138&amp;F138, 'Injury Report'!A:A, 0)), "Healthy")</f>
        <v/>
      </c>
      <c r="E138" s="219">
        <f>VLOOKUP(A138,'QB Depth'!A:G,7,0)-1</f>
        <v/>
      </c>
      <c r="F138" s="218">
        <f>VLOOKUP(A138,'QB Depth'!A:C,3,0)</f>
        <v/>
      </c>
      <c r="G138" s="218">
        <f>VLOOKUP(A138,'QB Depth'!A:B,2,0)</f>
        <v/>
      </c>
      <c r="H138" s="218">
        <f>VLOOKUP(A138,'QB Depth'!A:D,4,0)</f>
        <v/>
      </c>
      <c r="I138" s="218">
        <f>H138&amp;E138</f>
        <v/>
      </c>
      <c r="J138" s="220">
        <f>IF(VLOOKUP(F138,Pass!F:G,2,0)=G138,"OK","Check Team")</f>
        <v/>
      </c>
      <c r="K138" s="156" t="n"/>
      <c r="L138" s="156">
        <f>IFERROR(VLOOKUP(F138&amp;G138,Pass!B:C,2,0),0)</f>
        <v/>
      </c>
      <c r="M138" s="156">
        <f>IFERROR(VLOOKUP(F138&amp;G138,Rush!B:C,2,0),0)</f>
        <v/>
      </c>
      <c r="N138" s="156">
        <f>IFERROR(VLOOKUP(F138&amp;G138,Rec!B:C,2,0),0)</f>
        <v/>
      </c>
      <c r="O138" s="156">
        <f>IFERROR(VLOOKUP(F138&amp;G138,Returns!A:B,2,0),0)</f>
        <v/>
      </c>
      <c r="Q138" s="156" t="inlineStr">
        <is>
          <t>Stefon Diggs</t>
        </is>
      </c>
      <c r="R138" s="156" t="inlineStr">
        <is>
          <t>HOU</t>
        </is>
      </c>
      <c r="S138" s="156" t="inlineStr">
        <is>
          <t>WR</t>
        </is>
      </c>
    </row>
    <row r="139" hidden="1" ht="15.6" customHeight="1" s="152">
      <c r="A139" s="217" t="n">
        <v>138</v>
      </c>
      <c r="B139" s="218">
        <f>VLOOKUP(G139,Matrix!R:AA,10,0)</f>
        <v/>
      </c>
      <c r="C139" s="156">
        <f>IF(K139&gt;=0.01,K139,IFERROR(VLOOKUP(F139&amp;G139,Pass!B:C,2,0),K139)+SUM(L139:N139))</f>
        <v/>
      </c>
      <c r="D139" s="218">
        <f>_xlfn.IFNA(INDEX('Injury Report'!F:F, MATCH(G139&amp;F139, 'Injury Report'!A:A, 0)), "Healthy")</f>
        <v/>
      </c>
      <c r="E139" s="219">
        <f>VLOOKUP(A139,'QB Depth'!A:G,7,0)-1</f>
        <v/>
      </c>
      <c r="F139" s="218">
        <f>VLOOKUP(A139,'QB Depth'!A:C,3,0)</f>
        <v/>
      </c>
      <c r="G139" s="218">
        <f>VLOOKUP(A139,'QB Depth'!A:B,2,0)</f>
        <v/>
      </c>
      <c r="H139" s="218">
        <f>VLOOKUP(A139,'QB Depth'!A:D,4,0)</f>
        <v/>
      </c>
      <c r="I139" s="218">
        <f>H139&amp;E139</f>
        <v/>
      </c>
      <c r="J139" s="220">
        <f>IF(VLOOKUP(F139,Pass!F:G,2,0)=G139,"OK","Check Team")</f>
        <v/>
      </c>
      <c r="K139" s="156" t="n"/>
      <c r="L139" s="156">
        <f>IFERROR(VLOOKUP(F139&amp;G139,Pass!B:C,2,0),0)</f>
        <v/>
      </c>
      <c r="M139" s="156">
        <f>IFERROR(VLOOKUP(F139&amp;G139,Rush!B:C,2,0),0)</f>
        <v/>
      </c>
      <c r="N139" s="156">
        <f>IFERROR(VLOOKUP(F139&amp;G139,Rec!B:C,2,0),0)</f>
        <v/>
      </c>
      <c r="O139" s="156">
        <f>IFERROR(VLOOKUP(F139&amp;G139,Returns!A:B,2,0),0)</f>
        <v/>
      </c>
      <c r="Q139" s="156" t="inlineStr">
        <is>
          <t>AJ Dillon</t>
        </is>
      </c>
      <c r="R139" s="156" t="inlineStr">
        <is>
          <t>GB</t>
        </is>
      </c>
      <c r="S139" s="156" t="inlineStr">
        <is>
          <t>RB</t>
        </is>
      </c>
    </row>
    <row r="140" hidden="1" ht="15.6" customHeight="1" s="152">
      <c r="A140" s="217" t="n">
        <v>139</v>
      </c>
      <c r="B140" s="218">
        <f>VLOOKUP(G140,Matrix!R:AA,10,0)</f>
        <v/>
      </c>
      <c r="C140" s="156">
        <f>IF(K140&gt;=0.01,K140,IFERROR(VLOOKUP(F140&amp;G140,Pass!B:C,2,0),K140)+SUM(L140:N140))</f>
        <v/>
      </c>
      <c r="D140" s="218">
        <f>_xlfn.IFNA(INDEX('Injury Report'!F:F, MATCH(G140&amp;F140, 'Injury Report'!A:A, 0)), "Healthy")</f>
        <v/>
      </c>
      <c r="E140" s="219">
        <f>VLOOKUP(A140,'QB Depth'!A:G,7,0)-1</f>
        <v/>
      </c>
      <c r="F140" s="218">
        <f>VLOOKUP(A140,'QB Depth'!A:C,3,0)</f>
        <v/>
      </c>
      <c r="G140" s="218">
        <f>VLOOKUP(A140,'QB Depth'!A:B,2,0)</f>
        <v/>
      </c>
      <c r="H140" s="218">
        <f>VLOOKUP(A140,'QB Depth'!A:D,4,0)</f>
        <v/>
      </c>
      <c r="I140" s="218">
        <f>H140&amp;E140</f>
        <v/>
      </c>
      <c r="J140" s="220">
        <f>IF(VLOOKUP(F140,Pass!F:G,2,0)=G140,"OK","Check Team")</f>
        <v/>
      </c>
      <c r="K140" s="156" t="n"/>
      <c r="L140" s="156">
        <f>IFERROR(VLOOKUP(F140&amp;G140,Pass!B:C,2,0),0)</f>
        <v/>
      </c>
      <c r="M140" s="156">
        <f>IFERROR(VLOOKUP(F140&amp;G140,Rush!B:C,2,0),0)</f>
        <v/>
      </c>
      <c r="N140" s="156">
        <f>IFERROR(VLOOKUP(F140&amp;G140,Rec!B:C,2,0),0)</f>
        <v/>
      </c>
      <c r="O140" s="156">
        <f>IFERROR(VLOOKUP(F140&amp;G140,Returns!A:B,2,0),0)</f>
        <v/>
      </c>
      <c r="Q140" s="156" t="inlineStr">
        <is>
          <t>Will Dissly</t>
        </is>
      </c>
      <c r="R140" s="156" t="inlineStr">
        <is>
          <t>LAC</t>
        </is>
      </c>
      <c r="S140" s="156" t="inlineStr">
        <is>
          <t>TE</t>
        </is>
      </c>
    </row>
    <row r="141" hidden="1" ht="15.6" customHeight="1" s="152">
      <c r="A141" s="217" t="n">
        <v>140</v>
      </c>
      <c r="B141" s="218">
        <f>VLOOKUP(G141,Matrix!R:AA,10,0)</f>
        <v/>
      </c>
      <c r="C141" s="156">
        <f>IF(K141&gt;=0.01,K141,IFERROR(VLOOKUP(F141&amp;G141,Pass!B:C,2,0),K141)+SUM(L141:N141))</f>
        <v/>
      </c>
      <c r="D141" s="218">
        <f>_xlfn.IFNA(INDEX('Injury Report'!F:F, MATCH(G141&amp;F141, 'Injury Report'!A:A, 0)), "Healthy")</f>
        <v/>
      </c>
      <c r="E141" s="219">
        <f>VLOOKUP(A141,'QB Depth'!A:G,7,0)-1</f>
        <v/>
      </c>
      <c r="F141" s="218">
        <f>VLOOKUP(A141,'QB Depth'!A:C,3,0)</f>
        <v/>
      </c>
      <c r="G141" s="218">
        <f>VLOOKUP(A141,'QB Depth'!A:B,2,0)</f>
        <v/>
      </c>
      <c r="H141" s="218">
        <f>VLOOKUP(A141,'QB Depth'!A:D,4,0)</f>
        <v/>
      </c>
      <c r="I141" s="218">
        <f>H141&amp;E141</f>
        <v/>
      </c>
      <c r="J141" s="220">
        <f>IF(VLOOKUP(F141,Pass!F:G,2,0)=G141,"OK","Check Team")</f>
        <v/>
      </c>
      <c r="K141" s="156" t="n"/>
      <c r="L141" s="156">
        <f>IFERROR(VLOOKUP(F141&amp;G141,Pass!B:C,2,0),0)</f>
        <v/>
      </c>
      <c r="M141" s="156">
        <f>IFERROR(VLOOKUP(F141&amp;G141,Rush!B:C,2,0),0)</f>
        <v/>
      </c>
      <c r="N141" s="156">
        <f>IFERROR(VLOOKUP(F141&amp;G141,Rec!B:C,2,0),0)</f>
        <v/>
      </c>
      <c r="O141" s="156">
        <f>IFERROR(VLOOKUP(F141&amp;G141,Returns!A:B,2,0),0)</f>
        <v/>
      </c>
      <c r="Q141" s="156" t="inlineStr">
        <is>
          <t>J.K. Dobbins</t>
        </is>
      </c>
      <c r="R141" s="156" t="inlineStr">
        <is>
          <t>LAC</t>
        </is>
      </c>
      <c r="S141" s="156" t="inlineStr">
        <is>
          <t>RB</t>
        </is>
      </c>
    </row>
    <row r="142" hidden="1" ht="15.6" customHeight="1" s="152">
      <c r="A142" s="217" t="n">
        <v>141</v>
      </c>
      <c r="B142" s="218">
        <f>VLOOKUP(G142,Matrix!R:AA,10,0)</f>
        <v/>
      </c>
      <c r="C142" s="156">
        <f>IF(K142&gt;=0.01,K142,IFERROR(VLOOKUP(F142&amp;G142,Pass!B:C,2,0),K142)+SUM(L142:N142))</f>
        <v/>
      </c>
      <c r="D142" s="218">
        <f>_xlfn.IFNA(INDEX('Injury Report'!F:F, MATCH(G142&amp;F142, 'Injury Report'!A:A, 0)), "Healthy")</f>
        <v/>
      </c>
      <c r="E142" s="219">
        <f>VLOOKUP(A142,'QB Depth'!A:G,7,0)-1</f>
        <v/>
      </c>
      <c r="F142" s="218">
        <f>VLOOKUP(A142,'QB Depth'!A:C,3,0)</f>
        <v/>
      </c>
      <c r="G142" s="218">
        <f>VLOOKUP(A142,'QB Depth'!A:B,2,0)</f>
        <v/>
      </c>
      <c r="H142" s="218">
        <f>VLOOKUP(A142,'QB Depth'!A:D,4,0)</f>
        <v/>
      </c>
      <c r="I142" s="218">
        <f>H142&amp;E142</f>
        <v/>
      </c>
      <c r="J142" s="220">
        <f>IF(VLOOKUP(F142,Pass!F:G,2,0)=G142,"OK","Check Team")</f>
        <v/>
      </c>
      <c r="K142" s="156" t="n"/>
      <c r="L142" s="156">
        <f>IFERROR(VLOOKUP(F142&amp;G142,Pass!B:C,2,0),0)</f>
        <v/>
      </c>
      <c r="M142" s="156">
        <f>IFERROR(VLOOKUP(F142&amp;G142,Rush!B:C,2,0),0)</f>
        <v/>
      </c>
      <c r="N142" s="156">
        <f>IFERROR(VLOOKUP(F142&amp;G142,Rec!B:C,2,0),0)</f>
        <v/>
      </c>
      <c r="O142" s="156">
        <f>IFERROR(VLOOKUP(F142&amp;G142,Returns!A:B,2,0),0)</f>
        <v/>
      </c>
      <c r="Q142" s="156" t="inlineStr">
        <is>
          <t>Joshua Dobbs</t>
        </is>
      </c>
      <c r="R142" s="156" t="inlineStr">
        <is>
          <t>SF</t>
        </is>
      </c>
      <c r="S142" s="156" t="inlineStr">
        <is>
          <t>QB</t>
        </is>
      </c>
    </row>
    <row r="143" hidden="1" ht="15.6" customHeight="1" s="152">
      <c r="A143" s="217" t="n">
        <v>142</v>
      </c>
      <c r="B143" s="218">
        <f>VLOOKUP(G143,Matrix!R:AA,10,0)</f>
        <v/>
      </c>
      <c r="C143" s="156">
        <f>IF(K143&gt;=0.01,K143,IFERROR(VLOOKUP(F143&amp;G143,Pass!B:C,2,0),K143)+SUM(L143:N143))</f>
        <v/>
      </c>
      <c r="D143" s="218">
        <f>_xlfn.IFNA(INDEX('Injury Report'!F:F, MATCH(G143&amp;F143, 'Injury Report'!A:A, 0)), "Healthy")</f>
        <v/>
      </c>
      <c r="E143" s="219">
        <f>VLOOKUP(A143,'QB Depth'!A:G,7,0)-1</f>
        <v/>
      </c>
      <c r="F143" s="218">
        <f>VLOOKUP(A143,'QB Depth'!A:C,3,0)</f>
        <v/>
      </c>
      <c r="G143" s="218">
        <f>VLOOKUP(A143,'QB Depth'!A:B,2,0)</f>
        <v/>
      </c>
      <c r="H143" s="218">
        <f>VLOOKUP(A143,'QB Depth'!A:D,4,0)</f>
        <v/>
      </c>
      <c r="I143" s="218">
        <f>H143&amp;E143</f>
        <v/>
      </c>
      <c r="J143" s="220">
        <f>IF(VLOOKUP(F143,Pass!F:G,2,0)=G143,"OK","Check Team")</f>
        <v/>
      </c>
      <c r="K143" s="156" t="n"/>
      <c r="L143" s="156">
        <f>IFERROR(VLOOKUP(F143&amp;G143,Pass!B:C,2,0),0)</f>
        <v/>
      </c>
      <c r="M143" s="156">
        <f>IFERROR(VLOOKUP(F143&amp;G143,Rush!B:C,2,0),0)</f>
        <v/>
      </c>
      <c r="N143" s="156">
        <f>IFERROR(VLOOKUP(F143&amp;G143,Rec!B:C,2,0),0)</f>
        <v/>
      </c>
      <c r="O143" s="156">
        <f>IFERROR(VLOOKUP(F143&amp;G143,Returns!A:B,2,0),0)</f>
        <v/>
      </c>
      <c r="Q143" s="156" t="inlineStr">
        <is>
          <t>Greg Dortch</t>
        </is>
      </c>
      <c r="R143" s="156" t="inlineStr">
        <is>
          <t>ARI</t>
        </is>
      </c>
      <c r="S143" s="156" t="inlineStr">
        <is>
          <t>WR</t>
        </is>
      </c>
    </row>
    <row r="144" hidden="1" ht="15.6" customHeight="1" s="152">
      <c r="A144" s="217" t="n">
        <v>143</v>
      </c>
      <c r="B144" s="218">
        <f>VLOOKUP(G144,Matrix!R:AA,10,0)</f>
        <v/>
      </c>
      <c r="C144" s="156">
        <f>IF(K144&gt;=0.01,K144,IFERROR(VLOOKUP(F144&amp;G144,Pass!B:C,2,0),K144)+SUM(L144:N144))</f>
        <v/>
      </c>
      <c r="D144" s="218">
        <f>_xlfn.IFNA(INDEX('Injury Report'!F:F, MATCH(G144&amp;F144, 'Injury Report'!A:A, 0)), "Healthy")</f>
        <v/>
      </c>
      <c r="E144" s="219">
        <f>VLOOKUP(A144,'QB Depth'!A:G,7,0)-1</f>
        <v/>
      </c>
      <c r="F144" s="218">
        <f>VLOOKUP(A144,'QB Depth'!A:C,3,0)</f>
        <v/>
      </c>
      <c r="G144" s="218">
        <f>VLOOKUP(A144,'QB Depth'!A:B,2,0)</f>
        <v/>
      </c>
      <c r="H144" s="218">
        <f>VLOOKUP(A144,'QB Depth'!A:D,4,0)</f>
        <v/>
      </c>
      <c r="I144" s="218">
        <f>H144&amp;E144</f>
        <v/>
      </c>
      <c r="J144" s="220">
        <f>IF(VLOOKUP(F144,Pass!F:G,2,0)=G144,"OK","Check Team")</f>
        <v/>
      </c>
      <c r="K144" s="156" t="n"/>
      <c r="L144" s="156">
        <f>IFERROR(VLOOKUP(F144&amp;G144,Pass!B:C,2,0),0)</f>
        <v/>
      </c>
      <c r="M144" s="156">
        <f>IFERROR(VLOOKUP(F144&amp;G144,Rush!B:C,2,0),0)</f>
        <v/>
      </c>
      <c r="N144" s="156">
        <f>IFERROR(VLOOKUP(F144&amp;G144,Rec!B:C,2,0),0)</f>
        <v/>
      </c>
      <c r="O144" s="156">
        <f>IFERROR(VLOOKUP(F144&amp;G144,Returns!A:B,2,0),0)</f>
        <v/>
      </c>
      <c r="Q144" s="156" t="inlineStr">
        <is>
          <t>Jahan Dotson</t>
        </is>
      </c>
      <c r="R144" s="156" t="inlineStr">
        <is>
          <t>PHI</t>
        </is>
      </c>
      <c r="S144" s="156" t="inlineStr">
        <is>
          <t>WR</t>
        </is>
      </c>
    </row>
    <row r="145" hidden="1" ht="15.6" customHeight="1" s="152">
      <c r="A145" s="217" t="n">
        <v>144</v>
      </c>
      <c r="B145" s="218">
        <f>VLOOKUP(G145,Matrix!R:AA,10,0)</f>
        <v/>
      </c>
      <c r="C145" s="156">
        <f>IF(K145&gt;=0.01,K145,IFERROR(VLOOKUP(F145&amp;G145,Pass!B:C,2,0),K145)+SUM(L145:N145))</f>
        <v/>
      </c>
      <c r="D145" s="218">
        <f>_xlfn.IFNA(INDEX('Injury Report'!F:F, MATCH(G145&amp;F145, 'Injury Report'!A:A, 0)), "Healthy")</f>
        <v/>
      </c>
      <c r="E145" s="219">
        <f>VLOOKUP(A145,'QB Depth'!A:G,7,0)-1</f>
        <v/>
      </c>
      <c r="F145" s="218">
        <f>VLOOKUP(A145,'QB Depth'!A:C,3,0)</f>
        <v/>
      </c>
      <c r="G145" s="218">
        <f>VLOOKUP(A145,'QB Depth'!A:B,2,0)</f>
        <v/>
      </c>
      <c r="H145" s="218">
        <f>VLOOKUP(A145,'QB Depth'!A:D,4,0)</f>
        <v/>
      </c>
      <c r="I145" s="218">
        <f>H145&amp;E145</f>
        <v/>
      </c>
      <c r="J145" s="220">
        <f>IF(VLOOKUP(F145,Pass!F:G,2,0)=G145,"OK","Check Team")</f>
        <v/>
      </c>
      <c r="K145" s="156" t="n"/>
      <c r="L145" s="156">
        <f>IFERROR(VLOOKUP(F145&amp;G145,Pass!B:C,2,0),0)</f>
        <v/>
      </c>
      <c r="M145" s="156">
        <f>IFERROR(VLOOKUP(F145&amp;G145,Rush!B:C,2,0),0)</f>
        <v/>
      </c>
      <c r="N145" s="156">
        <f>IFERROR(VLOOKUP(F145&amp;G145,Rec!B:C,2,0),0)</f>
        <v/>
      </c>
      <c r="O145" s="156">
        <f>IFERROR(VLOOKUP(F145&amp;G145,Returns!A:B,2,0),0)</f>
        <v/>
      </c>
      <c r="Q145" s="156" t="inlineStr">
        <is>
          <t>Elijah Dotson</t>
        </is>
      </c>
      <c r="R145" s="156" t="inlineStr">
        <is>
          <t>ATL</t>
        </is>
      </c>
      <c r="S145" s="156" t="inlineStr">
        <is>
          <t>RB</t>
        </is>
      </c>
    </row>
    <row r="146" hidden="1" ht="15.6" customHeight="1" s="152">
      <c r="A146" s="217" t="n">
        <v>145</v>
      </c>
      <c r="B146" s="218">
        <f>VLOOKUP(G146,Matrix!R:AA,10,0)</f>
        <v/>
      </c>
      <c r="C146" s="156">
        <f>IF(K146&gt;=0.01,K146,IFERROR(VLOOKUP(F146&amp;G146,Pass!B:C,2,0),K146)+SUM(L146:N146))</f>
        <v/>
      </c>
      <c r="D146" s="218">
        <f>_xlfn.IFNA(INDEX('Injury Report'!F:F, MATCH(G146&amp;F146, 'Injury Report'!A:A, 0)), "Healthy")</f>
        <v/>
      </c>
      <c r="E146" s="219">
        <f>VLOOKUP(A146,'QB Depth'!A:G,7,0)-1</f>
        <v/>
      </c>
      <c r="F146" s="218">
        <f>VLOOKUP(A146,'QB Depth'!A:C,3,0)</f>
        <v/>
      </c>
      <c r="G146" s="218">
        <f>VLOOKUP(A146,'QB Depth'!A:B,2,0)</f>
        <v/>
      </c>
      <c r="H146" s="218">
        <f>VLOOKUP(A146,'QB Depth'!A:D,4,0)</f>
        <v/>
      </c>
      <c r="I146" s="218">
        <f>H146&amp;E146</f>
        <v/>
      </c>
      <c r="J146" s="220">
        <f>IF(VLOOKUP(F146,Pass!F:G,2,0)=G146,"OK","Check Team")</f>
        <v/>
      </c>
      <c r="K146" s="156" t="n"/>
      <c r="L146" s="156">
        <f>IFERROR(VLOOKUP(F146&amp;G146,Pass!B:C,2,0),0)</f>
        <v/>
      </c>
      <c r="M146" s="156">
        <f>IFERROR(VLOOKUP(F146&amp;G146,Rush!B:C,2,0),0)</f>
        <v/>
      </c>
      <c r="N146" s="156">
        <f>IFERROR(VLOOKUP(F146&amp;G146,Rec!B:C,2,0),0)</f>
        <v/>
      </c>
      <c r="O146" s="156">
        <f>IFERROR(VLOOKUP(F146&amp;G146,Returns!A:B,2,0),0)</f>
        <v/>
      </c>
      <c r="Q146" s="156" t="inlineStr">
        <is>
          <t>Romeo Doubs</t>
        </is>
      </c>
      <c r="R146" s="156" t="inlineStr">
        <is>
          <t>GB</t>
        </is>
      </c>
      <c r="S146" s="156" t="inlineStr">
        <is>
          <t>WR</t>
        </is>
      </c>
    </row>
    <row r="147" hidden="1" ht="15.6" customHeight="1" s="152">
      <c r="A147" s="217" t="n">
        <v>146</v>
      </c>
      <c r="B147" s="218">
        <f>VLOOKUP(G147,Matrix!R:AA,10,0)</f>
        <v/>
      </c>
      <c r="C147" s="156">
        <f>IF(K147&gt;=0.01,K147,IFERROR(VLOOKUP(F147&amp;G147,Pass!B:C,2,0),K147)+SUM(L147:N147))</f>
        <v/>
      </c>
      <c r="D147" s="218">
        <f>_xlfn.IFNA(INDEX('Injury Report'!F:F, MATCH(G147&amp;F147, 'Injury Report'!A:A, 0)), "Healthy")</f>
        <v/>
      </c>
      <c r="E147" s="219">
        <f>VLOOKUP(A147,'QB Depth'!A:G,7,0)-1</f>
        <v/>
      </c>
      <c r="F147" s="218">
        <f>VLOOKUP(A147,'QB Depth'!A:C,3,0)</f>
        <v/>
      </c>
      <c r="G147" s="218">
        <f>VLOOKUP(A147,'QB Depth'!A:B,2,0)</f>
        <v/>
      </c>
      <c r="H147" s="218">
        <f>VLOOKUP(A147,'QB Depth'!A:D,4,0)</f>
        <v/>
      </c>
      <c r="I147" s="218">
        <f>H147&amp;E147</f>
        <v/>
      </c>
      <c r="J147" s="220">
        <f>IF(VLOOKUP(F147,Pass!F:G,2,0)=G147,"OK","Check Team")</f>
        <v/>
      </c>
      <c r="K147" s="156" t="n"/>
      <c r="L147" s="156">
        <f>IFERROR(VLOOKUP(F147&amp;G147,Pass!B:C,2,0),0)</f>
        <v/>
      </c>
      <c r="M147" s="156">
        <f>IFERROR(VLOOKUP(F147&amp;G147,Rush!B:C,2,0),0)</f>
        <v/>
      </c>
      <c r="N147" s="156">
        <f>IFERROR(VLOOKUP(F147&amp;G147,Rec!B:C,2,0),0)</f>
        <v/>
      </c>
      <c r="O147" s="156">
        <f>IFERROR(VLOOKUP(F147&amp;G147,Returns!A:B,2,0),0)</f>
        <v/>
      </c>
      <c r="Q147" s="156" t="inlineStr">
        <is>
          <t>Demario Douglas</t>
        </is>
      </c>
      <c r="R147" s="156" t="inlineStr">
        <is>
          <t>NE</t>
        </is>
      </c>
      <c r="S147" s="156" t="inlineStr">
        <is>
          <t>WR</t>
        </is>
      </c>
    </row>
    <row r="148" hidden="1" ht="15.6" customHeight="1" s="152">
      <c r="A148" s="217" t="n">
        <v>147</v>
      </c>
      <c r="B148" s="218">
        <f>VLOOKUP(G148,Matrix!R:AA,10,0)</f>
        <v/>
      </c>
      <c r="C148" s="156">
        <f>IF(K148&gt;=0.01,K148,IFERROR(VLOOKUP(F148&amp;G148,Pass!B:C,2,0),K148)+SUM(L148:N148))</f>
        <v/>
      </c>
      <c r="D148" s="218">
        <f>_xlfn.IFNA(INDEX('Injury Report'!F:F, MATCH(G148&amp;F148, 'Injury Report'!A:A, 0)), "Healthy")</f>
        <v/>
      </c>
      <c r="E148" s="219">
        <f>VLOOKUP(A148,'QB Depth'!A:G,7,0)-1</f>
        <v/>
      </c>
      <c r="F148" s="218">
        <f>VLOOKUP(A148,'QB Depth'!A:C,3,0)</f>
        <v/>
      </c>
      <c r="G148" s="218">
        <f>VLOOKUP(A148,'QB Depth'!A:B,2,0)</f>
        <v/>
      </c>
      <c r="H148" s="218">
        <f>VLOOKUP(A148,'QB Depth'!A:D,4,0)</f>
        <v/>
      </c>
      <c r="I148" s="218">
        <f>H148&amp;E148</f>
        <v/>
      </c>
      <c r="J148" s="220">
        <f>IF(VLOOKUP(F148,Pass!F:G,2,0)=G148,"OK","Check Team")</f>
        <v/>
      </c>
      <c r="K148" s="156" t="n"/>
      <c r="L148" s="156">
        <f>IFERROR(VLOOKUP(F148&amp;G148,Pass!B:C,2,0),0)</f>
        <v/>
      </c>
      <c r="M148" s="156">
        <f>IFERROR(VLOOKUP(F148&amp;G148,Rush!B:C,2,0),0)</f>
        <v/>
      </c>
      <c r="N148" s="156">
        <f>IFERROR(VLOOKUP(F148&amp;G148,Rec!B:C,2,0),0)</f>
        <v/>
      </c>
      <c r="O148" s="156">
        <f>IFERROR(VLOOKUP(F148&amp;G148,Returns!A:B,2,0),0)</f>
        <v/>
      </c>
      <c r="Q148" s="156" t="inlineStr">
        <is>
          <t>Rico Dowdle</t>
        </is>
      </c>
      <c r="R148" s="156" t="inlineStr">
        <is>
          <t>DAL</t>
        </is>
      </c>
      <c r="S148" s="156" t="inlineStr">
        <is>
          <t>RB</t>
        </is>
      </c>
    </row>
    <row r="149" hidden="1" ht="15.6" customHeight="1" s="152">
      <c r="A149" s="217" t="n">
        <v>148</v>
      </c>
      <c r="B149" s="218">
        <f>VLOOKUP(G149,Matrix!R:AA,10,0)</f>
        <v/>
      </c>
      <c r="C149" s="156">
        <f>IF(K149&gt;=0.01,K149,IFERROR(VLOOKUP(F149&amp;G149,Pass!B:C,2,0),K149)+SUM(L149:N149))</f>
        <v/>
      </c>
      <c r="D149" s="218">
        <f>_xlfn.IFNA(INDEX('Injury Report'!F:F, MATCH(G149&amp;F149, 'Injury Report'!A:A, 0)), "Healthy")</f>
        <v/>
      </c>
      <c r="E149" s="219">
        <f>VLOOKUP(A149,'QB Depth'!A:G,7,0)-1</f>
        <v/>
      </c>
      <c r="F149" s="218">
        <f>VLOOKUP(A149,'QB Depth'!A:C,3,0)</f>
        <v/>
      </c>
      <c r="G149" s="218">
        <f>VLOOKUP(A149,'QB Depth'!A:B,2,0)</f>
        <v/>
      </c>
      <c r="H149" s="218">
        <f>VLOOKUP(A149,'QB Depth'!A:D,4,0)</f>
        <v/>
      </c>
      <c r="I149" s="218">
        <f>H149&amp;E149</f>
        <v/>
      </c>
      <c r="J149" s="220">
        <f>IF(VLOOKUP(F149,Pass!F:G,2,0)=G149,"OK","Check Team")</f>
        <v/>
      </c>
      <c r="K149" s="156" t="n"/>
      <c r="L149" s="156">
        <f>IFERROR(VLOOKUP(F149&amp;G149,Pass!B:C,2,0),0)</f>
        <v/>
      </c>
      <c r="M149" s="156">
        <f>IFERROR(VLOOKUP(F149&amp;G149,Rush!B:C,2,0),0)</f>
        <v/>
      </c>
      <c r="N149" s="156">
        <f>IFERROR(VLOOKUP(F149&amp;G149,Rec!B:C,2,0),0)</f>
        <v/>
      </c>
      <c r="O149" s="156">
        <f>IFERROR(VLOOKUP(F149&amp;G149,Returns!A:B,2,0),0)</f>
        <v/>
      </c>
      <c r="Q149" s="156" t="inlineStr">
        <is>
          <t>Josh Downs</t>
        </is>
      </c>
      <c r="R149" s="156" t="inlineStr">
        <is>
          <t>IND</t>
        </is>
      </c>
      <c r="S149" s="156" t="inlineStr">
        <is>
          <t>WR</t>
        </is>
      </c>
    </row>
    <row r="150" hidden="1" ht="15.6" customHeight="1" s="152">
      <c r="A150" s="217" t="n">
        <v>149</v>
      </c>
      <c r="B150" s="218">
        <f>VLOOKUP(G150,Matrix!R:AA,10,0)</f>
        <v/>
      </c>
      <c r="C150" s="156">
        <f>IF(K150&gt;=0.01,K150,IFERROR(VLOOKUP(F150&amp;G150,Pass!B:C,2,0),K150)+SUM(L150:N150))</f>
        <v/>
      </c>
      <c r="D150" s="218">
        <f>_xlfn.IFNA(INDEX('Injury Report'!F:F, MATCH(G150&amp;F150, 'Injury Report'!A:A, 0)), "Healthy")</f>
        <v/>
      </c>
      <c r="E150" s="219">
        <f>VLOOKUP(A150,'QB Depth'!A:G,7,0)-1</f>
        <v/>
      </c>
      <c r="F150" s="218">
        <f>VLOOKUP(A150,'QB Depth'!A:C,3,0)</f>
        <v/>
      </c>
      <c r="G150" s="218">
        <f>VLOOKUP(A150,'QB Depth'!A:B,2,0)</f>
        <v/>
      </c>
      <c r="H150" s="218">
        <f>VLOOKUP(A150,'QB Depth'!A:D,4,0)</f>
        <v/>
      </c>
      <c r="I150" s="218">
        <f>H150&amp;E150</f>
        <v/>
      </c>
      <c r="J150" s="220">
        <f>IF(VLOOKUP(F150,Pass!F:G,2,0)=G150,"OK","Check Team")</f>
        <v/>
      </c>
      <c r="K150" s="156" t="n"/>
      <c r="L150" s="156">
        <f>IFERROR(VLOOKUP(F150&amp;G150,Pass!B:C,2,0),0)</f>
        <v/>
      </c>
      <c r="M150" s="156">
        <f>IFERROR(VLOOKUP(F150&amp;G150,Rush!B:C,2,0),0)</f>
        <v/>
      </c>
      <c r="N150" s="156">
        <f>IFERROR(VLOOKUP(F150&amp;G150,Rec!B:C,2,0),0)</f>
        <v/>
      </c>
      <c r="O150" s="156">
        <f>IFERROR(VLOOKUP(F150&amp;G150,Returns!A:B,2,0),0)</f>
        <v/>
      </c>
      <c r="Q150" s="156" t="inlineStr">
        <is>
          <t>Kenyan Drake</t>
        </is>
      </c>
      <c r="R150" s="156" t="inlineStr">
        <is>
          <t>FA</t>
        </is>
      </c>
      <c r="S150" s="156" t="inlineStr">
        <is>
          <t>RB</t>
        </is>
      </c>
    </row>
    <row r="151" hidden="1" ht="15.6" customHeight="1" s="152">
      <c r="A151" s="217" t="n">
        <v>150</v>
      </c>
      <c r="B151" s="218">
        <f>VLOOKUP(G151,Matrix!R:AA,10,0)</f>
        <v/>
      </c>
      <c r="C151" s="156">
        <f>IF(K151&gt;=0.01,K151,IFERROR(VLOOKUP(F151&amp;G151,Pass!B:C,2,0),K151)+SUM(L151:N151))</f>
        <v/>
      </c>
      <c r="D151" s="218">
        <f>_xlfn.IFNA(INDEX('Injury Report'!F:F, MATCH(G151&amp;F151, 'Injury Report'!A:A, 0)), "Healthy")</f>
        <v/>
      </c>
      <c r="E151" s="219">
        <f>VLOOKUP(A151,'QB Depth'!A:G,7,0)-1</f>
        <v/>
      </c>
      <c r="F151" s="218">
        <f>VLOOKUP(A151,'QB Depth'!A:C,3,0)</f>
        <v/>
      </c>
      <c r="G151" s="218">
        <f>VLOOKUP(A151,'QB Depth'!A:B,2,0)</f>
        <v/>
      </c>
      <c r="H151" s="218">
        <f>VLOOKUP(A151,'QB Depth'!A:D,4,0)</f>
        <v/>
      </c>
      <c r="I151" s="218">
        <f>H151&amp;E151</f>
        <v/>
      </c>
      <c r="J151" s="220">
        <f>IF(VLOOKUP(F151,Pass!F:G,2,0)=G151,"OK","Check Team")</f>
        <v/>
      </c>
      <c r="K151" s="156" t="n"/>
      <c r="L151" s="156">
        <f>IFERROR(VLOOKUP(F151&amp;G151,Pass!B:C,2,0),0)</f>
        <v/>
      </c>
      <c r="M151" s="156">
        <f>IFERROR(VLOOKUP(F151&amp;G151,Rush!B:C,2,0),0)</f>
        <v/>
      </c>
      <c r="N151" s="156">
        <f>IFERROR(VLOOKUP(F151&amp;G151,Rec!B:C,2,0),0)</f>
        <v/>
      </c>
      <c r="O151" s="156">
        <f>IFERROR(VLOOKUP(F151&amp;G151,Returns!A:B,2,0),0)</f>
        <v/>
      </c>
      <c r="Q151" s="156" t="inlineStr">
        <is>
          <t>Greg Dulcich</t>
        </is>
      </c>
      <c r="R151" s="156" t="inlineStr">
        <is>
          <t>NYG</t>
        </is>
      </c>
      <c r="S151" s="156" t="inlineStr">
        <is>
          <t>TE</t>
        </is>
      </c>
    </row>
    <row r="152" hidden="1" ht="15.6" customHeight="1" s="152">
      <c r="A152" s="217" t="n">
        <v>151</v>
      </c>
      <c r="B152" s="218">
        <f>VLOOKUP(G152,Matrix!R:AA,10,0)</f>
        <v/>
      </c>
      <c r="C152" s="156">
        <f>IF(K152&gt;=0.01,K152,IFERROR(VLOOKUP(F152&amp;G152,Pass!B:C,2,0),K152)+SUM(L152:N152))</f>
        <v/>
      </c>
      <c r="D152" s="218">
        <f>_xlfn.IFNA(INDEX('Injury Report'!F:F, MATCH(G152&amp;F152, 'Injury Report'!A:A, 0)), "Healthy")</f>
        <v/>
      </c>
      <c r="E152" s="219">
        <f>VLOOKUP(A152,'QB Depth'!A:G,7,0)-1</f>
        <v/>
      </c>
      <c r="F152" s="218">
        <f>VLOOKUP(A152,'QB Depth'!A:C,3,0)</f>
        <v/>
      </c>
      <c r="G152" s="218">
        <f>VLOOKUP(A152,'QB Depth'!A:B,2,0)</f>
        <v/>
      </c>
      <c r="H152" s="218">
        <f>VLOOKUP(A152,'QB Depth'!A:D,4,0)</f>
        <v/>
      </c>
      <c r="I152" s="218">
        <f>H152&amp;E152</f>
        <v/>
      </c>
      <c r="J152" s="220">
        <f>IF(VLOOKUP(F152,Pass!F:G,2,0)=G152,"OK","Check Team")</f>
        <v/>
      </c>
      <c r="K152" s="156" t="n"/>
      <c r="L152" s="156">
        <f>IFERROR(VLOOKUP(F152&amp;G152,Pass!B:C,2,0),0)</f>
        <v/>
      </c>
      <c r="M152" s="156">
        <f>IFERROR(VLOOKUP(F152&amp;G152,Rush!B:C,2,0),0)</f>
        <v/>
      </c>
      <c r="N152" s="156">
        <f>IFERROR(VLOOKUP(F152&amp;G152,Rec!B:C,2,0),0)</f>
        <v/>
      </c>
      <c r="O152" s="156">
        <f>IFERROR(VLOOKUP(F152&amp;G152,Returns!A:B,2,0),0)</f>
        <v/>
      </c>
      <c r="Q152" s="156" t="inlineStr">
        <is>
          <t>Ashton Dulin</t>
        </is>
      </c>
      <c r="R152" s="156" t="inlineStr">
        <is>
          <t>IND</t>
        </is>
      </c>
      <c r="S152" s="156" t="inlineStr">
        <is>
          <t>WR</t>
        </is>
      </c>
    </row>
    <row r="153" hidden="1" ht="15.6" customHeight="1" s="152">
      <c r="A153" s="217" t="n">
        <v>152</v>
      </c>
      <c r="B153" s="218">
        <f>VLOOKUP(G153,Matrix!R:AA,10,0)</f>
        <v/>
      </c>
      <c r="C153" s="156">
        <f>IF(K153&gt;=0.01,K153,IFERROR(VLOOKUP(F153&amp;G153,Pass!B:C,2,0),K153)+SUM(L153:N153))</f>
        <v/>
      </c>
      <c r="D153" s="218">
        <f>_xlfn.IFNA(INDEX('Injury Report'!F:F, MATCH(G153&amp;F153, 'Injury Report'!A:A, 0)), "Healthy")</f>
        <v/>
      </c>
      <c r="E153" s="219">
        <f>VLOOKUP(A153,'QB Depth'!A:G,7,0)-1</f>
        <v/>
      </c>
      <c r="F153" s="218">
        <f>VLOOKUP(A153,'QB Depth'!A:C,3,0)</f>
        <v/>
      </c>
      <c r="G153" s="218">
        <f>VLOOKUP(A153,'QB Depth'!A:B,2,0)</f>
        <v/>
      </c>
      <c r="H153" s="218">
        <f>VLOOKUP(A153,'QB Depth'!A:D,4,0)</f>
        <v/>
      </c>
      <c r="I153" s="218">
        <f>H153&amp;E153</f>
        <v/>
      </c>
      <c r="J153" s="220">
        <f>IF(VLOOKUP(F153,Pass!F:G,2,0)=G153,"OK","Check Team")</f>
        <v/>
      </c>
      <c r="K153" s="156" t="n"/>
      <c r="L153" s="156">
        <f>IFERROR(VLOOKUP(F153&amp;G153,Pass!B:C,2,0),0)</f>
        <v/>
      </c>
      <c r="M153" s="156">
        <f>IFERROR(VLOOKUP(F153&amp;G153,Rush!B:C,2,0),0)</f>
        <v/>
      </c>
      <c r="N153" s="156">
        <f>IFERROR(VLOOKUP(F153&amp;G153,Rec!B:C,2,0),0)</f>
        <v/>
      </c>
      <c r="O153" s="156">
        <f>IFERROR(VLOOKUP(F153&amp;G153,Returns!A:B,2,0),0)</f>
        <v/>
      </c>
      <c r="Q153" s="156" t="inlineStr">
        <is>
          <t>Payne Durham</t>
        </is>
      </c>
      <c r="R153" s="156" t="inlineStr">
        <is>
          <t>TB</t>
        </is>
      </c>
      <c r="S153" s="156" t="inlineStr">
        <is>
          <t>TE</t>
        </is>
      </c>
    </row>
    <row r="154" hidden="1" ht="15.6" customHeight="1" s="152">
      <c r="A154" s="217" t="n">
        <v>153</v>
      </c>
      <c r="B154" s="218">
        <f>VLOOKUP(G154,Matrix!R:AA,10,0)</f>
        <v/>
      </c>
      <c r="C154" s="156">
        <f>IF(K154&gt;=0.01,K154,IFERROR(VLOOKUP(F154&amp;G154,Pass!B:C,2,0),K154)+SUM(L154:N154))</f>
        <v/>
      </c>
      <c r="D154" s="218">
        <f>_xlfn.IFNA(INDEX('Injury Report'!F:F, MATCH(G154&amp;F154, 'Injury Report'!A:A, 0)), "Healthy")</f>
        <v/>
      </c>
      <c r="E154" s="219">
        <f>VLOOKUP(A154,'QB Depth'!A:G,7,0)-1</f>
        <v/>
      </c>
      <c r="F154" s="218">
        <f>VLOOKUP(A154,'QB Depth'!A:C,3,0)</f>
        <v/>
      </c>
      <c r="G154" s="218">
        <f>VLOOKUP(A154,'QB Depth'!A:B,2,0)</f>
        <v/>
      </c>
      <c r="H154" s="218">
        <f>VLOOKUP(A154,'QB Depth'!A:D,4,0)</f>
        <v/>
      </c>
      <c r="I154" s="218">
        <f>H154&amp;E154</f>
        <v/>
      </c>
      <c r="J154" s="220">
        <f>IF(VLOOKUP(F154,Pass!F:G,2,0)=G154,"OK","Check Team")</f>
        <v/>
      </c>
      <c r="K154" s="156" t="n"/>
      <c r="L154" s="156">
        <f>IFERROR(VLOOKUP(F154&amp;G154,Pass!B:C,2,0),0)</f>
        <v/>
      </c>
      <c r="M154" s="156">
        <f>IFERROR(VLOOKUP(F154&amp;G154,Rush!B:C,2,0),0)</f>
        <v/>
      </c>
      <c r="N154" s="156">
        <f>IFERROR(VLOOKUP(F154&amp;G154,Rec!B:C,2,0),0)</f>
        <v/>
      </c>
      <c r="O154" s="156">
        <f>IFERROR(VLOOKUP(F154&amp;G154,Returns!A:B,2,0),0)</f>
        <v/>
      </c>
      <c r="Q154" s="156" t="inlineStr">
        <is>
          <t>Devin Duvernay</t>
        </is>
      </c>
      <c r="R154" s="156" t="inlineStr">
        <is>
          <t>JAX</t>
        </is>
      </c>
      <c r="S154" s="156" t="inlineStr">
        <is>
          <t>WR</t>
        </is>
      </c>
    </row>
    <row r="155" hidden="1" ht="15.6" customHeight="1" s="152">
      <c r="A155" s="217" t="n">
        <v>153</v>
      </c>
      <c r="B155" s="218">
        <f>VLOOKUP(G155,Matrix!R:AA,10,0)</f>
        <v/>
      </c>
      <c r="C155" s="156">
        <f>IF(K155&gt;=0.01,K155,IFERROR(VLOOKUP(F155&amp;G155,Pass!B:C,2,0),K155)+SUM(L155:N155))</f>
        <v/>
      </c>
      <c r="D155" s="218">
        <f>_xlfn.IFNA(INDEX('Injury Report'!F:F, MATCH(G155&amp;F155, 'Injury Report'!A:A, 0)), "Healthy")</f>
        <v/>
      </c>
      <c r="E155" s="219">
        <f>VLOOKUP(A155,'QB Depth'!A:G,7,0)-1</f>
        <v/>
      </c>
      <c r="F155" s="218">
        <f>VLOOKUP(A155,'QB Depth'!A:C,3,0)</f>
        <v/>
      </c>
      <c r="G155" s="218">
        <f>VLOOKUP(A155,'QB Depth'!A:B,2,0)</f>
        <v/>
      </c>
      <c r="H155" s="218">
        <f>VLOOKUP(A155,'QB Depth'!A:D,4,0)</f>
        <v/>
      </c>
      <c r="I155" s="218">
        <f>H155&amp;E155</f>
        <v/>
      </c>
      <c r="J155" s="220">
        <f>IF(VLOOKUP(F155,Pass!F:G,2,0)=G155,"OK","Check Team")</f>
        <v/>
      </c>
      <c r="K155" s="156" t="n"/>
      <c r="L155" s="156">
        <f>IFERROR(VLOOKUP(F155&amp;G155,Pass!B:C,2,0),0)</f>
        <v/>
      </c>
      <c r="M155" s="156">
        <f>IFERROR(VLOOKUP(F155&amp;G155,Rush!B:C,2,0),0)</f>
        <v/>
      </c>
      <c r="N155" s="156">
        <f>IFERROR(VLOOKUP(F155&amp;G155,Rec!B:C,2,0),0)</f>
        <v/>
      </c>
      <c r="O155" s="156">
        <f>IFERROR(VLOOKUP(F155&amp;G155,Returns!A:B,2,0),0)</f>
        <v/>
      </c>
      <c r="Q155" s="156" t="inlineStr">
        <is>
          <t>Chase Edmonds</t>
        </is>
      </c>
      <c r="R155" s="156" t="inlineStr">
        <is>
          <t>TB</t>
        </is>
      </c>
      <c r="S155" s="156" t="inlineStr">
        <is>
          <t>RB</t>
        </is>
      </c>
    </row>
    <row r="156" hidden="1" ht="15.6" customHeight="1" s="152">
      <c r="A156" s="217" t="n">
        <v>153</v>
      </c>
      <c r="B156" s="218">
        <f>VLOOKUP(G156,Matrix!R:AA,10,0)</f>
        <v/>
      </c>
      <c r="C156" s="156">
        <f>IF(K156&gt;=0.01,K156,IFERROR(VLOOKUP(F156&amp;G156,Pass!B:C,2,0),K156)+SUM(L156:N156))</f>
        <v/>
      </c>
      <c r="D156" s="218">
        <f>_xlfn.IFNA(INDEX('Injury Report'!F:F, MATCH(G156&amp;F156, 'Injury Report'!A:A, 0)), "Healthy")</f>
        <v/>
      </c>
      <c r="E156" s="219">
        <f>VLOOKUP(A156,'QB Depth'!A:G,7,0)-1</f>
        <v/>
      </c>
      <c r="F156" s="218">
        <f>VLOOKUP(A156,'QB Depth'!A:C,3,0)</f>
        <v/>
      </c>
      <c r="G156" s="218">
        <f>VLOOKUP(A156,'QB Depth'!A:B,2,0)</f>
        <v/>
      </c>
      <c r="H156" s="218">
        <f>VLOOKUP(A156,'QB Depth'!A:D,4,0)</f>
        <v/>
      </c>
      <c r="I156" s="218">
        <f>H156&amp;E156</f>
        <v/>
      </c>
      <c r="J156" s="220">
        <f>IF(VLOOKUP(F156,Pass!F:G,2,0)=G156,"OK","Check Team")</f>
        <v/>
      </c>
      <c r="K156" s="156" t="n"/>
      <c r="L156" s="156">
        <f>IFERROR(VLOOKUP(F156&amp;G156,Pass!B:C,2,0),0)</f>
        <v/>
      </c>
      <c r="M156" s="156">
        <f>IFERROR(VLOOKUP(F156&amp;G156,Rush!B:C,2,0),0)</f>
        <v/>
      </c>
      <c r="N156" s="156">
        <f>IFERROR(VLOOKUP(F156&amp;G156,Rec!B:C,2,0),0)</f>
        <v/>
      </c>
      <c r="O156" s="156">
        <f>IFERROR(VLOOKUP(F156&amp;G156,Returns!A:B,2,0),0)</f>
        <v/>
      </c>
      <c r="Q156" s="156" t="inlineStr">
        <is>
          <t>Gus Edwards</t>
        </is>
      </c>
      <c r="R156" s="156" t="inlineStr">
        <is>
          <t>LAC</t>
        </is>
      </c>
      <c r="S156" s="156" t="inlineStr">
        <is>
          <t>RB</t>
        </is>
      </c>
    </row>
    <row r="157" hidden="1" ht="15.6" customHeight="1" s="152">
      <c r="A157" s="217" t="n">
        <v>156</v>
      </c>
      <c r="B157" s="218">
        <f>VLOOKUP(G157,Matrix!R:AA,10,0)</f>
        <v/>
      </c>
      <c r="C157" s="156">
        <f>IF(K157&gt;=0.01,K157,IFERROR(VLOOKUP(F157&amp;G157,Pass!B:C,2,0),K157)+SUM(L157:N157))</f>
        <v/>
      </c>
      <c r="D157" s="218">
        <f>_xlfn.IFNA(INDEX('Injury Report'!F:F, MATCH(G157&amp;F157, 'Injury Report'!A:A, 0)), "Healthy")</f>
        <v/>
      </c>
      <c r="E157" s="219">
        <f>VLOOKUP(A157,'QB Depth'!A:G,7,0)-1</f>
        <v/>
      </c>
      <c r="F157" s="218">
        <f>VLOOKUP(A157,'QB Depth'!A:C,3,0)</f>
        <v/>
      </c>
      <c r="G157" s="218">
        <f>VLOOKUP(A157,'QB Depth'!A:B,2,0)</f>
        <v/>
      </c>
      <c r="H157" s="218">
        <f>VLOOKUP(A157,'QB Depth'!A:D,4,0)</f>
        <v/>
      </c>
      <c r="I157" s="218">
        <f>H157&amp;E157</f>
        <v/>
      </c>
      <c r="J157" s="220">
        <f>IF(VLOOKUP(F157,Pass!F:G,2,0)=G157,"OK","Check Team")</f>
        <v/>
      </c>
      <c r="K157" s="156" t="n"/>
      <c r="L157" s="156">
        <f>IFERROR(VLOOKUP(F157&amp;G157,Pass!B:C,2,0),0)</f>
        <v/>
      </c>
      <c r="M157" s="156">
        <f>IFERROR(VLOOKUP(F157&amp;G157,Rush!B:C,2,0),0)</f>
        <v/>
      </c>
      <c r="N157" s="156">
        <f>IFERROR(VLOOKUP(F157&amp;G157,Rec!B:C,2,0),0)</f>
        <v/>
      </c>
      <c r="O157" s="156">
        <f>IFERROR(VLOOKUP(F157&amp;G157,Returns!A:B,2,0),0)</f>
        <v/>
      </c>
      <c r="Q157" s="156" t="inlineStr">
        <is>
          <t>Clyde Edwards-Helaire</t>
        </is>
      </c>
      <c r="R157" s="156" t="inlineStr">
        <is>
          <t>FA</t>
        </is>
      </c>
      <c r="S157" s="156" t="inlineStr">
        <is>
          <t>RB</t>
        </is>
      </c>
    </row>
    <row r="158" hidden="1" ht="15.6" customHeight="1" s="152">
      <c r="A158" s="217" t="n">
        <v>157</v>
      </c>
      <c r="B158" s="218">
        <f>VLOOKUP(G158,Matrix!R:AA,10,0)</f>
        <v/>
      </c>
      <c r="C158" s="156">
        <f>IF(K158&gt;=0.01,K158,IFERROR(VLOOKUP(F158&amp;G158,Pass!B:C,2,0),K158)+SUM(L158:N158))</f>
        <v/>
      </c>
      <c r="D158" s="218">
        <f>_xlfn.IFNA(INDEX('Injury Report'!F:F, MATCH(G158&amp;F158, 'Injury Report'!A:A, 0)), "Healthy")</f>
        <v/>
      </c>
      <c r="E158" s="219">
        <f>VLOOKUP(A158,'QB Depth'!A:G,7,0)-1</f>
        <v/>
      </c>
      <c r="F158" s="218">
        <f>VLOOKUP(A158,'QB Depth'!A:C,3,0)</f>
        <v/>
      </c>
      <c r="G158" s="218">
        <f>VLOOKUP(A158,'QB Depth'!A:B,2,0)</f>
        <v/>
      </c>
      <c r="H158" s="218">
        <f>VLOOKUP(A158,'QB Depth'!A:D,4,0)</f>
        <v/>
      </c>
      <c r="I158" s="218">
        <f>H158&amp;E158</f>
        <v/>
      </c>
      <c r="J158" s="220">
        <f>IF(VLOOKUP(F158,Pass!F:G,2,0)=G158,"OK","Check Team")</f>
        <v/>
      </c>
      <c r="K158" s="156" t="n"/>
      <c r="L158" s="156">
        <f>IFERROR(VLOOKUP(F158&amp;G158,Pass!B:C,2,0),0)</f>
        <v/>
      </c>
      <c r="M158" s="156">
        <f>IFERROR(VLOOKUP(F158&amp;G158,Rush!B:C,2,0),0)</f>
        <v/>
      </c>
      <c r="N158" s="156">
        <f>IFERROR(VLOOKUP(F158&amp;G158,Rec!B:C,2,0),0)</f>
        <v/>
      </c>
      <c r="O158" s="156">
        <f>IFERROR(VLOOKUP(F158&amp;G158,Returns!A:B,2,0),0)</f>
        <v/>
      </c>
      <c r="Q158" s="156" t="inlineStr">
        <is>
          <t>Sam Ehlinger</t>
        </is>
      </c>
      <c r="R158" s="156" t="inlineStr">
        <is>
          <t>IND</t>
        </is>
      </c>
      <c r="S158" s="156" t="inlineStr">
        <is>
          <t>QB</t>
        </is>
      </c>
    </row>
    <row r="159" hidden="1" ht="15.6" customHeight="1" s="152">
      <c r="A159" s="217" t="n">
        <v>158</v>
      </c>
      <c r="B159" s="218">
        <f>VLOOKUP(G159,Matrix!R:AA,10,0)</f>
        <v/>
      </c>
      <c r="C159" s="156">
        <f>IF(K159&gt;=0.01,K159,IFERROR(VLOOKUP(F159&amp;G159,Pass!B:C,2,0),K159)+SUM(L159:N159))</f>
        <v/>
      </c>
      <c r="D159" s="218">
        <f>_xlfn.IFNA(INDEX('Injury Report'!F:F, MATCH(G159&amp;F159, 'Injury Report'!A:A, 0)), "Healthy")</f>
        <v/>
      </c>
      <c r="E159" s="219">
        <f>VLOOKUP(A159,'QB Depth'!A:G,7,0)-1</f>
        <v/>
      </c>
      <c r="F159" s="218">
        <f>VLOOKUP(A159,'QB Depth'!A:C,3,0)</f>
        <v/>
      </c>
      <c r="G159" s="218">
        <f>VLOOKUP(A159,'QB Depth'!A:B,2,0)</f>
        <v/>
      </c>
      <c r="H159" s="218">
        <f>VLOOKUP(A159,'QB Depth'!A:D,4,0)</f>
        <v/>
      </c>
      <c r="I159" s="218">
        <f>H159&amp;E159</f>
        <v/>
      </c>
      <c r="J159" s="220">
        <f>IF(VLOOKUP(F159,Pass!F:G,2,0)=G159,"OK","Check Team")</f>
        <v/>
      </c>
      <c r="K159" s="156" t="n"/>
      <c r="L159" s="156">
        <f>IFERROR(VLOOKUP(F159&amp;G159,Pass!B:C,2,0),0)</f>
        <v/>
      </c>
      <c r="M159" s="156">
        <f>IFERROR(VLOOKUP(F159&amp;G159,Rush!B:C,2,0),0)</f>
        <v/>
      </c>
      <c r="N159" s="156">
        <f>IFERROR(VLOOKUP(F159&amp;G159,Rec!B:C,2,0),0)</f>
        <v/>
      </c>
      <c r="O159" s="156">
        <f>IFERROR(VLOOKUP(F159&amp;G159,Returns!A:B,2,0),0)</f>
        <v/>
      </c>
      <c r="Q159" s="156" t="inlineStr">
        <is>
          <t>Austin Ekeler</t>
        </is>
      </c>
      <c r="R159" s="156" t="inlineStr">
        <is>
          <t>WAS</t>
        </is>
      </c>
      <c r="S159" s="156" t="inlineStr">
        <is>
          <t>RB</t>
        </is>
      </c>
    </row>
    <row r="160" hidden="1" ht="15.6" customHeight="1" s="152">
      <c r="A160" s="217" t="n">
        <v>159</v>
      </c>
      <c r="B160" s="218">
        <f>VLOOKUP(G160,Matrix!R:AA,10,0)</f>
        <v/>
      </c>
      <c r="C160" s="156">
        <f>IF(K160&gt;=0.01,K160,IFERROR(VLOOKUP(F160&amp;G160,Pass!B:C,2,0),K160)+SUM(L160:N160))</f>
        <v/>
      </c>
      <c r="D160" s="218">
        <f>_xlfn.IFNA(INDEX('Injury Report'!F:F, MATCH(G160&amp;F160, 'Injury Report'!A:A, 0)), "Healthy")</f>
        <v/>
      </c>
      <c r="E160" s="219">
        <f>VLOOKUP(A160,'QB Depth'!A:G,7,0)-1</f>
        <v/>
      </c>
      <c r="F160" s="218">
        <f>VLOOKUP(A160,'QB Depth'!A:C,3,0)</f>
        <v/>
      </c>
      <c r="G160" s="218">
        <f>VLOOKUP(A160,'QB Depth'!A:B,2,0)</f>
        <v/>
      </c>
      <c r="H160" s="218">
        <f>VLOOKUP(A160,'QB Depth'!A:D,4,0)</f>
        <v/>
      </c>
      <c r="I160" s="218">
        <f>H160&amp;E160</f>
        <v/>
      </c>
      <c r="J160" s="220">
        <f>IF(VLOOKUP(F160,Pass!F:G,2,0)=G160,"OK","Check Team")</f>
        <v/>
      </c>
      <c r="K160" s="156" t="n"/>
      <c r="L160" s="156">
        <f>IFERROR(VLOOKUP(F160&amp;G160,Pass!B:C,2,0),0)</f>
        <v/>
      </c>
      <c r="M160" s="156">
        <f>IFERROR(VLOOKUP(F160&amp;G160,Rush!B:C,2,0),0)</f>
        <v/>
      </c>
      <c r="N160" s="156">
        <f>IFERROR(VLOOKUP(F160&amp;G160,Rec!B:C,2,0),0)</f>
        <v/>
      </c>
      <c r="O160" s="156">
        <f>IFERROR(VLOOKUP(F160&amp;G160,Returns!A:B,2,0),0)</f>
        <v/>
      </c>
      <c r="Q160" s="156" t="inlineStr">
        <is>
          <t>Jake Elliott</t>
        </is>
      </c>
      <c r="R160" s="156" t="inlineStr">
        <is>
          <t>PHI</t>
        </is>
      </c>
      <c r="S160" s="156" t="inlineStr">
        <is>
          <t>K</t>
        </is>
      </c>
    </row>
    <row r="161" hidden="1" ht="15.6" customHeight="1" s="152">
      <c r="A161" s="217" t="n">
        <v>160</v>
      </c>
      <c r="B161" s="218">
        <f>VLOOKUP(G161,Matrix!R:AA,10,0)</f>
        <v/>
      </c>
      <c r="C161" s="156">
        <f>IF(K161&gt;=0.01,K161,IFERROR(VLOOKUP(F161&amp;G161,Pass!B:C,2,0),K161)+SUM(L161:N161))</f>
        <v/>
      </c>
      <c r="D161" s="218">
        <f>_xlfn.IFNA(INDEX('Injury Report'!F:F, MATCH(G161&amp;F161, 'Injury Report'!A:A, 0)), "Healthy")</f>
        <v/>
      </c>
      <c r="E161" s="219">
        <f>VLOOKUP(A161,'QB Depth'!A:G,7,0)-1</f>
        <v/>
      </c>
      <c r="F161" s="218">
        <f>VLOOKUP(A161,'QB Depth'!A:C,3,0)</f>
        <v/>
      </c>
      <c r="G161" s="218">
        <f>VLOOKUP(A161,'QB Depth'!A:B,2,0)</f>
        <v/>
      </c>
      <c r="H161" s="218">
        <f>VLOOKUP(A161,'QB Depth'!A:D,4,0)</f>
        <v/>
      </c>
      <c r="I161" s="218">
        <f>H161&amp;E161</f>
        <v/>
      </c>
      <c r="J161" s="220">
        <f>IF(VLOOKUP(F161,Pass!F:G,2,0)=G161,"OK","Check Team")</f>
        <v/>
      </c>
      <c r="K161" s="156" t="n"/>
      <c r="L161" s="156">
        <f>IFERROR(VLOOKUP(F161&amp;G161,Pass!B:C,2,0),0)</f>
        <v/>
      </c>
      <c r="M161" s="156">
        <f>IFERROR(VLOOKUP(F161&amp;G161,Rush!B:C,2,0),0)</f>
        <v/>
      </c>
      <c r="N161" s="156">
        <f>IFERROR(VLOOKUP(F161&amp;G161,Rec!B:C,2,0),0)</f>
        <v/>
      </c>
      <c r="O161" s="156">
        <f>IFERROR(VLOOKUP(F161&amp;G161,Returns!A:B,2,0),0)</f>
        <v/>
      </c>
      <c r="Q161" s="156" t="inlineStr">
        <is>
          <t>Ezekiel Elliott</t>
        </is>
      </c>
      <c r="R161" s="156" t="inlineStr">
        <is>
          <t>FA</t>
        </is>
      </c>
      <c r="S161" s="156" t="inlineStr">
        <is>
          <t>RB</t>
        </is>
      </c>
    </row>
    <row r="162" ht="15.6" customHeight="1" s="152">
      <c r="A162" s="217" t="n">
        <v>1</v>
      </c>
      <c r="B162" s="218">
        <f>VLOOKUP(G162,Matrix!R:AA,10,0)</f>
        <v/>
      </c>
      <c r="C162" s="156">
        <f>IF(K162&gt;=0.01,K162,IFERROR(VLOOKUP(F162&amp;G162,Rush!B:C,2,0),K162)+SUM(L162:O162))</f>
        <v/>
      </c>
      <c r="D162" s="218">
        <f>_xlfn.IFNA(INDEX('Injury Report'!F:F, MATCH(G162&amp;F162, 'Injury Report'!A:A, 0)), "Healthy")</f>
        <v/>
      </c>
      <c r="E162" s="219">
        <f>VLOOKUP(A162,'RB Depth'!A:G,7,0)-1</f>
        <v/>
      </c>
      <c r="F162" s="218">
        <f>VLOOKUP(A162,'RB Depth'!A:C,3,0)</f>
        <v/>
      </c>
      <c r="G162" s="218">
        <f>VLOOKUP(A162,'RB Depth'!A:B,2,0)</f>
        <v/>
      </c>
      <c r="H162" s="218">
        <f>VLOOKUP(A162,'RB Depth'!A:D,4,0)</f>
        <v/>
      </c>
      <c r="I162" s="218">
        <f>H162&amp;E162</f>
        <v/>
      </c>
      <c r="J162" s="220">
        <f>IF(VLOOKUP(F162,Rush!F:G,2,0)=G162,"OK","Check Team")</f>
        <v/>
      </c>
      <c r="K162" s="156" t="n"/>
      <c r="L162" s="156">
        <f>IFERROR(VLOOKUP(F162&amp;G162,Pass!B:C,2,0),0)</f>
        <v/>
      </c>
      <c r="M162" s="156">
        <f>IFERROR(VLOOKUP(F162&amp;G162,Rush!B:C,2,0),0)</f>
        <v/>
      </c>
      <c r="N162" s="156">
        <f>IFERROR(VLOOKUP(F162&amp;G162,Rec!B:C,2,0),K162)</f>
        <v/>
      </c>
      <c r="O162" s="156">
        <f>IFERROR(VLOOKUP(F162&amp;G162,Returns!A:B,2,0),0)</f>
        <v/>
      </c>
      <c r="Q162" s="156" t="inlineStr">
        <is>
          <t>Evan Engram</t>
        </is>
      </c>
      <c r="R162" s="156" t="inlineStr">
        <is>
          <t>JAX</t>
        </is>
      </c>
      <c r="S162" s="156" t="inlineStr">
        <is>
          <t>TE</t>
        </is>
      </c>
    </row>
    <row r="163" ht="15.6" customHeight="1" s="152">
      <c r="A163" s="217" t="n">
        <v>2</v>
      </c>
      <c r="B163" s="218">
        <f>VLOOKUP(G163,Matrix!R:AA,10,0)</f>
        <v/>
      </c>
      <c r="C163" s="156">
        <f>IF(K163&gt;=0.01,K163,IFERROR(VLOOKUP(F163&amp;G163,Rush!B:C,2,0),K163)+SUM(L163:O163))</f>
        <v/>
      </c>
      <c r="D163" s="218">
        <f>_xlfn.IFNA(INDEX('Injury Report'!F:F, MATCH(G163&amp;F163, 'Injury Report'!A:A, 0)), "Healthy")</f>
        <v/>
      </c>
      <c r="E163" s="219">
        <f>VLOOKUP(A163,'RB Depth'!A:G,7,0)-1</f>
        <v/>
      </c>
      <c r="F163" s="218">
        <f>VLOOKUP(A163,'RB Depth'!A:C,3,0)</f>
        <v/>
      </c>
      <c r="G163" s="218">
        <f>VLOOKUP(A163,'RB Depth'!A:B,2,0)</f>
        <v/>
      </c>
      <c r="H163" s="218">
        <f>VLOOKUP(A163,'RB Depth'!A:D,4,0)</f>
        <v/>
      </c>
      <c r="I163" s="218">
        <f>H163&amp;E163</f>
        <v/>
      </c>
      <c r="J163" s="220">
        <f>IF(VLOOKUP(F163,Rush!F:G,2,0)=G163,"OK","Check Team")</f>
        <v/>
      </c>
      <c r="K163" s="156" t="n"/>
      <c r="L163" s="156">
        <f>IFERROR(VLOOKUP(F163&amp;G163,Pass!B:C,2,0),0)</f>
        <v/>
      </c>
      <c r="M163" s="156">
        <f>IFERROR(VLOOKUP(F163&amp;G163,Rush!B:C,2,0),0)</f>
        <v/>
      </c>
      <c r="N163" s="156">
        <f>IFERROR(VLOOKUP(F163&amp;G163,Rec!B:C,2,0),K163)</f>
        <v/>
      </c>
      <c r="O163" s="156">
        <f>IFERROR(VLOOKUP(F163&amp;G163,Returns!A:B,2,0),0)</f>
        <v/>
      </c>
      <c r="Q163" s="156" t="inlineStr">
        <is>
          <t>Alex Erickson</t>
        </is>
      </c>
      <c r="R163" s="156" t="inlineStr">
        <is>
          <t>FA</t>
        </is>
      </c>
      <c r="S163" s="156" t="inlineStr">
        <is>
          <t>WR</t>
        </is>
      </c>
    </row>
    <row r="164" ht="15.6" customHeight="1" s="152">
      <c r="A164" s="217" t="n">
        <v>3</v>
      </c>
      <c r="B164" s="218">
        <f>VLOOKUP(G164,Matrix!R:AA,10,0)</f>
        <v/>
      </c>
      <c r="C164" s="156">
        <f>IF(K164&gt;=0.01,K164,IFERROR(VLOOKUP(F164&amp;G164,Rush!B:C,2,0),K164)+SUM(L164:O164))</f>
        <v/>
      </c>
      <c r="D164" s="218">
        <f>_xlfn.IFNA(INDEX('Injury Report'!F:F, MATCH(G164&amp;F164, 'Injury Report'!A:A, 0)), "Healthy")</f>
        <v/>
      </c>
      <c r="E164" s="219">
        <f>VLOOKUP(A164,'RB Depth'!A:G,7,0)-1</f>
        <v/>
      </c>
      <c r="F164" s="218">
        <f>VLOOKUP(A164,'RB Depth'!A:C,3,0)</f>
        <v/>
      </c>
      <c r="G164" s="218">
        <f>VLOOKUP(A164,'RB Depth'!A:B,2,0)</f>
        <v/>
      </c>
      <c r="H164" s="218">
        <f>VLOOKUP(A164,'RB Depth'!A:D,4,0)</f>
        <v/>
      </c>
      <c r="I164" s="218">
        <f>H164&amp;E164</f>
        <v/>
      </c>
      <c r="J164" s="220">
        <f>IF(VLOOKUP(F164,Rush!F:G,2,0)=G164,"OK","Check Team")</f>
        <v/>
      </c>
      <c r="K164" s="156" t="n"/>
      <c r="L164" s="156">
        <f>IFERROR(VLOOKUP(F164&amp;G164,Pass!B:C,2,0),0)</f>
        <v/>
      </c>
      <c r="M164" s="156">
        <f>IFERROR(VLOOKUP(F164&amp;G164,Rush!B:C,2,0),0)</f>
        <v/>
      </c>
      <c r="N164" s="156">
        <f>IFERROR(VLOOKUP(F164&amp;G164,Rec!B:C,2,0),K164)</f>
        <v/>
      </c>
      <c r="O164" s="156">
        <f>IFERROR(VLOOKUP(F164&amp;G164,Returns!A:B,2,0),0)</f>
        <v/>
      </c>
      <c r="Q164" s="156" t="inlineStr">
        <is>
          <t>Zach Ertz</t>
        </is>
      </c>
      <c r="R164" s="156" t="inlineStr">
        <is>
          <t>WAS</t>
        </is>
      </c>
      <c r="S164" s="156" t="inlineStr">
        <is>
          <t>TE</t>
        </is>
      </c>
    </row>
    <row r="165" ht="15.6" customHeight="1" s="152">
      <c r="A165" s="217" t="n">
        <v>4</v>
      </c>
      <c r="B165" s="218">
        <f>VLOOKUP(G165,Matrix!R:AA,10,0)</f>
        <v/>
      </c>
      <c r="C165" s="156">
        <f>IF(K165&gt;=0.01,K165,IFERROR(VLOOKUP(F165&amp;G165,Rush!B:C,2,0),K165)+SUM(L165:O165))</f>
        <v/>
      </c>
      <c r="D165" s="218">
        <f>_xlfn.IFNA(INDEX('Injury Report'!F:F, MATCH(G165&amp;F165, 'Injury Report'!A:A, 0)), "Healthy")</f>
        <v/>
      </c>
      <c r="E165" s="219">
        <f>VLOOKUP(A165,'RB Depth'!A:G,7,0)-1</f>
        <v/>
      </c>
      <c r="F165" s="218">
        <f>VLOOKUP(A165,'RB Depth'!A:C,3,0)</f>
        <v/>
      </c>
      <c r="G165" s="218">
        <f>VLOOKUP(A165,'RB Depth'!A:B,2,0)</f>
        <v/>
      </c>
      <c r="H165" s="218">
        <f>VLOOKUP(A165,'RB Depth'!A:D,4,0)</f>
        <v/>
      </c>
      <c r="I165" s="218">
        <f>H165&amp;E165</f>
        <v/>
      </c>
      <c r="J165" s="220">
        <f>IF(VLOOKUP(F165,Rush!F:G,2,0)=G165,"OK","Check Team")</f>
        <v/>
      </c>
      <c r="K165" s="156" t="n"/>
      <c r="L165" s="156">
        <f>IFERROR(VLOOKUP(F165&amp;G165,Pass!B:C,2,0),0)</f>
        <v/>
      </c>
      <c r="M165" s="156">
        <f>IFERROR(VLOOKUP(F165&amp;G165,Rush!B:C,2,0),0)</f>
        <v/>
      </c>
      <c r="N165" s="156">
        <f>IFERROR(VLOOKUP(F165&amp;G165,Rec!B:C,2,0),K165)</f>
        <v/>
      </c>
      <c r="O165" s="156">
        <f>IFERROR(VLOOKUP(F165&amp;G165,Returns!A:B,2,0),0)</f>
        <v/>
      </c>
      <c r="Q165" s="156" t="inlineStr">
        <is>
          <t>Dee Eskridge</t>
        </is>
      </c>
      <c r="R165" s="156" t="inlineStr">
        <is>
          <t>MIA</t>
        </is>
      </c>
      <c r="S165" s="156" t="inlineStr">
        <is>
          <t>WR</t>
        </is>
      </c>
    </row>
    <row r="166" ht="15.6" customHeight="1" s="152">
      <c r="A166" s="217" t="n">
        <v>5</v>
      </c>
      <c r="B166" s="218">
        <f>VLOOKUP(G166,Matrix!R:AA,10,0)</f>
        <v/>
      </c>
      <c r="C166" s="156">
        <f>IF(K166&gt;=0.01,K166,IFERROR(VLOOKUP(F166&amp;G166,Rush!B:C,2,0),K166)+SUM(L166:O166))</f>
        <v/>
      </c>
      <c r="D166" s="218">
        <f>_xlfn.IFNA(INDEX('Injury Report'!F:F, MATCH(G166&amp;F166, 'Injury Report'!A:A, 0)), "Healthy")</f>
        <v/>
      </c>
      <c r="E166" s="219">
        <f>VLOOKUP(A166,'RB Depth'!A:G,7,0)-1</f>
        <v/>
      </c>
      <c r="F166" s="218">
        <f>VLOOKUP(A166,'RB Depth'!A:C,3,0)</f>
        <v/>
      </c>
      <c r="G166" s="218">
        <f>VLOOKUP(A166,'RB Depth'!A:B,2,0)</f>
        <v/>
      </c>
      <c r="H166" s="218">
        <f>VLOOKUP(A166,'RB Depth'!A:D,4,0)</f>
        <v/>
      </c>
      <c r="I166" s="218">
        <f>H166&amp;E166</f>
        <v/>
      </c>
      <c r="J166" s="220">
        <f>IF(VLOOKUP(F166,Rush!F:G,2,0)=G166,"OK","Check Team")</f>
        <v/>
      </c>
      <c r="K166" s="156" t="n"/>
      <c r="L166" s="156">
        <f>IFERROR(VLOOKUP(F166&amp;G166,Pass!B:C,2,0),0)</f>
        <v/>
      </c>
      <c r="M166" s="156">
        <f>IFERROR(VLOOKUP(F166&amp;G166,Rush!B:C,2,0),0)</f>
        <v/>
      </c>
      <c r="N166" s="156">
        <f>IFERROR(VLOOKUP(F166&amp;G166,Rec!B:C,2,0),K166)</f>
        <v/>
      </c>
      <c r="O166" s="156">
        <f>IFERROR(VLOOKUP(F166&amp;G166,Returns!A:B,2,0),0)</f>
        <v/>
      </c>
      <c r="Q166" s="156" t="inlineStr">
        <is>
          <t>Audric Estime</t>
        </is>
      </c>
      <c r="R166" s="156" t="inlineStr">
        <is>
          <t>DEN</t>
        </is>
      </c>
      <c r="S166" s="156" t="inlineStr">
        <is>
          <t>RB</t>
        </is>
      </c>
    </row>
    <row r="167" ht="15.6" customHeight="1" s="152">
      <c r="A167" s="217" t="n">
        <v>6</v>
      </c>
      <c r="B167" s="218">
        <f>VLOOKUP(G167,Matrix!R:AA,10,0)</f>
        <v/>
      </c>
      <c r="C167" s="156">
        <f>IF(K167&gt;=0.01,K167,IFERROR(VLOOKUP(F167&amp;G167,Rush!B:C,2,0),K167)+SUM(L167:O167))</f>
        <v/>
      </c>
      <c r="D167" s="218">
        <f>_xlfn.IFNA(INDEX('Injury Report'!F:F, MATCH(G167&amp;F167, 'Injury Report'!A:A, 0)), "Healthy")</f>
        <v/>
      </c>
      <c r="E167" s="219">
        <f>VLOOKUP(A167,'RB Depth'!A:G,7,0)-1</f>
        <v/>
      </c>
      <c r="F167" s="218">
        <f>VLOOKUP(A167,'RB Depth'!A:C,3,0)</f>
        <v/>
      </c>
      <c r="G167" s="218">
        <f>VLOOKUP(A167,'RB Depth'!A:B,2,0)</f>
        <v/>
      </c>
      <c r="H167" s="218">
        <f>VLOOKUP(A167,'RB Depth'!A:D,4,0)</f>
        <v/>
      </c>
      <c r="I167" s="218">
        <f>H167&amp;E167</f>
        <v/>
      </c>
      <c r="J167" s="220">
        <f>IF(VLOOKUP(F167,Rush!F:G,2,0)=G167,"OK","Check Team")</f>
        <v/>
      </c>
      <c r="K167" s="156" t="n"/>
      <c r="L167" s="156">
        <f>IFERROR(VLOOKUP(F167&amp;G167,Pass!B:C,2,0),0)</f>
        <v/>
      </c>
      <c r="M167" s="156">
        <f>IFERROR(VLOOKUP(F167&amp;G167,Rush!B:C,2,0),0)</f>
        <v/>
      </c>
      <c r="N167" s="156">
        <f>IFERROR(VLOOKUP(F167&amp;G167,Rec!B:C,2,0),K167)</f>
        <v/>
      </c>
      <c r="O167" s="156">
        <f>IFERROR(VLOOKUP(F167&amp;G167,Returns!A:B,2,0),0)</f>
        <v/>
      </c>
      <c r="Q167" s="156" t="inlineStr">
        <is>
          <t>Travis Etienne</t>
        </is>
      </c>
      <c r="R167" s="156" t="inlineStr">
        <is>
          <t>JAX</t>
        </is>
      </c>
      <c r="S167" s="156" t="inlineStr">
        <is>
          <t>RB</t>
        </is>
      </c>
    </row>
    <row r="168" ht="15.6" customHeight="1" s="152">
      <c r="A168" s="217" t="n">
        <v>7</v>
      </c>
      <c r="B168" s="218">
        <f>VLOOKUP(G168,Matrix!R:AA,10,0)</f>
        <v/>
      </c>
      <c r="C168" s="156">
        <f>IF(K168&gt;=0.01,K168,IFERROR(VLOOKUP(F168&amp;G168,Rush!B:C,2,0),K168)+SUM(L168:O168))</f>
        <v/>
      </c>
      <c r="D168" s="218">
        <f>_xlfn.IFNA(INDEX('Injury Report'!F:F, MATCH(G168&amp;F168, 'Injury Report'!A:A, 0)), "Healthy")</f>
        <v/>
      </c>
      <c r="E168" s="219">
        <f>VLOOKUP(A168,'RB Depth'!A:G,7,0)-1</f>
        <v/>
      </c>
      <c r="F168" s="218">
        <f>VLOOKUP(A168,'RB Depth'!A:C,3,0)</f>
        <v/>
      </c>
      <c r="G168" s="218">
        <f>VLOOKUP(A168,'RB Depth'!A:B,2,0)</f>
        <v/>
      </c>
      <c r="H168" s="218">
        <f>VLOOKUP(A168,'RB Depth'!A:D,4,0)</f>
        <v/>
      </c>
      <c r="I168" s="218">
        <f>H168&amp;E168</f>
        <v/>
      </c>
      <c r="J168" s="220">
        <f>IF(VLOOKUP(F168,Rush!F:G,2,0)=G168,"OK","Check Team")</f>
        <v/>
      </c>
      <c r="K168" s="156" t="n"/>
      <c r="L168" s="156">
        <f>IFERROR(VLOOKUP(F168&amp;G168,Pass!B:C,2,0),0)</f>
        <v/>
      </c>
      <c r="M168" s="156">
        <f>IFERROR(VLOOKUP(F168&amp;G168,Rush!B:C,2,0),0)</f>
        <v/>
      </c>
      <c r="N168" s="156">
        <f>IFERROR(VLOOKUP(F168&amp;G168,Rec!B:C,2,0),K168)</f>
        <v/>
      </c>
      <c r="O168" s="156">
        <f>IFERROR(VLOOKUP(F168&amp;G168,Returns!A:B,2,0),0)</f>
        <v/>
      </c>
      <c r="Q168" s="156" t="inlineStr">
        <is>
          <t>Chris Evans</t>
        </is>
      </c>
      <c r="R168" s="156" t="inlineStr">
        <is>
          <t>CIN</t>
        </is>
      </c>
      <c r="S168" s="156" t="inlineStr">
        <is>
          <t>RB</t>
        </is>
      </c>
    </row>
    <row r="169" ht="15.6" customHeight="1" s="152">
      <c r="A169" s="217" t="n">
        <v>8</v>
      </c>
      <c r="B169" s="218">
        <f>VLOOKUP(G169,Matrix!R:AA,10,0)</f>
        <v/>
      </c>
      <c r="C169" s="156">
        <f>IF(K169&gt;=0.01,K169,IFERROR(VLOOKUP(F169&amp;G169,Rush!B:C,2,0),K169)+SUM(L169:O169))</f>
        <v/>
      </c>
      <c r="D169" s="218">
        <f>_xlfn.IFNA(INDEX('Injury Report'!F:F, MATCH(G169&amp;F169, 'Injury Report'!A:A, 0)), "Healthy")</f>
        <v/>
      </c>
      <c r="E169" s="219">
        <f>VLOOKUP(A169,'RB Depth'!A:G,7,0)-1</f>
        <v/>
      </c>
      <c r="F169" s="218">
        <f>VLOOKUP(A169,'RB Depth'!A:C,3,0)</f>
        <v/>
      </c>
      <c r="G169" s="218">
        <f>VLOOKUP(A169,'RB Depth'!A:B,2,0)</f>
        <v/>
      </c>
      <c r="H169" s="218">
        <f>VLOOKUP(A169,'RB Depth'!A:D,4,0)</f>
        <v/>
      </c>
      <c r="I169" s="218">
        <f>H169&amp;E169</f>
        <v/>
      </c>
      <c r="J169" s="220">
        <f>IF(VLOOKUP(F169,Rush!F:G,2,0)=G169,"OK","Check Team")</f>
        <v/>
      </c>
      <c r="K169" s="156" t="n"/>
      <c r="L169" s="156">
        <f>IFERROR(VLOOKUP(F169&amp;G169,Pass!B:C,2,0),0)</f>
        <v/>
      </c>
      <c r="M169" s="156">
        <f>IFERROR(VLOOKUP(F169&amp;G169,Rush!B:C,2,0),0)</f>
        <v/>
      </c>
      <c r="N169" s="156">
        <f>IFERROR(VLOOKUP(F169&amp;G169,Rec!B:C,2,0),K169)</f>
        <v/>
      </c>
      <c r="O169" s="156">
        <f>IFERROR(VLOOKUP(F169&amp;G169,Returns!A:B,2,0),0)</f>
        <v/>
      </c>
      <c r="Q169" s="156" t="inlineStr">
        <is>
          <t>Darrynton Evans</t>
        </is>
      </c>
      <c r="R169" s="156" t="inlineStr">
        <is>
          <t>CHI</t>
        </is>
      </c>
      <c r="S169" s="156" t="inlineStr">
        <is>
          <t>RB</t>
        </is>
      </c>
    </row>
    <row r="170" ht="15.6" customHeight="1" s="152">
      <c r="A170" s="217" t="n">
        <v>9</v>
      </c>
      <c r="B170" s="218">
        <f>VLOOKUP(G170,Matrix!R:AA,10,0)</f>
        <v/>
      </c>
      <c r="C170" s="156">
        <f>IF(K170&gt;=0.01,K170,IFERROR(VLOOKUP(F170&amp;G170,Rush!B:C,2,0),K170)+SUM(L170:O170))</f>
        <v/>
      </c>
      <c r="D170" s="218">
        <f>_xlfn.IFNA(INDEX('Injury Report'!F:F, MATCH(G170&amp;F170, 'Injury Report'!A:A, 0)), "Healthy")</f>
        <v/>
      </c>
      <c r="E170" s="219">
        <f>VLOOKUP(A170,'RB Depth'!A:G,7,0)-1</f>
        <v/>
      </c>
      <c r="F170" s="218">
        <f>VLOOKUP(A170,'RB Depth'!A:C,3,0)</f>
        <v/>
      </c>
      <c r="G170" s="218">
        <f>VLOOKUP(A170,'RB Depth'!A:B,2,0)</f>
        <v/>
      </c>
      <c r="H170" s="218">
        <f>VLOOKUP(A170,'RB Depth'!A:D,4,0)</f>
        <v/>
      </c>
      <c r="I170" s="218">
        <f>H170&amp;E170</f>
        <v/>
      </c>
      <c r="J170" s="220">
        <f>IF(VLOOKUP(F170,Rush!F:G,2,0)=G170,"OK","Check Team")</f>
        <v/>
      </c>
      <c r="K170" s="156" t="n"/>
      <c r="L170" s="156">
        <f>IFERROR(VLOOKUP(F170&amp;G170,Pass!B:C,2,0),0)</f>
        <v/>
      </c>
      <c r="M170" s="156">
        <f>IFERROR(VLOOKUP(F170&amp;G170,Rush!B:C,2,0),0)</f>
        <v/>
      </c>
      <c r="N170" s="156">
        <f>IFERROR(VLOOKUP(F170&amp;G170,Rec!B:C,2,0),K170)</f>
        <v/>
      </c>
      <c r="O170" s="156">
        <f>IFERROR(VLOOKUP(F170&amp;G170,Returns!A:B,2,0),0)</f>
        <v/>
      </c>
      <c r="Q170" s="156" t="inlineStr">
        <is>
          <t>Mike Evans</t>
        </is>
      </c>
      <c r="R170" s="156" t="inlineStr">
        <is>
          <t>TB</t>
        </is>
      </c>
      <c r="S170" s="156" t="inlineStr">
        <is>
          <t>WR</t>
        </is>
      </c>
    </row>
    <row r="171" ht="15.6" customHeight="1" s="152">
      <c r="A171" s="217" t="n">
        <v>10</v>
      </c>
      <c r="B171" s="218">
        <f>VLOOKUP(G171,Matrix!R:AA,10,0)</f>
        <v/>
      </c>
      <c r="C171" s="156">
        <f>IF(K171&gt;=0.01,K171,IFERROR(VLOOKUP(F171&amp;G171,Rush!B:C,2,0),K171)+SUM(L171:O171))</f>
        <v/>
      </c>
      <c r="D171" s="218">
        <f>_xlfn.IFNA(INDEX('Injury Report'!F:F, MATCH(G171&amp;F171, 'Injury Report'!A:A, 0)), "Healthy")</f>
        <v/>
      </c>
      <c r="E171" s="219">
        <f>VLOOKUP(A171,'RB Depth'!A:G,7,0)-1</f>
        <v/>
      </c>
      <c r="F171" s="218">
        <f>VLOOKUP(A171,'RB Depth'!A:C,3,0)</f>
        <v/>
      </c>
      <c r="G171" s="218">
        <f>VLOOKUP(A171,'RB Depth'!A:B,2,0)</f>
        <v/>
      </c>
      <c r="H171" s="218">
        <f>VLOOKUP(A171,'RB Depth'!A:D,4,0)</f>
        <v/>
      </c>
      <c r="I171" s="218">
        <f>H171&amp;E171</f>
        <v/>
      </c>
      <c r="J171" s="220">
        <f>IF(VLOOKUP(F171,Rush!F:G,2,0)=G171,"OK","Check Team")</f>
        <v/>
      </c>
      <c r="K171" s="156" t="n"/>
      <c r="L171" s="156">
        <f>IFERROR(VLOOKUP(F171&amp;G171,Pass!B:C,2,0),0)</f>
        <v/>
      </c>
      <c r="M171" s="156">
        <f>IFERROR(VLOOKUP(F171&amp;G171,Rush!B:C,2,0),0)</f>
        <v/>
      </c>
      <c r="N171" s="156">
        <f>IFERROR(VLOOKUP(F171&amp;G171,Rec!B:C,2,0),K171)</f>
        <v/>
      </c>
      <c r="O171" s="156">
        <f>IFERROR(VLOOKUP(F171&amp;G171,Returns!A:B,2,0),0)</f>
        <v/>
      </c>
      <c r="Q171" s="156" t="inlineStr">
        <is>
          <t>Zach Evans</t>
        </is>
      </c>
      <c r="R171" s="156" t="inlineStr">
        <is>
          <t>NYJ</t>
        </is>
      </c>
      <c r="S171" s="156" t="inlineStr">
        <is>
          <t>RB</t>
        </is>
      </c>
    </row>
    <row r="172" ht="15.6" customHeight="1" s="152">
      <c r="A172" s="217" t="n">
        <v>11</v>
      </c>
      <c r="B172" s="218">
        <f>VLOOKUP(G172,Matrix!R:AA,10,0)</f>
        <v/>
      </c>
      <c r="C172" s="156">
        <f>IF(K172&gt;=0.01,K172,IFERROR(VLOOKUP(F172&amp;G172,Rush!B:C,2,0),K172)+SUM(L172:O172))</f>
        <v/>
      </c>
      <c r="D172" s="218">
        <f>_xlfn.IFNA(INDEX('Injury Report'!F:F, MATCH(G172&amp;F172, 'Injury Report'!A:A, 0)), "Healthy")</f>
        <v/>
      </c>
      <c r="E172" s="219">
        <f>VLOOKUP(A172,'RB Depth'!A:G,7,0)-1</f>
        <v/>
      </c>
      <c r="F172" s="218">
        <f>VLOOKUP(A172,'RB Depth'!A:C,3,0)</f>
        <v/>
      </c>
      <c r="G172" s="218">
        <f>VLOOKUP(A172,'RB Depth'!A:B,2,0)</f>
        <v/>
      </c>
      <c r="H172" s="218">
        <f>VLOOKUP(A172,'RB Depth'!A:D,4,0)</f>
        <v/>
      </c>
      <c r="I172" s="218">
        <f>H172&amp;E172</f>
        <v/>
      </c>
      <c r="J172" s="220">
        <f>IF(VLOOKUP(F172,Rush!F:G,2,0)=G172,"OK","Check Team")</f>
        <v/>
      </c>
      <c r="K172" s="156" t="n"/>
      <c r="L172" s="156">
        <f>IFERROR(VLOOKUP(F172&amp;G172,Pass!B:C,2,0),0)</f>
        <v/>
      </c>
      <c r="M172" s="156">
        <f>IFERROR(VLOOKUP(F172&amp;G172,Rush!B:C,2,0),0)</f>
        <v/>
      </c>
      <c r="N172" s="156">
        <f>IFERROR(VLOOKUP(F172&amp;G172,Rec!B:C,2,0),K172)</f>
        <v/>
      </c>
      <c r="O172" s="156">
        <f>IFERROR(VLOOKUP(F172&amp;G172,Returns!A:B,2,0),0)</f>
        <v/>
      </c>
      <c r="Q172" s="156" t="inlineStr">
        <is>
          <t>Gerald Everett</t>
        </is>
      </c>
      <c r="R172" s="156" t="inlineStr">
        <is>
          <t>CHI</t>
        </is>
      </c>
      <c r="S172" s="156" t="inlineStr">
        <is>
          <t>TE</t>
        </is>
      </c>
    </row>
    <row r="173" ht="15.6" customHeight="1" s="152">
      <c r="A173" s="217" t="n">
        <v>12</v>
      </c>
      <c r="B173" s="218">
        <f>VLOOKUP(G173,Matrix!R:AA,10,0)</f>
        <v/>
      </c>
      <c r="C173" s="156">
        <f>IF(K173&gt;=0.01,K173,IFERROR(VLOOKUP(F173&amp;G173,Rush!B:C,2,0),K173)+SUM(L173:O173))</f>
        <v/>
      </c>
      <c r="D173" s="218">
        <f>_xlfn.IFNA(INDEX('Injury Report'!F:F, MATCH(G173&amp;F173, 'Injury Report'!A:A, 0)), "Healthy")</f>
        <v/>
      </c>
      <c r="E173" s="219">
        <f>VLOOKUP(A173,'RB Depth'!A:G,7,0)-1</f>
        <v/>
      </c>
      <c r="F173" s="218">
        <f>VLOOKUP(A173,'RB Depth'!A:C,3,0)</f>
        <v/>
      </c>
      <c r="G173" s="218">
        <f>VLOOKUP(A173,'RB Depth'!A:B,2,0)</f>
        <v/>
      </c>
      <c r="H173" s="218">
        <f>VLOOKUP(A173,'RB Depth'!A:D,4,0)</f>
        <v/>
      </c>
      <c r="I173" s="218">
        <f>H173&amp;E173</f>
        <v/>
      </c>
      <c r="J173" s="220">
        <f>IF(VLOOKUP(F173,Rush!F:G,2,0)=G173,"OK","Check Team")</f>
        <v/>
      </c>
      <c r="K173" s="156" t="n"/>
      <c r="L173" s="156">
        <f>IFERROR(VLOOKUP(F173&amp;G173,Pass!B:C,2,0),0)</f>
        <v/>
      </c>
      <c r="M173" s="156">
        <f>IFERROR(VLOOKUP(F173&amp;G173,Rush!B:C,2,0),0)</f>
        <v/>
      </c>
      <c r="N173" s="156">
        <f>IFERROR(VLOOKUP(F173&amp;G173,Rec!B:C,2,0),K173)</f>
        <v/>
      </c>
      <c r="O173" s="156">
        <f>IFERROR(VLOOKUP(F173&amp;G173,Returns!A:B,2,0),0)</f>
        <v/>
      </c>
      <c r="Q173" s="156" t="inlineStr">
        <is>
          <t>Ka'imi Fairbairn</t>
        </is>
      </c>
      <c r="R173" s="156" t="inlineStr">
        <is>
          <t>HOU</t>
        </is>
      </c>
      <c r="S173" s="156" t="inlineStr">
        <is>
          <t>K</t>
        </is>
      </c>
    </row>
    <row r="174" ht="15.6" customHeight="1" s="152">
      <c r="A174" s="217" t="n">
        <v>13</v>
      </c>
      <c r="B174" s="218">
        <f>VLOOKUP(G174,Matrix!R:AA,10,0)</f>
        <v/>
      </c>
      <c r="C174" s="156">
        <f>IF(K174&gt;=0.01,K174,IFERROR(VLOOKUP(F174&amp;G174,Rush!B:C,2,0),K174)+SUM(L174:O174))</f>
        <v/>
      </c>
      <c r="D174" s="218">
        <f>_xlfn.IFNA(INDEX('Injury Report'!F:F, MATCH(G174&amp;F174, 'Injury Report'!A:A, 0)), "Healthy")</f>
        <v/>
      </c>
      <c r="E174" s="219">
        <f>VLOOKUP(A174,'RB Depth'!A:G,7,0)-1</f>
        <v/>
      </c>
      <c r="F174" s="218">
        <f>VLOOKUP(A174,'RB Depth'!A:C,3,0)</f>
        <v/>
      </c>
      <c r="G174" s="218">
        <f>VLOOKUP(A174,'RB Depth'!A:B,2,0)</f>
        <v/>
      </c>
      <c r="H174" s="218">
        <f>VLOOKUP(A174,'RB Depth'!A:D,4,0)</f>
        <v/>
      </c>
      <c r="I174" s="218">
        <f>H174&amp;E174</f>
        <v/>
      </c>
      <c r="J174" s="220">
        <f>IF(VLOOKUP(F174,Rush!F:G,2,0)=G174,"OK","Check Team")</f>
        <v/>
      </c>
      <c r="K174" s="156" t="n"/>
      <c r="L174" s="156">
        <f>IFERROR(VLOOKUP(F174&amp;G174,Pass!B:C,2,0),0)</f>
        <v/>
      </c>
      <c r="M174" s="156">
        <f>IFERROR(VLOOKUP(F174&amp;G174,Rush!B:C,2,0),0)</f>
        <v/>
      </c>
      <c r="N174" s="156">
        <f>IFERROR(VLOOKUP(F174&amp;G174,Rec!B:C,2,0),K174)</f>
        <v/>
      </c>
      <c r="O174" s="156">
        <f>IFERROR(VLOOKUP(F174&amp;G174,Returns!A:B,2,0),0)</f>
        <v/>
      </c>
      <c r="Q174" s="156" t="inlineStr">
        <is>
          <t>Noah Fant</t>
        </is>
      </c>
      <c r="R174" s="156" t="inlineStr">
        <is>
          <t>SEA</t>
        </is>
      </c>
      <c r="S174" s="156" t="inlineStr">
        <is>
          <t>TE</t>
        </is>
      </c>
    </row>
    <row r="175" ht="15.6" customHeight="1" s="152">
      <c r="A175" s="217" t="n">
        <v>14</v>
      </c>
      <c r="B175" s="218">
        <f>VLOOKUP(G175,Matrix!R:AA,10,0)</f>
        <v/>
      </c>
      <c r="C175" s="156">
        <f>IF(K175&gt;=0.01,K175,IFERROR(VLOOKUP(F175&amp;G175,Rush!B:C,2,0),K175)+SUM(L175:O175))</f>
        <v/>
      </c>
      <c r="D175" s="218">
        <f>_xlfn.IFNA(INDEX('Injury Report'!F:F, MATCH(G175&amp;F175, 'Injury Report'!A:A, 0)), "Healthy")</f>
        <v/>
      </c>
      <c r="E175" s="219">
        <f>VLOOKUP(A175,'RB Depth'!A:G,7,0)-1</f>
        <v/>
      </c>
      <c r="F175" s="218">
        <f>VLOOKUP(A175,'RB Depth'!A:C,3,0)</f>
        <v/>
      </c>
      <c r="G175" s="218">
        <f>VLOOKUP(A175,'RB Depth'!A:B,2,0)</f>
        <v/>
      </c>
      <c r="H175" s="218">
        <f>VLOOKUP(A175,'RB Depth'!A:D,4,0)</f>
        <v/>
      </c>
      <c r="I175" s="218">
        <f>H175&amp;E175</f>
        <v/>
      </c>
      <c r="J175" s="220">
        <f>IF(VLOOKUP(F175,Rush!F:G,2,0)=G175,"OK","Check Team")</f>
        <v/>
      </c>
      <c r="K175" s="156" t="n"/>
      <c r="L175" s="156">
        <f>IFERROR(VLOOKUP(F175&amp;G175,Pass!B:C,2,0),0)</f>
        <v/>
      </c>
      <c r="M175" s="156">
        <f>IFERROR(VLOOKUP(F175&amp;G175,Rush!B:C,2,0),0)</f>
        <v/>
      </c>
      <c r="N175" s="156">
        <f>IFERROR(VLOOKUP(F175&amp;G175,Rec!B:C,2,0),K175)</f>
        <v/>
      </c>
      <c r="O175" s="156">
        <f>IFERROR(VLOOKUP(F175&amp;G175,Returns!A:B,2,0),0)</f>
        <v/>
      </c>
      <c r="Q175" s="156" t="inlineStr">
        <is>
          <t>Luke Farrell</t>
        </is>
      </c>
      <c r="R175" s="156" t="inlineStr">
        <is>
          <t>JAX</t>
        </is>
      </c>
      <c r="S175" s="156" t="inlineStr">
        <is>
          <t>TE</t>
        </is>
      </c>
    </row>
    <row r="176" ht="15.6" customHeight="1" s="152">
      <c r="A176" s="217" t="n">
        <v>15</v>
      </c>
      <c r="B176" s="218">
        <f>VLOOKUP(G176,Matrix!R:AA,10,0)</f>
        <v/>
      </c>
      <c r="C176" s="156">
        <f>IF(K176&gt;=0.01,K176,IFERROR(VLOOKUP(F176&amp;G176,Rush!B:C,2,0),K176)+SUM(L176:O176))</f>
        <v/>
      </c>
      <c r="D176" s="218">
        <f>_xlfn.IFNA(INDEX('Injury Report'!F:F, MATCH(G176&amp;F176, 'Injury Report'!A:A, 0)), "Healthy")</f>
        <v/>
      </c>
      <c r="E176" s="219">
        <f>VLOOKUP(A176,'RB Depth'!A:G,7,0)-1</f>
        <v/>
      </c>
      <c r="F176" s="218">
        <f>VLOOKUP(A176,'RB Depth'!A:C,3,0)</f>
        <v/>
      </c>
      <c r="G176" s="218">
        <f>VLOOKUP(A176,'RB Depth'!A:B,2,0)</f>
        <v/>
      </c>
      <c r="H176" s="218">
        <f>VLOOKUP(A176,'RB Depth'!A:D,4,0)</f>
        <v/>
      </c>
      <c r="I176" s="218">
        <f>H176&amp;E176</f>
        <v/>
      </c>
      <c r="J176" s="220">
        <f>IF(VLOOKUP(F176,Rush!F:G,2,0)=G176,"OK","Check Team")</f>
        <v/>
      </c>
      <c r="K176" s="156" t="n"/>
      <c r="L176" s="156">
        <f>IFERROR(VLOOKUP(F176&amp;G176,Pass!B:C,2,0),0)</f>
        <v/>
      </c>
      <c r="M176" s="156">
        <f>IFERROR(VLOOKUP(F176&amp;G176,Rush!B:C,2,0),0)</f>
        <v/>
      </c>
      <c r="N176" s="156">
        <f>IFERROR(VLOOKUP(F176&amp;G176,Rec!B:C,2,0),K176)</f>
        <v/>
      </c>
      <c r="O176" s="156">
        <f>IFERROR(VLOOKUP(F176&amp;G176,Returns!A:B,2,0),0)</f>
        <v/>
      </c>
      <c r="Q176" s="156" t="inlineStr">
        <is>
          <t>Simi Fehoko</t>
        </is>
      </c>
      <c r="R176" s="156" t="inlineStr">
        <is>
          <t>LAC</t>
        </is>
      </c>
      <c r="S176" s="156" t="inlineStr">
        <is>
          <t>WR</t>
        </is>
      </c>
    </row>
    <row r="177" ht="15.6" customHeight="1" s="152">
      <c r="A177" s="217" t="n">
        <v>16</v>
      </c>
      <c r="B177" s="218">
        <f>VLOOKUP(G177,Matrix!R:AA,10,0)</f>
        <v/>
      </c>
      <c r="C177" s="156">
        <f>IF(K177&gt;=0.01,K177,IFERROR(VLOOKUP(F177&amp;G177,Rush!B:C,2,0),K177)+SUM(L177:O177))</f>
        <v/>
      </c>
      <c r="D177" s="218">
        <f>_xlfn.IFNA(INDEX('Injury Report'!F:F, MATCH(G177&amp;F177, 'Injury Report'!A:A, 0)), "Healthy")</f>
        <v/>
      </c>
      <c r="E177" s="219">
        <f>VLOOKUP(A177,'RB Depth'!A:G,7,0)-1</f>
        <v/>
      </c>
      <c r="F177" s="218">
        <f>VLOOKUP(A177,'RB Depth'!A:C,3,0)</f>
        <v/>
      </c>
      <c r="G177" s="218">
        <f>VLOOKUP(A177,'RB Depth'!A:B,2,0)</f>
        <v/>
      </c>
      <c r="H177" s="218">
        <f>VLOOKUP(A177,'RB Depth'!A:D,4,0)</f>
        <v/>
      </c>
      <c r="I177" s="218">
        <f>H177&amp;E177</f>
        <v/>
      </c>
      <c r="J177" s="220">
        <f>IF(VLOOKUP(F177,Rush!F:G,2,0)=G177,"OK","Check Team")</f>
        <v/>
      </c>
      <c r="K177" s="156" t="n"/>
      <c r="L177" s="156">
        <f>IFERROR(VLOOKUP(F177&amp;G177,Pass!B:C,2,0),0)</f>
        <v/>
      </c>
      <c r="M177" s="156">
        <f>IFERROR(VLOOKUP(F177&amp;G177,Rush!B:C,2,0),0)</f>
        <v/>
      </c>
      <c r="N177" s="156">
        <f>IFERROR(VLOOKUP(F177&amp;G177,Rec!B:C,2,0),K177)</f>
        <v/>
      </c>
      <c r="O177" s="156">
        <f>IFERROR(VLOOKUP(F177&amp;G177,Returns!A:B,2,0),0)</f>
        <v/>
      </c>
      <c r="Q177" s="156" t="inlineStr">
        <is>
          <t>Jake Ferguson</t>
        </is>
      </c>
      <c r="R177" s="156" t="inlineStr">
        <is>
          <t>DAL</t>
        </is>
      </c>
      <c r="S177" s="156" t="inlineStr">
        <is>
          <t>TE</t>
        </is>
      </c>
    </row>
    <row r="178" ht="15.6" customHeight="1" s="152">
      <c r="A178" s="217" t="n">
        <v>17</v>
      </c>
      <c r="B178" s="218">
        <f>VLOOKUP(G178,Matrix!R:AA,10,0)</f>
        <v/>
      </c>
      <c r="C178" s="156">
        <f>IF(K178&gt;=0.01,K178,IFERROR(VLOOKUP(F178&amp;G178,Rush!B:C,2,0),K178)+SUM(L178:O178))</f>
        <v/>
      </c>
      <c r="D178" s="218">
        <f>_xlfn.IFNA(INDEX('Injury Report'!F:F, MATCH(G178&amp;F178, 'Injury Report'!A:A, 0)), "Healthy")</f>
        <v/>
      </c>
      <c r="E178" s="219">
        <f>VLOOKUP(A178,'RB Depth'!A:G,7,0)-1</f>
        <v/>
      </c>
      <c r="F178" s="218">
        <f>VLOOKUP(A178,'RB Depth'!A:C,3,0)</f>
        <v/>
      </c>
      <c r="G178" s="218">
        <f>VLOOKUP(A178,'RB Depth'!A:B,2,0)</f>
        <v/>
      </c>
      <c r="H178" s="218">
        <f>VLOOKUP(A178,'RB Depth'!A:D,4,0)</f>
        <v/>
      </c>
      <c r="I178" s="218">
        <f>H178&amp;E178</f>
        <v/>
      </c>
      <c r="J178" s="220">
        <f>IF(VLOOKUP(F178,Rush!F:G,2,0)=G178,"OK","Check Team")</f>
        <v/>
      </c>
      <c r="K178" s="156" t="n"/>
      <c r="L178" s="156">
        <f>IFERROR(VLOOKUP(F178&amp;G178,Pass!B:C,2,0),0)</f>
        <v/>
      </c>
      <c r="M178" s="156">
        <f>IFERROR(VLOOKUP(F178&amp;G178,Rush!B:C,2,0),0)</f>
        <v/>
      </c>
      <c r="N178" s="156">
        <f>IFERROR(VLOOKUP(F178&amp;G178,Rec!B:C,2,0),K178)</f>
        <v/>
      </c>
      <c r="O178" s="156">
        <f>IFERROR(VLOOKUP(F178&amp;G178,Returns!A:B,2,0),0)</f>
        <v/>
      </c>
      <c r="Q178" s="156" t="inlineStr">
        <is>
          <t>Justin Fields</t>
        </is>
      </c>
      <c r="R178" s="156" t="inlineStr">
        <is>
          <t>PIT</t>
        </is>
      </c>
      <c r="S178" s="156" t="inlineStr">
        <is>
          <t>QB</t>
        </is>
      </c>
    </row>
    <row r="179" ht="15.6" customHeight="1" s="152">
      <c r="A179" s="217" t="n">
        <v>18</v>
      </c>
      <c r="B179" s="218">
        <f>VLOOKUP(G179,Matrix!R:AA,10,0)</f>
        <v/>
      </c>
      <c r="C179" s="156">
        <f>IF(K179&gt;=0.01,K179,IFERROR(VLOOKUP(F179&amp;G179,Rush!B:C,2,0),K179)+SUM(L179:O179))</f>
        <v/>
      </c>
      <c r="D179" s="218">
        <f>_xlfn.IFNA(INDEX('Injury Report'!F:F, MATCH(G179&amp;F179, 'Injury Report'!A:A, 0)), "Healthy")</f>
        <v/>
      </c>
      <c r="E179" s="219">
        <f>VLOOKUP(A179,'RB Depth'!A:G,7,0)-1</f>
        <v/>
      </c>
      <c r="F179" s="218">
        <f>VLOOKUP(A179,'RB Depth'!A:C,3,0)</f>
        <v/>
      </c>
      <c r="G179" s="218">
        <f>VLOOKUP(A179,'RB Depth'!A:B,2,0)</f>
        <v/>
      </c>
      <c r="H179" s="218">
        <f>VLOOKUP(A179,'RB Depth'!A:D,4,0)</f>
        <v/>
      </c>
      <c r="I179" s="218">
        <f>H179&amp;E179</f>
        <v/>
      </c>
      <c r="J179" s="220">
        <f>IF(VLOOKUP(F179,Rush!F:G,2,0)=G179,"OK","Check Team")</f>
        <v/>
      </c>
      <c r="K179" s="156" t="n"/>
      <c r="L179" s="156">
        <f>IFERROR(VLOOKUP(F179&amp;G179,Pass!B:C,2,0),0)</f>
        <v/>
      </c>
      <c r="M179" s="156">
        <f>IFERROR(VLOOKUP(F179&amp;G179,Rush!B:C,2,0),0)</f>
        <v/>
      </c>
      <c r="N179" s="156">
        <f>IFERROR(VLOOKUP(F179&amp;G179,Rec!B:C,2,0),K179)</f>
        <v/>
      </c>
      <c r="O179" s="156">
        <f>IFERROR(VLOOKUP(F179&amp;G179,Returns!A:B,2,0),0)</f>
        <v/>
      </c>
      <c r="Q179" s="156" t="inlineStr">
        <is>
          <t>Tucker Fisk</t>
        </is>
      </c>
      <c r="R179" s="156" t="inlineStr">
        <is>
          <t>LAC</t>
        </is>
      </c>
      <c r="S179" s="156" t="inlineStr">
        <is>
          <t>TE</t>
        </is>
      </c>
    </row>
    <row r="180" ht="15.6" customHeight="1" s="152">
      <c r="A180" s="217" t="n">
        <v>19</v>
      </c>
      <c r="B180" s="218">
        <f>VLOOKUP(G180,Matrix!R:AA,10,0)</f>
        <v/>
      </c>
      <c r="C180" s="156">
        <f>IF(K180&gt;=0.01,K180,IFERROR(VLOOKUP(F180&amp;G180,Rush!B:C,2,0),K180)+SUM(L180:O180))</f>
        <v/>
      </c>
      <c r="D180" s="218">
        <f>_xlfn.IFNA(INDEX('Injury Report'!F:F, MATCH(G180&amp;F180, 'Injury Report'!A:A, 0)), "Healthy")</f>
        <v/>
      </c>
      <c r="E180" s="219">
        <f>VLOOKUP(A180,'RB Depth'!A:G,7,0)-1</f>
        <v/>
      </c>
      <c r="F180" s="218">
        <f>VLOOKUP(A180,'RB Depth'!A:C,3,0)</f>
        <v/>
      </c>
      <c r="G180" s="218">
        <f>VLOOKUP(A180,'RB Depth'!A:B,2,0)</f>
        <v/>
      </c>
      <c r="H180" s="218">
        <f>VLOOKUP(A180,'RB Depth'!A:D,4,0)</f>
        <v/>
      </c>
      <c r="I180" s="218">
        <f>H180&amp;E180</f>
        <v/>
      </c>
      <c r="J180" s="220">
        <f>IF(VLOOKUP(F180,Rush!F:G,2,0)=G180,"OK","Check Team")</f>
        <v/>
      </c>
      <c r="K180" s="156" t="n"/>
      <c r="L180" s="156">
        <f>IFERROR(VLOOKUP(F180&amp;G180,Pass!B:C,2,0),0)</f>
        <v/>
      </c>
      <c r="M180" s="156">
        <f>IFERROR(VLOOKUP(F180&amp;G180,Rush!B:C,2,0),0)</f>
        <v/>
      </c>
      <c r="N180" s="156">
        <f>IFERROR(VLOOKUP(F180&amp;G180,Rec!B:C,2,0),K180)</f>
        <v/>
      </c>
      <c r="O180" s="156">
        <f>IFERROR(VLOOKUP(F180&amp;G180,Returns!A:B,2,0),0)</f>
        <v/>
      </c>
      <c r="Q180" s="156" t="inlineStr">
        <is>
          <t>Joe Flacco</t>
        </is>
      </c>
      <c r="R180" s="156" t="inlineStr">
        <is>
          <t>IND</t>
        </is>
      </c>
      <c r="S180" s="156" t="inlineStr">
        <is>
          <t>QB</t>
        </is>
      </c>
    </row>
    <row r="181" ht="15.6" customHeight="1" s="152">
      <c r="A181" s="217" t="n">
        <v>20</v>
      </c>
      <c r="B181" s="218">
        <f>VLOOKUP(G181,Matrix!R:AA,10,0)</f>
        <v/>
      </c>
      <c r="C181" s="156">
        <f>IF(K181&gt;=0.01,K181,IFERROR(VLOOKUP(F181&amp;G181,Rush!B:C,2,0),K181)+SUM(L181:O181))</f>
        <v/>
      </c>
      <c r="D181" s="218">
        <f>_xlfn.IFNA(INDEX('Injury Report'!F:F, MATCH(G181&amp;F181, 'Injury Report'!A:A, 0)), "Healthy")</f>
        <v/>
      </c>
      <c r="E181" s="219">
        <f>VLOOKUP(A181,'RB Depth'!A:G,7,0)-1</f>
        <v/>
      </c>
      <c r="F181" s="218">
        <f>VLOOKUP(A181,'RB Depth'!A:C,3,0)</f>
        <v/>
      </c>
      <c r="G181" s="218">
        <f>VLOOKUP(A181,'RB Depth'!A:B,2,0)</f>
        <v/>
      </c>
      <c r="H181" s="218">
        <f>VLOOKUP(A181,'RB Depth'!A:D,4,0)</f>
        <v/>
      </c>
      <c r="I181" s="218">
        <f>H181&amp;E181</f>
        <v/>
      </c>
      <c r="J181" s="220">
        <f>IF(VLOOKUP(F181,Rush!F:G,2,0)=G181,"OK","Check Team")</f>
        <v/>
      </c>
      <c r="K181" s="156" t="n"/>
      <c r="L181" s="156">
        <f>IFERROR(VLOOKUP(F181&amp;G181,Pass!B:C,2,0),0)</f>
        <v/>
      </c>
      <c r="M181" s="156">
        <f>IFERROR(VLOOKUP(F181&amp;G181,Rush!B:C,2,0),0)</f>
        <v/>
      </c>
      <c r="N181" s="156">
        <f>IFERROR(VLOOKUP(F181&amp;G181,Rec!B:C,2,0),K181)</f>
        <v/>
      </c>
      <c r="O181" s="156">
        <f>IFERROR(VLOOKUP(F181&amp;G181,Returns!A:B,2,0),0)</f>
        <v/>
      </c>
      <c r="Q181" s="156" t="inlineStr">
        <is>
          <t>Ryan Flournoy</t>
        </is>
      </c>
      <c r="R181" s="156" t="inlineStr">
        <is>
          <t>DAL</t>
        </is>
      </c>
      <c r="S181" s="156" t="inlineStr">
        <is>
          <t>WR</t>
        </is>
      </c>
    </row>
    <row r="182" ht="15.6" customHeight="1" s="152">
      <c r="A182" s="217" t="n">
        <v>21</v>
      </c>
      <c r="B182" s="218">
        <f>VLOOKUP(G182,Matrix!R:AA,10,0)</f>
        <v/>
      </c>
      <c r="C182" s="156">
        <f>IF(K182&gt;=0.01,K182,IFERROR(VLOOKUP(F182&amp;G182,Rush!B:C,2,0),K182)+SUM(L182:O182))</f>
        <v/>
      </c>
      <c r="D182" s="218">
        <f>_xlfn.IFNA(INDEX('Injury Report'!F:F, MATCH(G182&amp;F182, 'Injury Report'!A:A, 0)), "Healthy")</f>
        <v/>
      </c>
      <c r="E182" s="219">
        <f>VLOOKUP(A182,'RB Depth'!A:G,7,0)-1</f>
        <v/>
      </c>
      <c r="F182" s="218">
        <f>VLOOKUP(A182,'RB Depth'!A:C,3,0)</f>
        <v/>
      </c>
      <c r="G182" s="218">
        <f>VLOOKUP(A182,'RB Depth'!A:B,2,0)</f>
        <v/>
      </c>
      <c r="H182" s="218">
        <f>VLOOKUP(A182,'RB Depth'!A:D,4,0)</f>
        <v/>
      </c>
      <c r="I182" s="218">
        <f>H182&amp;E182</f>
        <v/>
      </c>
      <c r="J182" s="220">
        <f>IF(VLOOKUP(F182,Rush!F:G,2,0)=G182,"OK","Check Team")</f>
        <v/>
      </c>
      <c r="K182" s="156" t="n"/>
      <c r="L182" s="156">
        <f>IFERROR(VLOOKUP(F182&amp;G182,Pass!B:C,2,0),0)</f>
        <v/>
      </c>
      <c r="M182" s="156">
        <f>IFERROR(VLOOKUP(F182&amp;G182,Rush!B:C,2,0),0)</f>
        <v/>
      </c>
      <c r="N182" s="156">
        <f>IFERROR(VLOOKUP(F182&amp;G182,Rec!B:C,2,0),K182)</f>
        <v/>
      </c>
      <c r="O182" s="156">
        <f>IFERROR(VLOOKUP(F182&amp;G182,Returns!A:B,2,0),0)</f>
        <v/>
      </c>
      <c r="Q182" s="156" t="inlineStr">
        <is>
          <t>Zay Flowers</t>
        </is>
      </c>
      <c r="R182" s="156" t="inlineStr">
        <is>
          <t>BAL</t>
        </is>
      </c>
      <c r="S182" s="156" t="inlineStr">
        <is>
          <t>WR</t>
        </is>
      </c>
    </row>
    <row r="183" ht="15.6" customHeight="1" s="152">
      <c r="A183" s="217" t="n">
        <v>22</v>
      </c>
      <c r="B183" s="218">
        <f>VLOOKUP(G183,Matrix!R:AA,10,0)</f>
        <v/>
      </c>
      <c r="C183" s="156">
        <f>IF(K183&gt;=0.01,K183,IFERROR(VLOOKUP(F183&amp;G183,Rush!B:C,2,0),K183)+SUM(L183:O183))</f>
        <v/>
      </c>
      <c r="D183" s="218">
        <f>_xlfn.IFNA(INDEX('Injury Report'!F:F, MATCH(G183&amp;F183, 'Injury Report'!A:A, 0)), "Healthy")</f>
        <v/>
      </c>
      <c r="E183" s="219">
        <f>VLOOKUP(A183,'RB Depth'!A:G,7,0)-1</f>
        <v/>
      </c>
      <c r="F183" s="218">
        <f>VLOOKUP(A183,'RB Depth'!A:C,3,0)</f>
        <v/>
      </c>
      <c r="G183" s="218">
        <f>VLOOKUP(A183,'RB Depth'!A:B,2,0)</f>
        <v/>
      </c>
      <c r="H183" s="218">
        <f>VLOOKUP(A183,'RB Depth'!A:D,4,0)</f>
        <v/>
      </c>
      <c r="I183" s="218">
        <f>H183&amp;E183</f>
        <v/>
      </c>
      <c r="J183" s="220">
        <f>IF(VLOOKUP(F183,Rush!F:G,2,0)=G183,"OK","Check Team")</f>
        <v/>
      </c>
      <c r="K183" s="156" t="n"/>
      <c r="L183" s="156">
        <f>IFERROR(VLOOKUP(F183&amp;G183,Pass!B:C,2,0),0)</f>
        <v/>
      </c>
      <c r="M183" s="156">
        <f>IFERROR(VLOOKUP(F183&amp;G183,Rush!B:C,2,0),0)</f>
        <v/>
      </c>
      <c r="N183" s="156">
        <f>IFERROR(VLOOKUP(F183&amp;G183,Rec!B:C,2,0),K183)</f>
        <v/>
      </c>
      <c r="O183" s="156">
        <f>IFERROR(VLOOKUP(F183&amp;G183,Returns!A:B,2,0),0)</f>
        <v/>
      </c>
      <c r="Q183" s="156" t="inlineStr">
        <is>
          <t>Nick Folk</t>
        </is>
      </c>
      <c r="R183" s="156" t="inlineStr">
        <is>
          <t>TEN</t>
        </is>
      </c>
      <c r="S183" s="156" t="inlineStr">
        <is>
          <t>K</t>
        </is>
      </c>
    </row>
    <row r="184" ht="15.6" customHeight="1" s="152">
      <c r="A184" s="217" t="n">
        <v>23</v>
      </c>
      <c r="B184" s="218">
        <f>VLOOKUP(G184,Matrix!R:AA,10,0)</f>
        <v/>
      </c>
      <c r="C184" s="156">
        <f>IF(K184&gt;=0.01,K184,IFERROR(VLOOKUP(F184&amp;G184,Rush!B:C,2,0),K184)+SUM(L184:O184))</f>
        <v/>
      </c>
      <c r="D184" s="218">
        <f>_xlfn.IFNA(INDEX('Injury Report'!F:F, MATCH(G184&amp;F184, 'Injury Report'!A:A, 0)), "Healthy")</f>
        <v/>
      </c>
      <c r="E184" s="219">
        <f>VLOOKUP(A184,'RB Depth'!A:G,7,0)-1</f>
        <v/>
      </c>
      <c r="F184" s="218">
        <f>VLOOKUP(A184,'RB Depth'!A:C,3,0)</f>
        <v/>
      </c>
      <c r="G184" s="218">
        <f>VLOOKUP(A184,'RB Depth'!A:B,2,0)</f>
        <v/>
      </c>
      <c r="H184" s="218">
        <f>VLOOKUP(A184,'RB Depth'!A:D,4,0)</f>
        <v/>
      </c>
      <c r="I184" s="218">
        <f>H184&amp;E184</f>
        <v/>
      </c>
      <c r="J184" s="220">
        <f>IF(VLOOKUP(F184,Rush!F:G,2,0)=G184,"OK","Check Team")</f>
        <v/>
      </c>
      <c r="K184" s="156" t="n"/>
      <c r="L184" s="156">
        <f>IFERROR(VLOOKUP(F184&amp;G184,Pass!B:C,2,0),0)</f>
        <v/>
      </c>
      <c r="M184" s="156">
        <f>IFERROR(VLOOKUP(F184&amp;G184,Rush!B:C,2,0),0)</f>
        <v/>
      </c>
      <c r="N184" s="156">
        <f>IFERROR(VLOOKUP(F184&amp;G184,Rec!B:C,2,0),K184)</f>
        <v/>
      </c>
      <c r="O184" s="156">
        <f>IFERROR(VLOOKUP(F184&amp;G184,Returns!A:B,2,0),0)</f>
        <v/>
      </c>
      <c r="Q184" s="156" t="inlineStr">
        <is>
          <t>Jerome Ford</t>
        </is>
      </c>
      <c r="R184" s="156" t="inlineStr">
        <is>
          <t>CLE</t>
        </is>
      </c>
      <c r="S184" s="156" t="inlineStr">
        <is>
          <t>RB</t>
        </is>
      </c>
    </row>
    <row r="185" ht="15.6" customHeight="1" s="152">
      <c r="A185" s="217" t="n">
        <v>24</v>
      </c>
      <c r="B185" s="218">
        <f>VLOOKUP(G185,Matrix!R:AA,10,0)</f>
        <v/>
      </c>
      <c r="C185" s="156">
        <f>IF(K185&gt;=0.01,K185,IFERROR(VLOOKUP(F185&amp;G185,Rush!B:C,2,0),K185)+SUM(L185:O185))</f>
        <v/>
      </c>
      <c r="D185" s="218">
        <f>_xlfn.IFNA(INDEX('Injury Report'!F:F, MATCH(G185&amp;F185, 'Injury Report'!A:A, 0)), "Healthy")</f>
        <v/>
      </c>
      <c r="E185" s="219">
        <f>VLOOKUP(A185,'RB Depth'!A:G,7,0)-1</f>
        <v/>
      </c>
      <c r="F185" s="218">
        <f>VLOOKUP(A185,'RB Depth'!A:C,3,0)</f>
        <v/>
      </c>
      <c r="G185" s="218">
        <f>VLOOKUP(A185,'RB Depth'!A:B,2,0)</f>
        <v/>
      </c>
      <c r="H185" s="218">
        <f>VLOOKUP(A185,'RB Depth'!A:D,4,0)</f>
        <v/>
      </c>
      <c r="I185" s="218">
        <f>H185&amp;E185</f>
        <v/>
      </c>
      <c r="J185" s="220">
        <f>IF(VLOOKUP(F185,Rush!F:G,2,0)=G185,"OK","Check Team")</f>
        <v/>
      </c>
      <c r="K185" s="156" t="n"/>
      <c r="L185" s="156">
        <f>IFERROR(VLOOKUP(F185&amp;G185,Pass!B:C,2,0),0)</f>
        <v/>
      </c>
      <c r="M185" s="156">
        <f>IFERROR(VLOOKUP(F185&amp;G185,Rush!B:C,2,0),0)</f>
        <v/>
      </c>
      <c r="N185" s="156">
        <f>IFERROR(VLOOKUP(F185&amp;G185,Rec!B:C,2,0),K185)</f>
        <v/>
      </c>
      <c r="O185" s="156">
        <f>IFERROR(VLOOKUP(F185&amp;G185,Returns!A:B,2,0),0)</f>
        <v/>
      </c>
      <c r="Q185" s="156" t="inlineStr">
        <is>
          <t>D'Onta Foreman</t>
        </is>
      </c>
      <c r="R185" s="156" t="inlineStr">
        <is>
          <t>CLE</t>
        </is>
      </c>
      <c r="S185" s="156" t="inlineStr">
        <is>
          <t>RB</t>
        </is>
      </c>
    </row>
    <row r="186" ht="15.6" customHeight="1" s="152">
      <c r="A186" s="217" t="n">
        <v>25</v>
      </c>
      <c r="B186" s="218">
        <f>VLOOKUP(G186,Matrix!R:AA,10,0)</f>
        <v/>
      </c>
      <c r="C186" s="156">
        <f>IF(K186&gt;=0.01,K186,IFERROR(VLOOKUP(F186&amp;G186,Rush!B:C,2,0),K186)+SUM(L186:O186))</f>
        <v/>
      </c>
      <c r="D186" s="218">
        <f>_xlfn.IFNA(INDEX('Injury Report'!F:F, MATCH(G186&amp;F186, 'Injury Report'!A:A, 0)), "Healthy")</f>
        <v/>
      </c>
      <c r="E186" s="219">
        <f>VLOOKUP(A186,'RB Depth'!A:G,7,0)-1</f>
        <v/>
      </c>
      <c r="F186" s="218">
        <f>VLOOKUP(A186,'RB Depth'!A:C,3,0)</f>
        <v/>
      </c>
      <c r="G186" s="218">
        <f>VLOOKUP(A186,'RB Depth'!A:B,2,0)</f>
        <v/>
      </c>
      <c r="H186" s="218">
        <f>VLOOKUP(A186,'RB Depth'!A:D,4,0)</f>
        <v/>
      </c>
      <c r="I186" s="218">
        <f>H186&amp;E186</f>
        <v/>
      </c>
      <c r="J186" s="220">
        <f>IF(VLOOKUP(F186,Rush!F:G,2,0)=G186,"OK","Check Team")</f>
        <v/>
      </c>
      <c r="K186" s="156" t="n"/>
      <c r="L186" s="156">
        <f>IFERROR(VLOOKUP(F186&amp;G186,Pass!B:C,2,0),0)</f>
        <v/>
      </c>
      <c r="M186" s="156">
        <f>IFERROR(VLOOKUP(F186&amp;G186,Rush!B:C,2,0),0)</f>
        <v/>
      </c>
      <c r="N186" s="156">
        <f>IFERROR(VLOOKUP(F186&amp;G186,Rec!B:C,2,0),K186)</f>
        <v/>
      </c>
      <c r="O186" s="156">
        <f>IFERROR(VLOOKUP(F186&amp;G186,Returns!A:B,2,0),0)</f>
        <v/>
      </c>
      <c r="Q186" s="156" t="inlineStr">
        <is>
          <t>Jody Fortson</t>
        </is>
      </c>
      <c r="R186" s="156" t="inlineStr">
        <is>
          <t>KC</t>
        </is>
      </c>
      <c r="S186" s="156" t="inlineStr">
        <is>
          <t>TE</t>
        </is>
      </c>
    </row>
    <row r="187" ht="15.6" customHeight="1" s="152">
      <c r="A187" s="217" t="n">
        <v>26</v>
      </c>
      <c r="B187" s="218">
        <f>VLOOKUP(G187,Matrix!R:AA,10,0)</f>
        <v/>
      </c>
      <c r="C187" s="156">
        <f>IF(K187&gt;=0.01,K187,IFERROR(VLOOKUP(F187&amp;G187,Rush!B:C,2,0),K187)+SUM(L187:O187))</f>
        <v/>
      </c>
      <c r="D187" s="218">
        <f>_xlfn.IFNA(INDEX('Injury Report'!F:F, MATCH(G187&amp;F187, 'Injury Report'!A:A, 0)), "Healthy")</f>
        <v/>
      </c>
      <c r="E187" s="219">
        <f>VLOOKUP(A187,'RB Depth'!A:G,7,0)-1</f>
        <v/>
      </c>
      <c r="F187" s="218">
        <f>VLOOKUP(A187,'RB Depth'!A:C,3,0)</f>
        <v/>
      </c>
      <c r="G187" s="218">
        <f>VLOOKUP(A187,'RB Depth'!A:B,2,0)</f>
        <v/>
      </c>
      <c r="H187" s="218">
        <f>VLOOKUP(A187,'RB Depth'!A:D,4,0)</f>
        <v/>
      </c>
      <c r="I187" s="218">
        <f>H187&amp;E187</f>
        <v/>
      </c>
      <c r="J187" s="220">
        <f>IF(VLOOKUP(F187,Rush!F:G,2,0)=G187,"OK","Check Team")</f>
        <v/>
      </c>
      <c r="K187" s="156" t="n"/>
      <c r="L187" s="156">
        <f>IFERROR(VLOOKUP(F187&amp;G187,Pass!B:C,2,0),0)</f>
        <v/>
      </c>
      <c r="M187" s="156">
        <f>IFERROR(VLOOKUP(F187&amp;G187,Rush!B:C,2,0),0)</f>
        <v/>
      </c>
      <c r="N187" s="156">
        <f>IFERROR(VLOOKUP(F187&amp;G187,Rec!B:C,2,0),K187)</f>
        <v/>
      </c>
      <c r="O187" s="156">
        <f>IFERROR(VLOOKUP(F187&amp;G187,Returns!A:B,2,0),0)</f>
        <v/>
      </c>
      <c r="Q187" s="156" t="inlineStr">
        <is>
          <t>Leonard Fournette</t>
        </is>
      </c>
      <c r="R187" s="156" t="inlineStr">
        <is>
          <t>FA</t>
        </is>
      </c>
      <c r="S187" s="156" t="inlineStr">
        <is>
          <t>RB</t>
        </is>
      </c>
    </row>
    <row r="188" ht="15.6" customHeight="1" s="152">
      <c r="A188" s="217" t="n">
        <v>27</v>
      </c>
      <c r="B188" s="218">
        <f>VLOOKUP(G188,Matrix!R:AA,10,0)</f>
        <v/>
      </c>
      <c r="C188" s="156">
        <f>IF(K188&gt;=0.01,K188,IFERROR(VLOOKUP(F188&amp;G188,Rush!B:C,2,0),K188)+SUM(L188:O188))</f>
        <v/>
      </c>
      <c r="D188" s="218">
        <f>_xlfn.IFNA(INDEX('Injury Report'!F:F, MATCH(G188&amp;F188, 'Injury Report'!A:A, 0)), "Healthy")</f>
        <v/>
      </c>
      <c r="E188" s="219">
        <f>VLOOKUP(A188,'RB Depth'!A:G,7,0)-1</f>
        <v/>
      </c>
      <c r="F188" s="218">
        <f>VLOOKUP(A188,'RB Depth'!A:C,3,0)</f>
        <v/>
      </c>
      <c r="G188" s="218">
        <f>VLOOKUP(A188,'RB Depth'!A:B,2,0)</f>
        <v/>
      </c>
      <c r="H188" s="218">
        <f>VLOOKUP(A188,'RB Depth'!A:D,4,0)</f>
        <v/>
      </c>
      <c r="I188" s="218">
        <f>H188&amp;E188</f>
        <v/>
      </c>
      <c r="J188" s="220">
        <f>IF(VLOOKUP(F188,Rush!F:G,2,0)=G188,"OK","Check Team")</f>
        <v/>
      </c>
      <c r="K188" s="156" t="n"/>
      <c r="L188" s="156">
        <f>IFERROR(VLOOKUP(F188&amp;G188,Pass!B:C,2,0),0)</f>
        <v/>
      </c>
      <c r="M188" s="156">
        <f>IFERROR(VLOOKUP(F188&amp;G188,Rush!B:C,2,0),0)</f>
        <v/>
      </c>
      <c r="N188" s="156">
        <f>IFERROR(VLOOKUP(F188&amp;G188,Rec!B:C,2,0),K188)</f>
        <v/>
      </c>
      <c r="O188" s="156">
        <f>IFERROR(VLOOKUP(F188&amp;G188,Returns!A:B,2,0),0)</f>
        <v/>
      </c>
      <c r="Q188" s="156" t="inlineStr">
        <is>
          <t>Troy Franklin</t>
        </is>
      </c>
      <c r="R188" s="156" t="inlineStr">
        <is>
          <t>DEN</t>
        </is>
      </c>
      <c r="S188" s="156" t="inlineStr">
        <is>
          <t>WR</t>
        </is>
      </c>
    </row>
    <row r="189" ht="15.6" customHeight="1" s="152">
      <c r="A189" s="217" t="n">
        <v>28</v>
      </c>
      <c r="B189" s="218">
        <f>VLOOKUP(G189,Matrix!R:AA,10,0)</f>
        <v/>
      </c>
      <c r="C189" s="156">
        <f>IF(K189&gt;=0.01,K189,IFERROR(VLOOKUP(F189&amp;G189,Rush!B:C,2,0),K189)+SUM(L189:O189))</f>
        <v/>
      </c>
      <c r="D189" s="218">
        <f>_xlfn.IFNA(INDEX('Injury Report'!F:F, MATCH(G189&amp;F189, 'Injury Report'!A:A, 0)), "Healthy")</f>
        <v/>
      </c>
      <c r="E189" s="219">
        <f>VLOOKUP(A189,'RB Depth'!A:G,7,0)-1</f>
        <v/>
      </c>
      <c r="F189" s="218">
        <f>VLOOKUP(A189,'RB Depth'!A:C,3,0)</f>
        <v/>
      </c>
      <c r="G189" s="218">
        <f>VLOOKUP(A189,'RB Depth'!A:B,2,0)</f>
        <v/>
      </c>
      <c r="H189" s="218">
        <f>VLOOKUP(A189,'RB Depth'!A:D,4,0)</f>
        <v/>
      </c>
      <c r="I189" s="218">
        <f>H189&amp;E189</f>
        <v/>
      </c>
      <c r="J189" s="220">
        <f>IF(VLOOKUP(F189,Rush!F:G,2,0)=G189,"OK","Check Team")</f>
        <v/>
      </c>
      <c r="K189" s="156" t="n"/>
      <c r="L189" s="156">
        <f>IFERROR(VLOOKUP(F189&amp;G189,Pass!B:C,2,0),0)</f>
        <v/>
      </c>
      <c r="M189" s="156">
        <f>IFERROR(VLOOKUP(F189&amp;G189,Rush!B:C,2,0),0)</f>
        <v/>
      </c>
      <c r="N189" s="156">
        <f>IFERROR(VLOOKUP(F189&amp;G189,Rec!B:C,2,0),K189)</f>
        <v/>
      </c>
      <c r="O189" s="156">
        <f>IFERROR(VLOOKUP(F189&amp;G189,Returns!A:B,2,0),0)</f>
        <v/>
      </c>
      <c r="Q189" s="156" t="inlineStr">
        <is>
          <t>Zakhari Franklin</t>
        </is>
      </c>
      <c r="R189" s="156" t="inlineStr">
        <is>
          <t>FA</t>
        </is>
      </c>
      <c r="S189" s="156" t="inlineStr">
        <is>
          <t>WR</t>
        </is>
      </c>
    </row>
    <row r="190" ht="15.6" customHeight="1" s="152">
      <c r="A190" s="217" t="n">
        <v>29</v>
      </c>
      <c r="B190" s="218">
        <f>VLOOKUP(G190,Matrix!R:AA,10,0)</f>
        <v/>
      </c>
      <c r="C190" s="156">
        <f>IF(K190&gt;=0.01,K190,IFERROR(VLOOKUP(F190&amp;G190,Rush!B:C,2,0),K190)+SUM(L190:O190))</f>
        <v/>
      </c>
      <c r="D190" s="218">
        <f>_xlfn.IFNA(INDEX('Injury Report'!F:F, MATCH(G190&amp;F190, 'Injury Report'!A:A, 0)), "Healthy")</f>
        <v/>
      </c>
      <c r="E190" s="219">
        <f>VLOOKUP(A190,'RB Depth'!A:G,7,0)-1</f>
        <v/>
      </c>
      <c r="F190" s="218">
        <f>VLOOKUP(A190,'RB Depth'!A:C,3,0)</f>
        <v/>
      </c>
      <c r="G190" s="218">
        <f>VLOOKUP(A190,'RB Depth'!A:B,2,0)</f>
        <v/>
      </c>
      <c r="H190" s="218">
        <f>VLOOKUP(A190,'RB Depth'!A:D,4,0)</f>
        <v/>
      </c>
      <c r="I190" s="218">
        <f>H190&amp;E190</f>
        <v/>
      </c>
      <c r="J190" s="220">
        <f>IF(VLOOKUP(F190,Rush!F:G,2,0)=G190,"OK","Check Team")</f>
        <v/>
      </c>
      <c r="K190" s="156" t="n"/>
      <c r="L190" s="156">
        <f>IFERROR(VLOOKUP(F190&amp;G190,Pass!B:C,2,0),0)</f>
        <v/>
      </c>
      <c r="M190" s="156">
        <f>IFERROR(VLOOKUP(F190&amp;G190,Rush!B:C,2,0),0)</f>
        <v/>
      </c>
      <c r="N190" s="156">
        <f>IFERROR(VLOOKUP(F190&amp;G190,Rec!B:C,2,0),K190)</f>
        <v/>
      </c>
      <c r="O190" s="156">
        <f>IFERROR(VLOOKUP(F190&amp;G190,Returns!A:B,2,0),0)</f>
        <v/>
      </c>
      <c r="Q190" s="156" t="inlineStr">
        <is>
          <t>Royce Freeman</t>
        </is>
      </c>
      <c r="R190" s="156" t="inlineStr">
        <is>
          <t>FA</t>
        </is>
      </c>
      <c r="S190" s="156" t="inlineStr">
        <is>
          <t>RB</t>
        </is>
      </c>
    </row>
    <row r="191" ht="15.6" customHeight="1" s="152">
      <c r="A191" s="217" t="n">
        <v>30</v>
      </c>
      <c r="B191" s="218">
        <f>VLOOKUP(G191,Matrix!R:AA,10,0)</f>
        <v/>
      </c>
      <c r="C191" s="156">
        <f>IF(K191&gt;=0.01,K191,IFERROR(VLOOKUP(F191&amp;G191,Rush!B:C,2,0),K191)+SUM(L191:O191))</f>
        <v/>
      </c>
      <c r="D191" s="218">
        <f>_xlfn.IFNA(INDEX('Injury Report'!F:F, MATCH(G191&amp;F191, 'Injury Report'!A:A, 0)), "Healthy")</f>
        <v/>
      </c>
      <c r="E191" s="219">
        <f>VLOOKUP(A191,'RB Depth'!A:G,7,0)-1</f>
        <v/>
      </c>
      <c r="F191" s="218">
        <f>VLOOKUP(A191,'RB Depth'!A:C,3,0)</f>
        <v/>
      </c>
      <c r="G191" s="218">
        <f>VLOOKUP(A191,'RB Depth'!A:B,2,0)</f>
        <v/>
      </c>
      <c r="H191" s="218">
        <f>VLOOKUP(A191,'RB Depth'!A:D,4,0)</f>
        <v/>
      </c>
      <c r="I191" s="218">
        <f>H191&amp;E191</f>
        <v/>
      </c>
      <c r="J191" s="220">
        <f>IF(VLOOKUP(F191,Rush!F:G,2,0)=G191,"OK","Check Team")</f>
        <v/>
      </c>
      <c r="K191" s="156" t="n"/>
      <c r="L191" s="156">
        <f>IFERROR(VLOOKUP(F191&amp;G191,Pass!B:C,2,0),0)</f>
        <v/>
      </c>
      <c r="M191" s="156">
        <f>IFERROR(VLOOKUP(F191&amp;G191,Rush!B:C,2,0),0)</f>
        <v/>
      </c>
      <c r="N191" s="156">
        <f>IFERROR(VLOOKUP(F191&amp;G191,Rec!B:C,2,0),K191)</f>
        <v/>
      </c>
      <c r="O191" s="156">
        <f>IFERROR(VLOOKUP(F191&amp;G191,Returns!A:B,2,0),0)</f>
        <v/>
      </c>
      <c r="Q191" s="156" t="inlineStr">
        <is>
          <t>Pat Freiermuth</t>
        </is>
      </c>
      <c r="R191" s="156" t="inlineStr">
        <is>
          <t>PIT</t>
        </is>
      </c>
      <c r="S191" s="156" t="inlineStr">
        <is>
          <t>TE</t>
        </is>
      </c>
    </row>
    <row r="192" ht="15.6" customHeight="1" s="152">
      <c r="A192" s="217" t="n">
        <v>31</v>
      </c>
      <c r="B192" s="218">
        <f>VLOOKUP(G192,Matrix!R:AA,10,0)</f>
        <v/>
      </c>
      <c r="C192" s="156">
        <f>IF(K192&gt;=0.01,K192,IFERROR(VLOOKUP(F192&amp;G192,Rush!B:C,2,0),K192)+SUM(L192:O192))</f>
        <v/>
      </c>
      <c r="D192" s="218">
        <f>_xlfn.IFNA(INDEX('Injury Report'!F:F, MATCH(G192&amp;F192, 'Injury Report'!A:A, 0)), "Healthy")</f>
        <v/>
      </c>
      <c r="E192" s="219">
        <f>VLOOKUP(A192,'RB Depth'!A:G,7,0)-1</f>
        <v/>
      </c>
      <c r="F192" s="218">
        <f>VLOOKUP(A192,'RB Depth'!A:C,3,0)</f>
        <v/>
      </c>
      <c r="G192" s="218">
        <f>VLOOKUP(A192,'RB Depth'!A:B,2,0)</f>
        <v/>
      </c>
      <c r="H192" s="218">
        <f>VLOOKUP(A192,'RB Depth'!A:D,4,0)</f>
        <v/>
      </c>
      <c r="I192" s="218">
        <f>H192&amp;E192</f>
        <v/>
      </c>
      <c r="J192" s="220">
        <f>IF(VLOOKUP(F192,Rush!F:G,2,0)=G192,"OK","Check Team")</f>
        <v/>
      </c>
      <c r="K192" s="156" t="n"/>
      <c r="L192" s="156">
        <f>IFERROR(VLOOKUP(F192&amp;G192,Pass!B:C,2,0),0)</f>
        <v/>
      </c>
      <c r="M192" s="156">
        <f>IFERROR(VLOOKUP(F192&amp;G192,Rush!B:C,2,0),0)</f>
        <v/>
      </c>
      <c r="N192" s="156">
        <f>IFERROR(VLOOKUP(F192&amp;G192,Rec!B:C,2,0),K192)</f>
        <v/>
      </c>
      <c r="O192" s="156">
        <f>IFERROR(VLOOKUP(F192&amp;G192,Returns!A:B,2,0),0)</f>
        <v/>
      </c>
      <c r="Q192" s="156" t="inlineStr">
        <is>
          <t>Blaine Gabbert</t>
        </is>
      </c>
      <c r="R192" s="156" t="inlineStr">
        <is>
          <t>FA</t>
        </is>
      </c>
      <c r="S192" s="156" t="inlineStr">
        <is>
          <t>QB</t>
        </is>
      </c>
    </row>
    <row r="193" ht="15.6" customHeight="1" s="152">
      <c r="A193" s="217" t="n">
        <v>32</v>
      </c>
      <c r="B193" s="218">
        <f>VLOOKUP(G193,Matrix!R:AA,10,0)</f>
        <v/>
      </c>
      <c r="C193" s="156">
        <f>IF(K193&gt;=0.01,K193,IFERROR(VLOOKUP(F193&amp;G193,Rush!B:C,2,0),K193)+SUM(L193:O193))</f>
        <v/>
      </c>
      <c r="D193" s="218">
        <f>_xlfn.IFNA(INDEX('Injury Report'!F:F, MATCH(G193&amp;F193, 'Injury Report'!A:A, 0)), "Healthy")</f>
        <v/>
      </c>
      <c r="E193" s="219">
        <f>VLOOKUP(A193,'RB Depth'!A:G,7,0)-1</f>
        <v/>
      </c>
      <c r="F193" s="218">
        <f>VLOOKUP(A193,'RB Depth'!A:C,3,0)</f>
        <v/>
      </c>
      <c r="G193" s="218">
        <f>VLOOKUP(A193,'RB Depth'!A:B,2,0)</f>
        <v/>
      </c>
      <c r="H193" s="218">
        <f>VLOOKUP(A193,'RB Depth'!A:D,4,0)</f>
        <v/>
      </c>
      <c r="I193" s="218">
        <f>H193&amp;E193</f>
        <v/>
      </c>
      <c r="J193" s="220">
        <f>IF(VLOOKUP(F193,Rush!F:G,2,0)=G193,"OK","Check Team")</f>
        <v/>
      </c>
      <c r="K193" s="156" t="n"/>
      <c r="L193" s="156">
        <f>IFERROR(VLOOKUP(F193&amp;G193,Pass!B:C,2,0),0)</f>
        <v/>
      </c>
      <c r="M193" s="156">
        <f>IFERROR(VLOOKUP(F193&amp;G193,Rush!B:C,2,0),0)</f>
        <v/>
      </c>
      <c r="N193" s="156">
        <f>IFERROR(VLOOKUP(F193&amp;G193,Rec!B:C,2,0),K193)</f>
        <v/>
      </c>
      <c r="O193" s="156">
        <f>IFERROR(VLOOKUP(F193&amp;G193,Returns!A:B,2,0),0)</f>
        <v/>
      </c>
      <c r="Q193" s="156" t="inlineStr">
        <is>
          <t>Russell Gage</t>
        </is>
      </c>
      <c r="R193" s="156" t="inlineStr">
        <is>
          <t>SF</t>
        </is>
      </c>
      <c r="S193" s="156" t="inlineStr">
        <is>
          <t>WR</t>
        </is>
      </c>
    </row>
    <row r="194" hidden="1" ht="15.6" customHeight="1" s="152">
      <c r="A194" s="217" t="n">
        <v>33</v>
      </c>
      <c r="B194" s="218">
        <f>VLOOKUP(G194,Matrix!R:AA,10,0)</f>
        <v/>
      </c>
      <c r="C194" s="156">
        <f>IF(K194&gt;=0.01,K194,IFERROR(VLOOKUP(F194&amp;G194,Rush!B:C,2,0),K194)+SUM(L194:O194))</f>
        <v/>
      </c>
      <c r="D194" s="218">
        <f>_xlfn.IFNA(INDEX('Injury Report'!F:F, MATCH(G194&amp;F194, 'Injury Report'!A:A, 0)), "Healthy")</f>
        <v/>
      </c>
      <c r="E194" s="219">
        <f>VLOOKUP(A194,'RB Depth'!A:G,7,0)-1</f>
        <v/>
      </c>
      <c r="F194" s="218">
        <f>VLOOKUP(A194,'RB Depth'!A:C,3,0)</f>
        <v/>
      </c>
      <c r="G194" s="218">
        <f>VLOOKUP(A194,'RB Depth'!A:B,2,0)</f>
        <v/>
      </c>
      <c r="H194" s="218">
        <f>VLOOKUP(A194,'RB Depth'!A:D,4,0)</f>
        <v/>
      </c>
      <c r="I194" s="218">
        <f>H194&amp;E194</f>
        <v/>
      </c>
      <c r="J194" s="220">
        <f>IF(VLOOKUP(F194,Rush!F:G,2,0)=G194,"OK","Check Team")</f>
        <v/>
      </c>
      <c r="K194" s="156" t="n"/>
      <c r="L194" s="156">
        <f>IFERROR(VLOOKUP(F194&amp;G194,Pass!B:C,2,0),0)</f>
        <v/>
      </c>
      <c r="M194" s="156">
        <f>IFERROR(VLOOKUP(F194&amp;G194,Rush!B:C,2,0),0)</f>
        <v/>
      </c>
      <c r="N194" s="156">
        <f>IFERROR(VLOOKUP(F194&amp;G194,Rec!B:C,2,0),K194)</f>
        <v/>
      </c>
      <c r="O194" s="156">
        <f>IFERROR(VLOOKUP(F194&amp;G194,Returns!A:B,2,0),0)</f>
        <v/>
      </c>
      <c r="Q194" s="156" t="inlineStr">
        <is>
          <t>Kenneth Gainwell</t>
        </is>
      </c>
      <c r="R194" s="156" t="inlineStr">
        <is>
          <t>PHI</t>
        </is>
      </c>
      <c r="S194" s="156" t="inlineStr">
        <is>
          <t>RB</t>
        </is>
      </c>
    </row>
    <row r="195" hidden="1" ht="15.6" customHeight="1" s="152">
      <c r="A195" s="217" t="n">
        <v>34</v>
      </c>
      <c r="B195" s="218">
        <f>VLOOKUP(G195,Matrix!R:AA,10,0)</f>
        <v/>
      </c>
      <c r="C195" s="156">
        <f>IF(K195&gt;=0.01,K195,IFERROR(VLOOKUP(F195&amp;G195,Rush!B:C,2,0),K195)+SUM(L195:O195))</f>
        <v/>
      </c>
      <c r="D195" s="218">
        <f>_xlfn.IFNA(INDEX('Injury Report'!F:F, MATCH(G195&amp;F195, 'Injury Report'!A:A, 0)), "Healthy")</f>
        <v/>
      </c>
      <c r="E195" s="219">
        <f>VLOOKUP(A195,'RB Depth'!A:G,7,0)-1</f>
        <v/>
      </c>
      <c r="F195" s="218">
        <f>VLOOKUP(A195,'RB Depth'!A:C,3,0)</f>
        <v/>
      </c>
      <c r="G195" s="218">
        <f>VLOOKUP(A195,'RB Depth'!A:B,2,0)</f>
        <v/>
      </c>
      <c r="H195" s="218">
        <f>VLOOKUP(A195,'RB Depth'!A:D,4,0)</f>
        <v/>
      </c>
      <c r="I195" s="218">
        <f>H195&amp;E195</f>
        <v/>
      </c>
      <c r="J195" s="220">
        <f>IF(VLOOKUP(F195,Rush!F:G,2,0)=G195,"OK","Check Team")</f>
        <v/>
      </c>
      <c r="K195" s="156" t="n"/>
      <c r="L195" s="156">
        <f>IFERROR(VLOOKUP(F195&amp;G195,Pass!B:C,2,0),0)</f>
        <v/>
      </c>
      <c r="M195" s="156">
        <f>IFERROR(VLOOKUP(F195&amp;G195,Rush!B:C,2,0),0)</f>
        <v/>
      </c>
      <c r="N195" s="156">
        <f>IFERROR(VLOOKUP(F195&amp;G195,Rec!B:C,2,0),K195)</f>
        <v/>
      </c>
      <c r="O195" s="156">
        <f>IFERROR(VLOOKUP(F195&amp;G195,Returns!A:B,2,0),0)</f>
        <v/>
      </c>
      <c r="Q195" s="156" t="inlineStr">
        <is>
          <t>Michael Gallup</t>
        </is>
      </c>
      <c r="R195" s="156" t="inlineStr">
        <is>
          <t>FA</t>
        </is>
      </c>
      <c r="S195" s="156" t="inlineStr">
        <is>
          <t>WR</t>
        </is>
      </c>
    </row>
    <row r="196" hidden="1" ht="15.6" customHeight="1" s="152">
      <c r="A196" s="217" t="n">
        <v>35</v>
      </c>
      <c r="B196" s="218">
        <f>VLOOKUP(G196,Matrix!R:AA,10,0)</f>
        <v/>
      </c>
      <c r="C196" s="156">
        <f>IF(K196&gt;=0.01,K196,IFERROR(VLOOKUP(F196&amp;G196,Rush!B:C,2,0),K196)+SUM(L196:O196))</f>
        <v/>
      </c>
      <c r="D196" s="218">
        <f>_xlfn.IFNA(INDEX('Injury Report'!F:F, MATCH(G196&amp;F196, 'Injury Report'!A:A, 0)), "Healthy")</f>
        <v/>
      </c>
      <c r="E196" s="219">
        <f>VLOOKUP(A196,'RB Depth'!A:G,7,0)-1</f>
        <v/>
      </c>
      <c r="F196" s="218">
        <f>VLOOKUP(A196,'RB Depth'!A:C,3,0)</f>
        <v/>
      </c>
      <c r="G196" s="218">
        <f>VLOOKUP(A196,'RB Depth'!A:B,2,0)</f>
        <v/>
      </c>
      <c r="H196" s="218">
        <f>VLOOKUP(A196,'RB Depth'!A:D,4,0)</f>
        <v/>
      </c>
      <c r="I196" s="218">
        <f>H196&amp;E196</f>
        <v/>
      </c>
      <c r="J196" s="220">
        <f>IF(VLOOKUP(F196,Rush!F:G,2,0)=G196,"OK","Check Team")</f>
        <v/>
      </c>
      <c r="K196" s="156" t="n"/>
      <c r="L196" s="156">
        <f>IFERROR(VLOOKUP(F196&amp;G196,Pass!B:C,2,0),0)</f>
        <v/>
      </c>
      <c r="M196" s="156">
        <f>IFERROR(VLOOKUP(F196&amp;G196,Rush!B:C,2,0),0)</f>
        <v/>
      </c>
      <c r="N196" s="156">
        <f>IFERROR(VLOOKUP(F196&amp;G196,Rec!B:C,2,0),K196)</f>
        <v/>
      </c>
      <c r="O196" s="156">
        <f>IFERROR(VLOOKUP(F196&amp;G196,Returns!A:B,2,0),0)</f>
        <v/>
      </c>
      <c r="Q196" s="156" t="inlineStr">
        <is>
          <t>Graham Gano</t>
        </is>
      </c>
      <c r="R196" s="156" t="inlineStr">
        <is>
          <t>NYG</t>
        </is>
      </c>
      <c r="S196" s="156" t="inlineStr">
        <is>
          <t>K</t>
        </is>
      </c>
    </row>
    <row r="197" hidden="1" ht="15.6" customHeight="1" s="152">
      <c r="A197" s="217" t="n">
        <v>36</v>
      </c>
      <c r="B197" s="218">
        <f>VLOOKUP(G197,Matrix!R:AA,10,0)</f>
        <v/>
      </c>
      <c r="C197" s="156">
        <f>IF(K197&gt;=0.01,K197,IFERROR(VLOOKUP(F197&amp;G197,Rush!B:C,2,0),K197)+SUM(L197:O197))</f>
        <v/>
      </c>
      <c r="D197" s="218">
        <f>_xlfn.IFNA(INDEX('Injury Report'!F:F, MATCH(G197&amp;F197, 'Injury Report'!A:A, 0)), "Healthy")</f>
        <v/>
      </c>
      <c r="E197" s="219">
        <f>VLOOKUP(A197,'RB Depth'!A:G,7,0)-1</f>
        <v/>
      </c>
      <c r="F197" s="218">
        <f>VLOOKUP(A197,'RB Depth'!A:C,3,0)</f>
        <v/>
      </c>
      <c r="G197" s="218">
        <f>VLOOKUP(A197,'RB Depth'!A:B,2,0)</f>
        <v/>
      </c>
      <c r="H197" s="218">
        <f>VLOOKUP(A197,'RB Depth'!A:D,4,0)</f>
        <v/>
      </c>
      <c r="I197" s="218">
        <f>H197&amp;E197</f>
        <v/>
      </c>
      <c r="J197" s="220">
        <f>IF(VLOOKUP(F197,Rush!F:G,2,0)=G197,"OK","Check Team")</f>
        <v/>
      </c>
      <c r="K197" s="156" t="n"/>
      <c r="L197" s="156">
        <f>IFERROR(VLOOKUP(F197&amp;G197,Pass!B:C,2,0),0)</f>
        <v/>
      </c>
      <c r="M197" s="156">
        <f>IFERROR(VLOOKUP(F197&amp;G197,Rush!B:C,2,0),0)</f>
        <v/>
      </c>
      <c r="N197" s="156">
        <f>IFERROR(VLOOKUP(F197&amp;G197,Rec!B:C,2,0),K197)</f>
        <v/>
      </c>
      <c r="O197" s="156">
        <f>IFERROR(VLOOKUP(F197&amp;G197,Returns!A:B,2,0),0)</f>
        <v/>
      </c>
      <c r="Q197" s="156" t="inlineStr">
        <is>
          <t>Jimmy Garoppolo</t>
        </is>
      </c>
      <c r="R197" s="156" t="inlineStr">
        <is>
          <t>LAR</t>
        </is>
      </c>
      <c r="S197" s="156" t="inlineStr">
        <is>
          <t>QB</t>
        </is>
      </c>
    </row>
    <row r="198" hidden="1" ht="15.6" customHeight="1" s="152">
      <c r="A198" s="217" t="n">
        <v>37</v>
      </c>
      <c r="B198" s="218">
        <f>VLOOKUP(G198,Matrix!R:AA,10,0)</f>
        <v/>
      </c>
      <c r="C198" s="156">
        <f>IF(K198&gt;=0.01,K198,IFERROR(VLOOKUP(F198&amp;G198,Rush!B:C,2,0),K198)+SUM(L198:O198))</f>
        <v/>
      </c>
      <c r="D198" s="218">
        <f>_xlfn.IFNA(INDEX('Injury Report'!F:F, MATCH(G198&amp;F198, 'Injury Report'!A:A, 0)), "Healthy")</f>
        <v/>
      </c>
      <c r="E198" s="219">
        <f>VLOOKUP(A198,'RB Depth'!A:G,7,0)-1</f>
        <v/>
      </c>
      <c r="F198" s="218">
        <f>VLOOKUP(A198,'RB Depth'!A:C,3,0)</f>
        <v/>
      </c>
      <c r="G198" s="218">
        <f>VLOOKUP(A198,'RB Depth'!A:B,2,0)</f>
        <v/>
      </c>
      <c r="H198" s="218">
        <f>VLOOKUP(A198,'RB Depth'!A:D,4,0)</f>
        <v/>
      </c>
      <c r="I198" s="218">
        <f>H198&amp;E198</f>
        <v/>
      </c>
      <c r="J198" s="220">
        <f>IF(VLOOKUP(F198,Rush!F:G,2,0)=G198,"OK","Check Team")</f>
        <v/>
      </c>
      <c r="K198" s="156" t="n"/>
      <c r="L198" s="156">
        <f>IFERROR(VLOOKUP(F198&amp;G198,Pass!B:C,2,0),0)</f>
        <v/>
      </c>
      <c r="M198" s="156">
        <f>IFERROR(VLOOKUP(F198&amp;G198,Rush!B:C,2,0),0)</f>
        <v/>
      </c>
      <c r="N198" s="156">
        <f>IFERROR(VLOOKUP(F198&amp;G198,Rec!B:C,2,0),K198)</f>
        <v/>
      </c>
      <c r="O198" s="156">
        <f>IFERROR(VLOOKUP(F198&amp;G198,Returns!A:B,2,0),0)</f>
        <v/>
      </c>
      <c r="Q198" s="156" t="inlineStr">
        <is>
          <t>Myles Gaskin</t>
        </is>
      </c>
      <c r="R198" s="156" t="inlineStr">
        <is>
          <t>FA</t>
        </is>
      </c>
      <c r="S198" s="156" t="inlineStr">
        <is>
          <t>RB</t>
        </is>
      </c>
    </row>
    <row r="199" hidden="1" ht="15.6" customHeight="1" s="152">
      <c r="A199" s="217" t="n">
        <v>38</v>
      </c>
      <c r="B199" s="218">
        <f>VLOOKUP(G199,Matrix!R:AA,10,0)</f>
        <v/>
      </c>
      <c r="C199" s="156">
        <f>IF(K199&gt;=0.01,K199,IFERROR(VLOOKUP(F199&amp;G199,Rush!B:C,2,0),K199)+SUM(L199:O199))</f>
        <v/>
      </c>
      <c r="D199" s="218">
        <f>_xlfn.IFNA(INDEX('Injury Report'!F:F, MATCH(G199&amp;F199, 'Injury Report'!A:A, 0)), "Healthy")</f>
        <v/>
      </c>
      <c r="E199" s="219">
        <f>VLOOKUP(A199,'RB Depth'!A:G,7,0)-1</f>
        <v/>
      </c>
      <c r="F199" s="218">
        <f>VLOOKUP(A199,'RB Depth'!A:C,3,0)</f>
        <v/>
      </c>
      <c r="G199" s="218">
        <f>VLOOKUP(A199,'RB Depth'!A:B,2,0)</f>
        <v/>
      </c>
      <c r="H199" s="218">
        <f>VLOOKUP(A199,'RB Depth'!A:D,4,0)</f>
        <v/>
      </c>
      <c r="I199" s="218">
        <f>H199&amp;E199</f>
        <v/>
      </c>
      <c r="J199" s="220">
        <f>IF(VLOOKUP(F199,Rush!F:G,2,0)=G199,"OK","Check Team")</f>
        <v/>
      </c>
      <c r="K199" s="156" t="n"/>
      <c r="L199" s="156">
        <f>IFERROR(VLOOKUP(F199&amp;G199,Pass!B:C,2,0),0)</f>
        <v/>
      </c>
      <c r="M199" s="156">
        <f>IFERROR(VLOOKUP(F199&amp;G199,Rush!B:C,2,0),0)</f>
        <v/>
      </c>
      <c r="N199" s="156">
        <f>IFERROR(VLOOKUP(F199&amp;G199,Rec!B:C,2,0),K199)</f>
        <v/>
      </c>
      <c r="O199" s="156">
        <f>IFERROR(VLOOKUP(F199&amp;G199,Returns!A:B,2,0),0)</f>
        <v/>
      </c>
      <c r="Q199" s="156" t="inlineStr">
        <is>
          <t>Matt Gay</t>
        </is>
      </c>
      <c r="R199" s="156" t="inlineStr">
        <is>
          <t>IND</t>
        </is>
      </c>
      <c r="S199" s="156" t="inlineStr">
        <is>
          <t>K</t>
        </is>
      </c>
    </row>
    <row r="200" hidden="1" ht="15.6" customHeight="1" s="152">
      <c r="A200" s="217" t="n">
        <v>39</v>
      </c>
      <c r="B200" s="218">
        <f>VLOOKUP(G200,Matrix!R:AA,10,0)</f>
        <v/>
      </c>
      <c r="C200" s="156">
        <f>IF(K200&gt;=0.01,K200,IFERROR(VLOOKUP(F200&amp;G200,Rush!B:C,2,0),K200)+SUM(L200:O200))</f>
        <v/>
      </c>
      <c r="D200" s="218">
        <f>_xlfn.IFNA(INDEX('Injury Report'!F:F, MATCH(G200&amp;F200, 'Injury Report'!A:A, 0)), "Healthy")</f>
        <v/>
      </c>
      <c r="E200" s="219">
        <f>VLOOKUP(A200,'RB Depth'!A:G,7,0)-1</f>
        <v/>
      </c>
      <c r="F200" s="218">
        <f>VLOOKUP(A200,'RB Depth'!A:C,3,0)</f>
        <v/>
      </c>
      <c r="G200" s="218">
        <f>VLOOKUP(A200,'RB Depth'!A:B,2,0)</f>
        <v/>
      </c>
      <c r="H200" s="218">
        <f>VLOOKUP(A200,'RB Depth'!A:D,4,0)</f>
        <v/>
      </c>
      <c r="I200" s="218">
        <f>H200&amp;E200</f>
        <v/>
      </c>
      <c r="J200" s="220">
        <f>IF(VLOOKUP(F200,Rush!F:G,2,0)=G200,"OK","Check Team")</f>
        <v/>
      </c>
      <c r="K200" s="156" t="n"/>
      <c r="L200" s="156">
        <f>IFERROR(VLOOKUP(F200&amp;G200,Pass!B:C,2,0),0)</f>
        <v/>
      </c>
      <c r="M200" s="156">
        <f>IFERROR(VLOOKUP(F200&amp;G200,Rush!B:C,2,0),0)</f>
        <v/>
      </c>
      <c r="N200" s="156">
        <f>IFERROR(VLOOKUP(F200&amp;G200,Rec!B:C,2,0),K200)</f>
        <v/>
      </c>
      <c r="O200" s="156">
        <f>IFERROR(VLOOKUP(F200&amp;G200,Returns!A:B,2,0),0)</f>
        <v/>
      </c>
      <c r="Q200" s="156" t="inlineStr">
        <is>
          <t>Mike Gesicki</t>
        </is>
      </c>
      <c r="R200" s="156" t="inlineStr">
        <is>
          <t>CIN</t>
        </is>
      </c>
      <c r="S200" s="156" t="inlineStr">
        <is>
          <t>TE</t>
        </is>
      </c>
    </row>
    <row r="201" hidden="1" ht="15.6" customHeight="1" s="152">
      <c r="A201" s="217" t="n">
        <v>40</v>
      </c>
      <c r="B201" s="218">
        <f>VLOOKUP(G201,Matrix!R:AA,10,0)</f>
        <v/>
      </c>
      <c r="C201" s="156">
        <f>IF(K201&gt;=0.01,K201,IFERROR(VLOOKUP(F201&amp;G201,Rush!B:C,2,0),K201)+SUM(L201:O201))</f>
        <v/>
      </c>
      <c r="D201" s="218">
        <f>_xlfn.IFNA(INDEX('Injury Report'!F:F, MATCH(G201&amp;F201, 'Injury Report'!A:A, 0)), "Healthy")</f>
        <v/>
      </c>
      <c r="E201" s="219">
        <f>VLOOKUP(A201,'RB Depth'!A:G,7,0)-1</f>
        <v/>
      </c>
      <c r="F201" s="218">
        <f>VLOOKUP(A201,'RB Depth'!A:C,3,0)</f>
        <v/>
      </c>
      <c r="G201" s="218">
        <f>VLOOKUP(A201,'RB Depth'!A:B,2,0)</f>
        <v/>
      </c>
      <c r="H201" s="218">
        <f>VLOOKUP(A201,'RB Depth'!A:D,4,0)</f>
        <v/>
      </c>
      <c r="I201" s="218">
        <f>H201&amp;E201</f>
        <v/>
      </c>
      <c r="J201" s="220">
        <f>IF(VLOOKUP(F201,Rush!F:G,2,0)=G201,"OK","Check Team")</f>
        <v/>
      </c>
      <c r="K201" s="156" t="n"/>
      <c r="L201" s="156">
        <f>IFERROR(VLOOKUP(F201&amp;G201,Pass!B:C,2,0),0)</f>
        <v/>
      </c>
      <c r="M201" s="156">
        <f>IFERROR(VLOOKUP(F201&amp;G201,Rush!B:C,2,0),0)</f>
        <v/>
      </c>
      <c r="N201" s="156">
        <f>IFERROR(VLOOKUP(F201&amp;G201,Rec!B:C,2,0),K201)</f>
        <v/>
      </c>
      <c r="O201" s="156">
        <f>IFERROR(VLOOKUP(F201&amp;G201,Returns!A:B,2,0),0)</f>
        <v/>
      </c>
      <c r="Q201" s="156" t="inlineStr">
        <is>
          <t>Jahmyr Gibbs</t>
        </is>
      </c>
      <c r="R201" s="156" t="inlineStr">
        <is>
          <t>DET</t>
        </is>
      </c>
      <c r="S201" s="156" t="inlineStr">
        <is>
          <t>RB</t>
        </is>
      </c>
    </row>
    <row r="202" hidden="1" ht="15.6" customHeight="1" s="152">
      <c r="A202" s="217" t="n">
        <v>41</v>
      </c>
      <c r="B202" s="218">
        <f>VLOOKUP(G202,Matrix!R:AA,10,0)</f>
        <v/>
      </c>
      <c r="C202" s="156">
        <f>IF(K202&gt;=0.01,K202,IFERROR(VLOOKUP(F202&amp;G202,Rush!B:C,2,0),K202)+SUM(L202:O202))</f>
        <v/>
      </c>
      <c r="D202" s="218">
        <f>_xlfn.IFNA(INDEX('Injury Report'!F:F, MATCH(G202&amp;F202, 'Injury Report'!A:A, 0)), "Healthy")</f>
        <v/>
      </c>
      <c r="E202" s="219">
        <f>VLOOKUP(A202,'RB Depth'!A:G,7,0)-1</f>
        <v/>
      </c>
      <c r="F202" s="218">
        <f>VLOOKUP(A202,'RB Depth'!A:C,3,0)</f>
        <v/>
      </c>
      <c r="G202" s="218">
        <f>VLOOKUP(A202,'RB Depth'!A:B,2,0)</f>
        <v/>
      </c>
      <c r="H202" s="218">
        <f>VLOOKUP(A202,'RB Depth'!A:D,4,0)</f>
        <v/>
      </c>
      <c r="I202" s="218">
        <f>H202&amp;E202</f>
        <v/>
      </c>
      <c r="J202" s="220">
        <f>IF(VLOOKUP(F202,Rush!F:G,2,0)=G202,"OK","Check Team")</f>
        <v/>
      </c>
      <c r="K202" s="156" t="n"/>
      <c r="L202" s="156">
        <f>IFERROR(VLOOKUP(F202&amp;G202,Pass!B:C,2,0),0)</f>
        <v/>
      </c>
      <c r="M202" s="156">
        <f>IFERROR(VLOOKUP(F202&amp;G202,Rush!B:C,2,0),0)</f>
        <v/>
      </c>
      <c r="N202" s="156">
        <f>IFERROR(VLOOKUP(F202&amp;G202,Rec!B:C,2,0),K202)</f>
        <v/>
      </c>
      <c r="O202" s="156">
        <f>IFERROR(VLOOKUP(F202&amp;G202,Returns!A:B,2,0),0)</f>
        <v/>
      </c>
      <c r="Q202" s="156" t="inlineStr">
        <is>
          <t>Antonio Gibson</t>
        </is>
      </c>
      <c r="R202" s="156" t="inlineStr">
        <is>
          <t>NE</t>
        </is>
      </c>
      <c r="S202" s="156" t="inlineStr">
        <is>
          <t>RB</t>
        </is>
      </c>
    </row>
    <row r="203" hidden="1" ht="15.6" customHeight="1" s="152">
      <c r="A203" s="217" t="n">
        <v>42</v>
      </c>
      <c r="B203" s="218">
        <f>VLOOKUP(G203,Matrix!R:AA,10,0)</f>
        <v/>
      </c>
      <c r="C203" s="156">
        <f>IF(K203&gt;=0.01,K203,IFERROR(VLOOKUP(F203&amp;G203,Rush!B:C,2,0),K203)+SUM(L203:O203))</f>
        <v/>
      </c>
      <c r="D203" s="218">
        <f>_xlfn.IFNA(INDEX('Injury Report'!F:F, MATCH(G203&amp;F203, 'Injury Report'!A:A, 0)), "Healthy")</f>
        <v/>
      </c>
      <c r="E203" s="219">
        <f>VLOOKUP(A203,'RB Depth'!A:G,7,0)-1</f>
        <v/>
      </c>
      <c r="F203" s="218">
        <f>VLOOKUP(A203,'RB Depth'!A:C,3,0)</f>
        <v/>
      </c>
      <c r="G203" s="218">
        <f>VLOOKUP(A203,'RB Depth'!A:B,2,0)</f>
        <v/>
      </c>
      <c r="H203" s="218">
        <f>VLOOKUP(A203,'RB Depth'!A:D,4,0)</f>
        <v/>
      </c>
      <c r="I203" s="218">
        <f>H203&amp;E203</f>
        <v/>
      </c>
      <c r="J203" s="220">
        <f>IF(VLOOKUP(F203,Rush!F:G,2,0)=G203,"OK","Check Team")</f>
        <v/>
      </c>
      <c r="K203" s="156" t="n"/>
      <c r="L203" s="156">
        <f>IFERROR(VLOOKUP(F203&amp;G203,Pass!B:C,2,0),0)</f>
        <v/>
      </c>
      <c r="M203" s="156">
        <f>IFERROR(VLOOKUP(F203&amp;G203,Rush!B:C,2,0),0)</f>
        <v/>
      </c>
      <c r="N203" s="156">
        <f>IFERROR(VLOOKUP(F203&amp;G203,Rec!B:C,2,0),K203)</f>
        <v/>
      </c>
      <c r="O203" s="156">
        <f>IFERROR(VLOOKUP(F203&amp;G203,Returns!A:B,2,0),0)</f>
        <v/>
      </c>
      <c r="Q203" s="156" t="inlineStr">
        <is>
          <t>Xavier Gipson</t>
        </is>
      </c>
      <c r="R203" s="156" t="inlineStr">
        <is>
          <t>NYJ</t>
        </is>
      </c>
      <c r="S203" s="156" t="inlineStr">
        <is>
          <t>WR</t>
        </is>
      </c>
    </row>
    <row r="204" hidden="1" ht="15.6" customHeight="1" s="152">
      <c r="A204" s="217" t="n">
        <v>43</v>
      </c>
      <c r="B204" s="218">
        <f>VLOOKUP(G204,Matrix!R:AA,10,0)</f>
        <v/>
      </c>
      <c r="C204" s="156">
        <f>IF(K204&gt;=0.01,K204,IFERROR(VLOOKUP(F204&amp;G204,Rush!B:C,2,0),K204)+SUM(L204:O204))</f>
        <v/>
      </c>
      <c r="D204" s="218">
        <f>_xlfn.IFNA(INDEX('Injury Report'!F:F, MATCH(G204&amp;F204, 'Injury Report'!A:A, 0)), "Healthy")</f>
        <v/>
      </c>
      <c r="E204" s="219">
        <f>VLOOKUP(A204,'RB Depth'!A:G,7,0)-1</f>
        <v/>
      </c>
      <c r="F204" s="218">
        <f>VLOOKUP(A204,'RB Depth'!A:C,3,0)</f>
        <v/>
      </c>
      <c r="G204" s="218">
        <f>VLOOKUP(A204,'RB Depth'!A:B,2,0)</f>
        <v/>
      </c>
      <c r="H204" s="218">
        <f>VLOOKUP(A204,'RB Depth'!A:D,4,0)</f>
        <v/>
      </c>
      <c r="I204" s="218">
        <f>H204&amp;E204</f>
        <v/>
      </c>
      <c r="J204" s="220">
        <f>IF(VLOOKUP(F204,Rush!F:G,2,0)=G204,"OK","Check Team")</f>
        <v/>
      </c>
      <c r="K204" s="156" t="n"/>
      <c r="L204" s="156">
        <f>IFERROR(VLOOKUP(F204&amp;G204,Pass!B:C,2,0),0)</f>
        <v/>
      </c>
      <c r="M204" s="156">
        <f>IFERROR(VLOOKUP(F204&amp;G204,Rush!B:C,2,0),0)</f>
        <v/>
      </c>
      <c r="N204" s="156">
        <f>IFERROR(VLOOKUP(F204&amp;G204,Rec!B:C,2,0),K204)</f>
        <v/>
      </c>
      <c r="O204" s="156">
        <f>IFERROR(VLOOKUP(F204&amp;G204,Returns!A:B,2,0),0)</f>
        <v/>
      </c>
      <c r="Q204" s="156" t="inlineStr">
        <is>
          <t>Chris Godwin</t>
        </is>
      </c>
      <c r="R204" s="156" t="inlineStr">
        <is>
          <t>TB</t>
        </is>
      </c>
      <c r="S204" s="156" t="inlineStr">
        <is>
          <t>WR</t>
        </is>
      </c>
    </row>
    <row r="205" hidden="1" ht="15.6" customHeight="1" s="152">
      <c r="A205" s="217" t="n">
        <v>44</v>
      </c>
      <c r="B205" s="218">
        <f>VLOOKUP(G205,Matrix!R:AA,10,0)</f>
        <v/>
      </c>
      <c r="C205" s="156">
        <f>IF(K205&gt;=0.01,K205,IFERROR(VLOOKUP(F205&amp;G205,Rush!B:C,2,0),K205)+SUM(L205:O205))</f>
        <v/>
      </c>
      <c r="D205" s="218">
        <f>_xlfn.IFNA(INDEX('Injury Report'!F:F, MATCH(G205&amp;F205, 'Injury Report'!A:A, 0)), "Healthy")</f>
        <v/>
      </c>
      <c r="E205" s="219">
        <f>VLOOKUP(A205,'RB Depth'!A:G,7,0)-1</f>
        <v/>
      </c>
      <c r="F205" s="218">
        <f>VLOOKUP(A205,'RB Depth'!A:C,3,0)</f>
        <v/>
      </c>
      <c r="G205" s="218">
        <f>VLOOKUP(A205,'RB Depth'!A:B,2,0)</f>
        <v/>
      </c>
      <c r="H205" s="218">
        <f>VLOOKUP(A205,'RB Depth'!A:D,4,0)</f>
        <v/>
      </c>
      <c r="I205" s="218">
        <f>H205&amp;E205</f>
        <v/>
      </c>
      <c r="J205" s="220">
        <f>IF(VLOOKUP(F205,Rush!F:G,2,0)=G205,"OK","Check Team")</f>
        <v/>
      </c>
      <c r="K205" s="156" t="n"/>
      <c r="L205" s="156">
        <f>IFERROR(VLOOKUP(F205&amp;G205,Pass!B:C,2,0),0)</f>
        <v/>
      </c>
      <c r="M205" s="156">
        <f>IFERROR(VLOOKUP(F205&amp;G205,Rush!B:C,2,0),0)</f>
        <v/>
      </c>
      <c r="N205" s="156">
        <f>IFERROR(VLOOKUP(F205&amp;G205,Rec!B:C,2,0),K205)</f>
        <v/>
      </c>
      <c r="O205" s="156">
        <f>IFERROR(VLOOKUP(F205&amp;G205,Returns!A:B,2,0),0)</f>
        <v/>
      </c>
      <c r="Q205" s="156" t="inlineStr">
        <is>
          <t>Dallas Goedert</t>
        </is>
      </c>
      <c r="R205" s="156" t="inlineStr">
        <is>
          <t>PHI</t>
        </is>
      </c>
      <c r="S205" s="156" t="inlineStr">
        <is>
          <t>TE</t>
        </is>
      </c>
    </row>
    <row r="206" hidden="1" ht="15.6" customHeight="1" s="152">
      <c r="A206" s="217" t="n">
        <v>45</v>
      </c>
      <c r="B206" s="218">
        <f>VLOOKUP(G206,Matrix!R:AA,10,0)</f>
        <v/>
      </c>
      <c r="C206" s="156">
        <f>IF(K206&gt;=0.01,K206,IFERROR(VLOOKUP(F206&amp;G206,Rush!B:C,2,0),K206)+SUM(L206:O206))</f>
        <v/>
      </c>
      <c r="D206" s="218">
        <f>_xlfn.IFNA(INDEX('Injury Report'!F:F, MATCH(G206&amp;F206, 'Injury Report'!A:A, 0)), "Healthy")</f>
        <v/>
      </c>
      <c r="E206" s="219">
        <f>VLOOKUP(A206,'RB Depth'!A:G,7,0)-1</f>
        <v/>
      </c>
      <c r="F206" s="218">
        <f>VLOOKUP(A206,'RB Depth'!A:C,3,0)</f>
        <v/>
      </c>
      <c r="G206" s="218">
        <f>VLOOKUP(A206,'RB Depth'!A:B,2,0)</f>
        <v/>
      </c>
      <c r="H206" s="218">
        <f>VLOOKUP(A206,'RB Depth'!A:D,4,0)</f>
        <v/>
      </c>
      <c r="I206" s="218">
        <f>H206&amp;E206</f>
        <v/>
      </c>
      <c r="J206" s="220">
        <f>IF(VLOOKUP(F206,Rush!F:G,2,0)=G206,"OK","Check Team")</f>
        <v/>
      </c>
      <c r="K206" s="156" t="n"/>
      <c r="L206" s="156">
        <f>IFERROR(VLOOKUP(F206&amp;G206,Pass!B:C,2,0),0)</f>
        <v/>
      </c>
      <c r="M206" s="156">
        <f>IFERROR(VLOOKUP(F206&amp;G206,Rush!B:C,2,0),0)</f>
        <v/>
      </c>
      <c r="N206" s="156">
        <f>IFERROR(VLOOKUP(F206&amp;G206,Rec!B:C,2,0),K206)</f>
        <v/>
      </c>
      <c r="O206" s="156">
        <f>IFERROR(VLOOKUP(F206&amp;G206,Returns!A:B,2,0),0)</f>
        <v/>
      </c>
      <c r="Q206" s="156" t="inlineStr">
        <is>
          <t>Jared Goff</t>
        </is>
      </c>
      <c r="R206" s="156" t="inlineStr">
        <is>
          <t>DET</t>
        </is>
      </c>
      <c r="S206" s="156" t="inlineStr">
        <is>
          <t>QB</t>
        </is>
      </c>
    </row>
    <row r="207" hidden="1" ht="15.6" customHeight="1" s="152">
      <c r="A207" s="217" t="n">
        <v>46</v>
      </c>
      <c r="B207" s="218">
        <f>VLOOKUP(G207,Matrix!R:AA,10,0)</f>
        <v/>
      </c>
      <c r="C207" s="156">
        <f>IF(K207&gt;=0.01,K207,IFERROR(VLOOKUP(F207&amp;G207,Rush!B:C,2,0),K207)+SUM(L207:O207))</f>
        <v/>
      </c>
      <c r="D207" s="218">
        <f>_xlfn.IFNA(INDEX('Injury Report'!F:F, MATCH(G207&amp;F207, 'Injury Report'!A:A, 0)), "Healthy")</f>
        <v/>
      </c>
      <c r="E207" s="219">
        <f>VLOOKUP(A207,'RB Depth'!A:G,7,0)-1</f>
        <v/>
      </c>
      <c r="F207" s="218">
        <f>VLOOKUP(A207,'RB Depth'!A:C,3,0)</f>
        <v/>
      </c>
      <c r="G207" s="218">
        <f>VLOOKUP(A207,'RB Depth'!A:B,2,0)</f>
        <v/>
      </c>
      <c r="H207" s="218">
        <f>VLOOKUP(A207,'RB Depth'!A:D,4,0)</f>
        <v/>
      </c>
      <c r="I207" s="218">
        <f>H207&amp;E207</f>
        <v/>
      </c>
      <c r="J207" s="220">
        <f>IF(VLOOKUP(F207,Rush!F:G,2,0)=G207,"OK","Check Team")</f>
        <v/>
      </c>
      <c r="K207" s="156" t="n"/>
      <c r="L207" s="156">
        <f>IFERROR(VLOOKUP(F207&amp;G207,Pass!B:C,2,0),0)</f>
        <v/>
      </c>
      <c r="M207" s="156">
        <f>IFERROR(VLOOKUP(F207&amp;G207,Rush!B:C,2,0),0)</f>
        <v/>
      </c>
      <c r="N207" s="156">
        <f>IFERROR(VLOOKUP(F207&amp;G207,Rec!B:C,2,0),K207)</f>
        <v/>
      </c>
      <c r="O207" s="156">
        <f>IFERROR(VLOOKUP(F207&amp;G207,Returns!A:B,2,0),0)</f>
        <v/>
      </c>
      <c r="Q207" s="156" t="inlineStr">
        <is>
          <t>Zane Gonzalez</t>
        </is>
      </c>
      <c r="R207" s="156" t="inlineStr">
        <is>
          <t>WAS</t>
        </is>
      </c>
      <c r="S207" s="156" t="inlineStr">
        <is>
          <t>K</t>
        </is>
      </c>
    </row>
    <row r="208" hidden="1" ht="15.6" customHeight="1" s="152">
      <c r="A208" s="217" t="n">
        <v>47</v>
      </c>
      <c r="B208" s="218">
        <f>VLOOKUP(G208,Matrix!R:AA,10,0)</f>
        <v/>
      </c>
      <c r="C208" s="156">
        <f>IF(K208&gt;=0.01,K208,IFERROR(VLOOKUP(F208&amp;G208,Rush!B:C,2,0),K208)+SUM(L208:O208))</f>
        <v/>
      </c>
      <c r="D208" s="218">
        <f>_xlfn.IFNA(INDEX('Injury Report'!F:F, MATCH(G208&amp;F208, 'Injury Report'!A:A, 0)), "Healthy")</f>
        <v/>
      </c>
      <c r="E208" s="219">
        <f>VLOOKUP(A208,'RB Depth'!A:G,7,0)-1</f>
        <v/>
      </c>
      <c r="F208" s="218">
        <f>VLOOKUP(A208,'RB Depth'!A:C,3,0)</f>
        <v/>
      </c>
      <c r="G208" s="218">
        <f>VLOOKUP(A208,'RB Depth'!A:B,2,0)</f>
        <v/>
      </c>
      <c r="H208" s="218">
        <f>VLOOKUP(A208,'RB Depth'!A:D,4,0)</f>
        <v/>
      </c>
      <c r="I208" s="218">
        <f>H208&amp;E208</f>
        <v/>
      </c>
      <c r="J208" s="220">
        <f>IF(VLOOKUP(F208,Rush!F:G,2,0)=G208,"OK","Check Team")</f>
        <v/>
      </c>
      <c r="K208" s="156" t="n"/>
      <c r="L208" s="156">
        <f>IFERROR(VLOOKUP(F208&amp;G208,Pass!B:C,2,0),0)</f>
        <v/>
      </c>
      <c r="M208" s="156">
        <f>IFERROR(VLOOKUP(F208&amp;G208,Rush!B:C,2,0),0)</f>
        <v/>
      </c>
      <c r="N208" s="156">
        <f>IFERROR(VLOOKUP(F208&amp;G208,Rec!B:C,2,0),K208)</f>
        <v/>
      </c>
      <c r="O208" s="156">
        <f>IFERROR(VLOOKUP(F208&amp;G208,Returns!A:B,2,0),0)</f>
        <v/>
      </c>
      <c r="Q208" s="156" t="inlineStr">
        <is>
          <t>Tyler Goodson</t>
        </is>
      </c>
      <c r="R208" s="156" t="inlineStr">
        <is>
          <t>IND</t>
        </is>
      </c>
      <c r="S208" s="156" t="inlineStr">
        <is>
          <t>RB</t>
        </is>
      </c>
    </row>
    <row r="209" hidden="1" ht="15.6" customHeight="1" s="152">
      <c r="A209" s="217" t="n">
        <v>48</v>
      </c>
      <c r="B209" s="218">
        <f>VLOOKUP(G209,Matrix!R:AA,10,0)</f>
        <v/>
      </c>
      <c r="C209" s="156">
        <f>IF(K209&gt;=0.01,K209,IFERROR(VLOOKUP(F209&amp;G209,Rush!B:C,2,0),K209)+SUM(L209:O209))</f>
        <v/>
      </c>
      <c r="D209" s="218">
        <f>_xlfn.IFNA(INDEX('Injury Report'!F:F, MATCH(G209&amp;F209, 'Injury Report'!A:A, 0)), "Healthy")</f>
        <v/>
      </c>
      <c r="E209" s="219">
        <f>VLOOKUP(A209,'RB Depth'!A:G,7,0)-1</f>
        <v/>
      </c>
      <c r="F209" s="218">
        <f>VLOOKUP(A209,'RB Depth'!A:C,3,0)</f>
        <v/>
      </c>
      <c r="G209" s="218">
        <f>VLOOKUP(A209,'RB Depth'!A:B,2,0)</f>
        <v/>
      </c>
      <c r="H209" s="218">
        <f>VLOOKUP(A209,'RB Depth'!A:D,4,0)</f>
        <v/>
      </c>
      <c r="I209" s="218">
        <f>H209&amp;E209</f>
        <v/>
      </c>
      <c r="J209" s="220">
        <f>IF(VLOOKUP(F209,Rush!F:G,2,0)=G209,"OK","Check Team")</f>
        <v/>
      </c>
      <c r="K209" s="156" t="n"/>
      <c r="L209" s="156">
        <f>IFERROR(VLOOKUP(F209&amp;G209,Pass!B:C,2,0),0)</f>
        <v/>
      </c>
      <c r="M209" s="156">
        <f>IFERROR(VLOOKUP(F209&amp;G209,Rush!B:C,2,0),0)</f>
        <v/>
      </c>
      <c r="N209" s="156">
        <f>IFERROR(VLOOKUP(F209&amp;G209,Rec!B:C,2,0),K209)</f>
        <v/>
      </c>
      <c r="O209" s="156">
        <f>IFERROR(VLOOKUP(F209&amp;G209,Returns!A:B,2,0),0)</f>
        <v/>
      </c>
      <c r="Q209" s="156" t="inlineStr">
        <is>
          <t>Marquise Goodwin</t>
        </is>
      </c>
      <c r="R209" s="156" t="inlineStr">
        <is>
          <t>FA</t>
        </is>
      </c>
      <c r="S209" s="156" t="inlineStr">
        <is>
          <t>WR</t>
        </is>
      </c>
    </row>
    <row r="210" hidden="1" ht="15.6" customHeight="1" s="152">
      <c r="A210" s="217" t="n">
        <v>49</v>
      </c>
      <c r="B210" s="218">
        <f>VLOOKUP(G210,Matrix!R:AA,10,0)</f>
        <v/>
      </c>
      <c r="C210" s="156">
        <f>IF(K210&gt;=0.01,K210,IFERROR(VLOOKUP(F210&amp;G210,Rush!B:C,2,0),K210)+SUM(L210:O210))</f>
        <v/>
      </c>
      <c r="D210" s="218">
        <f>_xlfn.IFNA(INDEX('Injury Report'!F:F, MATCH(G210&amp;F210, 'Injury Report'!A:A, 0)), "Healthy")</f>
        <v/>
      </c>
      <c r="E210" s="219">
        <f>VLOOKUP(A210,'RB Depth'!A:G,7,0)-1</f>
        <v/>
      </c>
      <c r="F210" s="218">
        <f>VLOOKUP(A210,'RB Depth'!A:C,3,0)</f>
        <v/>
      </c>
      <c r="G210" s="218">
        <f>VLOOKUP(A210,'RB Depth'!A:B,2,0)</f>
        <v/>
      </c>
      <c r="H210" s="218">
        <f>VLOOKUP(A210,'RB Depth'!A:D,4,0)</f>
        <v/>
      </c>
      <c r="I210" s="218">
        <f>H210&amp;E210</f>
        <v/>
      </c>
      <c r="J210" s="220">
        <f>IF(VLOOKUP(F210,Rush!F:G,2,0)=G210,"OK","Check Team")</f>
        <v/>
      </c>
      <c r="K210" s="156" t="n"/>
      <c r="L210" s="156">
        <f>IFERROR(VLOOKUP(F210&amp;G210,Pass!B:C,2,0),0)</f>
        <v/>
      </c>
      <c r="M210" s="156">
        <f>IFERROR(VLOOKUP(F210&amp;G210,Rush!B:C,2,0),0)</f>
        <v/>
      </c>
      <c r="N210" s="156">
        <f>IFERROR(VLOOKUP(F210&amp;G210,Rec!B:C,2,0),K210)</f>
        <v/>
      </c>
      <c r="O210" s="156">
        <f>IFERROR(VLOOKUP(F210&amp;G210,Returns!A:B,2,0),0)</f>
        <v/>
      </c>
      <c r="Q210" s="156" t="inlineStr">
        <is>
          <t>Melvin Gordon</t>
        </is>
      </c>
      <c r="R210" s="156" t="inlineStr">
        <is>
          <t>FA</t>
        </is>
      </c>
      <c r="S210" s="156" t="inlineStr">
        <is>
          <t>RB</t>
        </is>
      </c>
    </row>
    <row r="211" hidden="1" ht="15.6" customHeight="1" s="152">
      <c r="A211" s="217" t="n">
        <v>50</v>
      </c>
      <c r="B211" s="218">
        <f>VLOOKUP(G211,Matrix!R:AA,10,0)</f>
        <v/>
      </c>
      <c r="C211" s="156">
        <f>IF(K211&gt;=0.01,K211,IFERROR(VLOOKUP(F211&amp;G211,Rush!B:C,2,0),K211)+SUM(L211:O211))</f>
        <v/>
      </c>
      <c r="D211" s="218">
        <f>_xlfn.IFNA(INDEX('Injury Report'!F:F, MATCH(G211&amp;F211, 'Injury Report'!A:A, 0)), "Healthy")</f>
        <v/>
      </c>
      <c r="E211" s="219">
        <f>VLOOKUP(A211,'RB Depth'!A:G,7,0)-1</f>
        <v/>
      </c>
      <c r="F211" s="218">
        <f>VLOOKUP(A211,'RB Depth'!A:C,3,0)</f>
        <v/>
      </c>
      <c r="G211" s="218">
        <f>VLOOKUP(A211,'RB Depth'!A:B,2,0)</f>
        <v/>
      </c>
      <c r="H211" s="218">
        <f>VLOOKUP(A211,'RB Depth'!A:D,4,0)</f>
        <v/>
      </c>
      <c r="I211" s="218">
        <f>H211&amp;E211</f>
        <v/>
      </c>
      <c r="J211" s="220">
        <f>IF(VLOOKUP(F211,Rush!F:G,2,0)=G211,"OK","Check Team")</f>
        <v/>
      </c>
      <c r="K211" s="156" t="n"/>
      <c r="L211" s="156">
        <f>IFERROR(VLOOKUP(F211&amp;G211,Pass!B:C,2,0),0)</f>
        <v/>
      </c>
      <c r="M211" s="156">
        <f>IFERROR(VLOOKUP(F211&amp;G211,Rush!B:C,2,0),0)</f>
        <v/>
      </c>
      <c r="N211" s="156">
        <f>IFERROR(VLOOKUP(F211&amp;G211,Rec!B:C,2,0),K211)</f>
        <v/>
      </c>
      <c r="O211" s="156">
        <f>IFERROR(VLOOKUP(F211&amp;G211,Returns!A:B,2,0),0)</f>
        <v/>
      </c>
      <c r="Q211" s="156" t="inlineStr">
        <is>
          <t>Frank Gore</t>
        </is>
      </c>
      <c r="R211" s="156" t="inlineStr">
        <is>
          <t>FA</t>
        </is>
      </c>
      <c r="S211" s="156" t="inlineStr">
        <is>
          <t>RB</t>
        </is>
      </c>
    </row>
    <row r="212" hidden="1" ht="15.6" customHeight="1" s="152">
      <c r="A212" s="217" t="n">
        <v>51</v>
      </c>
      <c r="B212" s="218">
        <f>VLOOKUP(G212,Matrix!R:AA,10,0)</f>
        <v/>
      </c>
      <c r="C212" s="156">
        <f>IF(K212&gt;=0.01,K212,IFERROR(VLOOKUP(F212&amp;G212,Rush!B:C,2,0),K212)+SUM(L212:O212))</f>
        <v/>
      </c>
      <c r="D212" s="218">
        <f>_xlfn.IFNA(INDEX('Injury Report'!F:F, MATCH(G212&amp;F212, 'Injury Report'!A:A, 0)), "Healthy")</f>
        <v/>
      </c>
      <c r="E212" s="219">
        <f>VLOOKUP(A212,'RB Depth'!A:G,7,0)-1</f>
        <v/>
      </c>
      <c r="F212" s="218">
        <f>VLOOKUP(A212,'RB Depth'!A:C,3,0)</f>
        <v/>
      </c>
      <c r="G212" s="218">
        <f>VLOOKUP(A212,'RB Depth'!A:B,2,0)</f>
        <v/>
      </c>
      <c r="H212" s="218">
        <f>VLOOKUP(A212,'RB Depth'!A:D,4,0)</f>
        <v/>
      </c>
      <c r="I212" s="218">
        <f>H212&amp;E212</f>
        <v/>
      </c>
      <c r="J212" s="220">
        <f>IF(VLOOKUP(F212,Rush!F:G,2,0)=G212,"OK","Check Team")</f>
        <v/>
      </c>
      <c r="K212" s="156" t="n"/>
      <c r="L212" s="156">
        <f>IFERROR(VLOOKUP(F212&amp;G212,Pass!B:C,2,0),0)</f>
        <v/>
      </c>
      <c r="M212" s="156">
        <f>IFERROR(VLOOKUP(F212&amp;G212,Rush!B:C,2,0),0)</f>
        <v/>
      </c>
      <c r="N212" s="156">
        <f>IFERROR(VLOOKUP(F212&amp;G212,Rec!B:C,2,0),K212)</f>
        <v/>
      </c>
      <c r="O212" s="156">
        <f>IFERROR(VLOOKUP(F212&amp;G212,Returns!A:B,2,0),0)</f>
        <v/>
      </c>
      <c r="Q212" s="156" t="inlineStr">
        <is>
          <t>Anthony Gould</t>
        </is>
      </c>
      <c r="R212" s="156" t="inlineStr">
        <is>
          <t>IND</t>
        </is>
      </c>
      <c r="S212" s="156" t="inlineStr">
        <is>
          <t>WR</t>
        </is>
      </c>
    </row>
    <row r="213" hidden="1" ht="15.6" customHeight="1" s="152">
      <c r="A213" s="217" t="n">
        <v>52</v>
      </c>
      <c r="B213" s="218">
        <f>VLOOKUP(G213,Matrix!R:AA,10,0)</f>
        <v/>
      </c>
      <c r="C213" s="156">
        <f>IF(K213&gt;=0.01,K213,IFERROR(VLOOKUP(F213&amp;G213,Rush!B:C,2,0),K213)+SUM(L213:O213))</f>
        <v/>
      </c>
      <c r="D213" s="218">
        <f>_xlfn.IFNA(INDEX('Injury Report'!F:F, MATCH(G213&amp;F213, 'Injury Report'!A:A, 0)), "Healthy")</f>
        <v/>
      </c>
      <c r="E213" s="219">
        <f>VLOOKUP(A213,'RB Depth'!A:G,7,0)-1</f>
        <v/>
      </c>
      <c r="F213" s="218">
        <f>VLOOKUP(A213,'RB Depth'!A:C,3,0)</f>
        <v/>
      </c>
      <c r="G213" s="218">
        <f>VLOOKUP(A213,'RB Depth'!A:B,2,0)</f>
        <v/>
      </c>
      <c r="H213" s="218">
        <f>VLOOKUP(A213,'RB Depth'!A:D,4,0)</f>
        <v/>
      </c>
      <c r="I213" s="218">
        <f>H213&amp;E213</f>
        <v/>
      </c>
      <c r="J213" s="220">
        <f>IF(VLOOKUP(F213,Rush!F:G,2,0)=G213,"OK","Check Team")</f>
        <v/>
      </c>
      <c r="K213" s="156" t="n"/>
      <c r="L213" s="156">
        <f>IFERROR(VLOOKUP(F213&amp;G213,Pass!B:C,2,0),0)</f>
        <v/>
      </c>
      <c r="M213" s="156">
        <f>IFERROR(VLOOKUP(F213&amp;G213,Rush!B:C,2,0),0)</f>
        <v/>
      </c>
      <c r="N213" s="156">
        <f>IFERROR(VLOOKUP(F213&amp;G213,Rec!B:C,2,0),K213)</f>
        <v/>
      </c>
      <c r="O213" s="156">
        <f>IFERROR(VLOOKUP(F213&amp;G213,Returns!A:B,2,0),0)</f>
        <v/>
      </c>
      <c r="Q213" s="156" t="inlineStr">
        <is>
          <t>Kylen Granson</t>
        </is>
      </c>
      <c r="R213" s="156" t="inlineStr">
        <is>
          <t>IND</t>
        </is>
      </c>
      <c r="S213" s="156" t="inlineStr">
        <is>
          <t>TE</t>
        </is>
      </c>
    </row>
    <row r="214" hidden="1" ht="15.6" customHeight="1" s="152">
      <c r="A214" s="217" t="n">
        <v>53</v>
      </c>
      <c r="B214" s="218">
        <f>VLOOKUP(G214,Matrix!R:AA,10,0)</f>
        <v/>
      </c>
      <c r="C214" s="156">
        <f>IF(K214&gt;=0.01,K214,IFERROR(VLOOKUP(F214&amp;G214,Rush!B:C,2,0),K214)+SUM(L214:O214))</f>
        <v/>
      </c>
      <c r="D214" s="218">
        <f>_xlfn.IFNA(INDEX('Injury Report'!F:F, MATCH(G214&amp;F214, 'Injury Report'!A:A, 0)), "Healthy")</f>
        <v/>
      </c>
      <c r="E214" s="219">
        <f>VLOOKUP(A214,'RB Depth'!A:G,7,0)-1</f>
        <v/>
      </c>
      <c r="F214" s="218">
        <f>VLOOKUP(A214,'RB Depth'!A:C,3,0)</f>
        <v/>
      </c>
      <c r="G214" s="218">
        <f>VLOOKUP(A214,'RB Depth'!A:B,2,0)</f>
        <v/>
      </c>
      <c r="H214" s="218">
        <f>VLOOKUP(A214,'RB Depth'!A:D,4,0)</f>
        <v/>
      </c>
      <c r="I214" s="218">
        <f>H214&amp;E214</f>
        <v/>
      </c>
      <c r="J214" s="220">
        <f>IF(VLOOKUP(F214,Rush!F:G,2,0)=G214,"OK","Check Team")</f>
        <v/>
      </c>
      <c r="K214" s="156" t="n"/>
      <c r="L214" s="156">
        <f>IFERROR(VLOOKUP(F214&amp;G214,Pass!B:C,2,0),0)</f>
        <v/>
      </c>
      <c r="M214" s="156">
        <f>IFERROR(VLOOKUP(F214&amp;G214,Rush!B:C,2,0),0)</f>
        <v/>
      </c>
      <c r="N214" s="156">
        <f>IFERROR(VLOOKUP(F214&amp;G214,Rec!B:C,2,0),K214)</f>
        <v/>
      </c>
      <c r="O214" s="156">
        <f>IFERROR(VLOOKUP(F214&amp;G214,Returns!A:B,2,0),0)</f>
        <v/>
      </c>
      <c r="Q214" s="156" t="inlineStr">
        <is>
          <t>Eric Gray</t>
        </is>
      </c>
      <c r="R214" s="156" t="inlineStr">
        <is>
          <t>NYG</t>
        </is>
      </c>
      <c r="S214" s="156" t="inlineStr">
        <is>
          <t>RB</t>
        </is>
      </c>
    </row>
    <row r="215" hidden="1" ht="15.6" customHeight="1" s="152">
      <c r="A215" s="217" t="n">
        <v>54</v>
      </c>
      <c r="B215" s="218">
        <f>VLOOKUP(G215,Matrix!R:AA,10,0)</f>
        <v/>
      </c>
      <c r="C215" s="156">
        <f>IF(K215&gt;=0.01,K215,IFERROR(VLOOKUP(F215&amp;G215,Rush!B:C,2,0),K215)+SUM(L215:O215))</f>
        <v/>
      </c>
      <c r="D215" s="218">
        <f>_xlfn.IFNA(INDEX('Injury Report'!F:F, MATCH(G215&amp;F215, 'Injury Report'!A:A, 0)), "Healthy")</f>
        <v/>
      </c>
      <c r="E215" s="219">
        <f>VLOOKUP(A215,'RB Depth'!A:G,7,0)-1</f>
        <v/>
      </c>
      <c r="F215" s="218">
        <f>VLOOKUP(A215,'RB Depth'!A:C,3,0)</f>
        <v/>
      </c>
      <c r="G215" s="218">
        <f>VLOOKUP(A215,'RB Depth'!A:B,2,0)</f>
        <v/>
      </c>
      <c r="H215" s="218">
        <f>VLOOKUP(A215,'RB Depth'!A:D,4,0)</f>
        <v/>
      </c>
      <c r="I215" s="218">
        <f>H215&amp;E215</f>
        <v/>
      </c>
      <c r="J215" s="220">
        <f>IF(VLOOKUP(F215,Rush!F:G,2,0)=G215,"OK","Check Team")</f>
        <v/>
      </c>
      <c r="K215" s="156" t="n"/>
      <c r="L215" s="156">
        <f>IFERROR(VLOOKUP(F215&amp;G215,Pass!B:C,2,0),0)</f>
        <v/>
      </c>
      <c r="M215" s="156">
        <f>IFERROR(VLOOKUP(F215&amp;G215,Rush!B:C,2,0),0)</f>
        <v/>
      </c>
      <c r="N215" s="156">
        <f>IFERROR(VLOOKUP(F215&amp;G215,Rec!B:C,2,0),K215)</f>
        <v/>
      </c>
      <c r="O215" s="156">
        <f>IFERROR(VLOOKUP(F215&amp;G215,Returns!A:B,2,0),0)</f>
        <v/>
      </c>
      <c r="Q215" s="156" t="inlineStr">
        <is>
          <t>Noah Gray</t>
        </is>
      </c>
      <c r="R215" s="156" t="inlineStr">
        <is>
          <t>KC</t>
        </is>
      </c>
      <c r="S215" s="156" t="inlineStr">
        <is>
          <t>TE</t>
        </is>
      </c>
    </row>
    <row r="216" hidden="1" ht="15.6" customHeight="1" s="152">
      <c r="A216" s="217" t="n">
        <v>55</v>
      </c>
      <c r="B216" s="218">
        <f>VLOOKUP(G216,Matrix!R:AA,10,0)</f>
        <v/>
      </c>
      <c r="C216" s="156">
        <f>IF(K216&gt;=0.01,K216,IFERROR(VLOOKUP(F216&amp;G216,Rush!B:C,2,0),K216)+SUM(L216:O216))</f>
        <v/>
      </c>
      <c r="D216" s="218">
        <f>_xlfn.IFNA(INDEX('Injury Report'!F:F, MATCH(G216&amp;F216, 'Injury Report'!A:A, 0)), "Healthy")</f>
        <v/>
      </c>
      <c r="E216" s="219">
        <f>VLOOKUP(A216,'RB Depth'!A:G,7,0)-1</f>
        <v/>
      </c>
      <c r="F216" s="218">
        <f>VLOOKUP(A216,'RB Depth'!A:C,3,0)</f>
        <v/>
      </c>
      <c r="G216" s="218">
        <f>VLOOKUP(A216,'RB Depth'!A:B,2,0)</f>
        <v/>
      </c>
      <c r="H216" s="218">
        <f>VLOOKUP(A216,'RB Depth'!A:D,4,0)</f>
        <v/>
      </c>
      <c r="I216" s="218">
        <f>H216&amp;E216</f>
        <v/>
      </c>
      <c r="J216" s="220">
        <f>IF(VLOOKUP(F216,Rush!F:G,2,0)=G216,"OK","Check Team")</f>
        <v/>
      </c>
      <c r="K216" s="156" t="n"/>
      <c r="L216" s="156">
        <f>IFERROR(VLOOKUP(F216&amp;G216,Pass!B:C,2,0),0)</f>
        <v/>
      </c>
      <c r="M216" s="156">
        <f>IFERROR(VLOOKUP(F216&amp;G216,Rush!B:C,2,0),0)</f>
        <v/>
      </c>
      <c r="N216" s="156">
        <f>IFERROR(VLOOKUP(F216&amp;G216,Rec!B:C,2,0),K216)</f>
        <v/>
      </c>
      <c r="O216" s="156">
        <f>IFERROR(VLOOKUP(F216&amp;G216,Returns!A:B,2,0),0)</f>
        <v/>
      </c>
      <c r="Q216" s="156" t="inlineStr">
        <is>
          <t>Danny Gray</t>
        </is>
      </c>
      <c r="R216" s="156" t="inlineStr">
        <is>
          <t>FA</t>
        </is>
      </c>
      <c r="S216" s="156" t="inlineStr">
        <is>
          <t>WR</t>
        </is>
      </c>
    </row>
    <row r="217" hidden="1" ht="15.6" customHeight="1" s="152">
      <c r="A217" s="217" t="n">
        <v>56</v>
      </c>
      <c r="B217" s="218">
        <f>VLOOKUP(G217,Matrix!R:AA,10,0)</f>
        <v/>
      </c>
      <c r="C217" s="156">
        <f>IF(K217&gt;=0.01,K217,IFERROR(VLOOKUP(F217&amp;G217,Rush!B:C,2,0),K217)+SUM(L217:O217))</f>
        <v/>
      </c>
      <c r="D217" s="218">
        <f>_xlfn.IFNA(INDEX('Injury Report'!F:F, MATCH(G217&amp;F217, 'Injury Report'!A:A, 0)), "Healthy")</f>
        <v/>
      </c>
      <c r="E217" s="219">
        <f>VLOOKUP(A217,'RB Depth'!A:G,7,0)-1</f>
        <v/>
      </c>
      <c r="F217" s="218">
        <f>VLOOKUP(A217,'RB Depth'!A:C,3,0)</f>
        <v/>
      </c>
      <c r="G217" s="218">
        <f>VLOOKUP(A217,'RB Depth'!A:B,2,0)</f>
        <v/>
      </c>
      <c r="H217" s="218">
        <f>VLOOKUP(A217,'RB Depth'!A:D,4,0)</f>
        <v/>
      </c>
      <c r="I217" s="218">
        <f>H217&amp;E217</f>
        <v/>
      </c>
      <c r="J217" s="220">
        <f>IF(VLOOKUP(F217,Rush!F:G,2,0)=G217,"OK","Check Team")</f>
        <v/>
      </c>
      <c r="K217" s="156" t="n"/>
      <c r="L217" s="156">
        <f>IFERROR(VLOOKUP(F217&amp;G217,Pass!B:C,2,0),0)</f>
        <v/>
      </c>
      <c r="M217" s="156">
        <f>IFERROR(VLOOKUP(F217&amp;G217,Rush!B:C,2,0),0)</f>
        <v/>
      </c>
      <c r="N217" s="156">
        <f>IFERROR(VLOOKUP(F217&amp;G217,Rec!B:C,2,0),K217)</f>
        <v/>
      </c>
      <c r="O217" s="156">
        <f>IFERROR(VLOOKUP(F217&amp;G217,Returns!A:B,2,0),0)</f>
        <v/>
      </c>
      <c r="Q217" s="156" t="inlineStr">
        <is>
          <t>Antoine Green</t>
        </is>
      </c>
      <c r="R217" s="156" t="inlineStr">
        <is>
          <t>DET</t>
        </is>
      </c>
      <c r="S217" s="156" t="inlineStr">
        <is>
          <t>WR</t>
        </is>
      </c>
    </row>
    <row r="218" hidden="1" ht="15.6" customHeight="1" s="152">
      <c r="A218" s="217" t="n">
        <v>57</v>
      </c>
      <c r="B218" s="218">
        <f>VLOOKUP(G218,Matrix!R:AA,10,0)</f>
        <v/>
      </c>
      <c r="C218" s="156">
        <f>IF(K218&gt;=0.01,K218,IFERROR(VLOOKUP(F218&amp;G218,Rush!B:C,2,0),K218)+SUM(L218:O218))</f>
        <v/>
      </c>
      <c r="D218" s="218">
        <f>_xlfn.IFNA(INDEX('Injury Report'!F:F, MATCH(G218&amp;F218, 'Injury Report'!A:A, 0)), "Healthy")</f>
        <v/>
      </c>
      <c r="E218" s="219">
        <f>VLOOKUP(A218,'RB Depth'!A:G,7,0)-1</f>
        <v/>
      </c>
      <c r="F218" s="218">
        <f>VLOOKUP(A218,'RB Depth'!A:C,3,0)</f>
        <v/>
      </c>
      <c r="G218" s="218">
        <f>VLOOKUP(A218,'RB Depth'!A:B,2,0)</f>
        <v/>
      </c>
      <c r="H218" s="218">
        <f>VLOOKUP(A218,'RB Depth'!A:D,4,0)</f>
        <v/>
      </c>
      <c r="I218" s="218">
        <f>H218&amp;E218</f>
        <v/>
      </c>
      <c r="J218" s="220">
        <f>IF(VLOOKUP(F218,Rush!F:G,2,0)=G218,"OK","Check Team")</f>
        <v/>
      </c>
      <c r="K218" s="156" t="n"/>
      <c r="L218" s="156">
        <f>IFERROR(VLOOKUP(F218&amp;G218,Pass!B:C,2,0),0)</f>
        <v/>
      </c>
      <c r="M218" s="156">
        <f>IFERROR(VLOOKUP(F218&amp;G218,Rush!B:C,2,0),0)</f>
        <v/>
      </c>
      <c r="N218" s="156">
        <f>IFERROR(VLOOKUP(F218&amp;G218,Rec!B:C,2,0),K218)</f>
        <v/>
      </c>
      <c r="O218" s="156">
        <f>IFERROR(VLOOKUP(F218&amp;G218,Returns!A:B,2,0),0)</f>
        <v/>
      </c>
      <c r="Q218" s="156" t="inlineStr">
        <is>
          <t>Blake Grupe</t>
        </is>
      </c>
      <c r="R218" s="156" t="inlineStr">
        <is>
          <t>NO</t>
        </is>
      </c>
      <c r="S218" s="156" t="inlineStr">
        <is>
          <t>K</t>
        </is>
      </c>
    </row>
    <row r="219" hidden="1" ht="15.6" customHeight="1" s="152">
      <c r="A219" s="217" t="n">
        <v>58</v>
      </c>
      <c r="B219" s="218">
        <f>VLOOKUP(G219,Matrix!R:AA,10,0)</f>
        <v/>
      </c>
      <c r="C219" s="156">
        <f>IF(K219&gt;=0.01,K219,IFERROR(VLOOKUP(F219&amp;G219,Rush!B:C,2,0),K219)+SUM(L219:O219))</f>
        <v/>
      </c>
      <c r="D219" s="218">
        <f>_xlfn.IFNA(INDEX('Injury Report'!F:F, MATCH(G219&amp;F219, 'Injury Report'!A:A, 0)), "Healthy")</f>
        <v/>
      </c>
      <c r="E219" s="219">
        <f>VLOOKUP(A219,'RB Depth'!A:G,7,0)-1</f>
        <v/>
      </c>
      <c r="F219" s="218">
        <f>VLOOKUP(A219,'RB Depth'!A:C,3,0)</f>
        <v/>
      </c>
      <c r="G219" s="218">
        <f>VLOOKUP(A219,'RB Depth'!A:B,2,0)</f>
        <v/>
      </c>
      <c r="H219" s="218">
        <f>VLOOKUP(A219,'RB Depth'!A:D,4,0)</f>
        <v/>
      </c>
      <c r="I219" s="218">
        <f>H219&amp;E219</f>
        <v/>
      </c>
      <c r="J219" s="220">
        <f>IF(VLOOKUP(F219,Rush!F:G,2,0)=G219,"OK","Check Team")</f>
        <v/>
      </c>
      <c r="K219" s="156" t="n"/>
      <c r="L219" s="156">
        <f>IFERROR(VLOOKUP(F219&amp;G219,Pass!B:C,2,0),0)</f>
        <v/>
      </c>
      <c r="M219" s="156">
        <f>IFERROR(VLOOKUP(F219&amp;G219,Rush!B:C,2,0),0)</f>
        <v/>
      </c>
      <c r="N219" s="156">
        <f>IFERROR(VLOOKUP(F219&amp;G219,Rec!B:C,2,0),K219)</f>
        <v/>
      </c>
      <c r="O219" s="156">
        <f>IFERROR(VLOOKUP(F219&amp;G219,Returns!A:B,2,0),0)</f>
        <v/>
      </c>
      <c r="Q219" s="156" t="inlineStr">
        <is>
          <t>Isaac Guerendo</t>
        </is>
      </c>
      <c r="R219" s="156" t="inlineStr">
        <is>
          <t>SF</t>
        </is>
      </c>
      <c r="S219" s="156" t="inlineStr">
        <is>
          <t>RB</t>
        </is>
      </c>
    </row>
    <row r="220" hidden="1" ht="15.6" customHeight="1" s="152">
      <c r="A220" s="217" t="n">
        <v>59</v>
      </c>
      <c r="B220" s="218">
        <f>VLOOKUP(G220,Matrix!R:AA,10,0)</f>
        <v/>
      </c>
      <c r="C220" s="156">
        <f>IF(K220&gt;=0.01,K220,IFERROR(VLOOKUP(F220&amp;G220,Rush!B:C,2,0),K220)+SUM(L220:O220))</f>
        <v/>
      </c>
      <c r="D220" s="218">
        <f>_xlfn.IFNA(INDEX('Injury Report'!F:F, MATCH(G220&amp;F220, 'Injury Report'!A:A, 0)), "Healthy")</f>
        <v/>
      </c>
      <c r="E220" s="219">
        <f>VLOOKUP(A220,'RB Depth'!A:G,7,0)-1</f>
        <v/>
      </c>
      <c r="F220" s="218">
        <f>VLOOKUP(A220,'RB Depth'!A:C,3,0)</f>
        <v/>
      </c>
      <c r="G220" s="218">
        <f>VLOOKUP(A220,'RB Depth'!A:B,2,0)</f>
        <v/>
      </c>
      <c r="H220" s="218">
        <f>VLOOKUP(A220,'RB Depth'!A:D,4,0)</f>
        <v/>
      </c>
      <c r="I220" s="218">
        <f>H220&amp;E220</f>
        <v/>
      </c>
      <c r="J220" s="220">
        <f>IF(VLOOKUP(F220,Rush!F:G,2,0)=G220,"OK","Check Team")</f>
        <v/>
      </c>
      <c r="K220" s="156" t="n"/>
      <c r="L220" s="156">
        <f>IFERROR(VLOOKUP(F220&amp;G220,Pass!B:C,2,0),0)</f>
        <v/>
      </c>
      <c r="M220" s="156">
        <f>IFERROR(VLOOKUP(F220&amp;G220,Rush!B:C,2,0),0)</f>
        <v/>
      </c>
      <c r="N220" s="156">
        <f>IFERROR(VLOOKUP(F220&amp;G220,Rec!B:C,2,0),K220)</f>
        <v/>
      </c>
      <c r="O220" s="156">
        <f>IFERROR(VLOOKUP(F220&amp;G220,Returns!A:B,2,0),0)</f>
        <v/>
      </c>
      <c r="Q220" s="156" t="inlineStr">
        <is>
          <t>Jalen Guyton</t>
        </is>
      </c>
      <c r="R220" s="156" t="inlineStr">
        <is>
          <t>FA</t>
        </is>
      </c>
      <c r="S220" s="156" t="inlineStr">
        <is>
          <t>WR</t>
        </is>
      </c>
    </row>
    <row r="221" hidden="1" ht="15.6" customHeight="1" s="152">
      <c r="A221" s="217" t="n">
        <v>60</v>
      </c>
      <c r="B221" s="218">
        <f>VLOOKUP(G221,Matrix!R:AA,10,0)</f>
        <v/>
      </c>
      <c r="C221" s="156">
        <f>IF(K221&gt;=0.01,K221,IFERROR(VLOOKUP(F221&amp;G221,Rush!B:C,2,0),K221)+SUM(L221:O221))</f>
        <v/>
      </c>
      <c r="D221" s="218">
        <f>_xlfn.IFNA(INDEX('Injury Report'!F:F, MATCH(G221&amp;F221, 'Injury Report'!A:A, 0)), "Healthy")</f>
        <v/>
      </c>
      <c r="E221" s="219">
        <f>VLOOKUP(A221,'RB Depth'!A:G,7,0)-1</f>
        <v/>
      </c>
      <c r="F221" s="218">
        <f>VLOOKUP(A221,'RB Depth'!A:C,3,0)</f>
        <v/>
      </c>
      <c r="G221" s="218">
        <f>VLOOKUP(A221,'RB Depth'!A:B,2,0)</f>
        <v/>
      </c>
      <c r="H221" s="218">
        <f>VLOOKUP(A221,'RB Depth'!A:D,4,0)</f>
        <v/>
      </c>
      <c r="I221" s="218">
        <f>H221&amp;E221</f>
        <v/>
      </c>
      <c r="J221" s="220">
        <f>IF(VLOOKUP(F221,Rush!F:G,2,0)=G221,"OK","Check Team")</f>
        <v/>
      </c>
      <c r="K221" s="156" t="n"/>
      <c r="L221" s="156">
        <f>IFERROR(VLOOKUP(F221&amp;G221,Pass!B:C,2,0),0)</f>
        <v/>
      </c>
      <c r="M221" s="156">
        <f>IFERROR(VLOOKUP(F221&amp;G221,Rush!B:C,2,0),0)</f>
        <v/>
      </c>
      <c r="N221" s="156">
        <f>IFERROR(VLOOKUP(F221&amp;G221,Rec!B:C,2,0),K221)</f>
        <v/>
      </c>
      <c r="O221" s="156">
        <f>IFERROR(VLOOKUP(F221&amp;G221,Returns!A:B,2,0),0)</f>
        <v/>
      </c>
      <c r="Q221" s="156" t="inlineStr">
        <is>
          <t>Jake Haener</t>
        </is>
      </c>
      <c r="R221" s="156" t="inlineStr">
        <is>
          <t>NO</t>
        </is>
      </c>
      <c r="S221" s="156" t="inlineStr">
        <is>
          <t>QB</t>
        </is>
      </c>
    </row>
    <row r="222" hidden="1" ht="15.6" customHeight="1" s="152">
      <c r="A222" s="217" t="n">
        <v>61</v>
      </c>
      <c r="B222" s="218">
        <f>VLOOKUP(G222,Matrix!R:AA,10,0)</f>
        <v/>
      </c>
      <c r="C222" s="156">
        <f>IF(K222&gt;=0.01,K222,IFERROR(VLOOKUP(F222&amp;G222,Rush!B:C,2,0),K222)+SUM(L222:O222))</f>
        <v/>
      </c>
      <c r="D222" s="218">
        <f>_xlfn.IFNA(INDEX('Injury Report'!F:F, MATCH(G222&amp;F222, 'Injury Report'!A:A, 0)), "Healthy")</f>
        <v/>
      </c>
      <c r="E222" s="219">
        <f>VLOOKUP(A222,'RB Depth'!A:G,7,0)-1</f>
        <v/>
      </c>
      <c r="F222" s="218">
        <f>VLOOKUP(A222,'RB Depth'!A:C,3,0)</f>
        <v/>
      </c>
      <c r="G222" s="218">
        <f>VLOOKUP(A222,'RB Depth'!A:B,2,0)</f>
        <v/>
      </c>
      <c r="H222" s="218">
        <f>VLOOKUP(A222,'RB Depth'!A:D,4,0)</f>
        <v/>
      </c>
      <c r="I222" s="218">
        <f>H222&amp;E222</f>
        <v/>
      </c>
      <c r="J222" s="220">
        <f>IF(VLOOKUP(F222,Rush!F:G,2,0)=G222,"OK","Check Team")</f>
        <v/>
      </c>
      <c r="K222" s="156" t="n"/>
      <c r="L222" s="156">
        <f>IFERROR(VLOOKUP(F222&amp;G222,Pass!B:C,2,0),0)</f>
        <v/>
      </c>
      <c r="M222" s="156">
        <f>IFERROR(VLOOKUP(F222&amp;G222,Rush!B:C,2,0),0)</f>
        <v/>
      </c>
      <c r="N222" s="156">
        <f>IFERROR(VLOOKUP(F222&amp;G222,Rec!B:C,2,0),K222)</f>
        <v/>
      </c>
      <c r="O222" s="156">
        <f>IFERROR(VLOOKUP(F222&amp;G222,Returns!A:B,2,0),0)</f>
        <v/>
      </c>
      <c r="Q222" s="156" t="inlineStr">
        <is>
          <t>Jaren Hall</t>
        </is>
      </c>
      <c r="R222" s="156" t="inlineStr">
        <is>
          <t>SEA</t>
        </is>
      </c>
      <c r="S222" s="156" t="inlineStr">
        <is>
          <t>QB</t>
        </is>
      </c>
    </row>
    <row r="223" hidden="1" ht="15.6" customHeight="1" s="152">
      <c r="A223" s="217" t="n">
        <v>62</v>
      </c>
      <c r="B223" s="218">
        <f>VLOOKUP(G223,Matrix!R:AA,10,0)</f>
        <v/>
      </c>
      <c r="C223" s="156">
        <f>IF(K223&gt;=0.01,K223,IFERROR(VLOOKUP(F223&amp;G223,Rush!B:C,2,0),K223)+SUM(L223:O223))</f>
        <v/>
      </c>
      <c r="D223" s="218">
        <f>_xlfn.IFNA(INDEX('Injury Report'!F:F, MATCH(G223&amp;F223, 'Injury Report'!A:A, 0)), "Healthy")</f>
        <v/>
      </c>
      <c r="E223" s="219">
        <f>VLOOKUP(A223,'RB Depth'!A:G,7,0)-1</f>
        <v/>
      </c>
      <c r="F223" s="218">
        <f>VLOOKUP(A223,'RB Depth'!A:C,3,0)</f>
        <v/>
      </c>
      <c r="G223" s="218">
        <f>VLOOKUP(A223,'RB Depth'!A:B,2,0)</f>
        <v/>
      </c>
      <c r="H223" s="218">
        <f>VLOOKUP(A223,'RB Depth'!A:D,4,0)</f>
        <v/>
      </c>
      <c r="I223" s="218">
        <f>H223&amp;E223</f>
        <v/>
      </c>
      <c r="J223" s="220">
        <f>IF(VLOOKUP(F223,Rush!F:G,2,0)=G223,"OK","Check Team")</f>
        <v/>
      </c>
      <c r="K223" s="156" t="n"/>
      <c r="L223" s="156">
        <f>IFERROR(VLOOKUP(F223&amp;G223,Pass!B:C,2,0),0)</f>
        <v/>
      </c>
      <c r="M223" s="156">
        <f>IFERROR(VLOOKUP(F223&amp;G223,Rush!B:C,2,0),0)</f>
        <v/>
      </c>
      <c r="N223" s="156">
        <f>IFERROR(VLOOKUP(F223&amp;G223,Rec!B:C,2,0),K223)</f>
        <v/>
      </c>
      <c r="O223" s="156">
        <f>IFERROR(VLOOKUP(F223&amp;G223,Returns!A:B,2,0),0)</f>
        <v/>
      </c>
      <c r="Q223" s="156" t="inlineStr">
        <is>
          <t>Breece Hall</t>
        </is>
      </c>
      <c r="R223" s="156" t="inlineStr">
        <is>
          <t>NYJ</t>
        </is>
      </c>
      <c r="S223" s="156" t="inlineStr">
        <is>
          <t>RB</t>
        </is>
      </c>
    </row>
    <row r="224" hidden="1" ht="15.6" customHeight="1" s="152">
      <c r="A224" s="217" t="n">
        <v>63</v>
      </c>
      <c r="B224" s="218">
        <f>VLOOKUP(G224,Matrix!R:AA,10,0)</f>
        <v/>
      </c>
      <c r="C224" s="156">
        <f>IF(K224&gt;=0.01,K224,IFERROR(VLOOKUP(F224&amp;G224,Rush!B:C,2,0),K224)+SUM(L224:O224))</f>
        <v/>
      </c>
      <c r="D224" s="218">
        <f>_xlfn.IFNA(INDEX('Injury Report'!F:F, MATCH(G224&amp;F224, 'Injury Report'!A:A, 0)), "Healthy")</f>
        <v/>
      </c>
      <c r="E224" s="219">
        <f>VLOOKUP(A224,'RB Depth'!A:G,7,0)-1</f>
        <v/>
      </c>
      <c r="F224" s="218">
        <f>VLOOKUP(A224,'RB Depth'!A:C,3,0)</f>
        <v/>
      </c>
      <c r="G224" s="218">
        <f>VLOOKUP(A224,'RB Depth'!A:B,2,0)</f>
        <v/>
      </c>
      <c r="H224" s="218">
        <f>VLOOKUP(A224,'RB Depth'!A:D,4,0)</f>
        <v/>
      </c>
      <c r="I224" s="218">
        <f>H224&amp;E224</f>
        <v/>
      </c>
      <c r="J224" s="220">
        <f>IF(VLOOKUP(F224,Rush!F:G,2,0)=G224,"OK","Check Team")</f>
        <v/>
      </c>
      <c r="K224" s="156" t="n"/>
      <c r="L224" s="156">
        <f>IFERROR(VLOOKUP(F224&amp;G224,Pass!B:C,2,0),0)</f>
        <v/>
      </c>
      <c r="M224" s="156">
        <f>IFERROR(VLOOKUP(F224&amp;G224,Rush!B:C,2,0),0)</f>
        <v/>
      </c>
      <c r="N224" s="156">
        <f>IFERROR(VLOOKUP(F224&amp;G224,Rec!B:C,2,0),K224)</f>
        <v/>
      </c>
      <c r="O224" s="156">
        <f>IFERROR(VLOOKUP(F224&amp;G224,Returns!A:B,2,0),0)</f>
        <v/>
      </c>
      <c r="Q224" s="156" t="inlineStr">
        <is>
          <t>KJ Hamler</t>
        </is>
      </c>
      <c r="R224" s="156" t="inlineStr">
        <is>
          <t>FA</t>
        </is>
      </c>
      <c r="S224" s="156" t="inlineStr">
        <is>
          <t>WR</t>
        </is>
      </c>
    </row>
    <row r="225" hidden="1" ht="15.6" customHeight="1" s="152">
      <c r="A225" s="217" t="n">
        <v>64</v>
      </c>
      <c r="B225" s="218">
        <f>VLOOKUP(G225,Matrix!R:AA,10,0)</f>
        <v/>
      </c>
      <c r="C225" s="156">
        <f>IF(K225&gt;=0.01,K225,IFERROR(VLOOKUP(F225&amp;G225,Rush!B:C,2,0),K225)+SUM(L225:O225))</f>
        <v/>
      </c>
      <c r="D225" s="218">
        <f>_xlfn.IFNA(INDEX('Injury Report'!F:F, MATCH(G225&amp;F225, 'Injury Report'!A:A, 0)), "Healthy")</f>
        <v/>
      </c>
      <c r="E225" s="219">
        <f>VLOOKUP(A225,'RB Depth'!A:G,7,0)-1</f>
        <v/>
      </c>
      <c r="F225" s="218">
        <f>VLOOKUP(A225,'RB Depth'!A:C,3,0)</f>
        <v/>
      </c>
      <c r="G225" s="218">
        <f>VLOOKUP(A225,'RB Depth'!A:B,2,0)</f>
        <v/>
      </c>
      <c r="H225" s="218">
        <f>VLOOKUP(A225,'RB Depth'!A:D,4,0)</f>
        <v/>
      </c>
      <c r="I225" s="218">
        <f>H225&amp;E225</f>
        <v/>
      </c>
      <c r="J225" s="220">
        <f>IF(VLOOKUP(F225,Rush!F:G,2,0)=G225,"OK","Check Team")</f>
        <v/>
      </c>
      <c r="K225" s="156" t="n"/>
      <c r="L225" s="156">
        <f>IFERROR(VLOOKUP(F225&amp;G225,Pass!B:C,2,0),0)</f>
        <v/>
      </c>
      <c r="M225" s="156">
        <f>IFERROR(VLOOKUP(F225&amp;G225,Rush!B:C,2,0),0)</f>
        <v/>
      </c>
      <c r="N225" s="156">
        <f>IFERROR(VLOOKUP(F225&amp;G225,Rec!B:C,2,0),K225)</f>
        <v/>
      </c>
      <c r="O225" s="156">
        <f>IFERROR(VLOOKUP(F225&amp;G225,Returns!A:B,2,0),0)</f>
        <v/>
      </c>
      <c r="Q225" s="156" t="inlineStr">
        <is>
          <t>Mecole Hardman</t>
        </is>
      </c>
      <c r="R225" s="156" t="inlineStr">
        <is>
          <t>KC</t>
        </is>
      </c>
      <c r="S225" s="156" t="inlineStr">
        <is>
          <t>WR</t>
        </is>
      </c>
    </row>
    <row r="226" hidden="1" ht="15.6" customHeight="1" s="152">
      <c r="A226" s="217" t="n">
        <v>65</v>
      </c>
      <c r="B226" s="218">
        <f>VLOOKUP(G226,Matrix!R:AA,10,0)</f>
        <v/>
      </c>
      <c r="C226" s="156">
        <f>IF(K226&gt;=0.01,K226,IFERROR(VLOOKUP(F226&amp;G226,Rush!B:C,2,0),K226)+SUM(L226:O226))</f>
        <v/>
      </c>
      <c r="D226" s="218">
        <f>_xlfn.IFNA(INDEX('Injury Report'!F:F, MATCH(G226&amp;F226, 'Injury Report'!A:A, 0)), "Healthy")</f>
        <v/>
      </c>
      <c r="E226" s="219">
        <f>VLOOKUP(A226,'RB Depth'!A:G,7,0)-1</f>
        <v/>
      </c>
      <c r="F226" s="218">
        <f>VLOOKUP(A226,'RB Depth'!A:C,3,0)</f>
        <v/>
      </c>
      <c r="G226" s="218">
        <f>VLOOKUP(A226,'RB Depth'!A:B,2,0)</f>
        <v/>
      </c>
      <c r="H226" s="218">
        <f>VLOOKUP(A226,'RB Depth'!A:D,4,0)</f>
        <v/>
      </c>
      <c r="I226" s="218">
        <f>H226&amp;E226</f>
        <v/>
      </c>
      <c r="J226" s="220">
        <f>IF(VLOOKUP(F226,Rush!F:G,2,0)=G226,"OK","Check Team")</f>
        <v/>
      </c>
      <c r="K226" s="156" t="n"/>
      <c r="L226" s="156">
        <f>IFERROR(VLOOKUP(F226&amp;G226,Pass!B:C,2,0),0)</f>
        <v/>
      </c>
      <c r="M226" s="156">
        <f>IFERROR(VLOOKUP(F226&amp;G226,Rush!B:C,2,0),0)</f>
        <v/>
      </c>
      <c r="N226" s="156">
        <f>IFERROR(VLOOKUP(F226&amp;G226,Rec!B:C,2,0),K226)</f>
        <v/>
      </c>
      <c r="O226" s="156">
        <f>IFERROR(VLOOKUP(F226&amp;G226,Returns!A:B,2,0),0)</f>
        <v/>
      </c>
      <c r="Q226" s="156" t="inlineStr">
        <is>
          <t>Damien Harris</t>
        </is>
      </c>
      <c r="R226" s="156" t="inlineStr">
        <is>
          <t>FA</t>
        </is>
      </c>
      <c r="S226" s="156" t="inlineStr">
        <is>
          <t>RB</t>
        </is>
      </c>
    </row>
    <row r="227" hidden="1" ht="15.6" customHeight="1" s="152">
      <c r="A227" s="217" t="n">
        <v>66</v>
      </c>
      <c r="B227" s="218">
        <f>VLOOKUP(G227,Matrix!R:AA,10,0)</f>
        <v/>
      </c>
      <c r="C227" s="156">
        <f>IF(K227&gt;=0.01,K227,IFERROR(VLOOKUP(F227&amp;G227,Rush!B:C,2,0),K227)+SUM(L227:O227))</f>
        <v/>
      </c>
      <c r="D227" s="218">
        <f>_xlfn.IFNA(INDEX('Injury Report'!F:F, MATCH(G227&amp;F227, 'Injury Report'!A:A, 0)), "Healthy")</f>
        <v/>
      </c>
      <c r="E227" s="219">
        <f>VLOOKUP(A227,'RB Depth'!A:G,7,0)-1</f>
        <v/>
      </c>
      <c r="F227" s="218">
        <f>VLOOKUP(A227,'RB Depth'!A:C,3,0)</f>
        <v/>
      </c>
      <c r="G227" s="218">
        <f>VLOOKUP(A227,'RB Depth'!A:B,2,0)</f>
        <v/>
      </c>
      <c r="H227" s="218">
        <f>VLOOKUP(A227,'RB Depth'!A:D,4,0)</f>
        <v/>
      </c>
      <c r="I227" s="218">
        <f>H227&amp;E227</f>
        <v/>
      </c>
      <c r="J227" s="220">
        <f>IF(VLOOKUP(F227,Rush!F:G,2,0)=G227,"OK","Check Team")</f>
        <v/>
      </c>
      <c r="K227" s="156" t="n"/>
      <c r="L227" s="156">
        <f>IFERROR(VLOOKUP(F227&amp;G227,Pass!B:C,2,0),0)</f>
        <v/>
      </c>
      <c r="M227" s="156">
        <f>IFERROR(VLOOKUP(F227&amp;G227,Rush!B:C,2,0),0)</f>
        <v/>
      </c>
      <c r="N227" s="156">
        <f>IFERROR(VLOOKUP(F227&amp;G227,Rec!B:C,2,0),K227)</f>
        <v/>
      </c>
      <c r="O227" s="156">
        <f>IFERROR(VLOOKUP(F227&amp;G227,Returns!A:B,2,0),0)</f>
        <v/>
      </c>
      <c r="Q227" s="156" t="inlineStr">
        <is>
          <t>Najee Harris</t>
        </is>
      </c>
      <c r="R227" s="156" t="inlineStr">
        <is>
          <t>PIT</t>
        </is>
      </c>
      <c r="S227" s="156" t="inlineStr">
        <is>
          <t>RB</t>
        </is>
      </c>
    </row>
    <row r="228" hidden="1" ht="15.6" customHeight="1" s="152">
      <c r="A228" s="217" t="n">
        <v>67</v>
      </c>
      <c r="B228" s="218">
        <f>VLOOKUP(G228,Matrix!R:AA,10,0)</f>
        <v/>
      </c>
      <c r="C228" s="156">
        <f>IF(K228&gt;=0.01,K228,IFERROR(VLOOKUP(F228&amp;G228,Rush!B:C,2,0),K228)+SUM(L228:O228))</f>
        <v/>
      </c>
      <c r="D228" s="218">
        <f>_xlfn.IFNA(INDEX('Injury Report'!F:F, MATCH(G228&amp;F228, 'Injury Report'!A:A, 0)), "Healthy")</f>
        <v/>
      </c>
      <c r="E228" s="219">
        <f>VLOOKUP(A228,'RB Depth'!A:G,7,0)-1</f>
        <v/>
      </c>
      <c r="F228" s="218">
        <f>VLOOKUP(A228,'RB Depth'!A:C,3,0)</f>
        <v/>
      </c>
      <c r="G228" s="218">
        <f>VLOOKUP(A228,'RB Depth'!A:B,2,0)</f>
        <v/>
      </c>
      <c r="H228" s="218">
        <f>VLOOKUP(A228,'RB Depth'!A:D,4,0)</f>
        <v/>
      </c>
      <c r="I228" s="218">
        <f>H228&amp;E228</f>
        <v/>
      </c>
      <c r="J228" s="220">
        <f>IF(VLOOKUP(F228,Rush!F:G,2,0)=G228,"OK","Check Team")</f>
        <v/>
      </c>
      <c r="K228" s="156" t="n"/>
      <c r="L228" s="156">
        <f>IFERROR(VLOOKUP(F228&amp;G228,Pass!B:C,2,0),0)</f>
        <v/>
      </c>
      <c r="M228" s="156">
        <f>IFERROR(VLOOKUP(F228&amp;G228,Rush!B:C,2,0),0)</f>
        <v/>
      </c>
      <c r="N228" s="156">
        <f>IFERROR(VLOOKUP(F228&amp;G228,Rec!B:C,2,0),K228)</f>
        <v/>
      </c>
      <c r="O228" s="156">
        <f>IFERROR(VLOOKUP(F228&amp;G228,Returns!A:B,2,0),0)</f>
        <v/>
      </c>
      <c r="Q228" s="156" t="inlineStr">
        <is>
          <t>Kevin Harris</t>
        </is>
      </c>
      <c r="R228" s="156" t="inlineStr">
        <is>
          <t>FA</t>
        </is>
      </c>
      <c r="S228" s="156" t="inlineStr">
        <is>
          <t>RB</t>
        </is>
      </c>
    </row>
    <row r="229" hidden="1" ht="15.6" customHeight="1" s="152">
      <c r="A229" s="217" t="n">
        <v>68</v>
      </c>
      <c r="B229" s="218">
        <f>VLOOKUP(G229,Matrix!R:AA,10,0)</f>
        <v/>
      </c>
      <c r="C229" s="156">
        <f>IF(K229&gt;=0.01,K229,IFERROR(VLOOKUP(F229&amp;G229,Rush!B:C,2,0),K229)+SUM(L229:O229))</f>
        <v/>
      </c>
      <c r="D229" s="218">
        <f>_xlfn.IFNA(INDEX('Injury Report'!F:F, MATCH(G229&amp;F229, 'Injury Report'!A:A, 0)), "Healthy")</f>
        <v/>
      </c>
      <c r="E229" s="219">
        <f>VLOOKUP(A229,'RB Depth'!A:G,7,0)-1</f>
        <v/>
      </c>
      <c r="F229" s="218">
        <f>VLOOKUP(A229,'RB Depth'!A:C,3,0)</f>
        <v/>
      </c>
      <c r="G229" s="218">
        <f>VLOOKUP(A229,'RB Depth'!A:B,2,0)</f>
        <v/>
      </c>
      <c r="H229" s="218">
        <f>VLOOKUP(A229,'RB Depth'!A:D,4,0)</f>
        <v/>
      </c>
      <c r="I229" s="218">
        <f>H229&amp;E229</f>
        <v/>
      </c>
      <c r="J229" s="220">
        <f>IF(VLOOKUP(F229,Rush!F:G,2,0)=G229,"OK","Check Team")</f>
        <v/>
      </c>
      <c r="K229" s="156" t="n"/>
      <c r="L229" s="156">
        <f>IFERROR(VLOOKUP(F229&amp;G229,Pass!B:C,2,0),0)</f>
        <v/>
      </c>
      <c r="M229" s="156">
        <f>IFERROR(VLOOKUP(F229&amp;G229,Rush!B:C,2,0),0)</f>
        <v/>
      </c>
      <c r="N229" s="156">
        <f>IFERROR(VLOOKUP(F229&amp;G229,Rec!B:C,2,0),K229)</f>
        <v/>
      </c>
      <c r="O229" s="156">
        <f>IFERROR(VLOOKUP(F229&amp;G229,Returns!A:B,2,0),0)</f>
        <v/>
      </c>
      <c r="Q229" s="156" t="inlineStr">
        <is>
          <t>Marvin Harrison</t>
        </is>
      </c>
      <c r="R229" s="156" t="inlineStr">
        <is>
          <t>ARI</t>
        </is>
      </c>
      <c r="S229" s="156" t="inlineStr">
        <is>
          <t>WR</t>
        </is>
      </c>
    </row>
    <row r="230" hidden="1" ht="15.6" customHeight="1" s="152">
      <c r="A230" s="217" t="n">
        <v>69</v>
      </c>
      <c r="B230" s="218">
        <f>VLOOKUP(G230,Matrix!R:AA,10,0)</f>
        <v/>
      </c>
      <c r="C230" s="156">
        <f>IF(K230&gt;=0.01,K230,IFERROR(VLOOKUP(F230&amp;G230,Rush!B:C,2,0),K230)+SUM(L230:O230))</f>
        <v/>
      </c>
      <c r="D230" s="218">
        <f>_xlfn.IFNA(INDEX('Injury Report'!F:F, MATCH(G230&amp;F230, 'Injury Report'!A:A, 0)), "Healthy")</f>
        <v/>
      </c>
      <c r="E230" s="219">
        <f>VLOOKUP(A230,'RB Depth'!A:G,7,0)-1</f>
        <v/>
      </c>
      <c r="F230" s="218">
        <f>VLOOKUP(A230,'RB Depth'!A:C,3,0)</f>
        <v/>
      </c>
      <c r="G230" s="218">
        <f>VLOOKUP(A230,'RB Depth'!A:B,2,0)</f>
        <v/>
      </c>
      <c r="H230" s="218">
        <f>VLOOKUP(A230,'RB Depth'!A:D,4,0)</f>
        <v/>
      </c>
      <c r="I230" s="218">
        <f>H230&amp;E230</f>
        <v/>
      </c>
      <c r="J230" s="220">
        <f>IF(VLOOKUP(F230,Rush!F:G,2,0)=G230,"OK","Check Team")</f>
        <v/>
      </c>
      <c r="K230" s="156" t="n"/>
      <c r="L230" s="156">
        <f>IFERROR(VLOOKUP(F230&amp;G230,Pass!B:C,2,0),0)</f>
        <v/>
      </c>
      <c r="M230" s="156">
        <f>IFERROR(VLOOKUP(F230&amp;G230,Rush!B:C,2,0),0)</f>
        <v/>
      </c>
      <c r="N230" s="156">
        <f>IFERROR(VLOOKUP(F230&amp;G230,Rec!B:C,2,0),K230)</f>
        <v/>
      </c>
      <c r="O230" s="156">
        <f>IFERROR(VLOOKUP(F230&amp;G230,Returns!A:B,2,0),0)</f>
        <v/>
      </c>
      <c r="Q230" s="156" t="inlineStr">
        <is>
          <t>Sam Hartman</t>
        </is>
      </c>
      <c r="R230" s="156" t="inlineStr">
        <is>
          <t>FA</t>
        </is>
      </c>
      <c r="S230" s="156" t="inlineStr">
        <is>
          <t>QB</t>
        </is>
      </c>
    </row>
    <row r="231" hidden="1" ht="15.6" customHeight="1" s="152">
      <c r="A231" s="217" t="n">
        <v>70</v>
      </c>
      <c r="B231" s="218">
        <f>VLOOKUP(G231,Matrix!R:AA,10,0)</f>
        <v/>
      </c>
      <c r="C231" s="156">
        <f>IF(K231&gt;=0.01,K231,IFERROR(VLOOKUP(F231&amp;G231,Rush!B:C,2,0),K231)+SUM(L231:O231))</f>
        <v/>
      </c>
      <c r="D231" s="218">
        <f>_xlfn.IFNA(INDEX('Injury Report'!F:F, MATCH(G231&amp;F231, 'Injury Report'!A:A, 0)), "Healthy")</f>
        <v/>
      </c>
      <c r="E231" s="219">
        <f>VLOOKUP(A231,'RB Depth'!A:G,7,0)-1</f>
        <v/>
      </c>
      <c r="F231" s="218">
        <f>VLOOKUP(A231,'RB Depth'!A:C,3,0)</f>
        <v/>
      </c>
      <c r="G231" s="218">
        <f>VLOOKUP(A231,'RB Depth'!A:B,2,0)</f>
        <v/>
      </c>
      <c r="H231" s="218">
        <f>VLOOKUP(A231,'RB Depth'!A:D,4,0)</f>
        <v/>
      </c>
      <c r="I231" s="218">
        <f>H231&amp;E231</f>
        <v/>
      </c>
      <c r="J231" s="220">
        <f>IF(VLOOKUP(F231,Rush!F:G,2,0)=G231,"OK","Check Team")</f>
        <v/>
      </c>
      <c r="K231" s="156" t="n"/>
      <c r="L231" s="156">
        <f>IFERROR(VLOOKUP(F231&amp;G231,Pass!B:C,2,0),0)</f>
        <v/>
      </c>
      <c r="M231" s="156">
        <f>IFERROR(VLOOKUP(F231&amp;G231,Rush!B:C,2,0),0)</f>
        <v/>
      </c>
      <c r="N231" s="156">
        <f>IFERROR(VLOOKUP(F231&amp;G231,Rec!B:C,2,0),K231)</f>
        <v/>
      </c>
      <c r="O231" s="156">
        <f>IFERROR(VLOOKUP(F231&amp;G231,Returns!A:B,2,0),0)</f>
        <v/>
      </c>
      <c r="Q231" s="156" t="inlineStr">
        <is>
          <t>Deonte Harty</t>
        </is>
      </c>
      <c r="R231" s="156" t="inlineStr">
        <is>
          <t>BAL</t>
        </is>
      </c>
      <c r="S231" s="156" t="inlineStr">
        <is>
          <t>WR</t>
        </is>
      </c>
    </row>
    <row r="232" hidden="1" ht="15.6" customHeight="1" s="152">
      <c r="A232" s="217" t="n">
        <v>71</v>
      </c>
      <c r="B232" s="218">
        <f>VLOOKUP(G232,Matrix!R:AA,10,0)</f>
        <v/>
      </c>
      <c r="C232" s="156">
        <f>IF(K232&gt;=0.01,K232,IFERROR(VLOOKUP(F232&amp;G232,Rush!B:C,2,0),K232)+SUM(L232:O232))</f>
        <v/>
      </c>
      <c r="D232" s="218">
        <f>_xlfn.IFNA(INDEX('Injury Report'!F:F, MATCH(G232&amp;F232, 'Injury Report'!A:A, 0)), "Healthy")</f>
        <v/>
      </c>
      <c r="E232" s="219">
        <f>VLOOKUP(A232,'RB Depth'!A:G,7,0)-1</f>
        <v/>
      </c>
      <c r="F232" s="218">
        <f>VLOOKUP(A232,'RB Depth'!A:C,3,0)</f>
        <v/>
      </c>
      <c r="G232" s="218">
        <f>VLOOKUP(A232,'RB Depth'!A:B,2,0)</f>
        <v/>
      </c>
      <c r="H232" s="218">
        <f>VLOOKUP(A232,'RB Depth'!A:D,4,0)</f>
        <v/>
      </c>
      <c r="I232" s="218">
        <f>H232&amp;E232</f>
        <v/>
      </c>
      <c r="J232" s="220">
        <f>IF(VLOOKUP(F232,Rush!F:G,2,0)=G232,"OK","Check Team")</f>
        <v/>
      </c>
      <c r="K232" s="156" t="n"/>
      <c r="L232" s="156">
        <f>IFERROR(VLOOKUP(F232&amp;G232,Pass!B:C,2,0),0)</f>
        <v/>
      </c>
      <c r="M232" s="156">
        <f>IFERROR(VLOOKUP(F232&amp;G232,Rush!B:C,2,0),0)</f>
        <v/>
      </c>
      <c r="N232" s="156">
        <f>IFERROR(VLOOKUP(F232&amp;G232,Rec!B:C,2,0),K232)</f>
        <v/>
      </c>
      <c r="O232" s="156">
        <f>IFERROR(VLOOKUP(F232&amp;G232,Returns!A:B,2,0),0)</f>
        <v/>
      </c>
      <c r="Q232" s="156" t="inlineStr">
        <is>
          <t>Hassan Haskins</t>
        </is>
      </c>
      <c r="R232" s="156" t="inlineStr">
        <is>
          <t>LAC</t>
        </is>
      </c>
      <c r="S232" s="156" t="inlineStr">
        <is>
          <t>RB</t>
        </is>
      </c>
    </row>
    <row r="233" hidden="1" ht="15.6" customHeight="1" s="152">
      <c r="A233" s="217" t="n">
        <v>72</v>
      </c>
      <c r="B233" s="218">
        <f>VLOOKUP(G233,Matrix!R:AA,10,0)</f>
        <v/>
      </c>
      <c r="C233" s="156">
        <f>IF(K233&gt;=0.01,K233,IFERROR(VLOOKUP(F233&amp;G233,Rush!B:C,2,0),K233)+SUM(L233:O233))</f>
        <v/>
      </c>
      <c r="D233" s="218">
        <f>_xlfn.IFNA(INDEX('Injury Report'!F:F, MATCH(G233&amp;F233, 'Injury Report'!A:A, 0)), "Healthy")</f>
        <v/>
      </c>
      <c r="E233" s="219">
        <f>VLOOKUP(A233,'RB Depth'!A:G,7,0)-1</f>
        <v/>
      </c>
      <c r="F233" s="218">
        <f>VLOOKUP(A233,'RB Depth'!A:C,3,0)</f>
        <v/>
      </c>
      <c r="G233" s="218">
        <f>VLOOKUP(A233,'RB Depth'!A:B,2,0)</f>
        <v/>
      </c>
      <c r="H233" s="218">
        <f>VLOOKUP(A233,'RB Depth'!A:D,4,0)</f>
        <v/>
      </c>
      <c r="I233" s="218">
        <f>H233&amp;E233</f>
        <v/>
      </c>
      <c r="J233" s="220">
        <f>IF(VLOOKUP(F233,Rush!F:G,2,0)=G233,"OK","Check Team")</f>
        <v/>
      </c>
      <c r="K233" s="156" t="n"/>
      <c r="L233" s="156">
        <f>IFERROR(VLOOKUP(F233&amp;G233,Pass!B:C,2,0),0)</f>
        <v/>
      </c>
      <c r="M233" s="156">
        <f>IFERROR(VLOOKUP(F233&amp;G233,Rush!B:C,2,0),0)</f>
        <v/>
      </c>
      <c r="N233" s="156">
        <f>IFERROR(VLOOKUP(F233&amp;G233,Rec!B:C,2,0),K233)</f>
        <v/>
      </c>
      <c r="O233" s="156">
        <f>IFERROR(VLOOKUP(F233&amp;G233,Returns!A:B,2,0),0)</f>
        <v/>
      </c>
      <c r="Q233" s="156" t="inlineStr">
        <is>
          <t>JaMycal Hasty</t>
        </is>
      </c>
      <c r="R233" s="156" t="inlineStr">
        <is>
          <t>NE</t>
        </is>
      </c>
      <c r="S233" s="156" t="inlineStr">
        <is>
          <t>RB</t>
        </is>
      </c>
    </row>
    <row r="234" hidden="1" ht="15.6" customHeight="1" s="152">
      <c r="A234" s="217" t="n">
        <v>73</v>
      </c>
      <c r="B234" s="218">
        <f>VLOOKUP(G234,Matrix!R:AA,10,0)</f>
        <v/>
      </c>
      <c r="C234" s="156">
        <f>IF(K234&gt;=0.01,K234,IFERROR(VLOOKUP(F234&amp;G234,Rush!B:C,2,0),K234)+SUM(L234:O234))</f>
        <v/>
      </c>
      <c r="D234" s="218">
        <f>_xlfn.IFNA(INDEX('Injury Report'!F:F, MATCH(G234&amp;F234, 'Injury Report'!A:A, 0)), "Healthy")</f>
        <v/>
      </c>
      <c r="E234" s="219">
        <f>VLOOKUP(A234,'RB Depth'!A:G,7,0)-1</f>
        <v/>
      </c>
      <c r="F234" s="218">
        <f>VLOOKUP(A234,'RB Depth'!A:C,3,0)</f>
        <v/>
      </c>
      <c r="G234" s="218">
        <f>VLOOKUP(A234,'RB Depth'!A:B,2,0)</f>
        <v/>
      </c>
      <c r="H234" s="218">
        <f>VLOOKUP(A234,'RB Depth'!A:D,4,0)</f>
        <v/>
      </c>
      <c r="I234" s="218">
        <f>H234&amp;E234</f>
        <v/>
      </c>
      <c r="J234" s="220">
        <f>IF(VLOOKUP(F234,Rush!F:G,2,0)=G234,"OK","Check Team")</f>
        <v/>
      </c>
      <c r="K234" s="156" t="n"/>
      <c r="L234" s="156">
        <f>IFERROR(VLOOKUP(F234&amp;G234,Pass!B:C,2,0),0)</f>
        <v/>
      </c>
      <c r="M234" s="156">
        <f>IFERROR(VLOOKUP(F234&amp;G234,Rush!B:C,2,0),0)</f>
        <v/>
      </c>
      <c r="N234" s="156">
        <f>IFERROR(VLOOKUP(F234&amp;G234,Rec!B:C,2,0),K234)</f>
        <v/>
      </c>
      <c r="O234" s="156">
        <f>IFERROR(VLOOKUP(F234&amp;G234,Returns!A:B,2,0),0)</f>
        <v/>
      </c>
      <c r="Q234" s="156" t="inlineStr">
        <is>
          <t>Malik Heath</t>
        </is>
      </c>
      <c r="R234" s="156" t="inlineStr">
        <is>
          <t>GB</t>
        </is>
      </c>
      <c r="S234" s="156" t="inlineStr">
        <is>
          <t>WR</t>
        </is>
      </c>
    </row>
    <row r="235" hidden="1" ht="15.6" customHeight="1" s="152">
      <c r="A235" s="217" t="n">
        <v>74</v>
      </c>
      <c r="B235" s="218">
        <f>VLOOKUP(G235,Matrix!R:AA,10,0)</f>
        <v/>
      </c>
      <c r="C235" s="156">
        <f>IF(K235&gt;=0.01,K235,IFERROR(VLOOKUP(F235&amp;G235,Rush!B:C,2,0),K235)+SUM(L235:O235))</f>
        <v/>
      </c>
      <c r="D235" s="218">
        <f>_xlfn.IFNA(INDEX('Injury Report'!F:F, MATCH(G235&amp;F235, 'Injury Report'!A:A, 0)), "Healthy")</f>
        <v/>
      </c>
      <c r="E235" s="219">
        <f>VLOOKUP(A235,'RB Depth'!A:G,7,0)-1</f>
        <v/>
      </c>
      <c r="F235" s="218">
        <f>VLOOKUP(A235,'RB Depth'!A:C,3,0)</f>
        <v/>
      </c>
      <c r="G235" s="218">
        <f>VLOOKUP(A235,'RB Depth'!A:B,2,0)</f>
        <v/>
      </c>
      <c r="H235" s="218">
        <f>VLOOKUP(A235,'RB Depth'!A:D,4,0)</f>
        <v/>
      </c>
      <c r="I235" s="218">
        <f>H235&amp;E235</f>
        <v/>
      </c>
      <c r="J235" s="220">
        <f>IF(VLOOKUP(F235,Rush!F:G,2,0)=G235,"OK","Check Team")</f>
        <v/>
      </c>
      <c r="K235" s="156" t="n"/>
      <c r="L235" s="156">
        <f>IFERROR(VLOOKUP(F235&amp;G235,Pass!B:C,2,0),0)</f>
        <v/>
      </c>
      <c r="M235" s="156">
        <f>IFERROR(VLOOKUP(F235&amp;G235,Rush!B:C,2,0),0)</f>
        <v/>
      </c>
      <c r="N235" s="156">
        <f>IFERROR(VLOOKUP(F235&amp;G235,Rec!B:C,2,0),K235)</f>
        <v/>
      </c>
      <c r="O235" s="156">
        <f>IFERROR(VLOOKUP(F235&amp;G235,Returns!A:B,2,0),0)</f>
        <v/>
      </c>
      <c r="Q235" s="156" t="inlineStr">
        <is>
          <t>Taylor Heinicke</t>
        </is>
      </c>
      <c r="R235" s="156" t="inlineStr">
        <is>
          <t>LAC</t>
        </is>
      </c>
      <c r="S235" s="156" t="inlineStr">
        <is>
          <t>QB</t>
        </is>
      </c>
    </row>
    <row r="236" hidden="1" ht="15.6" customHeight="1" s="152">
      <c r="A236" s="217" t="n">
        <v>75</v>
      </c>
      <c r="B236" s="218">
        <f>VLOOKUP(G236,Matrix!R:AA,10,0)</f>
        <v/>
      </c>
      <c r="C236" s="156">
        <f>IF(K236&gt;=0.01,K236,IFERROR(VLOOKUP(F236&amp;G236,Rush!B:C,2,0),K236)+SUM(L236:O236))</f>
        <v/>
      </c>
      <c r="D236" s="218">
        <f>_xlfn.IFNA(INDEX('Injury Report'!F:F, MATCH(G236&amp;F236, 'Injury Report'!A:A, 0)), "Healthy")</f>
        <v/>
      </c>
      <c r="E236" s="219">
        <f>VLOOKUP(A236,'RB Depth'!A:G,7,0)-1</f>
        <v/>
      </c>
      <c r="F236" s="218">
        <f>VLOOKUP(A236,'RB Depth'!A:C,3,0)</f>
        <v/>
      </c>
      <c r="G236" s="218">
        <f>VLOOKUP(A236,'RB Depth'!A:B,2,0)</f>
        <v/>
      </c>
      <c r="H236" s="218">
        <f>VLOOKUP(A236,'RB Depth'!A:D,4,0)</f>
        <v/>
      </c>
      <c r="I236" s="218">
        <f>H236&amp;E236</f>
        <v/>
      </c>
      <c r="J236" s="220">
        <f>IF(VLOOKUP(F236,Rush!F:G,2,0)=G236,"OK","Check Team")</f>
        <v/>
      </c>
      <c r="K236" s="156" t="n"/>
      <c r="L236" s="156">
        <f>IFERROR(VLOOKUP(F236&amp;G236,Pass!B:C,2,0),0)</f>
        <v/>
      </c>
      <c r="M236" s="156">
        <f>IFERROR(VLOOKUP(F236&amp;G236,Rush!B:C,2,0),0)</f>
        <v/>
      </c>
      <c r="N236" s="156">
        <f>IFERROR(VLOOKUP(F236&amp;G236,Rec!B:C,2,0),K236)</f>
        <v/>
      </c>
      <c r="O236" s="156">
        <f>IFERROR(VLOOKUP(F236&amp;G236,Returns!A:B,2,0),0)</f>
        <v/>
      </c>
      <c r="Q236" s="156" t="inlineStr">
        <is>
          <t>Peyton Hendershot</t>
        </is>
      </c>
      <c r="R236" s="156" t="inlineStr">
        <is>
          <t>KC</t>
        </is>
      </c>
      <c r="S236" s="156" t="inlineStr">
        <is>
          <t>TE</t>
        </is>
      </c>
    </row>
    <row r="237" hidden="1" ht="15.6" customHeight="1" s="152">
      <c r="A237" s="217" t="n">
        <v>76</v>
      </c>
      <c r="B237" s="218">
        <f>VLOOKUP(G237,Matrix!R:AA,10,0)</f>
        <v/>
      </c>
      <c r="C237" s="156">
        <f>IF(K237&gt;=0.01,K237,IFERROR(VLOOKUP(F237&amp;G237,Rush!B:C,2,0),K237)+SUM(L237:O237))</f>
        <v/>
      </c>
      <c r="D237" s="218">
        <f>_xlfn.IFNA(INDEX('Injury Report'!F:F, MATCH(G237&amp;F237, 'Injury Report'!A:A, 0)), "Healthy")</f>
        <v/>
      </c>
      <c r="E237" s="219">
        <f>VLOOKUP(A237,'RB Depth'!A:G,7,0)-1</f>
        <v/>
      </c>
      <c r="F237" s="218">
        <f>VLOOKUP(A237,'RB Depth'!A:C,3,0)</f>
        <v/>
      </c>
      <c r="G237" s="218">
        <f>VLOOKUP(A237,'RB Depth'!A:B,2,0)</f>
        <v/>
      </c>
      <c r="H237" s="218">
        <f>VLOOKUP(A237,'RB Depth'!A:D,4,0)</f>
        <v/>
      </c>
      <c r="I237" s="218">
        <f>H237&amp;E237</f>
        <v/>
      </c>
      <c r="J237" s="220">
        <f>IF(VLOOKUP(F237,Rush!F:G,2,0)=G237,"OK","Check Team")</f>
        <v/>
      </c>
      <c r="K237" s="156" t="n"/>
      <c r="L237" s="156">
        <f>IFERROR(VLOOKUP(F237&amp;G237,Pass!B:C,2,0),0)</f>
        <v/>
      </c>
      <c r="M237" s="156">
        <f>IFERROR(VLOOKUP(F237&amp;G237,Rush!B:C,2,0),0)</f>
        <v/>
      </c>
      <c r="N237" s="156">
        <f>IFERROR(VLOOKUP(F237&amp;G237,Rec!B:C,2,0),K237)</f>
        <v/>
      </c>
      <c r="O237" s="156">
        <f>IFERROR(VLOOKUP(F237&amp;G237,Returns!A:B,2,0),0)</f>
        <v/>
      </c>
      <c r="Q237" s="156" t="inlineStr">
        <is>
          <t>Darrell Henderson</t>
        </is>
      </c>
      <c r="R237" s="156" t="inlineStr">
        <is>
          <t>FA</t>
        </is>
      </c>
      <c r="S237" s="156" t="inlineStr">
        <is>
          <t>RB</t>
        </is>
      </c>
    </row>
    <row r="238" hidden="1" ht="15.6" customHeight="1" s="152">
      <c r="A238" s="217" t="n">
        <v>77</v>
      </c>
      <c r="B238" s="218">
        <f>VLOOKUP(G238,Matrix!R:AA,10,0)</f>
        <v/>
      </c>
      <c r="C238" s="156">
        <f>IF(K238&gt;=0.01,K238,IFERROR(VLOOKUP(F238&amp;G238,Rush!B:C,2,0),K238)+SUM(L238:O238))</f>
        <v/>
      </c>
      <c r="D238" s="218">
        <f>_xlfn.IFNA(INDEX('Injury Report'!F:F, MATCH(G238&amp;F238, 'Injury Report'!A:A, 0)), "Healthy")</f>
        <v/>
      </c>
      <c r="E238" s="219">
        <f>VLOOKUP(A238,'RB Depth'!A:G,7,0)-1</f>
        <v/>
      </c>
      <c r="F238" s="218">
        <f>VLOOKUP(A238,'RB Depth'!A:C,3,0)</f>
        <v/>
      </c>
      <c r="G238" s="218">
        <f>VLOOKUP(A238,'RB Depth'!A:B,2,0)</f>
        <v/>
      </c>
      <c r="H238" s="218">
        <f>VLOOKUP(A238,'RB Depth'!A:D,4,0)</f>
        <v/>
      </c>
      <c r="I238" s="218">
        <f>H238&amp;E238</f>
        <v/>
      </c>
      <c r="J238" s="220">
        <f>IF(VLOOKUP(F238,Rush!F:G,2,0)=G238,"OK","Check Team")</f>
        <v/>
      </c>
      <c r="K238" s="156" t="n"/>
      <c r="L238" s="156">
        <f>IFERROR(VLOOKUP(F238&amp;G238,Pass!B:C,2,0),0)</f>
        <v/>
      </c>
      <c r="M238" s="156">
        <f>IFERROR(VLOOKUP(F238&amp;G238,Rush!B:C,2,0),0)</f>
        <v/>
      </c>
      <c r="N238" s="156">
        <f>IFERROR(VLOOKUP(F238&amp;G238,Rec!B:C,2,0),K238)</f>
        <v/>
      </c>
      <c r="O238" s="156">
        <f>IFERROR(VLOOKUP(F238&amp;G238,Returns!A:B,2,0),0)</f>
        <v/>
      </c>
      <c r="Q238" s="156" t="inlineStr">
        <is>
          <t>Derrick Henry</t>
        </is>
      </c>
      <c r="R238" s="156" t="inlineStr">
        <is>
          <t>BAL</t>
        </is>
      </c>
      <c r="S238" s="156" t="inlineStr">
        <is>
          <t>RB</t>
        </is>
      </c>
    </row>
    <row r="239" hidden="1" ht="15.6" customHeight="1" s="152">
      <c r="A239" s="217" t="n">
        <v>78</v>
      </c>
      <c r="B239" s="218">
        <f>VLOOKUP(G239,Matrix!R:AA,10,0)</f>
        <v/>
      </c>
      <c r="C239" s="156">
        <f>IF(K239&gt;=0.01,K239,IFERROR(VLOOKUP(F239&amp;G239,Rush!B:C,2,0),K239)+SUM(L239:O239))</f>
        <v/>
      </c>
      <c r="D239" s="218">
        <f>_xlfn.IFNA(INDEX('Injury Report'!F:F, MATCH(G239&amp;F239, 'Injury Report'!A:A, 0)), "Healthy")</f>
        <v/>
      </c>
      <c r="E239" s="219">
        <f>VLOOKUP(A239,'RB Depth'!A:G,7,0)-1</f>
        <v/>
      </c>
      <c r="F239" s="218">
        <f>VLOOKUP(A239,'RB Depth'!A:C,3,0)</f>
        <v/>
      </c>
      <c r="G239" s="218">
        <f>VLOOKUP(A239,'RB Depth'!A:B,2,0)</f>
        <v/>
      </c>
      <c r="H239" s="218">
        <f>VLOOKUP(A239,'RB Depth'!A:D,4,0)</f>
        <v/>
      </c>
      <c r="I239" s="218">
        <f>H239&amp;E239</f>
        <v/>
      </c>
      <c r="J239" s="220">
        <f>IF(VLOOKUP(F239,Rush!F:G,2,0)=G239,"OK","Check Team")</f>
        <v/>
      </c>
      <c r="K239" s="156" t="n"/>
      <c r="L239" s="156">
        <f>IFERROR(VLOOKUP(F239&amp;G239,Pass!B:C,2,0),0)</f>
        <v/>
      </c>
      <c r="M239" s="156">
        <f>IFERROR(VLOOKUP(F239&amp;G239,Rush!B:C,2,0),0)</f>
        <v/>
      </c>
      <c r="N239" s="156">
        <f>IFERROR(VLOOKUP(F239&amp;G239,Rec!B:C,2,0),K239)</f>
        <v/>
      </c>
      <c r="O239" s="156">
        <f>IFERROR(VLOOKUP(F239&amp;G239,Returns!A:B,2,0),0)</f>
        <v/>
      </c>
      <c r="Q239" s="156" t="inlineStr">
        <is>
          <t>Hunter Henry</t>
        </is>
      </c>
      <c r="R239" s="156" t="inlineStr">
        <is>
          <t>NE</t>
        </is>
      </c>
      <c r="S239" s="156" t="inlineStr">
        <is>
          <t>TE</t>
        </is>
      </c>
    </row>
    <row r="240" hidden="1" ht="15.6" customHeight="1" s="152">
      <c r="A240" s="217" t="n">
        <v>79</v>
      </c>
      <c r="B240" s="218">
        <f>VLOOKUP(G240,Matrix!R:AA,10,0)</f>
        <v/>
      </c>
      <c r="C240" s="156">
        <f>IF(K240&gt;=0.01,K240,IFERROR(VLOOKUP(F240&amp;G240,Rush!B:C,2,0),K240)+SUM(L240:O240))</f>
        <v/>
      </c>
      <c r="D240" s="218">
        <f>_xlfn.IFNA(INDEX('Injury Report'!F:F, MATCH(G240&amp;F240, 'Injury Report'!A:A, 0)), "Healthy")</f>
        <v/>
      </c>
      <c r="E240" s="219">
        <f>VLOOKUP(A240,'RB Depth'!A:G,7,0)-1</f>
        <v/>
      </c>
      <c r="F240" s="218">
        <f>VLOOKUP(A240,'RB Depth'!A:C,3,0)</f>
        <v/>
      </c>
      <c r="G240" s="218">
        <f>VLOOKUP(A240,'RB Depth'!A:B,2,0)</f>
        <v/>
      </c>
      <c r="H240" s="218">
        <f>VLOOKUP(A240,'RB Depth'!A:D,4,0)</f>
        <v/>
      </c>
      <c r="I240" s="218">
        <f>H240&amp;E240</f>
        <v/>
      </c>
      <c r="J240" s="220">
        <f>IF(VLOOKUP(F240,Rush!F:G,2,0)=G240,"OK","Check Team")</f>
        <v/>
      </c>
      <c r="K240" s="156" t="n"/>
      <c r="L240" s="156">
        <f>IFERROR(VLOOKUP(F240&amp;G240,Pass!B:C,2,0),0)</f>
        <v/>
      </c>
      <c r="M240" s="156">
        <f>IFERROR(VLOOKUP(F240&amp;G240,Rush!B:C,2,0),0)</f>
        <v/>
      </c>
      <c r="N240" s="156">
        <f>IFERROR(VLOOKUP(F240&amp;G240,Rec!B:C,2,0),K240)</f>
        <v/>
      </c>
      <c r="O240" s="156">
        <f>IFERROR(VLOOKUP(F240&amp;G240,Returns!A:B,2,0),0)</f>
        <v/>
      </c>
      <c r="Q240" s="156" t="inlineStr">
        <is>
          <t>Khalil Herbert</t>
        </is>
      </c>
      <c r="R240" s="156" t="inlineStr">
        <is>
          <t>CIN</t>
        </is>
      </c>
      <c r="S240" s="156" t="inlineStr">
        <is>
          <t>RB</t>
        </is>
      </c>
    </row>
    <row r="241" hidden="1" ht="15.6" customHeight="1" s="152">
      <c r="A241" s="217" t="n">
        <v>80</v>
      </c>
      <c r="B241" s="218">
        <f>VLOOKUP(G241,Matrix!R:AA,10,0)</f>
        <v/>
      </c>
      <c r="C241" s="156">
        <f>IF(K241&gt;=0.01,K241,IFERROR(VLOOKUP(F241&amp;G241,Rush!B:C,2,0),K241)+SUM(L241:O241))</f>
        <v/>
      </c>
      <c r="D241" s="218">
        <f>_xlfn.IFNA(INDEX('Injury Report'!F:F, MATCH(G241&amp;F241, 'Injury Report'!A:A, 0)), "Healthy")</f>
        <v/>
      </c>
      <c r="E241" s="219">
        <f>VLOOKUP(A241,'RB Depth'!A:G,7,0)-1</f>
        <v/>
      </c>
      <c r="F241" s="218">
        <f>VLOOKUP(A241,'RB Depth'!A:C,3,0)</f>
        <v/>
      </c>
      <c r="G241" s="218">
        <f>VLOOKUP(A241,'RB Depth'!A:B,2,0)</f>
        <v/>
      </c>
      <c r="H241" s="218">
        <f>VLOOKUP(A241,'RB Depth'!A:D,4,0)</f>
        <v/>
      </c>
      <c r="I241" s="218">
        <f>H241&amp;E241</f>
        <v/>
      </c>
      <c r="J241" s="220">
        <f>IF(VLOOKUP(F241,Rush!F:G,2,0)=G241,"OK","Check Team")</f>
        <v/>
      </c>
      <c r="K241" s="156" t="n"/>
      <c r="L241" s="156">
        <f>IFERROR(VLOOKUP(F241&amp;G241,Pass!B:C,2,0),0)</f>
        <v/>
      </c>
      <c r="M241" s="156">
        <f>IFERROR(VLOOKUP(F241&amp;G241,Rush!B:C,2,0),0)</f>
        <v/>
      </c>
      <c r="N241" s="156">
        <f>IFERROR(VLOOKUP(F241&amp;G241,Rec!B:C,2,0),K241)</f>
        <v/>
      </c>
      <c r="O241" s="156">
        <f>IFERROR(VLOOKUP(F241&amp;G241,Returns!A:B,2,0),0)</f>
        <v/>
      </c>
      <c r="Q241" s="156" t="inlineStr">
        <is>
          <t>Justin Herbert</t>
        </is>
      </c>
      <c r="R241" s="156" t="inlineStr">
        <is>
          <t>LAC</t>
        </is>
      </c>
      <c r="S241" s="156" t="inlineStr">
        <is>
          <t>QB</t>
        </is>
      </c>
    </row>
    <row r="242" hidden="1" ht="15.6" customHeight="1" s="152">
      <c r="A242" s="217" t="n">
        <v>81</v>
      </c>
      <c r="B242" s="218">
        <f>VLOOKUP(G242,Matrix!R:AA,10,0)</f>
        <v/>
      </c>
      <c r="C242" s="156">
        <f>IF(K242&gt;=0.01,K242,IFERROR(VLOOKUP(F242&amp;G242,Rush!B:C,2,0),K242)+SUM(L242:O242))</f>
        <v/>
      </c>
      <c r="D242" s="218">
        <f>_xlfn.IFNA(INDEX('Injury Report'!F:F, MATCH(G242&amp;F242, 'Injury Report'!A:A, 0)), "Healthy")</f>
        <v/>
      </c>
      <c r="E242" s="219">
        <f>VLOOKUP(A242,'RB Depth'!A:G,7,0)-1</f>
        <v/>
      </c>
      <c r="F242" s="218">
        <f>VLOOKUP(A242,'RB Depth'!A:C,3,0)</f>
        <v/>
      </c>
      <c r="G242" s="218">
        <f>VLOOKUP(A242,'RB Depth'!A:B,2,0)</f>
        <v/>
      </c>
      <c r="H242" s="218">
        <f>VLOOKUP(A242,'RB Depth'!A:D,4,0)</f>
        <v/>
      </c>
      <c r="I242" s="218">
        <f>H242&amp;E242</f>
        <v/>
      </c>
      <c r="J242" s="220">
        <f>IF(VLOOKUP(F242,Rush!F:G,2,0)=G242,"OK","Check Team")</f>
        <v/>
      </c>
      <c r="K242" s="156" t="n"/>
      <c r="L242" s="156">
        <f>IFERROR(VLOOKUP(F242&amp;G242,Pass!B:C,2,0),0)</f>
        <v/>
      </c>
      <c r="M242" s="156">
        <f>IFERROR(VLOOKUP(F242&amp;G242,Rush!B:C,2,0),0)</f>
        <v/>
      </c>
      <c r="N242" s="156">
        <f>IFERROR(VLOOKUP(F242&amp;G242,Rec!B:C,2,0),K242)</f>
        <v/>
      </c>
      <c r="O242" s="156">
        <f>IFERROR(VLOOKUP(F242&amp;G242,Returns!A:B,2,0),0)</f>
        <v/>
      </c>
      <c r="Q242" s="156" t="inlineStr">
        <is>
          <t>Connor Heyward</t>
        </is>
      </c>
      <c r="R242" s="156" t="inlineStr">
        <is>
          <t>PIT</t>
        </is>
      </c>
      <c r="S242" s="156" t="inlineStr">
        <is>
          <t>TE</t>
        </is>
      </c>
    </row>
    <row r="243" hidden="1" ht="15.6" customHeight="1" s="152">
      <c r="A243" s="217" t="n">
        <v>82</v>
      </c>
      <c r="B243" s="218">
        <f>VLOOKUP(G243,Matrix!R:AA,10,0)</f>
        <v/>
      </c>
      <c r="C243" s="156">
        <f>IF(K243&gt;=0.01,K243,IFERROR(VLOOKUP(F243&amp;G243,Rush!B:C,2,0),K243)+SUM(L243:O243))</f>
        <v/>
      </c>
      <c r="D243" s="218">
        <f>_xlfn.IFNA(INDEX('Injury Report'!F:F, MATCH(G243&amp;F243, 'Injury Report'!A:A, 0)), "Healthy")</f>
        <v/>
      </c>
      <c r="E243" s="219">
        <f>VLOOKUP(A243,'RB Depth'!A:G,7,0)-1</f>
        <v/>
      </c>
      <c r="F243" s="218">
        <f>VLOOKUP(A243,'RB Depth'!A:C,3,0)</f>
        <v/>
      </c>
      <c r="G243" s="218">
        <f>VLOOKUP(A243,'RB Depth'!A:B,2,0)</f>
        <v/>
      </c>
      <c r="H243" s="218">
        <f>VLOOKUP(A243,'RB Depth'!A:D,4,0)</f>
        <v/>
      </c>
      <c r="I243" s="218">
        <f>H243&amp;E243</f>
        <v/>
      </c>
      <c r="J243" s="220">
        <f>IF(VLOOKUP(F243,Rush!F:G,2,0)=G243,"OK","Check Team")</f>
        <v/>
      </c>
      <c r="K243" s="156" t="n"/>
      <c r="L243" s="156">
        <f>IFERROR(VLOOKUP(F243&amp;G243,Pass!B:C,2,0),0)</f>
        <v/>
      </c>
      <c r="M243" s="156">
        <f>IFERROR(VLOOKUP(F243&amp;G243,Rush!B:C,2,0),0)</f>
        <v/>
      </c>
      <c r="N243" s="156">
        <f>IFERROR(VLOOKUP(F243&amp;G243,Rec!B:C,2,0),K243)</f>
        <v/>
      </c>
      <c r="O243" s="156">
        <f>IFERROR(VLOOKUP(F243&amp;G243,Returns!A:B,2,0),0)</f>
        <v/>
      </c>
      <c r="Q243" s="156" t="inlineStr">
        <is>
          <t>Tyler Higbee</t>
        </is>
      </c>
      <c r="R243" s="156" t="inlineStr">
        <is>
          <t>LAR</t>
        </is>
      </c>
      <c r="S243" s="156" t="inlineStr">
        <is>
          <t>TE</t>
        </is>
      </c>
    </row>
    <row r="244" hidden="1" ht="15.6" customHeight="1" s="152">
      <c r="A244" s="217" t="n">
        <v>83</v>
      </c>
      <c r="B244" s="218">
        <f>VLOOKUP(G244,Matrix!R:AA,10,0)</f>
        <v/>
      </c>
      <c r="C244" s="156">
        <f>IF(K244&gt;=0.01,K244,IFERROR(VLOOKUP(F244&amp;G244,Rush!B:C,2,0),K244)+SUM(L244:O244))</f>
        <v/>
      </c>
      <c r="D244" s="218">
        <f>_xlfn.IFNA(INDEX('Injury Report'!F:F, MATCH(G244&amp;F244, 'Injury Report'!A:A, 0)), "Healthy")</f>
        <v/>
      </c>
      <c r="E244" s="219">
        <f>VLOOKUP(A244,'RB Depth'!A:G,7,0)-1</f>
        <v/>
      </c>
      <c r="F244" s="218">
        <f>VLOOKUP(A244,'RB Depth'!A:C,3,0)</f>
        <v/>
      </c>
      <c r="G244" s="218">
        <f>VLOOKUP(A244,'RB Depth'!A:B,2,0)</f>
        <v/>
      </c>
      <c r="H244" s="218">
        <f>VLOOKUP(A244,'RB Depth'!A:D,4,0)</f>
        <v/>
      </c>
      <c r="I244" s="218">
        <f>H244&amp;E244</f>
        <v/>
      </c>
      <c r="J244" s="220">
        <f>IF(VLOOKUP(F244,Rush!F:G,2,0)=G244,"OK","Check Team")</f>
        <v/>
      </c>
      <c r="K244" s="156" t="n"/>
      <c r="L244" s="156">
        <f>IFERROR(VLOOKUP(F244&amp;G244,Pass!B:C,2,0),0)</f>
        <v/>
      </c>
      <c r="M244" s="156">
        <f>IFERROR(VLOOKUP(F244&amp;G244,Rush!B:C,2,0),0)</f>
        <v/>
      </c>
      <c r="N244" s="156">
        <f>IFERROR(VLOOKUP(F244&amp;G244,Rec!B:C,2,0),K244)</f>
        <v/>
      </c>
      <c r="O244" s="156">
        <f>IFERROR(VLOOKUP(F244&amp;G244,Returns!A:B,2,0),0)</f>
        <v/>
      </c>
      <c r="Q244" s="156" t="inlineStr">
        <is>
          <t>Tee Higgins</t>
        </is>
      </c>
      <c r="R244" s="156" t="inlineStr">
        <is>
          <t>CIN</t>
        </is>
      </c>
      <c r="S244" s="156" t="inlineStr">
        <is>
          <t>WR</t>
        </is>
      </c>
    </row>
    <row r="245" hidden="1" ht="15.6" customHeight="1" s="152">
      <c r="A245" s="217" t="n">
        <v>84</v>
      </c>
      <c r="B245" s="218">
        <f>VLOOKUP(G245,Matrix!R:AA,10,0)</f>
        <v/>
      </c>
      <c r="C245" s="156">
        <f>IF(K245&gt;=0.01,K245,IFERROR(VLOOKUP(F245&amp;G245,Rush!B:C,2,0),K245)+SUM(L245:O245))</f>
        <v/>
      </c>
      <c r="D245" s="218">
        <f>_xlfn.IFNA(INDEX('Injury Report'!F:F, MATCH(G245&amp;F245, 'Injury Report'!A:A, 0)), "Healthy")</f>
        <v/>
      </c>
      <c r="E245" s="219">
        <f>VLOOKUP(A245,'RB Depth'!A:G,7,0)-1</f>
        <v/>
      </c>
      <c r="F245" s="218">
        <f>VLOOKUP(A245,'RB Depth'!A:C,3,0)</f>
        <v/>
      </c>
      <c r="G245" s="218">
        <f>VLOOKUP(A245,'RB Depth'!A:B,2,0)</f>
        <v/>
      </c>
      <c r="H245" s="218">
        <f>VLOOKUP(A245,'RB Depth'!A:D,4,0)</f>
        <v/>
      </c>
      <c r="I245" s="218">
        <f>H245&amp;E245</f>
        <v/>
      </c>
      <c r="J245" s="220">
        <f>IF(VLOOKUP(F245,Rush!F:G,2,0)=G245,"OK","Check Team")</f>
        <v/>
      </c>
      <c r="K245" s="156" t="n"/>
      <c r="L245" s="156">
        <f>IFERROR(VLOOKUP(F245&amp;G245,Pass!B:C,2,0),0)</f>
        <v/>
      </c>
      <c r="M245" s="156">
        <f>IFERROR(VLOOKUP(F245&amp;G245,Rush!B:C,2,0),0)</f>
        <v/>
      </c>
      <c r="N245" s="156">
        <f>IFERROR(VLOOKUP(F245&amp;G245,Rec!B:C,2,0),K245)</f>
        <v/>
      </c>
      <c r="O245" s="156">
        <f>IFERROR(VLOOKUP(F245&amp;G245,Returns!A:B,2,0),0)</f>
        <v/>
      </c>
      <c r="Q245" s="156" t="inlineStr">
        <is>
          <t>Elijah Higgins</t>
        </is>
      </c>
      <c r="R245" s="156" t="inlineStr">
        <is>
          <t>ARI</t>
        </is>
      </c>
      <c r="S245" s="156" t="inlineStr">
        <is>
          <t>TE</t>
        </is>
      </c>
    </row>
    <row r="246" hidden="1" ht="15.6" customHeight="1" s="152">
      <c r="A246" s="217" t="n">
        <v>85</v>
      </c>
      <c r="B246" s="218">
        <f>VLOOKUP(G246,Matrix!R:AA,10,0)</f>
        <v/>
      </c>
      <c r="C246" s="156">
        <f>IF(K246&gt;=0.01,K246,IFERROR(VLOOKUP(F246&amp;G246,Rush!B:C,2,0),K246)+SUM(L246:O246))</f>
        <v/>
      </c>
      <c r="D246" s="218">
        <f>_xlfn.IFNA(INDEX('Injury Report'!F:F, MATCH(G246&amp;F246, 'Injury Report'!A:A, 0)), "Healthy")</f>
        <v/>
      </c>
      <c r="E246" s="219">
        <f>VLOOKUP(A246,'RB Depth'!A:G,7,0)-1</f>
        <v/>
      </c>
      <c r="F246" s="218">
        <f>VLOOKUP(A246,'RB Depth'!A:C,3,0)</f>
        <v/>
      </c>
      <c r="G246" s="218">
        <f>VLOOKUP(A246,'RB Depth'!A:B,2,0)</f>
        <v/>
      </c>
      <c r="H246" s="218">
        <f>VLOOKUP(A246,'RB Depth'!A:D,4,0)</f>
        <v/>
      </c>
      <c r="I246" s="218">
        <f>H246&amp;E246</f>
        <v/>
      </c>
      <c r="J246" s="220">
        <f>IF(VLOOKUP(F246,Rush!F:G,2,0)=G246,"OK","Check Team")</f>
        <v/>
      </c>
      <c r="K246" s="156" t="n"/>
      <c r="L246" s="156">
        <f>IFERROR(VLOOKUP(F246&amp;G246,Pass!B:C,2,0),0)</f>
        <v/>
      </c>
      <c r="M246" s="156">
        <f>IFERROR(VLOOKUP(F246&amp;G246,Rush!B:C,2,0),0)</f>
        <v/>
      </c>
      <c r="N246" s="156">
        <f>IFERROR(VLOOKUP(F246&amp;G246,Rec!B:C,2,0),K246)</f>
        <v/>
      </c>
      <c r="O246" s="156">
        <f>IFERROR(VLOOKUP(F246&amp;G246,Returns!A:B,2,0),0)</f>
        <v/>
      </c>
      <c r="Q246" s="156" t="inlineStr">
        <is>
          <t>Tyreek Hill</t>
        </is>
      </c>
      <c r="R246" s="156" t="inlineStr">
        <is>
          <t>MIA</t>
        </is>
      </c>
      <c r="S246" s="156" t="inlineStr">
        <is>
          <t>WR</t>
        </is>
      </c>
    </row>
    <row r="247" hidden="1" ht="15.6" customHeight="1" s="152">
      <c r="A247" s="217" t="n">
        <v>86</v>
      </c>
      <c r="B247" s="218">
        <f>VLOOKUP(G247,Matrix!R:AA,10,0)</f>
        <v/>
      </c>
      <c r="C247" s="156">
        <f>IF(K247&gt;=0.01,K247,IFERROR(VLOOKUP(F247&amp;G247,Rush!B:C,2,0),K247)+SUM(L247:O247))</f>
        <v/>
      </c>
      <c r="D247" s="218">
        <f>_xlfn.IFNA(INDEX('Injury Report'!F:F, MATCH(G247&amp;F247, 'Injury Report'!A:A, 0)), "Healthy")</f>
        <v/>
      </c>
      <c r="E247" s="219">
        <f>VLOOKUP(A247,'RB Depth'!A:G,7,0)-1</f>
        <v/>
      </c>
      <c r="F247" s="218">
        <f>VLOOKUP(A247,'RB Depth'!A:C,3,0)</f>
        <v/>
      </c>
      <c r="G247" s="218">
        <f>VLOOKUP(A247,'RB Depth'!A:B,2,0)</f>
        <v/>
      </c>
      <c r="H247" s="218">
        <f>VLOOKUP(A247,'RB Depth'!A:D,4,0)</f>
        <v/>
      </c>
      <c r="I247" s="218">
        <f>H247&amp;E247</f>
        <v/>
      </c>
      <c r="J247" s="220">
        <f>IF(VLOOKUP(F247,Rush!F:G,2,0)=G247,"OK","Check Team")</f>
        <v/>
      </c>
      <c r="K247" s="156" t="n"/>
      <c r="L247" s="156">
        <f>IFERROR(VLOOKUP(F247&amp;G247,Pass!B:C,2,0),0)</f>
        <v/>
      </c>
      <c r="M247" s="156">
        <f>IFERROR(VLOOKUP(F247&amp;G247,Rush!B:C,2,0),0)</f>
        <v/>
      </c>
      <c r="N247" s="156">
        <f>IFERROR(VLOOKUP(F247&amp;G247,Rec!B:C,2,0),K247)</f>
        <v/>
      </c>
      <c r="O247" s="156">
        <f>IFERROR(VLOOKUP(F247&amp;G247,Returns!A:B,2,0),0)</f>
        <v/>
      </c>
      <c r="Q247" s="156" t="inlineStr">
        <is>
          <t>Justice Hill</t>
        </is>
      </c>
      <c r="R247" s="156" t="inlineStr">
        <is>
          <t>BAL</t>
        </is>
      </c>
      <c r="S247" s="156" t="inlineStr">
        <is>
          <t>RB</t>
        </is>
      </c>
    </row>
    <row r="248" hidden="1" ht="15.6" customHeight="1" s="152">
      <c r="A248" s="217" t="n">
        <v>87</v>
      </c>
      <c r="B248" s="218">
        <f>VLOOKUP(G248,Matrix!R:AA,10,0)</f>
        <v/>
      </c>
      <c r="C248" s="156">
        <f>IF(K248&gt;=0.01,K248,IFERROR(VLOOKUP(F248&amp;G248,Rush!B:C,2,0),K248)+SUM(L248:O248))</f>
        <v/>
      </c>
      <c r="D248" s="218">
        <f>_xlfn.IFNA(INDEX('Injury Report'!F:F, MATCH(G248&amp;F248, 'Injury Report'!A:A, 0)), "Healthy")</f>
        <v/>
      </c>
      <c r="E248" s="219">
        <f>VLOOKUP(A248,'RB Depth'!A:G,7,0)-1</f>
        <v/>
      </c>
      <c r="F248" s="218">
        <f>VLOOKUP(A248,'RB Depth'!A:C,3,0)</f>
        <v/>
      </c>
      <c r="G248" s="218">
        <f>VLOOKUP(A248,'RB Depth'!A:B,2,0)</f>
        <v/>
      </c>
      <c r="H248" s="218">
        <f>VLOOKUP(A248,'RB Depth'!A:D,4,0)</f>
        <v/>
      </c>
      <c r="I248" s="218">
        <f>H248&amp;E248</f>
        <v/>
      </c>
      <c r="J248" s="220">
        <f>IF(VLOOKUP(F248,Rush!F:G,2,0)=G248,"OK","Check Team")</f>
        <v/>
      </c>
      <c r="K248" s="156" t="n"/>
      <c r="L248" s="156">
        <f>IFERROR(VLOOKUP(F248&amp;G248,Pass!B:C,2,0),0)</f>
        <v/>
      </c>
      <c r="M248" s="156">
        <f>IFERROR(VLOOKUP(F248&amp;G248,Rush!B:C,2,0),0)</f>
        <v/>
      </c>
      <c r="N248" s="156">
        <f>IFERROR(VLOOKUP(F248&amp;G248,Rec!B:C,2,0),K248)</f>
        <v/>
      </c>
      <c r="O248" s="156">
        <f>IFERROR(VLOOKUP(F248&amp;G248,Returns!A:B,2,0),0)</f>
        <v/>
      </c>
      <c r="Q248" s="156" t="inlineStr">
        <is>
          <t>Taysom Hill</t>
        </is>
      </c>
      <c r="R248" s="156" t="inlineStr">
        <is>
          <t>NO</t>
        </is>
      </c>
      <c r="S248" s="156" t="inlineStr">
        <is>
          <t>TE</t>
        </is>
      </c>
    </row>
    <row r="249" hidden="1" ht="15.6" customHeight="1" s="152">
      <c r="A249" s="217" t="n">
        <v>88</v>
      </c>
      <c r="B249" s="218">
        <f>VLOOKUP(G249,Matrix!R:AA,10,0)</f>
        <v/>
      </c>
      <c r="C249" s="156">
        <f>IF(K249&gt;=0.01,K249,IFERROR(VLOOKUP(F249&amp;G249,Rush!B:C,2,0),K249)+SUM(L249:O249))</f>
        <v/>
      </c>
      <c r="D249" s="218">
        <f>_xlfn.IFNA(INDEX('Injury Report'!F:F, MATCH(G249&amp;F249, 'Injury Report'!A:A, 0)), "Healthy")</f>
        <v/>
      </c>
      <c r="E249" s="219">
        <f>VLOOKUP(A249,'RB Depth'!A:G,7,0)-1</f>
        <v/>
      </c>
      <c r="F249" s="218">
        <f>VLOOKUP(A249,'RB Depth'!A:C,3,0)</f>
        <v/>
      </c>
      <c r="G249" s="218">
        <f>VLOOKUP(A249,'RB Depth'!A:B,2,0)</f>
        <v/>
      </c>
      <c r="H249" s="218">
        <f>VLOOKUP(A249,'RB Depth'!A:D,4,0)</f>
        <v/>
      </c>
      <c r="I249" s="218">
        <f>H249&amp;E249</f>
        <v/>
      </c>
      <c r="J249" s="220">
        <f>IF(VLOOKUP(F249,Rush!F:G,2,0)=G249,"OK","Check Team")</f>
        <v/>
      </c>
      <c r="K249" s="156" t="n"/>
      <c r="L249" s="156">
        <f>IFERROR(VLOOKUP(F249&amp;G249,Pass!B:C,2,0),0)</f>
        <v/>
      </c>
      <c r="M249" s="156">
        <f>IFERROR(VLOOKUP(F249&amp;G249,Rush!B:C,2,0),0)</f>
        <v/>
      </c>
      <c r="N249" s="156">
        <f>IFERROR(VLOOKUP(F249&amp;G249,Rec!B:C,2,0),K249)</f>
        <v/>
      </c>
      <c r="O249" s="156">
        <f>IFERROR(VLOOKUP(F249&amp;G249,Returns!A:B,2,0),0)</f>
        <v/>
      </c>
      <c r="Q249" s="156" t="inlineStr">
        <is>
          <t>Julian Hill</t>
        </is>
      </c>
      <c r="R249" s="156" t="inlineStr">
        <is>
          <t>MIA</t>
        </is>
      </c>
      <c r="S249" s="156" t="inlineStr">
        <is>
          <t>TE</t>
        </is>
      </c>
    </row>
    <row r="250" hidden="1" ht="15.6" customHeight="1" s="152">
      <c r="A250" s="217" t="n">
        <v>89</v>
      </c>
      <c r="B250" s="218">
        <f>VLOOKUP(G250,Matrix!R:AA,10,0)</f>
        <v/>
      </c>
      <c r="C250" s="156">
        <f>IF(K250&gt;=0.01,K250,IFERROR(VLOOKUP(F250&amp;G250,Rush!B:C,2,0),K250)+SUM(L250:O250))</f>
        <v/>
      </c>
      <c r="D250" s="218">
        <f>_xlfn.IFNA(INDEX('Injury Report'!F:F, MATCH(G250&amp;F250, 'Injury Report'!A:A, 0)), "Healthy")</f>
        <v/>
      </c>
      <c r="E250" s="219">
        <f>VLOOKUP(A250,'RB Depth'!A:G,7,0)-1</f>
        <v/>
      </c>
      <c r="F250" s="218">
        <f>VLOOKUP(A250,'RB Depth'!A:C,3,0)</f>
        <v/>
      </c>
      <c r="G250" s="218">
        <f>VLOOKUP(A250,'RB Depth'!A:B,2,0)</f>
        <v/>
      </c>
      <c r="H250" s="218">
        <f>VLOOKUP(A250,'RB Depth'!A:D,4,0)</f>
        <v/>
      </c>
      <c r="I250" s="218">
        <f>H250&amp;E250</f>
        <v/>
      </c>
      <c r="J250" s="220">
        <f>IF(VLOOKUP(F250,Rush!F:G,2,0)=G250,"OK","Check Team")</f>
        <v/>
      </c>
      <c r="K250" s="156" t="n"/>
      <c r="L250" s="156">
        <f>IFERROR(VLOOKUP(F250&amp;G250,Pass!B:C,2,0),0)</f>
        <v/>
      </c>
      <c r="M250" s="156">
        <f>IFERROR(VLOOKUP(F250&amp;G250,Rush!B:C,2,0),0)</f>
        <v/>
      </c>
      <c r="N250" s="156">
        <f>IFERROR(VLOOKUP(F250&amp;G250,Rec!B:C,2,0),K250)</f>
        <v/>
      </c>
      <c r="O250" s="156">
        <f>IFERROR(VLOOKUP(F250&amp;G250,Returns!A:B,2,0),0)</f>
        <v/>
      </c>
      <c r="Q250" s="156" t="inlineStr">
        <is>
          <t>Nyheim Hines</t>
        </is>
      </c>
      <c r="R250" s="156" t="inlineStr">
        <is>
          <t>CLE</t>
        </is>
      </c>
      <c r="S250" s="156" t="inlineStr">
        <is>
          <t>RB</t>
        </is>
      </c>
    </row>
    <row r="251" hidden="1" ht="15.6" customHeight="1" s="152">
      <c r="A251" s="217" t="n">
        <v>90</v>
      </c>
      <c r="B251" s="218">
        <f>VLOOKUP(G251,Matrix!R:AA,10,0)</f>
        <v/>
      </c>
      <c r="C251" s="156">
        <f>IF(K251&gt;=0.01,K251,IFERROR(VLOOKUP(F251&amp;G251,Rush!B:C,2,0),K251)+SUM(L251:O251))</f>
        <v/>
      </c>
      <c r="D251" s="218">
        <f>_xlfn.IFNA(INDEX('Injury Report'!F:F, MATCH(G251&amp;F251, 'Injury Report'!A:A, 0)), "Healthy")</f>
        <v/>
      </c>
      <c r="E251" s="219">
        <f>VLOOKUP(A251,'RB Depth'!A:G,7,0)-1</f>
        <v/>
      </c>
      <c r="F251" s="218">
        <f>VLOOKUP(A251,'RB Depth'!A:C,3,0)</f>
        <v/>
      </c>
      <c r="G251" s="218">
        <f>VLOOKUP(A251,'RB Depth'!A:B,2,0)</f>
        <v/>
      </c>
      <c r="H251" s="218">
        <f>VLOOKUP(A251,'RB Depth'!A:D,4,0)</f>
        <v/>
      </c>
      <c r="I251" s="218">
        <f>H251&amp;E251</f>
        <v/>
      </c>
      <c r="J251" s="220">
        <f>IF(VLOOKUP(F251,Rush!F:G,2,0)=G251,"OK","Check Team")</f>
        <v/>
      </c>
      <c r="K251" s="156" t="n"/>
      <c r="L251" s="156">
        <f>IFERROR(VLOOKUP(F251&amp;G251,Pass!B:C,2,0),0)</f>
        <v/>
      </c>
      <c r="M251" s="156">
        <f>IFERROR(VLOOKUP(F251&amp;G251,Rush!B:C,2,0),0)</f>
        <v/>
      </c>
      <c r="N251" s="156">
        <f>IFERROR(VLOOKUP(F251&amp;G251,Rec!B:C,2,0),K251)</f>
        <v/>
      </c>
      <c r="O251" s="156">
        <f>IFERROR(VLOOKUP(F251&amp;G251,Returns!A:B,2,0),0)</f>
        <v/>
      </c>
      <c r="Q251" s="156" t="inlineStr">
        <is>
          <t>T.J. Hockenson</t>
        </is>
      </c>
      <c r="R251" s="156" t="inlineStr">
        <is>
          <t>MIN</t>
        </is>
      </c>
      <c r="S251" s="156" t="inlineStr">
        <is>
          <t>TE</t>
        </is>
      </c>
    </row>
    <row r="252" hidden="1" ht="15.6" customHeight="1" s="152">
      <c r="A252" s="217" t="n">
        <v>91</v>
      </c>
      <c r="B252" s="218">
        <f>VLOOKUP(G252,Matrix!R:AA,10,0)</f>
        <v/>
      </c>
      <c r="C252" s="156">
        <f>IF(K252&gt;=0.01,K252,IFERROR(VLOOKUP(F252&amp;G252,Rush!B:C,2,0),K252)+SUM(L252:O252))</f>
        <v/>
      </c>
      <c r="D252" s="218">
        <f>_xlfn.IFNA(INDEX('Injury Report'!F:F, MATCH(G252&amp;F252, 'Injury Report'!A:A, 0)), "Healthy")</f>
        <v/>
      </c>
      <c r="E252" s="219">
        <f>VLOOKUP(A252,'RB Depth'!A:G,7,0)-1</f>
        <v/>
      </c>
      <c r="F252" s="218">
        <f>VLOOKUP(A252,'RB Depth'!A:C,3,0)</f>
        <v/>
      </c>
      <c r="G252" s="218">
        <f>VLOOKUP(A252,'RB Depth'!A:B,2,0)</f>
        <v/>
      </c>
      <c r="H252" s="218">
        <f>VLOOKUP(A252,'RB Depth'!A:D,4,0)</f>
        <v/>
      </c>
      <c r="I252" s="218">
        <f>H252&amp;E252</f>
        <v/>
      </c>
      <c r="J252" s="220">
        <f>IF(VLOOKUP(F252,Rush!F:G,2,0)=G252,"OK","Check Team")</f>
        <v/>
      </c>
      <c r="K252" s="156" t="n"/>
      <c r="L252" s="156">
        <f>IFERROR(VLOOKUP(F252&amp;G252,Pass!B:C,2,0),0)</f>
        <v/>
      </c>
      <c r="M252" s="156">
        <f>IFERROR(VLOOKUP(F252&amp;G252,Rush!B:C,2,0),0)</f>
        <v/>
      </c>
      <c r="N252" s="156">
        <f>IFERROR(VLOOKUP(F252&amp;G252,Rec!B:C,2,0),K252)</f>
        <v/>
      </c>
      <c r="O252" s="156">
        <f>IFERROR(VLOOKUP(F252&amp;G252,Returns!A:B,2,0),0)</f>
        <v/>
      </c>
      <c r="Q252" s="156" t="inlineStr">
        <is>
          <t>KhaDarel Hodge</t>
        </is>
      </c>
      <c r="R252" s="156" t="inlineStr">
        <is>
          <t>ATL</t>
        </is>
      </c>
      <c r="S252" s="156" t="inlineStr">
        <is>
          <t>WR</t>
        </is>
      </c>
    </row>
    <row r="253" hidden="1" ht="15.6" customHeight="1" s="152">
      <c r="A253" s="217" t="n">
        <v>92</v>
      </c>
      <c r="B253" s="218">
        <f>VLOOKUP(G253,Matrix!R:AA,10,0)</f>
        <v/>
      </c>
      <c r="C253" s="156">
        <f>IF(K253&gt;=0.01,K253,IFERROR(VLOOKUP(F253&amp;G253,Rush!B:C,2,0),K253)+SUM(L253:O253))</f>
        <v/>
      </c>
      <c r="D253" s="218">
        <f>_xlfn.IFNA(INDEX('Injury Report'!F:F, MATCH(G253&amp;F253, 'Injury Report'!A:A, 0)), "Healthy")</f>
        <v/>
      </c>
      <c r="E253" s="219">
        <f>VLOOKUP(A253,'RB Depth'!A:G,7,0)-1</f>
        <v/>
      </c>
      <c r="F253" s="218">
        <f>VLOOKUP(A253,'RB Depth'!A:C,3,0)</f>
        <v/>
      </c>
      <c r="G253" s="218">
        <f>VLOOKUP(A253,'RB Depth'!A:B,2,0)</f>
        <v/>
      </c>
      <c r="H253" s="218">
        <f>VLOOKUP(A253,'RB Depth'!A:D,4,0)</f>
        <v/>
      </c>
      <c r="I253" s="218">
        <f>H253&amp;E253</f>
        <v/>
      </c>
      <c r="J253" s="220">
        <f>IF(VLOOKUP(F253,Rush!F:G,2,0)=G253,"OK","Check Team")</f>
        <v/>
      </c>
      <c r="K253" s="156" t="n"/>
      <c r="L253" s="156">
        <f>IFERROR(VLOOKUP(F253&amp;G253,Pass!B:C,2,0),0)</f>
        <v/>
      </c>
      <c r="M253" s="156">
        <f>IFERROR(VLOOKUP(F253&amp;G253,Rush!B:C,2,0),0)</f>
        <v/>
      </c>
      <c r="N253" s="156">
        <f>IFERROR(VLOOKUP(F253&amp;G253,Rec!B:C,2,0),K253)</f>
        <v/>
      </c>
      <c r="O253" s="156">
        <f>IFERROR(VLOOKUP(F253&amp;G253,Returns!A:B,2,0),0)</f>
        <v/>
      </c>
      <c r="Q253" s="156" t="inlineStr">
        <is>
          <t>Isaiah Hodgins</t>
        </is>
      </c>
      <c r="R253" s="156" t="inlineStr">
        <is>
          <t>SF</t>
        </is>
      </c>
      <c r="S253" s="156" t="inlineStr">
        <is>
          <t>WR</t>
        </is>
      </c>
    </row>
    <row r="254" hidden="1" ht="15.6" customHeight="1" s="152">
      <c r="A254" s="217" t="n">
        <v>93</v>
      </c>
      <c r="B254" s="218">
        <f>VLOOKUP(G254,Matrix!R:AA,10,0)</f>
        <v/>
      </c>
      <c r="C254" s="156">
        <f>IF(K254&gt;=0.01,K254,IFERROR(VLOOKUP(F254&amp;G254,Rush!B:C,2,0),K254)+SUM(L254:O254))</f>
        <v/>
      </c>
      <c r="D254" s="218">
        <f>_xlfn.IFNA(INDEX('Injury Report'!F:F, MATCH(G254&amp;F254, 'Injury Report'!A:A, 0)), "Healthy")</f>
        <v/>
      </c>
      <c r="E254" s="219">
        <f>VLOOKUP(A254,'RB Depth'!A:G,7,0)-1</f>
        <v/>
      </c>
      <c r="F254" s="218">
        <f>VLOOKUP(A254,'RB Depth'!A:C,3,0)</f>
        <v/>
      </c>
      <c r="G254" s="218">
        <f>VLOOKUP(A254,'RB Depth'!A:B,2,0)</f>
        <v/>
      </c>
      <c r="H254" s="218">
        <f>VLOOKUP(A254,'RB Depth'!A:D,4,0)</f>
        <v/>
      </c>
      <c r="I254" s="218">
        <f>H254&amp;E254</f>
        <v/>
      </c>
      <c r="J254" s="220">
        <f>IF(VLOOKUP(F254,Rush!F:G,2,0)=G254,"OK","Check Team")</f>
        <v/>
      </c>
      <c r="K254" s="156" t="n"/>
      <c r="L254" s="156">
        <f>IFERROR(VLOOKUP(F254&amp;G254,Pass!B:C,2,0),0)</f>
        <v/>
      </c>
      <c r="M254" s="156">
        <f>IFERROR(VLOOKUP(F254&amp;G254,Rush!B:C,2,0),0)</f>
        <v/>
      </c>
      <c r="N254" s="156">
        <f>IFERROR(VLOOKUP(F254&amp;G254,Rec!B:C,2,0),K254)</f>
        <v/>
      </c>
      <c r="O254" s="156">
        <f>IFERROR(VLOOKUP(F254&amp;G254,Returns!A:B,2,0),0)</f>
        <v/>
      </c>
      <c r="Q254" s="156" t="inlineStr">
        <is>
          <t>George Holani</t>
        </is>
      </c>
      <c r="R254" s="156" t="inlineStr">
        <is>
          <t>SEA</t>
        </is>
      </c>
      <c r="S254" s="156" t="inlineStr">
        <is>
          <t>RB</t>
        </is>
      </c>
    </row>
    <row r="255" hidden="1" ht="15.6" customHeight="1" s="152">
      <c r="A255" s="217" t="n">
        <v>94</v>
      </c>
      <c r="B255" s="218">
        <f>VLOOKUP(G255,Matrix!R:AA,10,0)</f>
        <v/>
      </c>
      <c r="C255" s="156">
        <f>IF(K255&gt;=0.01,K255,IFERROR(VLOOKUP(F255&amp;G255,Rush!B:C,2,0),K255)+SUM(L255:O255))</f>
        <v/>
      </c>
      <c r="D255" s="218">
        <f>_xlfn.IFNA(INDEX('Injury Report'!F:F, MATCH(G255&amp;F255, 'Injury Report'!A:A, 0)), "Healthy")</f>
        <v/>
      </c>
      <c r="E255" s="219">
        <f>VLOOKUP(A255,'RB Depth'!A:G,7,0)-1</f>
        <v/>
      </c>
      <c r="F255" s="218">
        <f>VLOOKUP(A255,'RB Depth'!A:C,3,0)</f>
        <v/>
      </c>
      <c r="G255" s="218">
        <f>VLOOKUP(A255,'RB Depth'!A:B,2,0)</f>
        <v/>
      </c>
      <c r="H255" s="218">
        <f>VLOOKUP(A255,'RB Depth'!A:D,4,0)</f>
        <v/>
      </c>
      <c r="I255" s="218">
        <f>H255&amp;E255</f>
        <v/>
      </c>
      <c r="J255" s="220">
        <f>IF(VLOOKUP(F255,Rush!F:G,2,0)=G255,"OK","Check Team")</f>
        <v/>
      </c>
      <c r="K255" s="156" t="n"/>
      <c r="L255" s="156">
        <f>IFERROR(VLOOKUP(F255&amp;G255,Pass!B:C,2,0),0)</f>
        <v/>
      </c>
      <c r="M255" s="156">
        <f>IFERROR(VLOOKUP(F255&amp;G255,Rush!B:C,2,0),0)</f>
        <v/>
      </c>
      <c r="N255" s="156">
        <f>IFERROR(VLOOKUP(F255&amp;G255,Rec!B:C,2,0),K255)</f>
        <v/>
      </c>
      <c r="O255" s="156">
        <f>IFERROR(VLOOKUP(F255&amp;G255,Returns!A:B,2,0),0)</f>
        <v/>
      </c>
      <c r="Q255" s="156" t="inlineStr">
        <is>
          <t>Dallin Holker</t>
        </is>
      </c>
      <c r="R255" s="156" t="inlineStr">
        <is>
          <t>NO</t>
        </is>
      </c>
      <c r="S255" s="156" t="inlineStr">
        <is>
          <t>TE</t>
        </is>
      </c>
    </row>
    <row r="256" hidden="1" ht="15.6" customHeight="1" s="152">
      <c r="A256" s="217" t="n">
        <v>95</v>
      </c>
      <c r="B256" s="218">
        <f>VLOOKUP(G256,Matrix!R:AA,10,0)</f>
        <v/>
      </c>
      <c r="C256" s="156">
        <f>IF(K256&gt;=0.01,K256,IFERROR(VLOOKUP(F256&amp;G256,Rush!B:C,2,0),K256)+SUM(L256:O256))</f>
        <v/>
      </c>
      <c r="D256" s="218">
        <f>_xlfn.IFNA(INDEX('Injury Report'!F:F, MATCH(G256&amp;F256, 'Injury Report'!A:A, 0)), "Healthy")</f>
        <v/>
      </c>
      <c r="E256" s="219">
        <f>VLOOKUP(A256,'RB Depth'!A:G,7,0)-1</f>
        <v/>
      </c>
      <c r="F256" s="218">
        <f>VLOOKUP(A256,'RB Depth'!A:C,3,0)</f>
        <v/>
      </c>
      <c r="G256" s="218">
        <f>VLOOKUP(A256,'RB Depth'!A:B,2,0)</f>
        <v/>
      </c>
      <c r="H256" s="218">
        <f>VLOOKUP(A256,'RB Depth'!A:D,4,0)</f>
        <v/>
      </c>
      <c r="I256" s="218">
        <f>H256&amp;E256</f>
        <v/>
      </c>
      <c r="J256" s="220">
        <f>IF(VLOOKUP(F256,Rush!F:G,2,0)=G256,"OK","Check Team")</f>
        <v/>
      </c>
      <c r="K256" s="156" t="n"/>
      <c r="L256" s="156">
        <f>IFERROR(VLOOKUP(F256&amp;G256,Pass!B:C,2,0),0)</f>
        <v/>
      </c>
      <c r="M256" s="156">
        <f>IFERROR(VLOOKUP(F256&amp;G256,Rush!B:C,2,0),0)</f>
        <v/>
      </c>
      <c r="N256" s="156">
        <f>IFERROR(VLOOKUP(F256&amp;G256,Rec!B:C,2,0),K256)</f>
        <v/>
      </c>
      <c r="O256" s="156">
        <f>IFERROR(VLOOKUP(F256&amp;G256,Returns!A:B,2,0),0)</f>
        <v/>
      </c>
      <c r="Q256" s="156" t="inlineStr">
        <is>
          <t>Mack Hollins</t>
        </is>
      </c>
      <c r="R256" s="156" t="inlineStr">
        <is>
          <t>BUF</t>
        </is>
      </c>
      <c r="S256" s="156" t="inlineStr">
        <is>
          <t>WR</t>
        </is>
      </c>
    </row>
    <row r="257" hidden="1" ht="15.6" customHeight="1" s="152">
      <c r="A257" s="217" t="n">
        <v>96</v>
      </c>
      <c r="B257" s="218">
        <f>VLOOKUP(G257,Matrix!R:AA,10,0)</f>
        <v/>
      </c>
      <c r="C257" s="156">
        <f>IF(K257&gt;=0.01,K257,IFERROR(VLOOKUP(F257&amp;G257,Rush!B:C,2,0),K257)+SUM(L257:O257))</f>
        <v/>
      </c>
      <c r="D257" s="218">
        <f>_xlfn.IFNA(INDEX('Injury Report'!F:F, MATCH(G257&amp;F257, 'Injury Report'!A:A, 0)), "Healthy")</f>
        <v/>
      </c>
      <c r="E257" s="219">
        <f>VLOOKUP(A257,'RB Depth'!A:G,7,0)-1</f>
        <v/>
      </c>
      <c r="F257" s="218">
        <f>VLOOKUP(A257,'RB Depth'!A:C,3,0)</f>
        <v/>
      </c>
      <c r="G257" s="218">
        <f>VLOOKUP(A257,'RB Depth'!A:B,2,0)</f>
        <v/>
      </c>
      <c r="H257" s="218">
        <f>VLOOKUP(A257,'RB Depth'!A:D,4,0)</f>
        <v/>
      </c>
      <c r="I257" s="218">
        <f>H257&amp;E257</f>
        <v/>
      </c>
      <c r="J257" s="220">
        <f>IF(VLOOKUP(F257,Rush!F:G,2,0)=G257,"OK","Check Team")</f>
        <v/>
      </c>
      <c r="K257" s="156" t="n"/>
      <c r="L257" s="156">
        <f>IFERROR(VLOOKUP(F257&amp;G257,Pass!B:C,2,0),0)</f>
        <v/>
      </c>
      <c r="M257" s="156">
        <f>IFERROR(VLOOKUP(F257&amp;G257,Rush!B:C,2,0),0)</f>
        <v/>
      </c>
      <c r="N257" s="156">
        <f>IFERROR(VLOOKUP(F257&amp;G257,Rec!B:C,2,0),K257)</f>
        <v/>
      </c>
      <c r="O257" s="156">
        <f>IFERROR(VLOOKUP(F257&amp;G257,Returns!A:B,2,0),0)</f>
        <v/>
      </c>
      <c r="Q257" s="156" t="inlineStr">
        <is>
          <t>Travis Homer</t>
        </is>
      </c>
      <c r="R257" s="156" t="inlineStr">
        <is>
          <t>CHI</t>
        </is>
      </c>
      <c r="S257" s="156" t="inlineStr">
        <is>
          <t>RB</t>
        </is>
      </c>
    </row>
    <row r="258" hidden="1" ht="15.6" customHeight="1" s="152">
      <c r="A258" s="217" t="n">
        <v>97</v>
      </c>
      <c r="B258" s="218">
        <f>VLOOKUP(G258,Matrix!R:AA,10,0)</f>
        <v/>
      </c>
      <c r="C258" s="156">
        <f>IF(K258&gt;=0.01,K258,IFERROR(VLOOKUP(F258&amp;G258,Rush!B:C,2,0),K258)+SUM(L258:O258))</f>
        <v/>
      </c>
      <c r="D258" s="218">
        <f>_xlfn.IFNA(INDEX('Injury Report'!F:F, MATCH(G258&amp;F258, 'Injury Report'!A:A, 0)), "Healthy")</f>
        <v/>
      </c>
      <c r="E258" s="219">
        <f>VLOOKUP(A258,'RB Depth'!A:G,7,0)-1</f>
        <v/>
      </c>
      <c r="F258" s="218">
        <f>VLOOKUP(A258,'RB Depth'!A:C,3,0)</f>
        <v/>
      </c>
      <c r="G258" s="218">
        <f>VLOOKUP(A258,'RB Depth'!A:B,2,0)</f>
        <v/>
      </c>
      <c r="H258" s="218">
        <f>VLOOKUP(A258,'RB Depth'!A:D,4,0)</f>
        <v/>
      </c>
      <c r="I258" s="218">
        <f>H258&amp;E258</f>
        <v/>
      </c>
      <c r="J258" s="220">
        <f>IF(VLOOKUP(F258,Rush!F:G,2,0)=G258,"OK","Check Team")</f>
        <v/>
      </c>
      <c r="K258" s="156" t="n"/>
      <c r="L258" s="156">
        <f>IFERROR(VLOOKUP(F258&amp;G258,Pass!B:C,2,0),0)</f>
        <v/>
      </c>
      <c r="M258" s="156">
        <f>IFERROR(VLOOKUP(F258&amp;G258,Rush!B:C,2,0),0)</f>
        <v/>
      </c>
      <c r="N258" s="156">
        <f>IFERROR(VLOOKUP(F258&amp;G258,Rec!B:C,2,0),K258)</f>
        <v/>
      </c>
      <c r="O258" s="156">
        <f>IFERROR(VLOOKUP(F258&amp;G258,Returns!A:B,2,0),0)</f>
        <v/>
      </c>
      <c r="Q258" s="156" t="inlineStr">
        <is>
          <t>Hendon Hooker</t>
        </is>
      </c>
      <c r="R258" s="156" t="inlineStr">
        <is>
          <t>DET</t>
        </is>
      </c>
      <c r="S258" s="156" t="inlineStr">
        <is>
          <t>QB</t>
        </is>
      </c>
    </row>
    <row r="259" hidden="1" ht="15.6" customHeight="1" s="152">
      <c r="A259" s="217" t="n">
        <v>98</v>
      </c>
      <c r="B259" s="218">
        <f>VLOOKUP(G259,Matrix!R:AA,10,0)</f>
        <v/>
      </c>
      <c r="C259" s="156">
        <f>IF(K259&gt;=0.01,K259,IFERROR(VLOOKUP(F259&amp;G259,Rush!B:C,2,0),K259)+SUM(L259:O259))</f>
        <v/>
      </c>
      <c r="D259" s="218">
        <f>_xlfn.IFNA(INDEX('Injury Report'!F:F, MATCH(G259&amp;F259, 'Injury Report'!A:A, 0)), "Healthy")</f>
        <v/>
      </c>
      <c r="E259" s="219">
        <f>VLOOKUP(A259,'RB Depth'!A:G,7,0)-1</f>
        <v/>
      </c>
      <c r="F259" s="218">
        <f>VLOOKUP(A259,'RB Depth'!A:C,3,0)</f>
        <v/>
      </c>
      <c r="G259" s="218">
        <f>VLOOKUP(A259,'RB Depth'!A:B,2,0)</f>
        <v/>
      </c>
      <c r="H259" s="218">
        <f>VLOOKUP(A259,'RB Depth'!A:D,4,0)</f>
        <v/>
      </c>
      <c r="I259" s="218">
        <f>H259&amp;E259</f>
        <v/>
      </c>
      <c r="J259" s="220">
        <f>IF(VLOOKUP(F259,Rush!F:G,2,0)=G259,"OK","Check Team")</f>
        <v/>
      </c>
      <c r="K259" s="156" t="n"/>
      <c r="L259" s="156">
        <f>IFERROR(VLOOKUP(F259&amp;G259,Pass!B:C,2,0),0)</f>
        <v/>
      </c>
      <c r="M259" s="156">
        <f>IFERROR(VLOOKUP(F259&amp;G259,Rush!B:C,2,0),0)</f>
        <v/>
      </c>
      <c r="N259" s="156">
        <f>IFERROR(VLOOKUP(F259&amp;G259,Rec!B:C,2,0),K259)</f>
        <v/>
      </c>
      <c r="O259" s="156">
        <f>IFERROR(VLOOKUP(F259&amp;G259,Returns!A:B,2,0),0)</f>
        <v/>
      </c>
      <c r="Q259" s="156" t="inlineStr">
        <is>
          <t>Austin Hooper</t>
        </is>
      </c>
      <c r="R259" s="156" t="inlineStr">
        <is>
          <t>NE</t>
        </is>
      </c>
      <c r="S259" s="156" t="inlineStr">
        <is>
          <t>TE</t>
        </is>
      </c>
    </row>
    <row r="260" hidden="1" ht="15.6" customHeight="1" s="152">
      <c r="A260" s="217" t="n">
        <v>99</v>
      </c>
      <c r="B260" s="218">
        <f>VLOOKUP(G260,Matrix!R:AA,10,0)</f>
        <v/>
      </c>
      <c r="C260" s="156">
        <f>IF(K260&gt;=0.01,K260,IFERROR(VLOOKUP(F260&amp;G260,Rush!B:C,2,0),K260)+SUM(L260:O260))</f>
        <v/>
      </c>
      <c r="D260" s="218">
        <f>_xlfn.IFNA(INDEX('Injury Report'!F:F, MATCH(G260&amp;F260, 'Injury Report'!A:A, 0)), "Healthy")</f>
        <v/>
      </c>
      <c r="E260" s="219">
        <f>VLOOKUP(A260,'RB Depth'!A:G,7,0)-1</f>
        <v/>
      </c>
      <c r="F260" s="218">
        <f>VLOOKUP(A260,'RB Depth'!A:C,3,0)</f>
        <v/>
      </c>
      <c r="G260" s="218">
        <f>VLOOKUP(A260,'RB Depth'!A:B,2,0)</f>
        <v/>
      </c>
      <c r="H260" s="218">
        <f>VLOOKUP(A260,'RB Depth'!A:D,4,0)</f>
        <v/>
      </c>
      <c r="I260" s="218">
        <f>H260&amp;E260</f>
        <v/>
      </c>
      <c r="J260" s="220">
        <f>IF(VLOOKUP(F260,Rush!F:G,2,0)=G260,"OK","Check Team")</f>
        <v/>
      </c>
      <c r="K260" s="156" t="n"/>
      <c r="L260" s="156">
        <f>IFERROR(VLOOKUP(F260&amp;G260,Pass!B:C,2,0),0)</f>
        <v/>
      </c>
      <c r="M260" s="156">
        <f>IFERROR(VLOOKUP(F260&amp;G260,Rush!B:C,2,0),0)</f>
        <v/>
      </c>
      <c r="N260" s="156">
        <f>IFERROR(VLOOKUP(F260&amp;G260,Rec!B:C,2,0),K260)</f>
        <v/>
      </c>
      <c r="O260" s="156">
        <f>IFERROR(VLOOKUP(F260&amp;G260,Returns!A:B,2,0),0)</f>
        <v/>
      </c>
      <c r="Q260" s="156" t="inlineStr">
        <is>
          <t>DeAndre Hopkins</t>
        </is>
      </c>
      <c r="R260" s="156" t="inlineStr">
        <is>
          <t>KC</t>
        </is>
      </c>
      <c r="S260" s="156" t="inlineStr">
        <is>
          <t>WR</t>
        </is>
      </c>
    </row>
    <row r="261" hidden="1" ht="15.6" customHeight="1" s="152">
      <c r="A261" s="217" t="n">
        <v>100</v>
      </c>
      <c r="B261" s="218">
        <f>VLOOKUP(G261,Matrix!R:AA,10,0)</f>
        <v/>
      </c>
      <c r="C261" s="156">
        <f>IF(K261&gt;=0.01,K261,IFERROR(VLOOKUP(F261&amp;G261,Rush!B:C,2,0),K261)+SUM(L261:O261))</f>
        <v/>
      </c>
      <c r="D261" s="218">
        <f>_xlfn.IFNA(INDEX('Injury Report'!F:F, MATCH(G261&amp;F261, 'Injury Report'!A:A, 0)), "Healthy")</f>
        <v/>
      </c>
      <c r="E261" s="219">
        <f>VLOOKUP(A261,'RB Depth'!A:G,7,0)-1</f>
        <v/>
      </c>
      <c r="F261" s="218">
        <f>VLOOKUP(A261,'RB Depth'!A:C,3,0)</f>
        <v/>
      </c>
      <c r="G261" s="218">
        <f>VLOOKUP(A261,'RB Depth'!A:B,2,0)</f>
        <v/>
      </c>
      <c r="H261" s="218">
        <f>VLOOKUP(A261,'RB Depth'!A:D,4,0)</f>
        <v/>
      </c>
      <c r="I261" s="218">
        <f>H261&amp;E261</f>
        <v/>
      </c>
      <c r="J261" s="220">
        <f>IF(VLOOKUP(F261,Rush!F:G,2,0)=G261,"OK","Check Team")</f>
        <v/>
      </c>
      <c r="K261" s="156" t="n"/>
      <c r="L261" s="156">
        <f>IFERROR(VLOOKUP(F261&amp;G261,Pass!B:C,2,0),0)</f>
        <v/>
      </c>
      <c r="M261" s="156">
        <f>IFERROR(VLOOKUP(F261&amp;G261,Rush!B:C,2,0),0)</f>
        <v/>
      </c>
      <c r="N261" s="156">
        <f>IFERROR(VLOOKUP(F261&amp;G261,Rec!B:C,2,0),K261)</f>
        <v/>
      </c>
      <c r="O261" s="156">
        <f>IFERROR(VLOOKUP(F261&amp;G261,Returns!A:B,2,0),0)</f>
        <v/>
      </c>
      <c r="Q261" s="156" t="inlineStr">
        <is>
          <t>Dustin Hopkins</t>
        </is>
      </c>
      <c r="R261" s="156" t="inlineStr">
        <is>
          <t>CLE</t>
        </is>
      </c>
      <c r="S261" s="156" t="inlineStr">
        <is>
          <t>K</t>
        </is>
      </c>
    </row>
    <row r="262" hidden="1" ht="15.6" customHeight="1" s="152">
      <c r="A262" s="217" t="n">
        <v>101</v>
      </c>
      <c r="B262" s="218">
        <f>VLOOKUP(G262,Matrix!R:AA,10,0)</f>
        <v/>
      </c>
      <c r="C262" s="156">
        <f>IF(K262&gt;=0.01,K262,IFERROR(VLOOKUP(F262&amp;G262,Rush!B:C,2,0),K262)+SUM(L262:O262))</f>
        <v/>
      </c>
      <c r="D262" s="218">
        <f>_xlfn.IFNA(INDEX('Injury Report'!F:F, MATCH(G262&amp;F262, 'Injury Report'!A:A, 0)), "Healthy")</f>
        <v/>
      </c>
      <c r="E262" s="219">
        <f>VLOOKUP(A262,'RB Depth'!A:G,7,0)-1</f>
        <v/>
      </c>
      <c r="F262" s="218">
        <f>VLOOKUP(A262,'RB Depth'!A:C,3,0)</f>
        <v/>
      </c>
      <c r="G262" s="218">
        <f>VLOOKUP(A262,'RB Depth'!A:B,2,0)</f>
        <v/>
      </c>
      <c r="H262" s="218">
        <f>VLOOKUP(A262,'RB Depth'!A:D,4,0)</f>
        <v/>
      </c>
      <c r="I262" s="218">
        <f>H262&amp;E262</f>
        <v/>
      </c>
      <c r="J262" s="220">
        <f>IF(VLOOKUP(F262,Rush!F:G,2,0)=G262,"OK","Check Team")</f>
        <v/>
      </c>
      <c r="K262" s="156" t="n"/>
      <c r="L262" s="156">
        <f>IFERROR(VLOOKUP(F262&amp;G262,Pass!B:C,2,0),0)</f>
        <v/>
      </c>
      <c r="M262" s="156">
        <f>IFERROR(VLOOKUP(F262&amp;G262,Rush!B:C,2,0),0)</f>
        <v/>
      </c>
      <c r="N262" s="156">
        <f>IFERROR(VLOOKUP(F262&amp;G262,Rec!B:C,2,0),K262)</f>
        <v/>
      </c>
      <c r="O262" s="156">
        <f>IFERROR(VLOOKUP(F262&amp;G262,Returns!A:B,2,0),0)</f>
        <v/>
      </c>
      <c r="Q262" s="156" t="inlineStr">
        <is>
          <t>Brycen Hopkins</t>
        </is>
      </c>
      <c r="R262" s="156" t="inlineStr">
        <is>
          <t>FA</t>
        </is>
      </c>
      <c r="S262" s="156" t="inlineStr">
        <is>
          <t>TE</t>
        </is>
      </c>
    </row>
    <row r="263" hidden="1" ht="15.6" customHeight="1" s="152">
      <c r="A263" s="217" t="n">
        <v>102</v>
      </c>
      <c r="B263" s="218">
        <f>VLOOKUP(G263,Matrix!R:AA,10,0)</f>
        <v/>
      </c>
      <c r="C263" s="156">
        <f>IF(K263&gt;=0.01,K263,IFERROR(VLOOKUP(F263&amp;G263,Rush!B:C,2,0),K263)+SUM(L263:O263))</f>
        <v/>
      </c>
      <c r="D263" s="218">
        <f>_xlfn.IFNA(INDEX('Injury Report'!F:F, MATCH(G263&amp;F263, 'Injury Report'!A:A, 0)), "Healthy")</f>
        <v/>
      </c>
      <c r="E263" s="219">
        <f>VLOOKUP(A263,'RB Depth'!A:G,7,0)-1</f>
        <v/>
      </c>
      <c r="F263" s="218">
        <f>VLOOKUP(A263,'RB Depth'!A:C,3,0)</f>
        <v/>
      </c>
      <c r="G263" s="218">
        <f>VLOOKUP(A263,'RB Depth'!A:B,2,0)</f>
        <v/>
      </c>
      <c r="H263" s="218">
        <f>VLOOKUP(A263,'RB Depth'!A:D,4,0)</f>
        <v/>
      </c>
      <c r="I263" s="218">
        <f>H263&amp;E263</f>
        <v/>
      </c>
      <c r="J263" s="220">
        <f>IF(VLOOKUP(F263,Rush!F:G,2,0)=G263,"OK","Check Team")</f>
        <v/>
      </c>
      <c r="K263" s="156" t="n"/>
      <c r="L263" s="156">
        <f>IFERROR(VLOOKUP(F263&amp;G263,Pass!B:C,2,0),0)</f>
        <v/>
      </c>
      <c r="M263" s="156">
        <f>IFERROR(VLOOKUP(F263&amp;G263,Rush!B:C,2,0),0)</f>
        <v/>
      </c>
      <c r="N263" s="156">
        <f>IFERROR(VLOOKUP(F263&amp;G263,Rec!B:C,2,0),K263)</f>
        <v/>
      </c>
      <c r="O263" s="156">
        <f>IFERROR(VLOOKUP(F263&amp;G263,Returns!A:B,2,0),0)</f>
        <v/>
      </c>
      <c r="Q263" s="156" t="inlineStr">
        <is>
          <t>Tory Horton</t>
        </is>
      </c>
      <c r="R263" s="156" t="inlineStr">
        <is>
          <t>FA</t>
        </is>
      </c>
      <c r="S263" s="156" t="inlineStr">
        <is>
          <t>WR</t>
        </is>
      </c>
    </row>
    <row r="264" hidden="1" ht="15.6" customHeight="1" s="152">
      <c r="A264" s="217" t="n">
        <v>103</v>
      </c>
      <c r="B264" s="218">
        <f>VLOOKUP(G264,Matrix!R:AA,10,0)</f>
        <v/>
      </c>
      <c r="C264" s="156">
        <f>IF(K264&gt;=0.01,K264,IFERROR(VLOOKUP(F264&amp;G264,Rush!B:C,2,0),K264)+SUM(L264:O264))</f>
        <v/>
      </c>
      <c r="D264" s="218">
        <f>_xlfn.IFNA(INDEX('Injury Report'!F:F, MATCH(G264&amp;F264, 'Injury Report'!A:A, 0)), "Healthy")</f>
        <v/>
      </c>
      <c r="E264" s="219">
        <f>VLOOKUP(A264,'RB Depth'!A:G,7,0)-1</f>
        <v/>
      </c>
      <c r="F264" s="218">
        <f>VLOOKUP(A264,'RB Depth'!A:C,3,0)</f>
        <v/>
      </c>
      <c r="G264" s="218">
        <f>VLOOKUP(A264,'RB Depth'!A:B,2,0)</f>
        <v/>
      </c>
      <c r="H264" s="218">
        <f>VLOOKUP(A264,'RB Depth'!A:D,4,0)</f>
        <v/>
      </c>
      <c r="I264" s="218">
        <f>H264&amp;E264</f>
        <v/>
      </c>
      <c r="J264" s="220">
        <f>IF(VLOOKUP(F264,Rush!F:G,2,0)=G264,"OK","Check Team")</f>
        <v/>
      </c>
      <c r="K264" s="156" t="n"/>
      <c r="L264" s="156">
        <f>IFERROR(VLOOKUP(F264&amp;G264,Pass!B:C,2,0),0)</f>
        <v/>
      </c>
      <c r="M264" s="156">
        <f>IFERROR(VLOOKUP(F264&amp;G264,Rush!B:C,2,0),0)</f>
        <v/>
      </c>
      <c r="N264" s="156">
        <f>IFERROR(VLOOKUP(F264&amp;G264,Rec!B:C,2,0),K264)</f>
        <v/>
      </c>
      <c r="O264" s="156">
        <f>IFERROR(VLOOKUP(F264&amp;G264,Returns!A:B,2,0),0)</f>
        <v/>
      </c>
      <c r="Q264" s="156" t="inlineStr">
        <is>
          <t>Sam Howell</t>
        </is>
      </c>
      <c r="R264" s="156" t="inlineStr">
        <is>
          <t>SEA</t>
        </is>
      </c>
      <c r="S264" s="156" t="inlineStr">
        <is>
          <t>QB</t>
        </is>
      </c>
    </row>
    <row r="265" hidden="1" ht="15.6" customHeight="1" s="152">
      <c r="A265" s="217" t="n">
        <v>104</v>
      </c>
      <c r="B265" s="218">
        <f>VLOOKUP(G265,Matrix!R:AA,10,0)</f>
        <v/>
      </c>
      <c r="C265" s="156">
        <f>IF(K265&gt;=0.01,K265,IFERROR(VLOOKUP(F265&amp;G265,Rush!B:C,2,0),K265)+SUM(L265:O265))</f>
        <v/>
      </c>
      <c r="D265" s="218">
        <f>_xlfn.IFNA(INDEX('Injury Report'!F:F, MATCH(G265&amp;F265, 'Injury Report'!A:A, 0)), "Healthy")</f>
        <v/>
      </c>
      <c r="E265" s="219">
        <f>VLOOKUP(A265,'RB Depth'!A:G,7,0)-1</f>
        <v/>
      </c>
      <c r="F265" s="218">
        <f>VLOOKUP(A265,'RB Depth'!A:C,3,0)</f>
        <v/>
      </c>
      <c r="G265" s="218">
        <f>VLOOKUP(A265,'RB Depth'!A:B,2,0)</f>
        <v/>
      </c>
      <c r="H265" s="218">
        <f>VLOOKUP(A265,'RB Depth'!A:D,4,0)</f>
        <v/>
      </c>
      <c r="I265" s="218">
        <f>H265&amp;E265</f>
        <v/>
      </c>
      <c r="J265" s="220">
        <f>IF(VLOOKUP(F265,Rush!F:G,2,0)=G265,"OK","Check Team")</f>
        <v/>
      </c>
      <c r="K265" s="156" t="n"/>
      <c r="L265" s="156">
        <f>IFERROR(VLOOKUP(F265&amp;G265,Pass!B:C,2,0),0)</f>
        <v/>
      </c>
      <c r="M265" s="156">
        <f>IFERROR(VLOOKUP(F265&amp;G265,Rush!B:C,2,0),0)</f>
        <v/>
      </c>
      <c r="N265" s="156">
        <f>IFERROR(VLOOKUP(F265&amp;G265,Rec!B:C,2,0),K265)</f>
        <v/>
      </c>
      <c r="O265" s="156">
        <f>IFERROR(VLOOKUP(F265&amp;G265,Returns!A:B,2,0),0)</f>
        <v/>
      </c>
      <c r="Q265" s="156" t="inlineStr">
        <is>
          <t>Chuba Hubbard</t>
        </is>
      </c>
      <c r="R265" s="156" t="inlineStr">
        <is>
          <t>CAR</t>
        </is>
      </c>
      <c r="S265" s="156" t="inlineStr">
        <is>
          <t>RB</t>
        </is>
      </c>
    </row>
    <row r="266" hidden="1" ht="15.6" customHeight="1" s="152">
      <c r="A266" s="217" t="n">
        <v>105</v>
      </c>
      <c r="B266" s="218">
        <f>VLOOKUP(G266,Matrix!R:AA,10,0)</f>
        <v/>
      </c>
      <c r="C266" s="156">
        <f>IF(K266&gt;=0.01,K266,IFERROR(VLOOKUP(F266&amp;G266,Rush!B:C,2,0),K266)+SUM(L266:O266))</f>
        <v/>
      </c>
      <c r="D266" s="218">
        <f>_xlfn.IFNA(INDEX('Injury Report'!F:F, MATCH(G266&amp;F266, 'Injury Report'!A:A, 0)), "Healthy")</f>
        <v/>
      </c>
      <c r="E266" s="219">
        <f>VLOOKUP(A266,'RB Depth'!A:G,7,0)-1</f>
        <v/>
      </c>
      <c r="F266" s="218">
        <f>VLOOKUP(A266,'RB Depth'!A:C,3,0)</f>
        <v/>
      </c>
      <c r="G266" s="218">
        <f>VLOOKUP(A266,'RB Depth'!A:B,2,0)</f>
        <v/>
      </c>
      <c r="H266" s="218">
        <f>VLOOKUP(A266,'RB Depth'!A:D,4,0)</f>
        <v/>
      </c>
      <c r="I266" s="218">
        <f>H266&amp;E266</f>
        <v/>
      </c>
      <c r="J266" s="220">
        <f>IF(VLOOKUP(F266,Rush!F:G,2,0)=G266,"OK","Check Team")</f>
        <v/>
      </c>
      <c r="K266" s="156" t="n"/>
      <c r="L266" s="156">
        <f>IFERROR(VLOOKUP(F266&amp;G266,Pass!B:C,2,0),0)</f>
        <v/>
      </c>
      <c r="M266" s="156">
        <f>IFERROR(VLOOKUP(F266&amp;G266,Rush!B:C,2,0),0)</f>
        <v/>
      </c>
      <c r="N266" s="156">
        <f>IFERROR(VLOOKUP(F266&amp;G266,Rec!B:C,2,0),K266)</f>
        <v/>
      </c>
      <c r="O266" s="156">
        <f>IFERROR(VLOOKUP(F266&amp;G266,Returns!A:B,2,0),0)</f>
        <v/>
      </c>
      <c r="Q266" s="156" t="inlineStr">
        <is>
          <t>Tanner Hudson</t>
        </is>
      </c>
      <c r="R266" s="156" t="inlineStr">
        <is>
          <t>CIN</t>
        </is>
      </c>
      <c r="S266" s="156" t="inlineStr">
        <is>
          <t>TE</t>
        </is>
      </c>
    </row>
    <row r="267" hidden="1" ht="15.6" customHeight="1" s="152">
      <c r="A267" s="217" t="n">
        <v>106</v>
      </c>
      <c r="B267" s="218">
        <f>VLOOKUP(G267,Matrix!R:AA,10,0)</f>
        <v/>
      </c>
      <c r="C267" s="156">
        <f>IF(K267&gt;=0.01,K267,IFERROR(VLOOKUP(F267&amp;G267,Rush!B:C,2,0),K267)+SUM(L267:O267))</f>
        <v/>
      </c>
      <c r="D267" s="218">
        <f>_xlfn.IFNA(INDEX('Injury Report'!F:F, MATCH(G267&amp;F267, 'Injury Report'!A:A, 0)), "Healthy")</f>
        <v/>
      </c>
      <c r="E267" s="219">
        <f>VLOOKUP(A267,'RB Depth'!A:G,7,0)-1</f>
        <v/>
      </c>
      <c r="F267" s="218">
        <f>VLOOKUP(A267,'RB Depth'!A:C,3,0)</f>
        <v/>
      </c>
      <c r="G267" s="218">
        <f>VLOOKUP(A267,'RB Depth'!A:B,2,0)</f>
        <v/>
      </c>
      <c r="H267" s="218">
        <f>VLOOKUP(A267,'RB Depth'!A:D,4,0)</f>
        <v/>
      </c>
      <c r="I267" s="218">
        <f>H267&amp;E267</f>
        <v/>
      </c>
      <c r="J267" s="220">
        <f>IF(VLOOKUP(F267,Rush!F:G,2,0)=G267,"OK","Check Team")</f>
        <v/>
      </c>
      <c r="K267" s="156" t="n"/>
      <c r="L267" s="156">
        <f>IFERROR(VLOOKUP(F267&amp;G267,Pass!B:C,2,0),0)</f>
        <v/>
      </c>
      <c r="M267" s="156">
        <f>IFERROR(VLOOKUP(F267&amp;G267,Rush!B:C,2,0),0)</f>
        <v/>
      </c>
      <c r="N267" s="156">
        <f>IFERROR(VLOOKUP(F267&amp;G267,Rec!B:C,2,0),K267)</f>
        <v/>
      </c>
      <c r="O267" s="156">
        <f>IFERROR(VLOOKUP(F267&amp;G267,Returns!A:B,2,0),0)</f>
        <v/>
      </c>
      <c r="Q267" s="156" t="inlineStr">
        <is>
          <t>Evan Hull</t>
        </is>
      </c>
      <c r="R267" s="156" t="inlineStr">
        <is>
          <t>FA</t>
        </is>
      </c>
      <c r="S267" s="156" t="inlineStr">
        <is>
          <t>RB</t>
        </is>
      </c>
    </row>
    <row r="268" hidden="1" ht="15.6" customHeight="1" s="152">
      <c r="A268" s="217" t="n">
        <v>107</v>
      </c>
      <c r="B268" s="218">
        <f>VLOOKUP(G268,Matrix!R:AA,10,0)</f>
        <v/>
      </c>
      <c r="C268" s="156">
        <f>IF(K268&gt;=0.01,K268,IFERROR(VLOOKUP(F268&amp;G268,Rush!B:C,2,0),K268)+SUM(L268:O268))</f>
        <v/>
      </c>
      <c r="D268" s="218">
        <f>_xlfn.IFNA(INDEX('Injury Report'!F:F, MATCH(G268&amp;F268, 'Injury Report'!A:A, 0)), "Healthy")</f>
        <v/>
      </c>
      <c r="E268" s="219">
        <f>VLOOKUP(A268,'RB Depth'!A:G,7,0)-1</f>
        <v/>
      </c>
      <c r="F268" s="218">
        <f>VLOOKUP(A268,'RB Depth'!A:C,3,0)</f>
        <v/>
      </c>
      <c r="G268" s="218">
        <f>VLOOKUP(A268,'RB Depth'!A:B,2,0)</f>
        <v/>
      </c>
      <c r="H268" s="218">
        <f>VLOOKUP(A268,'RB Depth'!A:D,4,0)</f>
        <v/>
      </c>
      <c r="I268" s="218">
        <f>H268&amp;E268</f>
        <v/>
      </c>
      <c r="J268" s="220">
        <f>IF(VLOOKUP(F268,Rush!F:G,2,0)=G268,"OK","Check Team")</f>
        <v/>
      </c>
      <c r="K268" s="156" t="n"/>
      <c r="L268" s="156">
        <f>IFERROR(VLOOKUP(F268&amp;G268,Pass!B:C,2,0),0)</f>
        <v/>
      </c>
      <c r="M268" s="156">
        <f>IFERROR(VLOOKUP(F268&amp;G268,Rush!B:C,2,0),0)</f>
        <v/>
      </c>
      <c r="N268" s="156">
        <f>IFERROR(VLOOKUP(F268&amp;G268,Rec!B:C,2,0),K268)</f>
        <v/>
      </c>
      <c r="O268" s="156">
        <f>IFERROR(VLOOKUP(F268&amp;G268,Returns!A:B,2,0),0)</f>
        <v/>
      </c>
      <c r="Q268" s="156" t="inlineStr">
        <is>
          <t>Lil'Jordan Humphrey</t>
        </is>
      </c>
      <c r="R268" s="156" t="inlineStr">
        <is>
          <t>DEN</t>
        </is>
      </c>
      <c r="S268" s="156" t="inlineStr">
        <is>
          <t>WR</t>
        </is>
      </c>
    </row>
    <row r="269" hidden="1" ht="15.6" customHeight="1" s="152">
      <c r="A269" s="217" t="n">
        <v>108</v>
      </c>
      <c r="B269" s="218">
        <f>VLOOKUP(G269,Matrix!R:AA,10,0)</f>
        <v/>
      </c>
      <c r="C269" s="156">
        <f>IF(K269&gt;=0.01,K269,IFERROR(VLOOKUP(F269&amp;G269,Rush!B:C,2,0),K269)+SUM(L269:O269))</f>
        <v/>
      </c>
      <c r="D269" s="218">
        <f>_xlfn.IFNA(INDEX('Injury Report'!F:F, MATCH(G269&amp;F269, 'Injury Report'!A:A, 0)), "Healthy")</f>
        <v/>
      </c>
      <c r="E269" s="219">
        <f>VLOOKUP(A269,'RB Depth'!A:G,7,0)-1</f>
        <v/>
      </c>
      <c r="F269" s="218">
        <f>VLOOKUP(A269,'RB Depth'!A:C,3,0)</f>
        <v/>
      </c>
      <c r="G269" s="218">
        <f>VLOOKUP(A269,'RB Depth'!A:B,2,0)</f>
        <v/>
      </c>
      <c r="H269" s="218">
        <f>VLOOKUP(A269,'RB Depth'!A:D,4,0)</f>
        <v/>
      </c>
      <c r="I269" s="218">
        <f>H269&amp;E269</f>
        <v/>
      </c>
      <c r="J269" s="220">
        <f>IF(VLOOKUP(F269,Rush!F:G,2,0)=G269,"OK","Check Team")</f>
        <v/>
      </c>
      <c r="K269" s="156" t="n"/>
      <c r="L269" s="156">
        <f>IFERROR(VLOOKUP(F269&amp;G269,Pass!B:C,2,0),0)</f>
        <v/>
      </c>
      <c r="M269" s="156">
        <f>IFERROR(VLOOKUP(F269&amp;G269,Rush!B:C,2,0),0)</f>
        <v/>
      </c>
      <c r="N269" s="156">
        <f>IFERROR(VLOOKUP(F269&amp;G269,Rec!B:C,2,0),K269)</f>
        <v/>
      </c>
      <c r="O269" s="156">
        <f>IFERROR(VLOOKUP(F269&amp;G269,Returns!A:B,2,0),0)</f>
        <v/>
      </c>
      <c r="Q269" s="156" t="inlineStr">
        <is>
          <t>Kareem Hunt</t>
        </is>
      </c>
      <c r="R269" s="156" t="inlineStr">
        <is>
          <t>KC</t>
        </is>
      </c>
      <c r="S269" s="156" t="inlineStr">
        <is>
          <t>RB</t>
        </is>
      </c>
    </row>
    <row r="270" hidden="1" ht="15.6" customHeight="1" s="152">
      <c r="A270" s="217" t="n">
        <v>109</v>
      </c>
      <c r="B270" s="218">
        <f>VLOOKUP(G270,Matrix!R:AA,10,0)</f>
        <v/>
      </c>
      <c r="C270" s="156">
        <f>IF(K270&gt;=0.01,K270,IFERROR(VLOOKUP(F270&amp;G270,Rush!B:C,2,0),K270)+SUM(L270:O270))</f>
        <v/>
      </c>
      <c r="D270" s="218">
        <f>_xlfn.IFNA(INDEX('Injury Report'!F:F, MATCH(G270&amp;F270, 'Injury Report'!A:A, 0)), "Healthy")</f>
        <v/>
      </c>
      <c r="E270" s="219">
        <f>VLOOKUP(A270,'RB Depth'!A:G,7,0)-1</f>
        <v/>
      </c>
      <c r="F270" s="218">
        <f>VLOOKUP(A270,'RB Depth'!A:C,3,0)</f>
        <v/>
      </c>
      <c r="G270" s="218">
        <f>VLOOKUP(A270,'RB Depth'!A:B,2,0)</f>
        <v/>
      </c>
      <c r="H270" s="218">
        <f>VLOOKUP(A270,'RB Depth'!A:D,4,0)</f>
        <v/>
      </c>
      <c r="I270" s="218">
        <f>H270&amp;E270</f>
        <v/>
      </c>
      <c r="J270" s="220">
        <f>IF(VLOOKUP(F270,Rush!F:G,2,0)=G270,"OK","Check Team")</f>
        <v/>
      </c>
      <c r="K270" s="156" t="n"/>
      <c r="L270" s="156">
        <f>IFERROR(VLOOKUP(F270&amp;G270,Pass!B:C,2,0),0)</f>
        <v/>
      </c>
      <c r="M270" s="156">
        <f>IFERROR(VLOOKUP(F270&amp;G270,Rush!B:C,2,0),0)</f>
        <v/>
      </c>
      <c r="N270" s="156">
        <f>IFERROR(VLOOKUP(F270&amp;G270,Rec!B:C,2,0),K270)</f>
        <v/>
      </c>
      <c r="O270" s="156">
        <f>IFERROR(VLOOKUP(F270&amp;G270,Returns!A:B,2,0),0)</f>
        <v/>
      </c>
      <c r="Q270" s="156" t="inlineStr">
        <is>
          <t>Caleb Huntley</t>
        </is>
      </c>
      <c r="R270" s="156" t="inlineStr">
        <is>
          <t>FA</t>
        </is>
      </c>
      <c r="S270" s="156" t="inlineStr">
        <is>
          <t>RB</t>
        </is>
      </c>
    </row>
    <row r="271" hidden="1" ht="15.6" customHeight="1" s="152">
      <c r="A271" s="217" t="n">
        <v>110</v>
      </c>
      <c r="B271" s="218">
        <f>VLOOKUP(G271,Matrix!R:AA,10,0)</f>
        <v/>
      </c>
      <c r="C271" s="156">
        <f>IF(K271&gt;=0.01,K271,IFERROR(VLOOKUP(F271&amp;G271,Rush!B:C,2,0),K271)+SUM(L271:O271))</f>
        <v/>
      </c>
      <c r="D271" s="218">
        <f>_xlfn.IFNA(INDEX('Injury Report'!F:F, MATCH(G271&amp;F271, 'Injury Report'!A:A, 0)), "Healthy")</f>
        <v/>
      </c>
      <c r="E271" s="219">
        <f>VLOOKUP(A271,'RB Depth'!A:G,7,0)-1</f>
        <v/>
      </c>
      <c r="F271" s="218">
        <f>VLOOKUP(A271,'RB Depth'!A:C,3,0)</f>
        <v/>
      </c>
      <c r="G271" s="218">
        <f>VLOOKUP(A271,'RB Depth'!A:B,2,0)</f>
        <v/>
      </c>
      <c r="H271" s="218">
        <f>VLOOKUP(A271,'RB Depth'!A:D,4,0)</f>
        <v/>
      </c>
      <c r="I271" s="218">
        <f>H271&amp;E271</f>
        <v/>
      </c>
      <c r="J271" s="220">
        <f>IF(VLOOKUP(F271,Rush!F:G,2,0)=G271,"OK","Check Team")</f>
        <v/>
      </c>
      <c r="K271" s="156" t="n"/>
      <c r="L271" s="156">
        <f>IFERROR(VLOOKUP(F271&amp;G271,Pass!B:C,2,0),0)</f>
        <v/>
      </c>
      <c r="M271" s="156">
        <f>IFERROR(VLOOKUP(F271&amp;G271,Rush!B:C,2,0),0)</f>
        <v/>
      </c>
      <c r="N271" s="156">
        <f>IFERROR(VLOOKUP(F271&amp;G271,Rec!B:C,2,0),K271)</f>
        <v/>
      </c>
      <c r="O271" s="156">
        <f>IFERROR(VLOOKUP(F271&amp;G271,Returns!A:B,2,0),0)</f>
        <v/>
      </c>
      <c r="Q271" s="156" t="inlineStr">
        <is>
          <t>Tyler Huntley</t>
        </is>
      </c>
      <c r="R271" s="156" t="inlineStr">
        <is>
          <t>MIA</t>
        </is>
      </c>
      <c r="S271" s="156" t="inlineStr">
        <is>
          <t>QB</t>
        </is>
      </c>
    </row>
    <row r="272" hidden="1" ht="15.6" customHeight="1" s="152">
      <c r="A272" s="217" t="n">
        <v>111</v>
      </c>
      <c r="B272" s="218">
        <f>VLOOKUP(G272,Matrix!R:AA,10,0)</f>
        <v/>
      </c>
      <c r="C272" s="156">
        <f>IF(K272&gt;=0.01,K272,IFERROR(VLOOKUP(F272&amp;G272,Rush!B:C,2,0),K272)+SUM(L272:O272))</f>
        <v/>
      </c>
      <c r="D272" s="218">
        <f>_xlfn.IFNA(INDEX('Injury Report'!F:F, MATCH(G272&amp;F272, 'Injury Report'!A:A, 0)), "Healthy")</f>
        <v/>
      </c>
      <c r="E272" s="219">
        <f>VLOOKUP(A272,'RB Depth'!A:G,7,0)-1</f>
        <v/>
      </c>
      <c r="F272" s="218">
        <f>VLOOKUP(A272,'RB Depth'!A:C,3,0)</f>
        <v/>
      </c>
      <c r="G272" s="218">
        <f>VLOOKUP(A272,'RB Depth'!A:B,2,0)</f>
        <v/>
      </c>
      <c r="H272" s="218">
        <f>VLOOKUP(A272,'RB Depth'!A:D,4,0)</f>
        <v/>
      </c>
      <c r="I272" s="218">
        <f>H272&amp;E272</f>
        <v/>
      </c>
      <c r="J272" s="220">
        <f>IF(VLOOKUP(F272,Rush!F:G,2,0)=G272,"OK","Check Team")</f>
        <v/>
      </c>
      <c r="K272" s="156" t="n"/>
      <c r="L272" s="156">
        <f>IFERROR(VLOOKUP(F272&amp;G272,Pass!B:C,2,0),0)</f>
        <v/>
      </c>
      <c r="M272" s="156">
        <f>IFERROR(VLOOKUP(F272&amp;G272,Rush!B:C,2,0),0)</f>
        <v/>
      </c>
      <c r="N272" s="156">
        <f>IFERROR(VLOOKUP(F272&amp;G272,Rec!B:C,2,0),K272)</f>
        <v/>
      </c>
      <c r="O272" s="156">
        <f>IFERROR(VLOOKUP(F272&amp;G272,Returns!A:B,2,0),0)</f>
        <v/>
      </c>
      <c r="Q272" s="156" t="inlineStr">
        <is>
          <t>Hayden Hurst</t>
        </is>
      </c>
      <c r="R272" s="156" t="inlineStr">
        <is>
          <t>LAC</t>
        </is>
      </c>
      <c r="S272" s="156" t="inlineStr">
        <is>
          <t>TE</t>
        </is>
      </c>
    </row>
    <row r="273" hidden="1" ht="15.6" customHeight="1" s="152">
      <c r="A273" s="217" t="n">
        <v>112</v>
      </c>
      <c r="B273" s="218">
        <f>VLOOKUP(G273,Matrix!R:AA,10,0)</f>
        <v/>
      </c>
      <c r="C273" s="156">
        <f>IF(K273&gt;=0.01,K273,IFERROR(VLOOKUP(F273&amp;G273,Rush!B:C,2,0),K273)+SUM(L273:O273))</f>
        <v/>
      </c>
      <c r="D273" s="218">
        <f>_xlfn.IFNA(INDEX('Injury Report'!F:F, MATCH(G273&amp;F273, 'Injury Report'!A:A, 0)), "Healthy")</f>
        <v/>
      </c>
      <c r="E273" s="219">
        <f>VLOOKUP(A273,'RB Depth'!A:G,7,0)-1</f>
        <v/>
      </c>
      <c r="F273" s="218">
        <f>VLOOKUP(A273,'RB Depth'!A:C,3,0)</f>
        <v/>
      </c>
      <c r="G273" s="218">
        <f>VLOOKUP(A273,'RB Depth'!A:B,2,0)</f>
        <v/>
      </c>
      <c r="H273" s="218">
        <f>VLOOKUP(A273,'RB Depth'!A:D,4,0)</f>
        <v/>
      </c>
      <c r="I273" s="218">
        <f>H273&amp;E273</f>
        <v/>
      </c>
      <c r="J273" s="220">
        <f>IF(VLOOKUP(F273,Rush!F:G,2,0)=G273,"OK","Check Team")</f>
        <v/>
      </c>
      <c r="K273" s="156" t="n"/>
      <c r="L273" s="156">
        <f>IFERROR(VLOOKUP(F273&amp;G273,Pass!B:C,2,0),0)</f>
        <v/>
      </c>
      <c r="M273" s="156">
        <f>IFERROR(VLOOKUP(F273&amp;G273,Rush!B:C,2,0),0)</f>
        <v/>
      </c>
      <c r="N273" s="156">
        <f>IFERROR(VLOOKUP(F273&amp;G273,Rec!B:C,2,0),K273)</f>
        <v/>
      </c>
      <c r="O273" s="156">
        <f>IFERROR(VLOOKUP(F273&amp;G273,Returns!A:B,2,0),0)</f>
        <v/>
      </c>
      <c r="Q273" s="156" t="inlineStr">
        <is>
          <t>Jalen Hurts</t>
        </is>
      </c>
      <c r="R273" s="156" t="inlineStr">
        <is>
          <t>PHI</t>
        </is>
      </c>
      <c r="S273" s="156" t="inlineStr">
        <is>
          <t>QB</t>
        </is>
      </c>
    </row>
    <row r="274" hidden="1" ht="15.6" customHeight="1" s="152">
      <c r="A274" s="217" t="n">
        <v>113</v>
      </c>
      <c r="B274" s="218">
        <f>VLOOKUP(G274,Matrix!R:AA,10,0)</f>
        <v/>
      </c>
      <c r="C274" s="156">
        <f>IF(K274&gt;=0.01,K274,IFERROR(VLOOKUP(F274&amp;G274,Rush!B:C,2,0),K274)+SUM(L274:O274))</f>
        <v/>
      </c>
      <c r="D274" s="218">
        <f>_xlfn.IFNA(INDEX('Injury Report'!F:F, MATCH(G274&amp;F274, 'Injury Report'!A:A, 0)), "Healthy")</f>
        <v/>
      </c>
      <c r="E274" s="219">
        <f>VLOOKUP(A274,'RB Depth'!A:G,7,0)-1</f>
        <v/>
      </c>
      <c r="F274" s="218">
        <f>VLOOKUP(A274,'RB Depth'!A:C,3,0)</f>
        <v/>
      </c>
      <c r="G274" s="218">
        <f>VLOOKUP(A274,'RB Depth'!A:B,2,0)</f>
        <v/>
      </c>
      <c r="H274" s="218">
        <f>VLOOKUP(A274,'RB Depth'!A:D,4,0)</f>
        <v/>
      </c>
      <c r="I274" s="218">
        <f>H274&amp;E274</f>
        <v/>
      </c>
      <c r="J274" s="220">
        <f>IF(VLOOKUP(F274,Rush!F:G,2,0)=G274,"OK","Check Team")</f>
        <v/>
      </c>
      <c r="K274" s="156" t="n"/>
      <c r="L274" s="156">
        <f>IFERROR(VLOOKUP(F274&amp;G274,Pass!B:C,2,0),0)</f>
        <v/>
      </c>
      <c r="M274" s="156">
        <f>IFERROR(VLOOKUP(F274&amp;G274,Rush!B:C,2,0),0)</f>
        <v/>
      </c>
      <c r="N274" s="156">
        <f>IFERROR(VLOOKUP(F274&amp;G274,Rec!B:C,2,0),K274)</f>
        <v/>
      </c>
      <c r="O274" s="156">
        <f>IFERROR(VLOOKUP(F274&amp;G274,Returns!A:B,2,0),0)</f>
        <v/>
      </c>
      <c r="Q274" s="156" t="inlineStr">
        <is>
          <t>Xavier Hutchinson</t>
        </is>
      </c>
      <c r="R274" s="156" t="inlineStr">
        <is>
          <t>HOU</t>
        </is>
      </c>
      <c r="S274" s="156" t="inlineStr">
        <is>
          <t>WR</t>
        </is>
      </c>
    </row>
    <row r="275" hidden="1" ht="15.6" customHeight="1" s="152">
      <c r="A275" s="217" t="n">
        <v>114</v>
      </c>
      <c r="B275" s="218">
        <f>VLOOKUP(G275,Matrix!R:AA,10,0)</f>
        <v/>
      </c>
      <c r="C275" s="156">
        <f>IF(K275&gt;=0.01,K275,IFERROR(VLOOKUP(F275&amp;G275,Rush!B:C,2,0),K275)+SUM(L275:O275))</f>
        <v/>
      </c>
      <c r="D275" s="218">
        <f>_xlfn.IFNA(INDEX('Injury Report'!F:F, MATCH(G275&amp;F275, 'Injury Report'!A:A, 0)), "Healthy")</f>
        <v/>
      </c>
      <c r="E275" s="219">
        <f>VLOOKUP(A275,'RB Depth'!A:G,7,0)-1</f>
        <v/>
      </c>
      <c r="F275" s="218">
        <f>VLOOKUP(A275,'RB Depth'!A:C,3,0)</f>
        <v/>
      </c>
      <c r="G275" s="218">
        <f>VLOOKUP(A275,'RB Depth'!A:B,2,0)</f>
        <v/>
      </c>
      <c r="H275" s="218">
        <f>VLOOKUP(A275,'RB Depth'!A:D,4,0)</f>
        <v/>
      </c>
      <c r="I275" s="218">
        <f>H275&amp;E275</f>
        <v/>
      </c>
      <c r="J275" s="220">
        <f>IF(VLOOKUP(F275,Rush!F:G,2,0)=G275,"OK","Check Team")</f>
        <v/>
      </c>
      <c r="K275" s="156" t="n"/>
      <c r="L275" s="156">
        <f>IFERROR(VLOOKUP(F275&amp;G275,Pass!B:C,2,0),0)</f>
        <v/>
      </c>
      <c r="M275" s="156">
        <f>IFERROR(VLOOKUP(F275&amp;G275,Rush!B:C,2,0),0)</f>
        <v/>
      </c>
      <c r="N275" s="156">
        <f>IFERROR(VLOOKUP(F275&amp;G275,Rec!B:C,2,0),K275)</f>
        <v/>
      </c>
      <c r="O275" s="156">
        <f>IFERROR(VLOOKUP(F275&amp;G275,Returns!A:B,2,0),0)</f>
        <v/>
      </c>
      <c r="Q275" s="156" t="inlineStr">
        <is>
          <t>Jalin Hyatt</t>
        </is>
      </c>
      <c r="R275" s="156" t="inlineStr">
        <is>
          <t>NYG</t>
        </is>
      </c>
      <c r="S275" s="156" t="inlineStr">
        <is>
          <t>WR</t>
        </is>
      </c>
    </row>
    <row r="276" hidden="1" ht="15.6" customHeight="1" s="152">
      <c r="A276" s="217" t="n">
        <v>115</v>
      </c>
      <c r="B276" s="218">
        <f>VLOOKUP(G276,Matrix!R:AA,10,0)</f>
        <v/>
      </c>
      <c r="C276" s="156">
        <f>IF(K276&gt;=0.01,K276,IFERROR(VLOOKUP(F276&amp;G276,Rush!B:C,2,0),K276)+SUM(L276:O276))</f>
        <v/>
      </c>
      <c r="D276" s="218">
        <f>_xlfn.IFNA(INDEX('Injury Report'!F:F, MATCH(G276&amp;F276, 'Injury Report'!A:A, 0)), "Healthy")</f>
        <v/>
      </c>
      <c r="E276" s="219">
        <f>VLOOKUP(A276,'RB Depth'!A:G,7,0)-1</f>
        <v/>
      </c>
      <c r="F276" s="218">
        <f>VLOOKUP(A276,'RB Depth'!A:C,3,0)</f>
        <v/>
      </c>
      <c r="G276" s="218">
        <f>VLOOKUP(A276,'RB Depth'!A:B,2,0)</f>
        <v/>
      </c>
      <c r="H276" s="218">
        <f>VLOOKUP(A276,'RB Depth'!A:D,4,0)</f>
        <v/>
      </c>
      <c r="I276" s="218">
        <f>H276&amp;E276</f>
        <v/>
      </c>
      <c r="J276" s="220">
        <f>IF(VLOOKUP(F276,Rush!F:G,2,0)=G276,"OK","Check Team")</f>
        <v/>
      </c>
      <c r="K276" s="156" t="n"/>
      <c r="L276" s="156">
        <f>IFERROR(VLOOKUP(F276&amp;G276,Pass!B:C,2,0),0)</f>
        <v/>
      </c>
      <c r="M276" s="156">
        <f>IFERROR(VLOOKUP(F276&amp;G276,Rush!B:C,2,0),0)</f>
        <v/>
      </c>
      <c r="N276" s="156">
        <f>IFERROR(VLOOKUP(F276&amp;G276,Rec!B:C,2,0),K276)</f>
        <v/>
      </c>
      <c r="O276" s="156">
        <f>IFERROR(VLOOKUP(F276&amp;G276,Returns!A:B,2,0),0)</f>
        <v/>
      </c>
      <c r="Q276" s="156" t="inlineStr">
        <is>
          <t>Keaontay Ingram</t>
        </is>
      </c>
      <c r="R276" s="156" t="inlineStr">
        <is>
          <t>FA</t>
        </is>
      </c>
      <c r="S276" s="156" t="inlineStr">
        <is>
          <t>RB</t>
        </is>
      </c>
    </row>
    <row r="277" hidden="1" ht="15.6" customHeight="1" s="152">
      <c r="A277" s="217" t="n">
        <v>116</v>
      </c>
      <c r="B277" s="218">
        <f>VLOOKUP(G277,Matrix!R:AA,10,0)</f>
        <v/>
      </c>
      <c r="C277" s="156">
        <f>IF(K277&gt;=0.01,K277,IFERROR(VLOOKUP(F277&amp;G277,Rush!B:C,2,0),K277)+SUM(L277:O277))</f>
        <v/>
      </c>
      <c r="D277" s="218">
        <f>_xlfn.IFNA(INDEX('Injury Report'!F:F, MATCH(G277&amp;F277, 'Injury Report'!A:A, 0)), "Healthy")</f>
        <v/>
      </c>
      <c r="E277" s="219">
        <f>VLOOKUP(A277,'RB Depth'!A:G,7,0)-1</f>
        <v/>
      </c>
      <c r="F277" s="218">
        <f>VLOOKUP(A277,'RB Depth'!A:C,3,0)</f>
        <v/>
      </c>
      <c r="G277" s="218">
        <f>VLOOKUP(A277,'RB Depth'!A:B,2,0)</f>
        <v/>
      </c>
      <c r="H277" s="218">
        <f>VLOOKUP(A277,'RB Depth'!A:D,4,0)</f>
        <v/>
      </c>
      <c r="I277" s="218">
        <f>H277&amp;E277</f>
        <v/>
      </c>
      <c r="J277" s="220">
        <f>IF(VLOOKUP(F277,Rush!F:G,2,0)=G277,"OK","Check Team")</f>
        <v/>
      </c>
      <c r="K277" s="156" t="n"/>
      <c r="L277" s="156">
        <f>IFERROR(VLOOKUP(F277&amp;G277,Pass!B:C,2,0),0)</f>
        <v/>
      </c>
      <c r="M277" s="156">
        <f>IFERROR(VLOOKUP(F277&amp;G277,Rush!B:C,2,0),0)</f>
        <v/>
      </c>
      <c r="N277" s="156">
        <f>IFERROR(VLOOKUP(F277&amp;G277,Rec!B:C,2,0),K277)</f>
        <v/>
      </c>
      <c r="O277" s="156">
        <f>IFERROR(VLOOKUP(F277&amp;G277,Returns!A:B,2,0),0)</f>
        <v/>
      </c>
      <c r="Q277" s="156" t="inlineStr">
        <is>
          <t>Andrei Iosivas</t>
        </is>
      </c>
      <c r="R277" s="156" t="inlineStr">
        <is>
          <t>CIN</t>
        </is>
      </c>
      <c r="S277" s="156" t="inlineStr">
        <is>
          <t>WR</t>
        </is>
      </c>
    </row>
    <row r="278" hidden="1" ht="15.6" customHeight="1" s="152">
      <c r="A278" s="217" t="n">
        <v>117</v>
      </c>
      <c r="B278" s="218">
        <f>VLOOKUP(G278,Matrix!R:AA,10,0)</f>
        <v/>
      </c>
      <c r="C278" s="156">
        <f>IF(K278&gt;=0.01,K278,IFERROR(VLOOKUP(F278&amp;G278,Rush!B:C,2,0),K278)+SUM(L278:O278))</f>
        <v/>
      </c>
      <c r="D278" s="218">
        <f>_xlfn.IFNA(INDEX('Injury Report'!F:F, MATCH(G278&amp;F278, 'Injury Report'!A:A, 0)), "Healthy")</f>
        <v/>
      </c>
      <c r="E278" s="219">
        <f>VLOOKUP(A278,'RB Depth'!A:G,7,0)-1</f>
        <v/>
      </c>
      <c r="F278" s="218">
        <f>VLOOKUP(A278,'RB Depth'!A:C,3,0)</f>
        <v/>
      </c>
      <c r="G278" s="218">
        <f>VLOOKUP(A278,'RB Depth'!A:B,2,0)</f>
        <v/>
      </c>
      <c r="H278" s="218">
        <f>VLOOKUP(A278,'RB Depth'!A:D,4,0)</f>
        <v/>
      </c>
      <c r="I278" s="218">
        <f>H278&amp;E278</f>
        <v/>
      </c>
      <c r="J278" s="220">
        <f>IF(VLOOKUP(F278,Rush!F:G,2,0)=G278,"OK","Check Team")</f>
        <v/>
      </c>
      <c r="K278" s="156" t="n"/>
      <c r="L278" s="156">
        <f>IFERROR(VLOOKUP(F278&amp;G278,Pass!B:C,2,0),0)</f>
        <v/>
      </c>
      <c r="M278" s="156">
        <f>IFERROR(VLOOKUP(F278&amp;G278,Rush!B:C,2,0),0)</f>
        <v/>
      </c>
      <c r="N278" s="156">
        <f>IFERROR(VLOOKUP(F278&amp;G278,Rec!B:C,2,0),K278)</f>
        <v/>
      </c>
      <c r="O278" s="156">
        <f>IFERROR(VLOOKUP(F278&amp;G278,Returns!A:B,2,0),0)</f>
        <v/>
      </c>
      <c r="Q278" s="156" t="inlineStr">
        <is>
          <t>Bucky Irving</t>
        </is>
      </c>
      <c r="R278" s="156" t="inlineStr">
        <is>
          <t>TB</t>
        </is>
      </c>
      <c r="S278" s="156" t="inlineStr">
        <is>
          <t>RB</t>
        </is>
      </c>
    </row>
    <row r="279" hidden="1" ht="15.6" customHeight="1" s="152">
      <c r="A279" s="217" t="n">
        <v>118</v>
      </c>
      <c r="B279" s="218">
        <f>VLOOKUP(G279,Matrix!R:AA,10,0)</f>
        <v/>
      </c>
      <c r="C279" s="156">
        <f>IF(K279&gt;=0.01,K279,IFERROR(VLOOKUP(F279&amp;G279,Rush!B:C,2,0),K279)+SUM(L279:O279))</f>
        <v/>
      </c>
      <c r="D279" s="218">
        <f>_xlfn.IFNA(INDEX('Injury Report'!F:F, MATCH(G279&amp;F279, 'Injury Report'!A:A, 0)), "Healthy")</f>
        <v/>
      </c>
      <c r="E279" s="219">
        <f>VLOOKUP(A279,'RB Depth'!A:G,7,0)-1</f>
        <v/>
      </c>
      <c r="F279" s="218">
        <f>VLOOKUP(A279,'RB Depth'!A:C,3,0)</f>
        <v/>
      </c>
      <c r="G279" s="218">
        <f>VLOOKUP(A279,'RB Depth'!A:B,2,0)</f>
        <v/>
      </c>
      <c r="H279" s="218">
        <f>VLOOKUP(A279,'RB Depth'!A:D,4,0)</f>
        <v/>
      </c>
      <c r="I279" s="218">
        <f>H279&amp;E279</f>
        <v/>
      </c>
      <c r="J279" s="220">
        <f>IF(VLOOKUP(F279,Rush!F:G,2,0)=G279,"OK","Check Team")</f>
        <v/>
      </c>
      <c r="K279" s="156" t="n"/>
      <c r="L279" s="156">
        <f>IFERROR(VLOOKUP(F279&amp;G279,Pass!B:C,2,0),0)</f>
        <v/>
      </c>
      <c r="M279" s="156">
        <f>IFERROR(VLOOKUP(F279&amp;G279,Rush!B:C,2,0),0)</f>
        <v/>
      </c>
      <c r="N279" s="156">
        <f>IFERROR(VLOOKUP(F279&amp;G279,Rec!B:C,2,0),K279)</f>
        <v/>
      </c>
      <c r="O279" s="156">
        <f>IFERROR(VLOOKUP(F279&amp;G279,Returns!A:B,2,0),0)</f>
        <v/>
      </c>
      <c r="Q279" s="156" t="inlineStr">
        <is>
          <t>Trenton Irwin</t>
        </is>
      </c>
      <c r="R279" s="156" t="inlineStr">
        <is>
          <t>FA</t>
        </is>
      </c>
      <c r="S279" s="156" t="inlineStr">
        <is>
          <t>WR</t>
        </is>
      </c>
    </row>
    <row r="280" hidden="1" ht="15.6" customHeight="1" s="152">
      <c r="A280" s="217" t="n">
        <v>119</v>
      </c>
      <c r="B280" s="218">
        <f>VLOOKUP(G280,Matrix!R:AA,10,0)</f>
        <v/>
      </c>
      <c r="C280" s="156">
        <f>IF(K280&gt;=0.01,K280,IFERROR(VLOOKUP(F280&amp;G280,Rush!B:C,2,0),K280)+SUM(L280:O280))</f>
        <v/>
      </c>
      <c r="D280" s="218">
        <f>_xlfn.IFNA(INDEX('Injury Report'!F:F, MATCH(G280&amp;F280, 'Injury Report'!A:A, 0)), "Healthy")</f>
        <v/>
      </c>
      <c r="E280" s="219">
        <f>VLOOKUP(A280,'RB Depth'!A:G,7,0)-1</f>
        <v/>
      </c>
      <c r="F280" s="218">
        <f>VLOOKUP(A280,'RB Depth'!A:C,3,0)</f>
        <v/>
      </c>
      <c r="G280" s="218">
        <f>VLOOKUP(A280,'RB Depth'!A:B,2,0)</f>
        <v/>
      </c>
      <c r="H280" s="218">
        <f>VLOOKUP(A280,'RB Depth'!A:D,4,0)</f>
        <v/>
      </c>
      <c r="I280" s="218">
        <f>H280&amp;E280</f>
        <v/>
      </c>
      <c r="J280" s="220">
        <f>IF(VLOOKUP(F280,Rush!F:G,2,0)=G280,"OK","Check Team")</f>
        <v/>
      </c>
      <c r="K280" s="156" t="n"/>
      <c r="L280" s="156">
        <f>IFERROR(VLOOKUP(F280&amp;G280,Pass!B:C,2,0),0)</f>
        <v/>
      </c>
      <c r="M280" s="156">
        <f>IFERROR(VLOOKUP(F280&amp;G280,Rush!B:C,2,0),0)</f>
        <v/>
      </c>
      <c r="N280" s="156">
        <f>IFERROR(VLOOKUP(F280&amp;G280,Rec!B:C,2,0),K280)</f>
        <v/>
      </c>
      <c r="O280" s="156">
        <f>IFERROR(VLOOKUP(F280&amp;G280,Returns!A:B,2,0),0)</f>
        <v/>
      </c>
      <c r="Q280" s="156" t="inlineStr">
        <is>
          <t>Jermaine Jackson</t>
        </is>
      </c>
      <c r="R280" s="156" t="inlineStr">
        <is>
          <t>FA</t>
        </is>
      </c>
      <c r="S280" s="156" t="inlineStr">
        <is>
          <t>WR</t>
        </is>
      </c>
    </row>
    <row r="281" hidden="1" ht="15.6" customHeight="1" s="152">
      <c r="A281" s="217" t="n">
        <v>120</v>
      </c>
      <c r="B281" s="218">
        <f>VLOOKUP(G281,Matrix!R:AA,10,0)</f>
        <v/>
      </c>
      <c r="C281" s="156">
        <f>IF(K281&gt;=0.01,K281,IFERROR(VLOOKUP(F281&amp;G281,Rush!B:C,2,0),K281)+SUM(L281:O281))</f>
        <v/>
      </c>
      <c r="D281" s="218">
        <f>_xlfn.IFNA(INDEX('Injury Report'!F:F, MATCH(G281&amp;F281, 'Injury Report'!A:A, 0)), "Healthy")</f>
        <v/>
      </c>
      <c r="E281" s="219">
        <f>VLOOKUP(A281,'RB Depth'!A:G,7,0)-1</f>
        <v/>
      </c>
      <c r="F281" s="218">
        <f>VLOOKUP(A281,'RB Depth'!A:C,3,0)</f>
        <v/>
      </c>
      <c r="G281" s="218">
        <f>VLOOKUP(A281,'RB Depth'!A:B,2,0)</f>
        <v/>
      </c>
      <c r="H281" s="218">
        <f>VLOOKUP(A281,'RB Depth'!A:D,4,0)</f>
        <v/>
      </c>
      <c r="I281" s="218">
        <f>H281&amp;E281</f>
        <v/>
      </c>
      <c r="J281" s="220">
        <f>IF(VLOOKUP(F281,Rush!F:G,2,0)=G281,"OK","Check Team")</f>
        <v/>
      </c>
      <c r="K281" s="156" t="n"/>
      <c r="L281" s="156">
        <f>IFERROR(VLOOKUP(F281&amp;G281,Pass!B:C,2,0),0)</f>
        <v/>
      </c>
      <c r="M281" s="156">
        <f>IFERROR(VLOOKUP(F281&amp;G281,Rush!B:C,2,0),0)</f>
        <v/>
      </c>
      <c r="N281" s="156">
        <f>IFERROR(VLOOKUP(F281&amp;G281,Rec!B:C,2,0),K281)</f>
        <v/>
      </c>
      <c r="O281" s="156">
        <f>IFERROR(VLOOKUP(F281&amp;G281,Returns!A:B,2,0),0)</f>
        <v/>
      </c>
      <c r="Q281" s="156" t="inlineStr">
        <is>
          <t>Jha'Quan Jackson</t>
        </is>
      </c>
      <c r="R281" s="156" t="inlineStr">
        <is>
          <t>TEN</t>
        </is>
      </c>
      <c r="S281" s="156" t="inlineStr">
        <is>
          <t>WR</t>
        </is>
      </c>
    </row>
    <row r="282" hidden="1" ht="15.6" customHeight="1" s="152">
      <c r="A282" s="217" t="n">
        <v>121</v>
      </c>
      <c r="B282" s="218">
        <f>VLOOKUP(G282,Matrix!R:AA,10,0)</f>
        <v/>
      </c>
      <c r="C282" s="156">
        <f>IF(K282&gt;=0.01,K282,IFERROR(VLOOKUP(F282&amp;G282,Rush!B:C,2,0),K282)+SUM(L282:O282))</f>
        <v/>
      </c>
      <c r="D282" s="218">
        <f>_xlfn.IFNA(INDEX('Injury Report'!F:F, MATCH(G282&amp;F282, 'Injury Report'!A:A, 0)), "Healthy")</f>
        <v/>
      </c>
      <c r="E282" s="219">
        <f>VLOOKUP(A282,'RB Depth'!A:G,7,0)-1</f>
        <v/>
      </c>
      <c r="F282" s="218">
        <f>VLOOKUP(A282,'RB Depth'!A:C,3,0)</f>
        <v/>
      </c>
      <c r="G282" s="218">
        <f>VLOOKUP(A282,'RB Depth'!A:B,2,0)</f>
        <v/>
      </c>
      <c r="H282" s="218">
        <f>VLOOKUP(A282,'RB Depth'!A:D,4,0)</f>
        <v/>
      </c>
      <c r="I282" s="218">
        <f>H282&amp;E282</f>
        <v/>
      </c>
      <c r="J282" s="220">
        <f>IF(VLOOKUP(F282,Rush!F:G,2,0)=G282,"OK","Check Team")</f>
        <v/>
      </c>
      <c r="K282" s="156" t="n"/>
      <c r="L282" s="156">
        <f>IFERROR(VLOOKUP(F282&amp;G282,Pass!B:C,2,0),0)</f>
        <v/>
      </c>
      <c r="M282" s="156">
        <f>IFERROR(VLOOKUP(F282&amp;G282,Rush!B:C,2,0),0)</f>
        <v/>
      </c>
      <c r="N282" s="156">
        <f>IFERROR(VLOOKUP(F282&amp;G282,Rec!B:C,2,0),K282)</f>
        <v/>
      </c>
      <c r="O282" s="156">
        <f>IFERROR(VLOOKUP(F282&amp;G282,Returns!A:B,2,0),0)</f>
        <v/>
      </c>
      <c r="Q282" s="156" t="inlineStr">
        <is>
          <t>Lamar Jackson</t>
        </is>
      </c>
      <c r="R282" s="156" t="inlineStr">
        <is>
          <t>BAL</t>
        </is>
      </c>
      <c r="S282" s="156" t="inlineStr">
        <is>
          <t>QB</t>
        </is>
      </c>
    </row>
    <row r="283" hidden="1" ht="15.6" customHeight="1" s="152">
      <c r="A283" s="217" t="n">
        <v>122</v>
      </c>
      <c r="B283" s="218">
        <f>VLOOKUP(G283,Matrix!R:AA,10,0)</f>
        <v/>
      </c>
      <c r="C283" s="156">
        <f>IF(K283&gt;=0.01,K283,IFERROR(VLOOKUP(F283&amp;G283,Rush!B:C,2,0),K283)+SUM(L283:O283))</f>
        <v/>
      </c>
      <c r="D283" s="218">
        <f>_xlfn.IFNA(INDEX('Injury Report'!F:F, MATCH(G283&amp;F283, 'Injury Report'!A:A, 0)), "Healthy")</f>
        <v/>
      </c>
      <c r="E283" s="219">
        <f>VLOOKUP(A283,'RB Depth'!A:G,7,0)-1</f>
        <v/>
      </c>
      <c r="F283" s="218">
        <f>VLOOKUP(A283,'RB Depth'!A:C,3,0)</f>
        <v/>
      </c>
      <c r="G283" s="218">
        <f>VLOOKUP(A283,'RB Depth'!A:B,2,0)</f>
        <v/>
      </c>
      <c r="H283" s="218">
        <f>VLOOKUP(A283,'RB Depth'!A:D,4,0)</f>
        <v/>
      </c>
      <c r="I283" s="218">
        <f>H283&amp;E283</f>
        <v/>
      </c>
      <c r="J283" s="220">
        <f>IF(VLOOKUP(F283,Rush!F:G,2,0)=G283,"OK","Check Team")</f>
        <v/>
      </c>
      <c r="K283" s="156" t="n"/>
      <c r="L283" s="156">
        <f>IFERROR(VLOOKUP(F283&amp;G283,Pass!B:C,2,0),0)</f>
        <v/>
      </c>
      <c r="M283" s="156">
        <f>IFERROR(VLOOKUP(F283&amp;G283,Rush!B:C,2,0),0)</f>
        <v/>
      </c>
      <c r="N283" s="156">
        <f>IFERROR(VLOOKUP(F283&amp;G283,Rec!B:C,2,0),K283)</f>
        <v/>
      </c>
      <c r="O283" s="156">
        <f>IFERROR(VLOOKUP(F283&amp;G283,Returns!A:B,2,0),0)</f>
        <v/>
      </c>
      <c r="Q283" s="156" t="inlineStr">
        <is>
          <t>Josh Jacobs</t>
        </is>
      </c>
      <c r="R283" s="156" t="inlineStr">
        <is>
          <t>GB</t>
        </is>
      </c>
      <c r="S283" s="156" t="inlineStr">
        <is>
          <t>RB</t>
        </is>
      </c>
    </row>
    <row r="284" hidden="1" ht="15.6" customHeight="1" s="152">
      <c r="A284" s="217" t="n">
        <v>123</v>
      </c>
      <c r="B284" s="218">
        <f>VLOOKUP(G284,Matrix!R:AA,10,0)</f>
        <v/>
      </c>
      <c r="C284" s="156">
        <f>IF(K284&gt;=0.01,K284,IFERROR(VLOOKUP(F284&amp;G284,Rush!B:C,2,0),K284)+SUM(L284:O284))</f>
        <v/>
      </c>
      <c r="D284" s="218">
        <f>_xlfn.IFNA(INDEX('Injury Report'!F:F, MATCH(G284&amp;F284, 'Injury Report'!A:A, 0)), "Healthy")</f>
        <v/>
      </c>
      <c r="E284" s="219">
        <f>VLOOKUP(A284,'RB Depth'!A:G,7,0)-1</f>
        <v/>
      </c>
      <c r="F284" s="218">
        <f>VLOOKUP(A284,'RB Depth'!A:C,3,0)</f>
        <v/>
      </c>
      <c r="G284" s="218">
        <f>VLOOKUP(A284,'RB Depth'!A:B,2,0)</f>
        <v/>
      </c>
      <c r="H284" s="218">
        <f>VLOOKUP(A284,'RB Depth'!A:D,4,0)</f>
        <v/>
      </c>
      <c r="I284" s="218">
        <f>H284&amp;E284</f>
        <v/>
      </c>
      <c r="J284" s="220">
        <f>IF(VLOOKUP(F284,Rush!F:G,2,0)=G284,"OK","Check Team")</f>
        <v/>
      </c>
      <c r="K284" s="156" t="n"/>
      <c r="L284" s="156">
        <f>IFERROR(VLOOKUP(F284&amp;G284,Pass!B:C,2,0),0)</f>
        <v/>
      </c>
      <c r="M284" s="156">
        <f>IFERROR(VLOOKUP(F284&amp;G284,Rush!B:C,2,0),0)</f>
        <v/>
      </c>
      <c r="N284" s="156">
        <f>IFERROR(VLOOKUP(F284&amp;G284,Rec!B:C,2,0),K284)</f>
        <v/>
      </c>
      <c r="O284" s="156">
        <f>IFERROR(VLOOKUP(F284&amp;G284,Returns!A:B,2,0),0)</f>
        <v/>
      </c>
      <c r="Q284" s="156" t="inlineStr">
        <is>
          <t>Richie James</t>
        </is>
      </c>
      <c r="R284" s="156" t="inlineStr">
        <is>
          <t>FA</t>
        </is>
      </c>
      <c r="S284" s="156" t="inlineStr">
        <is>
          <t>WR</t>
        </is>
      </c>
    </row>
    <row r="285" hidden="1" ht="15.6" customHeight="1" s="152">
      <c r="A285" s="217" t="n">
        <v>124</v>
      </c>
      <c r="B285" s="218">
        <f>VLOOKUP(G285,Matrix!R:AA,10,0)</f>
        <v/>
      </c>
      <c r="C285" s="156">
        <f>IF(K285&gt;=0.01,K285,IFERROR(VLOOKUP(F285&amp;G285,Rush!B:C,2,0),K285)+SUM(L285:O285))</f>
        <v/>
      </c>
      <c r="D285" s="218">
        <f>_xlfn.IFNA(INDEX('Injury Report'!F:F, MATCH(G285&amp;F285, 'Injury Report'!A:A, 0)), "Healthy")</f>
        <v/>
      </c>
      <c r="E285" s="219">
        <f>VLOOKUP(A285,'RB Depth'!A:G,7,0)-1</f>
        <v/>
      </c>
      <c r="F285" s="218">
        <f>VLOOKUP(A285,'RB Depth'!A:C,3,0)</f>
        <v/>
      </c>
      <c r="G285" s="218">
        <f>VLOOKUP(A285,'RB Depth'!A:B,2,0)</f>
        <v/>
      </c>
      <c r="H285" s="218">
        <f>VLOOKUP(A285,'RB Depth'!A:D,4,0)</f>
        <v/>
      </c>
      <c r="I285" s="218">
        <f>H285&amp;E285</f>
        <v/>
      </c>
      <c r="J285" s="220">
        <f>IF(VLOOKUP(F285,Rush!F:G,2,0)=G285,"OK","Check Team")</f>
        <v/>
      </c>
      <c r="K285" s="156" t="n"/>
      <c r="L285" s="156">
        <f>IFERROR(VLOOKUP(F285&amp;G285,Pass!B:C,2,0),0)</f>
        <v/>
      </c>
      <c r="M285" s="156">
        <f>IFERROR(VLOOKUP(F285&amp;G285,Rush!B:C,2,0),0)</f>
        <v/>
      </c>
      <c r="N285" s="156">
        <f>IFERROR(VLOOKUP(F285&amp;G285,Rec!B:C,2,0),K285)</f>
        <v/>
      </c>
      <c r="O285" s="156">
        <f>IFERROR(VLOOKUP(F285&amp;G285,Returns!A:B,2,0),0)</f>
        <v/>
      </c>
      <c r="Q285" s="156" t="inlineStr">
        <is>
          <t>Rakim Jarrett</t>
        </is>
      </c>
      <c r="R285" s="156" t="inlineStr">
        <is>
          <t>TB</t>
        </is>
      </c>
      <c r="S285" s="156" t="inlineStr">
        <is>
          <t>WR</t>
        </is>
      </c>
    </row>
    <row r="286" hidden="1" ht="15.6" customHeight="1" s="152">
      <c r="A286" s="217" t="n">
        <v>125</v>
      </c>
      <c r="B286" s="218">
        <f>VLOOKUP(G286,Matrix!R:AA,10,0)</f>
        <v/>
      </c>
      <c r="C286" s="156">
        <f>IF(K286&gt;=0.01,K286,IFERROR(VLOOKUP(F286&amp;G286,Rush!B:C,2,0),K286)+SUM(L286:O286))</f>
        <v/>
      </c>
      <c r="D286" s="218">
        <f>_xlfn.IFNA(INDEX('Injury Report'!F:F, MATCH(G286&amp;F286, 'Injury Report'!A:A, 0)), "Healthy")</f>
        <v/>
      </c>
      <c r="E286" s="219">
        <f>VLOOKUP(A286,'RB Depth'!A:G,7,0)-1</f>
        <v/>
      </c>
      <c r="F286" s="218">
        <f>VLOOKUP(A286,'RB Depth'!A:C,3,0)</f>
        <v/>
      </c>
      <c r="G286" s="218">
        <f>VLOOKUP(A286,'RB Depth'!A:B,2,0)</f>
        <v/>
      </c>
      <c r="H286" s="218">
        <f>VLOOKUP(A286,'RB Depth'!A:D,4,0)</f>
        <v/>
      </c>
      <c r="I286" s="218">
        <f>H286&amp;E286</f>
        <v/>
      </c>
      <c r="J286" s="220">
        <f>IF(VLOOKUP(F286,Rush!F:G,2,0)=G286,"OK","Check Team")</f>
        <v/>
      </c>
      <c r="K286" s="156" t="n"/>
      <c r="L286" s="156">
        <f>IFERROR(VLOOKUP(F286&amp;G286,Pass!B:C,2,0),0)</f>
        <v/>
      </c>
      <c r="M286" s="156">
        <f>IFERROR(VLOOKUP(F286&amp;G286,Rush!B:C,2,0),0)</f>
        <v/>
      </c>
      <c r="N286" s="156">
        <f>IFERROR(VLOOKUP(F286&amp;G286,Rec!B:C,2,0),K286)</f>
        <v/>
      </c>
      <c r="O286" s="156">
        <f>IFERROR(VLOOKUP(F286&amp;G286,Returns!A:B,2,0),0)</f>
        <v/>
      </c>
      <c r="Q286" s="156" t="inlineStr">
        <is>
          <t>Jermar Jefferson</t>
        </is>
      </c>
      <c r="R286" s="156" t="inlineStr">
        <is>
          <t>FA</t>
        </is>
      </c>
      <c r="S286" s="156" t="inlineStr">
        <is>
          <t>RB</t>
        </is>
      </c>
    </row>
    <row r="287" hidden="1" ht="15.6" customHeight="1" s="152">
      <c r="A287" s="217" t="n">
        <v>126</v>
      </c>
      <c r="B287" s="218">
        <f>VLOOKUP(G287,Matrix!R:AA,10,0)</f>
        <v/>
      </c>
      <c r="C287" s="156">
        <f>IF(K287&gt;=0.01,K287,IFERROR(VLOOKUP(F287&amp;G287,Rush!B:C,2,0),K287)+SUM(L287:O287))</f>
        <v/>
      </c>
      <c r="D287" s="218">
        <f>_xlfn.IFNA(INDEX('Injury Report'!F:F, MATCH(G287&amp;F287, 'Injury Report'!A:A, 0)), "Healthy")</f>
        <v/>
      </c>
      <c r="E287" s="219">
        <f>VLOOKUP(A287,'RB Depth'!A:G,7,0)-1</f>
        <v/>
      </c>
      <c r="F287" s="218">
        <f>VLOOKUP(A287,'RB Depth'!A:C,3,0)</f>
        <v/>
      </c>
      <c r="G287" s="218">
        <f>VLOOKUP(A287,'RB Depth'!A:B,2,0)</f>
        <v/>
      </c>
      <c r="H287" s="218">
        <f>VLOOKUP(A287,'RB Depth'!A:D,4,0)</f>
        <v/>
      </c>
      <c r="I287" s="218">
        <f>H287&amp;E287</f>
        <v/>
      </c>
      <c r="J287" s="220">
        <f>IF(VLOOKUP(F287,Rush!F:G,2,0)=G287,"OK","Check Team")</f>
        <v/>
      </c>
      <c r="K287" s="156" t="n"/>
      <c r="L287" s="156">
        <f>IFERROR(VLOOKUP(F287&amp;G287,Pass!B:C,2,0),0)</f>
        <v/>
      </c>
      <c r="M287" s="156">
        <f>IFERROR(VLOOKUP(F287&amp;G287,Rush!B:C,2,0),0)</f>
        <v/>
      </c>
      <c r="N287" s="156">
        <f>IFERROR(VLOOKUP(F287&amp;G287,Rec!B:C,2,0),K287)</f>
        <v/>
      </c>
      <c r="O287" s="156">
        <f>IFERROR(VLOOKUP(F287&amp;G287,Returns!A:B,2,0),0)</f>
        <v/>
      </c>
      <c r="Q287" s="156" t="inlineStr">
        <is>
          <t>Van Jefferson</t>
        </is>
      </c>
      <c r="R287" s="156" t="inlineStr">
        <is>
          <t>PIT</t>
        </is>
      </c>
      <c r="S287" s="156" t="inlineStr">
        <is>
          <t>WR</t>
        </is>
      </c>
    </row>
    <row r="288" hidden="1" ht="15.6" customHeight="1" s="152">
      <c r="A288" s="217" t="n">
        <v>127</v>
      </c>
      <c r="B288" s="218">
        <f>VLOOKUP(G288,Matrix!R:AA,10,0)</f>
        <v/>
      </c>
      <c r="C288" s="156">
        <f>IF(K288&gt;=0.01,K288,IFERROR(VLOOKUP(F288&amp;G288,Rush!B:C,2,0),K288)+SUM(L288:O288))</f>
        <v/>
      </c>
      <c r="D288" s="218">
        <f>_xlfn.IFNA(INDEX('Injury Report'!F:F, MATCH(G288&amp;F288, 'Injury Report'!A:A, 0)), "Healthy")</f>
        <v/>
      </c>
      <c r="E288" s="219">
        <f>VLOOKUP(A288,'RB Depth'!A:G,7,0)-1</f>
        <v/>
      </c>
      <c r="F288" s="218">
        <f>VLOOKUP(A288,'RB Depth'!A:C,3,0)</f>
        <v/>
      </c>
      <c r="G288" s="218">
        <f>VLOOKUP(A288,'RB Depth'!A:B,2,0)</f>
        <v/>
      </c>
      <c r="H288" s="218">
        <f>VLOOKUP(A288,'RB Depth'!A:D,4,0)</f>
        <v/>
      </c>
      <c r="I288" s="218">
        <f>H288&amp;E288</f>
        <v/>
      </c>
      <c r="J288" s="220">
        <f>IF(VLOOKUP(F288,Rush!F:G,2,0)=G288,"OK","Check Team")</f>
        <v/>
      </c>
      <c r="K288" s="156" t="n"/>
      <c r="L288" s="156">
        <f>IFERROR(VLOOKUP(F288&amp;G288,Pass!B:C,2,0),0)</f>
        <v/>
      </c>
      <c r="M288" s="156">
        <f>IFERROR(VLOOKUP(F288&amp;G288,Rush!B:C,2,0),0)</f>
        <v/>
      </c>
      <c r="N288" s="156">
        <f>IFERROR(VLOOKUP(F288&amp;G288,Rec!B:C,2,0),K288)</f>
        <v/>
      </c>
      <c r="O288" s="156">
        <f>IFERROR(VLOOKUP(F288&amp;G288,Returns!A:B,2,0),0)</f>
        <v/>
      </c>
      <c r="Q288" s="156" t="inlineStr">
        <is>
          <t>Justin Jefferson</t>
        </is>
      </c>
      <c r="R288" s="156" t="inlineStr">
        <is>
          <t>MIN</t>
        </is>
      </c>
      <c r="S288" s="156" t="inlineStr">
        <is>
          <t>WR</t>
        </is>
      </c>
    </row>
    <row r="289" hidden="1" ht="15.6" customHeight="1" s="152">
      <c r="A289" s="217" t="n">
        <v>128</v>
      </c>
      <c r="B289" s="218">
        <f>VLOOKUP(G289,Matrix!R:AA,10,0)</f>
        <v/>
      </c>
      <c r="C289" s="156">
        <f>IF(K289&gt;=0.01,K289,IFERROR(VLOOKUP(F289&amp;G289,Rush!B:C,2,0),K289)+SUM(L289:O289))</f>
        <v/>
      </c>
      <c r="D289" s="218">
        <f>_xlfn.IFNA(INDEX('Injury Report'!F:F, MATCH(G289&amp;F289, 'Injury Report'!A:A, 0)), "Healthy")</f>
        <v/>
      </c>
      <c r="E289" s="219">
        <f>VLOOKUP(A289,'RB Depth'!A:G,7,0)-1</f>
        <v/>
      </c>
      <c r="F289" s="218">
        <f>VLOOKUP(A289,'RB Depth'!A:C,3,0)</f>
        <v/>
      </c>
      <c r="G289" s="218">
        <f>VLOOKUP(A289,'RB Depth'!A:B,2,0)</f>
        <v/>
      </c>
      <c r="H289" s="218">
        <f>VLOOKUP(A289,'RB Depth'!A:D,4,0)</f>
        <v/>
      </c>
      <c r="I289" s="218">
        <f>H289&amp;E289</f>
        <v/>
      </c>
      <c r="J289" s="220">
        <f>IF(VLOOKUP(F289,Rush!F:G,2,0)=G289,"OK","Check Team")</f>
        <v/>
      </c>
      <c r="K289" s="156" t="n"/>
      <c r="L289" s="156">
        <f>IFERROR(VLOOKUP(F289&amp;G289,Pass!B:C,2,0),0)</f>
        <v/>
      </c>
      <c r="M289" s="156">
        <f>IFERROR(VLOOKUP(F289&amp;G289,Rush!B:C,2,0),0)</f>
        <v/>
      </c>
      <c r="N289" s="156">
        <f>IFERROR(VLOOKUP(F289&amp;G289,Rec!B:C,2,0),K289)</f>
        <v/>
      </c>
      <c r="O289" s="156">
        <f>IFERROR(VLOOKUP(F289&amp;G289,Returns!A:B,2,0),0)</f>
        <v/>
      </c>
      <c r="Q289" s="156" t="inlineStr">
        <is>
          <t>Jauan Jennings</t>
        </is>
      </c>
      <c r="R289" s="156" t="inlineStr">
        <is>
          <t>SF</t>
        </is>
      </c>
      <c r="S289" s="156" t="inlineStr">
        <is>
          <t>WR</t>
        </is>
      </c>
    </row>
    <row r="290" hidden="1" ht="15.6" customHeight="1" s="152">
      <c r="A290" s="217" t="n">
        <v>129</v>
      </c>
      <c r="B290" s="218">
        <f>VLOOKUP(G290,Matrix!R:AA,10,0)</f>
        <v/>
      </c>
      <c r="C290" s="156">
        <f>IF(K290&gt;=0.01,K290,IFERROR(VLOOKUP(F290&amp;G290,Rush!B:C,2,0),K290)+SUM(L290:O290))</f>
        <v/>
      </c>
      <c r="D290" s="218">
        <f>_xlfn.IFNA(INDEX('Injury Report'!F:F, MATCH(G290&amp;F290, 'Injury Report'!A:A, 0)), "Healthy")</f>
        <v/>
      </c>
      <c r="E290" s="219">
        <f>VLOOKUP(A290,'RB Depth'!A:G,7,0)-1</f>
        <v/>
      </c>
      <c r="F290" s="218">
        <f>VLOOKUP(A290,'RB Depth'!A:C,3,0)</f>
        <v/>
      </c>
      <c r="G290" s="218">
        <f>VLOOKUP(A290,'RB Depth'!A:B,2,0)</f>
        <v/>
      </c>
      <c r="H290" s="218">
        <f>VLOOKUP(A290,'RB Depth'!A:D,4,0)</f>
        <v/>
      </c>
      <c r="I290" s="218">
        <f>H290&amp;E290</f>
        <v/>
      </c>
      <c r="J290" s="220">
        <f>IF(VLOOKUP(F290,Rush!F:G,2,0)=G290,"OK","Check Team")</f>
        <v/>
      </c>
      <c r="K290" s="156" t="n"/>
      <c r="L290" s="156">
        <f>IFERROR(VLOOKUP(F290&amp;G290,Pass!B:C,2,0),0)</f>
        <v/>
      </c>
      <c r="M290" s="156">
        <f>IFERROR(VLOOKUP(F290&amp;G290,Rush!B:C,2,0),0)</f>
        <v/>
      </c>
      <c r="N290" s="156">
        <f>IFERROR(VLOOKUP(F290&amp;G290,Rec!B:C,2,0),K290)</f>
        <v/>
      </c>
      <c r="O290" s="156">
        <f>IFERROR(VLOOKUP(F290&amp;G290,Returns!A:B,2,0),0)</f>
        <v/>
      </c>
      <c r="Q290" s="156" t="inlineStr">
        <is>
          <t>Jerry Jeudy</t>
        </is>
      </c>
      <c r="R290" s="156" t="inlineStr">
        <is>
          <t>CLE</t>
        </is>
      </c>
      <c r="S290" s="156" t="inlineStr">
        <is>
          <t>WR</t>
        </is>
      </c>
    </row>
    <row r="291" hidden="1" ht="15.6" customHeight="1" s="152">
      <c r="A291" s="217" t="n">
        <v>130</v>
      </c>
      <c r="B291" s="218">
        <f>VLOOKUP(G291,Matrix!R:AA,10,0)</f>
        <v/>
      </c>
      <c r="C291" s="156">
        <f>IF(K291&gt;=0.01,K291,IFERROR(VLOOKUP(F291&amp;G291,Rush!B:C,2,0),K291)+SUM(L291:O291))</f>
        <v/>
      </c>
      <c r="D291" s="218">
        <f>_xlfn.IFNA(INDEX('Injury Report'!F:F, MATCH(G291&amp;F291, 'Injury Report'!A:A, 0)), "Healthy")</f>
        <v/>
      </c>
      <c r="E291" s="219">
        <f>VLOOKUP(A291,'RB Depth'!A:G,7,0)-1</f>
        <v/>
      </c>
      <c r="F291" s="218">
        <f>VLOOKUP(A291,'RB Depth'!A:C,3,0)</f>
        <v/>
      </c>
      <c r="G291" s="218">
        <f>VLOOKUP(A291,'RB Depth'!A:B,2,0)</f>
        <v/>
      </c>
      <c r="H291" s="218">
        <f>VLOOKUP(A291,'RB Depth'!A:D,4,0)</f>
        <v/>
      </c>
      <c r="I291" s="218">
        <f>H291&amp;E291</f>
        <v/>
      </c>
      <c r="J291" s="220">
        <f>IF(VLOOKUP(F291,Rush!F:G,2,0)=G291,"OK","Check Team")</f>
        <v/>
      </c>
      <c r="K291" s="156" t="n"/>
      <c r="L291" s="156">
        <f>IFERROR(VLOOKUP(F291&amp;G291,Pass!B:C,2,0),0)</f>
        <v/>
      </c>
      <c r="M291" s="156">
        <f>IFERROR(VLOOKUP(F291&amp;G291,Rush!B:C,2,0),0)</f>
        <v/>
      </c>
      <c r="N291" s="156">
        <f>IFERROR(VLOOKUP(F291&amp;G291,Rec!B:C,2,0),K291)</f>
        <v/>
      </c>
      <c r="O291" s="156">
        <f>IFERROR(VLOOKUP(F291&amp;G291,Returns!A:B,2,0),0)</f>
        <v/>
      </c>
      <c r="Q291" s="156" t="inlineStr">
        <is>
          <t>Brandon Johnson</t>
        </is>
      </c>
      <c r="R291" s="156" t="inlineStr">
        <is>
          <t>FA</t>
        </is>
      </c>
      <c r="S291" s="156" t="inlineStr">
        <is>
          <t>WR</t>
        </is>
      </c>
    </row>
    <row r="292" hidden="1" ht="15.6" customHeight="1" s="152">
      <c r="A292" s="217" t="n">
        <v>131</v>
      </c>
      <c r="B292" s="218">
        <f>VLOOKUP(G292,Matrix!R:AA,10,0)</f>
        <v/>
      </c>
      <c r="C292" s="156">
        <f>IF(K292&gt;=0.01,K292,IFERROR(VLOOKUP(F292&amp;G292,Rush!B:C,2,0),K292)+SUM(L292:O292))</f>
        <v/>
      </c>
      <c r="D292" s="218">
        <f>_xlfn.IFNA(INDEX('Injury Report'!F:F, MATCH(G292&amp;F292, 'Injury Report'!A:A, 0)), "Healthy")</f>
        <v/>
      </c>
      <c r="E292" s="219">
        <f>VLOOKUP(A292,'RB Depth'!A:G,7,0)-1</f>
        <v/>
      </c>
      <c r="F292" s="218">
        <f>VLOOKUP(A292,'RB Depth'!A:C,3,0)</f>
        <v/>
      </c>
      <c r="G292" s="218">
        <f>VLOOKUP(A292,'RB Depth'!A:B,2,0)</f>
        <v/>
      </c>
      <c r="H292" s="218">
        <f>VLOOKUP(A292,'RB Depth'!A:D,4,0)</f>
        <v/>
      </c>
      <c r="I292" s="218">
        <f>H292&amp;E292</f>
        <v/>
      </c>
      <c r="J292" s="220">
        <f>IF(VLOOKUP(F292,Rush!F:G,2,0)=G292,"OK","Check Team")</f>
        <v/>
      </c>
      <c r="K292" s="156" t="n"/>
      <c r="L292" s="156">
        <f>IFERROR(VLOOKUP(F292&amp;G292,Pass!B:C,2,0),0)</f>
        <v/>
      </c>
      <c r="M292" s="156">
        <f>IFERROR(VLOOKUP(F292&amp;G292,Rush!B:C,2,0),0)</f>
        <v/>
      </c>
      <c r="N292" s="156">
        <f>IFERROR(VLOOKUP(F292&amp;G292,Rec!B:C,2,0),K292)</f>
        <v/>
      </c>
      <c r="O292" s="156">
        <f>IFERROR(VLOOKUP(F292&amp;G292,Returns!A:B,2,0),0)</f>
        <v/>
      </c>
      <c r="Q292" s="156" t="inlineStr">
        <is>
          <t>Roschon Johnson</t>
        </is>
      </c>
      <c r="R292" s="156" t="inlineStr">
        <is>
          <t>CHI</t>
        </is>
      </c>
      <c r="S292" s="156" t="inlineStr">
        <is>
          <t>RB</t>
        </is>
      </c>
    </row>
    <row r="293" hidden="1" ht="15.6" customHeight="1" s="152">
      <c r="A293" s="217" t="n">
        <v>132</v>
      </c>
      <c r="B293" s="218">
        <f>VLOOKUP(G293,Matrix!R:AA,10,0)</f>
        <v/>
      </c>
      <c r="C293" s="156">
        <f>IF(K293&gt;=0.01,K293,IFERROR(VLOOKUP(F293&amp;G293,Rush!B:C,2,0),K293)+SUM(L293:O293))</f>
        <v/>
      </c>
      <c r="D293" s="218">
        <f>_xlfn.IFNA(INDEX('Injury Report'!F:F, MATCH(G293&amp;F293, 'Injury Report'!A:A, 0)), "Healthy")</f>
        <v/>
      </c>
      <c r="E293" s="219">
        <f>VLOOKUP(A293,'RB Depth'!A:G,7,0)-1</f>
        <v/>
      </c>
      <c r="F293" s="218">
        <f>VLOOKUP(A293,'RB Depth'!A:C,3,0)</f>
        <v/>
      </c>
      <c r="G293" s="218">
        <f>VLOOKUP(A293,'RB Depth'!A:B,2,0)</f>
        <v/>
      </c>
      <c r="H293" s="218">
        <f>VLOOKUP(A293,'RB Depth'!A:D,4,0)</f>
        <v/>
      </c>
      <c r="I293" s="218">
        <f>H293&amp;E293</f>
        <v/>
      </c>
      <c r="J293" s="220">
        <f>IF(VLOOKUP(F293,Rush!F:G,2,0)=G293,"OK","Check Team")</f>
        <v/>
      </c>
      <c r="K293" s="156" t="n"/>
      <c r="L293" s="156">
        <f>IFERROR(VLOOKUP(F293&amp;G293,Pass!B:C,2,0),0)</f>
        <v/>
      </c>
      <c r="M293" s="156">
        <f>IFERROR(VLOOKUP(F293&amp;G293,Rush!B:C,2,0),0)</f>
        <v/>
      </c>
      <c r="N293" s="156">
        <f>IFERROR(VLOOKUP(F293&amp;G293,Rec!B:C,2,0),K293)</f>
        <v/>
      </c>
      <c r="O293" s="156">
        <f>IFERROR(VLOOKUP(F293&amp;G293,Returns!A:B,2,0),0)</f>
        <v/>
      </c>
      <c r="Q293" s="156" t="inlineStr">
        <is>
          <t>Dillon Johnson</t>
        </is>
      </c>
      <c r="R293" s="156" t="inlineStr">
        <is>
          <t>FA</t>
        </is>
      </c>
      <c r="S293" s="156" t="inlineStr">
        <is>
          <t>RB</t>
        </is>
      </c>
    </row>
    <row r="294" hidden="1" ht="15.6" customHeight="1" s="152">
      <c r="A294" s="217" t="n">
        <v>133</v>
      </c>
      <c r="B294" s="218">
        <f>VLOOKUP(G294,Matrix!R:AA,10,0)</f>
        <v/>
      </c>
      <c r="C294" s="156">
        <f>IF(K294&gt;=0.01,K294,IFERROR(VLOOKUP(F294&amp;G294,Rush!B:C,2,0),K294)+SUM(L294:O294))</f>
        <v/>
      </c>
      <c r="D294" s="218">
        <f>_xlfn.IFNA(INDEX('Injury Report'!F:F, MATCH(G294&amp;F294, 'Injury Report'!A:A, 0)), "Healthy")</f>
        <v/>
      </c>
      <c r="E294" s="219">
        <f>VLOOKUP(A294,'RB Depth'!A:G,7,0)-1</f>
        <v/>
      </c>
      <c r="F294" s="218">
        <f>VLOOKUP(A294,'RB Depth'!A:C,3,0)</f>
        <v/>
      </c>
      <c r="G294" s="218">
        <f>VLOOKUP(A294,'RB Depth'!A:B,2,0)</f>
        <v/>
      </c>
      <c r="H294" s="218">
        <f>VLOOKUP(A294,'RB Depth'!A:D,4,0)</f>
        <v/>
      </c>
      <c r="I294" s="218">
        <f>H294&amp;E294</f>
        <v/>
      </c>
      <c r="J294" s="220">
        <f>IF(VLOOKUP(F294,Rush!F:G,2,0)=G294,"OK","Check Team")</f>
        <v/>
      </c>
      <c r="K294" s="156" t="n"/>
      <c r="L294" s="156">
        <f>IFERROR(VLOOKUP(F294&amp;G294,Pass!B:C,2,0),0)</f>
        <v/>
      </c>
      <c r="M294" s="156">
        <f>IFERROR(VLOOKUP(F294&amp;G294,Rush!B:C,2,0),0)</f>
        <v/>
      </c>
      <c r="N294" s="156">
        <f>IFERROR(VLOOKUP(F294&amp;G294,Rec!B:C,2,0),K294)</f>
        <v/>
      </c>
      <c r="O294" s="156">
        <f>IFERROR(VLOOKUP(F294&amp;G294,Returns!A:B,2,0),0)</f>
        <v/>
      </c>
      <c r="Q294" s="156" t="inlineStr">
        <is>
          <t>Theo Johnson</t>
        </is>
      </c>
      <c r="R294" s="156" t="inlineStr">
        <is>
          <t>NYG</t>
        </is>
      </c>
      <c r="S294" s="156" t="inlineStr">
        <is>
          <t>TE</t>
        </is>
      </c>
    </row>
    <row r="295" hidden="1" ht="15.6" customHeight="1" s="152">
      <c r="A295" s="217" t="n">
        <v>134</v>
      </c>
      <c r="B295" s="218">
        <f>VLOOKUP(G295,Matrix!R:AA,10,0)</f>
        <v/>
      </c>
      <c r="C295" s="156">
        <f>IF(K295&gt;=0.01,K295,IFERROR(VLOOKUP(F295&amp;G295,Rush!B:C,2,0),K295)+SUM(L295:O295))</f>
        <v/>
      </c>
      <c r="D295" s="218">
        <f>_xlfn.IFNA(INDEX('Injury Report'!F:F, MATCH(G295&amp;F295, 'Injury Report'!A:A, 0)), "Healthy")</f>
        <v/>
      </c>
      <c r="E295" s="219">
        <f>VLOOKUP(A295,'RB Depth'!A:G,7,0)-1</f>
        <v/>
      </c>
      <c r="F295" s="218">
        <f>VLOOKUP(A295,'RB Depth'!A:C,3,0)</f>
        <v/>
      </c>
      <c r="G295" s="218">
        <f>VLOOKUP(A295,'RB Depth'!A:B,2,0)</f>
        <v/>
      </c>
      <c r="H295" s="218">
        <f>VLOOKUP(A295,'RB Depth'!A:D,4,0)</f>
        <v/>
      </c>
      <c r="I295" s="218">
        <f>H295&amp;E295</f>
        <v/>
      </c>
      <c r="J295" s="220">
        <f>IF(VLOOKUP(F295,Rush!F:G,2,0)=G295,"OK","Check Team")</f>
        <v/>
      </c>
      <c r="K295" s="156" t="n"/>
      <c r="L295" s="156">
        <f>IFERROR(VLOOKUP(F295&amp;G295,Pass!B:C,2,0),0)</f>
        <v/>
      </c>
      <c r="M295" s="156">
        <f>IFERROR(VLOOKUP(F295&amp;G295,Rush!B:C,2,0),0)</f>
        <v/>
      </c>
      <c r="N295" s="156">
        <f>IFERROR(VLOOKUP(F295&amp;G295,Rec!B:C,2,0),K295)</f>
        <v/>
      </c>
      <c r="O295" s="156">
        <f>IFERROR(VLOOKUP(F295&amp;G295,Returns!A:B,2,0),0)</f>
        <v/>
      </c>
      <c r="Q295" s="156" t="inlineStr">
        <is>
          <t>Cornelius Johnson</t>
        </is>
      </c>
      <c r="R295" s="156" t="inlineStr">
        <is>
          <t>FA</t>
        </is>
      </c>
      <c r="S295" s="156" t="inlineStr">
        <is>
          <t>WR</t>
        </is>
      </c>
    </row>
    <row r="296" hidden="1" ht="15.6" customHeight="1" s="152">
      <c r="A296" s="217" t="n">
        <v>135</v>
      </c>
      <c r="B296" s="218">
        <f>VLOOKUP(G296,Matrix!R:AA,10,0)</f>
        <v/>
      </c>
      <c r="C296" s="156">
        <f>IF(K296&gt;=0.01,K296,IFERROR(VLOOKUP(F296&amp;G296,Rush!B:C,2,0),K296)+SUM(L296:O296))</f>
        <v/>
      </c>
      <c r="D296" s="218">
        <f>_xlfn.IFNA(INDEX('Injury Report'!F:F, MATCH(G296&amp;F296, 'Injury Report'!A:A, 0)), "Healthy")</f>
        <v/>
      </c>
      <c r="E296" s="219">
        <f>VLOOKUP(A296,'RB Depth'!A:G,7,0)-1</f>
        <v/>
      </c>
      <c r="F296" s="218">
        <f>VLOOKUP(A296,'RB Depth'!A:C,3,0)</f>
        <v/>
      </c>
      <c r="G296" s="218">
        <f>VLOOKUP(A296,'RB Depth'!A:B,2,0)</f>
        <v/>
      </c>
      <c r="H296" s="218">
        <f>VLOOKUP(A296,'RB Depth'!A:D,4,0)</f>
        <v/>
      </c>
      <c r="I296" s="218">
        <f>H296&amp;E296</f>
        <v/>
      </c>
      <c r="J296" s="220">
        <f>IF(VLOOKUP(F296,Rush!F:G,2,0)=G296,"OK","Check Team")</f>
        <v/>
      </c>
      <c r="K296" s="156" t="n"/>
      <c r="L296" s="156">
        <f>IFERROR(VLOOKUP(F296&amp;G296,Pass!B:C,2,0),0)</f>
        <v/>
      </c>
      <c r="M296" s="156">
        <f>IFERROR(VLOOKUP(F296&amp;G296,Rush!B:C,2,0),0)</f>
        <v/>
      </c>
      <c r="N296" s="156">
        <f>IFERROR(VLOOKUP(F296&amp;G296,Rec!B:C,2,0),K296)</f>
        <v/>
      </c>
      <c r="O296" s="156">
        <f>IFERROR(VLOOKUP(F296&amp;G296,Returns!A:B,2,0),0)</f>
        <v/>
      </c>
      <c r="Q296" s="156" t="inlineStr">
        <is>
          <t>Kameron Johnson</t>
        </is>
      </c>
      <c r="R296" s="156" t="inlineStr">
        <is>
          <t>TB</t>
        </is>
      </c>
      <c r="S296" s="156" t="inlineStr">
        <is>
          <t>WR</t>
        </is>
      </c>
    </row>
    <row r="297" hidden="1" ht="15.6" customHeight="1" s="152">
      <c r="A297" s="217" t="n">
        <v>136</v>
      </c>
      <c r="B297" s="218">
        <f>VLOOKUP(G297,Matrix!R:AA,10,0)</f>
        <v/>
      </c>
      <c r="C297" s="156">
        <f>IF(K297&gt;=0.01,K297,IFERROR(VLOOKUP(F297&amp;G297,Rush!B:C,2,0),K297)+SUM(L297:O297))</f>
        <v/>
      </c>
      <c r="D297" s="218">
        <f>_xlfn.IFNA(INDEX('Injury Report'!F:F, MATCH(G297&amp;F297, 'Injury Report'!A:A, 0)), "Healthy")</f>
        <v/>
      </c>
      <c r="E297" s="219">
        <f>VLOOKUP(A297,'RB Depth'!A:G,7,0)-1</f>
        <v/>
      </c>
      <c r="F297" s="218">
        <f>VLOOKUP(A297,'RB Depth'!A:C,3,0)</f>
        <v/>
      </c>
      <c r="G297" s="218">
        <f>VLOOKUP(A297,'RB Depth'!A:B,2,0)</f>
        <v/>
      </c>
      <c r="H297" s="218">
        <f>VLOOKUP(A297,'RB Depth'!A:D,4,0)</f>
        <v/>
      </c>
      <c r="I297" s="218">
        <f>H297&amp;E297</f>
        <v/>
      </c>
      <c r="J297" s="220">
        <f>IF(VLOOKUP(F297,Rush!F:G,2,0)=G297,"OK","Check Team")</f>
        <v/>
      </c>
      <c r="K297" s="156" t="n"/>
      <c r="L297" s="156">
        <f>IFERROR(VLOOKUP(F297&amp;G297,Pass!B:C,2,0),0)</f>
        <v/>
      </c>
      <c r="M297" s="156">
        <f>IFERROR(VLOOKUP(F297&amp;G297,Rush!B:C,2,0),0)</f>
        <v/>
      </c>
      <c r="N297" s="156">
        <f>IFERROR(VLOOKUP(F297&amp;G297,Rec!B:C,2,0),K297)</f>
        <v/>
      </c>
      <c r="O297" s="156">
        <f>IFERROR(VLOOKUP(F297&amp;G297,Returns!A:B,2,0),0)</f>
        <v/>
      </c>
      <c r="Q297" s="156" t="inlineStr">
        <is>
          <t>Diontae Johnson</t>
        </is>
      </c>
      <c r="R297" s="156" t="inlineStr">
        <is>
          <t>HOU</t>
        </is>
      </c>
      <c r="S297" s="156" t="inlineStr">
        <is>
          <t>WR</t>
        </is>
      </c>
    </row>
    <row r="298" hidden="1" ht="15.6" customHeight="1" s="152">
      <c r="A298" s="217" t="n">
        <v>137</v>
      </c>
      <c r="B298" s="218">
        <f>VLOOKUP(G298,Matrix!R:AA,10,0)</f>
        <v/>
      </c>
      <c r="C298" s="156">
        <f>IF(K298&gt;=0.01,K298,IFERROR(VLOOKUP(F298&amp;G298,Rush!B:C,2,0),K298)+SUM(L298:O298))</f>
        <v/>
      </c>
      <c r="D298" s="218">
        <f>_xlfn.IFNA(INDEX('Injury Report'!F:F, MATCH(G298&amp;F298, 'Injury Report'!A:A, 0)), "Healthy")</f>
        <v/>
      </c>
      <c r="E298" s="219">
        <f>VLOOKUP(A298,'RB Depth'!A:G,7,0)-1</f>
        <v/>
      </c>
      <c r="F298" s="218">
        <f>VLOOKUP(A298,'RB Depth'!A:C,3,0)</f>
        <v/>
      </c>
      <c r="G298" s="218">
        <f>VLOOKUP(A298,'RB Depth'!A:B,2,0)</f>
        <v/>
      </c>
      <c r="H298" s="218">
        <f>VLOOKUP(A298,'RB Depth'!A:D,4,0)</f>
        <v/>
      </c>
      <c r="I298" s="218">
        <f>H298&amp;E298</f>
        <v/>
      </c>
      <c r="J298" s="220">
        <f>IF(VLOOKUP(F298,Rush!F:G,2,0)=G298,"OK","Check Team")</f>
        <v/>
      </c>
      <c r="K298" s="156" t="n"/>
      <c r="L298" s="156">
        <f>IFERROR(VLOOKUP(F298&amp;G298,Pass!B:C,2,0),0)</f>
        <v/>
      </c>
      <c r="M298" s="156">
        <f>IFERROR(VLOOKUP(F298&amp;G298,Rush!B:C,2,0),0)</f>
        <v/>
      </c>
      <c r="N298" s="156">
        <f>IFERROR(VLOOKUP(F298&amp;G298,Rec!B:C,2,0),K298)</f>
        <v/>
      </c>
      <c r="O298" s="156">
        <f>IFERROR(VLOOKUP(F298&amp;G298,Returns!A:B,2,0),0)</f>
        <v/>
      </c>
      <c r="Q298" s="156" t="inlineStr">
        <is>
          <t>Ty Johnson</t>
        </is>
      </c>
      <c r="R298" s="156" t="inlineStr">
        <is>
          <t>BUF</t>
        </is>
      </c>
      <c r="S298" s="156" t="inlineStr">
        <is>
          <t>RB</t>
        </is>
      </c>
    </row>
    <row r="299" hidden="1" ht="15.6" customHeight="1" s="152">
      <c r="A299" s="217" t="n">
        <v>138</v>
      </c>
      <c r="B299" s="218">
        <f>VLOOKUP(G299,Matrix!R:AA,10,0)</f>
        <v/>
      </c>
      <c r="C299" s="156">
        <f>IF(K299&gt;=0.01,K299,IFERROR(VLOOKUP(F299&amp;G299,Rush!B:C,2,0),K299)+SUM(L299:O299))</f>
        <v/>
      </c>
      <c r="D299" s="218">
        <f>_xlfn.IFNA(INDEX('Injury Report'!F:F, MATCH(G299&amp;F299, 'Injury Report'!A:A, 0)), "Healthy")</f>
        <v/>
      </c>
      <c r="E299" s="219">
        <f>VLOOKUP(A299,'RB Depth'!A:G,7,0)-1</f>
        <v/>
      </c>
      <c r="F299" s="218">
        <f>VLOOKUP(A299,'RB Depth'!A:C,3,0)</f>
        <v/>
      </c>
      <c r="G299" s="218">
        <f>VLOOKUP(A299,'RB Depth'!A:B,2,0)</f>
        <v/>
      </c>
      <c r="H299" s="218">
        <f>VLOOKUP(A299,'RB Depth'!A:D,4,0)</f>
        <v/>
      </c>
      <c r="I299" s="218">
        <f>H299&amp;E299</f>
        <v/>
      </c>
      <c r="J299" s="220">
        <f>IF(VLOOKUP(F299,Rush!F:G,2,0)=G299,"OK","Check Team")</f>
        <v/>
      </c>
      <c r="K299" s="156" t="n"/>
      <c r="L299" s="156">
        <f>IFERROR(VLOOKUP(F299&amp;G299,Pass!B:C,2,0),0)</f>
        <v/>
      </c>
      <c r="M299" s="156">
        <f>IFERROR(VLOOKUP(F299&amp;G299,Rush!B:C,2,0),0)</f>
        <v/>
      </c>
      <c r="N299" s="156">
        <f>IFERROR(VLOOKUP(F299&amp;G299,Rec!B:C,2,0),K299)</f>
        <v/>
      </c>
      <c r="O299" s="156">
        <f>IFERROR(VLOOKUP(F299&amp;G299,Returns!A:B,2,0),0)</f>
        <v/>
      </c>
      <c r="Q299" s="156" t="inlineStr">
        <is>
          <t>D'Ernest Johnson</t>
        </is>
      </c>
      <c r="R299" s="156" t="inlineStr">
        <is>
          <t>JAX</t>
        </is>
      </c>
      <c r="S299" s="156" t="inlineStr">
        <is>
          <t>RB</t>
        </is>
      </c>
    </row>
    <row r="300" hidden="1" ht="15.6" customHeight="1" s="152">
      <c r="A300" s="217" t="n">
        <v>139</v>
      </c>
      <c r="B300" s="218">
        <f>VLOOKUP(G300,Matrix!R:AA,10,0)</f>
        <v/>
      </c>
      <c r="C300" s="156">
        <f>IF(K300&gt;=0.01,K300,IFERROR(VLOOKUP(F300&amp;G300,Rush!B:C,2,0),K300)+SUM(L300:O300))</f>
        <v/>
      </c>
      <c r="D300" s="218">
        <f>_xlfn.IFNA(INDEX('Injury Report'!F:F, MATCH(G300&amp;F300, 'Injury Report'!A:A, 0)), "Healthy")</f>
        <v/>
      </c>
      <c r="E300" s="219">
        <f>VLOOKUP(A300,'RB Depth'!A:G,7,0)-1</f>
        <v/>
      </c>
      <c r="F300" s="218">
        <f>VLOOKUP(A300,'RB Depth'!A:C,3,0)</f>
        <v/>
      </c>
      <c r="G300" s="218">
        <f>VLOOKUP(A300,'RB Depth'!A:B,2,0)</f>
        <v/>
      </c>
      <c r="H300" s="218">
        <f>VLOOKUP(A300,'RB Depth'!A:D,4,0)</f>
        <v/>
      </c>
      <c r="I300" s="218">
        <f>H300&amp;E300</f>
        <v/>
      </c>
      <c r="J300" s="220">
        <f>IF(VLOOKUP(F300,Rush!F:G,2,0)=G300,"OK","Check Team")</f>
        <v/>
      </c>
      <c r="K300" s="156" t="n"/>
      <c r="L300" s="156">
        <f>IFERROR(VLOOKUP(F300&amp;G300,Pass!B:C,2,0),0)</f>
        <v/>
      </c>
      <c r="M300" s="156">
        <f>IFERROR(VLOOKUP(F300&amp;G300,Rush!B:C,2,0),0)</f>
        <v/>
      </c>
      <c r="N300" s="156">
        <f>IFERROR(VLOOKUP(F300&amp;G300,Rec!B:C,2,0),K300)</f>
        <v/>
      </c>
      <c r="O300" s="156">
        <f>IFERROR(VLOOKUP(F300&amp;G300,Returns!A:B,2,0),0)</f>
        <v/>
      </c>
      <c r="Q300" s="156" t="inlineStr">
        <is>
          <t>Josh Johnson</t>
        </is>
      </c>
      <c r="R300" s="156" t="inlineStr">
        <is>
          <t>BAL</t>
        </is>
      </c>
      <c r="S300" s="156" t="inlineStr">
        <is>
          <t>QB</t>
        </is>
      </c>
    </row>
    <row r="301" hidden="1" ht="15.6" customHeight="1" s="152">
      <c r="A301" s="217" t="n">
        <v>140</v>
      </c>
      <c r="B301" s="218">
        <f>VLOOKUP(G301,Matrix!R:AA,10,0)</f>
        <v/>
      </c>
      <c r="C301" s="156">
        <f>IF(K301&gt;=0.01,K301,IFERROR(VLOOKUP(F301&amp;G301,Rush!B:C,2,0),K301)+SUM(L301:O301))</f>
        <v/>
      </c>
      <c r="D301" s="218">
        <f>_xlfn.IFNA(INDEX('Injury Report'!F:F, MATCH(G301&amp;F301, 'Injury Report'!A:A, 0)), "Healthy")</f>
        <v/>
      </c>
      <c r="E301" s="219">
        <f>VLOOKUP(A301,'RB Depth'!A:G,7,0)-1</f>
        <v/>
      </c>
      <c r="F301" s="218">
        <f>VLOOKUP(A301,'RB Depth'!A:C,3,0)</f>
        <v/>
      </c>
      <c r="G301" s="218">
        <f>VLOOKUP(A301,'RB Depth'!A:B,2,0)</f>
        <v/>
      </c>
      <c r="H301" s="218">
        <f>VLOOKUP(A301,'RB Depth'!A:D,4,0)</f>
        <v/>
      </c>
      <c r="I301" s="218">
        <f>H301&amp;E301</f>
        <v/>
      </c>
      <c r="J301" s="220">
        <f>IF(VLOOKUP(F301,Rush!F:G,2,0)=G301,"OK","Check Team")</f>
        <v/>
      </c>
      <c r="K301" s="156" t="n"/>
      <c r="L301" s="156">
        <f>IFERROR(VLOOKUP(F301&amp;G301,Pass!B:C,2,0),0)</f>
        <v/>
      </c>
      <c r="M301" s="156">
        <f>IFERROR(VLOOKUP(F301&amp;G301,Rush!B:C,2,0),0)</f>
        <v/>
      </c>
      <c r="N301" s="156">
        <f>IFERROR(VLOOKUP(F301&amp;G301,Rec!B:C,2,0),K301)</f>
        <v/>
      </c>
      <c r="O301" s="156">
        <f>IFERROR(VLOOKUP(F301&amp;G301,Returns!A:B,2,0),0)</f>
        <v/>
      </c>
      <c r="Q301" s="156" t="inlineStr">
        <is>
          <t>Tyler Johnson</t>
        </is>
      </c>
      <c r="R301" s="156" t="inlineStr">
        <is>
          <t>LAR</t>
        </is>
      </c>
      <c r="S301" s="156" t="inlineStr">
        <is>
          <t>WR</t>
        </is>
      </c>
    </row>
    <row r="302" hidden="1" ht="15.6" customHeight="1" s="152">
      <c r="A302" s="217" t="n">
        <v>141</v>
      </c>
      <c r="B302" s="218">
        <f>VLOOKUP(G302,Matrix!R:AA,10,0)</f>
        <v/>
      </c>
      <c r="C302" s="156">
        <f>IF(K302&gt;=0.01,K302,IFERROR(VLOOKUP(F302&amp;G302,Rush!B:C,2,0),K302)+SUM(L302:O302))</f>
        <v/>
      </c>
      <c r="D302" s="218">
        <f>_xlfn.IFNA(INDEX('Injury Report'!F:F, MATCH(G302&amp;F302, 'Injury Report'!A:A, 0)), "Healthy")</f>
        <v/>
      </c>
      <c r="E302" s="219">
        <f>VLOOKUP(A302,'RB Depth'!A:G,7,0)-1</f>
        <v/>
      </c>
      <c r="F302" s="218">
        <f>VLOOKUP(A302,'RB Depth'!A:C,3,0)</f>
        <v/>
      </c>
      <c r="G302" s="218">
        <f>VLOOKUP(A302,'RB Depth'!A:B,2,0)</f>
        <v/>
      </c>
      <c r="H302" s="218">
        <f>VLOOKUP(A302,'RB Depth'!A:D,4,0)</f>
        <v/>
      </c>
      <c r="I302" s="218">
        <f>H302&amp;E302</f>
        <v/>
      </c>
      <c r="J302" s="220">
        <f>IF(VLOOKUP(F302,Rush!F:G,2,0)=G302,"OK","Check Team")</f>
        <v/>
      </c>
      <c r="K302" s="156" t="n"/>
      <c r="L302" s="156">
        <f>IFERROR(VLOOKUP(F302&amp;G302,Pass!B:C,2,0),0)</f>
        <v/>
      </c>
      <c r="M302" s="156">
        <f>IFERROR(VLOOKUP(F302&amp;G302,Rush!B:C,2,0),0)</f>
        <v/>
      </c>
      <c r="N302" s="156">
        <f>IFERROR(VLOOKUP(F302&amp;G302,Rec!B:C,2,0),K302)</f>
        <v/>
      </c>
      <c r="O302" s="156">
        <f>IFERROR(VLOOKUP(F302&amp;G302,Returns!A:B,2,0),0)</f>
        <v/>
      </c>
      <c r="Q302" s="156" t="inlineStr">
        <is>
          <t>Juwan Johnson</t>
        </is>
      </c>
      <c r="R302" s="156" t="inlineStr">
        <is>
          <t>NO</t>
        </is>
      </c>
      <c r="S302" s="156" t="inlineStr">
        <is>
          <t>TE</t>
        </is>
      </c>
    </row>
    <row r="303" hidden="1" ht="15.6" customHeight="1" s="152">
      <c r="A303" s="217" t="n">
        <v>142</v>
      </c>
      <c r="B303" s="218">
        <f>VLOOKUP(G303,Matrix!R:AA,10,0)</f>
        <v/>
      </c>
      <c r="C303" s="156">
        <f>IF(K303&gt;=0.01,K303,IFERROR(VLOOKUP(F303&amp;G303,Rush!B:C,2,0),K303)+SUM(L303:O303))</f>
        <v/>
      </c>
      <c r="D303" s="218">
        <f>_xlfn.IFNA(INDEX('Injury Report'!F:F, MATCH(G303&amp;F303, 'Injury Report'!A:A, 0)), "Healthy")</f>
        <v/>
      </c>
      <c r="E303" s="219">
        <f>VLOOKUP(A303,'RB Depth'!A:G,7,0)-1</f>
        <v/>
      </c>
      <c r="F303" s="218">
        <f>VLOOKUP(A303,'RB Depth'!A:C,3,0)</f>
        <v/>
      </c>
      <c r="G303" s="218">
        <f>VLOOKUP(A303,'RB Depth'!A:B,2,0)</f>
        <v/>
      </c>
      <c r="H303" s="218">
        <f>VLOOKUP(A303,'RB Depth'!A:D,4,0)</f>
        <v/>
      </c>
      <c r="I303" s="218">
        <f>H303&amp;E303</f>
        <v/>
      </c>
      <c r="J303" s="220">
        <f>IF(VLOOKUP(F303,Rush!F:G,2,0)=G303,"OK","Check Team")</f>
        <v/>
      </c>
      <c r="K303" s="156" t="n"/>
      <c r="L303" s="156">
        <f>IFERROR(VLOOKUP(F303&amp;G303,Pass!B:C,2,0),0)</f>
        <v/>
      </c>
      <c r="M303" s="156">
        <f>IFERROR(VLOOKUP(F303&amp;G303,Rush!B:C,2,0),0)</f>
        <v/>
      </c>
      <c r="N303" s="156">
        <f>IFERROR(VLOOKUP(F303&amp;G303,Rec!B:C,2,0),K303)</f>
        <v/>
      </c>
      <c r="O303" s="156">
        <f>IFERROR(VLOOKUP(F303&amp;G303,Returns!A:B,2,0),0)</f>
        <v/>
      </c>
      <c r="Q303" s="156" t="inlineStr">
        <is>
          <t>Quentin Johnston</t>
        </is>
      </c>
      <c r="R303" s="156" t="inlineStr">
        <is>
          <t>LAC</t>
        </is>
      </c>
      <c r="S303" s="156" t="inlineStr">
        <is>
          <t>WR</t>
        </is>
      </c>
    </row>
    <row r="304" hidden="1" ht="15.6" customHeight="1" s="152">
      <c r="A304" s="217" t="n">
        <v>143</v>
      </c>
      <c r="B304" s="218">
        <f>VLOOKUP(G304,Matrix!R:AA,10,0)</f>
        <v/>
      </c>
      <c r="C304" s="156">
        <f>IF(K304&gt;=0.01,K304,IFERROR(VLOOKUP(F304&amp;G304,Rush!B:C,2,0),K304)+SUM(L304:O304))</f>
        <v/>
      </c>
      <c r="D304" s="218">
        <f>_xlfn.IFNA(INDEX('Injury Report'!F:F, MATCH(G304&amp;F304, 'Injury Report'!A:A, 0)), "Healthy")</f>
        <v/>
      </c>
      <c r="E304" s="219">
        <f>VLOOKUP(A304,'RB Depth'!A:G,7,0)-1</f>
        <v/>
      </c>
      <c r="F304" s="218">
        <f>VLOOKUP(A304,'RB Depth'!A:C,3,0)</f>
        <v/>
      </c>
      <c r="G304" s="218">
        <f>VLOOKUP(A304,'RB Depth'!A:B,2,0)</f>
        <v/>
      </c>
      <c r="H304" s="218">
        <f>VLOOKUP(A304,'RB Depth'!A:D,4,0)</f>
        <v/>
      </c>
      <c r="I304" s="218">
        <f>H304&amp;E304</f>
        <v/>
      </c>
      <c r="J304" s="220">
        <f>IF(VLOOKUP(F304,Rush!F:G,2,0)=G304,"OK","Check Team")</f>
        <v/>
      </c>
      <c r="K304" s="156" t="n"/>
      <c r="L304" s="156">
        <f>IFERROR(VLOOKUP(F304&amp;G304,Pass!B:C,2,0),0)</f>
        <v/>
      </c>
      <c r="M304" s="156">
        <f>IFERROR(VLOOKUP(F304&amp;G304,Rush!B:C,2,0),0)</f>
        <v/>
      </c>
      <c r="N304" s="156">
        <f>IFERROR(VLOOKUP(F304&amp;G304,Rec!B:C,2,0),K304)</f>
        <v/>
      </c>
      <c r="O304" s="156">
        <f>IFERROR(VLOOKUP(F304&amp;G304,Returns!A:B,2,0),0)</f>
        <v/>
      </c>
      <c r="Q304" s="156" t="inlineStr">
        <is>
          <t>Charlie Jones</t>
        </is>
      </c>
      <c r="R304" s="156" t="inlineStr">
        <is>
          <t>CIN</t>
        </is>
      </c>
      <c r="S304" s="156" t="inlineStr">
        <is>
          <t>WR</t>
        </is>
      </c>
    </row>
    <row r="305" hidden="1" ht="15.6" customHeight="1" s="152">
      <c r="A305" s="217" t="n">
        <v>144</v>
      </c>
      <c r="B305" s="218">
        <f>VLOOKUP(G305,Matrix!R:AA,10,0)</f>
        <v/>
      </c>
      <c r="C305" s="156">
        <f>IF(K305&gt;=0.01,K305,IFERROR(VLOOKUP(F305&amp;G305,Rush!B:C,2,0),K305)+SUM(L305:O305))</f>
        <v/>
      </c>
      <c r="D305" s="218">
        <f>_xlfn.IFNA(INDEX('Injury Report'!F:F, MATCH(G305&amp;F305, 'Injury Report'!A:A, 0)), "Healthy")</f>
        <v/>
      </c>
      <c r="E305" s="219">
        <f>VLOOKUP(A305,'RB Depth'!A:G,7,0)-1</f>
        <v/>
      </c>
      <c r="F305" s="218">
        <f>VLOOKUP(A305,'RB Depth'!A:C,3,0)</f>
        <v/>
      </c>
      <c r="G305" s="218">
        <f>VLOOKUP(A305,'RB Depth'!A:B,2,0)</f>
        <v/>
      </c>
      <c r="H305" s="218">
        <f>VLOOKUP(A305,'RB Depth'!A:D,4,0)</f>
        <v/>
      </c>
      <c r="I305" s="218">
        <f>H305&amp;E305</f>
        <v/>
      </c>
      <c r="J305" s="220">
        <f>IF(VLOOKUP(F305,Rush!F:G,2,0)=G305,"OK","Check Team")</f>
        <v/>
      </c>
      <c r="K305" s="156" t="n"/>
      <c r="L305" s="156">
        <f>IFERROR(VLOOKUP(F305&amp;G305,Pass!B:C,2,0),0)</f>
        <v/>
      </c>
      <c r="M305" s="156">
        <f>IFERROR(VLOOKUP(F305&amp;G305,Rush!B:C,2,0),0)</f>
        <v/>
      </c>
      <c r="N305" s="156">
        <f>IFERROR(VLOOKUP(F305&amp;G305,Rec!B:C,2,0),K305)</f>
        <v/>
      </c>
      <c r="O305" s="156">
        <f>IFERROR(VLOOKUP(F305&amp;G305,Returns!A:B,2,0),0)</f>
        <v/>
      </c>
      <c r="Q305" s="156" t="inlineStr">
        <is>
          <t>Velus Jones</t>
        </is>
      </c>
      <c r="R305" s="156" t="inlineStr">
        <is>
          <t>CAR</t>
        </is>
      </c>
      <c r="S305" s="156" t="inlineStr">
        <is>
          <t>WR</t>
        </is>
      </c>
    </row>
    <row r="306" hidden="1" ht="15.6" customHeight="1" s="152">
      <c r="A306" s="217" t="n">
        <v>145</v>
      </c>
      <c r="B306" s="218">
        <f>VLOOKUP(G306,Matrix!R:AA,10,0)</f>
        <v/>
      </c>
      <c r="C306" s="156">
        <f>IF(K306&gt;=0.01,K306,IFERROR(VLOOKUP(F306&amp;G306,Rush!B:C,2,0),K306)+SUM(L306:O306))</f>
        <v/>
      </c>
      <c r="D306" s="218">
        <f>_xlfn.IFNA(INDEX('Injury Report'!F:F, MATCH(G306&amp;F306, 'Injury Report'!A:A, 0)), "Healthy")</f>
        <v/>
      </c>
      <c r="E306" s="219">
        <f>VLOOKUP(A306,'RB Depth'!A:G,7,0)-1</f>
        <v/>
      </c>
      <c r="F306" s="218">
        <f>VLOOKUP(A306,'RB Depth'!A:C,3,0)</f>
        <v/>
      </c>
      <c r="G306" s="218">
        <f>VLOOKUP(A306,'RB Depth'!A:B,2,0)</f>
        <v/>
      </c>
      <c r="H306" s="218">
        <f>VLOOKUP(A306,'RB Depth'!A:D,4,0)</f>
        <v/>
      </c>
      <c r="I306" s="218">
        <f>H306&amp;E306</f>
        <v/>
      </c>
      <c r="J306" s="220">
        <f>IF(VLOOKUP(F306,Rush!F:G,2,0)=G306,"OK","Check Team")</f>
        <v/>
      </c>
      <c r="K306" s="156" t="n"/>
      <c r="L306" s="156">
        <f>IFERROR(VLOOKUP(F306&amp;G306,Pass!B:C,2,0),0)</f>
        <v/>
      </c>
      <c r="M306" s="156">
        <f>IFERROR(VLOOKUP(F306&amp;G306,Rush!B:C,2,0),0)</f>
        <v/>
      </c>
      <c r="N306" s="156">
        <f>IFERROR(VLOOKUP(F306&amp;G306,Rec!B:C,2,0),K306)</f>
        <v/>
      </c>
      <c r="O306" s="156">
        <f>IFERROR(VLOOKUP(F306&amp;G306,Returns!A:B,2,0),0)</f>
        <v/>
      </c>
      <c r="Q306" s="156" t="inlineStr">
        <is>
          <t>Tim Jones</t>
        </is>
      </c>
      <c r="R306" s="156" t="inlineStr">
        <is>
          <t>JAX</t>
        </is>
      </c>
      <c r="S306" s="156" t="inlineStr">
        <is>
          <t>WR</t>
        </is>
      </c>
    </row>
    <row r="307" hidden="1" ht="15.6" customHeight="1" s="152">
      <c r="A307" s="217" t="n">
        <v>146</v>
      </c>
      <c r="B307" s="218">
        <f>VLOOKUP(G307,Matrix!R:AA,10,0)</f>
        <v/>
      </c>
      <c r="C307" s="156">
        <f>IF(K307&gt;=0.01,K307,IFERROR(VLOOKUP(F307&amp;G307,Rush!B:C,2,0),K307)+SUM(L307:O307))</f>
        <v/>
      </c>
      <c r="D307" s="218">
        <f>_xlfn.IFNA(INDEX('Injury Report'!F:F, MATCH(G307&amp;F307, 'Injury Report'!A:A, 0)), "Healthy")</f>
        <v/>
      </c>
      <c r="E307" s="219">
        <f>VLOOKUP(A307,'RB Depth'!A:G,7,0)-1</f>
        <v/>
      </c>
      <c r="F307" s="218">
        <f>VLOOKUP(A307,'RB Depth'!A:C,3,0)</f>
        <v/>
      </c>
      <c r="G307" s="218">
        <f>VLOOKUP(A307,'RB Depth'!A:B,2,0)</f>
        <v/>
      </c>
      <c r="H307" s="218">
        <f>VLOOKUP(A307,'RB Depth'!A:D,4,0)</f>
        <v/>
      </c>
      <c r="I307" s="218">
        <f>H307&amp;E307</f>
        <v/>
      </c>
      <c r="J307" s="220">
        <f>IF(VLOOKUP(F307,Rush!F:G,2,0)=G307,"OK","Check Team")</f>
        <v/>
      </c>
      <c r="K307" s="156" t="n"/>
      <c r="L307" s="156">
        <f>IFERROR(VLOOKUP(F307&amp;G307,Pass!B:C,2,0),0)</f>
        <v/>
      </c>
      <c r="M307" s="156">
        <f>IFERROR(VLOOKUP(F307&amp;G307,Rush!B:C,2,0),0)</f>
        <v/>
      </c>
      <c r="N307" s="156">
        <f>IFERROR(VLOOKUP(F307&amp;G307,Rec!B:C,2,0),K307)</f>
        <v/>
      </c>
      <c r="O307" s="156">
        <f>IFERROR(VLOOKUP(F307&amp;G307,Returns!A:B,2,0),0)</f>
        <v/>
      </c>
      <c r="Q307" s="156" t="inlineStr">
        <is>
          <t>Mac Jones</t>
        </is>
      </c>
      <c r="R307" s="156" t="inlineStr">
        <is>
          <t>JAX</t>
        </is>
      </c>
      <c r="S307" s="156" t="inlineStr">
        <is>
          <t>QB</t>
        </is>
      </c>
    </row>
    <row r="308" hidden="1" ht="15.6" customHeight="1" s="152">
      <c r="A308" s="217" t="n">
        <v>147</v>
      </c>
      <c r="B308" s="218">
        <f>VLOOKUP(G308,Matrix!R:AA,10,0)</f>
        <v/>
      </c>
      <c r="C308" s="156">
        <f>IF(K308&gt;=0.01,K308,IFERROR(VLOOKUP(F308&amp;G308,Rush!B:C,2,0),K308)+SUM(L308:O308))</f>
        <v/>
      </c>
      <c r="D308" s="218">
        <f>_xlfn.IFNA(INDEX('Injury Report'!F:F, MATCH(G308&amp;F308, 'Injury Report'!A:A, 0)), "Healthy")</f>
        <v/>
      </c>
      <c r="E308" s="219">
        <f>VLOOKUP(A308,'RB Depth'!A:G,7,0)-1</f>
        <v/>
      </c>
      <c r="F308" s="218">
        <f>VLOOKUP(A308,'RB Depth'!A:C,3,0)</f>
        <v/>
      </c>
      <c r="G308" s="218">
        <f>VLOOKUP(A308,'RB Depth'!A:B,2,0)</f>
        <v/>
      </c>
      <c r="H308" s="218">
        <f>VLOOKUP(A308,'RB Depth'!A:D,4,0)</f>
        <v/>
      </c>
      <c r="I308" s="218">
        <f>H308&amp;E308</f>
        <v/>
      </c>
      <c r="J308" s="220">
        <f>IF(VLOOKUP(F308,Rush!F:G,2,0)=G308,"OK","Check Team")</f>
        <v/>
      </c>
      <c r="K308" s="156" t="n"/>
      <c r="L308" s="156">
        <f>IFERROR(VLOOKUP(F308&amp;G308,Pass!B:C,2,0),0)</f>
        <v/>
      </c>
      <c r="M308" s="156">
        <f>IFERROR(VLOOKUP(F308&amp;G308,Rush!B:C,2,0),0)</f>
        <v/>
      </c>
      <c r="N308" s="156">
        <f>IFERROR(VLOOKUP(F308&amp;G308,Rec!B:C,2,0),K308)</f>
        <v/>
      </c>
      <c r="O308" s="156">
        <f>IFERROR(VLOOKUP(F308&amp;G308,Returns!A:B,2,0),0)</f>
        <v/>
      </c>
      <c r="Q308" s="156" t="inlineStr">
        <is>
          <t>Zay Jones</t>
        </is>
      </c>
      <c r="R308" s="156" t="inlineStr">
        <is>
          <t>ARI</t>
        </is>
      </c>
      <c r="S308" s="156" t="inlineStr">
        <is>
          <t>WR</t>
        </is>
      </c>
    </row>
    <row r="309" hidden="1" ht="15.6" customHeight="1" s="152">
      <c r="A309" s="217" t="n">
        <v>148</v>
      </c>
      <c r="B309" s="218">
        <f>VLOOKUP(G309,Matrix!R:AA,10,0)</f>
        <v/>
      </c>
      <c r="C309" s="156">
        <f>IF(K309&gt;=0.01,K309,IFERROR(VLOOKUP(F309&amp;G309,Rush!B:C,2,0),K309)+SUM(L309:O309))</f>
        <v/>
      </c>
      <c r="D309" s="218">
        <f>_xlfn.IFNA(INDEX('Injury Report'!F:F, MATCH(G309&amp;F309, 'Injury Report'!A:A, 0)), "Healthy")</f>
        <v/>
      </c>
      <c r="E309" s="219">
        <f>VLOOKUP(A309,'RB Depth'!A:G,7,0)-1</f>
        <v/>
      </c>
      <c r="F309" s="218">
        <f>VLOOKUP(A309,'RB Depth'!A:C,3,0)</f>
        <v/>
      </c>
      <c r="G309" s="218">
        <f>VLOOKUP(A309,'RB Depth'!A:B,2,0)</f>
        <v/>
      </c>
      <c r="H309" s="218">
        <f>VLOOKUP(A309,'RB Depth'!A:D,4,0)</f>
        <v/>
      </c>
      <c r="I309" s="218">
        <f>H309&amp;E309</f>
        <v/>
      </c>
      <c r="J309" s="220">
        <f>IF(VLOOKUP(F309,Rush!F:G,2,0)=G309,"OK","Check Team")</f>
        <v/>
      </c>
      <c r="K309" s="156" t="n"/>
      <c r="L309" s="156">
        <f>IFERROR(VLOOKUP(F309&amp;G309,Pass!B:C,2,0),0)</f>
        <v/>
      </c>
      <c r="M309" s="156">
        <f>IFERROR(VLOOKUP(F309&amp;G309,Rush!B:C,2,0),0)</f>
        <v/>
      </c>
      <c r="N309" s="156">
        <f>IFERROR(VLOOKUP(F309&amp;G309,Rec!B:C,2,0),K309)</f>
        <v/>
      </c>
      <c r="O309" s="156">
        <f>IFERROR(VLOOKUP(F309&amp;G309,Returns!A:B,2,0),0)</f>
        <v/>
      </c>
      <c r="Q309" s="156" t="inlineStr">
        <is>
          <t>Aaron Jones</t>
        </is>
      </c>
      <c r="R309" s="156" t="inlineStr">
        <is>
          <t>MIN</t>
        </is>
      </c>
      <c r="S309" s="156" t="inlineStr">
        <is>
          <t>RB</t>
        </is>
      </c>
    </row>
    <row r="310" hidden="1" ht="15.6" customHeight="1" s="152">
      <c r="A310" s="217" t="n">
        <v>149</v>
      </c>
      <c r="B310" s="218">
        <f>VLOOKUP(G310,Matrix!R:AA,10,0)</f>
        <v/>
      </c>
      <c r="C310" s="156">
        <f>IF(K310&gt;=0.01,K310,IFERROR(VLOOKUP(F310&amp;G310,Rush!B:C,2,0),K310)+SUM(L310:O310))</f>
        <v/>
      </c>
      <c r="D310" s="218">
        <f>_xlfn.IFNA(INDEX('Injury Report'!F:F, MATCH(G310&amp;F310, 'Injury Report'!A:A, 0)), "Healthy")</f>
        <v/>
      </c>
      <c r="E310" s="219">
        <f>VLOOKUP(A310,'RB Depth'!A:G,7,0)-1</f>
        <v/>
      </c>
      <c r="F310" s="218">
        <f>VLOOKUP(A310,'RB Depth'!A:C,3,0)</f>
        <v/>
      </c>
      <c r="G310" s="218">
        <f>VLOOKUP(A310,'RB Depth'!A:B,2,0)</f>
        <v/>
      </c>
      <c r="H310" s="218">
        <f>VLOOKUP(A310,'RB Depth'!A:D,4,0)</f>
        <v/>
      </c>
      <c r="I310" s="218">
        <f>H310&amp;E310</f>
        <v/>
      </c>
      <c r="J310" s="220">
        <f>IF(VLOOKUP(F310,Rush!F:G,2,0)=G310,"OK","Check Team")</f>
        <v/>
      </c>
      <c r="K310" s="156" t="n"/>
      <c r="L310" s="156">
        <f>IFERROR(VLOOKUP(F310&amp;G310,Pass!B:C,2,0),0)</f>
        <v/>
      </c>
      <c r="M310" s="156">
        <f>IFERROR(VLOOKUP(F310&amp;G310,Rush!B:C,2,0),0)</f>
        <v/>
      </c>
      <c r="N310" s="156">
        <f>IFERROR(VLOOKUP(F310&amp;G310,Rec!B:C,2,0),K310)</f>
        <v/>
      </c>
      <c r="O310" s="156">
        <f>IFERROR(VLOOKUP(F310&amp;G310,Returns!A:B,2,0),0)</f>
        <v/>
      </c>
      <c r="Q310" s="156" t="inlineStr">
        <is>
          <t>Julio Jones</t>
        </is>
      </c>
      <c r="R310" s="156" t="inlineStr">
        <is>
          <t>FA</t>
        </is>
      </c>
      <c r="S310" s="156" t="inlineStr">
        <is>
          <t>WR</t>
        </is>
      </c>
    </row>
    <row r="311" hidden="1" ht="15.6" customHeight="1" s="152">
      <c r="A311" s="217" t="n">
        <v>150</v>
      </c>
      <c r="B311" s="218">
        <f>VLOOKUP(G311,Matrix!R:AA,10,0)</f>
        <v/>
      </c>
      <c r="C311" s="156">
        <f>IF(K311&gt;=0.01,K311,IFERROR(VLOOKUP(F311&amp;G311,Rush!B:C,2,0),K311)+SUM(L311:O311))</f>
        <v/>
      </c>
      <c r="D311" s="218">
        <f>_xlfn.IFNA(INDEX('Injury Report'!F:F, MATCH(G311&amp;F311, 'Injury Report'!A:A, 0)), "Healthy")</f>
        <v/>
      </c>
      <c r="E311" s="219">
        <f>VLOOKUP(A311,'RB Depth'!A:G,7,0)-1</f>
        <v/>
      </c>
      <c r="F311" s="218">
        <f>VLOOKUP(A311,'RB Depth'!A:C,3,0)</f>
        <v/>
      </c>
      <c r="G311" s="218">
        <f>VLOOKUP(A311,'RB Depth'!A:B,2,0)</f>
        <v/>
      </c>
      <c r="H311" s="218">
        <f>VLOOKUP(A311,'RB Depth'!A:D,4,0)</f>
        <v/>
      </c>
      <c r="I311" s="218">
        <f>H311&amp;E311</f>
        <v/>
      </c>
      <c r="J311" s="220">
        <f>IF(VLOOKUP(F311,Rush!F:G,2,0)=G311,"OK","Check Team")</f>
        <v/>
      </c>
      <c r="K311" s="156" t="n"/>
      <c r="L311" s="156">
        <f>IFERROR(VLOOKUP(F311&amp;G311,Pass!B:C,2,0),0)</f>
        <v/>
      </c>
      <c r="M311" s="156">
        <f>IFERROR(VLOOKUP(F311&amp;G311,Rush!B:C,2,0),0)</f>
        <v/>
      </c>
      <c r="N311" s="156">
        <f>IFERROR(VLOOKUP(F311&amp;G311,Rec!B:C,2,0),K311)</f>
        <v/>
      </c>
      <c r="O311" s="156">
        <f>IFERROR(VLOOKUP(F311&amp;G311,Returns!A:B,2,0),0)</f>
        <v/>
      </c>
      <c r="Q311" s="156" t="inlineStr">
        <is>
          <t>Marvin Jones</t>
        </is>
      </c>
      <c r="R311" s="156" t="inlineStr">
        <is>
          <t>FA</t>
        </is>
      </c>
      <c r="S311" s="156" t="inlineStr">
        <is>
          <t>WR</t>
        </is>
      </c>
    </row>
    <row r="312" hidden="1" ht="15.6" customHeight="1" s="152">
      <c r="A312" s="217" t="n">
        <v>151</v>
      </c>
      <c r="B312" s="218">
        <f>VLOOKUP(G312,Matrix!R:AA,10,0)</f>
        <v/>
      </c>
      <c r="C312" s="156">
        <f>IF(K312&gt;=0.01,K312,IFERROR(VLOOKUP(F312&amp;G312,Rush!B:C,2,0),K312)+SUM(L312:O312))</f>
        <v/>
      </c>
      <c r="D312" s="218">
        <f>_xlfn.IFNA(INDEX('Injury Report'!F:F, MATCH(G312&amp;F312, 'Injury Report'!A:A, 0)), "Healthy")</f>
        <v/>
      </c>
      <c r="E312" s="219">
        <f>VLOOKUP(A312,'RB Depth'!A:G,7,0)-1</f>
        <v/>
      </c>
      <c r="F312" s="218">
        <f>VLOOKUP(A312,'RB Depth'!A:C,3,0)</f>
        <v/>
      </c>
      <c r="G312" s="218">
        <f>VLOOKUP(A312,'RB Depth'!A:B,2,0)</f>
        <v/>
      </c>
      <c r="H312" s="218">
        <f>VLOOKUP(A312,'RB Depth'!A:D,4,0)</f>
        <v/>
      </c>
      <c r="I312" s="218">
        <f>H312&amp;E312</f>
        <v/>
      </c>
      <c r="J312" s="220">
        <f>IF(VLOOKUP(F312,Rush!F:G,2,0)=G312,"OK","Check Team")</f>
        <v/>
      </c>
      <c r="K312" s="156" t="n"/>
      <c r="L312" s="156">
        <f>IFERROR(VLOOKUP(F312&amp;G312,Pass!B:C,2,0),0)</f>
        <v/>
      </c>
      <c r="M312" s="156">
        <f>IFERROR(VLOOKUP(F312&amp;G312,Rush!B:C,2,0),0)</f>
        <v/>
      </c>
      <c r="N312" s="156">
        <f>IFERROR(VLOOKUP(F312&amp;G312,Rec!B:C,2,0),K312)</f>
        <v/>
      </c>
      <c r="O312" s="156">
        <f>IFERROR(VLOOKUP(F312&amp;G312,Returns!A:B,2,0),0)</f>
        <v/>
      </c>
      <c r="Q312" s="156" t="inlineStr">
        <is>
          <t>Daniel Jones</t>
        </is>
      </c>
      <c r="R312" s="156" t="inlineStr">
        <is>
          <t>MIN</t>
        </is>
      </c>
      <c r="S312" s="156" t="inlineStr">
        <is>
          <t>QB</t>
        </is>
      </c>
    </row>
    <row r="313" hidden="1" ht="15.6" customHeight="1" s="152">
      <c r="A313" s="217" t="n">
        <v>152</v>
      </c>
      <c r="B313" s="218">
        <f>VLOOKUP(G313,Matrix!R:AA,10,0)</f>
        <v/>
      </c>
      <c r="C313" s="156">
        <f>IF(K313&gt;=0.01,K313,IFERROR(VLOOKUP(F313&amp;G313,Rush!B:C,2,0),K313)+SUM(L313:O313))</f>
        <v/>
      </c>
      <c r="D313" s="218">
        <f>_xlfn.IFNA(INDEX('Injury Report'!F:F, MATCH(G313&amp;F313, 'Injury Report'!A:A, 0)), "Healthy")</f>
        <v/>
      </c>
      <c r="E313" s="219">
        <f>VLOOKUP(A313,'RB Depth'!A:G,7,0)-1</f>
        <v/>
      </c>
      <c r="F313" s="218">
        <f>VLOOKUP(A313,'RB Depth'!A:C,3,0)</f>
        <v/>
      </c>
      <c r="G313" s="218">
        <f>VLOOKUP(A313,'RB Depth'!A:B,2,0)</f>
        <v/>
      </c>
      <c r="H313" s="218">
        <f>VLOOKUP(A313,'RB Depth'!A:D,4,0)</f>
        <v/>
      </c>
      <c r="I313" s="218">
        <f>H313&amp;E313</f>
        <v/>
      </c>
      <c r="J313" s="220">
        <f>IF(VLOOKUP(F313,Rush!F:G,2,0)=G313,"OK","Check Team")</f>
        <v/>
      </c>
      <c r="K313" s="156" t="n"/>
      <c r="L313" s="156">
        <f>IFERROR(VLOOKUP(F313&amp;G313,Pass!B:C,2,0),0)</f>
        <v/>
      </c>
      <c r="M313" s="156">
        <f>IFERROR(VLOOKUP(F313&amp;G313,Rush!B:C,2,0),0)</f>
        <v/>
      </c>
      <c r="N313" s="156">
        <f>IFERROR(VLOOKUP(F313&amp;G313,Rec!B:C,2,0),K313)</f>
        <v/>
      </c>
      <c r="O313" s="156">
        <f>IFERROR(VLOOKUP(F313&amp;G313,Returns!A:B,2,0),0)</f>
        <v/>
      </c>
      <c r="Q313" s="156" t="inlineStr">
        <is>
          <t>Brevin Jordan</t>
        </is>
      </c>
      <c r="R313" s="156" t="inlineStr">
        <is>
          <t>HOU</t>
        </is>
      </c>
      <c r="S313" s="156" t="inlineStr">
        <is>
          <t>TE</t>
        </is>
      </c>
    </row>
    <row r="314" hidden="1" ht="15.6" customHeight="1" s="152">
      <c r="A314" s="217" t="n">
        <v>153</v>
      </c>
      <c r="B314" s="218">
        <f>VLOOKUP(G314,Matrix!R:AA,10,0)</f>
        <v/>
      </c>
      <c r="C314" s="156">
        <f>IF(K314&gt;=0.01,K314,IFERROR(VLOOKUP(F314&amp;G314,Rush!B:C,2,0),K314)+SUM(L314:O314))</f>
        <v/>
      </c>
      <c r="D314" s="218">
        <f>_xlfn.IFNA(INDEX('Injury Report'!F:F, MATCH(G314&amp;F314, 'Injury Report'!A:A, 0)), "Healthy")</f>
        <v/>
      </c>
      <c r="E314" s="219">
        <f>VLOOKUP(A314,'RB Depth'!A:G,7,0)-1</f>
        <v/>
      </c>
      <c r="F314" s="218">
        <f>VLOOKUP(A314,'RB Depth'!A:C,3,0)</f>
        <v/>
      </c>
      <c r="G314" s="218">
        <f>VLOOKUP(A314,'RB Depth'!A:B,2,0)</f>
        <v/>
      </c>
      <c r="H314" s="218">
        <f>VLOOKUP(A314,'RB Depth'!A:D,4,0)</f>
        <v/>
      </c>
      <c r="I314" s="218">
        <f>H314&amp;E314</f>
        <v/>
      </c>
      <c r="J314" s="220">
        <f>IF(VLOOKUP(F314,Rush!F:G,2,0)=G314,"OK","Check Team")</f>
        <v/>
      </c>
      <c r="K314" s="156" t="n"/>
      <c r="L314" s="156">
        <f>IFERROR(VLOOKUP(F314&amp;G314,Pass!B:C,2,0),0)</f>
        <v/>
      </c>
      <c r="M314" s="156">
        <f>IFERROR(VLOOKUP(F314&amp;G314,Rush!B:C,2,0),0)</f>
        <v/>
      </c>
      <c r="N314" s="156">
        <f>IFERROR(VLOOKUP(F314&amp;G314,Rec!B:C,2,0),K314)</f>
        <v/>
      </c>
      <c r="O314" s="156">
        <f>IFERROR(VLOOKUP(F314&amp;G314,Returns!A:B,2,0),0)</f>
        <v/>
      </c>
      <c r="Q314" s="156" t="inlineStr">
        <is>
          <t>Jawhar Jordan</t>
        </is>
      </c>
      <c r="R314" s="156" t="inlineStr">
        <is>
          <t>FA</t>
        </is>
      </c>
      <c r="S314" s="156" t="inlineStr">
        <is>
          <t>RB</t>
        </is>
      </c>
    </row>
    <row r="315" hidden="1" ht="15.6" customHeight="1" s="152">
      <c r="A315" s="217" t="n">
        <v>154</v>
      </c>
      <c r="B315" s="218">
        <f>VLOOKUP(G315,Matrix!R:AA,10,0)</f>
        <v/>
      </c>
      <c r="C315" s="156">
        <f>IF(K315&gt;=0.01,K315,IFERROR(VLOOKUP(F315&amp;G315,Rush!B:C,2,0),K315)+SUM(L315:O315))</f>
        <v/>
      </c>
      <c r="D315" s="218">
        <f>_xlfn.IFNA(INDEX('Injury Report'!F:F, MATCH(G315&amp;F315, 'Injury Report'!A:A, 0)), "Healthy")</f>
        <v/>
      </c>
      <c r="E315" s="219">
        <f>VLOOKUP(A315,'RB Depth'!A:G,7,0)-1</f>
        <v/>
      </c>
      <c r="F315" s="218">
        <f>VLOOKUP(A315,'RB Depth'!A:C,3,0)</f>
        <v/>
      </c>
      <c r="G315" s="218">
        <f>VLOOKUP(A315,'RB Depth'!A:B,2,0)</f>
        <v/>
      </c>
      <c r="H315" s="218">
        <f>VLOOKUP(A315,'RB Depth'!A:D,4,0)</f>
        <v/>
      </c>
      <c r="I315" s="218">
        <f>H315&amp;E315</f>
        <v/>
      </c>
      <c r="J315" s="220">
        <f>IF(VLOOKUP(F315,Rush!F:G,2,0)=G315,"OK","Check Team")</f>
        <v/>
      </c>
      <c r="K315" s="156" t="n"/>
      <c r="L315" s="156">
        <f>IFERROR(VLOOKUP(F315&amp;G315,Pass!B:C,2,0),0)</f>
        <v/>
      </c>
      <c r="M315" s="156">
        <f>IFERROR(VLOOKUP(F315&amp;G315,Rush!B:C,2,0),0)</f>
        <v/>
      </c>
      <c r="N315" s="156">
        <f>IFERROR(VLOOKUP(F315&amp;G315,Rec!B:C,2,0),K315)</f>
        <v/>
      </c>
      <c r="O315" s="156">
        <f>IFERROR(VLOOKUP(F315&amp;G315,Returns!A:B,2,0),0)</f>
        <v/>
      </c>
      <c r="Q315" s="156" t="inlineStr">
        <is>
          <t>Greg Joseph</t>
        </is>
      </c>
      <c r="R315" s="156" t="inlineStr">
        <is>
          <t>NYJ</t>
        </is>
      </c>
      <c r="S315" s="156" t="inlineStr">
        <is>
          <t>K</t>
        </is>
      </c>
    </row>
    <row r="316" hidden="1" ht="15.6" customHeight="1" s="152">
      <c r="A316" s="217" t="n">
        <v>155</v>
      </c>
      <c r="B316" s="218">
        <f>VLOOKUP(G316,Matrix!R:AA,10,0)</f>
        <v/>
      </c>
      <c r="C316" s="156">
        <f>IF(K316&gt;=0.01,K316,IFERROR(VLOOKUP(F316&amp;G316,Rush!B:C,2,0),K316)+SUM(L316:O316))</f>
        <v/>
      </c>
      <c r="D316" s="218">
        <f>_xlfn.IFNA(INDEX('Injury Report'!F:F, MATCH(G316&amp;F316, 'Injury Report'!A:A, 0)), "Healthy")</f>
        <v/>
      </c>
      <c r="E316" s="219">
        <f>VLOOKUP(A316,'RB Depth'!A:G,7,0)-1</f>
        <v/>
      </c>
      <c r="F316" s="218">
        <f>VLOOKUP(A316,'RB Depth'!A:C,3,0)</f>
        <v/>
      </c>
      <c r="G316" s="218">
        <f>VLOOKUP(A316,'RB Depth'!A:B,2,0)</f>
        <v/>
      </c>
      <c r="H316" s="218">
        <f>VLOOKUP(A316,'RB Depth'!A:D,4,0)</f>
        <v/>
      </c>
      <c r="I316" s="218">
        <f>H316&amp;E316</f>
        <v/>
      </c>
      <c r="J316" s="220">
        <f>IF(VLOOKUP(F316,Rush!F:G,2,0)=G316,"OK","Check Team")</f>
        <v/>
      </c>
      <c r="K316" s="156" t="n"/>
      <c r="L316" s="156">
        <f>IFERROR(VLOOKUP(F316&amp;G316,Pass!B:C,2,0),0)</f>
        <v/>
      </c>
      <c r="M316" s="156">
        <f>IFERROR(VLOOKUP(F316&amp;G316,Rush!B:C,2,0),0)</f>
        <v/>
      </c>
      <c r="N316" s="156">
        <f>IFERROR(VLOOKUP(F316&amp;G316,Rec!B:C,2,0),K316)</f>
        <v/>
      </c>
      <c r="O316" s="156">
        <f>IFERROR(VLOOKUP(F316&amp;G316,Returns!A:B,2,0),0)</f>
        <v/>
      </c>
      <c r="Q316" s="156" t="inlineStr">
        <is>
          <t>Alvin Kamara</t>
        </is>
      </c>
      <c r="R316" s="156" t="inlineStr">
        <is>
          <t>NO</t>
        </is>
      </c>
      <c r="S316" s="156" t="inlineStr">
        <is>
          <t>RB</t>
        </is>
      </c>
    </row>
    <row r="317" hidden="1" ht="15.6" customHeight="1" s="152">
      <c r="A317" s="217" t="n">
        <v>156</v>
      </c>
      <c r="B317" s="218">
        <f>VLOOKUP(G317,Matrix!R:AA,10,0)</f>
        <v/>
      </c>
      <c r="C317" s="156">
        <f>IF(K317&gt;=0.01,K317,IFERROR(VLOOKUP(F317&amp;G317,Rush!B:C,2,0),K317)+SUM(L317:O317))</f>
        <v/>
      </c>
      <c r="D317" s="218">
        <f>_xlfn.IFNA(INDEX('Injury Report'!F:F, MATCH(G317&amp;F317, 'Injury Report'!A:A, 0)), "Healthy")</f>
        <v/>
      </c>
      <c r="E317" s="219">
        <f>VLOOKUP(A317,'RB Depth'!A:G,7,0)-1</f>
        <v/>
      </c>
      <c r="F317" s="218">
        <f>VLOOKUP(A317,'RB Depth'!A:C,3,0)</f>
        <v/>
      </c>
      <c r="G317" s="218">
        <f>VLOOKUP(A317,'RB Depth'!A:B,2,0)</f>
        <v/>
      </c>
      <c r="H317" s="218">
        <f>VLOOKUP(A317,'RB Depth'!A:D,4,0)</f>
        <v/>
      </c>
      <c r="I317" s="218">
        <f>H317&amp;E317</f>
        <v/>
      </c>
      <c r="J317" s="220">
        <f>IF(VLOOKUP(F317,Rush!F:G,2,0)=G317,"OK","Check Team")</f>
        <v/>
      </c>
      <c r="K317" s="156" t="n"/>
      <c r="L317" s="156">
        <f>IFERROR(VLOOKUP(F317&amp;G317,Pass!B:C,2,0),0)</f>
        <v/>
      </c>
      <c r="M317" s="156">
        <f>IFERROR(VLOOKUP(F317&amp;G317,Rush!B:C,2,0),0)</f>
        <v/>
      </c>
      <c r="N317" s="156">
        <f>IFERROR(VLOOKUP(F317&amp;G317,Rec!B:C,2,0),K317)</f>
        <v/>
      </c>
      <c r="O317" s="156">
        <f>IFERROR(VLOOKUP(F317&amp;G317,Returns!A:B,2,0),0)</f>
        <v/>
      </c>
      <c r="Q317" s="156" t="inlineStr">
        <is>
          <t>Joshua Karty</t>
        </is>
      </c>
      <c r="R317" s="156" t="inlineStr">
        <is>
          <t>LAR</t>
        </is>
      </c>
      <c r="S317" s="156" t="inlineStr">
        <is>
          <t>K</t>
        </is>
      </c>
    </row>
    <row r="318" hidden="1" ht="15.6" customHeight="1" s="152">
      <c r="A318" s="217" t="n">
        <v>157</v>
      </c>
      <c r="B318" s="218">
        <f>VLOOKUP(G318,Matrix!R:AA,10,0)</f>
        <v/>
      </c>
      <c r="C318" s="156">
        <f>IF(K318&gt;=0.01,K318,IFERROR(VLOOKUP(F318&amp;G318,Rush!B:C,2,0),K318)+SUM(L318:O318))</f>
        <v/>
      </c>
      <c r="D318" s="218">
        <f>_xlfn.IFNA(INDEX('Injury Report'!F:F, MATCH(G318&amp;F318, 'Injury Report'!A:A, 0)), "Healthy")</f>
        <v/>
      </c>
      <c r="E318" s="219">
        <f>VLOOKUP(A318,'RB Depth'!A:G,7,0)-1</f>
        <v/>
      </c>
      <c r="F318" s="218">
        <f>VLOOKUP(A318,'RB Depth'!A:C,3,0)</f>
        <v/>
      </c>
      <c r="G318" s="218">
        <f>VLOOKUP(A318,'RB Depth'!A:B,2,0)</f>
        <v/>
      </c>
      <c r="H318" s="218">
        <f>VLOOKUP(A318,'RB Depth'!A:D,4,0)</f>
        <v/>
      </c>
      <c r="I318" s="218">
        <f>H318&amp;E318</f>
        <v/>
      </c>
      <c r="J318" s="220">
        <f>IF(VLOOKUP(F318,Rush!F:G,2,0)=G318,"OK","Check Team")</f>
        <v/>
      </c>
      <c r="K318" s="156" t="n"/>
      <c r="L318" s="156">
        <f>IFERROR(VLOOKUP(F318&amp;G318,Pass!B:C,2,0),0)</f>
        <v/>
      </c>
      <c r="M318" s="156">
        <f>IFERROR(VLOOKUP(F318&amp;G318,Rush!B:C,2,0),0)</f>
        <v/>
      </c>
      <c r="N318" s="156">
        <f>IFERROR(VLOOKUP(F318&amp;G318,Rec!B:C,2,0),K318)</f>
        <v/>
      </c>
      <c r="O318" s="156">
        <f>IFERROR(VLOOKUP(F318&amp;G318,Returns!A:B,2,0),0)</f>
        <v/>
      </c>
      <c r="Q318" s="156" t="inlineStr">
        <is>
          <t>Case Keenum</t>
        </is>
      </c>
      <c r="R318" s="156" t="inlineStr">
        <is>
          <t>HOU</t>
        </is>
      </c>
      <c r="S318" s="156" t="inlineStr">
        <is>
          <t>QB</t>
        </is>
      </c>
    </row>
    <row r="319" hidden="1" ht="15.6" customHeight="1" s="152">
      <c r="A319" s="217" t="n">
        <v>158</v>
      </c>
      <c r="B319" s="218">
        <f>VLOOKUP(G319,Matrix!R:AA,10,0)</f>
        <v/>
      </c>
      <c r="C319" s="156">
        <f>IF(K319&gt;=0.01,K319,IFERROR(VLOOKUP(F319&amp;G319,Rush!B:C,2,0),K319)+SUM(L319:O319))</f>
        <v/>
      </c>
      <c r="D319" s="218">
        <f>_xlfn.IFNA(INDEX('Injury Report'!F:F, MATCH(G319&amp;F319, 'Injury Report'!A:A, 0)), "Healthy")</f>
        <v/>
      </c>
      <c r="E319" s="219">
        <f>VLOOKUP(A319,'RB Depth'!A:G,7,0)-1</f>
        <v/>
      </c>
      <c r="F319" s="218">
        <f>VLOOKUP(A319,'RB Depth'!A:C,3,0)</f>
        <v/>
      </c>
      <c r="G319" s="218">
        <f>VLOOKUP(A319,'RB Depth'!A:B,2,0)</f>
        <v/>
      </c>
      <c r="H319" s="218">
        <f>VLOOKUP(A319,'RB Depth'!A:D,4,0)</f>
        <v/>
      </c>
      <c r="I319" s="218">
        <f>H319&amp;E319</f>
        <v/>
      </c>
      <c r="J319" s="220">
        <f>IF(VLOOKUP(F319,Rush!F:G,2,0)=G319,"OK","Check Team")</f>
        <v/>
      </c>
      <c r="K319" s="156" t="n"/>
      <c r="L319" s="156">
        <f>IFERROR(VLOOKUP(F319&amp;G319,Pass!B:C,2,0),0)</f>
        <v/>
      </c>
      <c r="M319" s="156">
        <f>IFERROR(VLOOKUP(F319&amp;G319,Rush!B:C,2,0),0)</f>
        <v/>
      </c>
      <c r="N319" s="156">
        <f>IFERROR(VLOOKUP(F319&amp;G319,Rec!B:C,2,0),K319)</f>
        <v/>
      </c>
      <c r="O319" s="156">
        <f>IFERROR(VLOOKUP(F319&amp;G319,Returns!A:B,2,0),0)</f>
        <v/>
      </c>
      <c r="Q319" s="156" t="inlineStr">
        <is>
          <t>Travis Kelce</t>
        </is>
      </c>
      <c r="R319" s="156" t="inlineStr">
        <is>
          <t>KC</t>
        </is>
      </c>
      <c r="S319" s="156" t="inlineStr">
        <is>
          <t>TE</t>
        </is>
      </c>
    </row>
    <row r="320" hidden="1" ht="15.6" customHeight="1" s="152">
      <c r="A320" s="217" t="n">
        <v>159</v>
      </c>
      <c r="B320" s="218">
        <f>VLOOKUP(G320,Matrix!R:AA,10,0)</f>
        <v/>
      </c>
      <c r="C320" s="156">
        <f>IF(K320&gt;=0.01,K320,IFERROR(VLOOKUP(F320&amp;G320,Rush!B:C,2,0),K320)+SUM(L320:O320))</f>
        <v/>
      </c>
      <c r="D320" s="218">
        <f>_xlfn.IFNA(INDEX('Injury Report'!F:F, MATCH(G320&amp;F320, 'Injury Report'!A:A, 0)), "Healthy")</f>
        <v/>
      </c>
      <c r="E320" s="219">
        <f>VLOOKUP(A320,'RB Depth'!A:G,7,0)-1</f>
        <v/>
      </c>
      <c r="F320" s="218">
        <f>VLOOKUP(A320,'RB Depth'!A:C,3,0)</f>
        <v/>
      </c>
      <c r="G320" s="218">
        <f>VLOOKUP(A320,'RB Depth'!A:B,2,0)</f>
        <v/>
      </c>
      <c r="H320" s="218">
        <f>VLOOKUP(A320,'RB Depth'!A:D,4,0)</f>
        <v/>
      </c>
      <c r="I320" s="218">
        <f>H320&amp;E320</f>
        <v/>
      </c>
      <c r="J320" s="220">
        <f>IF(VLOOKUP(F320,Rush!F:G,2,0)=G320,"OK","Check Team")</f>
        <v/>
      </c>
      <c r="K320" s="156" t="n"/>
      <c r="L320" s="156">
        <f>IFERROR(VLOOKUP(F320&amp;G320,Pass!B:C,2,0),0)</f>
        <v/>
      </c>
      <c r="M320" s="156">
        <f>IFERROR(VLOOKUP(F320&amp;G320,Rush!B:C,2,0),0)</f>
        <v/>
      </c>
      <c r="N320" s="156">
        <f>IFERROR(VLOOKUP(F320&amp;G320,Rec!B:C,2,0),K320)</f>
        <v/>
      </c>
      <c r="O320" s="156">
        <f>IFERROR(VLOOKUP(F320&amp;G320,Returns!A:B,2,0),0)</f>
        <v/>
      </c>
      <c r="Q320" s="156" t="inlineStr">
        <is>
          <t>Joshua Kelley</t>
        </is>
      </c>
      <c r="R320" s="156" t="inlineStr">
        <is>
          <t>TEN</t>
        </is>
      </c>
      <c r="S320" s="156" t="inlineStr">
        <is>
          <t>RB</t>
        </is>
      </c>
    </row>
    <row r="321" hidden="1" ht="15.6" customHeight="1" s="152">
      <c r="A321" s="217" t="n">
        <v>160</v>
      </c>
      <c r="B321" s="218">
        <f>VLOOKUP(G321,Matrix!R:AA,10,0)</f>
        <v/>
      </c>
      <c r="C321" s="156">
        <f>IF(K321&gt;=0.01,K321,IFERROR(VLOOKUP(F321&amp;G321,Rush!B:C,2,0),K321)+SUM(L321:O321))</f>
        <v/>
      </c>
      <c r="D321" s="218">
        <f>_xlfn.IFNA(INDEX('Injury Report'!F:F, MATCH(G321&amp;F321, 'Injury Report'!A:A, 0)), "Healthy")</f>
        <v/>
      </c>
      <c r="E321" s="219">
        <f>VLOOKUP(A321,'RB Depth'!A:G,7,0)-1</f>
        <v/>
      </c>
      <c r="F321" s="218">
        <f>VLOOKUP(A321,'RB Depth'!A:C,3,0)</f>
        <v/>
      </c>
      <c r="G321" s="218">
        <f>VLOOKUP(A321,'RB Depth'!A:B,2,0)</f>
        <v/>
      </c>
      <c r="H321" s="218">
        <f>VLOOKUP(A321,'RB Depth'!A:D,4,0)</f>
        <v/>
      </c>
      <c r="I321" s="218">
        <f>H321&amp;E321</f>
        <v/>
      </c>
      <c r="J321" s="220">
        <f>IF(VLOOKUP(F321,Rush!F:G,2,0)=G321,"OK","Check Team")</f>
        <v/>
      </c>
      <c r="K321" s="156" t="n"/>
      <c r="L321" s="156">
        <f>IFERROR(VLOOKUP(F321&amp;G321,Pass!B:C,2,0),0)</f>
        <v/>
      </c>
      <c r="M321" s="156">
        <f>IFERROR(VLOOKUP(F321&amp;G321,Rush!B:C,2,0),0)</f>
        <v/>
      </c>
      <c r="N321" s="156">
        <f>IFERROR(VLOOKUP(F321&amp;G321,Rec!B:C,2,0),K321)</f>
        <v/>
      </c>
      <c r="O321" s="156">
        <f>IFERROR(VLOOKUP(F321&amp;G321,Returns!A:B,2,0),0)</f>
        <v/>
      </c>
      <c r="Q321" s="156" t="inlineStr">
        <is>
          <t>John Kelly</t>
        </is>
      </c>
      <c r="R321" s="156" t="inlineStr">
        <is>
          <t>CLE</t>
        </is>
      </c>
      <c r="S321" s="156" t="inlineStr">
        <is>
          <t>RB</t>
        </is>
      </c>
    </row>
    <row r="322" hidden="1" ht="15.6" customHeight="1" s="152">
      <c r="A322" s="217" t="n">
        <v>1</v>
      </c>
      <c r="B322" s="218">
        <f>VLOOKUP(G322,Matrix!R:AA,10,0)</f>
        <v/>
      </c>
      <c r="C322" s="156">
        <f>IF(K322&gt;0.01,K322,IFERROR(VLOOKUP(F322&amp;G322,Rec!B:C,2,0),K322)+SUM(L322:O322))</f>
        <v/>
      </c>
      <c r="D322" s="218">
        <f>_xlfn.IFNA(INDEX('Injury Report'!F:F, MATCH(G322&amp;F322, 'Injury Report'!A:A, 0)), "Healthy")</f>
        <v/>
      </c>
      <c r="E322" s="219">
        <f>VLOOKUP(A322,'WR Depth'!A:G,7,0)-1</f>
        <v/>
      </c>
      <c r="F322" s="218">
        <f>VLOOKUP(A322,'WR Depth'!A:C,3,0)</f>
        <v/>
      </c>
      <c r="G322" s="218">
        <f>VLOOKUP(A322,'WR Depth'!A:B,2,0)</f>
        <v/>
      </c>
      <c r="H322" s="218">
        <f>VLOOKUP(A322,'WR Depth'!A:D,4,0)</f>
        <v/>
      </c>
      <c r="I322" s="218">
        <f>H322&amp;E322</f>
        <v/>
      </c>
      <c r="J322" s="220">
        <f>IF(VLOOKUP(F322,Rec!F:G,2,0)=G322,"OK","Check Team")</f>
        <v/>
      </c>
      <c r="K322" s="156" t="n"/>
      <c r="L322" s="156">
        <f>IFERROR(VLOOKUP(F322&amp;G322,Pass!B:C,2,0),0)</f>
        <v/>
      </c>
      <c r="M322" s="156">
        <f>IFERROR(VLOOKUP(F322&amp;G322,Rush!B:C,2,0),0)</f>
        <v/>
      </c>
      <c r="N322" s="156">
        <f>IFERROR(VLOOKUP(F322&amp;G322,Rec!B:C,2,0),K322)</f>
        <v/>
      </c>
      <c r="O322" s="156">
        <f>IFERROR(VLOOKUP(F322&amp;G322,Returns!A:B,2,0),0)</f>
        <v/>
      </c>
      <c r="Q322" s="156" t="inlineStr">
        <is>
          <t>Dalton Kincaid</t>
        </is>
      </c>
      <c r="R322" s="156" t="inlineStr">
        <is>
          <t>BUF</t>
        </is>
      </c>
      <c r="S322" s="156" t="inlineStr">
        <is>
          <t>TE</t>
        </is>
      </c>
    </row>
    <row r="323" hidden="1" ht="15.6" customHeight="1" s="152">
      <c r="A323" s="221" t="n">
        <v>2</v>
      </c>
      <c r="B323" s="218">
        <f>VLOOKUP(G323,Matrix!R:AA,10,0)</f>
        <v/>
      </c>
      <c r="C323" s="156">
        <f>IF(K323&gt;0.01,K323,IFERROR(VLOOKUP(F323&amp;G323,Rec!B:C,2,0),K323)+SUM(L323:O323))</f>
        <v/>
      </c>
      <c r="D323" s="218">
        <f>_xlfn.IFNA(INDEX('Injury Report'!F:F, MATCH(G323&amp;F323, 'Injury Report'!A:A, 0)), "Healthy")</f>
        <v/>
      </c>
      <c r="E323" s="219">
        <f>VLOOKUP(A323,'WR Depth'!A:G,7,0)-1</f>
        <v/>
      </c>
      <c r="F323" s="218">
        <f>VLOOKUP(A323,'WR Depth'!A:C,3,0)</f>
        <v/>
      </c>
      <c r="G323" s="218">
        <f>VLOOKUP(A323,'WR Depth'!A:B,2,0)</f>
        <v/>
      </c>
      <c r="H323" s="218">
        <f>VLOOKUP(A323,'WR Depth'!A:D,4,0)</f>
        <v/>
      </c>
      <c r="I323" s="218">
        <f>H323&amp;E323</f>
        <v/>
      </c>
      <c r="J323" s="220">
        <f>IF(VLOOKUP(F323,Rec!F:G,2,0)=G323,"OK","Check Team")</f>
        <v/>
      </c>
      <c r="K323" s="156" t="n"/>
      <c r="L323" s="156">
        <f>IFERROR(VLOOKUP(F323&amp;G323,Pass!B:C,2,0),0)</f>
        <v/>
      </c>
      <c r="M323" s="156">
        <f>IFERROR(VLOOKUP(F323&amp;G323,Rush!B:C,2,0),0)</f>
        <v/>
      </c>
      <c r="N323" s="156">
        <f>IFERROR(VLOOKUP(F323&amp;G323,Rec!B:C,2,0),K323)</f>
        <v/>
      </c>
      <c r="O323" s="156">
        <f>IFERROR(VLOOKUP(F323&amp;G323,Returns!A:B,2,0),0)</f>
        <v/>
      </c>
      <c r="Q323" s="156" t="inlineStr">
        <is>
          <t>Christian Kirk</t>
        </is>
      </c>
      <c r="R323" s="156" t="inlineStr">
        <is>
          <t>JAX</t>
        </is>
      </c>
      <c r="S323" s="156" t="inlineStr">
        <is>
          <t>WR</t>
        </is>
      </c>
    </row>
    <row r="324" hidden="1" ht="15.6" customHeight="1" s="152">
      <c r="A324" s="217" t="n">
        <v>3</v>
      </c>
      <c r="B324" s="218">
        <f>VLOOKUP(G324,Matrix!R:AA,10,0)</f>
        <v/>
      </c>
      <c r="C324" s="156">
        <f>IF(K324&gt;0.01,K324,IFERROR(VLOOKUP(F324&amp;G324,Rec!B:C,2,0),K324)+SUM(L324:O324))</f>
        <v/>
      </c>
      <c r="D324" s="218">
        <f>_xlfn.IFNA(INDEX('Injury Report'!F:F, MATCH(G324&amp;F324, 'Injury Report'!A:A, 0)), "Healthy")</f>
        <v/>
      </c>
      <c r="E324" s="219">
        <f>VLOOKUP(A324,'WR Depth'!A:G,7,0)-1</f>
        <v/>
      </c>
      <c r="F324" s="218">
        <f>VLOOKUP(A324,'WR Depth'!A:C,3,0)</f>
        <v/>
      </c>
      <c r="G324" s="218">
        <f>VLOOKUP(A324,'WR Depth'!A:B,2,0)</f>
        <v/>
      </c>
      <c r="H324" s="218">
        <f>VLOOKUP(A324,'WR Depth'!A:D,4,0)</f>
        <v/>
      </c>
      <c r="I324" s="218">
        <f>H324&amp;E324</f>
        <v/>
      </c>
      <c r="J324" s="220">
        <f>IF(VLOOKUP(F324,Rec!F:G,2,0)=G324,"OK","Check Team")</f>
        <v/>
      </c>
      <c r="K324" s="156" t="n"/>
      <c r="L324" s="156">
        <f>IFERROR(VLOOKUP(F324&amp;G324,Pass!B:C,2,0),0)</f>
        <v/>
      </c>
      <c r="M324" s="156">
        <f>IFERROR(VLOOKUP(F324&amp;G324,Rush!B:C,2,0),0)</f>
        <v/>
      </c>
      <c r="N324" s="156">
        <f>IFERROR(VLOOKUP(F324&amp;G324,Rec!B:C,2,0),K324)</f>
        <v/>
      </c>
      <c r="O324" s="156">
        <f>IFERROR(VLOOKUP(F324&amp;G324,Returns!A:B,2,0),0)</f>
        <v/>
      </c>
      <c r="Q324" s="156" t="inlineStr">
        <is>
          <t>George Kittle</t>
        </is>
      </c>
      <c r="R324" s="156" t="inlineStr">
        <is>
          <t>SF</t>
        </is>
      </c>
      <c r="S324" s="156" t="inlineStr">
        <is>
          <t>TE</t>
        </is>
      </c>
    </row>
    <row r="325" hidden="1" ht="15.6" customHeight="1" s="152">
      <c r="A325" s="221" t="n">
        <v>4</v>
      </c>
      <c r="B325" s="218">
        <f>VLOOKUP(G325,Matrix!R:AA,10,0)</f>
        <v/>
      </c>
      <c r="C325" s="156">
        <f>IF(K325&gt;0.01,K325,IFERROR(VLOOKUP(F325&amp;G325,Rec!B:C,2,0),K325)+SUM(L325:O325))</f>
        <v/>
      </c>
      <c r="D325" s="218">
        <f>_xlfn.IFNA(INDEX('Injury Report'!F:F, MATCH(G325&amp;F325, 'Injury Report'!A:A, 0)), "Healthy")</f>
        <v/>
      </c>
      <c r="E325" s="219">
        <f>VLOOKUP(A325,'WR Depth'!A:G,7,0)-1</f>
        <v/>
      </c>
      <c r="F325" s="218">
        <f>VLOOKUP(A325,'WR Depth'!A:C,3,0)</f>
        <v/>
      </c>
      <c r="G325" s="218">
        <f>VLOOKUP(A325,'WR Depth'!A:B,2,0)</f>
        <v/>
      </c>
      <c r="H325" s="218">
        <f>VLOOKUP(A325,'WR Depth'!A:D,4,0)</f>
        <v/>
      </c>
      <c r="I325" s="218">
        <f>H325&amp;E325</f>
        <v/>
      </c>
      <c r="J325" s="220">
        <f>IF(VLOOKUP(F325,Rec!F:G,2,0)=G325,"OK","Check Team")</f>
        <v/>
      </c>
      <c r="K325" s="156" t="n"/>
      <c r="L325" s="156">
        <f>IFERROR(VLOOKUP(F325&amp;G325,Pass!B:C,2,0),0)</f>
        <v/>
      </c>
      <c r="M325" s="156">
        <f>IFERROR(VLOOKUP(F325&amp;G325,Rush!B:C,2,0),0)</f>
        <v/>
      </c>
      <c r="N325" s="156">
        <f>IFERROR(VLOOKUP(F325&amp;G325,Rec!B:C,2,0),K325)</f>
        <v/>
      </c>
      <c r="O325" s="156">
        <f>IFERROR(VLOOKUP(F325&amp;G325,Returns!A:B,2,0),0)</f>
        <v/>
      </c>
      <c r="Q325" s="156" t="inlineStr">
        <is>
          <t>Cole Kmet</t>
        </is>
      </c>
      <c r="R325" s="156" t="inlineStr">
        <is>
          <t>CHI</t>
        </is>
      </c>
      <c r="S325" s="156" t="inlineStr">
        <is>
          <t>TE</t>
        </is>
      </c>
    </row>
    <row r="326" hidden="1" ht="15.6" customHeight="1" s="152">
      <c r="A326" s="217" t="n">
        <v>5</v>
      </c>
      <c r="B326" s="218">
        <f>VLOOKUP(G326,Matrix!R:AA,10,0)</f>
        <v/>
      </c>
      <c r="C326" s="156">
        <f>IF(K326&gt;0.01,K326,IFERROR(VLOOKUP(F326&amp;G326,Rec!B:C,2,0),K326)+SUM(L326:O326))</f>
        <v/>
      </c>
      <c r="D326" s="218">
        <f>_xlfn.IFNA(INDEX('Injury Report'!F:F, MATCH(G326&amp;F326, 'Injury Report'!A:A, 0)), "Healthy")</f>
        <v/>
      </c>
      <c r="E326" s="219">
        <f>VLOOKUP(A326,'WR Depth'!A:G,7,0)-1</f>
        <v/>
      </c>
      <c r="F326" s="218">
        <f>VLOOKUP(A326,'WR Depth'!A:C,3,0)</f>
        <v/>
      </c>
      <c r="G326" s="218">
        <f>VLOOKUP(A326,'WR Depth'!A:B,2,0)</f>
        <v/>
      </c>
      <c r="H326" s="218">
        <f>VLOOKUP(A326,'WR Depth'!A:D,4,0)</f>
        <v/>
      </c>
      <c r="I326" s="218">
        <f>H326&amp;E326</f>
        <v/>
      </c>
      <c r="J326" s="220">
        <f>IF(VLOOKUP(F326,Rec!F:G,2,0)=G326,"OK","Check Team")</f>
        <v/>
      </c>
      <c r="K326" s="156" t="n"/>
      <c r="L326" s="156">
        <f>IFERROR(VLOOKUP(F326&amp;G326,Pass!B:C,2,0),0)</f>
        <v/>
      </c>
      <c r="M326" s="156">
        <f>IFERROR(VLOOKUP(F326&amp;G326,Rush!B:C,2,0),0)</f>
        <v/>
      </c>
      <c r="N326" s="156">
        <f>IFERROR(VLOOKUP(F326&amp;G326,Rec!B:C,2,0),K326)</f>
        <v/>
      </c>
      <c r="O326" s="156">
        <f>IFERROR(VLOOKUP(F326&amp;G326,Returns!A:B,2,0),0)</f>
        <v/>
      </c>
      <c r="Q326" s="156" t="inlineStr">
        <is>
          <t>Dawson Knox</t>
        </is>
      </c>
      <c r="R326" s="156" t="inlineStr">
        <is>
          <t>BUF</t>
        </is>
      </c>
      <c r="S326" s="156" t="inlineStr">
        <is>
          <t>TE</t>
        </is>
      </c>
    </row>
    <row r="327" hidden="1" ht="15.6" customHeight="1" s="152">
      <c r="A327" s="221" t="n">
        <v>6</v>
      </c>
      <c r="B327" s="218">
        <f>VLOOKUP(G327,Matrix!R:AA,10,0)</f>
        <v/>
      </c>
      <c r="C327" s="156">
        <f>IF(K327&gt;0.01,K327,IFERROR(VLOOKUP(F327&amp;G327,Rec!B:C,2,0),K327)+SUM(L327:O327))</f>
        <v/>
      </c>
      <c r="D327" s="218">
        <f>_xlfn.IFNA(INDEX('Injury Report'!F:F, MATCH(G327&amp;F327, 'Injury Report'!A:A, 0)), "Healthy")</f>
        <v/>
      </c>
      <c r="E327" s="219">
        <f>VLOOKUP(A327,'WR Depth'!A:G,7,0)-1</f>
        <v/>
      </c>
      <c r="F327" s="218">
        <f>VLOOKUP(A327,'WR Depth'!A:C,3,0)</f>
        <v/>
      </c>
      <c r="G327" s="218">
        <f>VLOOKUP(A327,'WR Depth'!A:B,2,0)</f>
        <v/>
      </c>
      <c r="H327" s="218">
        <f>VLOOKUP(A327,'WR Depth'!A:D,4,0)</f>
        <v/>
      </c>
      <c r="I327" s="218">
        <f>H327&amp;E327</f>
        <v/>
      </c>
      <c r="J327" s="220">
        <f>IF(VLOOKUP(F327,Rec!F:G,2,0)=G327,"OK","Check Team")</f>
        <v/>
      </c>
      <c r="K327" s="156" t="n"/>
      <c r="L327" s="156">
        <f>IFERROR(VLOOKUP(F327&amp;G327,Pass!B:C,2,0),0)</f>
        <v/>
      </c>
      <c r="M327" s="156">
        <f>IFERROR(VLOOKUP(F327&amp;G327,Rush!B:C,2,0),0)</f>
        <v/>
      </c>
      <c r="N327" s="156">
        <f>IFERROR(VLOOKUP(F327&amp;G327,Rec!B:C,2,0),K327)</f>
        <v/>
      </c>
      <c r="O327" s="156">
        <f>IFERROR(VLOOKUP(F327&amp;G327,Returns!A:B,2,0),0)</f>
        <v/>
      </c>
      <c r="Q327" s="156" t="inlineStr">
        <is>
          <t>Charlie Kolar</t>
        </is>
      </c>
      <c r="R327" s="156" t="inlineStr">
        <is>
          <t>BAL</t>
        </is>
      </c>
      <c r="S327" s="156" t="inlineStr">
        <is>
          <t>TE</t>
        </is>
      </c>
    </row>
    <row r="328" hidden="1" ht="15.6" customHeight="1" s="152">
      <c r="A328" s="217" t="n">
        <v>7</v>
      </c>
      <c r="B328" s="218">
        <f>VLOOKUP(G328,Matrix!R:AA,10,0)</f>
        <v/>
      </c>
      <c r="C328" s="156">
        <f>IF(K328&gt;0.01,K328,IFERROR(VLOOKUP(F328&amp;G328,Rec!B:C,2,0),K328)+SUM(L328:O328))</f>
        <v/>
      </c>
      <c r="D328" s="218">
        <f>_xlfn.IFNA(INDEX('Injury Report'!F:F, MATCH(G328&amp;F328, 'Injury Report'!A:A, 0)), "Healthy")</f>
        <v/>
      </c>
      <c r="E328" s="219">
        <f>VLOOKUP(A328,'WR Depth'!A:G,7,0)-1</f>
        <v/>
      </c>
      <c r="F328" s="218">
        <f>VLOOKUP(A328,'WR Depth'!A:C,3,0)</f>
        <v/>
      </c>
      <c r="G328" s="218">
        <f>VLOOKUP(A328,'WR Depth'!A:B,2,0)</f>
        <v/>
      </c>
      <c r="H328" s="218">
        <f>VLOOKUP(A328,'WR Depth'!A:D,4,0)</f>
        <v/>
      </c>
      <c r="I328" s="218">
        <f>H328&amp;E328</f>
        <v/>
      </c>
      <c r="J328" s="220">
        <f>IF(VLOOKUP(F328,Rec!F:G,2,0)=G328,"OK","Check Team")</f>
        <v/>
      </c>
      <c r="K328" s="156" t="n"/>
      <c r="L328" s="156">
        <f>IFERROR(VLOOKUP(F328&amp;G328,Pass!B:C,2,0),0)</f>
        <v/>
      </c>
      <c r="M328" s="156">
        <f>IFERROR(VLOOKUP(F328&amp;G328,Rush!B:C,2,0),0)</f>
        <v/>
      </c>
      <c r="N328" s="156">
        <f>IFERROR(VLOOKUP(F328&amp;G328,Rec!B:C,2,0),K328)</f>
        <v/>
      </c>
      <c r="O328" s="156">
        <f>IFERROR(VLOOKUP(F328&amp;G328,Returns!A:B,2,0),0)</f>
        <v/>
      </c>
      <c r="Q328" s="156" t="inlineStr">
        <is>
          <t>Younghoe Koo</t>
        </is>
      </c>
      <c r="R328" s="156" t="inlineStr">
        <is>
          <t>ATL</t>
        </is>
      </c>
      <c r="S328" s="156" t="inlineStr">
        <is>
          <t>K</t>
        </is>
      </c>
    </row>
    <row r="329" hidden="1" ht="15.6" customHeight="1" s="152">
      <c r="A329" s="221" t="n">
        <v>8</v>
      </c>
      <c r="B329" s="218">
        <f>VLOOKUP(G329,Matrix!R:AA,10,0)</f>
        <v/>
      </c>
      <c r="C329" s="156">
        <f>IF(K329&gt;0.01,K329,IFERROR(VLOOKUP(F329&amp;G329,Rec!B:C,2,0),K329)+SUM(L329:O329))</f>
        <v/>
      </c>
      <c r="D329" s="218">
        <f>_xlfn.IFNA(INDEX('Injury Report'!F:F, MATCH(G329&amp;F329, 'Injury Report'!A:A, 0)), "Healthy")</f>
        <v/>
      </c>
      <c r="E329" s="219">
        <f>VLOOKUP(A329,'WR Depth'!A:G,7,0)-1</f>
        <v/>
      </c>
      <c r="F329" s="218">
        <f>VLOOKUP(A329,'WR Depth'!A:C,3,0)</f>
        <v/>
      </c>
      <c r="G329" s="218">
        <f>VLOOKUP(A329,'WR Depth'!A:B,2,0)</f>
        <v/>
      </c>
      <c r="H329" s="218">
        <f>VLOOKUP(A329,'WR Depth'!A:D,4,0)</f>
        <v/>
      </c>
      <c r="I329" s="218">
        <f>H329&amp;E329</f>
        <v/>
      </c>
      <c r="J329" s="220">
        <f>IF(VLOOKUP(F329,Rec!F:G,2,0)=G329,"OK","Check Team")</f>
        <v/>
      </c>
      <c r="K329" s="156" t="n"/>
      <c r="L329" s="156">
        <f>IFERROR(VLOOKUP(F329&amp;G329,Pass!B:C,2,0),0)</f>
        <v/>
      </c>
      <c r="M329" s="156">
        <f>IFERROR(VLOOKUP(F329&amp;G329,Rush!B:C,2,0),0)</f>
        <v/>
      </c>
      <c r="N329" s="156">
        <f>IFERROR(VLOOKUP(F329&amp;G329,Rec!B:C,2,0),K329)</f>
        <v/>
      </c>
      <c r="O329" s="156">
        <f>IFERROR(VLOOKUP(F329&amp;G329,Returns!A:B,2,0),0)</f>
        <v/>
      </c>
      <c r="Q329" s="156" t="inlineStr">
        <is>
          <t>Tucker Kraft</t>
        </is>
      </c>
      <c r="R329" s="156" t="inlineStr">
        <is>
          <t>GB</t>
        </is>
      </c>
      <c r="S329" s="156" t="inlineStr">
        <is>
          <t>TE</t>
        </is>
      </c>
    </row>
    <row r="330" hidden="1" ht="15.6" customHeight="1" s="152">
      <c r="A330" s="217" t="n">
        <v>9</v>
      </c>
      <c r="B330" s="218">
        <f>VLOOKUP(G330,Matrix!R:AA,10,0)</f>
        <v/>
      </c>
      <c r="C330" s="156">
        <f>IF(K330&gt;0.01,K330,IFERROR(VLOOKUP(F330&amp;G330,Rec!B:C,2,0),K330)+SUM(L330:O330))</f>
        <v/>
      </c>
      <c r="D330" s="218">
        <f>_xlfn.IFNA(INDEX('Injury Report'!F:F, MATCH(G330&amp;F330, 'Injury Report'!A:A, 0)), "Healthy")</f>
        <v/>
      </c>
      <c r="E330" s="219">
        <f>VLOOKUP(A330,'WR Depth'!A:G,7,0)-1</f>
        <v/>
      </c>
      <c r="F330" s="218">
        <f>VLOOKUP(A330,'WR Depth'!A:C,3,0)</f>
        <v/>
      </c>
      <c r="G330" s="218">
        <f>VLOOKUP(A330,'WR Depth'!A:B,2,0)</f>
        <v/>
      </c>
      <c r="H330" s="218">
        <f>VLOOKUP(A330,'WR Depth'!A:D,4,0)</f>
        <v/>
      </c>
      <c r="I330" s="218">
        <f>H330&amp;E330</f>
        <v/>
      </c>
      <c r="J330" s="220">
        <f>IF(VLOOKUP(F330,Rec!F:G,2,0)=G330,"OK","Check Team")</f>
        <v/>
      </c>
      <c r="K330" s="156" t="n"/>
      <c r="L330" s="156">
        <f>IFERROR(VLOOKUP(F330&amp;G330,Pass!B:C,2,0),0)</f>
        <v/>
      </c>
      <c r="M330" s="156">
        <f>IFERROR(VLOOKUP(F330&amp;G330,Rush!B:C,2,0),0)</f>
        <v/>
      </c>
      <c r="N330" s="156">
        <f>IFERROR(VLOOKUP(F330&amp;G330,Rec!B:C,2,0),K330)</f>
        <v/>
      </c>
      <c r="O330" s="156">
        <f>IFERROR(VLOOKUP(F330&amp;G330,Returns!A:B,2,0),0)</f>
        <v/>
      </c>
      <c r="Q330" s="156" t="inlineStr">
        <is>
          <t>Lucas Krull</t>
        </is>
      </c>
      <c r="R330" s="156" t="inlineStr">
        <is>
          <t>DEN</t>
        </is>
      </c>
      <c r="S330" s="156" t="inlineStr">
        <is>
          <t>TE</t>
        </is>
      </c>
    </row>
    <row r="331" hidden="1" ht="15.6" customHeight="1" s="152">
      <c r="A331" s="221" t="n">
        <v>10</v>
      </c>
      <c r="B331" s="218">
        <f>VLOOKUP(G331,Matrix!R:AA,10,0)</f>
        <v/>
      </c>
      <c r="C331" s="156">
        <f>IF(K331&gt;0.01,K331,IFERROR(VLOOKUP(F331&amp;G331,Rec!B:C,2,0),K331)+SUM(L331:O331))</f>
        <v/>
      </c>
      <c r="D331" s="218">
        <f>_xlfn.IFNA(INDEX('Injury Report'!F:F, MATCH(G331&amp;F331, 'Injury Report'!A:A, 0)), "Healthy")</f>
        <v/>
      </c>
      <c r="E331" s="219">
        <f>VLOOKUP(A331,'WR Depth'!A:G,7,0)-1</f>
        <v/>
      </c>
      <c r="F331" s="218">
        <f>VLOOKUP(A331,'WR Depth'!A:C,3,0)</f>
        <v/>
      </c>
      <c r="G331" s="218">
        <f>VLOOKUP(A331,'WR Depth'!A:B,2,0)</f>
        <v/>
      </c>
      <c r="H331" s="218">
        <f>VLOOKUP(A331,'WR Depth'!A:D,4,0)</f>
        <v/>
      </c>
      <c r="I331" s="218">
        <f>H331&amp;E331</f>
        <v/>
      </c>
      <c r="J331" s="220">
        <f>IF(VLOOKUP(F331,Rec!F:G,2,0)=G331,"OK","Check Team")</f>
        <v/>
      </c>
      <c r="K331" s="156" t="n"/>
      <c r="L331" s="156">
        <f>IFERROR(VLOOKUP(F331&amp;G331,Pass!B:C,2,0),0)</f>
        <v/>
      </c>
      <c r="M331" s="156">
        <f>IFERROR(VLOOKUP(F331&amp;G331,Rush!B:C,2,0),0)</f>
        <v/>
      </c>
      <c r="N331" s="156">
        <f>IFERROR(VLOOKUP(F331&amp;G331,Rec!B:C,2,0),K331)</f>
        <v/>
      </c>
      <c r="O331" s="156">
        <f>IFERROR(VLOOKUP(F331&amp;G331,Returns!A:B,2,0),0)</f>
        <v/>
      </c>
      <c r="Q331" s="156" t="inlineStr">
        <is>
          <t>Cooper Kupp</t>
        </is>
      </c>
      <c r="R331" s="156" t="inlineStr">
        <is>
          <t>LAR</t>
        </is>
      </c>
      <c r="S331" s="156" t="inlineStr">
        <is>
          <t>WR</t>
        </is>
      </c>
    </row>
    <row r="332" hidden="1" ht="15.6" customHeight="1" s="152">
      <c r="A332" s="217" t="n">
        <v>11</v>
      </c>
      <c r="B332" s="218">
        <f>VLOOKUP(G332,Matrix!R:AA,10,0)</f>
        <v/>
      </c>
      <c r="C332" s="156">
        <f>IF(K332&gt;0.01,K332,IFERROR(VLOOKUP(F332&amp;G332,Rec!B:C,2,0),K332)+SUM(L332:O332))</f>
        <v/>
      </c>
      <c r="D332" s="218">
        <f>_xlfn.IFNA(INDEX('Injury Report'!F:F, MATCH(G332&amp;F332, 'Injury Report'!A:A, 0)), "Healthy")</f>
        <v/>
      </c>
      <c r="E332" s="219">
        <f>VLOOKUP(A332,'WR Depth'!A:G,7,0)-1</f>
        <v/>
      </c>
      <c r="F332" s="218">
        <f>VLOOKUP(A332,'WR Depth'!A:C,3,0)</f>
        <v/>
      </c>
      <c r="G332" s="218">
        <f>VLOOKUP(A332,'WR Depth'!A:B,2,0)</f>
        <v/>
      </c>
      <c r="H332" s="218">
        <f>VLOOKUP(A332,'WR Depth'!A:D,4,0)</f>
        <v/>
      </c>
      <c r="I332" s="218">
        <f>H332&amp;E332</f>
        <v/>
      </c>
      <c r="J332" s="220">
        <f>IF(VLOOKUP(F332,Rec!F:G,2,0)=G332,"OK","Check Team")</f>
        <v/>
      </c>
      <c r="K332" s="156" t="n"/>
      <c r="L332" s="156">
        <f>IFERROR(VLOOKUP(F332&amp;G332,Pass!B:C,2,0),0)</f>
        <v/>
      </c>
      <c r="M332" s="156">
        <f>IFERROR(VLOOKUP(F332&amp;G332,Rush!B:C,2,0),0)</f>
        <v/>
      </c>
      <c r="N332" s="156">
        <f>IFERROR(VLOOKUP(F332&amp;G332,Rec!B:C,2,0),K332)</f>
        <v/>
      </c>
      <c r="O332" s="156">
        <f>IFERROR(VLOOKUP(F332&amp;G332,Returns!A:B,2,0),0)</f>
        <v/>
      </c>
      <c r="Q332" s="156" t="inlineStr">
        <is>
          <t>CeeDee Lamb</t>
        </is>
      </c>
      <c r="R332" s="156" t="inlineStr">
        <is>
          <t>DAL</t>
        </is>
      </c>
      <c r="S332" s="156" t="inlineStr">
        <is>
          <t>WR</t>
        </is>
      </c>
    </row>
    <row r="333" hidden="1" ht="15.6" customHeight="1" s="152">
      <c r="A333" s="221" t="n">
        <v>12</v>
      </c>
      <c r="B333" s="218">
        <f>VLOOKUP(G333,Matrix!R:AA,10,0)</f>
        <v/>
      </c>
      <c r="C333" s="156">
        <f>IF(K333&gt;0.01,K333,IFERROR(VLOOKUP(F333&amp;G333,Rec!B:C,2,0),K333)+SUM(L333:O333))</f>
        <v/>
      </c>
      <c r="D333" s="218">
        <f>_xlfn.IFNA(INDEX('Injury Report'!F:F, MATCH(G333&amp;F333, 'Injury Report'!A:A, 0)), "Healthy")</f>
        <v/>
      </c>
      <c r="E333" s="219">
        <f>VLOOKUP(A333,'WR Depth'!A:G,7,0)-1</f>
        <v/>
      </c>
      <c r="F333" s="218">
        <f>VLOOKUP(A333,'WR Depth'!A:C,3,0)</f>
        <v/>
      </c>
      <c r="G333" s="218">
        <f>VLOOKUP(A333,'WR Depth'!A:B,2,0)</f>
        <v/>
      </c>
      <c r="H333" s="218">
        <f>VLOOKUP(A333,'WR Depth'!A:D,4,0)</f>
        <v/>
      </c>
      <c r="I333" s="218">
        <f>H333&amp;E333</f>
        <v/>
      </c>
      <c r="J333" s="220">
        <f>IF(VLOOKUP(F333,Rec!F:G,2,0)=G333,"OK","Check Team")</f>
        <v/>
      </c>
      <c r="K333" s="156" t="n"/>
      <c r="L333" s="156">
        <f>IFERROR(VLOOKUP(F333&amp;G333,Pass!B:C,2,0),0)</f>
        <v/>
      </c>
      <c r="M333" s="156">
        <f>IFERROR(VLOOKUP(F333&amp;G333,Rush!B:C,2,0),0)</f>
        <v/>
      </c>
      <c r="N333" s="156">
        <f>IFERROR(VLOOKUP(F333&amp;G333,Rec!B:C,2,0),K333)</f>
        <v/>
      </c>
      <c r="O333" s="156">
        <f>IFERROR(VLOOKUP(F333&amp;G333,Returns!A:B,2,0),0)</f>
        <v/>
      </c>
      <c r="Q333" s="156" t="inlineStr">
        <is>
          <t>Trey Lance</t>
        </is>
      </c>
      <c r="R333" s="156" t="inlineStr">
        <is>
          <t>DAL</t>
        </is>
      </c>
      <c r="S333" s="156" t="inlineStr">
        <is>
          <t>QB</t>
        </is>
      </c>
    </row>
    <row r="334" hidden="1" ht="15.6" customHeight="1" s="152">
      <c r="A334" s="217" t="n">
        <v>13</v>
      </c>
      <c r="B334" s="218">
        <f>VLOOKUP(G334,Matrix!R:AA,10,0)</f>
        <v/>
      </c>
      <c r="C334" s="156">
        <f>IF(K334&gt;0.01,K334,IFERROR(VLOOKUP(F334&amp;G334,Rec!B:C,2,0),K334)+SUM(L334:O334))</f>
        <v/>
      </c>
      <c r="D334" s="218">
        <f>_xlfn.IFNA(INDEX('Injury Report'!F:F, MATCH(G334&amp;F334, 'Injury Report'!A:A, 0)), "Healthy")</f>
        <v/>
      </c>
      <c r="E334" s="219">
        <f>VLOOKUP(A334,'WR Depth'!A:G,7,0)-1</f>
        <v/>
      </c>
      <c r="F334" s="218">
        <f>VLOOKUP(A334,'WR Depth'!A:C,3,0)</f>
        <v/>
      </c>
      <c r="G334" s="218">
        <f>VLOOKUP(A334,'WR Depth'!A:B,2,0)</f>
        <v/>
      </c>
      <c r="H334" s="218">
        <f>VLOOKUP(A334,'WR Depth'!A:D,4,0)</f>
        <v/>
      </c>
      <c r="I334" s="218">
        <f>H334&amp;E334</f>
        <v/>
      </c>
      <c r="J334" s="220">
        <f>IF(VLOOKUP(F334,Rec!F:G,2,0)=G334,"OK","Check Team")</f>
        <v/>
      </c>
      <c r="K334" s="156" t="n"/>
      <c r="L334" s="156">
        <f>IFERROR(VLOOKUP(F334&amp;G334,Pass!B:C,2,0),0)</f>
        <v/>
      </c>
      <c r="M334" s="156">
        <f>IFERROR(VLOOKUP(F334&amp;G334,Rush!B:C,2,0),0)</f>
        <v/>
      </c>
      <c r="N334" s="156">
        <f>IFERROR(VLOOKUP(F334&amp;G334,Rec!B:C,2,0),K334)</f>
        <v/>
      </c>
      <c r="O334" s="156">
        <f>IFERROR(VLOOKUP(F334&amp;G334,Returns!A:B,2,0),0)</f>
        <v/>
      </c>
      <c r="Q334" s="156" t="inlineStr">
        <is>
          <t>Sam LaPorta</t>
        </is>
      </c>
      <c r="R334" s="156" t="inlineStr">
        <is>
          <t>DET</t>
        </is>
      </c>
      <c r="S334" s="156" t="inlineStr">
        <is>
          <t>TE</t>
        </is>
      </c>
    </row>
    <row r="335" hidden="1" ht="15.6" customHeight="1" s="152">
      <c r="A335" s="221" t="n">
        <v>14</v>
      </c>
      <c r="B335" s="218">
        <f>VLOOKUP(G335,Matrix!R:AA,10,0)</f>
        <v/>
      </c>
      <c r="C335" s="156">
        <f>IF(K335&gt;0.01,K335,IFERROR(VLOOKUP(F335&amp;G335,Rec!B:C,2,0),K335)+SUM(L335:O335))</f>
        <v/>
      </c>
      <c r="D335" s="218">
        <f>_xlfn.IFNA(INDEX('Injury Report'!F:F, MATCH(G335&amp;F335, 'Injury Report'!A:A, 0)), "Healthy")</f>
        <v/>
      </c>
      <c r="E335" s="219">
        <f>VLOOKUP(A335,'WR Depth'!A:G,7,0)-1</f>
        <v/>
      </c>
      <c r="F335" s="218">
        <f>VLOOKUP(A335,'WR Depth'!A:C,3,0)</f>
        <v/>
      </c>
      <c r="G335" s="218">
        <f>VLOOKUP(A335,'WR Depth'!A:B,2,0)</f>
        <v/>
      </c>
      <c r="H335" s="218">
        <f>VLOOKUP(A335,'WR Depth'!A:D,4,0)</f>
        <v/>
      </c>
      <c r="I335" s="218">
        <f>H335&amp;E335</f>
        <v/>
      </c>
      <c r="J335" s="220">
        <f>IF(VLOOKUP(F335,Rec!F:G,2,0)=G335,"OK","Check Team")</f>
        <v/>
      </c>
      <c r="K335" s="156" t="n"/>
      <c r="L335" s="156">
        <f>IFERROR(VLOOKUP(F335&amp;G335,Pass!B:C,2,0),0)</f>
        <v/>
      </c>
      <c r="M335" s="156">
        <f>IFERROR(VLOOKUP(F335&amp;G335,Rush!B:C,2,0),0)</f>
        <v/>
      </c>
      <c r="N335" s="156">
        <f>IFERROR(VLOOKUP(F335&amp;G335,Rec!B:C,2,0),K335)</f>
        <v/>
      </c>
      <c r="O335" s="156">
        <f>IFERROR(VLOOKUP(F335&amp;G335,Returns!A:B,2,0),0)</f>
        <v/>
      </c>
      <c r="Q335" s="156" t="inlineStr">
        <is>
          <t>Cameron Latu</t>
        </is>
      </c>
      <c r="R335" s="156" t="inlineStr">
        <is>
          <t>FA</t>
        </is>
      </c>
      <c r="S335" s="156" t="inlineStr">
        <is>
          <t>TE</t>
        </is>
      </c>
    </row>
    <row r="336" hidden="1" ht="15.6" customHeight="1" s="152">
      <c r="A336" s="217" t="n">
        <v>15</v>
      </c>
      <c r="B336" s="218">
        <f>VLOOKUP(G336,Matrix!R:AA,10,0)</f>
        <v/>
      </c>
      <c r="C336" s="156">
        <f>IF(K336&gt;0.01,K336,IFERROR(VLOOKUP(F336&amp;G336,Rec!B:C,2,0),K336)+SUM(L336:O336))</f>
        <v/>
      </c>
      <c r="D336" s="218">
        <f>_xlfn.IFNA(INDEX('Injury Report'!F:F, MATCH(G336&amp;F336, 'Injury Report'!A:A, 0)), "Healthy")</f>
        <v/>
      </c>
      <c r="E336" s="219">
        <f>VLOOKUP(A336,'WR Depth'!A:G,7,0)-1</f>
        <v/>
      </c>
      <c r="F336" s="218">
        <f>VLOOKUP(A336,'WR Depth'!A:C,3,0)</f>
        <v/>
      </c>
      <c r="G336" s="218">
        <f>VLOOKUP(A336,'WR Depth'!A:B,2,0)</f>
        <v/>
      </c>
      <c r="H336" s="218">
        <f>VLOOKUP(A336,'WR Depth'!A:D,4,0)</f>
        <v/>
      </c>
      <c r="I336" s="218">
        <f>H336&amp;E336</f>
        <v/>
      </c>
      <c r="J336" s="220">
        <f>IF(VLOOKUP(F336,Rec!F:G,2,0)=G336,"OK","Check Team")</f>
        <v/>
      </c>
      <c r="K336" s="156" t="n"/>
      <c r="L336" s="156">
        <f>IFERROR(VLOOKUP(F336&amp;G336,Pass!B:C,2,0),0)</f>
        <v/>
      </c>
      <c r="M336" s="156">
        <f>IFERROR(VLOOKUP(F336&amp;G336,Rush!B:C,2,0),0)</f>
        <v/>
      </c>
      <c r="N336" s="156">
        <f>IFERROR(VLOOKUP(F336&amp;G336,Rec!B:C,2,0),K336)</f>
        <v/>
      </c>
      <c r="O336" s="156">
        <f>IFERROR(VLOOKUP(F336&amp;G336,Returns!A:B,2,0),0)</f>
        <v/>
      </c>
      <c r="Q336" s="156" t="inlineStr">
        <is>
          <t>Dylan Laube</t>
        </is>
      </c>
      <c r="R336" s="156" t="inlineStr">
        <is>
          <t>LV</t>
        </is>
      </c>
      <c r="S336" s="156" t="inlineStr">
        <is>
          <t>RB</t>
        </is>
      </c>
    </row>
    <row r="337" hidden="1" ht="15.6" customHeight="1" s="152">
      <c r="A337" s="221" t="n">
        <v>16</v>
      </c>
      <c r="B337" s="218">
        <f>VLOOKUP(G337,Matrix!R:AA,10,0)</f>
        <v/>
      </c>
      <c r="C337" s="156">
        <f>IF(K337&gt;0.01,K337,IFERROR(VLOOKUP(F337&amp;G337,Rec!B:C,2,0),K337)+SUM(L337:O337))</f>
        <v/>
      </c>
      <c r="D337" s="218">
        <f>_xlfn.IFNA(INDEX('Injury Report'!F:F, MATCH(G337&amp;F337, 'Injury Report'!A:A, 0)), "Healthy")</f>
        <v/>
      </c>
      <c r="E337" s="219">
        <f>VLOOKUP(A337,'WR Depth'!A:G,7,0)-1</f>
        <v/>
      </c>
      <c r="F337" s="218">
        <f>VLOOKUP(A337,'WR Depth'!A:C,3,0)</f>
        <v/>
      </c>
      <c r="G337" s="218">
        <f>VLOOKUP(A337,'WR Depth'!A:B,2,0)</f>
        <v/>
      </c>
      <c r="H337" s="218">
        <f>VLOOKUP(A337,'WR Depth'!A:D,4,0)</f>
        <v/>
      </c>
      <c r="I337" s="218">
        <f>H337&amp;E337</f>
        <v/>
      </c>
      <c r="J337" s="220">
        <f>IF(VLOOKUP(F337,Rec!F:G,2,0)=G337,"OK","Check Team")</f>
        <v/>
      </c>
      <c r="K337" s="156" t="n"/>
      <c r="L337" s="156">
        <f>IFERROR(VLOOKUP(F337&amp;G337,Pass!B:C,2,0),0)</f>
        <v/>
      </c>
      <c r="M337" s="156">
        <f>IFERROR(VLOOKUP(F337&amp;G337,Rush!B:C,2,0),0)</f>
        <v/>
      </c>
      <c r="N337" s="156">
        <f>IFERROR(VLOOKUP(F337&amp;G337,Rec!B:C,2,0),K337)</f>
        <v/>
      </c>
      <c r="O337" s="156">
        <f>IFERROR(VLOOKUP(F337&amp;G337,Returns!A:B,2,0),0)</f>
        <v/>
      </c>
      <c r="Q337" s="156" t="inlineStr">
        <is>
          <t>Trevor Lawrence</t>
        </is>
      </c>
      <c r="R337" s="156" t="inlineStr">
        <is>
          <t>JAX</t>
        </is>
      </c>
      <c r="S337" s="156" t="inlineStr">
        <is>
          <t>QB</t>
        </is>
      </c>
    </row>
    <row r="338" hidden="1" ht="15.6" customHeight="1" s="152">
      <c r="A338" s="217" t="n">
        <v>17</v>
      </c>
      <c r="B338" s="218">
        <f>VLOOKUP(G338,Matrix!R:AA,10,0)</f>
        <v/>
      </c>
      <c r="C338" s="156">
        <f>IF(K338&gt;0.01,K338,IFERROR(VLOOKUP(F338&amp;G338,Rec!B:C,2,0),K338)+SUM(L338:O338))</f>
        <v/>
      </c>
      <c r="D338" s="218">
        <f>_xlfn.IFNA(INDEX('Injury Report'!F:F, MATCH(G338&amp;F338, 'Injury Report'!A:A, 0)), "Healthy")</f>
        <v/>
      </c>
      <c r="E338" s="219">
        <f>VLOOKUP(A338,'WR Depth'!A:G,7,0)-1</f>
        <v/>
      </c>
      <c r="F338" s="218">
        <f>VLOOKUP(A338,'WR Depth'!A:C,3,0)</f>
        <v/>
      </c>
      <c r="G338" s="218">
        <f>VLOOKUP(A338,'WR Depth'!A:B,2,0)</f>
        <v/>
      </c>
      <c r="H338" s="218">
        <f>VLOOKUP(A338,'WR Depth'!A:D,4,0)</f>
        <v/>
      </c>
      <c r="I338" s="218">
        <f>H338&amp;E338</f>
        <v/>
      </c>
      <c r="J338" s="220">
        <f>IF(VLOOKUP(F338,Rec!F:G,2,0)=G338,"OK","Check Team")</f>
        <v/>
      </c>
      <c r="K338" s="156" t="n"/>
      <c r="L338" s="156">
        <f>IFERROR(VLOOKUP(F338&amp;G338,Pass!B:C,2,0),0)</f>
        <v/>
      </c>
      <c r="M338" s="156">
        <f>IFERROR(VLOOKUP(F338&amp;G338,Rush!B:C,2,0),0)</f>
        <v/>
      </c>
      <c r="N338" s="156">
        <f>IFERROR(VLOOKUP(F338&amp;G338,Rec!B:C,2,0),K338)</f>
        <v/>
      </c>
      <c r="O338" s="156">
        <f>IFERROR(VLOOKUP(F338&amp;G338,Returns!A:B,2,0),0)</f>
        <v/>
      </c>
      <c r="Q338" s="156" t="inlineStr">
        <is>
          <t>Allen Lazard</t>
        </is>
      </c>
      <c r="R338" s="156" t="inlineStr">
        <is>
          <t>NYJ</t>
        </is>
      </c>
      <c r="S338" s="156" t="inlineStr">
        <is>
          <t>WR</t>
        </is>
      </c>
    </row>
    <row r="339" hidden="1" ht="15.6" customHeight="1" s="152">
      <c r="A339" s="221" t="n">
        <v>18</v>
      </c>
      <c r="B339" s="218">
        <f>VLOOKUP(G339,Matrix!R:AA,10,0)</f>
        <v/>
      </c>
      <c r="C339" s="156">
        <f>IF(K339&gt;0.01,K339,IFERROR(VLOOKUP(F339&amp;G339,Rec!B:C,2,0),K339)+SUM(L339:O339))</f>
        <v/>
      </c>
      <c r="D339" s="218">
        <f>_xlfn.IFNA(INDEX('Injury Report'!F:F, MATCH(G339&amp;F339, 'Injury Report'!A:A, 0)), "Healthy")</f>
        <v/>
      </c>
      <c r="E339" s="219">
        <f>VLOOKUP(A339,'WR Depth'!A:G,7,0)-1</f>
        <v/>
      </c>
      <c r="F339" s="218">
        <f>VLOOKUP(A339,'WR Depth'!A:C,3,0)</f>
        <v/>
      </c>
      <c r="G339" s="218">
        <f>VLOOKUP(A339,'WR Depth'!A:B,2,0)</f>
        <v/>
      </c>
      <c r="H339" s="218">
        <f>VLOOKUP(A339,'WR Depth'!A:D,4,0)</f>
        <v/>
      </c>
      <c r="I339" s="218">
        <f>H339&amp;E339</f>
        <v/>
      </c>
      <c r="J339" s="220">
        <f>IF(VLOOKUP(F339,Rec!F:G,2,0)=G339,"OK","Check Team")</f>
        <v/>
      </c>
      <c r="K339" s="156" t="n"/>
      <c r="L339" s="156">
        <f>IFERROR(VLOOKUP(F339&amp;G339,Pass!B:C,2,0),0)</f>
        <v/>
      </c>
      <c r="M339" s="156">
        <f>IFERROR(VLOOKUP(F339&amp;G339,Rush!B:C,2,0),0)</f>
        <v/>
      </c>
      <c r="N339" s="156">
        <f>IFERROR(VLOOKUP(F339&amp;G339,Rec!B:C,2,0),K339)</f>
        <v/>
      </c>
      <c r="O339" s="156">
        <f>IFERROR(VLOOKUP(F339&amp;G339,Returns!A:B,2,0),0)</f>
        <v/>
      </c>
      <c r="Q339" s="156" t="inlineStr">
        <is>
          <t>Devin Leary</t>
        </is>
      </c>
      <c r="R339" s="156" t="inlineStr">
        <is>
          <t>FA</t>
        </is>
      </c>
      <c r="S339" s="156" t="inlineStr">
        <is>
          <t>QB</t>
        </is>
      </c>
    </row>
    <row r="340" hidden="1" ht="15.6" customHeight="1" s="152">
      <c r="A340" s="217" t="n">
        <v>19</v>
      </c>
      <c r="B340" s="218">
        <f>VLOOKUP(G340,Matrix!R:AA,10,0)</f>
        <v/>
      </c>
      <c r="C340" s="156">
        <f>IF(K340&gt;0.01,K340,IFERROR(VLOOKUP(F340&amp;G340,Rec!B:C,2,0),K340)+SUM(L340:O340))</f>
        <v/>
      </c>
      <c r="D340" s="218">
        <f>_xlfn.IFNA(INDEX('Injury Report'!F:F, MATCH(G340&amp;F340, 'Injury Report'!A:A, 0)), "Healthy")</f>
        <v/>
      </c>
      <c r="E340" s="219">
        <f>VLOOKUP(A340,'WR Depth'!A:G,7,0)-1</f>
        <v/>
      </c>
      <c r="F340" s="218">
        <f>VLOOKUP(A340,'WR Depth'!A:C,3,0)</f>
        <v/>
      </c>
      <c r="G340" s="218">
        <f>VLOOKUP(A340,'WR Depth'!A:B,2,0)</f>
        <v/>
      </c>
      <c r="H340" s="218">
        <f>VLOOKUP(A340,'WR Depth'!A:D,4,0)</f>
        <v/>
      </c>
      <c r="I340" s="218">
        <f>H340&amp;E340</f>
        <v/>
      </c>
      <c r="J340" s="220">
        <f>IF(VLOOKUP(F340,Rec!F:G,2,0)=G340,"OK","Check Team")</f>
        <v/>
      </c>
      <c r="K340" s="156" t="n"/>
      <c r="L340" s="156">
        <f>IFERROR(VLOOKUP(F340&amp;G340,Pass!B:C,2,0),0)</f>
        <v/>
      </c>
      <c r="M340" s="156">
        <f>IFERROR(VLOOKUP(F340&amp;G340,Rush!B:C,2,0),0)</f>
        <v/>
      </c>
      <c r="N340" s="156">
        <f>IFERROR(VLOOKUP(F340&amp;G340,Rec!B:C,2,0),K340)</f>
        <v/>
      </c>
      <c r="O340" s="156">
        <f>IFERROR(VLOOKUP(F340&amp;G340,Returns!A:B,2,0),0)</f>
        <v/>
      </c>
      <c r="Q340" s="156" t="inlineStr">
        <is>
          <t>Xavier Legette</t>
        </is>
      </c>
      <c r="R340" s="156" t="inlineStr">
        <is>
          <t>CAR</t>
        </is>
      </c>
      <c r="S340" s="156" t="inlineStr">
        <is>
          <t>WR</t>
        </is>
      </c>
    </row>
    <row r="341" hidden="1" ht="15.6" customHeight="1" s="152">
      <c r="A341" s="221" t="n">
        <v>20</v>
      </c>
      <c r="B341" s="218">
        <f>VLOOKUP(G341,Matrix!R:AA,10,0)</f>
        <v/>
      </c>
      <c r="C341" s="156">
        <f>IF(K341&gt;0.01,K341,IFERROR(VLOOKUP(F341&amp;G341,Rec!B:C,2,0),K341)+SUM(L341:O341))</f>
        <v/>
      </c>
      <c r="D341" s="218">
        <f>_xlfn.IFNA(INDEX('Injury Report'!F:F, MATCH(G341&amp;F341, 'Injury Report'!A:A, 0)), "Healthy")</f>
        <v/>
      </c>
      <c r="E341" s="219">
        <f>VLOOKUP(A341,'WR Depth'!A:G,7,0)-1</f>
        <v/>
      </c>
      <c r="F341" s="218">
        <f>VLOOKUP(A341,'WR Depth'!A:C,3,0)</f>
        <v/>
      </c>
      <c r="G341" s="218">
        <f>VLOOKUP(A341,'WR Depth'!A:B,2,0)</f>
        <v/>
      </c>
      <c r="H341" s="218">
        <f>VLOOKUP(A341,'WR Depth'!A:D,4,0)</f>
        <v/>
      </c>
      <c r="I341" s="218">
        <f>H341&amp;E341</f>
        <v/>
      </c>
      <c r="J341" s="220">
        <f>IF(VLOOKUP(F341,Rec!F:G,2,0)=G341,"OK","Check Team")</f>
        <v/>
      </c>
      <c r="K341" s="156" t="n"/>
      <c r="L341" s="156">
        <f>IFERROR(VLOOKUP(F341&amp;G341,Pass!B:C,2,0),0)</f>
        <v/>
      </c>
      <c r="M341" s="156">
        <f>IFERROR(VLOOKUP(F341&amp;G341,Rush!B:C,2,0),0)</f>
        <v/>
      </c>
      <c r="N341" s="156">
        <f>IFERROR(VLOOKUP(F341&amp;G341,Rec!B:C,2,0),K341)</f>
        <v/>
      </c>
      <c r="O341" s="156">
        <f>IFERROR(VLOOKUP(F341&amp;G341,Returns!A:B,2,0),0)</f>
        <v/>
      </c>
      <c r="Q341" s="156" t="inlineStr">
        <is>
          <t>Will Levis</t>
        </is>
      </c>
      <c r="R341" s="156" t="inlineStr">
        <is>
          <t>TEN</t>
        </is>
      </c>
      <c r="S341" s="156" t="inlineStr">
        <is>
          <t>QB</t>
        </is>
      </c>
    </row>
    <row r="342" hidden="1" ht="15.6" customHeight="1" s="152">
      <c r="A342" s="217" t="n">
        <v>21</v>
      </c>
      <c r="B342" s="218">
        <f>VLOOKUP(G342,Matrix!R:AA,10,0)</f>
        <v/>
      </c>
      <c r="C342" s="156">
        <f>IF(K342&gt;0.01,K342,IFERROR(VLOOKUP(F342&amp;G342,Rec!B:C,2,0),K342)+SUM(L342:O342))</f>
        <v/>
      </c>
      <c r="D342" s="218">
        <f>_xlfn.IFNA(INDEX('Injury Report'!F:F, MATCH(G342&amp;F342, 'Injury Report'!A:A, 0)), "Healthy")</f>
        <v/>
      </c>
      <c r="E342" s="219">
        <f>VLOOKUP(A342,'WR Depth'!A:G,7,0)-1</f>
        <v/>
      </c>
      <c r="F342" s="218">
        <f>VLOOKUP(A342,'WR Depth'!A:C,3,0)</f>
        <v/>
      </c>
      <c r="G342" s="218">
        <f>VLOOKUP(A342,'WR Depth'!A:B,2,0)</f>
        <v/>
      </c>
      <c r="H342" s="218">
        <f>VLOOKUP(A342,'WR Depth'!A:D,4,0)</f>
        <v/>
      </c>
      <c r="I342" s="218">
        <f>H342&amp;E342</f>
        <v/>
      </c>
      <c r="J342" s="220">
        <f>IF(VLOOKUP(F342,Rec!F:G,2,0)=G342,"OK","Check Team")</f>
        <v/>
      </c>
      <c r="K342" s="156" t="n"/>
      <c r="L342" s="156">
        <f>IFERROR(VLOOKUP(F342&amp;G342,Pass!B:C,2,0),0)</f>
        <v/>
      </c>
      <c r="M342" s="156">
        <f>IFERROR(VLOOKUP(F342&amp;G342,Rush!B:C,2,0),0)</f>
        <v/>
      </c>
      <c r="N342" s="156">
        <f>IFERROR(VLOOKUP(F342&amp;G342,Rec!B:C,2,0),K342)</f>
        <v/>
      </c>
      <c r="O342" s="156">
        <f>IFERROR(VLOOKUP(F342&amp;G342,Returns!A:B,2,0),0)</f>
        <v/>
      </c>
      <c r="Q342" s="156" t="inlineStr">
        <is>
          <t>Isaiah Likely</t>
        </is>
      </c>
      <c r="R342" s="156" t="inlineStr">
        <is>
          <t>BAL</t>
        </is>
      </c>
      <c r="S342" s="156" t="inlineStr">
        <is>
          <t>TE</t>
        </is>
      </c>
    </row>
    <row r="343" hidden="1" ht="15.6" customHeight="1" s="152">
      <c r="A343" s="221" t="n">
        <v>22</v>
      </c>
      <c r="B343" s="218">
        <f>VLOOKUP(G343,Matrix!R:AA,10,0)</f>
        <v/>
      </c>
      <c r="C343" s="156">
        <f>IF(K343&gt;0.01,K343,IFERROR(VLOOKUP(F343&amp;G343,Rec!B:C,2,0),K343)+SUM(L343:O343))</f>
        <v/>
      </c>
      <c r="D343" s="218">
        <f>_xlfn.IFNA(INDEX('Injury Report'!F:F, MATCH(G343&amp;F343, 'Injury Report'!A:A, 0)), "Healthy")</f>
        <v/>
      </c>
      <c r="E343" s="219">
        <f>VLOOKUP(A343,'WR Depth'!A:G,7,0)-1</f>
        <v/>
      </c>
      <c r="F343" s="218">
        <f>VLOOKUP(A343,'WR Depth'!A:C,3,0)</f>
        <v/>
      </c>
      <c r="G343" s="218">
        <f>VLOOKUP(A343,'WR Depth'!A:B,2,0)</f>
        <v/>
      </c>
      <c r="H343" s="218">
        <f>VLOOKUP(A343,'WR Depth'!A:D,4,0)</f>
        <v/>
      </c>
      <c r="I343" s="218">
        <f>H343&amp;E343</f>
        <v/>
      </c>
      <c r="J343" s="220">
        <f>IF(VLOOKUP(F343,Rec!F:G,2,0)=G343,"OK","Check Team")</f>
        <v/>
      </c>
      <c r="K343" s="156" t="n"/>
      <c r="L343" s="156">
        <f>IFERROR(VLOOKUP(F343&amp;G343,Pass!B:C,2,0),0)</f>
        <v/>
      </c>
      <c r="M343" s="156">
        <f>IFERROR(VLOOKUP(F343&amp;G343,Rush!B:C,2,0),0)</f>
        <v/>
      </c>
      <c r="N343" s="156">
        <f>IFERROR(VLOOKUP(F343&amp;G343,Rec!B:C,2,0),K343)</f>
        <v/>
      </c>
      <c r="O343" s="156">
        <f>IFERROR(VLOOKUP(F343&amp;G343,Returns!A:B,2,0),0)</f>
        <v/>
      </c>
      <c r="Q343" s="156" t="inlineStr">
        <is>
          <t>Cam Little</t>
        </is>
      </c>
      <c r="R343" s="156" t="inlineStr">
        <is>
          <t>JAX</t>
        </is>
      </c>
      <c r="S343" s="156" t="inlineStr">
        <is>
          <t>K</t>
        </is>
      </c>
    </row>
    <row r="344" hidden="1" ht="15.6" customHeight="1" s="152">
      <c r="A344" s="217" t="n">
        <v>23</v>
      </c>
      <c r="B344" s="218">
        <f>VLOOKUP(G344,Matrix!R:AA,10,0)</f>
        <v/>
      </c>
      <c r="C344" s="156">
        <f>IF(K344&gt;0.01,K344,IFERROR(VLOOKUP(F344&amp;G344,Rec!B:C,2,0),K344)+SUM(L344:O344))</f>
        <v/>
      </c>
      <c r="D344" s="218">
        <f>_xlfn.IFNA(INDEX('Injury Report'!F:F, MATCH(G344&amp;F344, 'Injury Report'!A:A, 0)), "Healthy")</f>
        <v/>
      </c>
      <c r="E344" s="219">
        <f>VLOOKUP(A344,'WR Depth'!A:G,7,0)-1</f>
        <v/>
      </c>
      <c r="F344" s="218">
        <f>VLOOKUP(A344,'WR Depth'!A:C,3,0)</f>
        <v/>
      </c>
      <c r="G344" s="218">
        <f>VLOOKUP(A344,'WR Depth'!A:B,2,0)</f>
        <v/>
      </c>
      <c r="H344" s="218">
        <f>VLOOKUP(A344,'WR Depth'!A:D,4,0)</f>
        <v/>
      </c>
      <c r="I344" s="218">
        <f>H344&amp;E344</f>
        <v/>
      </c>
      <c r="J344" s="220">
        <f>IF(VLOOKUP(F344,Rec!F:G,2,0)=G344,"OK","Check Team")</f>
        <v/>
      </c>
      <c r="K344" s="156" t="n"/>
      <c r="L344" s="156">
        <f>IFERROR(VLOOKUP(F344&amp;G344,Pass!B:C,2,0),0)</f>
        <v/>
      </c>
      <c r="M344" s="156">
        <f>IFERROR(VLOOKUP(F344&amp;G344,Rush!B:C,2,0),0)</f>
        <v/>
      </c>
      <c r="N344" s="156">
        <f>IFERROR(VLOOKUP(F344&amp;G344,Rec!B:C,2,0),K344)</f>
        <v/>
      </c>
      <c r="O344" s="156">
        <f>IFERROR(VLOOKUP(F344&amp;G344,Returns!A:B,2,0),0)</f>
        <v/>
      </c>
      <c r="Q344" s="156" t="inlineStr">
        <is>
          <t>MarShawn Lloyd</t>
        </is>
      </c>
      <c r="R344" s="156" t="inlineStr">
        <is>
          <t>GB</t>
        </is>
      </c>
      <c r="S344" s="156" t="inlineStr">
        <is>
          <t>RB</t>
        </is>
      </c>
    </row>
    <row r="345" hidden="1" ht="15.6" customHeight="1" s="152">
      <c r="A345" s="221" t="n">
        <v>24</v>
      </c>
      <c r="B345" s="218">
        <f>VLOOKUP(G345,Matrix!R:AA,10,0)</f>
        <v/>
      </c>
      <c r="C345" s="156">
        <f>IF(K345&gt;0.01,K345,IFERROR(VLOOKUP(F345&amp;G345,Rec!B:C,2,0),K345)+SUM(L345:O345))</f>
        <v/>
      </c>
      <c r="D345" s="218">
        <f>_xlfn.IFNA(INDEX('Injury Report'!F:F, MATCH(G345&amp;F345, 'Injury Report'!A:A, 0)), "Healthy")</f>
        <v/>
      </c>
      <c r="E345" s="219">
        <f>VLOOKUP(A345,'WR Depth'!A:G,7,0)-1</f>
        <v/>
      </c>
      <c r="F345" s="218">
        <f>VLOOKUP(A345,'WR Depth'!A:C,3,0)</f>
        <v/>
      </c>
      <c r="G345" s="218">
        <f>VLOOKUP(A345,'WR Depth'!A:B,2,0)</f>
        <v/>
      </c>
      <c r="H345" s="218">
        <f>VLOOKUP(A345,'WR Depth'!A:D,4,0)</f>
        <v/>
      </c>
      <c r="I345" s="218">
        <f>H345&amp;E345</f>
        <v/>
      </c>
      <c r="J345" s="220">
        <f>IF(VLOOKUP(F345,Rec!F:G,2,0)=G345,"OK","Check Team")</f>
        <v/>
      </c>
      <c r="K345" s="156" t="n"/>
      <c r="L345" s="156">
        <f>IFERROR(VLOOKUP(F345&amp;G345,Pass!B:C,2,0),0)</f>
        <v/>
      </c>
      <c r="M345" s="156">
        <f>IFERROR(VLOOKUP(F345&amp;G345,Rush!B:C,2,0),0)</f>
        <v/>
      </c>
      <c r="N345" s="156">
        <f>IFERROR(VLOOKUP(F345&amp;G345,Rec!B:C,2,0),K345)</f>
        <v/>
      </c>
      <c r="O345" s="156">
        <f>IFERROR(VLOOKUP(F345&amp;G345,Returns!A:B,2,0),0)</f>
        <v/>
      </c>
      <c r="Q345" s="156" t="inlineStr">
        <is>
          <t>Drew Lock</t>
        </is>
      </c>
      <c r="R345" s="156" t="inlineStr">
        <is>
          <t>NYG</t>
        </is>
      </c>
      <c r="S345" s="156" t="inlineStr">
        <is>
          <t>QB</t>
        </is>
      </c>
    </row>
    <row r="346" hidden="1" ht="15.6" customHeight="1" s="152">
      <c r="A346" s="217" t="n">
        <v>25</v>
      </c>
      <c r="B346" s="218">
        <f>VLOOKUP(G346,Matrix!R:AA,10,0)</f>
        <v/>
      </c>
      <c r="C346" s="156">
        <f>IF(K346&gt;0.01,K346,IFERROR(VLOOKUP(F346&amp;G346,Rec!B:C,2,0),K346)+SUM(L346:O346))</f>
        <v/>
      </c>
      <c r="D346" s="218">
        <f>_xlfn.IFNA(INDEX('Injury Report'!F:F, MATCH(G346&amp;F346, 'Injury Report'!A:A, 0)), "Healthy")</f>
        <v/>
      </c>
      <c r="E346" s="219">
        <f>VLOOKUP(A346,'WR Depth'!A:G,7,0)-1</f>
        <v/>
      </c>
      <c r="F346" s="218">
        <f>VLOOKUP(A346,'WR Depth'!A:C,3,0)</f>
        <v/>
      </c>
      <c r="G346" s="218">
        <f>VLOOKUP(A346,'WR Depth'!A:B,2,0)</f>
        <v/>
      </c>
      <c r="H346" s="218">
        <f>VLOOKUP(A346,'WR Depth'!A:D,4,0)</f>
        <v/>
      </c>
      <c r="I346" s="218">
        <f>H346&amp;E346</f>
        <v/>
      </c>
      <c r="J346" s="220">
        <f>IF(VLOOKUP(F346,Rec!F:G,2,0)=G346,"OK","Check Team")</f>
        <v/>
      </c>
      <c r="K346" s="156" t="n"/>
      <c r="L346" s="156">
        <f>IFERROR(VLOOKUP(F346&amp;G346,Pass!B:C,2,0),0)</f>
        <v/>
      </c>
      <c r="M346" s="156">
        <f>IFERROR(VLOOKUP(F346&amp;G346,Rush!B:C,2,0),0)</f>
        <v/>
      </c>
      <c r="N346" s="156">
        <f>IFERROR(VLOOKUP(F346&amp;G346,Rec!B:C,2,0),K346)</f>
        <v/>
      </c>
      <c r="O346" s="156">
        <f>IFERROR(VLOOKUP(F346&amp;G346,Returns!A:B,2,0),0)</f>
        <v/>
      </c>
      <c r="Q346" s="156" t="inlineStr">
        <is>
          <t>Tyler Lockett</t>
        </is>
      </c>
      <c r="R346" s="156" t="inlineStr">
        <is>
          <t>SEA</t>
        </is>
      </c>
      <c r="S346" s="156" t="inlineStr">
        <is>
          <t>WR</t>
        </is>
      </c>
    </row>
    <row r="347" hidden="1" ht="15.6" customHeight="1" s="152">
      <c r="A347" s="221" t="n">
        <v>26</v>
      </c>
      <c r="B347" s="218">
        <f>VLOOKUP(G347,Matrix!R:AA,10,0)</f>
        <v/>
      </c>
      <c r="C347" s="156">
        <f>IF(K347&gt;0.01,K347,IFERROR(VLOOKUP(F347&amp;G347,Rec!B:C,2,0),K347)+SUM(L347:O347))</f>
        <v/>
      </c>
      <c r="D347" s="218">
        <f>_xlfn.IFNA(INDEX('Injury Report'!F:F, MATCH(G347&amp;F347, 'Injury Report'!A:A, 0)), "Healthy")</f>
        <v/>
      </c>
      <c r="E347" s="219">
        <f>VLOOKUP(A347,'WR Depth'!A:G,7,0)-1</f>
        <v/>
      </c>
      <c r="F347" s="218">
        <f>VLOOKUP(A347,'WR Depth'!A:C,3,0)</f>
        <v/>
      </c>
      <c r="G347" s="218">
        <f>VLOOKUP(A347,'WR Depth'!A:B,2,0)</f>
        <v/>
      </c>
      <c r="H347" s="218">
        <f>VLOOKUP(A347,'WR Depth'!A:D,4,0)</f>
        <v/>
      </c>
      <c r="I347" s="218">
        <f>H347&amp;E347</f>
        <v/>
      </c>
      <c r="J347" s="220">
        <f>IF(VLOOKUP(F347,Rec!F:G,2,0)=G347,"OK","Check Team")</f>
        <v/>
      </c>
      <c r="K347" s="156" t="n"/>
      <c r="L347" s="156">
        <f>IFERROR(VLOOKUP(F347&amp;G347,Pass!B:C,2,0),0)</f>
        <v/>
      </c>
      <c r="M347" s="156">
        <f>IFERROR(VLOOKUP(F347&amp;G347,Rush!B:C,2,0),0)</f>
        <v/>
      </c>
      <c r="N347" s="156">
        <f>IFERROR(VLOOKUP(F347&amp;G347,Rec!B:C,2,0),K347)</f>
        <v/>
      </c>
      <c r="O347" s="156">
        <f>IFERROR(VLOOKUP(F347&amp;G347,Returns!A:B,2,0),0)</f>
        <v/>
      </c>
      <c r="Q347" s="156" t="inlineStr">
        <is>
          <t>Drake London</t>
        </is>
      </c>
      <c r="R347" s="156" t="inlineStr">
        <is>
          <t>ATL</t>
        </is>
      </c>
      <c r="S347" s="156" t="inlineStr">
        <is>
          <t>WR</t>
        </is>
      </c>
    </row>
    <row r="348" hidden="1" ht="15.6" customHeight="1" s="152">
      <c r="A348" s="217" t="n">
        <v>27</v>
      </c>
      <c r="B348" s="218">
        <f>VLOOKUP(G348,Matrix!R:AA,10,0)</f>
        <v/>
      </c>
      <c r="C348" s="156">
        <f>IF(K348&gt;0.01,K348,IFERROR(VLOOKUP(F348&amp;G348,Rec!B:C,2,0),K348)+SUM(L348:O348))</f>
        <v/>
      </c>
      <c r="D348" s="218">
        <f>_xlfn.IFNA(INDEX('Injury Report'!F:F, MATCH(G348&amp;F348, 'Injury Report'!A:A, 0)), "Healthy")</f>
        <v/>
      </c>
      <c r="E348" s="219">
        <f>VLOOKUP(A348,'WR Depth'!A:G,7,0)-1</f>
        <v/>
      </c>
      <c r="F348" s="218">
        <f>VLOOKUP(A348,'WR Depth'!A:C,3,0)</f>
        <v/>
      </c>
      <c r="G348" s="218">
        <f>VLOOKUP(A348,'WR Depth'!A:B,2,0)</f>
        <v/>
      </c>
      <c r="H348" s="218">
        <f>VLOOKUP(A348,'WR Depth'!A:D,4,0)</f>
        <v/>
      </c>
      <c r="I348" s="218">
        <f>H348&amp;E348</f>
        <v/>
      </c>
      <c r="J348" s="220">
        <f>IF(VLOOKUP(F348,Rec!F:G,2,0)=G348,"OK","Check Team")</f>
        <v/>
      </c>
      <c r="K348" s="156" t="n"/>
      <c r="L348" s="156">
        <f>IFERROR(VLOOKUP(F348&amp;G348,Pass!B:C,2,0),0)</f>
        <v/>
      </c>
      <c r="M348" s="156">
        <f>IFERROR(VLOOKUP(F348&amp;G348,Rush!B:C,2,0),0)</f>
        <v/>
      </c>
      <c r="N348" s="156">
        <f>IFERROR(VLOOKUP(F348&amp;G348,Rec!B:C,2,0),K348)</f>
        <v/>
      </c>
      <c r="O348" s="156">
        <f>IFERROR(VLOOKUP(F348&amp;G348,Returns!A:B,2,0),0)</f>
        <v/>
      </c>
      <c r="Q348" s="156" t="inlineStr">
        <is>
          <t>Hunter Long</t>
        </is>
      </c>
      <c r="R348" s="156" t="inlineStr">
        <is>
          <t>LAR</t>
        </is>
      </c>
      <c r="S348" s="156" t="inlineStr">
        <is>
          <t>TE</t>
        </is>
      </c>
    </row>
    <row r="349" hidden="1" ht="15.6" customHeight="1" s="152">
      <c r="A349" s="221" t="n">
        <v>28</v>
      </c>
      <c r="B349" s="218">
        <f>VLOOKUP(G349,Matrix!R:AA,10,0)</f>
        <v/>
      </c>
      <c r="C349" s="156">
        <f>IF(K349&gt;0.01,K349,IFERROR(VLOOKUP(F349&amp;G349,Rec!B:C,2,0),K349)+SUM(L349:O349))</f>
        <v/>
      </c>
      <c r="D349" s="218">
        <f>_xlfn.IFNA(INDEX('Injury Report'!F:F, MATCH(G349&amp;F349, 'Injury Report'!A:A, 0)), "Healthy")</f>
        <v/>
      </c>
      <c r="E349" s="219">
        <f>VLOOKUP(A349,'WR Depth'!A:G,7,0)-1</f>
        <v/>
      </c>
      <c r="F349" s="218">
        <f>VLOOKUP(A349,'WR Depth'!A:C,3,0)</f>
        <v/>
      </c>
      <c r="G349" s="218">
        <f>VLOOKUP(A349,'WR Depth'!A:B,2,0)</f>
        <v/>
      </c>
      <c r="H349" s="218">
        <f>VLOOKUP(A349,'WR Depth'!A:D,4,0)</f>
        <v/>
      </c>
      <c r="I349" s="218">
        <f>H349&amp;E349</f>
        <v/>
      </c>
      <c r="J349" s="220">
        <f>IF(VLOOKUP(F349,Rec!F:G,2,0)=G349,"OK","Check Team")</f>
        <v/>
      </c>
      <c r="K349" s="156" t="n"/>
      <c r="L349" s="156">
        <f>IFERROR(VLOOKUP(F349&amp;G349,Pass!B:C,2,0),0)</f>
        <v/>
      </c>
      <c r="M349" s="156">
        <f>IFERROR(VLOOKUP(F349&amp;G349,Rush!B:C,2,0),0)</f>
        <v/>
      </c>
      <c r="N349" s="156">
        <f>IFERROR(VLOOKUP(F349&amp;G349,Rec!B:C,2,0),K349)</f>
        <v/>
      </c>
      <c r="O349" s="156">
        <f>IFERROR(VLOOKUP(F349&amp;G349,Returns!A:B,2,0),0)</f>
        <v/>
      </c>
      <c r="Q349" s="156" t="inlineStr">
        <is>
          <t>Jordan Love</t>
        </is>
      </c>
      <c r="R349" s="156" t="inlineStr">
        <is>
          <t>GB</t>
        </is>
      </c>
      <c r="S349" s="156" t="inlineStr">
        <is>
          <t>QB</t>
        </is>
      </c>
    </row>
    <row r="350" hidden="1" ht="15.6" customHeight="1" s="152">
      <c r="A350" s="217" t="n">
        <v>29</v>
      </c>
      <c r="B350" s="218">
        <f>VLOOKUP(G350,Matrix!R:AA,10,0)</f>
        <v/>
      </c>
      <c r="C350" s="156">
        <f>IF(K350&gt;0.01,K350,IFERROR(VLOOKUP(F350&amp;G350,Rec!B:C,2,0),K350)+SUM(L350:O350))</f>
        <v/>
      </c>
      <c r="D350" s="218">
        <f>_xlfn.IFNA(INDEX('Injury Report'!F:F, MATCH(G350&amp;F350, 'Injury Report'!A:A, 0)), "Healthy")</f>
        <v/>
      </c>
      <c r="E350" s="219">
        <f>VLOOKUP(A350,'WR Depth'!A:G,7,0)-1</f>
        <v/>
      </c>
      <c r="F350" s="218">
        <f>VLOOKUP(A350,'WR Depth'!A:C,3,0)</f>
        <v/>
      </c>
      <c r="G350" s="218">
        <f>VLOOKUP(A350,'WR Depth'!A:B,2,0)</f>
        <v/>
      </c>
      <c r="H350" s="218">
        <f>VLOOKUP(A350,'WR Depth'!A:D,4,0)</f>
        <v/>
      </c>
      <c r="I350" s="218">
        <f>H350&amp;E350</f>
        <v/>
      </c>
      <c r="J350" s="220">
        <f>IF(VLOOKUP(F350,Rec!F:G,2,0)=G350,"OK","Check Team")</f>
        <v/>
      </c>
      <c r="K350" s="156" t="n"/>
      <c r="L350" s="156">
        <f>IFERROR(VLOOKUP(F350&amp;G350,Pass!B:C,2,0),0)</f>
        <v/>
      </c>
      <c r="M350" s="156">
        <f>IFERROR(VLOOKUP(F350&amp;G350,Rush!B:C,2,0),0)</f>
        <v/>
      </c>
      <c r="N350" s="156">
        <f>IFERROR(VLOOKUP(F350&amp;G350,Rec!B:C,2,0),K350)</f>
        <v/>
      </c>
      <c r="O350" s="156">
        <f>IFERROR(VLOOKUP(F350&amp;G350,Returns!A:B,2,0),0)</f>
        <v/>
      </c>
      <c r="Q350" s="156" t="inlineStr">
        <is>
          <t>Hunter Luepke</t>
        </is>
      </c>
      <c r="R350" s="156" t="inlineStr">
        <is>
          <t>DAL</t>
        </is>
      </c>
      <c r="S350" s="156" t="inlineStr">
        <is>
          <t>RB</t>
        </is>
      </c>
    </row>
    <row r="351" hidden="1" ht="15.6" customHeight="1" s="152">
      <c r="A351" s="221" t="n">
        <v>30</v>
      </c>
      <c r="B351" s="218">
        <f>VLOOKUP(G351,Matrix!R:AA,10,0)</f>
        <v/>
      </c>
      <c r="C351" s="156">
        <f>IF(K351&gt;0.01,K351,IFERROR(VLOOKUP(F351&amp;G351,Rec!B:C,2,0),K351)+SUM(L351:O351))</f>
        <v/>
      </c>
      <c r="D351" s="218">
        <f>_xlfn.IFNA(INDEX('Injury Report'!F:F, MATCH(G351&amp;F351, 'Injury Report'!A:A, 0)), "Healthy")</f>
        <v/>
      </c>
      <c r="E351" s="219">
        <f>VLOOKUP(A351,'WR Depth'!A:G,7,0)-1</f>
        <v/>
      </c>
      <c r="F351" s="218">
        <f>VLOOKUP(A351,'WR Depth'!A:C,3,0)</f>
        <v/>
      </c>
      <c r="G351" s="218">
        <f>VLOOKUP(A351,'WR Depth'!A:B,2,0)</f>
        <v/>
      </c>
      <c r="H351" s="218">
        <f>VLOOKUP(A351,'WR Depth'!A:D,4,0)</f>
        <v/>
      </c>
      <c r="I351" s="218">
        <f>H351&amp;E351</f>
        <v/>
      </c>
      <c r="J351" s="220">
        <f>IF(VLOOKUP(F351,Rec!F:G,2,0)=G351,"OK","Check Team")</f>
        <v/>
      </c>
      <c r="K351" s="156" t="n"/>
      <c r="L351" s="156">
        <f>IFERROR(VLOOKUP(F351&amp;G351,Pass!B:C,2,0),0)</f>
        <v/>
      </c>
      <c r="M351" s="156">
        <f>IFERROR(VLOOKUP(F351&amp;G351,Rush!B:C,2,0),0)</f>
        <v/>
      </c>
      <c r="N351" s="156">
        <f>IFERROR(VLOOKUP(F351&amp;G351,Rec!B:C,2,0),K351)</f>
        <v/>
      </c>
      <c r="O351" s="156">
        <f>IFERROR(VLOOKUP(F351&amp;G351,Returns!A:B,2,0),0)</f>
        <v/>
      </c>
      <c r="Q351" s="156" t="inlineStr">
        <is>
          <t>Wil Lutz</t>
        </is>
      </c>
      <c r="R351" s="156" t="inlineStr">
        <is>
          <t>DEN</t>
        </is>
      </c>
      <c r="S351" s="156" t="inlineStr">
        <is>
          <t>K</t>
        </is>
      </c>
    </row>
    <row r="352" hidden="1" ht="15.6" customHeight="1" s="152">
      <c r="A352" s="217" t="n">
        <v>31</v>
      </c>
      <c r="B352" s="218">
        <f>VLOOKUP(G352,Matrix!R:AA,10,0)</f>
        <v/>
      </c>
      <c r="C352" s="156">
        <f>IF(K352&gt;0.01,K352,IFERROR(VLOOKUP(F352&amp;G352,Rec!B:C,2,0),K352)+SUM(L352:O352))</f>
        <v/>
      </c>
      <c r="D352" s="218">
        <f>_xlfn.IFNA(INDEX('Injury Report'!F:F, MATCH(G352&amp;F352, 'Injury Report'!A:A, 0)), "Healthy")</f>
        <v/>
      </c>
      <c r="E352" s="219">
        <f>VLOOKUP(A352,'WR Depth'!A:G,7,0)-1</f>
        <v/>
      </c>
      <c r="F352" s="218">
        <f>VLOOKUP(A352,'WR Depth'!A:C,3,0)</f>
        <v/>
      </c>
      <c r="G352" s="218">
        <f>VLOOKUP(A352,'WR Depth'!A:B,2,0)</f>
        <v/>
      </c>
      <c r="H352" s="218">
        <f>VLOOKUP(A352,'WR Depth'!A:D,4,0)</f>
        <v/>
      </c>
      <c r="I352" s="218">
        <f>H352&amp;E352</f>
        <v/>
      </c>
      <c r="J352" s="220">
        <f>IF(VLOOKUP(F352,Rec!F:G,2,0)=G352,"OK","Check Team")</f>
        <v/>
      </c>
      <c r="K352" s="156" t="n"/>
      <c r="L352" s="156">
        <f>IFERROR(VLOOKUP(F352&amp;G352,Pass!B:C,2,0),0)</f>
        <v/>
      </c>
      <c r="M352" s="156">
        <f>IFERROR(VLOOKUP(F352&amp;G352,Rush!B:C,2,0),0)</f>
        <v/>
      </c>
      <c r="N352" s="156">
        <f>IFERROR(VLOOKUP(F352&amp;G352,Rec!B:C,2,0),K352)</f>
        <v/>
      </c>
      <c r="O352" s="156">
        <f>IFERROR(VLOOKUP(F352&amp;G352,Returns!A:B,2,0),0)</f>
        <v/>
      </c>
      <c r="Q352" s="156" t="inlineStr">
        <is>
          <t>Brett Maher</t>
        </is>
      </c>
      <c r="R352" s="156" t="inlineStr">
        <is>
          <t>FA</t>
        </is>
      </c>
      <c r="S352" s="156" t="inlineStr">
        <is>
          <t>K</t>
        </is>
      </c>
    </row>
    <row r="353" hidden="1" ht="15.6" customHeight="1" s="152">
      <c r="A353" s="221" t="n">
        <v>32</v>
      </c>
      <c r="B353" s="218">
        <f>VLOOKUP(G353,Matrix!R:AA,10,0)</f>
        <v/>
      </c>
      <c r="C353" s="156">
        <f>IF(K353&gt;0.01,K353,IFERROR(VLOOKUP(F353&amp;G353,Rec!B:C,2,0),K353)+SUM(L353:O353))</f>
        <v/>
      </c>
      <c r="D353" s="218">
        <f>_xlfn.IFNA(INDEX('Injury Report'!F:F, MATCH(G353&amp;F353, 'Injury Report'!A:A, 0)), "Healthy")</f>
        <v/>
      </c>
      <c r="E353" s="219">
        <f>VLOOKUP(A353,'WR Depth'!A:G,7,0)-1</f>
        <v/>
      </c>
      <c r="F353" s="218">
        <f>VLOOKUP(A353,'WR Depth'!A:C,3,0)</f>
        <v/>
      </c>
      <c r="G353" s="218">
        <f>VLOOKUP(A353,'WR Depth'!A:B,2,0)</f>
        <v/>
      </c>
      <c r="H353" s="218">
        <f>VLOOKUP(A353,'WR Depth'!A:D,4,0)</f>
        <v/>
      </c>
      <c r="I353" s="218">
        <f>H353&amp;E353</f>
        <v/>
      </c>
      <c r="J353" s="220">
        <f>IF(VLOOKUP(F353,Rec!F:G,2,0)=G353,"OK","Check Team")</f>
        <v/>
      </c>
      <c r="K353" s="156" t="n"/>
      <c r="L353" s="156">
        <f>IFERROR(VLOOKUP(F353&amp;G353,Pass!B:C,2,0),0)</f>
        <v/>
      </c>
      <c r="M353" s="156">
        <f>IFERROR(VLOOKUP(F353&amp;G353,Rush!B:C,2,0),0)</f>
        <v/>
      </c>
      <c r="N353" s="156">
        <f>IFERROR(VLOOKUP(F353&amp;G353,Rec!B:C,2,0),K353)</f>
        <v/>
      </c>
      <c r="O353" s="156">
        <f>IFERROR(VLOOKUP(F353&amp;G353,Returns!A:B,2,0),0)</f>
        <v/>
      </c>
      <c r="Q353" s="156" t="inlineStr">
        <is>
          <t>Patrick Mahomes</t>
        </is>
      </c>
      <c r="R353" s="156" t="inlineStr">
        <is>
          <t>KC</t>
        </is>
      </c>
      <c r="S353" s="156" t="inlineStr">
        <is>
          <t>QB</t>
        </is>
      </c>
    </row>
    <row r="354" hidden="1" ht="15.6" customHeight="1" s="152">
      <c r="A354" s="217" t="n">
        <v>33</v>
      </c>
      <c r="B354" s="218">
        <f>VLOOKUP(G354,Matrix!R:AA,10,0)</f>
        <v/>
      </c>
      <c r="C354" s="156">
        <f>IF(K354&gt;0.01,K354,IFERROR(VLOOKUP(F354&amp;G354,Rec!B:C,2,0),K354)+SUM(L354:O354))</f>
        <v/>
      </c>
      <c r="D354" s="218">
        <f>_xlfn.IFNA(INDEX('Injury Report'!F:F, MATCH(G354&amp;F354, 'Injury Report'!A:A, 0)), "Healthy")</f>
        <v/>
      </c>
      <c r="E354" s="219">
        <f>VLOOKUP(A354,'WR Depth'!A:G,7,0)-1</f>
        <v/>
      </c>
      <c r="F354" s="218">
        <f>VLOOKUP(A354,'WR Depth'!A:C,3,0)</f>
        <v/>
      </c>
      <c r="G354" s="218">
        <f>VLOOKUP(A354,'WR Depth'!A:B,2,0)</f>
        <v/>
      </c>
      <c r="H354" s="218">
        <f>VLOOKUP(A354,'WR Depth'!A:D,4,0)</f>
        <v/>
      </c>
      <c r="I354" s="218">
        <f>H354&amp;E354</f>
        <v/>
      </c>
      <c r="J354" s="220">
        <f>IF(VLOOKUP(F354,Rec!F:G,2,0)=G354,"OK","Check Team")</f>
        <v/>
      </c>
      <c r="K354" s="156" t="n"/>
      <c r="L354" s="156">
        <f>IFERROR(VLOOKUP(F354&amp;G354,Pass!B:C,2,0),0)</f>
        <v/>
      </c>
      <c r="M354" s="156">
        <f>IFERROR(VLOOKUP(F354&amp;G354,Rush!B:C,2,0),0)</f>
        <v/>
      </c>
      <c r="N354" s="156">
        <f>IFERROR(VLOOKUP(F354&amp;G354,Rec!B:C,2,0),K354)</f>
        <v/>
      </c>
      <c r="O354" s="156">
        <f>IFERROR(VLOOKUP(F354&amp;G354,Returns!A:B,2,0),0)</f>
        <v/>
      </c>
      <c r="Q354" s="156" t="inlineStr">
        <is>
          <t>Will Mallory</t>
        </is>
      </c>
      <c r="R354" s="156" t="inlineStr">
        <is>
          <t>IND</t>
        </is>
      </c>
      <c r="S354" s="156" t="inlineStr">
        <is>
          <t>TE</t>
        </is>
      </c>
    </row>
    <row r="355" hidden="1" ht="15.6" customHeight="1" s="152">
      <c r="A355" s="221" t="n">
        <v>34</v>
      </c>
      <c r="B355" s="218">
        <f>VLOOKUP(G355,Matrix!R:AA,10,0)</f>
        <v/>
      </c>
      <c r="C355" s="156">
        <f>IF(K355&gt;0.01,K355,IFERROR(VLOOKUP(F355&amp;G355,Rec!B:C,2,0),K355)+SUM(L355:O355))</f>
        <v/>
      </c>
      <c r="D355" s="218">
        <f>_xlfn.IFNA(INDEX('Injury Report'!F:F, MATCH(G355&amp;F355, 'Injury Report'!A:A, 0)), "Healthy")</f>
        <v/>
      </c>
      <c r="E355" s="219">
        <f>VLOOKUP(A355,'WR Depth'!A:G,7,0)-1</f>
        <v/>
      </c>
      <c r="F355" s="218">
        <f>VLOOKUP(A355,'WR Depth'!A:C,3,0)</f>
        <v/>
      </c>
      <c r="G355" s="218">
        <f>VLOOKUP(A355,'WR Depth'!A:B,2,0)</f>
        <v/>
      </c>
      <c r="H355" s="218">
        <f>VLOOKUP(A355,'WR Depth'!A:D,4,0)</f>
        <v/>
      </c>
      <c r="I355" s="218">
        <f>H355&amp;E355</f>
        <v/>
      </c>
      <c r="J355" s="220">
        <f>IF(VLOOKUP(F355,Rec!F:G,2,0)=G355,"OK","Check Team")</f>
        <v/>
      </c>
      <c r="K355" s="156" t="n"/>
      <c r="L355" s="156">
        <f>IFERROR(VLOOKUP(F355&amp;G355,Pass!B:C,2,0),0)</f>
        <v/>
      </c>
      <c r="M355" s="156">
        <f>IFERROR(VLOOKUP(F355&amp;G355,Rush!B:C,2,0),0)</f>
        <v/>
      </c>
      <c r="N355" s="156">
        <f>IFERROR(VLOOKUP(F355&amp;G355,Rec!B:C,2,0),K355)</f>
        <v/>
      </c>
      <c r="O355" s="156">
        <f>IFERROR(VLOOKUP(F355&amp;G355,Returns!A:B,2,0),0)</f>
        <v/>
      </c>
      <c r="Q355" s="156" t="inlineStr">
        <is>
          <t>Marcus Mariota</t>
        </is>
      </c>
      <c r="R355" s="156" t="inlineStr">
        <is>
          <t>WAS</t>
        </is>
      </c>
      <c r="S355" s="156" t="inlineStr">
        <is>
          <t>QB</t>
        </is>
      </c>
    </row>
    <row r="356" hidden="1" ht="15.6" customHeight="1" s="152">
      <c r="A356" s="217" t="n">
        <v>35</v>
      </c>
      <c r="B356" s="218">
        <f>VLOOKUP(G356,Matrix!R:AA,10,0)</f>
        <v/>
      </c>
      <c r="C356" s="156">
        <f>IF(K356&gt;0.01,K356,IFERROR(VLOOKUP(F356&amp;G356,Rec!B:C,2,0),K356)+SUM(L356:O356))</f>
        <v/>
      </c>
      <c r="D356" s="218">
        <f>_xlfn.IFNA(INDEX('Injury Report'!F:F, MATCH(G356&amp;F356, 'Injury Report'!A:A, 0)), "Healthy")</f>
        <v/>
      </c>
      <c r="E356" s="219">
        <f>VLOOKUP(A356,'WR Depth'!A:G,7,0)-1</f>
        <v/>
      </c>
      <c r="F356" s="218">
        <f>VLOOKUP(A356,'WR Depth'!A:C,3,0)</f>
        <v/>
      </c>
      <c r="G356" s="218">
        <f>VLOOKUP(A356,'WR Depth'!A:B,2,0)</f>
        <v/>
      </c>
      <c r="H356" s="218">
        <f>VLOOKUP(A356,'WR Depth'!A:D,4,0)</f>
        <v/>
      </c>
      <c r="I356" s="218">
        <f>H356&amp;E356</f>
        <v/>
      </c>
      <c r="J356" s="220">
        <f>IF(VLOOKUP(F356,Rec!F:G,2,0)=G356,"OK","Check Team")</f>
        <v/>
      </c>
      <c r="K356" s="156" t="n"/>
      <c r="L356" s="156">
        <f>IFERROR(VLOOKUP(F356&amp;G356,Pass!B:C,2,0),0)</f>
        <v/>
      </c>
      <c r="M356" s="156">
        <f>IFERROR(VLOOKUP(F356&amp;G356,Rush!B:C,2,0),0)</f>
        <v/>
      </c>
      <c r="N356" s="156">
        <f>IFERROR(VLOOKUP(F356&amp;G356,Rec!B:C,2,0),K356)</f>
        <v/>
      </c>
      <c r="O356" s="156">
        <f>IFERROR(VLOOKUP(F356&amp;G356,Returns!A:B,2,0),0)</f>
        <v/>
      </c>
      <c r="Q356" s="156" t="inlineStr">
        <is>
          <t>Terrace Marshall</t>
        </is>
      </c>
      <c r="R356" s="156" t="inlineStr">
        <is>
          <t>LV</t>
        </is>
      </c>
      <c r="S356" s="156" t="inlineStr">
        <is>
          <t>WR</t>
        </is>
      </c>
    </row>
    <row r="357" hidden="1" ht="15.6" customHeight="1" s="152">
      <c r="A357" s="221" t="n">
        <v>36</v>
      </c>
      <c r="B357" s="218">
        <f>VLOOKUP(G357,Matrix!R:AA,10,0)</f>
        <v/>
      </c>
      <c r="C357" s="156">
        <f>IF(K357&gt;0.01,K357,IFERROR(VLOOKUP(F357&amp;G357,Rec!B:C,2,0),K357)+SUM(L357:O357))</f>
        <v/>
      </c>
      <c r="D357" s="218">
        <f>_xlfn.IFNA(INDEX('Injury Report'!F:F, MATCH(G357&amp;F357, 'Injury Report'!A:A, 0)), "Healthy")</f>
        <v/>
      </c>
      <c r="E357" s="219">
        <f>VLOOKUP(A357,'WR Depth'!A:G,7,0)-1</f>
        <v/>
      </c>
      <c r="F357" s="218">
        <f>VLOOKUP(A357,'WR Depth'!A:C,3,0)</f>
        <v/>
      </c>
      <c r="G357" s="218">
        <f>VLOOKUP(A357,'WR Depth'!A:B,2,0)</f>
        <v/>
      </c>
      <c r="H357" s="218">
        <f>VLOOKUP(A357,'WR Depth'!A:D,4,0)</f>
        <v/>
      </c>
      <c r="I357" s="218">
        <f>H357&amp;E357</f>
        <v/>
      </c>
      <c r="J357" s="220">
        <f>IF(VLOOKUP(F357,Rec!F:G,2,0)=G357,"OK","Check Team")</f>
        <v/>
      </c>
      <c r="K357" s="156" t="n"/>
      <c r="L357" s="156">
        <f>IFERROR(VLOOKUP(F357&amp;G357,Pass!B:C,2,0),0)</f>
        <v/>
      </c>
      <c r="M357" s="156">
        <f>IFERROR(VLOOKUP(F357&amp;G357,Rush!B:C,2,0),0)</f>
        <v/>
      </c>
      <c r="N357" s="156">
        <f>IFERROR(VLOOKUP(F357&amp;G357,Rec!B:C,2,0),K357)</f>
        <v/>
      </c>
      <c r="O357" s="156">
        <f>IFERROR(VLOOKUP(F357&amp;G357,Returns!A:B,2,0),0)</f>
        <v/>
      </c>
      <c r="Q357" s="156" t="inlineStr">
        <is>
          <t>Jordan Mason</t>
        </is>
      </c>
      <c r="R357" s="156" t="inlineStr">
        <is>
          <t>SF</t>
        </is>
      </c>
      <c r="S357" s="156" t="inlineStr">
        <is>
          <t>RB</t>
        </is>
      </c>
    </row>
    <row r="358" hidden="1" ht="15.6" customHeight="1" s="152">
      <c r="A358" s="217" t="n">
        <v>37</v>
      </c>
      <c r="B358" s="218">
        <f>VLOOKUP(G358,Matrix!R:AA,10,0)</f>
        <v/>
      </c>
      <c r="C358" s="156">
        <f>IF(K358&gt;0.01,K358,IFERROR(VLOOKUP(F358&amp;G358,Rec!B:C,2,0),K358)+SUM(L358:O358))</f>
        <v/>
      </c>
      <c r="D358" s="218">
        <f>_xlfn.IFNA(INDEX('Injury Report'!F:F, MATCH(G358&amp;F358, 'Injury Report'!A:A, 0)), "Healthy")</f>
        <v/>
      </c>
      <c r="E358" s="219">
        <f>VLOOKUP(A358,'WR Depth'!A:G,7,0)-1</f>
        <v/>
      </c>
      <c r="F358" s="218">
        <f>VLOOKUP(A358,'WR Depth'!A:C,3,0)</f>
        <v/>
      </c>
      <c r="G358" s="218">
        <f>VLOOKUP(A358,'WR Depth'!A:B,2,0)</f>
        <v/>
      </c>
      <c r="H358" s="218">
        <f>VLOOKUP(A358,'WR Depth'!A:D,4,0)</f>
        <v/>
      </c>
      <c r="I358" s="218">
        <f>H358&amp;E358</f>
        <v/>
      </c>
      <c r="J358" s="220">
        <f>IF(VLOOKUP(F358,Rec!F:G,2,0)=G358,"OK","Check Team")</f>
        <v/>
      </c>
      <c r="K358" s="156" t="n"/>
      <c r="L358" s="156">
        <f>IFERROR(VLOOKUP(F358&amp;G358,Pass!B:C,2,0),0)</f>
        <v/>
      </c>
      <c r="M358" s="156">
        <f>IFERROR(VLOOKUP(F358&amp;G358,Rush!B:C,2,0),0)</f>
        <v/>
      </c>
      <c r="N358" s="156">
        <f>IFERROR(VLOOKUP(F358&amp;G358,Rec!B:C,2,0),K358)</f>
        <v/>
      </c>
      <c r="O358" s="156">
        <f>IFERROR(VLOOKUP(F358&amp;G358,Returns!A:B,2,0),0)</f>
        <v/>
      </c>
      <c r="Q358" s="156" t="inlineStr">
        <is>
          <t>Jordan Matthews</t>
        </is>
      </c>
      <c r="R358" s="156" t="inlineStr">
        <is>
          <t>CAR</t>
        </is>
      </c>
      <c r="S358" s="156" t="inlineStr">
        <is>
          <t>TE</t>
        </is>
      </c>
    </row>
    <row r="359" hidden="1" ht="15.6" customHeight="1" s="152">
      <c r="A359" s="221" t="n">
        <v>38</v>
      </c>
      <c r="B359" s="218">
        <f>VLOOKUP(G359,Matrix!R:AA,10,0)</f>
        <v/>
      </c>
      <c r="C359" s="156">
        <f>IF(K359&gt;0.01,K359,IFERROR(VLOOKUP(F359&amp;G359,Rec!B:C,2,0),K359)+SUM(L359:O359))</f>
        <v/>
      </c>
      <c r="D359" s="218">
        <f>_xlfn.IFNA(INDEX('Injury Report'!F:F, MATCH(G359&amp;F359, 'Injury Report'!A:A, 0)), "Healthy")</f>
        <v/>
      </c>
      <c r="E359" s="219">
        <f>VLOOKUP(A359,'WR Depth'!A:G,7,0)-1</f>
        <v/>
      </c>
      <c r="F359" s="218">
        <f>VLOOKUP(A359,'WR Depth'!A:C,3,0)</f>
        <v/>
      </c>
      <c r="G359" s="218">
        <f>VLOOKUP(A359,'WR Depth'!A:B,2,0)</f>
        <v/>
      </c>
      <c r="H359" s="218">
        <f>VLOOKUP(A359,'WR Depth'!A:D,4,0)</f>
        <v/>
      </c>
      <c r="I359" s="218">
        <f>H359&amp;E359</f>
        <v/>
      </c>
      <c r="J359" s="220">
        <f>IF(VLOOKUP(F359,Rec!F:G,2,0)=G359,"OK","Check Team")</f>
        <v/>
      </c>
      <c r="K359" s="156" t="n"/>
      <c r="L359" s="156">
        <f>IFERROR(VLOOKUP(F359&amp;G359,Pass!B:C,2,0),0)</f>
        <v/>
      </c>
      <c r="M359" s="156">
        <f>IFERROR(VLOOKUP(F359&amp;G359,Rush!B:C,2,0),0)</f>
        <v/>
      </c>
      <c r="N359" s="156">
        <f>IFERROR(VLOOKUP(F359&amp;G359,Rec!B:C,2,0),K359)</f>
        <v/>
      </c>
      <c r="O359" s="156">
        <f>IFERROR(VLOOKUP(F359&amp;G359,Returns!A:B,2,0),0)</f>
        <v/>
      </c>
      <c r="Q359" s="156" t="inlineStr">
        <is>
          <t>Alexander Mattison</t>
        </is>
      </c>
      <c r="R359" s="156" t="inlineStr">
        <is>
          <t>LV</t>
        </is>
      </c>
      <c r="S359" s="156" t="inlineStr">
        <is>
          <t>RB</t>
        </is>
      </c>
    </row>
    <row r="360" hidden="1" ht="15.6" customHeight="1" s="152">
      <c r="A360" s="217" t="n">
        <v>39</v>
      </c>
      <c r="B360" s="218">
        <f>VLOOKUP(G360,Matrix!R:AA,10,0)</f>
        <v/>
      </c>
      <c r="C360" s="156">
        <f>IF(K360&gt;0.01,K360,IFERROR(VLOOKUP(F360&amp;G360,Rec!B:C,2,0),K360)+SUM(L360:O360))</f>
        <v/>
      </c>
      <c r="D360" s="218">
        <f>_xlfn.IFNA(INDEX('Injury Report'!F:F, MATCH(G360&amp;F360, 'Injury Report'!A:A, 0)), "Healthy")</f>
        <v/>
      </c>
      <c r="E360" s="219">
        <f>VLOOKUP(A360,'WR Depth'!A:G,7,0)-1</f>
        <v/>
      </c>
      <c r="F360" s="218">
        <f>VLOOKUP(A360,'WR Depth'!A:C,3,0)</f>
        <v/>
      </c>
      <c r="G360" s="218">
        <f>VLOOKUP(A360,'WR Depth'!A:B,2,0)</f>
        <v/>
      </c>
      <c r="H360" s="218">
        <f>VLOOKUP(A360,'WR Depth'!A:D,4,0)</f>
        <v/>
      </c>
      <c r="I360" s="218">
        <f>H360&amp;E360</f>
        <v/>
      </c>
      <c r="J360" s="220">
        <f>IF(VLOOKUP(F360,Rec!F:G,2,0)=G360,"OK","Check Team")</f>
        <v/>
      </c>
      <c r="K360" s="156" t="n"/>
      <c r="L360" s="156">
        <f>IFERROR(VLOOKUP(F360&amp;G360,Pass!B:C,2,0),0)</f>
        <v/>
      </c>
      <c r="M360" s="156">
        <f>IFERROR(VLOOKUP(F360&amp;G360,Rush!B:C,2,0),0)</f>
        <v/>
      </c>
      <c r="N360" s="156">
        <f>IFERROR(VLOOKUP(F360&amp;G360,Rec!B:C,2,0),K360)</f>
        <v/>
      </c>
      <c r="O360" s="156">
        <f>IFERROR(VLOOKUP(F360&amp;G360,Returns!A:B,2,0),0)</f>
        <v/>
      </c>
      <c r="Q360" s="156" t="inlineStr">
        <is>
          <t>Drake Maye</t>
        </is>
      </c>
      <c r="R360" s="156" t="inlineStr">
        <is>
          <t>NE</t>
        </is>
      </c>
      <c r="S360" s="156" t="inlineStr">
        <is>
          <t>QB</t>
        </is>
      </c>
    </row>
    <row r="361" hidden="1" ht="15.6" customHeight="1" s="152">
      <c r="A361" s="221" t="n">
        <v>40</v>
      </c>
      <c r="B361" s="218">
        <f>VLOOKUP(G361,Matrix!R:AA,10,0)</f>
        <v/>
      </c>
      <c r="C361" s="156">
        <f>IF(K361&gt;0.01,K361,IFERROR(VLOOKUP(F361&amp;G361,Rec!B:C,2,0),K361)+SUM(L361:O361))</f>
        <v/>
      </c>
      <c r="D361" s="218">
        <f>_xlfn.IFNA(INDEX('Injury Report'!F:F, MATCH(G361&amp;F361, 'Injury Report'!A:A, 0)), "Healthy")</f>
        <v/>
      </c>
      <c r="E361" s="219">
        <f>VLOOKUP(A361,'WR Depth'!A:G,7,0)-1</f>
        <v/>
      </c>
      <c r="F361" s="218">
        <f>VLOOKUP(A361,'WR Depth'!A:C,3,0)</f>
        <v/>
      </c>
      <c r="G361" s="218">
        <f>VLOOKUP(A361,'WR Depth'!A:B,2,0)</f>
        <v/>
      </c>
      <c r="H361" s="218">
        <f>VLOOKUP(A361,'WR Depth'!A:D,4,0)</f>
        <v/>
      </c>
      <c r="I361" s="218">
        <f>H361&amp;E361</f>
        <v/>
      </c>
      <c r="J361" s="220">
        <f>IF(VLOOKUP(F361,Rec!F:G,2,0)=G361,"OK","Check Team")</f>
        <v/>
      </c>
      <c r="K361" s="156" t="n"/>
      <c r="L361" s="156">
        <f>IFERROR(VLOOKUP(F361&amp;G361,Pass!B:C,2,0),0)</f>
        <v/>
      </c>
      <c r="M361" s="156">
        <f>IFERROR(VLOOKUP(F361&amp;G361,Rush!B:C,2,0),0)</f>
        <v/>
      </c>
      <c r="N361" s="156">
        <f>IFERROR(VLOOKUP(F361&amp;G361,Rec!B:C,2,0),K361)</f>
        <v/>
      </c>
      <c r="O361" s="156">
        <f>IFERROR(VLOOKUP(F361&amp;G361,Returns!A:B,2,0),0)</f>
        <v/>
      </c>
      <c r="Q361" s="156" t="inlineStr">
        <is>
          <t>Michael Mayer</t>
        </is>
      </c>
      <c r="R361" s="156" t="inlineStr">
        <is>
          <t>LV</t>
        </is>
      </c>
      <c r="S361" s="156" t="inlineStr">
        <is>
          <t>TE</t>
        </is>
      </c>
    </row>
    <row r="362" hidden="1" ht="15.6" customHeight="1" s="152">
      <c r="A362" s="217" t="n">
        <v>41</v>
      </c>
      <c r="B362" s="218">
        <f>VLOOKUP(G362,Matrix!R:AA,10,0)</f>
        <v/>
      </c>
      <c r="C362" s="156">
        <f>IF(K362&gt;0.01,K362,IFERROR(VLOOKUP(F362&amp;G362,Rec!B:C,2,0),K362)+SUM(L362:O362))</f>
        <v/>
      </c>
      <c r="D362" s="218">
        <f>_xlfn.IFNA(INDEX('Injury Report'!F:F, MATCH(G362&amp;F362, 'Injury Report'!A:A, 0)), "Healthy")</f>
        <v/>
      </c>
      <c r="E362" s="219">
        <f>VLOOKUP(A362,'WR Depth'!A:G,7,0)-1</f>
        <v/>
      </c>
      <c r="F362" s="218">
        <f>VLOOKUP(A362,'WR Depth'!A:C,3,0)</f>
        <v/>
      </c>
      <c r="G362" s="218">
        <f>VLOOKUP(A362,'WR Depth'!A:B,2,0)</f>
        <v/>
      </c>
      <c r="H362" s="218">
        <f>VLOOKUP(A362,'WR Depth'!A:D,4,0)</f>
        <v/>
      </c>
      <c r="I362" s="218">
        <f>H362&amp;E362</f>
        <v/>
      </c>
      <c r="J362" s="220">
        <f>IF(VLOOKUP(F362,Rec!F:G,2,0)=G362,"OK","Check Team")</f>
        <v/>
      </c>
      <c r="K362" s="156" t="n"/>
      <c r="L362" s="156">
        <f>IFERROR(VLOOKUP(F362&amp;G362,Pass!B:C,2,0),0)</f>
        <v/>
      </c>
      <c r="M362" s="156">
        <f>IFERROR(VLOOKUP(F362&amp;G362,Rush!B:C,2,0),0)</f>
        <v/>
      </c>
      <c r="N362" s="156">
        <f>IFERROR(VLOOKUP(F362&amp;G362,Rec!B:C,2,0),K362)</f>
        <v/>
      </c>
      <c r="O362" s="156">
        <f>IFERROR(VLOOKUP(F362&amp;G362,Returns!A:B,2,0),0)</f>
        <v/>
      </c>
      <c r="Q362" s="156" t="inlineStr">
        <is>
          <t>Baker Mayfield</t>
        </is>
      </c>
      <c r="R362" s="156" t="inlineStr">
        <is>
          <t>TB</t>
        </is>
      </c>
      <c r="S362" s="156" t="inlineStr">
        <is>
          <t>QB</t>
        </is>
      </c>
    </row>
    <row r="363" hidden="1" ht="15.6" customHeight="1" s="152">
      <c r="A363" s="221" t="n">
        <v>42</v>
      </c>
      <c r="B363" s="218">
        <f>VLOOKUP(G363,Matrix!R:AA,10,0)</f>
        <v/>
      </c>
      <c r="C363" s="156">
        <f>IF(K363&gt;0.01,K363,IFERROR(VLOOKUP(F363&amp;G363,Rec!B:C,2,0),K363)+SUM(L363:O363))</f>
        <v/>
      </c>
      <c r="D363" s="218">
        <f>_xlfn.IFNA(INDEX('Injury Report'!F:F, MATCH(G363&amp;F363, 'Injury Report'!A:A, 0)), "Healthy")</f>
        <v/>
      </c>
      <c r="E363" s="219">
        <f>VLOOKUP(A363,'WR Depth'!A:G,7,0)-1</f>
        <v/>
      </c>
      <c r="F363" s="218">
        <f>VLOOKUP(A363,'WR Depth'!A:C,3,0)</f>
        <v/>
      </c>
      <c r="G363" s="218">
        <f>VLOOKUP(A363,'WR Depth'!A:B,2,0)</f>
        <v/>
      </c>
      <c r="H363" s="218">
        <f>VLOOKUP(A363,'WR Depth'!A:D,4,0)</f>
        <v/>
      </c>
      <c r="I363" s="218">
        <f>H363&amp;E363</f>
        <v/>
      </c>
      <c r="J363" s="220">
        <f>IF(VLOOKUP(F363,Rec!F:G,2,0)=G363,"OK","Check Team")</f>
        <v/>
      </c>
      <c r="K363" s="156" t="n"/>
      <c r="L363" s="156">
        <f>IFERROR(VLOOKUP(F363&amp;G363,Pass!B:C,2,0),0)</f>
        <v/>
      </c>
      <c r="M363" s="156">
        <f>IFERROR(VLOOKUP(F363&amp;G363,Rush!B:C,2,0),0)</f>
        <v/>
      </c>
      <c r="N363" s="156">
        <f>IFERROR(VLOOKUP(F363&amp;G363,Rec!B:C,2,0),K363)</f>
        <v/>
      </c>
      <c r="O363" s="156">
        <f>IFERROR(VLOOKUP(F363&amp;G363,Returns!A:B,2,0),0)</f>
        <v/>
      </c>
      <c r="Q363" s="156" t="inlineStr">
        <is>
          <t>Tyreik McAllister</t>
        </is>
      </c>
      <c r="R363" s="156" t="inlineStr">
        <is>
          <t>LV</t>
        </is>
      </c>
      <c r="S363" s="156" t="inlineStr">
        <is>
          <t>WR</t>
        </is>
      </c>
    </row>
    <row r="364" hidden="1" ht="15.6" customHeight="1" s="152">
      <c r="A364" s="217" t="n">
        <v>43</v>
      </c>
      <c r="B364" s="218">
        <f>VLOOKUP(G364,Matrix!R:AA,10,0)</f>
        <v/>
      </c>
      <c r="C364" s="156">
        <f>IF(K364&gt;0.01,K364,IFERROR(VLOOKUP(F364&amp;G364,Rec!B:C,2,0),K364)+SUM(L364:O364))</f>
        <v/>
      </c>
      <c r="D364" s="218">
        <f>_xlfn.IFNA(INDEX('Injury Report'!F:F, MATCH(G364&amp;F364, 'Injury Report'!A:A, 0)), "Healthy")</f>
        <v/>
      </c>
      <c r="E364" s="219">
        <f>VLOOKUP(A364,'WR Depth'!A:G,7,0)-1</f>
        <v/>
      </c>
      <c r="F364" s="218">
        <f>VLOOKUP(A364,'WR Depth'!A:C,3,0)</f>
        <v/>
      </c>
      <c r="G364" s="218">
        <f>VLOOKUP(A364,'WR Depth'!A:B,2,0)</f>
        <v/>
      </c>
      <c r="H364" s="218">
        <f>VLOOKUP(A364,'WR Depth'!A:D,4,0)</f>
        <v/>
      </c>
      <c r="I364" s="218">
        <f>H364&amp;E364</f>
        <v/>
      </c>
      <c r="J364" s="220">
        <f>IF(VLOOKUP(F364,Rec!F:G,2,0)=G364,"OK","Check Team")</f>
        <v/>
      </c>
      <c r="K364" s="156" t="n"/>
      <c r="L364" s="156">
        <f>IFERROR(VLOOKUP(F364&amp;G364,Pass!B:C,2,0),0)</f>
        <v/>
      </c>
      <c r="M364" s="156">
        <f>IFERROR(VLOOKUP(F364&amp;G364,Rush!B:C,2,0),0)</f>
        <v/>
      </c>
      <c r="N364" s="156">
        <f>IFERROR(VLOOKUP(F364&amp;G364,Rec!B:C,2,0),K364)</f>
        <v/>
      </c>
      <c r="O364" s="156">
        <f>IFERROR(VLOOKUP(F364&amp;G364,Returns!A:B,2,0),0)</f>
        <v/>
      </c>
      <c r="Q364" s="156" t="inlineStr">
        <is>
          <t>Jude McAtamney</t>
        </is>
      </c>
      <c r="R364" s="156" t="inlineStr">
        <is>
          <t>NYG</t>
        </is>
      </c>
      <c r="S364" s="156" t="inlineStr">
        <is>
          <t>K</t>
        </is>
      </c>
    </row>
    <row r="365" hidden="1" ht="15.6" customHeight="1" s="152">
      <c r="A365" s="221" t="n">
        <v>44</v>
      </c>
      <c r="B365" s="218">
        <f>VLOOKUP(G365,Matrix!R:AA,10,0)</f>
        <v/>
      </c>
      <c r="C365" s="156">
        <f>IF(K365&gt;0.01,K365,IFERROR(VLOOKUP(F365&amp;G365,Rec!B:C,2,0),K365)+SUM(L365:O365))</f>
        <v/>
      </c>
      <c r="D365" s="218">
        <f>_xlfn.IFNA(INDEX('Injury Report'!F:F, MATCH(G365&amp;F365, 'Injury Report'!A:A, 0)), "Healthy")</f>
        <v/>
      </c>
      <c r="E365" s="219">
        <f>VLOOKUP(A365,'WR Depth'!A:G,7,0)-1</f>
        <v/>
      </c>
      <c r="F365" s="218">
        <f>VLOOKUP(A365,'WR Depth'!A:C,3,0)</f>
        <v/>
      </c>
      <c r="G365" s="218">
        <f>VLOOKUP(A365,'WR Depth'!A:B,2,0)</f>
        <v/>
      </c>
      <c r="H365" s="218">
        <f>VLOOKUP(A365,'WR Depth'!A:D,4,0)</f>
        <v/>
      </c>
      <c r="I365" s="218">
        <f>H365&amp;E365</f>
        <v/>
      </c>
      <c r="J365" s="220">
        <f>IF(VLOOKUP(F365,Rec!F:G,2,0)=G365,"OK","Check Team")</f>
        <v/>
      </c>
      <c r="K365" s="156" t="n"/>
      <c r="L365" s="156">
        <f>IFERROR(VLOOKUP(F365&amp;G365,Pass!B:C,2,0),0)</f>
        <v/>
      </c>
      <c r="M365" s="156">
        <f>IFERROR(VLOOKUP(F365&amp;G365,Rush!B:C,2,0),0)</f>
        <v/>
      </c>
      <c r="N365" s="156">
        <f>IFERROR(VLOOKUP(F365&amp;G365,Rec!B:C,2,0),K365)</f>
        <v/>
      </c>
      <c r="O365" s="156">
        <f>IFERROR(VLOOKUP(F365&amp;G365,Returns!A:B,2,0),0)</f>
        <v/>
      </c>
      <c r="Q365" s="156" t="inlineStr">
        <is>
          <t>DeWayne McBride</t>
        </is>
      </c>
      <c r="R365" s="156" t="inlineStr">
        <is>
          <t>FA</t>
        </is>
      </c>
      <c r="S365" s="156" t="inlineStr">
        <is>
          <t>RB</t>
        </is>
      </c>
    </row>
    <row r="366" hidden="1" ht="15.6" customHeight="1" s="152">
      <c r="A366" s="217" t="n">
        <v>45</v>
      </c>
      <c r="B366" s="218">
        <f>VLOOKUP(G366,Matrix!R:AA,10,0)</f>
        <v/>
      </c>
      <c r="C366" s="156">
        <f>IF(K366&gt;0.01,K366,IFERROR(VLOOKUP(F366&amp;G366,Rec!B:C,2,0),K366)+SUM(L366:O366))</f>
        <v/>
      </c>
      <c r="D366" s="218">
        <f>_xlfn.IFNA(INDEX('Injury Report'!F:F, MATCH(G366&amp;F366, 'Injury Report'!A:A, 0)), "Healthy")</f>
        <v/>
      </c>
      <c r="E366" s="219">
        <f>VLOOKUP(A366,'WR Depth'!A:G,7,0)-1</f>
        <v/>
      </c>
      <c r="F366" s="218">
        <f>VLOOKUP(A366,'WR Depth'!A:C,3,0)</f>
        <v/>
      </c>
      <c r="G366" s="218">
        <f>VLOOKUP(A366,'WR Depth'!A:B,2,0)</f>
        <v/>
      </c>
      <c r="H366" s="218">
        <f>VLOOKUP(A366,'WR Depth'!A:D,4,0)</f>
        <v/>
      </c>
      <c r="I366" s="218">
        <f>H366&amp;E366</f>
        <v/>
      </c>
      <c r="J366" s="220">
        <f>IF(VLOOKUP(F366,Rec!F:G,2,0)=G366,"OK","Check Team")</f>
        <v/>
      </c>
      <c r="K366" s="156" t="n"/>
      <c r="L366" s="156">
        <f>IFERROR(VLOOKUP(F366&amp;G366,Pass!B:C,2,0),0)</f>
        <v/>
      </c>
      <c r="M366" s="156">
        <f>IFERROR(VLOOKUP(F366&amp;G366,Rush!B:C,2,0),0)</f>
        <v/>
      </c>
      <c r="N366" s="156">
        <f>IFERROR(VLOOKUP(F366&amp;G366,Rec!B:C,2,0),K366)</f>
        <v/>
      </c>
      <c r="O366" s="156">
        <f>IFERROR(VLOOKUP(F366&amp;G366,Returns!A:B,2,0),0)</f>
        <v/>
      </c>
      <c r="Q366" s="156" t="inlineStr">
        <is>
          <t>Trey McBride</t>
        </is>
      </c>
      <c r="R366" s="156" t="inlineStr">
        <is>
          <t>ARI</t>
        </is>
      </c>
      <c r="S366" s="156" t="inlineStr">
        <is>
          <t>TE</t>
        </is>
      </c>
    </row>
    <row r="367" hidden="1" ht="15.6" customHeight="1" s="152">
      <c r="A367" s="221" t="n">
        <v>46</v>
      </c>
      <c r="B367" s="218">
        <f>VLOOKUP(G367,Matrix!R:AA,10,0)</f>
        <v/>
      </c>
      <c r="C367" s="156">
        <f>IF(K367&gt;0.01,K367,IFERROR(VLOOKUP(F367&amp;G367,Rec!B:C,2,0),K367)+SUM(L367:O367))</f>
        <v/>
      </c>
      <c r="D367" s="218">
        <f>_xlfn.IFNA(INDEX('Injury Report'!F:F, MATCH(G367&amp;F367, 'Injury Report'!A:A, 0)), "Healthy")</f>
        <v/>
      </c>
      <c r="E367" s="219">
        <f>VLOOKUP(A367,'WR Depth'!A:G,7,0)-1</f>
        <v/>
      </c>
      <c r="F367" s="218">
        <f>VLOOKUP(A367,'WR Depth'!A:C,3,0)</f>
        <v/>
      </c>
      <c r="G367" s="218">
        <f>VLOOKUP(A367,'WR Depth'!A:B,2,0)</f>
        <v/>
      </c>
      <c r="H367" s="218">
        <f>VLOOKUP(A367,'WR Depth'!A:D,4,0)</f>
        <v/>
      </c>
      <c r="I367" s="218">
        <f>H367&amp;E367</f>
        <v/>
      </c>
      <c r="J367" s="220">
        <f>IF(VLOOKUP(F367,Rec!F:G,2,0)=G367,"OK","Check Team")</f>
        <v/>
      </c>
      <c r="K367" s="156" t="n"/>
      <c r="L367" s="156">
        <f>IFERROR(VLOOKUP(F367&amp;G367,Pass!B:C,2,0),0)</f>
        <v/>
      </c>
      <c r="M367" s="156">
        <f>IFERROR(VLOOKUP(F367&amp;G367,Rush!B:C,2,0),0)</f>
        <v/>
      </c>
      <c r="N367" s="156">
        <f>IFERROR(VLOOKUP(F367&amp;G367,Rec!B:C,2,0),K367)</f>
        <v/>
      </c>
      <c r="O367" s="156">
        <f>IFERROR(VLOOKUP(F367&amp;G367,Returns!A:B,2,0),0)</f>
        <v/>
      </c>
      <c r="Q367" s="156" t="inlineStr">
        <is>
          <t>Christian McCaffrey</t>
        </is>
      </c>
      <c r="R367" s="156" t="inlineStr">
        <is>
          <t>SF</t>
        </is>
      </c>
      <c r="S367" s="156" t="inlineStr">
        <is>
          <t>RB</t>
        </is>
      </c>
    </row>
    <row r="368" hidden="1" ht="15.6" customHeight="1" s="152">
      <c r="A368" s="217" t="n">
        <v>47</v>
      </c>
      <c r="B368" s="218">
        <f>VLOOKUP(G368,Matrix!R:AA,10,0)</f>
        <v/>
      </c>
      <c r="C368" s="156">
        <f>IF(K368&gt;0.01,K368,IFERROR(VLOOKUP(F368&amp;G368,Rec!B:C,2,0),K368)+SUM(L368:O368))</f>
        <v/>
      </c>
      <c r="D368" s="218">
        <f>_xlfn.IFNA(INDEX('Injury Report'!F:F, MATCH(G368&amp;F368, 'Injury Report'!A:A, 0)), "Healthy")</f>
        <v/>
      </c>
      <c r="E368" s="219">
        <f>VLOOKUP(A368,'WR Depth'!A:G,7,0)-1</f>
        <v/>
      </c>
      <c r="F368" s="218">
        <f>VLOOKUP(A368,'WR Depth'!A:C,3,0)</f>
        <v/>
      </c>
      <c r="G368" s="218">
        <f>VLOOKUP(A368,'WR Depth'!A:B,2,0)</f>
        <v/>
      </c>
      <c r="H368" s="218">
        <f>VLOOKUP(A368,'WR Depth'!A:D,4,0)</f>
        <v/>
      </c>
      <c r="I368" s="218">
        <f>H368&amp;E368</f>
        <v/>
      </c>
      <c r="J368" s="220">
        <f>IF(VLOOKUP(F368,Rec!F:G,2,0)=G368,"OK","Check Team")</f>
        <v/>
      </c>
      <c r="K368" s="156" t="n"/>
      <c r="L368" s="156">
        <f>IFERROR(VLOOKUP(F368&amp;G368,Pass!B:C,2,0),0)</f>
        <v/>
      </c>
      <c r="M368" s="156">
        <f>IFERROR(VLOOKUP(F368&amp;G368,Rush!B:C,2,0),0)</f>
        <v/>
      </c>
      <c r="N368" s="156">
        <f>IFERROR(VLOOKUP(F368&amp;G368,Rec!B:C,2,0),K368)</f>
        <v/>
      </c>
      <c r="O368" s="156">
        <f>IFERROR(VLOOKUP(F368&amp;G368,Returns!A:B,2,0),0)</f>
        <v/>
      </c>
      <c r="Q368" s="156" t="inlineStr">
        <is>
          <t>Luke McCaffrey</t>
        </is>
      </c>
      <c r="R368" s="156" t="inlineStr">
        <is>
          <t>WAS</t>
        </is>
      </c>
      <c r="S368" s="156" t="inlineStr">
        <is>
          <t>WR</t>
        </is>
      </c>
    </row>
    <row r="369" hidden="1" ht="15.6" customHeight="1" s="152">
      <c r="A369" s="221" t="n">
        <v>48</v>
      </c>
      <c r="B369" s="218">
        <f>VLOOKUP(G369,Matrix!R:AA,10,0)</f>
        <v/>
      </c>
      <c r="C369" s="156">
        <f>IF(K369&gt;0.01,K369,IFERROR(VLOOKUP(F369&amp;G369,Rec!B:C,2,0),K369)+SUM(L369:O369))</f>
        <v/>
      </c>
      <c r="D369" s="218">
        <f>_xlfn.IFNA(INDEX('Injury Report'!F:F, MATCH(G369&amp;F369, 'Injury Report'!A:A, 0)), "Healthy")</f>
        <v/>
      </c>
      <c r="E369" s="219">
        <f>VLOOKUP(A369,'WR Depth'!A:G,7,0)-1</f>
        <v/>
      </c>
      <c r="F369" s="218">
        <f>VLOOKUP(A369,'WR Depth'!A:C,3,0)</f>
        <v/>
      </c>
      <c r="G369" s="218">
        <f>VLOOKUP(A369,'WR Depth'!A:B,2,0)</f>
        <v/>
      </c>
      <c r="H369" s="218">
        <f>VLOOKUP(A369,'WR Depth'!A:D,4,0)</f>
        <v/>
      </c>
      <c r="I369" s="218">
        <f>H369&amp;E369</f>
        <v/>
      </c>
      <c r="J369" s="220">
        <f>IF(VLOOKUP(F369,Rec!F:G,2,0)=G369,"OK","Check Team")</f>
        <v/>
      </c>
      <c r="K369" s="156" t="n"/>
      <c r="L369" s="156">
        <f>IFERROR(VLOOKUP(F369&amp;G369,Pass!B:C,2,0),0)</f>
        <v/>
      </c>
      <c r="M369" s="156">
        <f>IFERROR(VLOOKUP(F369&amp;G369,Rush!B:C,2,0),0)</f>
        <v/>
      </c>
      <c r="N369" s="156">
        <f>IFERROR(VLOOKUP(F369&amp;G369,Rec!B:C,2,0),K369)</f>
        <v/>
      </c>
      <c r="O369" s="156">
        <f>IFERROR(VLOOKUP(F369&amp;G369,Returns!A:B,2,0),0)</f>
        <v/>
      </c>
      <c r="Q369" s="156" t="inlineStr">
        <is>
          <t>J.J. McCarthy</t>
        </is>
      </c>
      <c r="R369" s="156" t="inlineStr">
        <is>
          <t>MIN</t>
        </is>
      </c>
      <c r="S369" s="156" t="inlineStr">
        <is>
          <t>QB</t>
        </is>
      </c>
    </row>
    <row r="370" hidden="1" ht="15.6" customHeight="1" s="152">
      <c r="A370" s="217" t="n">
        <v>49</v>
      </c>
      <c r="B370" s="218">
        <f>VLOOKUP(G370,Matrix!R:AA,10,0)</f>
        <v/>
      </c>
      <c r="C370" s="156">
        <f>IF(K370&gt;0.01,K370,IFERROR(VLOOKUP(F370&amp;G370,Rec!B:C,2,0),K370)+SUM(L370:O370))</f>
        <v/>
      </c>
      <c r="D370" s="218">
        <f>_xlfn.IFNA(INDEX('Injury Report'!F:F, MATCH(G370&amp;F370, 'Injury Report'!A:A, 0)), "Healthy")</f>
        <v/>
      </c>
      <c r="E370" s="219">
        <f>VLOOKUP(A370,'WR Depth'!A:G,7,0)-1</f>
        <v/>
      </c>
      <c r="F370" s="218">
        <f>VLOOKUP(A370,'WR Depth'!A:C,3,0)</f>
        <v/>
      </c>
      <c r="G370" s="218">
        <f>VLOOKUP(A370,'WR Depth'!A:B,2,0)</f>
        <v/>
      </c>
      <c r="H370" s="218">
        <f>VLOOKUP(A370,'WR Depth'!A:D,4,0)</f>
        <v/>
      </c>
      <c r="I370" s="218">
        <f>H370&amp;E370</f>
        <v/>
      </c>
      <c r="J370" s="220">
        <f>IF(VLOOKUP(F370,Rec!F:G,2,0)=G370,"OK","Check Team")</f>
        <v/>
      </c>
      <c r="K370" s="156" t="n"/>
      <c r="L370" s="156">
        <f>IFERROR(VLOOKUP(F370&amp;G370,Pass!B:C,2,0),0)</f>
        <v/>
      </c>
      <c r="M370" s="156">
        <f>IFERROR(VLOOKUP(F370&amp;G370,Rush!B:C,2,0),0)</f>
        <v/>
      </c>
      <c r="N370" s="156">
        <f>IFERROR(VLOOKUP(F370&amp;G370,Rec!B:C,2,0),K370)</f>
        <v/>
      </c>
      <c r="O370" s="156">
        <f>IFERROR(VLOOKUP(F370&amp;G370,Returns!A:B,2,0),0)</f>
        <v/>
      </c>
      <c r="Q370" s="156" t="inlineStr">
        <is>
          <t>Jase McClellan</t>
        </is>
      </c>
      <c r="R370" s="156" t="inlineStr">
        <is>
          <t>ATL</t>
        </is>
      </c>
      <c r="S370" s="156" t="inlineStr">
        <is>
          <t>RB</t>
        </is>
      </c>
    </row>
    <row r="371" hidden="1" ht="15.6" customHeight="1" s="152">
      <c r="A371" s="221" t="n">
        <v>50</v>
      </c>
      <c r="B371" s="218">
        <f>VLOOKUP(G371,Matrix!R:AA,10,0)</f>
        <v/>
      </c>
      <c r="C371" s="156">
        <f>IF(K371&gt;0.01,K371,IFERROR(VLOOKUP(F371&amp;G371,Rec!B:C,2,0),K371)+SUM(L371:O371))</f>
        <v/>
      </c>
      <c r="D371" s="218">
        <f>_xlfn.IFNA(INDEX('Injury Report'!F:F, MATCH(G371&amp;F371, 'Injury Report'!A:A, 0)), "Healthy")</f>
        <v/>
      </c>
      <c r="E371" s="219">
        <f>VLOOKUP(A371,'WR Depth'!A:G,7,0)-1</f>
        <v/>
      </c>
      <c r="F371" s="218">
        <f>VLOOKUP(A371,'WR Depth'!A:C,3,0)</f>
        <v/>
      </c>
      <c r="G371" s="218">
        <f>VLOOKUP(A371,'WR Depth'!A:B,2,0)</f>
        <v/>
      </c>
      <c r="H371" s="218">
        <f>VLOOKUP(A371,'WR Depth'!A:D,4,0)</f>
        <v/>
      </c>
      <c r="I371" s="218">
        <f>H371&amp;E371</f>
        <v/>
      </c>
      <c r="J371" s="220">
        <f>IF(VLOOKUP(F371,Rec!F:G,2,0)=G371,"OK","Check Team")</f>
        <v/>
      </c>
      <c r="K371" s="156" t="n"/>
      <c r="L371" s="156">
        <f>IFERROR(VLOOKUP(F371&amp;G371,Pass!B:C,2,0),0)</f>
        <v/>
      </c>
      <c r="M371" s="156">
        <f>IFERROR(VLOOKUP(F371&amp;G371,Rush!B:C,2,0),0)</f>
        <v/>
      </c>
      <c r="N371" s="156">
        <f>IFERROR(VLOOKUP(F371&amp;G371,Rec!B:C,2,0),K371)</f>
        <v/>
      </c>
      <c r="O371" s="156">
        <f>IFERROR(VLOOKUP(F371&amp;G371,Returns!A:B,2,0),0)</f>
        <v/>
      </c>
      <c r="Q371" s="156" t="inlineStr">
        <is>
          <t>Ray-Ray McCloud</t>
        </is>
      </c>
      <c r="R371" s="156" t="inlineStr">
        <is>
          <t>ATL</t>
        </is>
      </c>
      <c r="S371" s="156" t="inlineStr">
        <is>
          <t>WR</t>
        </is>
      </c>
    </row>
    <row r="372" hidden="1" ht="15.6" customHeight="1" s="152">
      <c r="A372" s="217" t="n">
        <v>51</v>
      </c>
      <c r="B372" s="218">
        <f>VLOOKUP(G372,Matrix!R:AA,10,0)</f>
        <v/>
      </c>
      <c r="C372" s="156">
        <f>IF(K372&gt;0.01,K372,IFERROR(VLOOKUP(F372&amp;G372,Rec!B:C,2,0),K372)+SUM(L372:O372))</f>
        <v/>
      </c>
      <c r="D372" s="218">
        <f>_xlfn.IFNA(INDEX('Injury Report'!F:F, MATCH(G372&amp;F372, 'Injury Report'!A:A, 0)), "Healthy")</f>
        <v/>
      </c>
      <c r="E372" s="219">
        <f>VLOOKUP(A372,'WR Depth'!A:G,7,0)-1</f>
        <v/>
      </c>
      <c r="F372" s="218">
        <f>VLOOKUP(A372,'WR Depth'!A:C,3,0)</f>
        <v/>
      </c>
      <c r="G372" s="218">
        <f>VLOOKUP(A372,'WR Depth'!A:B,2,0)</f>
        <v/>
      </c>
      <c r="H372" s="218">
        <f>VLOOKUP(A372,'WR Depth'!A:D,4,0)</f>
        <v/>
      </c>
      <c r="I372" s="218">
        <f>H372&amp;E372</f>
        <v/>
      </c>
      <c r="J372" s="220">
        <f>IF(VLOOKUP(F372,Rec!F:G,2,0)=G372,"OK","Check Team")</f>
        <v/>
      </c>
      <c r="K372" s="156" t="n"/>
      <c r="L372" s="156">
        <f>IFERROR(VLOOKUP(F372&amp;G372,Pass!B:C,2,0),0)</f>
        <v/>
      </c>
      <c r="M372" s="156">
        <f>IFERROR(VLOOKUP(F372&amp;G372,Rush!B:C,2,0),0)</f>
        <v/>
      </c>
      <c r="N372" s="156">
        <f>IFERROR(VLOOKUP(F372&amp;G372,Rec!B:C,2,0),K372)</f>
        <v/>
      </c>
      <c r="O372" s="156">
        <f>IFERROR(VLOOKUP(F372&amp;G372,Returns!A:B,2,0),0)</f>
        <v/>
      </c>
      <c r="Q372" s="156" t="inlineStr">
        <is>
          <t>Ladd McConkey</t>
        </is>
      </c>
      <c r="R372" s="156" t="inlineStr">
        <is>
          <t>LAC</t>
        </is>
      </c>
      <c r="S372" s="156" t="inlineStr">
        <is>
          <t>WR</t>
        </is>
      </c>
    </row>
    <row r="373" hidden="1" ht="15.6" customHeight="1" s="152">
      <c r="A373" s="221" t="n">
        <v>52</v>
      </c>
      <c r="B373" s="218">
        <f>VLOOKUP(G373,Matrix!R:AA,10,0)</f>
        <v/>
      </c>
      <c r="C373" s="156">
        <f>IF(K373&gt;0.01,K373,IFERROR(VLOOKUP(F373&amp;G373,Rec!B:C,2,0),K373)+SUM(L373:O373))</f>
        <v/>
      </c>
      <c r="D373" s="218">
        <f>_xlfn.IFNA(INDEX('Injury Report'!F:F, MATCH(G373&amp;F373, 'Injury Report'!A:A, 0)), "Healthy")</f>
        <v/>
      </c>
      <c r="E373" s="219">
        <f>VLOOKUP(A373,'WR Depth'!A:G,7,0)-1</f>
        <v/>
      </c>
      <c r="F373" s="218">
        <f>VLOOKUP(A373,'WR Depth'!A:C,3,0)</f>
        <v/>
      </c>
      <c r="G373" s="218">
        <f>VLOOKUP(A373,'WR Depth'!A:B,2,0)</f>
        <v/>
      </c>
      <c r="H373" s="218">
        <f>VLOOKUP(A373,'WR Depth'!A:D,4,0)</f>
        <v/>
      </c>
      <c r="I373" s="218">
        <f>H373&amp;E373</f>
        <v/>
      </c>
      <c r="J373" s="220">
        <f>IF(VLOOKUP(F373,Rec!F:G,2,0)=G373,"OK","Check Team")</f>
        <v/>
      </c>
      <c r="K373" s="156" t="n"/>
      <c r="L373" s="156">
        <f>IFERROR(VLOOKUP(F373&amp;G373,Pass!B:C,2,0),0)</f>
        <v/>
      </c>
      <c r="M373" s="156">
        <f>IFERROR(VLOOKUP(F373&amp;G373,Rush!B:C,2,0),0)</f>
        <v/>
      </c>
      <c r="N373" s="156">
        <f>IFERROR(VLOOKUP(F373&amp;G373,Rec!B:C,2,0),K373)</f>
        <v/>
      </c>
      <c r="O373" s="156">
        <f>IFERROR(VLOOKUP(F373&amp;G373,Returns!A:B,2,0),0)</f>
        <v/>
      </c>
      <c r="Q373" s="156" t="inlineStr">
        <is>
          <t>Sincere McCormick</t>
        </is>
      </c>
      <c r="R373" s="156" t="inlineStr">
        <is>
          <t>LV</t>
        </is>
      </c>
      <c r="S373" s="156" t="inlineStr">
        <is>
          <t>RB</t>
        </is>
      </c>
    </row>
    <row r="374" hidden="1" ht="15.6" customHeight="1" s="152">
      <c r="A374" s="217" t="n">
        <v>53</v>
      </c>
      <c r="B374" s="218">
        <f>VLOOKUP(G374,Matrix!R:AA,10,0)</f>
        <v/>
      </c>
      <c r="C374" s="156">
        <f>IF(K374&gt;0.01,K374,IFERROR(VLOOKUP(F374&amp;G374,Rec!B:C,2,0),K374)+SUM(L374:O374))</f>
        <v/>
      </c>
      <c r="D374" s="218">
        <f>_xlfn.IFNA(INDEX('Injury Report'!F:F, MATCH(G374&amp;F374, 'Injury Report'!A:A, 0)), "Healthy")</f>
        <v/>
      </c>
      <c r="E374" s="219">
        <f>VLOOKUP(A374,'WR Depth'!A:G,7,0)-1</f>
        <v/>
      </c>
      <c r="F374" s="218">
        <f>VLOOKUP(A374,'WR Depth'!A:C,3,0)</f>
        <v/>
      </c>
      <c r="G374" s="218">
        <f>VLOOKUP(A374,'WR Depth'!A:B,2,0)</f>
        <v/>
      </c>
      <c r="H374" s="218">
        <f>VLOOKUP(A374,'WR Depth'!A:D,4,0)</f>
        <v/>
      </c>
      <c r="I374" s="218">
        <f>H374&amp;E374</f>
        <v/>
      </c>
      <c r="J374" s="220">
        <f>IF(VLOOKUP(F374,Rec!F:G,2,0)=G374,"OK","Check Team")</f>
        <v/>
      </c>
      <c r="K374" s="156" t="n"/>
      <c r="L374" s="156">
        <f>IFERROR(VLOOKUP(F374&amp;G374,Pass!B:C,2,0),0)</f>
        <v/>
      </c>
      <c r="M374" s="156">
        <f>IFERROR(VLOOKUP(F374&amp;G374,Rush!B:C,2,0),0)</f>
        <v/>
      </c>
      <c r="N374" s="156">
        <f>IFERROR(VLOOKUP(F374&amp;G374,Rec!B:C,2,0),K374)</f>
        <v/>
      </c>
      <c r="O374" s="156">
        <f>IFERROR(VLOOKUP(F374&amp;G374,Returns!A:B,2,0),0)</f>
        <v/>
      </c>
      <c r="Q374" s="156" t="inlineStr">
        <is>
          <t>Colt McCoy</t>
        </is>
      </c>
      <c r="R374" s="156" t="inlineStr">
        <is>
          <t>FA</t>
        </is>
      </c>
      <c r="S374" s="156" t="inlineStr">
        <is>
          <t>QB</t>
        </is>
      </c>
    </row>
    <row r="375" hidden="1" ht="15.6" customHeight="1" s="152">
      <c r="A375" s="221" t="n">
        <v>54</v>
      </c>
      <c r="B375" s="218">
        <f>VLOOKUP(G375,Matrix!R:AA,10,0)</f>
        <v/>
      </c>
      <c r="C375" s="156">
        <f>IF(K375&gt;0.01,K375,IFERROR(VLOOKUP(F375&amp;G375,Rec!B:C,2,0),K375)+SUM(L375:O375))</f>
        <v/>
      </c>
      <c r="D375" s="218">
        <f>_xlfn.IFNA(INDEX('Injury Report'!F:F, MATCH(G375&amp;F375, 'Injury Report'!A:A, 0)), "Healthy")</f>
        <v/>
      </c>
      <c r="E375" s="219">
        <f>VLOOKUP(A375,'WR Depth'!A:G,7,0)-1</f>
        <v/>
      </c>
      <c r="F375" s="218">
        <f>VLOOKUP(A375,'WR Depth'!A:C,3,0)</f>
        <v/>
      </c>
      <c r="G375" s="218">
        <f>VLOOKUP(A375,'WR Depth'!A:B,2,0)</f>
        <v/>
      </c>
      <c r="H375" s="218">
        <f>VLOOKUP(A375,'WR Depth'!A:D,4,0)</f>
        <v/>
      </c>
      <c r="I375" s="218">
        <f>H375&amp;E375</f>
        <v/>
      </c>
      <c r="J375" s="220">
        <f>IF(VLOOKUP(F375,Rec!F:G,2,0)=G375,"OK","Check Team")</f>
        <v/>
      </c>
      <c r="K375" s="156" t="n"/>
      <c r="L375" s="156">
        <f>IFERROR(VLOOKUP(F375&amp;G375,Pass!B:C,2,0),0)</f>
        <v/>
      </c>
      <c r="M375" s="156">
        <f>IFERROR(VLOOKUP(F375&amp;G375,Rush!B:C,2,0),0)</f>
        <v/>
      </c>
      <c r="N375" s="156">
        <f>IFERROR(VLOOKUP(F375&amp;G375,Rec!B:C,2,0),K375)</f>
        <v/>
      </c>
      <c r="O375" s="156">
        <f>IFERROR(VLOOKUP(F375&amp;G375,Returns!A:B,2,0),0)</f>
        <v/>
      </c>
      <c r="Q375" s="156" t="inlineStr">
        <is>
          <t>Kenny McIntosh</t>
        </is>
      </c>
      <c r="R375" s="156" t="inlineStr">
        <is>
          <t>SEA</t>
        </is>
      </c>
      <c r="S375" s="156" t="inlineStr">
        <is>
          <t>RB</t>
        </is>
      </c>
    </row>
    <row r="376" hidden="1" ht="15.6" customHeight="1" s="152">
      <c r="A376" s="217" t="n">
        <v>55</v>
      </c>
      <c r="B376" s="218">
        <f>VLOOKUP(G376,Matrix!R:AA,10,0)</f>
        <v/>
      </c>
      <c r="C376" s="156">
        <f>IF(K376&gt;0.01,K376,IFERROR(VLOOKUP(F376&amp;G376,Rec!B:C,2,0),K376)+SUM(L376:O376))</f>
        <v/>
      </c>
      <c r="D376" s="218">
        <f>_xlfn.IFNA(INDEX('Injury Report'!F:F, MATCH(G376&amp;F376, 'Injury Report'!A:A, 0)), "Healthy")</f>
        <v/>
      </c>
      <c r="E376" s="219">
        <f>VLOOKUP(A376,'WR Depth'!A:G,7,0)-1</f>
        <v/>
      </c>
      <c r="F376" s="218">
        <f>VLOOKUP(A376,'WR Depth'!A:C,3,0)</f>
        <v/>
      </c>
      <c r="G376" s="218">
        <f>VLOOKUP(A376,'WR Depth'!A:B,2,0)</f>
        <v/>
      </c>
      <c r="H376" s="218">
        <f>VLOOKUP(A376,'WR Depth'!A:D,4,0)</f>
        <v/>
      </c>
      <c r="I376" s="218">
        <f>H376&amp;E376</f>
        <v/>
      </c>
      <c r="J376" s="220">
        <f>IF(VLOOKUP(F376,Rec!F:G,2,0)=G376,"OK","Check Team")</f>
        <v/>
      </c>
      <c r="K376" s="156" t="n"/>
      <c r="L376" s="156">
        <f>IFERROR(VLOOKUP(F376&amp;G376,Pass!B:C,2,0),0)</f>
        <v/>
      </c>
      <c r="M376" s="156">
        <f>IFERROR(VLOOKUP(F376&amp;G376,Rush!B:C,2,0),0)</f>
        <v/>
      </c>
      <c r="N376" s="156">
        <f>IFERROR(VLOOKUP(F376&amp;G376,Rec!B:C,2,0),K376)</f>
        <v/>
      </c>
      <c r="O376" s="156">
        <f>IFERROR(VLOOKUP(F376&amp;G376,Returns!A:B,2,0),0)</f>
        <v/>
      </c>
      <c r="Q376" s="156" t="inlineStr">
        <is>
          <t>Tanner McKee</t>
        </is>
      </c>
      <c r="R376" s="156" t="inlineStr">
        <is>
          <t>PHI</t>
        </is>
      </c>
      <c r="S376" s="156" t="inlineStr">
        <is>
          <t>QB</t>
        </is>
      </c>
    </row>
    <row r="377" hidden="1" ht="15.6" customHeight="1" s="152">
      <c r="A377" s="221" t="n">
        <v>56</v>
      </c>
      <c r="B377" s="218">
        <f>VLOOKUP(G377,Matrix!R:AA,10,0)</f>
        <v/>
      </c>
      <c r="C377" s="156">
        <f>IF(K377&gt;0.01,K377,IFERROR(VLOOKUP(F377&amp;G377,Rec!B:C,2,0),K377)+SUM(L377:O377))</f>
        <v/>
      </c>
      <c r="D377" s="218">
        <f>_xlfn.IFNA(INDEX('Injury Report'!F:F, MATCH(G377&amp;F377, 'Injury Report'!A:A, 0)), "Healthy")</f>
        <v/>
      </c>
      <c r="E377" s="219">
        <f>VLOOKUP(A377,'WR Depth'!A:G,7,0)-1</f>
        <v/>
      </c>
      <c r="F377" s="218">
        <f>VLOOKUP(A377,'WR Depth'!A:C,3,0)</f>
        <v/>
      </c>
      <c r="G377" s="218">
        <f>VLOOKUP(A377,'WR Depth'!A:B,2,0)</f>
        <v/>
      </c>
      <c r="H377" s="218">
        <f>VLOOKUP(A377,'WR Depth'!A:D,4,0)</f>
        <v/>
      </c>
      <c r="I377" s="218">
        <f>H377&amp;E377</f>
        <v/>
      </c>
      <c r="J377" s="220">
        <f>IF(VLOOKUP(F377,Rec!F:G,2,0)=G377,"OK","Check Team")</f>
        <v/>
      </c>
      <c r="K377" s="156" t="n"/>
      <c r="L377" s="156">
        <f>IFERROR(VLOOKUP(F377&amp;G377,Pass!B:C,2,0),0)</f>
        <v/>
      </c>
      <c r="M377" s="156">
        <f>IFERROR(VLOOKUP(F377&amp;G377,Rush!B:C,2,0),0)</f>
        <v/>
      </c>
      <c r="N377" s="156">
        <f>IFERROR(VLOOKUP(F377&amp;G377,Rec!B:C,2,0),K377)</f>
        <v/>
      </c>
      <c r="O377" s="156">
        <f>IFERROR(VLOOKUP(F377&amp;G377,Returns!A:B,2,0),0)</f>
        <v/>
      </c>
      <c r="Q377" s="156" t="inlineStr">
        <is>
          <t>Isaiah McKenzie</t>
        </is>
      </c>
      <c r="R377" s="156" t="inlineStr">
        <is>
          <t>FA</t>
        </is>
      </c>
      <c r="S377" s="156" t="inlineStr">
        <is>
          <t>WR</t>
        </is>
      </c>
    </row>
    <row r="378" hidden="1" ht="15.6" customHeight="1" s="152">
      <c r="A378" s="217" t="n">
        <v>57</v>
      </c>
      <c r="B378" s="218">
        <f>VLOOKUP(G378,Matrix!R:AA,10,0)</f>
        <v/>
      </c>
      <c r="C378" s="156">
        <f>IF(K378&gt;0.01,K378,IFERROR(VLOOKUP(F378&amp;G378,Rec!B:C,2,0),K378)+SUM(L378:O378))</f>
        <v/>
      </c>
      <c r="D378" s="218">
        <f>_xlfn.IFNA(INDEX('Injury Report'!F:F, MATCH(G378&amp;F378, 'Injury Report'!A:A, 0)), "Healthy")</f>
        <v/>
      </c>
      <c r="E378" s="219">
        <f>VLOOKUP(A378,'WR Depth'!A:G,7,0)-1</f>
        <v/>
      </c>
      <c r="F378" s="218">
        <f>VLOOKUP(A378,'WR Depth'!A:C,3,0)</f>
        <v/>
      </c>
      <c r="G378" s="218">
        <f>VLOOKUP(A378,'WR Depth'!A:B,2,0)</f>
        <v/>
      </c>
      <c r="H378" s="218">
        <f>VLOOKUP(A378,'WR Depth'!A:D,4,0)</f>
        <v/>
      </c>
      <c r="I378" s="218">
        <f>H378&amp;E378</f>
        <v/>
      </c>
      <c r="J378" s="220">
        <f>IF(VLOOKUP(F378,Rec!F:G,2,0)=G378,"OK","Check Team")</f>
        <v/>
      </c>
      <c r="K378" s="156" t="n"/>
      <c r="L378" s="156">
        <f>IFERROR(VLOOKUP(F378&amp;G378,Pass!B:C,2,0),0)</f>
        <v/>
      </c>
      <c r="M378" s="156">
        <f>IFERROR(VLOOKUP(F378&amp;G378,Rush!B:C,2,0),0)</f>
        <v/>
      </c>
      <c r="N378" s="156">
        <f>IFERROR(VLOOKUP(F378&amp;G378,Rec!B:C,2,0),K378)</f>
        <v/>
      </c>
      <c r="O378" s="156">
        <f>IFERROR(VLOOKUP(F378&amp;G378,Returns!A:B,2,0),0)</f>
        <v/>
      </c>
      <c r="Q378" s="156" t="inlineStr">
        <is>
          <t>Jerick McKinnon</t>
        </is>
      </c>
      <c r="R378" s="156" t="inlineStr">
        <is>
          <t>FA</t>
        </is>
      </c>
      <c r="S378" s="156" t="inlineStr">
        <is>
          <t>RB</t>
        </is>
      </c>
    </row>
    <row r="379" hidden="1" ht="15.6" customHeight="1" s="152">
      <c r="A379" s="221" t="n">
        <v>58</v>
      </c>
      <c r="B379" s="218">
        <f>VLOOKUP(G379,Matrix!R:AA,10,0)</f>
        <v/>
      </c>
      <c r="C379" s="156">
        <f>IF(K379&gt;0.01,K379,IFERROR(VLOOKUP(F379&amp;G379,Rec!B:C,2,0),K379)+SUM(L379:O379))</f>
        <v/>
      </c>
      <c r="D379" s="218">
        <f>_xlfn.IFNA(INDEX('Injury Report'!F:F, MATCH(G379&amp;F379, 'Injury Report'!A:A, 0)), "Healthy")</f>
        <v/>
      </c>
      <c r="E379" s="219">
        <f>VLOOKUP(A379,'WR Depth'!A:G,7,0)-1</f>
        <v/>
      </c>
      <c r="F379" s="218">
        <f>VLOOKUP(A379,'WR Depth'!A:C,3,0)</f>
        <v/>
      </c>
      <c r="G379" s="218">
        <f>VLOOKUP(A379,'WR Depth'!A:B,2,0)</f>
        <v/>
      </c>
      <c r="H379" s="218">
        <f>VLOOKUP(A379,'WR Depth'!A:D,4,0)</f>
        <v/>
      </c>
      <c r="I379" s="218">
        <f>H379&amp;E379</f>
        <v/>
      </c>
      <c r="J379" s="220">
        <f>IF(VLOOKUP(F379,Rec!F:G,2,0)=G379,"OK","Check Team")</f>
        <v/>
      </c>
      <c r="K379" s="156" t="n"/>
      <c r="L379" s="156">
        <f>IFERROR(VLOOKUP(F379&amp;G379,Pass!B:C,2,0),0)</f>
        <v/>
      </c>
      <c r="M379" s="156">
        <f>IFERROR(VLOOKUP(F379&amp;G379,Rush!B:C,2,0),0)</f>
        <v/>
      </c>
      <c r="N379" s="156">
        <f>IFERROR(VLOOKUP(F379&amp;G379,Rec!B:C,2,0),K379)</f>
        <v/>
      </c>
      <c r="O379" s="156">
        <f>IFERROR(VLOOKUP(F379&amp;G379,Returns!A:B,2,0),0)</f>
        <v/>
      </c>
      <c r="Q379" s="156" t="inlineStr">
        <is>
          <t>Tanner McLachlan</t>
        </is>
      </c>
      <c r="R379" s="156" t="inlineStr">
        <is>
          <t>CIN</t>
        </is>
      </c>
      <c r="S379" s="156" t="inlineStr">
        <is>
          <t>TE</t>
        </is>
      </c>
    </row>
    <row r="380" hidden="1" ht="15.6" customHeight="1" s="152">
      <c r="A380" s="217" t="n">
        <v>59</v>
      </c>
      <c r="B380" s="218">
        <f>VLOOKUP(G380,Matrix!R:AA,10,0)</f>
        <v/>
      </c>
      <c r="C380" s="156">
        <f>IF(K380&gt;0.01,K380,IFERROR(VLOOKUP(F380&amp;G380,Rec!B:C,2,0),K380)+SUM(L380:O380))</f>
        <v/>
      </c>
      <c r="D380" s="218">
        <f>_xlfn.IFNA(INDEX('Injury Report'!F:F, MATCH(G380&amp;F380, 'Injury Report'!A:A, 0)), "Healthy")</f>
        <v/>
      </c>
      <c r="E380" s="219">
        <f>VLOOKUP(A380,'WR Depth'!A:G,7,0)-1</f>
        <v/>
      </c>
      <c r="F380" s="218">
        <f>VLOOKUP(A380,'WR Depth'!A:C,3,0)</f>
        <v/>
      </c>
      <c r="G380" s="218">
        <f>VLOOKUP(A380,'WR Depth'!A:B,2,0)</f>
        <v/>
      </c>
      <c r="H380" s="218">
        <f>VLOOKUP(A380,'WR Depth'!A:D,4,0)</f>
        <v/>
      </c>
      <c r="I380" s="218">
        <f>H380&amp;E380</f>
        <v/>
      </c>
      <c r="J380" s="220">
        <f>IF(VLOOKUP(F380,Rec!F:G,2,0)=G380,"OK","Check Team")</f>
        <v/>
      </c>
      <c r="K380" s="156" t="n"/>
      <c r="L380" s="156">
        <f>IFERROR(VLOOKUP(F380&amp;G380,Pass!B:C,2,0),0)</f>
        <v/>
      </c>
      <c r="M380" s="156">
        <f>IFERROR(VLOOKUP(F380&amp;G380,Rush!B:C,2,0),0)</f>
        <v/>
      </c>
      <c r="N380" s="156">
        <f>IFERROR(VLOOKUP(F380&amp;G380,Rec!B:C,2,0),K380)</f>
        <v/>
      </c>
      <c r="O380" s="156">
        <f>IFERROR(VLOOKUP(F380&amp;G380,Returns!A:B,2,0),0)</f>
        <v/>
      </c>
      <c r="Q380" s="156" t="inlineStr">
        <is>
          <t>Jaleel McLaughlin</t>
        </is>
      </c>
      <c r="R380" s="156" t="inlineStr">
        <is>
          <t>DEN</t>
        </is>
      </c>
      <c r="S380" s="156" t="inlineStr">
        <is>
          <t>RB</t>
        </is>
      </c>
    </row>
    <row r="381" hidden="1" ht="15.6" customHeight="1" s="152">
      <c r="A381" s="221" t="n">
        <v>60</v>
      </c>
      <c r="B381" s="218">
        <f>VLOOKUP(G381,Matrix!R:AA,10,0)</f>
        <v/>
      </c>
      <c r="C381" s="156">
        <f>IF(K381&gt;0.01,K381,IFERROR(VLOOKUP(F381&amp;G381,Rec!B:C,2,0),K381)+SUM(L381:O381))</f>
        <v/>
      </c>
      <c r="D381" s="218">
        <f>_xlfn.IFNA(INDEX('Injury Report'!F:F, MATCH(G381&amp;F381, 'Injury Report'!A:A, 0)), "Healthy")</f>
        <v/>
      </c>
      <c r="E381" s="219">
        <f>VLOOKUP(A381,'WR Depth'!A:G,7,0)-1</f>
        <v/>
      </c>
      <c r="F381" s="218">
        <f>VLOOKUP(A381,'WR Depth'!A:C,3,0)</f>
        <v/>
      </c>
      <c r="G381" s="218">
        <f>VLOOKUP(A381,'WR Depth'!A:B,2,0)</f>
        <v/>
      </c>
      <c r="H381" s="218">
        <f>VLOOKUP(A381,'WR Depth'!A:D,4,0)</f>
        <v/>
      </c>
      <c r="I381" s="218">
        <f>H381&amp;E381</f>
        <v/>
      </c>
      <c r="J381" s="220">
        <f>IF(VLOOKUP(F381,Rec!F:G,2,0)=G381,"OK","Check Team")</f>
        <v/>
      </c>
      <c r="K381" s="156" t="n"/>
      <c r="L381" s="156">
        <f>IFERROR(VLOOKUP(F381&amp;G381,Pass!B:C,2,0),0)</f>
        <v/>
      </c>
      <c r="M381" s="156">
        <f>IFERROR(VLOOKUP(F381&amp;G381,Rush!B:C,2,0),0)</f>
        <v/>
      </c>
      <c r="N381" s="156">
        <f>IFERROR(VLOOKUP(F381&amp;G381,Rec!B:C,2,0),K381)</f>
        <v/>
      </c>
      <c r="O381" s="156">
        <f>IFERROR(VLOOKUP(F381&amp;G381,Returns!A:B,2,0),0)</f>
        <v/>
      </c>
      <c r="Q381" s="156" t="inlineStr">
        <is>
          <t>Chase McLaughlin</t>
        </is>
      </c>
      <c r="R381" s="156" t="inlineStr">
        <is>
          <t>TB</t>
        </is>
      </c>
      <c r="S381" s="156" t="inlineStr">
        <is>
          <t>K</t>
        </is>
      </c>
    </row>
    <row r="382" hidden="1" ht="15.6" customHeight="1" s="152">
      <c r="A382" s="217" t="n">
        <v>61</v>
      </c>
      <c r="B382" s="218">
        <f>VLOOKUP(G382,Matrix!R:AA,10,0)</f>
        <v/>
      </c>
      <c r="C382" s="156">
        <f>IF(K382&gt;0.01,K382,IFERROR(VLOOKUP(F382&amp;G382,Rec!B:C,2,0),K382)+SUM(L382:O382))</f>
        <v/>
      </c>
      <c r="D382" s="218">
        <f>_xlfn.IFNA(INDEX('Injury Report'!F:F, MATCH(G382&amp;F382, 'Injury Report'!A:A, 0)), "Healthy")</f>
        <v/>
      </c>
      <c r="E382" s="219">
        <f>VLOOKUP(A382,'WR Depth'!A:G,7,0)-1</f>
        <v/>
      </c>
      <c r="F382" s="218">
        <f>VLOOKUP(A382,'WR Depth'!A:C,3,0)</f>
        <v/>
      </c>
      <c r="G382" s="218">
        <f>VLOOKUP(A382,'WR Depth'!A:B,2,0)</f>
        <v/>
      </c>
      <c r="H382" s="218">
        <f>VLOOKUP(A382,'WR Depth'!A:D,4,0)</f>
        <v/>
      </c>
      <c r="I382" s="218">
        <f>H382&amp;E382</f>
        <v/>
      </c>
      <c r="J382" s="220">
        <f>IF(VLOOKUP(F382,Rec!F:G,2,0)=G382,"OK","Check Team")</f>
        <v/>
      </c>
      <c r="K382" s="156" t="n"/>
      <c r="L382" s="156">
        <f>IFERROR(VLOOKUP(F382&amp;G382,Pass!B:C,2,0),0)</f>
        <v/>
      </c>
      <c r="M382" s="156">
        <f>IFERROR(VLOOKUP(F382&amp;G382,Rush!B:C,2,0),0)</f>
        <v/>
      </c>
      <c r="N382" s="156">
        <f>IFERROR(VLOOKUP(F382&amp;G382,Rec!B:C,2,0),K382)</f>
        <v/>
      </c>
      <c r="O382" s="156">
        <f>IFERROR(VLOOKUP(F382&amp;G382,Returns!A:B,2,0),0)</f>
        <v/>
      </c>
      <c r="Q382" s="156" t="inlineStr">
        <is>
          <t>Terry McLaurin</t>
        </is>
      </c>
      <c r="R382" s="156" t="inlineStr">
        <is>
          <t>WAS</t>
        </is>
      </c>
      <c r="S382" s="156" t="inlineStr">
        <is>
          <t>WR</t>
        </is>
      </c>
    </row>
    <row r="383" hidden="1" ht="15.6" customHeight="1" s="152">
      <c r="A383" s="221" t="n">
        <v>62</v>
      </c>
      <c r="B383" s="218">
        <f>VLOOKUP(G383,Matrix!R:AA,10,0)</f>
        <v/>
      </c>
      <c r="C383" s="156">
        <f>IF(K383&gt;0.01,K383,IFERROR(VLOOKUP(F383&amp;G383,Rec!B:C,2,0),K383)+SUM(L383:O383))</f>
        <v/>
      </c>
      <c r="D383" s="218">
        <f>_xlfn.IFNA(INDEX('Injury Report'!F:F, MATCH(G383&amp;F383, 'Injury Report'!A:A, 0)), "Healthy")</f>
        <v/>
      </c>
      <c r="E383" s="219">
        <f>VLOOKUP(A383,'WR Depth'!A:G,7,0)-1</f>
        <v/>
      </c>
      <c r="F383" s="218">
        <f>VLOOKUP(A383,'WR Depth'!A:C,3,0)</f>
        <v/>
      </c>
      <c r="G383" s="218">
        <f>VLOOKUP(A383,'WR Depth'!A:B,2,0)</f>
        <v/>
      </c>
      <c r="H383" s="218">
        <f>VLOOKUP(A383,'WR Depth'!A:D,4,0)</f>
        <v/>
      </c>
      <c r="I383" s="218">
        <f>H383&amp;E383</f>
        <v/>
      </c>
      <c r="J383" s="220">
        <f>IF(VLOOKUP(F383,Rec!F:G,2,0)=G383,"OK","Check Team")</f>
        <v/>
      </c>
      <c r="K383" s="156" t="n"/>
      <c r="L383" s="156">
        <f>IFERROR(VLOOKUP(F383&amp;G383,Pass!B:C,2,0),0)</f>
        <v/>
      </c>
      <c r="M383" s="156">
        <f>IFERROR(VLOOKUP(F383&amp;G383,Rush!B:C,2,0),0)</f>
        <v/>
      </c>
      <c r="N383" s="156">
        <f>IFERROR(VLOOKUP(F383&amp;G383,Rec!B:C,2,0),K383)</f>
        <v/>
      </c>
      <c r="O383" s="156">
        <f>IFERROR(VLOOKUP(F383&amp;G383,Returns!A:B,2,0),0)</f>
        <v/>
      </c>
      <c r="Q383" s="156" t="inlineStr">
        <is>
          <t>Brandon McManus</t>
        </is>
      </c>
      <c r="R383" s="156" t="inlineStr">
        <is>
          <t>GB</t>
        </is>
      </c>
      <c r="S383" s="156" t="inlineStr">
        <is>
          <t>K</t>
        </is>
      </c>
    </row>
    <row r="384" hidden="1" ht="15.6" customHeight="1" s="152">
      <c r="A384" s="217" t="n">
        <v>63</v>
      </c>
      <c r="B384" s="218">
        <f>VLOOKUP(G384,Matrix!R:AA,10,0)</f>
        <v/>
      </c>
      <c r="C384" s="156">
        <f>IF(K384&gt;0.01,K384,IFERROR(VLOOKUP(F384&amp;G384,Rec!B:C,2,0),K384)+SUM(L384:O384))</f>
        <v/>
      </c>
      <c r="D384" s="218">
        <f>_xlfn.IFNA(INDEX('Injury Report'!F:F, MATCH(G384&amp;F384, 'Injury Report'!A:A, 0)), "Healthy")</f>
        <v/>
      </c>
      <c r="E384" s="219">
        <f>VLOOKUP(A384,'WR Depth'!A:G,7,0)-1</f>
        <v/>
      </c>
      <c r="F384" s="218">
        <f>VLOOKUP(A384,'WR Depth'!A:C,3,0)</f>
        <v/>
      </c>
      <c r="G384" s="218">
        <f>VLOOKUP(A384,'WR Depth'!A:B,2,0)</f>
        <v/>
      </c>
      <c r="H384" s="218">
        <f>VLOOKUP(A384,'WR Depth'!A:D,4,0)</f>
        <v/>
      </c>
      <c r="I384" s="218">
        <f>H384&amp;E384</f>
        <v/>
      </c>
      <c r="J384" s="220">
        <f>IF(VLOOKUP(F384,Rec!F:G,2,0)=G384,"OK","Check Team")</f>
        <v/>
      </c>
      <c r="K384" s="156" t="n"/>
      <c r="L384" s="156">
        <f>IFERROR(VLOOKUP(F384&amp;G384,Pass!B:C,2,0),0)</f>
        <v/>
      </c>
      <c r="M384" s="156">
        <f>IFERROR(VLOOKUP(F384&amp;G384,Rush!B:C,2,0),0)</f>
        <v/>
      </c>
      <c r="N384" s="156">
        <f>IFERROR(VLOOKUP(F384&amp;G384,Rec!B:C,2,0),K384)</f>
        <v/>
      </c>
      <c r="O384" s="156">
        <f>IFERROR(VLOOKUP(F384&amp;G384,Returns!A:B,2,0),0)</f>
        <v/>
      </c>
      <c r="Q384" s="156" t="inlineStr">
        <is>
          <t>Jalen McMillan</t>
        </is>
      </c>
      <c r="R384" s="156" t="inlineStr">
        <is>
          <t>TB</t>
        </is>
      </c>
      <c r="S384" s="156" t="inlineStr">
        <is>
          <t>WR</t>
        </is>
      </c>
    </row>
    <row r="385" hidden="1" ht="15.6" customHeight="1" s="152">
      <c r="A385" s="221" t="n">
        <v>64</v>
      </c>
      <c r="B385" s="218">
        <f>VLOOKUP(G385,Matrix!R:AA,10,0)</f>
        <v/>
      </c>
      <c r="C385" s="156">
        <f>IF(K385&gt;0.01,K385,IFERROR(VLOOKUP(F385&amp;G385,Rec!B:C,2,0),K385)+SUM(L385:O385))</f>
        <v/>
      </c>
      <c r="D385" s="218">
        <f>_xlfn.IFNA(INDEX('Injury Report'!F:F, MATCH(G385&amp;F385, 'Injury Report'!A:A, 0)), "Healthy")</f>
        <v/>
      </c>
      <c r="E385" s="219">
        <f>VLOOKUP(A385,'WR Depth'!A:G,7,0)-1</f>
        <v/>
      </c>
      <c r="F385" s="218">
        <f>VLOOKUP(A385,'WR Depth'!A:C,3,0)</f>
        <v/>
      </c>
      <c r="G385" s="218">
        <f>VLOOKUP(A385,'WR Depth'!A:B,2,0)</f>
        <v/>
      </c>
      <c r="H385" s="218">
        <f>VLOOKUP(A385,'WR Depth'!A:D,4,0)</f>
        <v/>
      </c>
      <c r="I385" s="218">
        <f>H385&amp;E385</f>
        <v/>
      </c>
      <c r="J385" s="220">
        <f>IF(VLOOKUP(F385,Rec!F:G,2,0)=G385,"OK","Check Team")</f>
        <v/>
      </c>
      <c r="K385" s="156" t="n"/>
      <c r="L385" s="156">
        <f>IFERROR(VLOOKUP(F385&amp;G385,Pass!B:C,2,0),0)</f>
        <v/>
      </c>
      <c r="M385" s="156">
        <f>IFERROR(VLOOKUP(F385&amp;G385,Rush!B:C,2,0),0)</f>
        <v/>
      </c>
      <c r="N385" s="156">
        <f>IFERROR(VLOOKUP(F385&amp;G385,Rec!B:C,2,0),K385)</f>
        <v/>
      </c>
      <c r="O385" s="156">
        <f>IFERROR(VLOOKUP(F385&amp;G385,Returns!A:B,2,0),0)</f>
        <v/>
      </c>
      <c r="Q385" s="156" t="inlineStr">
        <is>
          <t>Jeremy McNichols</t>
        </is>
      </c>
      <c r="R385" s="156" t="inlineStr">
        <is>
          <t>WAS</t>
        </is>
      </c>
      <c r="S385" s="156" t="inlineStr">
        <is>
          <t>RB</t>
        </is>
      </c>
    </row>
    <row r="386" hidden="1" ht="15.6" customHeight="1" s="152">
      <c r="A386" s="217" t="n">
        <v>65</v>
      </c>
      <c r="B386" s="218">
        <f>VLOOKUP(G386,Matrix!R:AA,10,0)</f>
        <v/>
      </c>
      <c r="C386" s="156">
        <f>IF(K386&gt;0.01,K386,IFERROR(VLOOKUP(F386&amp;G386,Rec!B:C,2,0),K386)+SUM(L386:O386))</f>
        <v/>
      </c>
      <c r="D386" s="218">
        <f>_xlfn.IFNA(INDEX('Injury Report'!F:F, MATCH(G386&amp;F386, 'Injury Report'!A:A, 0)), "Healthy")</f>
        <v/>
      </c>
      <c r="E386" s="219">
        <f>VLOOKUP(A386,'WR Depth'!A:G,7,0)-1</f>
        <v/>
      </c>
      <c r="F386" s="218">
        <f>VLOOKUP(A386,'WR Depth'!A:C,3,0)</f>
        <v/>
      </c>
      <c r="G386" s="218">
        <f>VLOOKUP(A386,'WR Depth'!A:B,2,0)</f>
        <v/>
      </c>
      <c r="H386" s="218">
        <f>VLOOKUP(A386,'WR Depth'!A:D,4,0)</f>
        <v/>
      </c>
      <c r="I386" s="218">
        <f>H386&amp;E386</f>
        <v/>
      </c>
      <c r="J386" s="220">
        <f>IF(VLOOKUP(F386,Rec!F:G,2,0)=G386,"OK","Check Team")</f>
        <v/>
      </c>
      <c r="K386" s="156" t="n"/>
      <c r="L386" s="156">
        <f>IFERROR(VLOOKUP(F386&amp;G386,Pass!B:C,2,0),0)</f>
        <v/>
      </c>
      <c r="M386" s="156">
        <f>IFERROR(VLOOKUP(F386&amp;G386,Rush!B:C,2,0),0)</f>
        <v/>
      </c>
      <c r="N386" s="156">
        <f>IFERROR(VLOOKUP(F386&amp;G386,Rec!B:C,2,0),K386)</f>
        <v/>
      </c>
      <c r="O386" s="156">
        <f>IFERROR(VLOOKUP(F386&amp;G386,Returns!A:B,2,0),0)</f>
        <v/>
      </c>
      <c r="Q386" s="156" t="inlineStr">
        <is>
          <t>Evan McPherson</t>
        </is>
      </c>
      <c r="R386" s="156" t="inlineStr">
        <is>
          <t>CIN</t>
        </is>
      </c>
      <c r="S386" s="156" t="inlineStr">
        <is>
          <t>K</t>
        </is>
      </c>
    </row>
    <row r="387" hidden="1" ht="15.6" customHeight="1" s="152">
      <c r="A387" s="221" t="n">
        <v>66</v>
      </c>
      <c r="B387" s="218">
        <f>VLOOKUP(G387,Matrix!R:AA,10,0)</f>
        <v/>
      </c>
      <c r="C387" s="156">
        <f>IF(K387&gt;0.01,K387,IFERROR(VLOOKUP(F387&amp;G387,Rec!B:C,2,0),K387)+SUM(L387:O387))</f>
        <v/>
      </c>
      <c r="D387" s="218">
        <f>_xlfn.IFNA(INDEX('Injury Report'!F:F, MATCH(G387&amp;F387, 'Injury Report'!A:A, 0)), "Healthy")</f>
        <v/>
      </c>
      <c r="E387" s="219">
        <f>VLOOKUP(A387,'WR Depth'!A:G,7,0)-1</f>
        <v/>
      </c>
      <c r="F387" s="218">
        <f>VLOOKUP(A387,'WR Depth'!A:C,3,0)</f>
        <v/>
      </c>
      <c r="G387" s="218">
        <f>VLOOKUP(A387,'WR Depth'!A:B,2,0)</f>
        <v/>
      </c>
      <c r="H387" s="218">
        <f>VLOOKUP(A387,'WR Depth'!A:D,4,0)</f>
        <v/>
      </c>
      <c r="I387" s="218">
        <f>H387&amp;E387</f>
        <v/>
      </c>
      <c r="J387" s="220">
        <f>IF(VLOOKUP(F387,Rec!F:G,2,0)=G387,"OK","Check Team")</f>
        <v/>
      </c>
      <c r="K387" s="156" t="n"/>
      <c r="L387" s="156">
        <f>IFERROR(VLOOKUP(F387&amp;G387,Pass!B:C,2,0),0)</f>
        <v/>
      </c>
      <c r="M387" s="156">
        <f>IFERROR(VLOOKUP(F387&amp;G387,Rush!B:C,2,0),0)</f>
        <v/>
      </c>
      <c r="N387" s="156">
        <f>IFERROR(VLOOKUP(F387&amp;G387,Rec!B:C,2,0),K387)</f>
        <v/>
      </c>
      <c r="O387" s="156">
        <f>IFERROR(VLOOKUP(F387&amp;G387,Returns!A:B,2,0),0)</f>
        <v/>
      </c>
      <c r="Q387" s="156" t="inlineStr">
        <is>
          <t>Bub Means</t>
        </is>
      </c>
      <c r="R387" s="156" t="inlineStr">
        <is>
          <t>NO</t>
        </is>
      </c>
      <c r="S387" s="156" t="inlineStr">
        <is>
          <t>WR</t>
        </is>
      </c>
    </row>
    <row r="388" hidden="1" ht="15.6" customHeight="1" s="152">
      <c r="A388" s="217" t="n">
        <v>67</v>
      </c>
      <c r="B388" s="218">
        <f>VLOOKUP(G388,Matrix!R:AA,10,0)</f>
        <v/>
      </c>
      <c r="C388" s="156">
        <f>IF(K388&gt;0.01,K388,IFERROR(VLOOKUP(F388&amp;G388,Rec!B:C,2,0),K388)+SUM(L388:O388))</f>
        <v/>
      </c>
      <c r="D388" s="218">
        <f>_xlfn.IFNA(INDEX('Injury Report'!F:F, MATCH(G388&amp;F388, 'Injury Report'!A:A, 0)), "Healthy")</f>
        <v/>
      </c>
      <c r="E388" s="219">
        <f>VLOOKUP(A388,'WR Depth'!A:G,7,0)-1</f>
        <v/>
      </c>
      <c r="F388" s="218">
        <f>VLOOKUP(A388,'WR Depth'!A:C,3,0)</f>
        <v/>
      </c>
      <c r="G388" s="218">
        <f>VLOOKUP(A388,'WR Depth'!A:B,2,0)</f>
        <v/>
      </c>
      <c r="H388" s="218">
        <f>VLOOKUP(A388,'WR Depth'!A:D,4,0)</f>
        <v/>
      </c>
      <c r="I388" s="218">
        <f>H388&amp;E388</f>
        <v/>
      </c>
      <c r="J388" s="220">
        <f>IF(VLOOKUP(F388,Rec!F:G,2,0)=G388,"OK","Check Team")</f>
        <v/>
      </c>
      <c r="K388" s="156" t="n"/>
      <c r="L388" s="156">
        <f>IFERROR(VLOOKUP(F388&amp;G388,Pass!B:C,2,0),0)</f>
        <v/>
      </c>
      <c r="M388" s="156">
        <f>IFERROR(VLOOKUP(F388&amp;G388,Rush!B:C,2,0),0)</f>
        <v/>
      </c>
      <c r="N388" s="156">
        <f>IFERROR(VLOOKUP(F388&amp;G388,Rec!B:C,2,0),K388)</f>
        <v/>
      </c>
      <c r="O388" s="156">
        <f>IFERROR(VLOOKUP(F388&amp;G388,Returns!A:B,2,0),0)</f>
        <v/>
      </c>
      <c r="Q388" s="156" t="inlineStr">
        <is>
          <t>Bo Melton</t>
        </is>
      </c>
      <c r="R388" s="156" t="inlineStr">
        <is>
          <t>GB</t>
        </is>
      </c>
      <c r="S388" s="156" t="inlineStr">
        <is>
          <t>WR</t>
        </is>
      </c>
    </row>
    <row r="389" hidden="1" ht="15.6" customHeight="1" s="152">
      <c r="A389" s="221" t="n">
        <v>68</v>
      </c>
      <c r="B389" s="218">
        <f>VLOOKUP(G389,Matrix!R:AA,10,0)</f>
        <v/>
      </c>
      <c r="C389" s="156">
        <f>IF(K389&gt;0.01,K389,IFERROR(VLOOKUP(F389&amp;G389,Rec!B:C,2,0),K389)+SUM(L389:O389))</f>
        <v/>
      </c>
      <c r="D389" s="218">
        <f>_xlfn.IFNA(INDEX('Injury Report'!F:F, MATCH(G389&amp;F389, 'Injury Report'!A:A, 0)), "Healthy")</f>
        <v/>
      </c>
      <c r="E389" s="219">
        <f>VLOOKUP(A389,'WR Depth'!A:G,7,0)-1</f>
        <v/>
      </c>
      <c r="F389" s="218">
        <f>VLOOKUP(A389,'WR Depth'!A:C,3,0)</f>
        <v/>
      </c>
      <c r="G389" s="218">
        <f>VLOOKUP(A389,'WR Depth'!A:B,2,0)</f>
        <v/>
      </c>
      <c r="H389" s="218">
        <f>VLOOKUP(A389,'WR Depth'!A:D,4,0)</f>
        <v/>
      </c>
      <c r="I389" s="218">
        <f>H389&amp;E389</f>
        <v/>
      </c>
      <c r="J389" s="220">
        <f>IF(VLOOKUP(F389,Rec!F:G,2,0)=G389,"OK","Check Team")</f>
        <v/>
      </c>
      <c r="K389" s="156" t="n"/>
      <c r="L389" s="156">
        <f>IFERROR(VLOOKUP(F389&amp;G389,Pass!B:C,2,0),0)</f>
        <v/>
      </c>
      <c r="M389" s="156">
        <f>IFERROR(VLOOKUP(F389&amp;G389,Rush!B:C,2,0),0)</f>
        <v/>
      </c>
      <c r="N389" s="156">
        <f>IFERROR(VLOOKUP(F389&amp;G389,Rec!B:C,2,0),K389)</f>
        <v/>
      </c>
      <c r="O389" s="156">
        <f>IFERROR(VLOOKUP(F389&amp;G389,Returns!A:B,2,0),0)</f>
        <v/>
      </c>
      <c r="Q389" s="156" t="inlineStr">
        <is>
          <t>DK Metcalf</t>
        </is>
      </c>
      <c r="R389" s="156" t="inlineStr">
        <is>
          <t>SEA</t>
        </is>
      </c>
      <c r="S389" s="156" t="inlineStr">
        <is>
          <t>WR</t>
        </is>
      </c>
    </row>
    <row r="390" hidden="1" ht="15.6" customHeight="1" s="152">
      <c r="A390" s="217" t="n">
        <v>69</v>
      </c>
      <c r="B390" s="218">
        <f>VLOOKUP(G390,Matrix!R:AA,10,0)</f>
        <v/>
      </c>
      <c r="C390" s="156">
        <f>IF(K390&gt;0.01,K390,IFERROR(VLOOKUP(F390&amp;G390,Rec!B:C,2,0),K390)+SUM(L390:O390))</f>
        <v/>
      </c>
      <c r="D390" s="218">
        <f>_xlfn.IFNA(INDEX('Injury Report'!F:F, MATCH(G390&amp;F390, 'Injury Report'!A:A, 0)), "Healthy")</f>
        <v/>
      </c>
      <c r="E390" s="219">
        <f>VLOOKUP(A390,'WR Depth'!A:G,7,0)-1</f>
        <v/>
      </c>
      <c r="F390" s="218">
        <f>VLOOKUP(A390,'WR Depth'!A:C,3,0)</f>
        <v/>
      </c>
      <c r="G390" s="218">
        <f>VLOOKUP(A390,'WR Depth'!A:B,2,0)</f>
        <v/>
      </c>
      <c r="H390" s="218">
        <f>VLOOKUP(A390,'WR Depth'!A:D,4,0)</f>
        <v/>
      </c>
      <c r="I390" s="218">
        <f>H390&amp;E390</f>
        <v/>
      </c>
      <c r="J390" s="220">
        <f>IF(VLOOKUP(F390,Rec!F:G,2,0)=G390,"OK","Check Team")</f>
        <v/>
      </c>
      <c r="K390" s="156" t="n"/>
      <c r="L390" s="156">
        <f>IFERROR(VLOOKUP(F390&amp;G390,Pass!B:C,2,0),0)</f>
        <v/>
      </c>
      <c r="M390" s="156">
        <f>IFERROR(VLOOKUP(F390&amp;G390,Rush!B:C,2,0),0)</f>
        <v/>
      </c>
      <c r="N390" s="156">
        <f>IFERROR(VLOOKUP(F390&amp;G390,Rec!B:C,2,0),K390)</f>
        <v/>
      </c>
      <c r="O390" s="156">
        <f>IFERROR(VLOOKUP(F390&amp;G390,Returns!A:B,2,0),0)</f>
        <v/>
      </c>
      <c r="Q390" s="156" t="inlineStr">
        <is>
          <t>John Metchie</t>
        </is>
      </c>
      <c r="R390" s="156" t="inlineStr">
        <is>
          <t>HOU</t>
        </is>
      </c>
      <c r="S390" s="156" t="inlineStr">
        <is>
          <t>WR</t>
        </is>
      </c>
    </row>
    <row r="391" hidden="1" ht="15.6" customHeight="1" s="152">
      <c r="A391" s="221" t="n">
        <v>70</v>
      </c>
      <c r="B391" s="218">
        <f>VLOOKUP(G391,Matrix!R:AA,10,0)</f>
        <v/>
      </c>
      <c r="C391" s="156">
        <f>IF(K391&gt;0.01,K391,IFERROR(VLOOKUP(F391&amp;G391,Rec!B:C,2,0),K391)+SUM(L391:O391))</f>
        <v/>
      </c>
      <c r="D391" s="218">
        <f>_xlfn.IFNA(INDEX('Injury Report'!F:F, MATCH(G391&amp;F391, 'Injury Report'!A:A, 0)), "Healthy")</f>
        <v/>
      </c>
      <c r="E391" s="219">
        <f>VLOOKUP(A391,'WR Depth'!A:G,7,0)-1</f>
        <v/>
      </c>
      <c r="F391" s="218">
        <f>VLOOKUP(A391,'WR Depth'!A:C,3,0)</f>
        <v/>
      </c>
      <c r="G391" s="218">
        <f>VLOOKUP(A391,'WR Depth'!A:B,2,0)</f>
        <v/>
      </c>
      <c r="H391" s="218">
        <f>VLOOKUP(A391,'WR Depth'!A:D,4,0)</f>
        <v/>
      </c>
      <c r="I391" s="218">
        <f>H391&amp;E391</f>
        <v/>
      </c>
      <c r="J391" s="220">
        <f>IF(VLOOKUP(F391,Rec!F:G,2,0)=G391,"OK","Check Team")</f>
        <v/>
      </c>
      <c r="K391" s="156" t="n"/>
      <c r="L391" s="156">
        <f>IFERROR(VLOOKUP(F391&amp;G391,Pass!B:C,2,0),0)</f>
        <v/>
      </c>
      <c r="M391" s="156">
        <f>IFERROR(VLOOKUP(F391&amp;G391,Rush!B:C,2,0),0)</f>
        <v/>
      </c>
      <c r="N391" s="156">
        <f>IFERROR(VLOOKUP(F391&amp;G391,Rec!B:C,2,0),K391)</f>
        <v/>
      </c>
      <c r="O391" s="156">
        <f>IFERROR(VLOOKUP(F391&amp;G391,Returns!A:B,2,0),0)</f>
        <v/>
      </c>
      <c r="Q391" s="156" t="inlineStr">
        <is>
          <t>Jakobi Meyers</t>
        </is>
      </c>
      <c r="R391" s="156" t="inlineStr">
        <is>
          <t>LV</t>
        </is>
      </c>
      <c r="S391" s="156" t="inlineStr">
        <is>
          <t>WR</t>
        </is>
      </c>
    </row>
    <row r="392" hidden="1" ht="15.6" customHeight="1" s="152">
      <c r="A392" s="217" t="n">
        <v>71</v>
      </c>
      <c r="B392" s="218">
        <f>VLOOKUP(G392,Matrix!R:AA,10,0)</f>
        <v/>
      </c>
      <c r="C392" s="156">
        <f>IF(K392&gt;0.01,K392,IFERROR(VLOOKUP(F392&amp;G392,Rec!B:C,2,0),K392)+SUM(L392:O392))</f>
        <v/>
      </c>
      <c r="D392" s="218">
        <f>_xlfn.IFNA(INDEX('Injury Report'!F:F, MATCH(G392&amp;F392, 'Injury Report'!A:A, 0)), "Healthy")</f>
        <v/>
      </c>
      <c r="E392" s="219">
        <f>VLOOKUP(A392,'WR Depth'!A:G,7,0)-1</f>
        <v/>
      </c>
      <c r="F392" s="218">
        <f>VLOOKUP(A392,'WR Depth'!A:C,3,0)</f>
        <v/>
      </c>
      <c r="G392" s="218">
        <f>VLOOKUP(A392,'WR Depth'!A:B,2,0)</f>
        <v/>
      </c>
      <c r="H392" s="218">
        <f>VLOOKUP(A392,'WR Depth'!A:D,4,0)</f>
        <v/>
      </c>
      <c r="I392" s="218">
        <f>H392&amp;E392</f>
        <v/>
      </c>
      <c r="J392" s="220">
        <f>IF(VLOOKUP(F392,Rec!F:G,2,0)=G392,"OK","Check Team")</f>
        <v/>
      </c>
      <c r="K392" s="156" t="n"/>
      <c r="L392" s="156">
        <f>IFERROR(VLOOKUP(F392&amp;G392,Pass!B:C,2,0),0)</f>
        <v/>
      </c>
      <c r="M392" s="156">
        <f>IFERROR(VLOOKUP(F392&amp;G392,Rush!B:C,2,0),0)</f>
        <v/>
      </c>
      <c r="N392" s="156">
        <f>IFERROR(VLOOKUP(F392&amp;G392,Rec!B:C,2,0),K392)</f>
        <v/>
      </c>
      <c r="O392" s="156">
        <f>IFERROR(VLOOKUP(F392&amp;G392,Returns!A:B,2,0),0)</f>
        <v/>
      </c>
      <c r="Q392" s="156" t="inlineStr">
        <is>
          <t>Scott Miller</t>
        </is>
      </c>
      <c r="R392" s="156" t="inlineStr">
        <is>
          <t>PIT</t>
        </is>
      </c>
      <c r="S392" s="156" t="inlineStr">
        <is>
          <t>WR</t>
        </is>
      </c>
    </row>
    <row r="393" hidden="1" ht="15.6" customHeight="1" s="152">
      <c r="A393" s="221" t="n">
        <v>72</v>
      </c>
      <c r="B393" s="218">
        <f>VLOOKUP(G393,Matrix!R:AA,10,0)</f>
        <v/>
      </c>
      <c r="C393" s="156">
        <f>IF(K393&gt;0.01,K393,IFERROR(VLOOKUP(F393&amp;G393,Rec!B:C,2,0),K393)+SUM(L393:O393))</f>
        <v/>
      </c>
      <c r="D393" s="218">
        <f>_xlfn.IFNA(INDEX('Injury Report'!F:F, MATCH(G393&amp;F393, 'Injury Report'!A:A, 0)), "Healthy")</f>
        <v/>
      </c>
      <c r="E393" s="219">
        <f>VLOOKUP(A393,'WR Depth'!A:G,7,0)-1</f>
        <v/>
      </c>
      <c r="F393" s="218">
        <f>VLOOKUP(A393,'WR Depth'!A:C,3,0)</f>
        <v/>
      </c>
      <c r="G393" s="218">
        <f>VLOOKUP(A393,'WR Depth'!A:B,2,0)</f>
        <v/>
      </c>
      <c r="H393" s="218">
        <f>VLOOKUP(A393,'WR Depth'!A:D,4,0)</f>
        <v/>
      </c>
      <c r="I393" s="218">
        <f>H393&amp;E393</f>
        <v/>
      </c>
      <c r="J393" s="220">
        <f>IF(VLOOKUP(F393,Rec!F:G,2,0)=G393,"OK","Check Team")</f>
        <v/>
      </c>
      <c r="K393" s="156" t="n"/>
      <c r="L393" s="156">
        <f>IFERROR(VLOOKUP(F393&amp;G393,Pass!B:C,2,0),0)</f>
        <v/>
      </c>
      <c r="M393" s="156">
        <f>IFERROR(VLOOKUP(F393&amp;G393,Rush!B:C,2,0),0)</f>
        <v/>
      </c>
      <c r="N393" s="156">
        <f>IFERROR(VLOOKUP(F393&amp;G393,Rec!B:C,2,0),K393)</f>
        <v/>
      </c>
      <c r="O393" s="156">
        <f>IFERROR(VLOOKUP(F393&amp;G393,Returns!A:B,2,0),0)</f>
        <v/>
      </c>
      <c r="Q393" s="156" t="inlineStr">
        <is>
          <t>Kendre Miller</t>
        </is>
      </c>
      <c r="R393" s="156" t="inlineStr">
        <is>
          <t>NO</t>
        </is>
      </c>
      <c r="S393" s="156" t="inlineStr">
        <is>
          <t>RB</t>
        </is>
      </c>
    </row>
    <row r="394" hidden="1" ht="15.6" customHeight="1" s="152">
      <c r="A394" s="217" t="n">
        <v>73</v>
      </c>
      <c r="B394" s="218">
        <f>VLOOKUP(G394,Matrix!R:AA,10,0)</f>
        <v/>
      </c>
      <c r="C394" s="156">
        <f>IF(K394&gt;0.01,K394,IFERROR(VLOOKUP(F394&amp;G394,Rec!B:C,2,0),K394)+SUM(L394:O394))</f>
        <v/>
      </c>
      <c r="D394" s="218">
        <f>_xlfn.IFNA(INDEX('Injury Report'!F:F, MATCH(G394&amp;F394, 'Injury Report'!A:A, 0)), "Healthy")</f>
        <v/>
      </c>
      <c r="E394" s="219">
        <f>VLOOKUP(A394,'WR Depth'!A:G,7,0)-1</f>
        <v/>
      </c>
      <c r="F394" s="218">
        <f>VLOOKUP(A394,'WR Depth'!A:C,3,0)</f>
        <v/>
      </c>
      <c r="G394" s="218">
        <f>VLOOKUP(A394,'WR Depth'!A:B,2,0)</f>
        <v/>
      </c>
      <c r="H394" s="218">
        <f>VLOOKUP(A394,'WR Depth'!A:D,4,0)</f>
        <v/>
      </c>
      <c r="I394" s="218">
        <f>H394&amp;E394</f>
        <v/>
      </c>
      <c r="J394" s="220">
        <f>IF(VLOOKUP(F394,Rec!F:G,2,0)=G394,"OK","Check Team")</f>
        <v/>
      </c>
      <c r="K394" s="156" t="n"/>
      <c r="L394" s="156">
        <f>IFERROR(VLOOKUP(F394&amp;G394,Pass!B:C,2,0),0)</f>
        <v/>
      </c>
      <c r="M394" s="156">
        <f>IFERROR(VLOOKUP(F394&amp;G394,Rush!B:C,2,0),0)</f>
        <v/>
      </c>
      <c r="N394" s="156">
        <f>IFERROR(VLOOKUP(F394&amp;G394,Rec!B:C,2,0),K394)</f>
        <v/>
      </c>
      <c r="O394" s="156">
        <f>IFERROR(VLOOKUP(F394&amp;G394,Returns!A:B,2,0),0)</f>
        <v/>
      </c>
      <c r="Q394" s="156" t="inlineStr">
        <is>
          <t>Davis Mills</t>
        </is>
      </c>
      <c r="R394" s="156" t="inlineStr">
        <is>
          <t>HOU</t>
        </is>
      </c>
      <c r="S394" s="156" t="inlineStr">
        <is>
          <t>QB</t>
        </is>
      </c>
    </row>
    <row r="395" hidden="1" ht="15.6" customHeight="1" s="152">
      <c r="A395" s="221" t="n">
        <v>74</v>
      </c>
      <c r="B395" s="218">
        <f>VLOOKUP(G395,Matrix!R:AA,10,0)</f>
        <v/>
      </c>
      <c r="C395" s="156">
        <f>IF(K395&gt;0.01,K395,IFERROR(VLOOKUP(F395&amp;G395,Rec!B:C,2,0),K395)+SUM(L395:O395))</f>
        <v/>
      </c>
      <c r="D395" s="218">
        <f>_xlfn.IFNA(INDEX('Injury Report'!F:F, MATCH(G395&amp;F395, 'Injury Report'!A:A, 0)), "Healthy")</f>
        <v/>
      </c>
      <c r="E395" s="219">
        <f>VLOOKUP(A395,'WR Depth'!A:G,7,0)-1</f>
        <v/>
      </c>
      <c r="F395" s="218">
        <f>VLOOKUP(A395,'WR Depth'!A:C,3,0)</f>
        <v/>
      </c>
      <c r="G395" s="218">
        <f>VLOOKUP(A395,'WR Depth'!A:B,2,0)</f>
        <v/>
      </c>
      <c r="H395" s="218">
        <f>VLOOKUP(A395,'WR Depth'!A:D,4,0)</f>
        <v/>
      </c>
      <c r="I395" s="218">
        <f>H395&amp;E395</f>
        <v/>
      </c>
      <c r="J395" s="220">
        <f>IF(VLOOKUP(F395,Rec!F:G,2,0)=G395,"OK","Check Team")</f>
        <v/>
      </c>
      <c r="K395" s="156" t="n"/>
      <c r="L395" s="156">
        <f>IFERROR(VLOOKUP(F395&amp;G395,Pass!B:C,2,0),0)</f>
        <v/>
      </c>
      <c r="M395" s="156">
        <f>IFERROR(VLOOKUP(F395&amp;G395,Rush!B:C,2,0),0)</f>
        <v/>
      </c>
      <c r="N395" s="156">
        <f>IFERROR(VLOOKUP(F395&amp;G395,Rec!B:C,2,0),K395)</f>
        <v/>
      </c>
      <c r="O395" s="156">
        <f>IFERROR(VLOOKUP(F395&amp;G395,Returns!A:B,2,0),0)</f>
        <v/>
      </c>
      <c r="Q395" s="156" t="inlineStr">
        <is>
          <t>Joe Milton</t>
        </is>
      </c>
      <c r="R395" s="156" t="inlineStr">
        <is>
          <t>NE</t>
        </is>
      </c>
      <c r="S395" s="156" t="inlineStr">
        <is>
          <t>QB</t>
        </is>
      </c>
    </row>
    <row r="396" hidden="1" ht="15.6" customHeight="1" s="152">
      <c r="A396" s="217" t="n">
        <v>75</v>
      </c>
      <c r="B396" s="218">
        <f>VLOOKUP(G396,Matrix!R:AA,10,0)</f>
        <v/>
      </c>
      <c r="C396" s="156">
        <f>IF(K396&gt;0.01,K396,IFERROR(VLOOKUP(F396&amp;G396,Rec!B:C,2,0),K396)+SUM(L396:O396))</f>
        <v/>
      </c>
      <c r="D396" s="218">
        <f>_xlfn.IFNA(INDEX('Injury Report'!F:F, MATCH(G396&amp;F396, 'Injury Report'!A:A, 0)), "Healthy")</f>
        <v/>
      </c>
      <c r="E396" s="219">
        <f>VLOOKUP(A396,'WR Depth'!A:G,7,0)-1</f>
        <v/>
      </c>
      <c r="F396" s="218">
        <f>VLOOKUP(A396,'WR Depth'!A:C,3,0)</f>
        <v/>
      </c>
      <c r="G396" s="218">
        <f>VLOOKUP(A396,'WR Depth'!A:B,2,0)</f>
        <v/>
      </c>
      <c r="H396" s="218">
        <f>VLOOKUP(A396,'WR Depth'!A:D,4,0)</f>
        <v/>
      </c>
      <c r="I396" s="218">
        <f>H396&amp;E396</f>
        <v/>
      </c>
      <c r="J396" s="220">
        <f>IF(VLOOKUP(F396,Rec!F:G,2,0)=G396,"OK","Check Team")</f>
        <v/>
      </c>
      <c r="K396" s="156" t="n"/>
      <c r="L396" s="156">
        <f>IFERROR(VLOOKUP(F396&amp;G396,Pass!B:C,2,0),0)</f>
        <v/>
      </c>
      <c r="M396" s="156">
        <f>IFERROR(VLOOKUP(F396&amp;G396,Rush!B:C,2,0),0)</f>
        <v/>
      </c>
      <c r="N396" s="156">
        <f>IFERROR(VLOOKUP(F396&amp;G396,Rec!B:C,2,0),K396)</f>
        <v/>
      </c>
      <c r="O396" s="156">
        <f>IFERROR(VLOOKUP(F396&amp;G396,Returns!A:B,2,0),0)</f>
        <v/>
      </c>
      <c r="Q396" s="156" t="inlineStr">
        <is>
          <t>Marvin Mims</t>
        </is>
      </c>
      <c r="R396" s="156" t="inlineStr">
        <is>
          <t>DEN</t>
        </is>
      </c>
      <c r="S396" s="156" t="inlineStr">
        <is>
          <t>WR</t>
        </is>
      </c>
    </row>
    <row r="397" hidden="1" ht="15.6" customHeight="1" s="152">
      <c r="A397" s="221" t="n">
        <v>76</v>
      </c>
      <c r="B397" s="218">
        <f>VLOOKUP(G397,Matrix!R:AA,10,0)</f>
        <v/>
      </c>
      <c r="C397" s="156">
        <f>IF(K397&gt;0.01,K397,IFERROR(VLOOKUP(F397&amp;G397,Rec!B:C,2,0),K397)+SUM(L397:O397))</f>
        <v/>
      </c>
      <c r="D397" s="218">
        <f>_xlfn.IFNA(INDEX('Injury Report'!F:F, MATCH(G397&amp;F397, 'Injury Report'!A:A, 0)), "Healthy")</f>
        <v/>
      </c>
      <c r="E397" s="219">
        <f>VLOOKUP(A397,'WR Depth'!A:G,7,0)-1</f>
        <v/>
      </c>
      <c r="F397" s="218">
        <f>VLOOKUP(A397,'WR Depth'!A:C,3,0)</f>
        <v/>
      </c>
      <c r="G397" s="218">
        <f>VLOOKUP(A397,'WR Depth'!A:B,2,0)</f>
        <v/>
      </c>
      <c r="H397" s="218">
        <f>VLOOKUP(A397,'WR Depth'!A:D,4,0)</f>
        <v/>
      </c>
      <c r="I397" s="218">
        <f>H397&amp;E397</f>
        <v/>
      </c>
      <c r="J397" s="220">
        <f>IF(VLOOKUP(F397,Rec!F:G,2,0)=G397,"OK","Check Team")</f>
        <v/>
      </c>
      <c r="K397" s="156" t="n"/>
      <c r="L397" s="156">
        <f>IFERROR(VLOOKUP(F397&amp;G397,Pass!B:C,2,0),0)</f>
        <v/>
      </c>
      <c r="M397" s="156">
        <f>IFERROR(VLOOKUP(F397&amp;G397,Rush!B:C,2,0),0)</f>
        <v/>
      </c>
      <c r="N397" s="156">
        <f>IFERROR(VLOOKUP(F397&amp;G397,Rec!B:C,2,0),K397)</f>
        <v/>
      </c>
      <c r="O397" s="156">
        <f>IFERROR(VLOOKUP(F397&amp;G397,Returns!A:B,2,0),0)</f>
        <v/>
      </c>
      <c r="Q397" s="156" t="inlineStr">
        <is>
          <t>Jordan Mims</t>
        </is>
      </c>
      <c r="R397" s="156" t="inlineStr">
        <is>
          <t>NO</t>
        </is>
      </c>
      <c r="S397" s="156" t="inlineStr">
        <is>
          <t>RB</t>
        </is>
      </c>
    </row>
    <row r="398" hidden="1" ht="15.6" customHeight="1" s="152">
      <c r="A398" s="217" t="n">
        <v>77</v>
      </c>
      <c r="B398" s="218">
        <f>VLOOKUP(G398,Matrix!R:AA,10,0)</f>
        <v/>
      </c>
      <c r="C398" s="156">
        <f>IF(K398&gt;0.01,K398,IFERROR(VLOOKUP(F398&amp;G398,Rec!B:C,2,0),K398)+SUM(L398:O398))</f>
        <v/>
      </c>
      <c r="D398" s="218">
        <f>_xlfn.IFNA(INDEX('Injury Report'!F:F, MATCH(G398&amp;F398, 'Injury Report'!A:A, 0)), "Healthy")</f>
        <v/>
      </c>
      <c r="E398" s="219">
        <f>VLOOKUP(A398,'WR Depth'!A:G,7,0)-1</f>
        <v/>
      </c>
      <c r="F398" s="218">
        <f>VLOOKUP(A398,'WR Depth'!A:C,3,0)</f>
        <v/>
      </c>
      <c r="G398" s="218">
        <f>VLOOKUP(A398,'WR Depth'!A:B,2,0)</f>
        <v/>
      </c>
      <c r="H398" s="218">
        <f>VLOOKUP(A398,'WR Depth'!A:D,4,0)</f>
        <v/>
      </c>
      <c r="I398" s="218">
        <f>H398&amp;E398</f>
        <v/>
      </c>
      <c r="J398" s="220">
        <f>IF(VLOOKUP(F398,Rec!F:G,2,0)=G398,"OK","Check Team")</f>
        <v/>
      </c>
      <c r="K398" s="156" t="n"/>
      <c r="L398" s="156">
        <f>IFERROR(VLOOKUP(F398&amp;G398,Pass!B:C,2,0),0)</f>
        <v/>
      </c>
      <c r="M398" s="156">
        <f>IFERROR(VLOOKUP(F398&amp;G398,Rush!B:C,2,0),0)</f>
        <v/>
      </c>
      <c r="N398" s="156">
        <f>IFERROR(VLOOKUP(F398&amp;G398,Rec!B:C,2,0),K398)</f>
        <v/>
      </c>
      <c r="O398" s="156">
        <f>IFERROR(VLOOKUP(F398&amp;G398,Returns!A:B,2,0),0)</f>
        <v/>
      </c>
      <c r="Q398" s="156" t="inlineStr">
        <is>
          <t>Jonathan Mingo</t>
        </is>
      </c>
      <c r="R398" s="156" t="inlineStr">
        <is>
          <t>DAL</t>
        </is>
      </c>
      <c r="S398" s="156" t="inlineStr">
        <is>
          <t>WR</t>
        </is>
      </c>
    </row>
    <row r="399" hidden="1" ht="15.6" customHeight="1" s="152">
      <c r="A399" s="221" t="n">
        <v>78</v>
      </c>
      <c r="B399" s="218">
        <f>VLOOKUP(G399,Matrix!R:AA,10,0)</f>
        <v/>
      </c>
      <c r="C399" s="156">
        <f>IF(K399&gt;0.01,K399,IFERROR(VLOOKUP(F399&amp;G399,Rec!B:C,2,0),K399)+SUM(L399:O399))</f>
        <v/>
      </c>
      <c r="D399" s="218">
        <f>_xlfn.IFNA(INDEX('Injury Report'!F:F, MATCH(G399&amp;F399, 'Injury Report'!A:A, 0)), "Healthy")</f>
        <v/>
      </c>
      <c r="E399" s="219">
        <f>VLOOKUP(A399,'WR Depth'!A:G,7,0)-1</f>
        <v/>
      </c>
      <c r="F399" s="218">
        <f>VLOOKUP(A399,'WR Depth'!A:C,3,0)</f>
        <v/>
      </c>
      <c r="G399" s="218">
        <f>VLOOKUP(A399,'WR Depth'!A:B,2,0)</f>
        <v/>
      </c>
      <c r="H399" s="218">
        <f>VLOOKUP(A399,'WR Depth'!A:D,4,0)</f>
        <v/>
      </c>
      <c r="I399" s="218">
        <f>H399&amp;E399</f>
        <v/>
      </c>
      <c r="J399" s="220">
        <f>IF(VLOOKUP(F399,Rec!F:G,2,0)=G399,"OK","Check Team")</f>
        <v/>
      </c>
      <c r="K399" s="156" t="n"/>
      <c r="L399" s="156">
        <f>IFERROR(VLOOKUP(F399&amp;G399,Pass!B:C,2,0),0)</f>
        <v/>
      </c>
      <c r="M399" s="156">
        <f>IFERROR(VLOOKUP(F399&amp;G399,Rush!B:C,2,0),0)</f>
        <v/>
      </c>
      <c r="N399" s="156">
        <f>IFERROR(VLOOKUP(F399&amp;G399,Rec!B:C,2,0),K399)</f>
        <v/>
      </c>
      <c r="O399" s="156">
        <f>IFERROR(VLOOKUP(F399&amp;G399,Returns!A:B,2,0),0)</f>
        <v/>
      </c>
      <c r="Q399" s="156" t="inlineStr">
        <is>
          <t>Gardner Minshew</t>
        </is>
      </c>
      <c r="R399" s="156" t="inlineStr">
        <is>
          <t>LV</t>
        </is>
      </c>
      <c r="S399" s="156" t="inlineStr">
        <is>
          <t>QB</t>
        </is>
      </c>
    </row>
    <row r="400" hidden="1" ht="15.6" customHeight="1" s="152">
      <c r="A400" s="217" t="n">
        <v>79</v>
      </c>
      <c r="B400" s="218">
        <f>VLOOKUP(G400,Matrix!R:AA,10,0)</f>
        <v/>
      </c>
      <c r="C400" s="156">
        <f>IF(K400&gt;0.01,K400,IFERROR(VLOOKUP(F400&amp;G400,Rec!B:C,2,0),K400)+SUM(L400:O400))</f>
        <v/>
      </c>
      <c r="D400" s="218">
        <f>_xlfn.IFNA(INDEX('Injury Report'!F:F, MATCH(G400&amp;F400, 'Injury Report'!A:A, 0)), "Healthy")</f>
        <v/>
      </c>
      <c r="E400" s="219">
        <f>VLOOKUP(A400,'WR Depth'!A:G,7,0)-1</f>
        <v/>
      </c>
      <c r="F400" s="218">
        <f>VLOOKUP(A400,'WR Depth'!A:C,3,0)</f>
        <v/>
      </c>
      <c r="G400" s="218">
        <f>VLOOKUP(A400,'WR Depth'!A:B,2,0)</f>
        <v/>
      </c>
      <c r="H400" s="218">
        <f>VLOOKUP(A400,'WR Depth'!A:D,4,0)</f>
        <v/>
      </c>
      <c r="I400" s="218">
        <f>H400&amp;E400</f>
        <v/>
      </c>
      <c r="J400" s="220">
        <f>IF(VLOOKUP(F400,Rec!F:G,2,0)=G400,"OK","Check Team")</f>
        <v/>
      </c>
      <c r="K400" s="156" t="n"/>
      <c r="L400" s="156">
        <f>IFERROR(VLOOKUP(F400&amp;G400,Pass!B:C,2,0),0)</f>
        <v/>
      </c>
      <c r="M400" s="156">
        <f>IFERROR(VLOOKUP(F400&amp;G400,Rush!B:C,2,0),0)</f>
        <v/>
      </c>
      <c r="N400" s="156">
        <f>IFERROR(VLOOKUP(F400&amp;G400,Rec!B:C,2,0),K400)</f>
        <v/>
      </c>
      <c r="O400" s="156">
        <f>IFERROR(VLOOKUP(F400&amp;G400,Returns!A:B,2,0),0)</f>
        <v/>
      </c>
      <c r="Q400" s="156" t="inlineStr">
        <is>
          <t>Elijah Mitchell</t>
        </is>
      </c>
      <c r="R400" s="156" t="inlineStr">
        <is>
          <t>SF</t>
        </is>
      </c>
      <c r="S400" s="156" t="inlineStr">
        <is>
          <t>RB</t>
        </is>
      </c>
    </row>
    <row r="401" hidden="1" ht="15.6" customHeight="1" s="152">
      <c r="A401" s="221" t="n">
        <v>80</v>
      </c>
      <c r="B401" s="218">
        <f>VLOOKUP(G401,Matrix!R:AA,10,0)</f>
        <v/>
      </c>
      <c r="C401" s="156">
        <f>IF(K401&gt;0.01,K401,IFERROR(VLOOKUP(F401&amp;G401,Rec!B:C,2,0),K401)+SUM(L401:O401))</f>
        <v/>
      </c>
      <c r="D401" s="218">
        <f>_xlfn.IFNA(INDEX('Injury Report'!F:F, MATCH(G401&amp;F401, 'Injury Report'!A:A, 0)), "Healthy")</f>
        <v/>
      </c>
      <c r="E401" s="219">
        <f>VLOOKUP(A401,'WR Depth'!A:G,7,0)-1</f>
        <v/>
      </c>
      <c r="F401" s="218">
        <f>VLOOKUP(A401,'WR Depth'!A:C,3,0)</f>
        <v/>
      </c>
      <c r="G401" s="218">
        <f>VLOOKUP(A401,'WR Depth'!A:B,2,0)</f>
        <v/>
      </c>
      <c r="H401" s="218">
        <f>VLOOKUP(A401,'WR Depth'!A:D,4,0)</f>
        <v/>
      </c>
      <c r="I401" s="218">
        <f>H401&amp;E401</f>
        <v/>
      </c>
      <c r="J401" s="220">
        <f>IF(VLOOKUP(F401,Rec!F:G,2,0)=G401,"OK","Check Team")</f>
        <v/>
      </c>
      <c r="K401" s="156" t="n"/>
      <c r="L401" s="156">
        <f>IFERROR(VLOOKUP(F401&amp;G401,Pass!B:C,2,0),0)</f>
        <v/>
      </c>
      <c r="M401" s="156">
        <f>IFERROR(VLOOKUP(F401&amp;G401,Rush!B:C,2,0),0)</f>
        <v/>
      </c>
      <c r="N401" s="156">
        <f>IFERROR(VLOOKUP(F401&amp;G401,Rec!B:C,2,0),K401)</f>
        <v/>
      </c>
      <c r="O401" s="156">
        <f>IFERROR(VLOOKUP(F401&amp;G401,Returns!A:B,2,0),0)</f>
        <v/>
      </c>
      <c r="Q401" s="156" t="inlineStr">
        <is>
          <t>Adonai Mitchell</t>
        </is>
      </c>
      <c r="R401" s="156" t="inlineStr">
        <is>
          <t>IND</t>
        </is>
      </c>
      <c r="S401" s="156" t="inlineStr">
        <is>
          <t>WR</t>
        </is>
      </c>
    </row>
    <row r="402" hidden="1" ht="15.6" customHeight="1" s="152">
      <c r="A402" s="217" t="n">
        <v>81</v>
      </c>
      <c r="B402" s="218">
        <f>VLOOKUP(G402,Matrix!R:AA,10,0)</f>
        <v/>
      </c>
      <c r="C402" s="156">
        <f>IF(K402&gt;0.01,K402,IFERROR(VLOOKUP(F402&amp;G402,Rec!B:C,2,0),K402)+SUM(L402:O402))</f>
        <v/>
      </c>
      <c r="D402" s="218">
        <f>_xlfn.IFNA(INDEX('Injury Report'!F:F, MATCH(G402&amp;F402, 'Injury Report'!A:A, 0)), "Healthy")</f>
        <v/>
      </c>
      <c r="E402" s="219">
        <f>VLOOKUP(A402,'WR Depth'!A:G,7,0)-1</f>
        <v/>
      </c>
      <c r="F402" s="218">
        <f>VLOOKUP(A402,'WR Depth'!A:C,3,0)</f>
        <v/>
      </c>
      <c r="G402" s="218">
        <f>VLOOKUP(A402,'WR Depth'!A:B,2,0)</f>
        <v/>
      </c>
      <c r="H402" s="218">
        <f>VLOOKUP(A402,'WR Depth'!A:D,4,0)</f>
        <v/>
      </c>
      <c r="I402" s="218">
        <f>H402&amp;E402</f>
        <v/>
      </c>
      <c r="J402" s="220">
        <f>IF(VLOOKUP(F402,Rec!F:G,2,0)=G402,"OK","Check Team")</f>
        <v/>
      </c>
      <c r="K402" s="156" t="n"/>
      <c r="L402" s="156">
        <f>IFERROR(VLOOKUP(F402&amp;G402,Pass!B:C,2,0),0)</f>
        <v/>
      </c>
      <c r="M402" s="156">
        <f>IFERROR(VLOOKUP(F402&amp;G402,Rush!B:C,2,0),0)</f>
        <v/>
      </c>
      <c r="N402" s="156">
        <f>IFERROR(VLOOKUP(F402&amp;G402,Rec!B:C,2,0),K402)</f>
        <v/>
      </c>
      <c r="O402" s="156">
        <f>IFERROR(VLOOKUP(F402&amp;G402,Returns!A:B,2,0),0)</f>
        <v/>
      </c>
      <c r="Q402" s="156" t="inlineStr">
        <is>
          <t>Keaton Mitchell</t>
        </is>
      </c>
      <c r="R402" s="156" t="inlineStr">
        <is>
          <t>BAL</t>
        </is>
      </c>
      <c r="S402" s="156" t="inlineStr">
        <is>
          <t>RB</t>
        </is>
      </c>
    </row>
    <row r="403" hidden="1" ht="15.6" customHeight="1" s="152">
      <c r="A403" s="221" t="n">
        <v>82</v>
      </c>
      <c r="B403" s="218">
        <f>VLOOKUP(G403,Matrix!R:AA,10,0)</f>
        <v/>
      </c>
      <c r="C403" s="156">
        <f>IF(K403&gt;0.01,K403,IFERROR(VLOOKUP(F403&amp;G403,Rec!B:C,2,0),K403)+SUM(L403:O403))</f>
        <v/>
      </c>
      <c r="D403" s="218">
        <f>_xlfn.IFNA(INDEX('Injury Report'!F:F, MATCH(G403&amp;F403, 'Injury Report'!A:A, 0)), "Healthy")</f>
        <v/>
      </c>
      <c r="E403" s="219">
        <f>VLOOKUP(A403,'WR Depth'!A:G,7,0)-1</f>
        <v/>
      </c>
      <c r="F403" s="218">
        <f>VLOOKUP(A403,'WR Depth'!A:C,3,0)</f>
        <v/>
      </c>
      <c r="G403" s="218">
        <f>VLOOKUP(A403,'WR Depth'!A:B,2,0)</f>
        <v/>
      </c>
      <c r="H403" s="218">
        <f>VLOOKUP(A403,'WR Depth'!A:D,4,0)</f>
        <v/>
      </c>
      <c r="I403" s="218">
        <f>H403&amp;E403</f>
        <v/>
      </c>
      <c r="J403" s="220">
        <f>IF(VLOOKUP(F403,Rec!F:G,2,0)=G403,"OK","Check Team")</f>
        <v/>
      </c>
      <c r="K403" s="156" t="n"/>
      <c r="L403" s="156">
        <f>IFERROR(VLOOKUP(F403&amp;G403,Pass!B:C,2,0),0)</f>
        <v/>
      </c>
      <c r="M403" s="156">
        <f>IFERROR(VLOOKUP(F403&amp;G403,Rush!B:C,2,0),0)</f>
        <v/>
      </c>
      <c r="N403" s="156">
        <f>IFERROR(VLOOKUP(F403&amp;G403,Rec!B:C,2,0),K403)</f>
        <v/>
      </c>
      <c r="O403" s="156">
        <f>IFERROR(VLOOKUP(F403&amp;G403,Returns!A:B,2,0),0)</f>
        <v/>
      </c>
      <c r="Q403" s="156" t="inlineStr">
        <is>
          <t>Joe Mixon</t>
        </is>
      </c>
      <c r="R403" s="156" t="inlineStr">
        <is>
          <t>HOU</t>
        </is>
      </c>
      <c r="S403" s="156" t="inlineStr">
        <is>
          <t>RB</t>
        </is>
      </c>
    </row>
    <row r="404" hidden="1" ht="15.6" customHeight="1" s="152">
      <c r="A404" s="217" t="n">
        <v>83</v>
      </c>
      <c r="B404" s="218">
        <f>VLOOKUP(G404,Matrix!R:AA,10,0)</f>
        <v/>
      </c>
      <c r="C404" s="156">
        <f>IF(K404&gt;0.01,K404,IFERROR(VLOOKUP(F404&amp;G404,Rec!B:C,2,0),K404)+SUM(L404:O404))</f>
        <v/>
      </c>
      <c r="D404" s="218">
        <f>_xlfn.IFNA(INDEX('Injury Report'!F:F, MATCH(G404&amp;F404, 'Injury Report'!A:A, 0)), "Healthy")</f>
        <v/>
      </c>
      <c r="E404" s="219">
        <f>VLOOKUP(A404,'WR Depth'!A:G,7,0)-1</f>
        <v/>
      </c>
      <c r="F404" s="218">
        <f>VLOOKUP(A404,'WR Depth'!A:C,3,0)</f>
        <v/>
      </c>
      <c r="G404" s="218">
        <f>VLOOKUP(A404,'WR Depth'!A:B,2,0)</f>
        <v/>
      </c>
      <c r="H404" s="218">
        <f>VLOOKUP(A404,'WR Depth'!A:D,4,0)</f>
        <v/>
      </c>
      <c r="I404" s="218">
        <f>H404&amp;E404</f>
        <v/>
      </c>
      <c r="J404" s="220">
        <f>IF(VLOOKUP(F404,Rec!F:G,2,0)=G404,"OK","Check Team")</f>
        <v/>
      </c>
      <c r="K404" s="156" t="n"/>
      <c r="L404" s="156">
        <f>IFERROR(VLOOKUP(F404&amp;G404,Pass!B:C,2,0),0)</f>
        <v/>
      </c>
      <c r="M404" s="156">
        <f>IFERROR(VLOOKUP(F404&amp;G404,Rush!B:C,2,0),0)</f>
        <v/>
      </c>
      <c r="N404" s="156">
        <f>IFERROR(VLOOKUP(F404&amp;G404,Rec!B:C,2,0),K404)</f>
        <v/>
      </c>
      <c r="O404" s="156">
        <f>IFERROR(VLOOKUP(F404&amp;G404,Returns!A:B,2,0),0)</f>
        <v/>
      </c>
      <c r="Q404" s="156" t="inlineStr">
        <is>
          <t>D.J. Montgomery</t>
        </is>
      </c>
      <c r="R404" s="156" t="inlineStr">
        <is>
          <t>IND</t>
        </is>
      </c>
      <c r="S404" s="156" t="inlineStr">
        <is>
          <t>WR</t>
        </is>
      </c>
    </row>
    <row r="405" hidden="1" ht="15.6" customHeight="1" s="152">
      <c r="A405" s="221" t="n">
        <v>84</v>
      </c>
      <c r="B405" s="218">
        <f>VLOOKUP(G405,Matrix!R:AA,10,0)</f>
        <v/>
      </c>
      <c r="C405" s="156">
        <f>IF(K405&gt;0.01,K405,IFERROR(VLOOKUP(F405&amp;G405,Rec!B:C,2,0),K405)+SUM(L405:O405))</f>
        <v/>
      </c>
      <c r="D405" s="218">
        <f>_xlfn.IFNA(INDEX('Injury Report'!F:F, MATCH(G405&amp;F405, 'Injury Report'!A:A, 0)), "Healthy")</f>
        <v/>
      </c>
      <c r="E405" s="219">
        <f>VLOOKUP(A405,'WR Depth'!A:G,7,0)-1</f>
        <v/>
      </c>
      <c r="F405" s="218">
        <f>VLOOKUP(A405,'WR Depth'!A:C,3,0)</f>
        <v/>
      </c>
      <c r="G405" s="218">
        <f>VLOOKUP(A405,'WR Depth'!A:B,2,0)</f>
        <v/>
      </c>
      <c r="H405" s="218">
        <f>VLOOKUP(A405,'WR Depth'!A:D,4,0)</f>
        <v/>
      </c>
      <c r="I405" s="218">
        <f>H405&amp;E405</f>
        <v/>
      </c>
      <c r="J405" s="220">
        <f>IF(VLOOKUP(F405,Rec!F:G,2,0)=G405,"OK","Check Team")</f>
        <v/>
      </c>
      <c r="K405" s="156" t="n"/>
      <c r="L405" s="156">
        <f>IFERROR(VLOOKUP(F405&amp;G405,Pass!B:C,2,0),0)</f>
        <v/>
      </c>
      <c r="M405" s="156">
        <f>IFERROR(VLOOKUP(F405&amp;G405,Rush!B:C,2,0),0)</f>
        <v/>
      </c>
      <c r="N405" s="156">
        <f>IFERROR(VLOOKUP(F405&amp;G405,Rec!B:C,2,0),K405)</f>
        <v/>
      </c>
      <c r="O405" s="156">
        <f>IFERROR(VLOOKUP(F405&amp;G405,Returns!A:B,2,0),0)</f>
        <v/>
      </c>
      <c r="Q405" s="156" t="inlineStr">
        <is>
          <t>David Montgomery</t>
        </is>
      </c>
      <c r="R405" s="156" t="inlineStr">
        <is>
          <t>DET</t>
        </is>
      </c>
      <c r="S405" s="156" t="inlineStr">
        <is>
          <t>RB</t>
        </is>
      </c>
    </row>
    <row r="406" hidden="1" ht="15.6" customHeight="1" s="152">
      <c r="A406" s="217" t="n">
        <v>85</v>
      </c>
      <c r="B406" s="218">
        <f>VLOOKUP(G406,Matrix!R:AA,10,0)</f>
        <v/>
      </c>
      <c r="C406" s="156">
        <f>IF(K406&gt;0.01,K406,IFERROR(VLOOKUP(F406&amp;G406,Rec!B:C,2,0),K406)+SUM(L406:O406))</f>
        <v/>
      </c>
      <c r="D406" s="218">
        <f>_xlfn.IFNA(INDEX('Injury Report'!F:F, MATCH(G406&amp;F406, 'Injury Report'!A:A, 0)), "Healthy")</f>
        <v/>
      </c>
      <c r="E406" s="219">
        <f>VLOOKUP(A406,'WR Depth'!A:G,7,0)-1</f>
        <v/>
      </c>
      <c r="F406" s="218">
        <f>VLOOKUP(A406,'WR Depth'!A:C,3,0)</f>
        <v/>
      </c>
      <c r="G406" s="218">
        <f>VLOOKUP(A406,'WR Depth'!A:B,2,0)</f>
        <v/>
      </c>
      <c r="H406" s="218">
        <f>VLOOKUP(A406,'WR Depth'!A:D,4,0)</f>
        <v/>
      </c>
      <c r="I406" s="218">
        <f>H406&amp;E406</f>
        <v/>
      </c>
      <c r="J406" s="220">
        <f>IF(VLOOKUP(F406,Rec!F:G,2,0)=G406,"OK","Check Team")</f>
        <v/>
      </c>
      <c r="K406" s="156" t="n"/>
      <c r="L406" s="156">
        <f>IFERROR(VLOOKUP(F406&amp;G406,Pass!B:C,2,0),0)</f>
        <v/>
      </c>
      <c r="M406" s="156">
        <f>IFERROR(VLOOKUP(F406&amp;G406,Rush!B:C,2,0),0)</f>
        <v/>
      </c>
      <c r="N406" s="156">
        <f>IFERROR(VLOOKUP(F406&amp;G406,Rec!B:C,2,0),K406)</f>
        <v/>
      </c>
      <c r="O406" s="156">
        <f>IFERROR(VLOOKUP(F406&amp;G406,Returns!A:B,2,0),0)</f>
        <v/>
      </c>
      <c r="Q406" s="156" t="inlineStr">
        <is>
          <t>Jake Moody</t>
        </is>
      </c>
      <c r="R406" s="156" t="inlineStr">
        <is>
          <t>SF</t>
        </is>
      </c>
      <c r="S406" s="156" t="inlineStr">
        <is>
          <t>K</t>
        </is>
      </c>
    </row>
    <row r="407" hidden="1" ht="15.6" customHeight="1" s="152">
      <c r="A407" s="221" t="n">
        <v>86</v>
      </c>
      <c r="B407" s="218">
        <f>VLOOKUP(G407,Matrix!R:AA,10,0)</f>
        <v/>
      </c>
      <c r="C407" s="156">
        <f>IF(K407&gt;0.01,K407,IFERROR(VLOOKUP(F407&amp;G407,Rec!B:C,2,0),K407)+SUM(L407:O407))</f>
        <v/>
      </c>
      <c r="D407" s="218">
        <f>_xlfn.IFNA(INDEX('Injury Report'!F:F, MATCH(G407&amp;F407, 'Injury Report'!A:A, 0)), "Healthy")</f>
        <v/>
      </c>
      <c r="E407" s="219">
        <f>VLOOKUP(A407,'WR Depth'!A:G,7,0)-1</f>
        <v/>
      </c>
      <c r="F407" s="218">
        <f>VLOOKUP(A407,'WR Depth'!A:C,3,0)</f>
        <v/>
      </c>
      <c r="G407" s="218">
        <f>VLOOKUP(A407,'WR Depth'!A:B,2,0)</f>
        <v/>
      </c>
      <c r="H407" s="218">
        <f>VLOOKUP(A407,'WR Depth'!A:D,4,0)</f>
        <v/>
      </c>
      <c r="I407" s="218">
        <f>H407&amp;E407</f>
        <v/>
      </c>
      <c r="J407" s="220">
        <f>IF(VLOOKUP(F407,Rec!F:G,2,0)=G407,"OK","Check Team")</f>
        <v/>
      </c>
      <c r="K407" s="156" t="n"/>
      <c r="L407" s="156">
        <f>IFERROR(VLOOKUP(F407&amp;G407,Pass!B:C,2,0),0)</f>
        <v/>
      </c>
      <c r="M407" s="156">
        <f>IFERROR(VLOOKUP(F407&amp;G407,Rush!B:C,2,0),0)</f>
        <v/>
      </c>
      <c r="N407" s="156">
        <f>IFERROR(VLOOKUP(F407&amp;G407,Rec!B:C,2,0),K407)</f>
        <v/>
      </c>
      <c r="O407" s="156">
        <f>IFERROR(VLOOKUP(F407&amp;G407,Returns!A:B,2,0),0)</f>
        <v/>
      </c>
      <c r="Q407" s="156" t="inlineStr">
        <is>
          <t>Darnell Mooney</t>
        </is>
      </c>
      <c r="R407" s="156" t="inlineStr">
        <is>
          <t>ATL</t>
        </is>
      </c>
      <c r="S407" s="156" t="inlineStr">
        <is>
          <t>WR</t>
        </is>
      </c>
    </row>
    <row r="408" hidden="1" ht="15.6" customHeight="1" s="152">
      <c r="A408" s="217" t="n">
        <v>87</v>
      </c>
      <c r="B408" s="218">
        <f>VLOOKUP(G408,Matrix!R:AA,10,0)</f>
        <v/>
      </c>
      <c r="C408" s="156">
        <f>IF(K408&gt;0.01,K408,IFERROR(VLOOKUP(F408&amp;G408,Rec!B:C,2,0),K408)+SUM(L408:O408))</f>
        <v/>
      </c>
      <c r="D408" s="218">
        <f>_xlfn.IFNA(INDEX('Injury Report'!F:F, MATCH(G408&amp;F408, 'Injury Report'!A:A, 0)), "Healthy")</f>
        <v/>
      </c>
      <c r="E408" s="219">
        <f>VLOOKUP(A408,'WR Depth'!A:G,7,0)-1</f>
        <v/>
      </c>
      <c r="F408" s="218">
        <f>VLOOKUP(A408,'WR Depth'!A:C,3,0)</f>
        <v/>
      </c>
      <c r="G408" s="218">
        <f>VLOOKUP(A408,'WR Depth'!A:B,2,0)</f>
        <v/>
      </c>
      <c r="H408" s="218">
        <f>VLOOKUP(A408,'WR Depth'!A:D,4,0)</f>
        <v/>
      </c>
      <c r="I408" s="218">
        <f>H408&amp;E408</f>
        <v/>
      </c>
      <c r="J408" s="220">
        <f>IF(VLOOKUP(F408,Rec!F:G,2,0)=G408,"OK","Check Team")</f>
        <v/>
      </c>
      <c r="K408" s="156" t="n"/>
      <c r="L408" s="156">
        <f>IFERROR(VLOOKUP(F408&amp;G408,Pass!B:C,2,0),0)</f>
        <v/>
      </c>
      <c r="M408" s="156">
        <f>IFERROR(VLOOKUP(F408&amp;G408,Rush!B:C,2,0),0)</f>
        <v/>
      </c>
      <c r="N408" s="156">
        <f>IFERROR(VLOOKUP(F408&amp;G408,Rec!B:C,2,0),K408)</f>
        <v/>
      </c>
      <c r="O408" s="156">
        <f>IFERROR(VLOOKUP(F408&amp;G408,Returns!A:B,2,0),0)</f>
        <v/>
      </c>
      <c r="Q408" s="156" t="inlineStr">
        <is>
          <t>Rondale Moore</t>
        </is>
      </c>
      <c r="R408" s="156" t="inlineStr">
        <is>
          <t>ATL</t>
        </is>
      </c>
      <c r="S408" s="156" t="inlineStr">
        <is>
          <t>WR</t>
        </is>
      </c>
    </row>
    <row r="409" hidden="1" ht="15.6" customHeight="1" s="152">
      <c r="A409" s="221" t="n">
        <v>88</v>
      </c>
      <c r="B409" s="218">
        <f>VLOOKUP(G409,Matrix!R:AA,10,0)</f>
        <v/>
      </c>
      <c r="C409" s="156">
        <f>IF(K409&gt;0.01,K409,IFERROR(VLOOKUP(F409&amp;G409,Rec!B:C,2,0),K409)+SUM(L409:O409))</f>
        <v/>
      </c>
      <c r="D409" s="218">
        <f>_xlfn.IFNA(INDEX('Injury Report'!F:F, MATCH(G409&amp;F409, 'Injury Report'!A:A, 0)), "Healthy")</f>
        <v/>
      </c>
      <c r="E409" s="219">
        <f>VLOOKUP(A409,'WR Depth'!A:G,7,0)-1</f>
        <v/>
      </c>
      <c r="F409" s="218">
        <f>VLOOKUP(A409,'WR Depth'!A:C,3,0)</f>
        <v/>
      </c>
      <c r="G409" s="218">
        <f>VLOOKUP(A409,'WR Depth'!A:B,2,0)</f>
        <v/>
      </c>
      <c r="H409" s="218">
        <f>VLOOKUP(A409,'WR Depth'!A:D,4,0)</f>
        <v/>
      </c>
      <c r="I409" s="218">
        <f>H409&amp;E409</f>
        <v/>
      </c>
      <c r="J409" s="220">
        <f>IF(VLOOKUP(F409,Rec!F:G,2,0)=G409,"OK","Check Team")</f>
        <v/>
      </c>
      <c r="K409" s="156" t="n"/>
      <c r="L409" s="156">
        <f>IFERROR(VLOOKUP(F409&amp;G409,Pass!B:C,2,0),0)</f>
        <v/>
      </c>
      <c r="M409" s="156">
        <f>IFERROR(VLOOKUP(F409&amp;G409,Rush!B:C,2,0),0)</f>
        <v/>
      </c>
      <c r="N409" s="156">
        <f>IFERROR(VLOOKUP(F409&amp;G409,Rec!B:C,2,0),K409)</f>
        <v/>
      </c>
      <c r="O409" s="156">
        <f>IFERROR(VLOOKUP(F409&amp;G409,Returns!A:B,2,0),0)</f>
        <v/>
      </c>
      <c r="Q409" s="156" t="inlineStr">
        <is>
          <t>Elijah Moore</t>
        </is>
      </c>
      <c r="R409" s="156" t="inlineStr">
        <is>
          <t>CLE</t>
        </is>
      </c>
      <c r="S409" s="156" t="inlineStr">
        <is>
          <t>WR</t>
        </is>
      </c>
    </row>
    <row r="410" hidden="1" ht="15.6" customHeight="1" s="152">
      <c r="A410" s="217" t="n">
        <v>89</v>
      </c>
      <c r="B410" s="218">
        <f>VLOOKUP(G410,Matrix!R:AA,10,0)</f>
        <v/>
      </c>
      <c r="C410" s="156">
        <f>IF(K410&gt;0.01,K410,IFERROR(VLOOKUP(F410&amp;G410,Rec!B:C,2,0),K410)+SUM(L410:O410))</f>
        <v/>
      </c>
      <c r="D410" s="218">
        <f>_xlfn.IFNA(INDEX('Injury Report'!F:F, MATCH(G410&amp;F410, 'Injury Report'!A:A, 0)), "Healthy")</f>
        <v/>
      </c>
      <c r="E410" s="219">
        <f>VLOOKUP(A410,'WR Depth'!A:G,7,0)-1</f>
        <v/>
      </c>
      <c r="F410" s="218">
        <f>VLOOKUP(A410,'WR Depth'!A:C,3,0)</f>
        <v/>
      </c>
      <c r="G410" s="218">
        <f>VLOOKUP(A410,'WR Depth'!A:B,2,0)</f>
        <v/>
      </c>
      <c r="H410" s="218">
        <f>VLOOKUP(A410,'WR Depth'!A:D,4,0)</f>
        <v/>
      </c>
      <c r="I410" s="218">
        <f>H410&amp;E410</f>
        <v/>
      </c>
      <c r="J410" s="220">
        <f>IF(VLOOKUP(F410,Rec!F:G,2,0)=G410,"OK","Check Team")</f>
        <v/>
      </c>
      <c r="K410" s="156" t="n"/>
      <c r="L410" s="156">
        <f>IFERROR(VLOOKUP(F410&amp;G410,Pass!B:C,2,0),0)</f>
        <v/>
      </c>
      <c r="M410" s="156">
        <f>IFERROR(VLOOKUP(F410&amp;G410,Rush!B:C,2,0),0)</f>
        <v/>
      </c>
      <c r="N410" s="156">
        <f>IFERROR(VLOOKUP(F410&amp;G410,Rec!B:C,2,0),K410)</f>
        <v/>
      </c>
      <c r="O410" s="156">
        <f>IFERROR(VLOOKUP(F410&amp;G410,Returns!A:B,2,0),0)</f>
        <v/>
      </c>
      <c r="Q410" s="156" t="inlineStr">
        <is>
          <t>Skyy Moore</t>
        </is>
      </c>
      <c r="R410" s="156" t="inlineStr">
        <is>
          <t>KC</t>
        </is>
      </c>
      <c r="S410" s="156" t="inlineStr">
        <is>
          <t>WR</t>
        </is>
      </c>
    </row>
    <row r="411" hidden="1" ht="15.6" customHeight="1" s="152">
      <c r="A411" s="221" t="n">
        <v>90</v>
      </c>
      <c r="B411" s="218">
        <f>VLOOKUP(G411,Matrix!R:AA,10,0)</f>
        <v/>
      </c>
      <c r="C411" s="156">
        <f>IF(K411&gt;0.01,K411,IFERROR(VLOOKUP(F411&amp;G411,Rec!B:C,2,0),K411)+SUM(L411:O411))</f>
        <v/>
      </c>
      <c r="D411" s="218">
        <f>_xlfn.IFNA(INDEX('Injury Report'!F:F, MATCH(G411&amp;F411, 'Injury Report'!A:A, 0)), "Healthy")</f>
        <v/>
      </c>
      <c r="E411" s="219">
        <f>VLOOKUP(A411,'WR Depth'!A:G,7,0)-1</f>
        <v/>
      </c>
      <c r="F411" s="218">
        <f>VLOOKUP(A411,'WR Depth'!A:C,3,0)</f>
        <v/>
      </c>
      <c r="G411" s="218">
        <f>VLOOKUP(A411,'WR Depth'!A:B,2,0)</f>
        <v/>
      </c>
      <c r="H411" s="218">
        <f>VLOOKUP(A411,'WR Depth'!A:D,4,0)</f>
        <v/>
      </c>
      <c r="I411" s="218">
        <f>H411&amp;E411</f>
        <v/>
      </c>
      <c r="J411" s="220">
        <f>IF(VLOOKUP(F411,Rec!F:G,2,0)=G411,"OK","Check Team")</f>
        <v/>
      </c>
      <c r="K411" s="156" t="n"/>
      <c r="L411" s="156">
        <f>IFERROR(VLOOKUP(F411&amp;G411,Pass!B:C,2,0),0)</f>
        <v/>
      </c>
      <c r="M411" s="156">
        <f>IFERROR(VLOOKUP(F411&amp;G411,Rush!B:C,2,0),0)</f>
        <v/>
      </c>
      <c r="N411" s="156">
        <f>IFERROR(VLOOKUP(F411&amp;G411,Rec!B:C,2,0),K411)</f>
        <v/>
      </c>
      <c r="O411" s="156">
        <f>IFERROR(VLOOKUP(F411&amp;G411,Returns!A:B,2,0),0)</f>
        <v/>
      </c>
      <c r="Q411" s="156" t="inlineStr">
        <is>
          <t>David Moore</t>
        </is>
      </c>
      <c r="R411" s="156" t="inlineStr">
        <is>
          <t>CAR</t>
        </is>
      </c>
      <c r="S411" s="156" t="inlineStr">
        <is>
          <t>WR</t>
        </is>
      </c>
    </row>
    <row r="412" hidden="1" ht="15.6" customHeight="1" s="152">
      <c r="A412" s="217" t="n">
        <v>91</v>
      </c>
      <c r="B412" s="218">
        <f>VLOOKUP(G412,Matrix!R:AA,10,0)</f>
        <v/>
      </c>
      <c r="C412" s="156">
        <f>IF(K412&gt;0.01,K412,IFERROR(VLOOKUP(F412&amp;G412,Rec!B:C,2,0),K412)+SUM(L412:O412))</f>
        <v/>
      </c>
      <c r="D412" s="218">
        <f>_xlfn.IFNA(INDEX('Injury Report'!F:F, MATCH(G412&amp;F412, 'Injury Report'!A:A, 0)), "Healthy")</f>
        <v/>
      </c>
      <c r="E412" s="219">
        <f>VLOOKUP(A412,'WR Depth'!A:G,7,0)-1</f>
        <v/>
      </c>
      <c r="F412" s="218">
        <f>VLOOKUP(A412,'WR Depth'!A:C,3,0)</f>
        <v/>
      </c>
      <c r="G412" s="218">
        <f>VLOOKUP(A412,'WR Depth'!A:B,2,0)</f>
        <v/>
      </c>
      <c r="H412" s="218">
        <f>VLOOKUP(A412,'WR Depth'!A:D,4,0)</f>
        <v/>
      </c>
      <c r="I412" s="218">
        <f>H412&amp;E412</f>
        <v/>
      </c>
      <c r="J412" s="220">
        <f>IF(VLOOKUP(F412,Rec!F:G,2,0)=G412,"OK","Check Team")</f>
        <v/>
      </c>
      <c r="K412" s="156" t="n"/>
      <c r="L412" s="156">
        <f>IFERROR(VLOOKUP(F412&amp;G412,Pass!B:C,2,0),0)</f>
        <v/>
      </c>
      <c r="M412" s="156">
        <f>IFERROR(VLOOKUP(F412&amp;G412,Rush!B:C,2,0),0)</f>
        <v/>
      </c>
      <c r="N412" s="156">
        <f>IFERROR(VLOOKUP(F412&amp;G412,Rec!B:C,2,0),K412)</f>
        <v/>
      </c>
      <c r="O412" s="156">
        <f>IFERROR(VLOOKUP(F412&amp;G412,Returns!A:B,2,0),0)</f>
        <v/>
      </c>
      <c r="Q412" s="156" t="inlineStr">
        <is>
          <t>DJ Moore</t>
        </is>
      </c>
      <c r="R412" s="156" t="inlineStr">
        <is>
          <t>CHI</t>
        </is>
      </c>
      <c r="S412" s="156" t="inlineStr">
        <is>
          <t>WR</t>
        </is>
      </c>
    </row>
    <row r="413" hidden="1" ht="15.6" customHeight="1" s="152">
      <c r="A413" s="221" t="n">
        <v>92</v>
      </c>
      <c r="B413" s="218">
        <f>VLOOKUP(G413,Matrix!R:AA,10,0)</f>
        <v/>
      </c>
      <c r="C413" s="156">
        <f>IF(K413&gt;0.01,K413,IFERROR(VLOOKUP(F413&amp;G413,Rec!B:C,2,0),K413)+SUM(L413:O413))</f>
        <v/>
      </c>
      <c r="D413" s="218">
        <f>_xlfn.IFNA(INDEX('Injury Report'!F:F, MATCH(G413&amp;F413, 'Injury Report'!A:A, 0)), "Healthy")</f>
        <v/>
      </c>
      <c r="E413" s="219">
        <f>VLOOKUP(A413,'WR Depth'!A:G,7,0)-1</f>
        <v/>
      </c>
      <c r="F413" s="218">
        <f>VLOOKUP(A413,'WR Depth'!A:C,3,0)</f>
        <v/>
      </c>
      <c r="G413" s="218">
        <f>VLOOKUP(A413,'WR Depth'!A:B,2,0)</f>
        <v/>
      </c>
      <c r="H413" s="218">
        <f>VLOOKUP(A413,'WR Depth'!A:D,4,0)</f>
        <v/>
      </c>
      <c r="I413" s="218">
        <f>H413&amp;E413</f>
        <v/>
      </c>
      <c r="J413" s="220">
        <f>IF(VLOOKUP(F413,Rec!F:G,2,0)=G413,"OK","Check Team")</f>
        <v/>
      </c>
      <c r="K413" s="156" t="n"/>
      <c r="L413" s="156">
        <f>IFERROR(VLOOKUP(F413&amp;G413,Pass!B:C,2,0),0)</f>
        <v/>
      </c>
      <c r="M413" s="156">
        <f>IFERROR(VLOOKUP(F413&amp;G413,Rush!B:C,2,0),0)</f>
        <v/>
      </c>
      <c r="N413" s="156">
        <f>IFERROR(VLOOKUP(F413&amp;G413,Rec!B:C,2,0),K413)</f>
        <v/>
      </c>
      <c r="O413" s="156">
        <f>IFERROR(VLOOKUP(F413&amp;G413,Returns!A:B,2,0),0)</f>
        <v/>
      </c>
      <c r="Q413" s="156" t="inlineStr">
        <is>
          <t>Chris Moore</t>
        </is>
      </c>
      <c r="R413" s="156" t="inlineStr">
        <is>
          <t>FA</t>
        </is>
      </c>
      <c r="S413" s="156" t="inlineStr">
        <is>
          <t>WR</t>
        </is>
      </c>
    </row>
    <row r="414" hidden="1" ht="15.6" customHeight="1" s="152">
      <c r="A414" s="217" t="n">
        <v>93</v>
      </c>
      <c r="B414" s="218">
        <f>VLOOKUP(G414,Matrix!R:AA,10,0)</f>
        <v/>
      </c>
      <c r="C414" s="156">
        <f>IF(K414&gt;0.01,K414,IFERROR(VLOOKUP(F414&amp;G414,Rec!B:C,2,0),K414)+SUM(L414:O414))</f>
        <v/>
      </c>
      <c r="D414" s="218">
        <f>_xlfn.IFNA(INDEX('Injury Report'!F:F, MATCH(G414&amp;F414, 'Injury Report'!A:A, 0)), "Healthy")</f>
        <v/>
      </c>
      <c r="E414" s="219">
        <f>VLOOKUP(A414,'WR Depth'!A:G,7,0)-1</f>
        <v/>
      </c>
      <c r="F414" s="218">
        <f>VLOOKUP(A414,'WR Depth'!A:C,3,0)</f>
        <v/>
      </c>
      <c r="G414" s="218">
        <f>VLOOKUP(A414,'WR Depth'!A:B,2,0)</f>
        <v/>
      </c>
      <c r="H414" s="218">
        <f>VLOOKUP(A414,'WR Depth'!A:D,4,0)</f>
        <v/>
      </c>
      <c r="I414" s="218">
        <f>H414&amp;E414</f>
        <v/>
      </c>
      <c r="J414" s="220">
        <f>IF(VLOOKUP(F414,Rec!F:G,2,0)=G414,"OK","Check Team")</f>
        <v/>
      </c>
      <c r="K414" s="156" t="n"/>
      <c r="L414" s="156">
        <f>IFERROR(VLOOKUP(F414&amp;G414,Pass!B:C,2,0),0)</f>
        <v/>
      </c>
      <c r="M414" s="156">
        <f>IFERROR(VLOOKUP(F414&amp;G414,Rush!B:C,2,0),0)</f>
        <v/>
      </c>
      <c r="N414" s="156">
        <f>IFERROR(VLOOKUP(F414&amp;G414,Rec!B:C,2,0),K414)</f>
        <v/>
      </c>
      <c r="O414" s="156">
        <f>IFERROR(VLOOKUP(F414&amp;G414,Returns!A:B,2,0),0)</f>
        <v/>
      </c>
      <c r="Q414" s="156" t="inlineStr">
        <is>
          <t>Foster Moreau</t>
        </is>
      </c>
      <c r="R414" s="156" t="inlineStr">
        <is>
          <t>NO</t>
        </is>
      </c>
      <c r="S414" s="156" t="inlineStr">
        <is>
          <t>TE</t>
        </is>
      </c>
    </row>
    <row r="415" hidden="1" ht="15.6" customHeight="1" s="152">
      <c r="A415" s="221" t="n">
        <v>94</v>
      </c>
      <c r="B415" s="218">
        <f>VLOOKUP(G415,Matrix!R:AA,10,0)</f>
        <v/>
      </c>
      <c r="C415" s="156">
        <f>IF(K415&gt;0.01,K415,IFERROR(VLOOKUP(F415&amp;G415,Rec!B:C,2,0),K415)+SUM(L415:O415))</f>
        <v/>
      </c>
      <c r="D415" s="218">
        <f>_xlfn.IFNA(INDEX('Injury Report'!F:F, MATCH(G415&amp;F415, 'Injury Report'!A:A, 0)), "Healthy")</f>
        <v/>
      </c>
      <c r="E415" s="219">
        <f>VLOOKUP(A415,'WR Depth'!A:G,7,0)-1</f>
        <v/>
      </c>
      <c r="F415" s="218">
        <f>VLOOKUP(A415,'WR Depth'!A:C,3,0)</f>
        <v/>
      </c>
      <c r="G415" s="218">
        <f>VLOOKUP(A415,'WR Depth'!A:B,2,0)</f>
        <v/>
      </c>
      <c r="H415" s="218">
        <f>VLOOKUP(A415,'WR Depth'!A:D,4,0)</f>
        <v/>
      </c>
      <c r="I415" s="218">
        <f>H415&amp;E415</f>
        <v/>
      </c>
      <c r="J415" s="220">
        <f>IF(VLOOKUP(F415,Rec!F:G,2,0)=G415,"OK","Check Team")</f>
        <v/>
      </c>
      <c r="K415" s="156" t="n"/>
      <c r="L415" s="156">
        <f>IFERROR(VLOOKUP(F415&amp;G415,Pass!B:C,2,0),0)</f>
        <v/>
      </c>
      <c r="M415" s="156">
        <f>IFERROR(VLOOKUP(F415&amp;G415,Rush!B:C,2,0),0)</f>
        <v/>
      </c>
      <c r="N415" s="156">
        <f>IFERROR(VLOOKUP(F415&amp;G415,Rec!B:C,2,0),K415)</f>
        <v/>
      </c>
      <c r="O415" s="156">
        <f>IFERROR(VLOOKUP(F415&amp;G415,Returns!A:B,2,0),0)</f>
        <v/>
      </c>
      <c r="Q415" s="156" t="inlineStr">
        <is>
          <t>Quinton Morris</t>
        </is>
      </c>
      <c r="R415" s="156" t="inlineStr">
        <is>
          <t>BUF</t>
        </is>
      </c>
      <c r="S415" s="156" t="inlineStr">
        <is>
          <t>TE</t>
        </is>
      </c>
    </row>
    <row r="416" hidden="1" ht="15.6" customHeight="1" s="152">
      <c r="A416" s="217" t="n">
        <v>95</v>
      </c>
      <c r="B416" s="218">
        <f>VLOOKUP(G416,Matrix!R:AA,10,0)</f>
        <v/>
      </c>
      <c r="C416" s="156">
        <f>IF(K416&gt;0.01,K416,IFERROR(VLOOKUP(F416&amp;G416,Rec!B:C,2,0),K416)+SUM(L416:O416))</f>
        <v/>
      </c>
      <c r="D416" s="218">
        <f>_xlfn.IFNA(INDEX('Injury Report'!F:F, MATCH(G416&amp;F416, 'Injury Report'!A:A, 0)), "Healthy")</f>
        <v/>
      </c>
      <c r="E416" s="219">
        <f>VLOOKUP(A416,'WR Depth'!A:G,7,0)-1</f>
        <v/>
      </c>
      <c r="F416" s="218">
        <f>VLOOKUP(A416,'WR Depth'!A:C,3,0)</f>
        <v/>
      </c>
      <c r="G416" s="218">
        <f>VLOOKUP(A416,'WR Depth'!A:B,2,0)</f>
        <v/>
      </c>
      <c r="H416" s="218">
        <f>VLOOKUP(A416,'WR Depth'!A:D,4,0)</f>
        <v/>
      </c>
      <c r="I416" s="218">
        <f>H416&amp;E416</f>
        <v/>
      </c>
      <c r="J416" s="220">
        <f>IF(VLOOKUP(F416,Rec!F:G,2,0)=G416,"OK","Check Team")</f>
        <v/>
      </c>
      <c r="K416" s="156" t="n"/>
      <c r="L416" s="156">
        <f>IFERROR(VLOOKUP(F416&amp;G416,Pass!B:C,2,0),0)</f>
        <v/>
      </c>
      <c r="M416" s="156">
        <f>IFERROR(VLOOKUP(F416&amp;G416,Rush!B:C,2,0),0)</f>
        <v/>
      </c>
      <c r="N416" s="156">
        <f>IFERROR(VLOOKUP(F416&amp;G416,Rec!B:C,2,0),K416)</f>
        <v/>
      </c>
      <c r="O416" s="156">
        <f>IFERROR(VLOOKUP(F416&amp;G416,Returns!A:B,2,0),0)</f>
        <v/>
      </c>
      <c r="Q416" s="156" t="inlineStr">
        <is>
          <t>Zack Moss</t>
        </is>
      </c>
      <c r="R416" s="156" t="inlineStr">
        <is>
          <t>CIN</t>
        </is>
      </c>
      <c r="S416" s="156" t="inlineStr">
        <is>
          <t>RB</t>
        </is>
      </c>
    </row>
    <row r="417" hidden="1" ht="15.6" customHeight="1" s="152">
      <c r="A417" s="221" t="n">
        <v>96</v>
      </c>
      <c r="B417" s="218">
        <f>VLOOKUP(G417,Matrix!R:AA,10,0)</f>
        <v/>
      </c>
      <c r="C417" s="156">
        <f>IF(K417&gt;0.01,K417,IFERROR(VLOOKUP(F417&amp;G417,Rec!B:C,2,0),K417)+SUM(L417:O417))</f>
        <v/>
      </c>
      <c r="D417" s="218">
        <f>_xlfn.IFNA(INDEX('Injury Report'!F:F, MATCH(G417&amp;F417, 'Injury Report'!A:A, 0)), "Healthy")</f>
        <v/>
      </c>
      <c r="E417" s="219">
        <f>VLOOKUP(A417,'WR Depth'!A:G,7,0)-1</f>
        <v/>
      </c>
      <c r="F417" s="218">
        <f>VLOOKUP(A417,'WR Depth'!A:C,3,0)</f>
        <v/>
      </c>
      <c r="G417" s="218">
        <f>VLOOKUP(A417,'WR Depth'!A:B,2,0)</f>
        <v/>
      </c>
      <c r="H417" s="218">
        <f>VLOOKUP(A417,'WR Depth'!A:D,4,0)</f>
        <v/>
      </c>
      <c r="I417" s="218">
        <f>H417&amp;E417</f>
        <v/>
      </c>
      <c r="J417" s="220">
        <f>IF(VLOOKUP(F417,Rec!F:G,2,0)=G417,"OK","Check Team")</f>
        <v/>
      </c>
      <c r="K417" s="156" t="n"/>
      <c r="L417" s="156">
        <f>IFERROR(VLOOKUP(F417&amp;G417,Pass!B:C,2,0),0)</f>
        <v/>
      </c>
      <c r="M417" s="156">
        <f>IFERROR(VLOOKUP(F417&amp;G417,Rush!B:C,2,0),0)</f>
        <v/>
      </c>
      <c r="N417" s="156">
        <f>IFERROR(VLOOKUP(F417&amp;G417,Rec!B:C,2,0),K417)</f>
        <v/>
      </c>
      <c r="O417" s="156">
        <f>IFERROR(VLOOKUP(F417&amp;G417,Returns!A:B,2,0),0)</f>
        <v/>
      </c>
      <c r="Q417" s="156" t="inlineStr">
        <is>
          <t>Raheem Mostert</t>
        </is>
      </c>
      <c r="R417" s="156" t="inlineStr">
        <is>
          <t>MIA</t>
        </is>
      </c>
      <c r="S417" s="156" t="inlineStr">
        <is>
          <t>RB</t>
        </is>
      </c>
    </row>
    <row r="418" hidden="1" ht="15.6" customHeight="1" s="152">
      <c r="A418" s="217" t="n">
        <v>97</v>
      </c>
      <c r="B418" s="218">
        <f>VLOOKUP(G418,Matrix!R:AA,10,0)</f>
        <v/>
      </c>
      <c r="C418" s="156">
        <f>IF(K418&gt;0.01,K418,IFERROR(VLOOKUP(F418&amp;G418,Rec!B:C,2,0),K418)+SUM(L418:O418))</f>
        <v/>
      </c>
      <c r="D418" s="218">
        <f>_xlfn.IFNA(INDEX('Injury Report'!F:F, MATCH(G418&amp;F418, 'Injury Report'!A:A, 0)), "Healthy")</f>
        <v/>
      </c>
      <c r="E418" s="219">
        <f>VLOOKUP(A418,'WR Depth'!A:G,7,0)-1</f>
        <v/>
      </c>
      <c r="F418" s="218">
        <f>VLOOKUP(A418,'WR Depth'!A:C,3,0)</f>
        <v/>
      </c>
      <c r="G418" s="218">
        <f>VLOOKUP(A418,'WR Depth'!A:B,2,0)</f>
        <v/>
      </c>
      <c r="H418" s="218">
        <f>VLOOKUP(A418,'WR Depth'!A:D,4,0)</f>
        <v/>
      </c>
      <c r="I418" s="218">
        <f>H418&amp;E418</f>
        <v/>
      </c>
      <c r="J418" s="220">
        <f>IF(VLOOKUP(F418,Rec!F:G,2,0)=G418,"OK","Check Team")</f>
        <v/>
      </c>
      <c r="K418" s="156" t="n"/>
      <c r="L418" s="156">
        <f>IFERROR(VLOOKUP(F418&amp;G418,Pass!B:C,2,0),0)</f>
        <v/>
      </c>
      <c r="M418" s="156">
        <f>IFERROR(VLOOKUP(F418&amp;G418,Rush!B:C,2,0),0)</f>
        <v/>
      </c>
      <c r="N418" s="156">
        <f>IFERROR(VLOOKUP(F418&amp;G418,Rec!B:C,2,0),K418)</f>
        <v/>
      </c>
      <c r="O418" s="156">
        <f>IFERROR(VLOOKUP(F418&amp;G418,Returns!A:B,2,0),0)</f>
        <v/>
      </c>
      <c r="Q418" s="156" t="inlineStr">
        <is>
          <t>Nick Mullens</t>
        </is>
      </c>
      <c r="R418" s="156" t="inlineStr">
        <is>
          <t>MIN</t>
        </is>
      </c>
      <c r="S418" s="156" t="inlineStr">
        <is>
          <t>QB</t>
        </is>
      </c>
    </row>
    <row r="419" hidden="1" ht="15.6" customHeight="1" s="152">
      <c r="A419" s="221" t="n">
        <v>98</v>
      </c>
      <c r="B419" s="218">
        <f>VLOOKUP(G419,Matrix!R:AA,10,0)</f>
        <v/>
      </c>
      <c r="C419" s="156">
        <f>IF(K419&gt;0.01,K419,IFERROR(VLOOKUP(F419&amp;G419,Rec!B:C,2,0),K419)+SUM(L419:O419))</f>
        <v/>
      </c>
      <c r="D419" s="218">
        <f>_xlfn.IFNA(INDEX('Injury Report'!F:F, MATCH(G419&amp;F419, 'Injury Report'!A:A, 0)), "Healthy")</f>
        <v/>
      </c>
      <c r="E419" s="219">
        <f>VLOOKUP(A419,'WR Depth'!A:G,7,0)-1</f>
        <v/>
      </c>
      <c r="F419" s="218">
        <f>VLOOKUP(A419,'WR Depth'!A:C,3,0)</f>
        <v/>
      </c>
      <c r="G419" s="218">
        <f>VLOOKUP(A419,'WR Depth'!A:B,2,0)</f>
        <v/>
      </c>
      <c r="H419" s="218">
        <f>VLOOKUP(A419,'WR Depth'!A:D,4,0)</f>
        <v/>
      </c>
      <c r="I419" s="218">
        <f>H419&amp;E419</f>
        <v/>
      </c>
      <c r="J419" s="220">
        <f>IF(VLOOKUP(F419,Rec!F:G,2,0)=G419,"OK","Check Team")</f>
        <v/>
      </c>
      <c r="K419" s="156" t="n"/>
      <c r="L419" s="156">
        <f>IFERROR(VLOOKUP(F419&amp;G419,Pass!B:C,2,0),0)</f>
        <v/>
      </c>
      <c r="M419" s="156">
        <f>IFERROR(VLOOKUP(F419&amp;G419,Rush!B:C,2,0),0)</f>
        <v/>
      </c>
      <c r="N419" s="156">
        <f>IFERROR(VLOOKUP(F419&amp;G419,Rec!B:C,2,0),K419)</f>
        <v/>
      </c>
      <c r="O419" s="156">
        <f>IFERROR(VLOOKUP(F419&amp;G419,Returns!A:B,2,0),0)</f>
        <v/>
      </c>
      <c r="Q419" s="156" t="inlineStr">
        <is>
          <t>Johnny Mundt</t>
        </is>
      </c>
      <c r="R419" s="156" t="inlineStr">
        <is>
          <t>MIN</t>
        </is>
      </c>
      <c r="S419" s="156" t="inlineStr">
        <is>
          <t>TE</t>
        </is>
      </c>
    </row>
    <row r="420" hidden="1" ht="15.6" customHeight="1" s="152">
      <c r="A420" s="217" t="n">
        <v>99</v>
      </c>
      <c r="B420" s="218">
        <f>VLOOKUP(G420,Matrix!R:AA,10,0)</f>
        <v/>
      </c>
      <c r="C420" s="156">
        <f>IF(K420&gt;0.01,K420,IFERROR(VLOOKUP(F420&amp;G420,Rec!B:C,2,0),K420)+SUM(L420:O420))</f>
        <v/>
      </c>
      <c r="D420" s="218">
        <f>_xlfn.IFNA(INDEX('Injury Report'!F:F, MATCH(G420&amp;F420, 'Injury Report'!A:A, 0)), "Healthy")</f>
        <v/>
      </c>
      <c r="E420" s="219">
        <f>VLOOKUP(A420,'WR Depth'!A:G,7,0)-1</f>
        <v/>
      </c>
      <c r="F420" s="218">
        <f>VLOOKUP(A420,'WR Depth'!A:C,3,0)</f>
        <v/>
      </c>
      <c r="G420" s="218">
        <f>VLOOKUP(A420,'WR Depth'!A:B,2,0)</f>
        <v/>
      </c>
      <c r="H420" s="218">
        <f>VLOOKUP(A420,'WR Depth'!A:D,4,0)</f>
        <v/>
      </c>
      <c r="I420" s="218">
        <f>H420&amp;E420</f>
        <v/>
      </c>
      <c r="J420" s="220">
        <f>IF(VLOOKUP(F420,Rec!F:G,2,0)=G420,"OK","Check Team")</f>
        <v/>
      </c>
      <c r="K420" s="156" t="n"/>
      <c r="L420" s="156">
        <f>IFERROR(VLOOKUP(F420&amp;G420,Pass!B:C,2,0),0)</f>
        <v/>
      </c>
      <c r="M420" s="156">
        <f>IFERROR(VLOOKUP(F420&amp;G420,Rush!B:C,2,0),0)</f>
        <v/>
      </c>
      <c r="N420" s="156">
        <f>IFERROR(VLOOKUP(F420&amp;G420,Rec!B:C,2,0),K420)</f>
        <v/>
      </c>
      <c r="O420" s="156">
        <f>IFERROR(VLOOKUP(F420&amp;G420,Returns!A:B,2,0),0)</f>
        <v/>
      </c>
      <c r="Q420" s="156" t="inlineStr">
        <is>
          <t>Kyler Murray</t>
        </is>
      </c>
      <c r="R420" s="156" t="inlineStr">
        <is>
          <t>ARI</t>
        </is>
      </c>
      <c r="S420" s="156" t="inlineStr">
        <is>
          <t>QB</t>
        </is>
      </c>
    </row>
    <row r="421" hidden="1" ht="15.6" customHeight="1" s="152">
      <c r="A421" s="221" t="n">
        <v>100</v>
      </c>
      <c r="B421" s="218">
        <f>VLOOKUP(G421,Matrix!R:AA,10,0)</f>
        <v/>
      </c>
      <c r="C421" s="156">
        <f>IF(K421&gt;0.01,K421,IFERROR(VLOOKUP(F421&amp;G421,Rec!B:C,2,0),K421)+SUM(L421:O421))</f>
        <v/>
      </c>
      <c r="D421" s="218">
        <f>_xlfn.IFNA(INDEX('Injury Report'!F:F, MATCH(G421&amp;F421, 'Injury Report'!A:A, 0)), "Healthy")</f>
        <v/>
      </c>
      <c r="E421" s="219">
        <f>VLOOKUP(A421,'WR Depth'!A:G,7,0)-1</f>
        <v/>
      </c>
      <c r="F421" s="218">
        <f>VLOOKUP(A421,'WR Depth'!A:C,3,0)</f>
        <v/>
      </c>
      <c r="G421" s="218">
        <f>VLOOKUP(A421,'WR Depth'!A:B,2,0)</f>
        <v/>
      </c>
      <c r="H421" s="218">
        <f>VLOOKUP(A421,'WR Depth'!A:D,4,0)</f>
        <v/>
      </c>
      <c r="I421" s="218">
        <f>H421&amp;E421</f>
        <v/>
      </c>
      <c r="J421" s="220">
        <f>IF(VLOOKUP(F421,Rec!F:G,2,0)=G421,"OK","Check Team")</f>
        <v/>
      </c>
      <c r="K421" s="156" t="n"/>
      <c r="L421" s="156">
        <f>IFERROR(VLOOKUP(F421&amp;G421,Pass!B:C,2,0),0)</f>
        <v/>
      </c>
      <c r="M421" s="156">
        <f>IFERROR(VLOOKUP(F421&amp;G421,Rush!B:C,2,0),0)</f>
        <v/>
      </c>
      <c r="N421" s="156">
        <f>IFERROR(VLOOKUP(F421&amp;G421,Rec!B:C,2,0),K421)</f>
        <v/>
      </c>
      <c r="O421" s="156">
        <f>IFERROR(VLOOKUP(F421&amp;G421,Returns!A:B,2,0),0)</f>
        <v/>
      </c>
      <c r="Q421" s="156" t="inlineStr">
        <is>
          <t>Latavius Murray</t>
        </is>
      </c>
      <c r="R421" s="156" t="inlineStr">
        <is>
          <t>FA</t>
        </is>
      </c>
      <c r="S421" s="156" t="inlineStr">
        <is>
          <t>RB</t>
        </is>
      </c>
    </row>
    <row r="422" hidden="1" ht="15.6" customHeight="1" s="152">
      <c r="A422" s="217" t="n">
        <v>101</v>
      </c>
      <c r="B422" s="218">
        <f>VLOOKUP(G422,Matrix!R:AA,10,0)</f>
        <v/>
      </c>
      <c r="C422" s="156">
        <f>IF(K422&gt;0.01,K422,IFERROR(VLOOKUP(F422&amp;G422,Rec!B:C,2,0),K422)+SUM(L422:O422))</f>
        <v/>
      </c>
      <c r="D422" s="218">
        <f>_xlfn.IFNA(INDEX('Injury Report'!F:F, MATCH(G422&amp;F422, 'Injury Report'!A:A, 0)), "Healthy")</f>
        <v/>
      </c>
      <c r="E422" s="219">
        <f>VLOOKUP(A422,'WR Depth'!A:G,7,0)-1</f>
        <v/>
      </c>
      <c r="F422" s="218">
        <f>VLOOKUP(A422,'WR Depth'!A:C,3,0)</f>
        <v/>
      </c>
      <c r="G422" s="218">
        <f>VLOOKUP(A422,'WR Depth'!A:B,2,0)</f>
        <v/>
      </c>
      <c r="H422" s="218">
        <f>VLOOKUP(A422,'WR Depth'!A:D,4,0)</f>
        <v/>
      </c>
      <c r="I422" s="218">
        <f>H422&amp;E422</f>
        <v/>
      </c>
      <c r="J422" s="220">
        <f>IF(VLOOKUP(F422,Rec!F:G,2,0)=G422,"OK","Check Team")</f>
        <v/>
      </c>
      <c r="K422" s="156" t="n"/>
      <c r="L422" s="156">
        <f>IFERROR(VLOOKUP(F422&amp;G422,Pass!B:C,2,0),0)</f>
        <v/>
      </c>
      <c r="M422" s="156">
        <f>IFERROR(VLOOKUP(F422&amp;G422,Rush!B:C,2,0),0)</f>
        <v/>
      </c>
      <c r="N422" s="156">
        <f>IFERROR(VLOOKUP(F422&amp;G422,Rec!B:C,2,0),K422)</f>
        <v/>
      </c>
      <c r="O422" s="156">
        <f>IFERROR(VLOOKUP(F422&amp;G422,Returns!A:B,2,0),0)</f>
        <v/>
      </c>
      <c r="Q422" s="156" t="inlineStr">
        <is>
          <t>Luke Musgrave</t>
        </is>
      </c>
      <c r="R422" s="156" t="inlineStr">
        <is>
          <t>GB</t>
        </is>
      </c>
      <c r="S422" s="156" t="inlineStr">
        <is>
          <t>TE</t>
        </is>
      </c>
    </row>
    <row r="423" hidden="1" ht="15.6" customHeight="1" s="152">
      <c r="A423" s="221" t="n">
        <v>102</v>
      </c>
      <c r="B423" s="218">
        <f>VLOOKUP(G423,Matrix!R:AA,10,0)</f>
        <v/>
      </c>
      <c r="C423" s="156">
        <f>IF(K423&gt;0.01,K423,IFERROR(VLOOKUP(F423&amp;G423,Rec!B:C,2,0),K423)+SUM(L423:O423))</f>
        <v/>
      </c>
      <c r="D423" s="218">
        <f>_xlfn.IFNA(INDEX('Injury Report'!F:F, MATCH(G423&amp;F423, 'Injury Report'!A:A, 0)), "Healthy")</f>
        <v/>
      </c>
      <c r="E423" s="219">
        <f>VLOOKUP(A423,'WR Depth'!A:G,7,0)-1</f>
        <v/>
      </c>
      <c r="F423" s="218">
        <f>VLOOKUP(A423,'WR Depth'!A:C,3,0)</f>
        <v/>
      </c>
      <c r="G423" s="218">
        <f>VLOOKUP(A423,'WR Depth'!A:B,2,0)</f>
        <v/>
      </c>
      <c r="H423" s="218">
        <f>VLOOKUP(A423,'WR Depth'!A:D,4,0)</f>
        <v/>
      </c>
      <c r="I423" s="218">
        <f>H423&amp;E423</f>
        <v/>
      </c>
      <c r="J423" s="220">
        <f>IF(VLOOKUP(F423,Rec!F:G,2,0)=G423,"OK","Check Team")</f>
        <v/>
      </c>
      <c r="K423" s="156" t="n"/>
      <c r="L423" s="156">
        <f>IFERROR(VLOOKUP(F423&amp;G423,Pass!B:C,2,0),0)</f>
        <v/>
      </c>
      <c r="M423" s="156">
        <f>IFERROR(VLOOKUP(F423&amp;G423,Rush!B:C,2,0),0)</f>
        <v/>
      </c>
      <c r="N423" s="156">
        <f>IFERROR(VLOOKUP(F423&amp;G423,Rec!B:C,2,0),K423)</f>
        <v/>
      </c>
      <c r="O423" s="156">
        <f>IFERROR(VLOOKUP(F423&amp;G423,Returns!A:B,2,0),0)</f>
        <v/>
      </c>
      <c r="Q423" s="156" t="inlineStr">
        <is>
          <t>Jason Myers</t>
        </is>
      </c>
      <c r="R423" s="156" t="inlineStr">
        <is>
          <t>SEA</t>
        </is>
      </c>
      <c r="S423" s="156" t="inlineStr">
        <is>
          <t>K</t>
        </is>
      </c>
    </row>
    <row r="424" hidden="1" ht="15.6" customHeight="1" s="152">
      <c r="A424" s="217" t="n">
        <v>103</v>
      </c>
      <c r="B424" s="218">
        <f>VLOOKUP(G424,Matrix!R:AA,10,0)</f>
        <v/>
      </c>
      <c r="C424" s="156">
        <f>IF(K424&gt;0.01,K424,IFERROR(VLOOKUP(F424&amp;G424,Rec!B:C,2,0),K424)+SUM(L424:O424))</f>
        <v/>
      </c>
      <c r="D424" s="218">
        <f>_xlfn.IFNA(INDEX('Injury Report'!F:F, MATCH(G424&amp;F424, 'Injury Report'!A:A, 0)), "Healthy")</f>
        <v/>
      </c>
      <c r="E424" s="219">
        <f>VLOOKUP(A424,'WR Depth'!A:G,7,0)-1</f>
        <v/>
      </c>
      <c r="F424" s="218">
        <f>VLOOKUP(A424,'WR Depth'!A:C,3,0)</f>
        <v/>
      </c>
      <c r="G424" s="218">
        <f>VLOOKUP(A424,'WR Depth'!A:B,2,0)</f>
        <v/>
      </c>
      <c r="H424" s="218">
        <f>VLOOKUP(A424,'WR Depth'!A:D,4,0)</f>
        <v/>
      </c>
      <c r="I424" s="218">
        <f>H424&amp;E424</f>
        <v/>
      </c>
      <c r="J424" s="220">
        <f>IF(VLOOKUP(F424,Rec!F:G,2,0)=G424,"OK","Check Team")</f>
        <v/>
      </c>
      <c r="K424" s="156" t="n"/>
      <c r="L424" s="156">
        <f>IFERROR(VLOOKUP(F424&amp;G424,Pass!B:C,2,0),0)</f>
        <v/>
      </c>
      <c r="M424" s="156">
        <f>IFERROR(VLOOKUP(F424&amp;G424,Rush!B:C,2,0),0)</f>
        <v/>
      </c>
      <c r="N424" s="156">
        <f>IFERROR(VLOOKUP(F424&amp;G424,Rec!B:C,2,0),K424)</f>
        <v/>
      </c>
      <c r="O424" s="156">
        <f>IFERROR(VLOOKUP(F424&amp;G424,Returns!A:B,2,0),0)</f>
        <v/>
      </c>
      <c r="Q424" s="156" t="inlineStr">
        <is>
          <t>Malik Nabers</t>
        </is>
      </c>
      <c r="R424" s="156" t="inlineStr">
        <is>
          <t>NYG</t>
        </is>
      </c>
      <c r="S424" s="156" t="inlineStr">
        <is>
          <t>WR</t>
        </is>
      </c>
    </row>
    <row r="425" hidden="1" ht="15.6" customHeight="1" s="152">
      <c r="A425" s="221" t="n">
        <v>104</v>
      </c>
      <c r="B425" s="218">
        <f>VLOOKUP(G425,Matrix!R:AA,10,0)</f>
        <v/>
      </c>
      <c r="C425" s="156">
        <f>IF(K425&gt;0.01,K425,IFERROR(VLOOKUP(F425&amp;G425,Rec!B:C,2,0),K425)+SUM(L425:O425))</f>
        <v/>
      </c>
      <c r="D425" s="218">
        <f>_xlfn.IFNA(INDEX('Injury Report'!F:F, MATCH(G425&amp;F425, 'Injury Report'!A:A, 0)), "Healthy")</f>
        <v/>
      </c>
      <c r="E425" s="219">
        <f>VLOOKUP(A425,'WR Depth'!A:G,7,0)-1</f>
        <v/>
      </c>
      <c r="F425" s="218">
        <f>VLOOKUP(A425,'WR Depth'!A:C,3,0)</f>
        <v/>
      </c>
      <c r="G425" s="218">
        <f>VLOOKUP(A425,'WR Depth'!A:B,2,0)</f>
        <v/>
      </c>
      <c r="H425" s="218">
        <f>VLOOKUP(A425,'WR Depth'!A:D,4,0)</f>
        <v/>
      </c>
      <c r="I425" s="218">
        <f>H425&amp;E425</f>
        <v/>
      </c>
      <c r="J425" s="220">
        <f>IF(VLOOKUP(F425,Rec!F:G,2,0)=G425,"OK","Check Team")</f>
        <v/>
      </c>
      <c r="K425" s="156" t="n"/>
      <c r="L425" s="156">
        <f>IFERROR(VLOOKUP(F425&amp;G425,Pass!B:C,2,0),0)</f>
        <v/>
      </c>
      <c r="M425" s="156">
        <f>IFERROR(VLOOKUP(F425&amp;G425,Rush!B:C,2,0),0)</f>
        <v/>
      </c>
      <c r="N425" s="156">
        <f>IFERROR(VLOOKUP(F425&amp;G425,Rec!B:C,2,0),K425)</f>
        <v/>
      </c>
      <c r="O425" s="156">
        <f>IFERROR(VLOOKUP(F425&amp;G425,Returns!A:B,2,0),0)</f>
        <v/>
      </c>
      <c r="Q425" s="156" t="inlineStr">
        <is>
          <t>Puka Nacua</t>
        </is>
      </c>
      <c r="R425" s="156" t="inlineStr">
        <is>
          <t>LAR</t>
        </is>
      </c>
      <c r="S425" s="156" t="inlineStr">
        <is>
          <t>WR</t>
        </is>
      </c>
    </row>
    <row r="426" hidden="1" ht="15.6" customHeight="1" s="152">
      <c r="A426" s="217" t="n">
        <v>105</v>
      </c>
      <c r="B426" s="218">
        <f>VLOOKUP(G426,Matrix!R:AA,10,0)</f>
        <v/>
      </c>
      <c r="C426" s="156">
        <f>IF(K426&gt;0.01,K426,IFERROR(VLOOKUP(F426&amp;G426,Rec!B:C,2,0),K426)+SUM(L426:O426))</f>
        <v/>
      </c>
      <c r="D426" s="218">
        <f>_xlfn.IFNA(INDEX('Injury Report'!F:F, MATCH(G426&amp;F426, 'Injury Report'!A:A, 0)), "Healthy")</f>
        <v/>
      </c>
      <c r="E426" s="219">
        <f>VLOOKUP(A426,'WR Depth'!A:G,7,0)-1</f>
        <v/>
      </c>
      <c r="F426" s="218">
        <f>VLOOKUP(A426,'WR Depth'!A:C,3,0)</f>
        <v/>
      </c>
      <c r="G426" s="218">
        <f>VLOOKUP(A426,'WR Depth'!A:B,2,0)</f>
        <v/>
      </c>
      <c r="H426" s="218">
        <f>VLOOKUP(A426,'WR Depth'!A:D,4,0)</f>
        <v/>
      </c>
      <c r="I426" s="218">
        <f>H426&amp;E426</f>
        <v/>
      </c>
      <c r="J426" s="220">
        <f>IF(VLOOKUP(F426,Rec!F:G,2,0)=G426,"OK","Check Team")</f>
        <v/>
      </c>
      <c r="K426" s="156" t="n"/>
      <c r="L426" s="156">
        <f>IFERROR(VLOOKUP(F426&amp;G426,Pass!B:C,2,0),0)</f>
        <v/>
      </c>
      <c r="M426" s="156">
        <f>IFERROR(VLOOKUP(F426&amp;G426,Rush!B:C,2,0),0)</f>
        <v/>
      </c>
      <c r="N426" s="156">
        <f>IFERROR(VLOOKUP(F426&amp;G426,Rec!B:C,2,0),K426)</f>
        <v/>
      </c>
      <c r="O426" s="156">
        <f>IFERROR(VLOOKUP(F426&amp;G426,Returns!A:B,2,0),0)</f>
        <v/>
      </c>
      <c r="Q426" s="156" t="inlineStr">
        <is>
          <t>Jalen Nailor</t>
        </is>
      </c>
      <c r="R426" s="156" t="inlineStr">
        <is>
          <t>MIN</t>
        </is>
      </c>
      <c r="S426" s="156" t="inlineStr">
        <is>
          <t>WR</t>
        </is>
      </c>
    </row>
    <row r="427" hidden="1" ht="15.6" customHeight="1" s="152">
      <c r="A427" s="221" t="n">
        <v>106</v>
      </c>
      <c r="B427" s="218">
        <f>VLOOKUP(G427,Matrix!R:AA,10,0)</f>
        <v/>
      </c>
      <c r="C427" s="156">
        <f>IF(K427&gt;0.01,K427,IFERROR(VLOOKUP(F427&amp;G427,Rec!B:C,2,0),K427)+SUM(L427:O427))</f>
        <v/>
      </c>
      <c r="D427" s="218">
        <f>_xlfn.IFNA(INDEX('Injury Report'!F:F, MATCH(G427&amp;F427, 'Injury Report'!A:A, 0)), "Healthy")</f>
        <v/>
      </c>
      <c r="E427" s="219">
        <f>VLOOKUP(A427,'WR Depth'!A:G,7,0)-1</f>
        <v/>
      </c>
      <c r="F427" s="218">
        <f>VLOOKUP(A427,'WR Depth'!A:C,3,0)</f>
        <v/>
      </c>
      <c r="G427" s="218">
        <f>VLOOKUP(A427,'WR Depth'!A:B,2,0)</f>
        <v/>
      </c>
      <c r="H427" s="218">
        <f>VLOOKUP(A427,'WR Depth'!A:D,4,0)</f>
        <v/>
      </c>
      <c r="I427" s="218">
        <f>H427&amp;E427</f>
        <v/>
      </c>
      <c r="J427" s="220">
        <f>IF(VLOOKUP(F427,Rec!F:G,2,0)=G427,"OK","Check Team")</f>
        <v/>
      </c>
      <c r="K427" s="156" t="n"/>
      <c r="L427" s="156">
        <f>IFERROR(VLOOKUP(F427&amp;G427,Pass!B:C,2,0),0)</f>
        <v/>
      </c>
      <c r="M427" s="156">
        <f>IFERROR(VLOOKUP(F427&amp;G427,Rush!B:C,2,0),0)</f>
        <v/>
      </c>
      <c r="N427" s="156">
        <f>IFERROR(VLOOKUP(F427&amp;G427,Rec!B:C,2,0),K427)</f>
        <v/>
      </c>
      <c r="O427" s="156">
        <f>IFERROR(VLOOKUP(F427&amp;G427,Returns!A:B,2,0),0)</f>
        <v/>
      </c>
      <c r="Q427" s="156" t="inlineStr">
        <is>
          <t>Brayden Narveson</t>
        </is>
      </c>
      <c r="R427" s="156" t="inlineStr">
        <is>
          <t>FA</t>
        </is>
      </c>
      <c r="S427" s="156" t="inlineStr">
        <is>
          <t>K</t>
        </is>
      </c>
    </row>
    <row r="428" hidden="1" ht="15.6" customHeight="1" s="152">
      <c r="A428" s="217" t="n">
        <v>107</v>
      </c>
      <c r="B428" s="218">
        <f>VLOOKUP(G428,Matrix!R:AA,10,0)</f>
        <v/>
      </c>
      <c r="C428" s="156">
        <f>IF(K428&gt;0.01,K428,IFERROR(VLOOKUP(F428&amp;G428,Rec!B:C,2,0),K428)+SUM(L428:O428))</f>
        <v/>
      </c>
      <c r="D428" s="218">
        <f>_xlfn.IFNA(INDEX('Injury Report'!F:F, MATCH(G428&amp;F428, 'Injury Report'!A:A, 0)), "Healthy")</f>
        <v/>
      </c>
      <c r="E428" s="219">
        <f>VLOOKUP(A428,'WR Depth'!A:G,7,0)-1</f>
        <v/>
      </c>
      <c r="F428" s="218">
        <f>VLOOKUP(A428,'WR Depth'!A:C,3,0)</f>
        <v/>
      </c>
      <c r="G428" s="218">
        <f>VLOOKUP(A428,'WR Depth'!A:B,2,0)</f>
        <v/>
      </c>
      <c r="H428" s="218">
        <f>VLOOKUP(A428,'WR Depth'!A:D,4,0)</f>
        <v/>
      </c>
      <c r="I428" s="218">
        <f>H428&amp;E428</f>
        <v/>
      </c>
      <c r="J428" s="220">
        <f>IF(VLOOKUP(F428,Rec!F:G,2,0)=G428,"OK","Check Team")</f>
        <v/>
      </c>
      <c r="K428" s="156" t="n"/>
      <c r="L428" s="156">
        <f>IFERROR(VLOOKUP(F428&amp;G428,Pass!B:C,2,0),0)</f>
        <v/>
      </c>
      <c r="M428" s="156">
        <f>IFERROR(VLOOKUP(F428&amp;G428,Rush!B:C,2,0),0)</f>
        <v/>
      </c>
      <c r="N428" s="156">
        <f>IFERROR(VLOOKUP(F428&amp;G428,Rec!B:C,2,0),K428)</f>
        <v/>
      </c>
      <c r="O428" s="156">
        <f>IFERROR(VLOOKUP(F428&amp;G428,Returns!A:B,2,0),0)</f>
        <v/>
      </c>
      <c r="Q428" s="156" t="inlineStr">
        <is>
          <t>Bo Nix</t>
        </is>
      </c>
      <c r="R428" s="156" t="inlineStr">
        <is>
          <t>DEN</t>
        </is>
      </c>
      <c r="S428" s="156" t="inlineStr">
        <is>
          <t>QB</t>
        </is>
      </c>
    </row>
    <row r="429" hidden="1" ht="15.6" customHeight="1" s="152">
      <c r="A429" s="221" t="n">
        <v>108</v>
      </c>
      <c r="B429" s="218">
        <f>VLOOKUP(G429,Matrix!R:AA,10,0)</f>
        <v/>
      </c>
      <c r="C429" s="156">
        <f>IF(K429&gt;0.01,K429,IFERROR(VLOOKUP(F429&amp;G429,Rec!B:C,2,0),K429)+SUM(L429:O429))</f>
        <v/>
      </c>
      <c r="D429" s="218">
        <f>_xlfn.IFNA(INDEX('Injury Report'!F:F, MATCH(G429&amp;F429, 'Injury Report'!A:A, 0)), "Healthy")</f>
        <v/>
      </c>
      <c r="E429" s="219">
        <f>VLOOKUP(A429,'WR Depth'!A:G,7,0)-1</f>
        <v/>
      </c>
      <c r="F429" s="218">
        <f>VLOOKUP(A429,'WR Depth'!A:C,3,0)</f>
        <v/>
      </c>
      <c r="G429" s="218">
        <f>VLOOKUP(A429,'WR Depth'!A:B,2,0)</f>
        <v/>
      </c>
      <c r="H429" s="218">
        <f>VLOOKUP(A429,'WR Depth'!A:D,4,0)</f>
        <v/>
      </c>
      <c r="I429" s="218">
        <f>H429&amp;E429</f>
        <v/>
      </c>
      <c r="J429" s="220">
        <f>IF(VLOOKUP(F429,Rec!F:G,2,0)=G429,"OK","Check Team")</f>
        <v/>
      </c>
      <c r="K429" s="156" t="n"/>
      <c r="L429" s="156">
        <f>IFERROR(VLOOKUP(F429&amp;G429,Pass!B:C,2,0),0)</f>
        <v/>
      </c>
      <c r="M429" s="156">
        <f>IFERROR(VLOOKUP(F429&amp;G429,Rush!B:C,2,0),0)</f>
        <v/>
      </c>
      <c r="N429" s="156">
        <f>IFERROR(VLOOKUP(F429&amp;G429,Rec!B:C,2,0),K429)</f>
        <v/>
      </c>
      <c r="O429" s="156">
        <f>IFERROR(VLOOKUP(F429&amp;G429,Returns!A:B,2,0),0)</f>
        <v/>
      </c>
      <c r="Q429" s="156" t="inlineStr">
        <is>
          <t>David Njoku</t>
        </is>
      </c>
      <c r="R429" s="156" t="inlineStr">
        <is>
          <t>CLE</t>
        </is>
      </c>
      <c r="S429" s="156" t="inlineStr">
        <is>
          <t>TE</t>
        </is>
      </c>
    </row>
    <row r="430" hidden="1" ht="15.6" customHeight="1" s="152">
      <c r="A430" s="217" t="n">
        <v>109</v>
      </c>
      <c r="B430" s="218">
        <f>VLOOKUP(G430,Matrix!R:AA,10,0)</f>
        <v/>
      </c>
      <c r="C430" s="156">
        <f>IF(K430&gt;0.01,K430,IFERROR(VLOOKUP(F430&amp;G430,Rec!B:C,2,0),K430)+SUM(L430:O430))</f>
        <v/>
      </c>
      <c r="D430" s="218">
        <f>_xlfn.IFNA(INDEX('Injury Report'!F:F, MATCH(G430&amp;F430, 'Injury Report'!A:A, 0)), "Healthy")</f>
        <v/>
      </c>
      <c r="E430" s="219">
        <f>VLOOKUP(A430,'WR Depth'!A:G,7,0)-1</f>
        <v/>
      </c>
      <c r="F430" s="218">
        <f>VLOOKUP(A430,'WR Depth'!A:C,3,0)</f>
        <v/>
      </c>
      <c r="G430" s="218">
        <f>VLOOKUP(A430,'WR Depth'!A:B,2,0)</f>
        <v/>
      </c>
      <c r="H430" s="218">
        <f>VLOOKUP(A430,'WR Depth'!A:D,4,0)</f>
        <v/>
      </c>
      <c r="I430" s="218">
        <f>H430&amp;E430</f>
        <v/>
      </c>
      <c r="J430" s="220">
        <f>IF(VLOOKUP(F430,Rec!F:G,2,0)=G430,"OK","Check Team")</f>
        <v/>
      </c>
      <c r="K430" s="156" t="n"/>
      <c r="L430" s="156">
        <f>IFERROR(VLOOKUP(F430&amp;G430,Pass!B:C,2,0),0)</f>
        <v/>
      </c>
      <c r="M430" s="156">
        <f>IFERROR(VLOOKUP(F430&amp;G430,Rush!B:C,2,0),0)</f>
        <v/>
      </c>
      <c r="N430" s="156">
        <f>IFERROR(VLOOKUP(F430&amp;G430,Rec!B:C,2,0),K430)</f>
        <v/>
      </c>
      <c r="O430" s="156">
        <f>IFERROR(VLOOKUP(F430&amp;G430,Returns!A:B,2,0),0)</f>
        <v/>
      </c>
      <c r="Q430" s="156" t="inlineStr">
        <is>
          <t>Kene Nwangwu</t>
        </is>
      </c>
      <c r="R430" s="156" t="inlineStr">
        <is>
          <t>NYJ</t>
        </is>
      </c>
      <c r="S430" s="156" t="inlineStr">
        <is>
          <t>RB</t>
        </is>
      </c>
    </row>
    <row r="431" hidden="1" ht="15.6" customHeight="1" s="152">
      <c r="A431" s="221" t="n">
        <v>110</v>
      </c>
      <c r="B431" s="218">
        <f>VLOOKUP(G431,Matrix!R:AA,10,0)</f>
        <v/>
      </c>
      <c r="C431" s="156">
        <f>IF(K431&gt;0.01,K431,IFERROR(VLOOKUP(F431&amp;G431,Rec!B:C,2,0),K431)+SUM(L431:O431))</f>
        <v/>
      </c>
      <c r="D431" s="218">
        <f>_xlfn.IFNA(INDEX('Injury Report'!F:F, MATCH(G431&amp;F431, 'Injury Report'!A:A, 0)), "Healthy")</f>
        <v/>
      </c>
      <c r="E431" s="219">
        <f>VLOOKUP(A431,'WR Depth'!A:G,7,0)-1</f>
        <v/>
      </c>
      <c r="F431" s="218">
        <f>VLOOKUP(A431,'WR Depth'!A:C,3,0)</f>
        <v/>
      </c>
      <c r="G431" s="218">
        <f>VLOOKUP(A431,'WR Depth'!A:B,2,0)</f>
        <v/>
      </c>
      <c r="H431" s="218">
        <f>VLOOKUP(A431,'WR Depth'!A:D,4,0)</f>
        <v/>
      </c>
      <c r="I431" s="218">
        <f>H431&amp;E431</f>
        <v/>
      </c>
      <c r="J431" s="220">
        <f>IF(VLOOKUP(F431,Rec!F:G,2,0)=G431,"OK","Check Team")</f>
        <v/>
      </c>
      <c r="K431" s="156" t="n"/>
      <c r="L431" s="156">
        <f>IFERROR(VLOOKUP(F431&amp;G431,Pass!B:C,2,0),0)</f>
        <v/>
      </c>
      <c r="M431" s="156">
        <f>IFERROR(VLOOKUP(F431&amp;G431,Rush!B:C,2,0),0)</f>
        <v/>
      </c>
      <c r="N431" s="156">
        <f>IFERROR(VLOOKUP(F431&amp;G431,Rec!B:C,2,0),K431)</f>
        <v/>
      </c>
      <c r="O431" s="156">
        <f>IFERROR(VLOOKUP(F431&amp;G431,Returns!A:B,2,0),0)</f>
        <v/>
      </c>
      <c r="Q431" s="156" t="inlineStr">
        <is>
          <t>Aidan O'Connell</t>
        </is>
      </c>
      <c r="R431" s="156" t="inlineStr">
        <is>
          <t>LV</t>
        </is>
      </c>
      <c r="S431" s="156" t="inlineStr">
        <is>
          <t>QB</t>
        </is>
      </c>
    </row>
    <row r="432" hidden="1" ht="15.6" customHeight="1" s="152">
      <c r="A432" s="217" t="n">
        <v>111</v>
      </c>
      <c r="B432" s="218">
        <f>VLOOKUP(G432,Matrix!R:AA,10,0)</f>
        <v/>
      </c>
      <c r="C432" s="156">
        <f>IF(K432&gt;0.01,K432,IFERROR(VLOOKUP(F432&amp;G432,Rec!B:C,2,0),K432)+SUM(L432:O432))</f>
        <v/>
      </c>
      <c r="D432" s="218">
        <f>_xlfn.IFNA(INDEX('Injury Report'!F:F, MATCH(G432&amp;F432, 'Injury Report'!A:A, 0)), "Healthy")</f>
        <v/>
      </c>
      <c r="E432" s="219">
        <f>VLOOKUP(A432,'WR Depth'!A:G,7,0)-1</f>
        <v/>
      </c>
      <c r="F432" s="218">
        <f>VLOOKUP(A432,'WR Depth'!A:C,3,0)</f>
        <v/>
      </c>
      <c r="G432" s="218">
        <f>VLOOKUP(A432,'WR Depth'!A:B,2,0)</f>
        <v/>
      </c>
      <c r="H432" s="218">
        <f>VLOOKUP(A432,'WR Depth'!A:D,4,0)</f>
        <v/>
      </c>
      <c r="I432" s="218">
        <f>H432&amp;E432</f>
        <v/>
      </c>
      <c r="J432" s="220">
        <f>IF(VLOOKUP(F432,Rec!F:G,2,0)=G432,"OK","Check Team")</f>
        <v/>
      </c>
      <c r="K432" s="156" t="n"/>
      <c r="L432" s="156">
        <f>IFERROR(VLOOKUP(F432&amp;G432,Pass!B:C,2,0),0)</f>
        <v/>
      </c>
      <c r="M432" s="156">
        <f>IFERROR(VLOOKUP(F432&amp;G432,Rush!B:C,2,0),0)</f>
        <v/>
      </c>
      <c r="N432" s="156">
        <f>IFERROR(VLOOKUP(F432&amp;G432,Rec!B:C,2,0),K432)</f>
        <v/>
      </c>
      <c r="O432" s="156">
        <f>IFERROR(VLOOKUP(F432&amp;G432,Returns!A:B,2,0),0)</f>
        <v/>
      </c>
      <c r="Q432" s="156" t="inlineStr">
        <is>
          <t>Rome Odunze</t>
        </is>
      </c>
      <c r="R432" s="156" t="inlineStr">
        <is>
          <t>CHI</t>
        </is>
      </c>
      <c r="S432" s="156" t="inlineStr">
        <is>
          <t>WR</t>
        </is>
      </c>
    </row>
    <row r="433" hidden="1" ht="15.6" customHeight="1" s="152">
      <c r="A433" s="221" t="n">
        <v>112</v>
      </c>
      <c r="B433" s="218">
        <f>VLOOKUP(G433,Matrix!R:AA,10,0)</f>
        <v/>
      </c>
      <c r="C433" s="156">
        <f>IF(K433&gt;0.01,K433,IFERROR(VLOOKUP(F433&amp;G433,Rec!B:C,2,0),K433)+SUM(L433:O433))</f>
        <v/>
      </c>
      <c r="D433" s="218">
        <f>_xlfn.IFNA(INDEX('Injury Report'!F:F, MATCH(G433&amp;F433, 'Injury Report'!A:A, 0)), "Healthy")</f>
        <v/>
      </c>
      <c r="E433" s="219">
        <f>VLOOKUP(A433,'WR Depth'!A:G,7,0)-1</f>
        <v/>
      </c>
      <c r="F433" s="218">
        <f>VLOOKUP(A433,'WR Depth'!A:C,3,0)</f>
        <v/>
      </c>
      <c r="G433" s="218">
        <f>VLOOKUP(A433,'WR Depth'!A:B,2,0)</f>
        <v/>
      </c>
      <c r="H433" s="218">
        <f>VLOOKUP(A433,'WR Depth'!A:D,4,0)</f>
        <v/>
      </c>
      <c r="I433" s="218">
        <f>H433&amp;E433</f>
        <v/>
      </c>
      <c r="J433" s="220">
        <f>IF(VLOOKUP(F433,Rec!F:G,2,0)=G433,"OK","Check Team")</f>
        <v/>
      </c>
      <c r="K433" s="156" t="n"/>
      <c r="L433" s="156">
        <f>IFERROR(VLOOKUP(F433&amp;G433,Pass!B:C,2,0),0)</f>
        <v/>
      </c>
      <c r="M433" s="156">
        <f>IFERROR(VLOOKUP(F433&amp;G433,Rush!B:C,2,0),0)</f>
        <v/>
      </c>
      <c r="N433" s="156">
        <f>IFERROR(VLOOKUP(F433&amp;G433,Rec!B:C,2,0),K433)</f>
        <v/>
      </c>
      <c r="O433" s="156">
        <f>IFERROR(VLOOKUP(F433&amp;G433,Returns!A:B,2,0),0)</f>
        <v/>
      </c>
      <c r="Q433" s="156" t="inlineStr">
        <is>
          <t>Drew Ogletree</t>
        </is>
      </c>
      <c r="R433" s="156" t="inlineStr">
        <is>
          <t>IND</t>
        </is>
      </c>
      <c r="S433" s="156" t="inlineStr">
        <is>
          <t>TE</t>
        </is>
      </c>
    </row>
    <row r="434" hidden="1" ht="15.6" customHeight="1" s="152">
      <c r="A434" s="217" t="n">
        <v>113</v>
      </c>
      <c r="B434" s="218">
        <f>VLOOKUP(G434,Matrix!R:AA,10,0)</f>
        <v/>
      </c>
      <c r="C434" s="156">
        <f>IF(K434&gt;0.01,K434,IFERROR(VLOOKUP(F434&amp;G434,Rec!B:C,2,0),K434)+SUM(L434:O434))</f>
        <v/>
      </c>
      <c r="D434" s="218">
        <f>_xlfn.IFNA(INDEX('Injury Report'!F:F, MATCH(G434&amp;F434, 'Injury Report'!A:A, 0)), "Healthy")</f>
        <v/>
      </c>
      <c r="E434" s="219">
        <f>VLOOKUP(A434,'WR Depth'!A:G,7,0)-1</f>
        <v/>
      </c>
      <c r="F434" s="218">
        <f>VLOOKUP(A434,'WR Depth'!A:C,3,0)</f>
        <v/>
      </c>
      <c r="G434" s="218">
        <f>VLOOKUP(A434,'WR Depth'!A:B,2,0)</f>
        <v/>
      </c>
      <c r="H434" s="218">
        <f>VLOOKUP(A434,'WR Depth'!A:D,4,0)</f>
        <v/>
      </c>
      <c r="I434" s="218">
        <f>H434&amp;E434</f>
        <v/>
      </c>
      <c r="J434" s="220">
        <f>IF(VLOOKUP(F434,Rec!F:G,2,0)=G434,"OK","Check Team")</f>
        <v/>
      </c>
      <c r="K434" s="156" t="n"/>
      <c r="L434" s="156">
        <f>IFERROR(VLOOKUP(F434&amp;G434,Pass!B:C,2,0),0)</f>
        <v/>
      </c>
      <c r="M434" s="156">
        <f>IFERROR(VLOOKUP(F434&amp;G434,Rush!B:C,2,0),0)</f>
        <v/>
      </c>
      <c r="N434" s="156">
        <f>IFERROR(VLOOKUP(F434&amp;G434,Rec!B:C,2,0),K434)</f>
        <v/>
      </c>
      <c r="O434" s="156">
        <f>IFERROR(VLOOKUP(F434&amp;G434,Returns!A:B,2,0),0)</f>
        <v/>
      </c>
      <c r="Q434" s="156" t="inlineStr">
        <is>
          <t>Dare Ogunbowale</t>
        </is>
      </c>
      <c r="R434" s="156" t="inlineStr">
        <is>
          <t>HOU</t>
        </is>
      </c>
      <c r="S434" s="156" t="inlineStr">
        <is>
          <t>RB</t>
        </is>
      </c>
    </row>
    <row r="435" hidden="1" ht="15.6" customHeight="1" s="152">
      <c r="A435" s="221" t="n">
        <v>114</v>
      </c>
      <c r="B435" s="218">
        <f>VLOOKUP(G435,Matrix!R:AA,10,0)</f>
        <v/>
      </c>
      <c r="C435" s="156">
        <f>IF(K435&gt;0.01,K435,IFERROR(VLOOKUP(F435&amp;G435,Rec!B:C,2,0),K435)+SUM(L435:O435))</f>
        <v/>
      </c>
      <c r="D435" s="218">
        <f>_xlfn.IFNA(INDEX('Injury Report'!F:F, MATCH(G435&amp;F435, 'Injury Report'!A:A, 0)), "Healthy")</f>
        <v/>
      </c>
      <c r="E435" s="219">
        <f>VLOOKUP(A435,'WR Depth'!A:G,7,0)-1</f>
        <v/>
      </c>
      <c r="F435" s="218">
        <f>VLOOKUP(A435,'WR Depth'!A:C,3,0)</f>
        <v/>
      </c>
      <c r="G435" s="218">
        <f>VLOOKUP(A435,'WR Depth'!A:B,2,0)</f>
        <v/>
      </c>
      <c r="H435" s="218">
        <f>VLOOKUP(A435,'WR Depth'!A:D,4,0)</f>
        <v/>
      </c>
      <c r="I435" s="218">
        <f>H435&amp;E435</f>
        <v/>
      </c>
      <c r="J435" s="220">
        <f>IF(VLOOKUP(F435,Rec!F:G,2,0)=G435,"OK","Check Team")</f>
        <v/>
      </c>
      <c r="K435" s="156" t="n"/>
      <c r="L435" s="156">
        <f>IFERROR(VLOOKUP(F435&amp;G435,Pass!B:C,2,0),0)</f>
        <v/>
      </c>
      <c r="M435" s="156">
        <f>IFERROR(VLOOKUP(F435&amp;G435,Rush!B:C,2,0),0)</f>
        <v/>
      </c>
      <c r="N435" s="156">
        <f>IFERROR(VLOOKUP(F435&amp;G435,Rec!B:C,2,0),K435)</f>
        <v/>
      </c>
      <c r="O435" s="156">
        <f>IFERROR(VLOOKUP(F435&amp;G435,Returns!A:B,2,0),0)</f>
        <v/>
      </c>
      <c r="Q435" s="156" t="inlineStr">
        <is>
          <t>Chigoziem Okonkwo</t>
        </is>
      </c>
      <c r="R435" s="156" t="inlineStr">
        <is>
          <t>TEN</t>
        </is>
      </c>
      <c r="S435" s="156" t="inlineStr">
        <is>
          <t>TE</t>
        </is>
      </c>
    </row>
    <row r="436" hidden="1" ht="15.6" customHeight="1" s="152">
      <c r="A436" s="217" t="n">
        <v>115</v>
      </c>
      <c r="B436" s="218">
        <f>VLOOKUP(G436,Matrix!R:AA,10,0)</f>
        <v/>
      </c>
      <c r="C436" s="156">
        <f>IF(K436&gt;0.01,K436,IFERROR(VLOOKUP(F436&amp;G436,Rec!B:C,2,0),K436)+SUM(L436:O436))</f>
        <v/>
      </c>
      <c r="D436" s="218">
        <f>_xlfn.IFNA(INDEX('Injury Report'!F:F, MATCH(G436&amp;F436, 'Injury Report'!A:A, 0)), "Healthy")</f>
        <v/>
      </c>
      <c r="E436" s="219">
        <f>VLOOKUP(A436,'WR Depth'!A:G,7,0)-1</f>
        <v/>
      </c>
      <c r="F436" s="218">
        <f>VLOOKUP(A436,'WR Depth'!A:C,3,0)</f>
        <v/>
      </c>
      <c r="G436" s="218">
        <f>VLOOKUP(A436,'WR Depth'!A:B,2,0)</f>
        <v/>
      </c>
      <c r="H436" s="218">
        <f>VLOOKUP(A436,'WR Depth'!A:D,4,0)</f>
        <v/>
      </c>
      <c r="I436" s="218">
        <f>H436&amp;E436</f>
        <v/>
      </c>
      <c r="J436" s="220">
        <f>IF(VLOOKUP(F436,Rec!F:G,2,0)=G436,"OK","Check Team")</f>
        <v/>
      </c>
      <c r="K436" s="156" t="n"/>
      <c r="L436" s="156">
        <f>IFERROR(VLOOKUP(F436&amp;G436,Pass!B:C,2,0),0)</f>
        <v/>
      </c>
      <c r="M436" s="156">
        <f>IFERROR(VLOOKUP(F436&amp;G436,Rush!B:C,2,0),0)</f>
        <v/>
      </c>
      <c r="N436" s="156">
        <f>IFERROR(VLOOKUP(F436&amp;G436,Rec!B:C,2,0),K436)</f>
        <v/>
      </c>
      <c r="O436" s="156">
        <f>IFERROR(VLOOKUP(F436&amp;G436,Returns!A:B,2,0),0)</f>
        <v/>
      </c>
      <c r="Q436" s="156" t="inlineStr">
        <is>
          <t>Chris Olave</t>
        </is>
      </c>
      <c r="R436" s="156" t="inlineStr">
        <is>
          <t>NO</t>
        </is>
      </c>
      <c r="S436" s="156" t="inlineStr">
        <is>
          <t>WR</t>
        </is>
      </c>
    </row>
    <row r="437" hidden="1" ht="15.6" customHeight="1" s="152">
      <c r="A437" s="221" t="n">
        <v>116</v>
      </c>
      <c r="B437" s="218">
        <f>VLOOKUP(G437,Matrix!R:AA,10,0)</f>
        <v/>
      </c>
      <c r="C437" s="156">
        <f>IF(K437&gt;0.01,K437,IFERROR(VLOOKUP(F437&amp;G437,Rec!B:C,2,0),K437)+SUM(L437:O437))</f>
        <v/>
      </c>
      <c r="D437" s="218">
        <f>_xlfn.IFNA(INDEX('Injury Report'!F:F, MATCH(G437&amp;F437, 'Injury Report'!A:A, 0)), "Healthy")</f>
        <v/>
      </c>
      <c r="E437" s="219">
        <f>VLOOKUP(A437,'WR Depth'!A:G,7,0)-1</f>
        <v/>
      </c>
      <c r="F437" s="218">
        <f>VLOOKUP(A437,'WR Depth'!A:C,3,0)</f>
        <v/>
      </c>
      <c r="G437" s="218">
        <f>VLOOKUP(A437,'WR Depth'!A:B,2,0)</f>
        <v/>
      </c>
      <c r="H437" s="218">
        <f>VLOOKUP(A437,'WR Depth'!A:D,4,0)</f>
        <v/>
      </c>
      <c r="I437" s="218">
        <f>H437&amp;E437</f>
        <v/>
      </c>
      <c r="J437" s="220">
        <f>IF(VLOOKUP(F437,Rec!F:G,2,0)=G437,"OK","Check Team")</f>
        <v/>
      </c>
      <c r="K437" s="156" t="n"/>
      <c r="L437" s="156">
        <f>IFERROR(VLOOKUP(F437&amp;G437,Pass!B:C,2,0),0)</f>
        <v/>
      </c>
      <c r="M437" s="156">
        <f>IFERROR(VLOOKUP(F437&amp;G437,Rush!B:C,2,0),0)</f>
        <v/>
      </c>
      <c r="N437" s="156">
        <f>IFERROR(VLOOKUP(F437&amp;G437,Rec!B:C,2,0),K437)</f>
        <v/>
      </c>
      <c r="O437" s="156">
        <f>IFERROR(VLOOKUP(F437&amp;G437,Returns!A:B,2,0),0)</f>
        <v/>
      </c>
      <c r="Q437" s="156" t="inlineStr">
        <is>
          <t>Josh Oliver</t>
        </is>
      </c>
      <c r="R437" s="156" t="inlineStr">
        <is>
          <t>MIN</t>
        </is>
      </c>
      <c r="S437" s="156" t="inlineStr">
        <is>
          <t>TE</t>
        </is>
      </c>
    </row>
    <row r="438" hidden="1" ht="15.6" customHeight="1" s="152">
      <c r="A438" s="217" t="n">
        <v>117</v>
      </c>
      <c r="B438" s="218">
        <f>VLOOKUP(G438,Matrix!R:AA,10,0)</f>
        <v/>
      </c>
      <c r="C438" s="156">
        <f>IF(K438&gt;0.01,K438,IFERROR(VLOOKUP(F438&amp;G438,Rec!B:C,2,0),K438)+SUM(L438:O438))</f>
        <v/>
      </c>
      <c r="D438" s="218">
        <f>_xlfn.IFNA(INDEX('Injury Report'!F:F, MATCH(G438&amp;F438, 'Injury Report'!A:A, 0)), "Healthy")</f>
        <v/>
      </c>
      <c r="E438" s="219">
        <f>VLOOKUP(A438,'WR Depth'!A:G,7,0)-1</f>
        <v/>
      </c>
      <c r="F438" s="218">
        <f>VLOOKUP(A438,'WR Depth'!A:C,3,0)</f>
        <v/>
      </c>
      <c r="G438" s="218">
        <f>VLOOKUP(A438,'WR Depth'!A:B,2,0)</f>
        <v/>
      </c>
      <c r="H438" s="218">
        <f>VLOOKUP(A438,'WR Depth'!A:D,4,0)</f>
        <v/>
      </c>
      <c r="I438" s="218">
        <f>H438&amp;E438</f>
        <v/>
      </c>
      <c r="J438" s="220">
        <f>IF(VLOOKUP(F438,Rec!F:G,2,0)=G438,"OK","Check Team")</f>
        <v/>
      </c>
      <c r="K438" s="156" t="n"/>
      <c r="L438" s="156">
        <f>IFERROR(VLOOKUP(F438&amp;G438,Pass!B:C,2,0),0)</f>
        <v/>
      </c>
      <c r="M438" s="156">
        <f>IFERROR(VLOOKUP(F438&amp;G438,Rush!B:C,2,0),0)</f>
        <v/>
      </c>
      <c r="N438" s="156">
        <f>IFERROR(VLOOKUP(F438&amp;G438,Rec!B:C,2,0),K438)</f>
        <v/>
      </c>
      <c r="O438" s="156">
        <f>IFERROR(VLOOKUP(F438&amp;G438,Returns!A:B,2,0),0)</f>
        <v/>
      </c>
      <c r="Q438" s="156" t="inlineStr">
        <is>
          <t>Bryce Oliver</t>
        </is>
      </c>
      <c r="R438" s="156" t="inlineStr">
        <is>
          <t>TEN</t>
        </is>
      </c>
      <c r="S438" s="156" t="inlineStr">
        <is>
          <t>WR</t>
        </is>
      </c>
    </row>
    <row r="439" hidden="1" ht="15.6" customHeight="1" s="152">
      <c r="A439" s="221" t="n">
        <v>118</v>
      </c>
      <c r="B439" s="218">
        <f>VLOOKUP(G439,Matrix!R:AA,10,0)</f>
        <v/>
      </c>
      <c r="C439" s="156">
        <f>IF(K439&gt;0.01,K439,IFERROR(VLOOKUP(F439&amp;G439,Rec!B:C,2,0),K439)+SUM(L439:O439))</f>
        <v/>
      </c>
      <c r="D439" s="218">
        <f>_xlfn.IFNA(INDEX('Injury Report'!F:F, MATCH(G439&amp;F439, 'Injury Report'!A:A, 0)), "Healthy")</f>
        <v/>
      </c>
      <c r="E439" s="219">
        <f>VLOOKUP(A439,'WR Depth'!A:G,7,0)-1</f>
        <v/>
      </c>
      <c r="F439" s="218">
        <f>VLOOKUP(A439,'WR Depth'!A:C,3,0)</f>
        <v/>
      </c>
      <c r="G439" s="218">
        <f>VLOOKUP(A439,'WR Depth'!A:B,2,0)</f>
        <v/>
      </c>
      <c r="H439" s="218">
        <f>VLOOKUP(A439,'WR Depth'!A:D,4,0)</f>
        <v/>
      </c>
      <c r="I439" s="218">
        <f>H439&amp;E439</f>
        <v/>
      </c>
      <c r="J439" s="220">
        <f>IF(VLOOKUP(F439,Rec!F:G,2,0)=G439,"OK","Check Team")</f>
        <v/>
      </c>
      <c r="K439" s="156" t="n"/>
      <c r="L439" s="156">
        <f>IFERROR(VLOOKUP(F439&amp;G439,Pass!B:C,2,0),0)</f>
        <v/>
      </c>
      <c r="M439" s="156">
        <f>IFERROR(VLOOKUP(F439&amp;G439,Rush!B:C,2,0),0)</f>
        <v/>
      </c>
      <c r="N439" s="156">
        <f>IFERROR(VLOOKUP(F439&amp;G439,Rec!B:C,2,0),K439)</f>
        <v/>
      </c>
      <c r="O439" s="156">
        <f>IFERROR(VLOOKUP(F439&amp;G439,Returns!A:B,2,0),0)</f>
        <v/>
      </c>
      <c r="Q439" s="156" t="inlineStr">
        <is>
          <t>Gunner Olszewski</t>
        </is>
      </c>
      <c r="R439" s="156" t="inlineStr">
        <is>
          <t>NYG</t>
        </is>
      </c>
      <c r="S439" s="156" t="inlineStr">
        <is>
          <t>WR</t>
        </is>
      </c>
    </row>
    <row r="440" hidden="1" ht="15.6" customHeight="1" s="152">
      <c r="A440" s="217" t="n">
        <v>119</v>
      </c>
      <c r="B440" s="218">
        <f>VLOOKUP(G440,Matrix!R:AA,10,0)</f>
        <v/>
      </c>
      <c r="C440" s="156">
        <f>IF(K440&gt;0.01,K440,IFERROR(VLOOKUP(F440&amp;G440,Rec!B:C,2,0),K440)+SUM(L440:O440))</f>
        <v/>
      </c>
      <c r="D440" s="218">
        <f>_xlfn.IFNA(INDEX('Injury Report'!F:F, MATCH(G440&amp;F440, 'Injury Report'!A:A, 0)), "Healthy")</f>
        <v/>
      </c>
      <c r="E440" s="219">
        <f>VLOOKUP(A440,'WR Depth'!A:G,7,0)-1</f>
        <v/>
      </c>
      <c r="F440" s="218">
        <f>VLOOKUP(A440,'WR Depth'!A:C,3,0)</f>
        <v/>
      </c>
      <c r="G440" s="218">
        <f>VLOOKUP(A440,'WR Depth'!A:B,2,0)</f>
        <v/>
      </c>
      <c r="H440" s="218">
        <f>VLOOKUP(A440,'WR Depth'!A:D,4,0)</f>
        <v/>
      </c>
      <c r="I440" s="218">
        <f>H440&amp;E440</f>
        <v/>
      </c>
      <c r="J440" s="220">
        <f>IF(VLOOKUP(F440,Rec!F:G,2,0)=G440,"OK","Check Team")</f>
        <v/>
      </c>
      <c r="K440" s="156" t="n"/>
      <c r="L440" s="156">
        <f>IFERROR(VLOOKUP(F440&amp;G440,Pass!B:C,2,0),0)</f>
        <v/>
      </c>
      <c r="M440" s="156">
        <f>IFERROR(VLOOKUP(F440&amp;G440,Rush!B:C,2,0),0)</f>
        <v/>
      </c>
      <c r="N440" s="156">
        <f>IFERROR(VLOOKUP(F440&amp;G440,Rec!B:C,2,0),K440)</f>
        <v/>
      </c>
      <c r="O440" s="156">
        <f>IFERROR(VLOOKUP(F440&amp;G440,Returns!A:B,2,0),0)</f>
        <v/>
      </c>
      <c r="Q440" s="156" t="inlineStr">
        <is>
          <t>K.J. Osborn</t>
        </is>
      </c>
      <c r="R440" s="156" t="inlineStr">
        <is>
          <t>WAS</t>
        </is>
      </c>
      <c r="S440" s="156" t="inlineStr">
        <is>
          <t>WR</t>
        </is>
      </c>
    </row>
    <row r="441" hidden="1" ht="15.6" customHeight="1" s="152">
      <c r="A441" s="221" t="n">
        <v>120</v>
      </c>
      <c r="B441" s="218">
        <f>VLOOKUP(G441,Matrix!R:AA,10,0)</f>
        <v/>
      </c>
      <c r="C441" s="156">
        <f>IF(K441&gt;0.01,K441,IFERROR(VLOOKUP(F441&amp;G441,Rec!B:C,2,0),K441)+SUM(L441:O441))</f>
        <v/>
      </c>
      <c r="D441" s="218">
        <f>_xlfn.IFNA(INDEX('Injury Report'!F:F, MATCH(G441&amp;F441, 'Injury Report'!A:A, 0)), "Healthy")</f>
        <v/>
      </c>
      <c r="E441" s="219">
        <f>VLOOKUP(A441,'WR Depth'!A:G,7,0)-1</f>
        <v/>
      </c>
      <c r="F441" s="218">
        <f>VLOOKUP(A441,'WR Depth'!A:C,3,0)</f>
        <v/>
      </c>
      <c r="G441" s="218">
        <f>VLOOKUP(A441,'WR Depth'!A:B,2,0)</f>
        <v/>
      </c>
      <c r="H441" s="218">
        <f>VLOOKUP(A441,'WR Depth'!A:D,4,0)</f>
        <v/>
      </c>
      <c r="I441" s="218">
        <f>H441&amp;E441</f>
        <v/>
      </c>
      <c r="J441" s="220">
        <f>IF(VLOOKUP(F441,Rec!F:G,2,0)=G441,"OK","Check Team")</f>
        <v/>
      </c>
      <c r="K441" s="156" t="n"/>
      <c r="L441" s="156">
        <f>IFERROR(VLOOKUP(F441&amp;G441,Pass!B:C,2,0),0)</f>
        <v/>
      </c>
      <c r="M441" s="156">
        <f>IFERROR(VLOOKUP(F441&amp;G441,Rush!B:C,2,0),0)</f>
        <v/>
      </c>
      <c r="N441" s="156">
        <f>IFERROR(VLOOKUP(F441&amp;G441,Rec!B:C,2,0),K441)</f>
        <v/>
      </c>
      <c r="O441" s="156">
        <f>IFERROR(VLOOKUP(F441&amp;G441,Returns!A:B,2,0),0)</f>
        <v/>
      </c>
      <c r="Q441" s="156" t="inlineStr">
        <is>
          <t>Cade Otton</t>
        </is>
      </c>
      <c r="R441" s="156" t="inlineStr">
        <is>
          <t>TB</t>
        </is>
      </c>
      <c r="S441" s="156" t="inlineStr">
        <is>
          <t>TE</t>
        </is>
      </c>
    </row>
    <row r="442" hidden="1" ht="15.6" customHeight="1" s="152">
      <c r="A442" s="217" t="n">
        <v>121</v>
      </c>
      <c r="B442" s="218">
        <f>VLOOKUP(G442,Matrix!R:AA,10,0)</f>
        <v/>
      </c>
      <c r="C442" s="156">
        <f>IF(K442&gt;0.01,K442,IFERROR(VLOOKUP(F442&amp;G442,Rec!B:C,2,0),K442)+SUM(L442:O442))</f>
        <v/>
      </c>
      <c r="D442" s="218">
        <f>_xlfn.IFNA(INDEX('Injury Report'!F:F, MATCH(G442&amp;F442, 'Injury Report'!A:A, 0)), "Healthy")</f>
        <v/>
      </c>
      <c r="E442" s="219">
        <f>VLOOKUP(A442,'WR Depth'!A:G,7,0)-1</f>
        <v/>
      </c>
      <c r="F442" s="218">
        <f>VLOOKUP(A442,'WR Depth'!A:C,3,0)</f>
        <v/>
      </c>
      <c r="G442" s="218">
        <f>VLOOKUP(A442,'WR Depth'!A:B,2,0)</f>
        <v/>
      </c>
      <c r="H442" s="218">
        <f>VLOOKUP(A442,'WR Depth'!A:D,4,0)</f>
        <v/>
      </c>
      <c r="I442" s="218">
        <f>H442&amp;E442</f>
        <v/>
      </c>
      <c r="J442" s="220">
        <f>IF(VLOOKUP(F442,Rec!F:G,2,0)=G442,"OK","Check Team")</f>
        <v/>
      </c>
      <c r="K442" s="156" t="n"/>
      <c r="L442" s="156">
        <f>IFERROR(VLOOKUP(F442&amp;G442,Pass!B:C,2,0),0)</f>
        <v/>
      </c>
      <c r="M442" s="156">
        <f>IFERROR(VLOOKUP(F442&amp;G442,Rush!B:C,2,0),0)</f>
        <v/>
      </c>
      <c r="N442" s="156">
        <f>IFERROR(VLOOKUP(F442&amp;G442,Rec!B:C,2,0),K442)</f>
        <v/>
      </c>
      <c r="O442" s="156">
        <f>IFERROR(VLOOKUP(F442&amp;G442,Returns!A:B,2,0),0)</f>
        <v/>
      </c>
      <c r="Q442" s="156" t="inlineStr">
        <is>
          <t>Isiah Pacheco</t>
        </is>
      </c>
      <c r="R442" s="156" t="inlineStr">
        <is>
          <t>KC</t>
        </is>
      </c>
      <c r="S442" s="156" t="inlineStr">
        <is>
          <t>RB</t>
        </is>
      </c>
    </row>
    <row r="443" hidden="1" ht="15.6" customHeight="1" s="152">
      <c r="A443" s="221" t="n">
        <v>122</v>
      </c>
      <c r="B443" s="218">
        <f>VLOOKUP(G443,Matrix!R:AA,10,0)</f>
        <v/>
      </c>
      <c r="C443" s="156">
        <f>IF(K443&gt;0.01,K443,IFERROR(VLOOKUP(F443&amp;G443,Rec!B:C,2,0),K443)+SUM(L443:O443))</f>
        <v/>
      </c>
      <c r="D443" s="218">
        <f>_xlfn.IFNA(INDEX('Injury Report'!F:F, MATCH(G443&amp;F443, 'Injury Report'!A:A, 0)), "Healthy")</f>
        <v/>
      </c>
      <c r="E443" s="219">
        <f>VLOOKUP(A443,'WR Depth'!A:G,7,0)-1</f>
        <v/>
      </c>
      <c r="F443" s="218">
        <f>VLOOKUP(A443,'WR Depth'!A:C,3,0)</f>
        <v/>
      </c>
      <c r="G443" s="218">
        <f>VLOOKUP(A443,'WR Depth'!A:B,2,0)</f>
        <v/>
      </c>
      <c r="H443" s="218">
        <f>VLOOKUP(A443,'WR Depth'!A:D,4,0)</f>
        <v/>
      </c>
      <c r="I443" s="218">
        <f>H443&amp;E443</f>
        <v/>
      </c>
      <c r="J443" s="220">
        <f>IF(VLOOKUP(F443,Rec!F:G,2,0)=G443,"OK","Check Team")</f>
        <v/>
      </c>
      <c r="K443" s="156" t="n"/>
      <c r="L443" s="156">
        <f>IFERROR(VLOOKUP(F443&amp;G443,Pass!B:C,2,0),0)</f>
        <v/>
      </c>
      <c r="M443" s="156">
        <f>IFERROR(VLOOKUP(F443&amp;G443,Rush!B:C,2,0),0)</f>
        <v/>
      </c>
      <c r="N443" s="156">
        <f>IFERROR(VLOOKUP(F443&amp;G443,Rec!B:C,2,0),K443)</f>
        <v/>
      </c>
      <c r="O443" s="156">
        <f>IFERROR(VLOOKUP(F443&amp;G443,Returns!A:B,2,0),0)</f>
        <v/>
      </c>
      <c r="Q443" s="156" t="inlineStr">
        <is>
          <t>Trey Palmer</t>
        </is>
      </c>
      <c r="R443" s="156" t="inlineStr">
        <is>
          <t>TB</t>
        </is>
      </c>
      <c r="S443" s="156" t="inlineStr">
        <is>
          <t>WR</t>
        </is>
      </c>
    </row>
    <row r="444" hidden="1" ht="15.6" customHeight="1" s="152">
      <c r="A444" s="217" t="n">
        <v>123</v>
      </c>
      <c r="B444" s="218">
        <f>VLOOKUP(G444,Matrix!R:AA,10,0)</f>
        <v/>
      </c>
      <c r="C444" s="156">
        <f>IF(K444&gt;0.01,K444,IFERROR(VLOOKUP(F444&amp;G444,Rec!B:C,2,0),K444)+SUM(L444:O444))</f>
        <v/>
      </c>
      <c r="D444" s="218">
        <f>_xlfn.IFNA(INDEX('Injury Report'!F:F, MATCH(G444&amp;F444, 'Injury Report'!A:A, 0)), "Healthy")</f>
        <v/>
      </c>
      <c r="E444" s="219">
        <f>VLOOKUP(A444,'WR Depth'!A:G,7,0)-1</f>
        <v/>
      </c>
      <c r="F444" s="218">
        <f>VLOOKUP(A444,'WR Depth'!A:C,3,0)</f>
        <v/>
      </c>
      <c r="G444" s="218">
        <f>VLOOKUP(A444,'WR Depth'!A:B,2,0)</f>
        <v/>
      </c>
      <c r="H444" s="218">
        <f>VLOOKUP(A444,'WR Depth'!A:D,4,0)</f>
        <v/>
      </c>
      <c r="I444" s="218">
        <f>H444&amp;E444</f>
        <v/>
      </c>
      <c r="J444" s="220">
        <f>IF(VLOOKUP(F444,Rec!F:G,2,0)=G444,"OK","Check Team")</f>
        <v/>
      </c>
      <c r="K444" s="156" t="n"/>
      <c r="L444" s="156">
        <f>IFERROR(VLOOKUP(F444&amp;G444,Pass!B:C,2,0),0)</f>
        <v/>
      </c>
      <c r="M444" s="156">
        <f>IFERROR(VLOOKUP(F444&amp;G444,Rush!B:C,2,0),0)</f>
        <v/>
      </c>
      <c r="N444" s="156">
        <f>IFERROR(VLOOKUP(F444&amp;G444,Rec!B:C,2,0),K444)</f>
        <v/>
      </c>
      <c r="O444" s="156">
        <f>IFERROR(VLOOKUP(F444&amp;G444,Returns!A:B,2,0),0)</f>
        <v/>
      </c>
      <c r="Q444" s="156" t="inlineStr">
        <is>
          <t>Tejhaun Palmer</t>
        </is>
      </c>
      <c r="R444" s="156" t="inlineStr">
        <is>
          <t>ARI</t>
        </is>
      </c>
      <c r="S444" s="156" t="inlineStr">
        <is>
          <t>WR</t>
        </is>
      </c>
    </row>
    <row r="445" hidden="1" ht="15.6" customHeight="1" s="152">
      <c r="A445" s="221" t="n">
        <v>124</v>
      </c>
      <c r="B445" s="218">
        <f>VLOOKUP(G445,Matrix!R:AA,10,0)</f>
        <v/>
      </c>
      <c r="C445" s="156">
        <f>IF(K445&gt;0.01,K445,IFERROR(VLOOKUP(F445&amp;G445,Rec!B:C,2,0),K445)+SUM(L445:O445))</f>
        <v/>
      </c>
      <c r="D445" s="218">
        <f>_xlfn.IFNA(INDEX('Injury Report'!F:F, MATCH(G445&amp;F445, 'Injury Report'!A:A, 0)), "Healthy")</f>
        <v/>
      </c>
      <c r="E445" s="219">
        <f>VLOOKUP(A445,'WR Depth'!A:G,7,0)-1</f>
        <v/>
      </c>
      <c r="F445" s="218">
        <f>VLOOKUP(A445,'WR Depth'!A:C,3,0)</f>
        <v/>
      </c>
      <c r="G445" s="218">
        <f>VLOOKUP(A445,'WR Depth'!A:B,2,0)</f>
        <v/>
      </c>
      <c r="H445" s="218">
        <f>VLOOKUP(A445,'WR Depth'!A:D,4,0)</f>
        <v/>
      </c>
      <c r="I445" s="218">
        <f>H445&amp;E445</f>
        <v/>
      </c>
      <c r="J445" s="220">
        <f>IF(VLOOKUP(F445,Rec!F:G,2,0)=G445,"OK","Check Team")</f>
        <v/>
      </c>
      <c r="K445" s="156" t="n"/>
      <c r="L445" s="156">
        <f>IFERROR(VLOOKUP(F445&amp;G445,Pass!B:C,2,0),0)</f>
        <v/>
      </c>
      <c r="M445" s="156">
        <f>IFERROR(VLOOKUP(F445&amp;G445,Rush!B:C,2,0),0)</f>
        <v/>
      </c>
      <c r="N445" s="156">
        <f>IFERROR(VLOOKUP(F445&amp;G445,Rec!B:C,2,0),K445)</f>
        <v/>
      </c>
      <c r="O445" s="156">
        <f>IFERROR(VLOOKUP(F445&amp;G445,Returns!A:B,2,0),0)</f>
        <v/>
      </c>
      <c r="Q445" s="156" t="inlineStr">
        <is>
          <t>Joshua Palmer</t>
        </is>
      </c>
      <c r="R445" s="156" t="inlineStr">
        <is>
          <t>LAC</t>
        </is>
      </c>
      <c r="S445" s="156" t="inlineStr">
        <is>
          <t>WR</t>
        </is>
      </c>
    </row>
    <row r="446" hidden="1" ht="15.6" customHeight="1" s="152">
      <c r="A446" s="217" t="n">
        <v>125</v>
      </c>
      <c r="B446" s="218">
        <f>VLOOKUP(G446,Matrix!R:AA,10,0)</f>
        <v/>
      </c>
      <c r="C446" s="156">
        <f>IF(K446&gt;0.01,K446,IFERROR(VLOOKUP(F446&amp;G446,Rec!B:C,2,0),K446)+SUM(L446:O446))</f>
        <v/>
      </c>
      <c r="D446" s="218">
        <f>_xlfn.IFNA(INDEX('Injury Report'!F:F, MATCH(G446&amp;F446, 'Injury Report'!A:A, 0)), "Healthy")</f>
        <v/>
      </c>
      <c r="E446" s="219">
        <f>VLOOKUP(A446,'WR Depth'!A:G,7,0)-1</f>
        <v/>
      </c>
      <c r="F446" s="218">
        <f>VLOOKUP(A446,'WR Depth'!A:C,3,0)</f>
        <v/>
      </c>
      <c r="G446" s="218">
        <f>VLOOKUP(A446,'WR Depth'!A:B,2,0)</f>
        <v/>
      </c>
      <c r="H446" s="218">
        <f>VLOOKUP(A446,'WR Depth'!A:D,4,0)</f>
        <v/>
      </c>
      <c r="I446" s="218">
        <f>H446&amp;E446</f>
        <v/>
      </c>
      <c r="J446" s="220">
        <f>IF(VLOOKUP(F446,Rec!F:G,2,0)=G446,"OK","Check Team")</f>
        <v/>
      </c>
      <c r="K446" s="156" t="n"/>
      <c r="L446" s="156">
        <f>IFERROR(VLOOKUP(F446&amp;G446,Pass!B:C,2,0),0)</f>
        <v/>
      </c>
      <c r="M446" s="156">
        <f>IFERROR(VLOOKUP(F446&amp;G446,Rush!B:C,2,0),0)</f>
        <v/>
      </c>
      <c r="N446" s="156">
        <f>IFERROR(VLOOKUP(F446&amp;G446,Rec!B:C,2,0),K446)</f>
        <v/>
      </c>
      <c r="O446" s="156">
        <f>IFERROR(VLOOKUP(F446&amp;G446,Returns!A:B,2,0),0)</f>
        <v/>
      </c>
      <c r="Q446" s="156" t="inlineStr">
        <is>
          <t>Donald Parham</t>
        </is>
      </c>
      <c r="R446" s="156" t="inlineStr">
        <is>
          <t>FA</t>
        </is>
      </c>
      <c r="S446" s="156" t="inlineStr">
        <is>
          <t>TE</t>
        </is>
      </c>
    </row>
    <row r="447" hidden="1" ht="15.6" customHeight="1" s="152">
      <c r="A447" s="221" t="n">
        <v>126</v>
      </c>
      <c r="B447" s="218">
        <f>VLOOKUP(G447,Matrix!R:AA,10,0)</f>
        <v/>
      </c>
      <c r="C447" s="156">
        <f>IF(K447&gt;0.01,K447,IFERROR(VLOOKUP(F447&amp;G447,Rec!B:C,2,0),K447)+SUM(L447:O447))</f>
        <v/>
      </c>
      <c r="D447" s="218">
        <f>_xlfn.IFNA(INDEX('Injury Report'!F:F, MATCH(G447&amp;F447, 'Injury Report'!A:A, 0)), "Healthy")</f>
        <v/>
      </c>
      <c r="E447" s="219">
        <f>VLOOKUP(A447,'WR Depth'!A:G,7,0)-1</f>
        <v/>
      </c>
      <c r="F447" s="218">
        <f>VLOOKUP(A447,'WR Depth'!A:C,3,0)</f>
        <v/>
      </c>
      <c r="G447" s="218">
        <f>VLOOKUP(A447,'WR Depth'!A:B,2,0)</f>
        <v/>
      </c>
      <c r="H447" s="218">
        <f>VLOOKUP(A447,'WR Depth'!A:D,4,0)</f>
        <v/>
      </c>
      <c r="I447" s="218">
        <f>H447&amp;E447</f>
        <v/>
      </c>
      <c r="J447" s="220">
        <f>IF(VLOOKUP(F447,Rec!F:G,2,0)=G447,"OK","Check Team")</f>
        <v/>
      </c>
      <c r="K447" s="156" t="n"/>
      <c r="L447" s="156">
        <f>IFERROR(VLOOKUP(F447&amp;G447,Pass!B:C,2,0),0)</f>
        <v/>
      </c>
      <c r="M447" s="156">
        <f>IFERROR(VLOOKUP(F447&amp;G447,Rush!B:C,2,0),0)</f>
        <v/>
      </c>
      <c r="N447" s="156">
        <f>IFERROR(VLOOKUP(F447&amp;G447,Rec!B:C,2,0),K447)</f>
        <v/>
      </c>
      <c r="O447" s="156">
        <f>IFERROR(VLOOKUP(F447&amp;G447,Returns!A:B,2,0),0)</f>
        <v/>
      </c>
      <c r="Q447" s="156" t="inlineStr">
        <is>
          <t>DeVante Parker</t>
        </is>
      </c>
      <c r="R447" s="156" t="inlineStr">
        <is>
          <t>FA</t>
        </is>
      </c>
      <c r="S447" s="156" t="inlineStr">
        <is>
          <t>WR</t>
        </is>
      </c>
    </row>
    <row r="448" hidden="1" ht="15.6" customHeight="1" s="152">
      <c r="A448" s="217" t="n">
        <v>127</v>
      </c>
      <c r="B448" s="218">
        <f>VLOOKUP(G448,Matrix!R:AA,10,0)</f>
        <v/>
      </c>
      <c r="C448" s="156">
        <f>IF(K448&gt;0.01,K448,IFERROR(VLOOKUP(F448&amp;G448,Rec!B:C,2,0),K448)+SUM(L448:O448))</f>
        <v/>
      </c>
      <c r="D448" s="218">
        <f>_xlfn.IFNA(INDEX('Injury Report'!F:F, MATCH(G448&amp;F448, 'Injury Report'!A:A, 0)), "Healthy")</f>
        <v/>
      </c>
      <c r="E448" s="219">
        <f>VLOOKUP(A448,'WR Depth'!A:G,7,0)-1</f>
        <v/>
      </c>
      <c r="F448" s="218">
        <f>VLOOKUP(A448,'WR Depth'!A:C,3,0)</f>
        <v/>
      </c>
      <c r="G448" s="218">
        <f>VLOOKUP(A448,'WR Depth'!A:B,2,0)</f>
        <v/>
      </c>
      <c r="H448" s="218">
        <f>VLOOKUP(A448,'WR Depth'!A:D,4,0)</f>
        <v/>
      </c>
      <c r="I448" s="218">
        <f>H448&amp;E448</f>
        <v/>
      </c>
      <c r="J448" s="220">
        <f>IF(VLOOKUP(F448,Rec!F:G,2,0)=G448,"OK","Check Team")</f>
        <v/>
      </c>
      <c r="K448" s="156" t="n"/>
      <c r="L448" s="156">
        <f>IFERROR(VLOOKUP(F448&amp;G448,Pass!B:C,2,0),0)</f>
        <v/>
      </c>
      <c r="M448" s="156">
        <f>IFERROR(VLOOKUP(F448&amp;G448,Rush!B:C,2,0),0)</f>
        <v/>
      </c>
      <c r="N448" s="156">
        <f>IFERROR(VLOOKUP(F448&amp;G448,Rec!B:C,2,0),K448)</f>
        <v/>
      </c>
      <c r="O448" s="156">
        <f>IFERROR(VLOOKUP(F448&amp;G448,Returns!A:B,2,0),0)</f>
        <v/>
      </c>
      <c r="Q448" s="156" t="inlineStr">
        <is>
          <t>Colby Parkinson</t>
        </is>
      </c>
      <c r="R448" s="156" t="inlineStr">
        <is>
          <t>LAR</t>
        </is>
      </c>
      <c r="S448" s="156" t="inlineStr">
        <is>
          <t>TE</t>
        </is>
      </c>
    </row>
    <row r="449" hidden="1" ht="15.6" customHeight="1" s="152">
      <c r="A449" s="221" t="n">
        <v>128</v>
      </c>
      <c r="B449" s="218">
        <f>VLOOKUP(G449,Matrix!R:AA,10,0)</f>
        <v/>
      </c>
      <c r="C449" s="156">
        <f>IF(K449&gt;0.01,K449,IFERROR(VLOOKUP(F449&amp;G449,Rec!B:C,2,0),K449)+SUM(L449:O449))</f>
        <v/>
      </c>
      <c r="D449" s="218">
        <f>_xlfn.IFNA(INDEX('Injury Report'!F:F, MATCH(G449&amp;F449, 'Injury Report'!A:A, 0)), "Healthy")</f>
        <v/>
      </c>
      <c r="E449" s="219">
        <f>VLOOKUP(A449,'WR Depth'!A:G,7,0)-1</f>
        <v/>
      </c>
      <c r="F449" s="218">
        <f>VLOOKUP(A449,'WR Depth'!A:C,3,0)</f>
        <v/>
      </c>
      <c r="G449" s="218">
        <f>VLOOKUP(A449,'WR Depth'!A:B,2,0)</f>
        <v/>
      </c>
      <c r="H449" s="218">
        <f>VLOOKUP(A449,'WR Depth'!A:D,4,0)</f>
        <v/>
      </c>
      <c r="I449" s="218">
        <f>H449&amp;E449</f>
        <v/>
      </c>
      <c r="J449" s="220">
        <f>IF(VLOOKUP(F449,Rec!F:G,2,0)=G449,"OK","Check Team")</f>
        <v/>
      </c>
      <c r="K449" s="156" t="n"/>
      <c r="L449" s="156">
        <f>IFERROR(VLOOKUP(F449&amp;G449,Pass!B:C,2,0),0)</f>
        <v/>
      </c>
      <c r="M449" s="156">
        <f>IFERROR(VLOOKUP(F449&amp;G449,Rush!B:C,2,0),0)</f>
        <v/>
      </c>
      <c r="N449" s="156">
        <f>IFERROR(VLOOKUP(F449&amp;G449,Rec!B:C,2,0),K449)</f>
        <v/>
      </c>
      <c r="O449" s="156">
        <f>IFERROR(VLOOKUP(F449&amp;G449,Returns!A:B,2,0),0)</f>
        <v/>
      </c>
      <c r="Q449" s="156" t="inlineStr">
        <is>
          <t>Zach Pascal</t>
        </is>
      </c>
      <c r="R449" s="156" t="inlineStr">
        <is>
          <t>ARI</t>
        </is>
      </c>
      <c r="S449" s="156" t="inlineStr">
        <is>
          <t>WR</t>
        </is>
      </c>
    </row>
    <row r="450" hidden="1" ht="15.6" customHeight="1" s="152">
      <c r="A450" s="217" t="n">
        <v>129</v>
      </c>
      <c r="B450" s="218">
        <f>VLOOKUP(G450,Matrix!R:AA,10,0)</f>
        <v/>
      </c>
      <c r="C450" s="156">
        <f>IF(K450&gt;0.01,K450,IFERROR(VLOOKUP(F450&amp;G450,Rec!B:C,2,0),K450)+SUM(L450:O450))</f>
        <v/>
      </c>
      <c r="D450" s="218">
        <f>_xlfn.IFNA(INDEX('Injury Report'!F:F, MATCH(G450&amp;F450, 'Injury Report'!A:A, 0)), "Healthy")</f>
        <v/>
      </c>
      <c r="E450" s="219">
        <f>VLOOKUP(A450,'WR Depth'!A:G,7,0)-1</f>
        <v/>
      </c>
      <c r="F450" s="218">
        <f>VLOOKUP(A450,'WR Depth'!A:C,3,0)</f>
        <v/>
      </c>
      <c r="G450" s="218">
        <f>VLOOKUP(A450,'WR Depth'!A:B,2,0)</f>
        <v/>
      </c>
      <c r="H450" s="218">
        <f>VLOOKUP(A450,'WR Depth'!A:D,4,0)</f>
        <v/>
      </c>
      <c r="I450" s="218">
        <f>H450&amp;E450</f>
        <v/>
      </c>
      <c r="J450" s="220">
        <f>IF(VLOOKUP(F450,Rec!F:G,2,0)=G450,"OK","Check Team")</f>
        <v/>
      </c>
      <c r="K450" s="156" t="n"/>
      <c r="L450" s="156">
        <f>IFERROR(VLOOKUP(F450&amp;G450,Pass!B:C,2,0),0)</f>
        <v/>
      </c>
      <c r="M450" s="156">
        <f>IFERROR(VLOOKUP(F450&amp;G450,Rush!B:C,2,0),0)</f>
        <v/>
      </c>
      <c r="N450" s="156">
        <f>IFERROR(VLOOKUP(F450&amp;G450,Rec!B:C,2,0),K450)</f>
        <v/>
      </c>
      <c r="O450" s="156">
        <f>IFERROR(VLOOKUP(F450&amp;G450,Returns!A:B,2,0),0)</f>
        <v/>
      </c>
      <c r="Q450" s="156" t="inlineStr">
        <is>
          <t>Tim Patrick</t>
        </is>
      </c>
      <c r="R450" s="156" t="inlineStr">
        <is>
          <t>DET</t>
        </is>
      </c>
      <c r="S450" s="156" t="inlineStr">
        <is>
          <t>WR</t>
        </is>
      </c>
    </row>
    <row r="451" hidden="1" ht="15.6" customHeight="1" s="152">
      <c r="A451" s="221" t="n">
        <v>130</v>
      </c>
      <c r="B451" s="218">
        <f>VLOOKUP(G451,Matrix!R:AA,10,0)</f>
        <v/>
      </c>
      <c r="C451" s="156">
        <f>IF(K451&gt;0.01,K451,IFERROR(VLOOKUP(F451&amp;G451,Rec!B:C,2,0),K451)+SUM(L451:O451))</f>
        <v/>
      </c>
      <c r="D451" s="218">
        <f>_xlfn.IFNA(INDEX('Injury Report'!F:F, MATCH(G451&amp;F451, 'Injury Report'!A:A, 0)), "Healthy")</f>
        <v/>
      </c>
      <c r="E451" s="219">
        <f>VLOOKUP(A451,'WR Depth'!A:G,7,0)-1</f>
        <v/>
      </c>
      <c r="F451" s="218">
        <f>VLOOKUP(A451,'WR Depth'!A:C,3,0)</f>
        <v/>
      </c>
      <c r="G451" s="218">
        <f>VLOOKUP(A451,'WR Depth'!A:B,2,0)</f>
        <v/>
      </c>
      <c r="H451" s="218">
        <f>VLOOKUP(A451,'WR Depth'!A:D,4,0)</f>
        <v/>
      </c>
      <c r="I451" s="218">
        <f>H451&amp;E451</f>
        <v/>
      </c>
      <c r="J451" s="220">
        <f>IF(VLOOKUP(F451,Rec!F:G,2,0)=G451,"OK","Check Team")</f>
        <v/>
      </c>
      <c r="K451" s="156" t="n"/>
      <c r="L451" s="156">
        <f>IFERROR(VLOOKUP(F451&amp;G451,Pass!B:C,2,0),0)</f>
        <v/>
      </c>
      <c r="M451" s="156">
        <f>IFERROR(VLOOKUP(F451&amp;G451,Rush!B:C,2,0),0)</f>
        <v/>
      </c>
      <c r="N451" s="156">
        <f>IFERROR(VLOOKUP(F451&amp;G451,Rec!B:C,2,0),K451)</f>
        <v/>
      </c>
      <c r="O451" s="156">
        <f>IFERROR(VLOOKUP(F451&amp;G451,Returns!A:B,2,0),0)</f>
        <v/>
      </c>
      <c r="Q451" s="156" t="inlineStr">
        <is>
          <t>Cordarrelle Patterson</t>
        </is>
      </c>
      <c r="R451" s="156" t="inlineStr">
        <is>
          <t>PIT</t>
        </is>
      </c>
      <c r="S451" s="156" t="inlineStr">
        <is>
          <t>RB</t>
        </is>
      </c>
    </row>
    <row r="452" hidden="1" ht="15.6" customHeight="1" s="152">
      <c r="A452" s="217" t="n">
        <v>131</v>
      </c>
      <c r="B452" s="218">
        <f>VLOOKUP(G452,Matrix!R:AA,10,0)</f>
        <v/>
      </c>
      <c r="C452" s="156">
        <f>IF(K452&gt;0.01,K452,IFERROR(VLOOKUP(F452&amp;G452,Rec!B:C,2,0),K452)+SUM(L452:O452))</f>
        <v/>
      </c>
      <c r="D452" s="218">
        <f>_xlfn.IFNA(INDEX('Injury Report'!F:F, MATCH(G452&amp;F452, 'Injury Report'!A:A, 0)), "Healthy")</f>
        <v/>
      </c>
      <c r="E452" s="219">
        <f>VLOOKUP(A452,'WR Depth'!A:G,7,0)-1</f>
        <v/>
      </c>
      <c r="F452" s="218">
        <f>VLOOKUP(A452,'WR Depth'!A:C,3,0)</f>
        <v/>
      </c>
      <c r="G452" s="218">
        <f>VLOOKUP(A452,'WR Depth'!A:B,2,0)</f>
        <v/>
      </c>
      <c r="H452" s="218">
        <f>VLOOKUP(A452,'WR Depth'!A:D,4,0)</f>
        <v/>
      </c>
      <c r="I452" s="218">
        <f>H452&amp;E452</f>
        <v/>
      </c>
      <c r="J452" s="220">
        <f>IF(VLOOKUP(F452,Rec!F:G,2,0)=G452,"OK","Check Team")</f>
        <v/>
      </c>
      <c r="K452" s="156" t="n"/>
      <c r="L452" s="156">
        <f>IFERROR(VLOOKUP(F452&amp;G452,Pass!B:C,2,0),0)</f>
        <v/>
      </c>
      <c r="M452" s="156">
        <f>IFERROR(VLOOKUP(F452&amp;G452,Rush!B:C,2,0),0)</f>
        <v/>
      </c>
      <c r="N452" s="156">
        <f>IFERROR(VLOOKUP(F452&amp;G452,Rec!B:C,2,0),K452)</f>
        <v/>
      </c>
      <c r="O452" s="156">
        <f>IFERROR(VLOOKUP(F452&amp;G452,Returns!A:B,2,0),0)</f>
        <v/>
      </c>
      <c r="Q452" s="156" t="inlineStr">
        <is>
          <t>Riley Patterson</t>
        </is>
      </c>
      <c r="R452" s="156" t="inlineStr">
        <is>
          <t>ATL</t>
        </is>
      </c>
      <c r="S452" s="156" t="inlineStr">
        <is>
          <t>K</t>
        </is>
      </c>
    </row>
    <row r="453" hidden="1" ht="15.6" customHeight="1" s="152">
      <c r="A453" s="221" t="n">
        <v>132</v>
      </c>
      <c r="B453" s="218">
        <f>VLOOKUP(G453,Matrix!R:AA,10,0)</f>
        <v/>
      </c>
      <c r="C453" s="156">
        <f>IF(K453&gt;0.01,K453,IFERROR(VLOOKUP(F453&amp;G453,Rec!B:C,2,0),K453)+SUM(L453:O453))</f>
        <v/>
      </c>
      <c r="D453" s="218">
        <f>_xlfn.IFNA(INDEX('Injury Report'!F:F, MATCH(G453&amp;F453, 'Injury Report'!A:A, 0)), "Healthy")</f>
        <v/>
      </c>
      <c r="E453" s="219">
        <f>VLOOKUP(A453,'WR Depth'!A:G,7,0)-1</f>
        <v/>
      </c>
      <c r="F453" s="218">
        <f>VLOOKUP(A453,'WR Depth'!A:C,3,0)</f>
        <v/>
      </c>
      <c r="G453" s="218">
        <f>VLOOKUP(A453,'WR Depth'!A:B,2,0)</f>
        <v/>
      </c>
      <c r="H453" s="218">
        <f>VLOOKUP(A453,'WR Depth'!A:D,4,0)</f>
        <v/>
      </c>
      <c r="I453" s="218">
        <f>H453&amp;E453</f>
        <v/>
      </c>
      <c r="J453" s="220">
        <f>IF(VLOOKUP(F453,Rec!F:G,2,0)=G453,"OK","Check Team")</f>
        <v/>
      </c>
      <c r="K453" s="156" t="n"/>
      <c r="L453" s="156">
        <f>IFERROR(VLOOKUP(F453&amp;G453,Pass!B:C,2,0),0)</f>
        <v/>
      </c>
      <c r="M453" s="156">
        <f>IFERROR(VLOOKUP(F453&amp;G453,Rush!B:C,2,0),0)</f>
        <v/>
      </c>
      <c r="N453" s="156">
        <f>IFERROR(VLOOKUP(F453&amp;G453,Rec!B:C,2,0),K453)</f>
        <v/>
      </c>
      <c r="O453" s="156">
        <f>IFERROR(VLOOKUP(F453&amp;G453,Returns!A:B,2,0),0)</f>
        <v/>
      </c>
      <c r="Q453" s="156" t="inlineStr">
        <is>
          <t>Jaret Patterson</t>
        </is>
      </c>
      <c r="R453" s="156" t="inlineStr">
        <is>
          <t>FA</t>
        </is>
      </c>
      <c r="S453" s="156" t="inlineStr">
        <is>
          <t>RB</t>
        </is>
      </c>
    </row>
    <row r="454" hidden="1" ht="15.6" customHeight="1" s="152">
      <c r="A454" s="217" t="n">
        <v>133</v>
      </c>
      <c r="B454" s="218">
        <f>VLOOKUP(G454,Matrix!R:AA,10,0)</f>
        <v/>
      </c>
      <c r="C454" s="156">
        <f>IF(K454&gt;0.01,K454,IFERROR(VLOOKUP(F454&amp;G454,Rec!B:C,2,0),K454)+SUM(L454:O454))</f>
        <v/>
      </c>
      <c r="D454" s="218">
        <f>_xlfn.IFNA(INDEX('Injury Report'!F:F, MATCH(G454&amp;F454, 'Injury Report'!A:A, 0)), "Healthy")</f>
        <v/>
      </c>
      <c r="E454" s="219">
        <f>VLOOKUP(A454,'WR Depth'!A:G,7,0)-1</f>
        <v/>
      </c>
      <c r="F454" s="218">
        <f>VLOOKUP(A454,'WR Depth'!A:C,3,0)</f>
        <v/>
      </c>
      <c r="G454" s="218">
        <f>VLOOKUP(A454,'WR Depth'!A:B,2,0)</f>
        <v/>
      </c>
      <c r="H454" s="218">
        <f>VLOOKUP(A454,'WR Depth'!A:D,4,0)</f>
        <v/>
      </c>
      <c r="I454" s="218">
        <f>H454&amp;E454</f>
        <v/>
      </c>
      <c r="J454" s="220">
        <f>IF(VLOOKUP(F454,Rec!F:G,2,0)=G454,"OK","Check Team")</f>
        <v/>
      </c>
      <c r="K454" s="156" t="n"/>
      <c r="L454" s="156">
        <f>IFERROR(VLOOKUP(F454&amp;G454,Pass!B:C,2,0),0)</f>
        <v/>
      </c>
      <c r="M454" s="156">
        <f>IFERROR(VLOOKUP(F454&amp;G454,Rush!B:C,2,0),0)</f>
        <v/>
      </c>
      <c r="N454" s="156">
        <f>IFERROR(VLOOKUP(F454&amp;G454,Rec!B:C,2,0),K454)</f>
        <v/>
      </c>
      <c r="O454" s="156">
        <f>IFERROR(VLOOKUP(F454&amp;G454,Returns!A:B,2,0),0)</f>
        <v/>
      </c>
      <c r="Q454" s="156" t="inlineStr">
        <is>
          <t>Ricky Pearsall</t>
        </is>
      </c>
      <c r="R454" s="156" t="inlineStr">
        <is>
          <t>SF</t>
        </is>
      </c>
      <c r="S454" s="156" t="inlineStr">
        <is>
          <t>WR</t>
        </is>
      </c>
    </row>
    <row r="455" hidden="1" ht="15.6" customHeight="1" s="152">
      <c r="A455" s="221" t="n">
        <v>134</v>
      </c>
      <c r="B455" s="218">
        <f>VLOOKUP(G455,Matrix!R:AA,10,0)</f>
        <v/>
      </c>
      <c r="C455" s="156">
        <f>IF(K455&gt;0.01,K455,IFERROR(VLOOKUP(F455&amp;G455,Rec!B:C,2,0),K455)+SUM(L455:O455))</f>
        <v/>
      </c>
      <c r="D455" s="218">
        <f>_xlfn.IFNA(INDEX('Injury Report'!F:F, MATCH(G455&amp;F455, 'Injury Report'!A:A, 0)), "Healthy")</f>
        <v/>
      </c>
      <c r="E455" s="219">
        <f>VLOOKUP(A455,'WR Depth'!A:G,7,0)-1</f>
        <v/>
      </c>
      <c r="F455" s="218">
        <f>VLOOKUP(A455,'WR Depth'!A:C,3,0)</f>
        <v/>
      </c>
      <c r="G455" s="218">
        <f>VLOOKUP(A455,'WR Depth'!A:B,2,0)</f>
        <v/>
      </c>
      <c r="H455" s="218">
        <f>VLOOKUP(A455,'WR Depth'!A:D,4,0)</f>
        <v/>
      </c>
      <c r="I455" s="218">
        <f>H455&amp;E455</f>
        <v/>
      </c>
      <c r="J455" s="220">
        <f>IF(VLOOKUP(F455,Rec!F:G,2,0)=G455,"OK","Check Team")</f>
        <v/>
      </c>
      <c r="K455" s="156" t="n"/>
      <c r="L455" s="156">
        <f>IFERROR(VLOOKUP(F455&amp;G455,Pass!B:C,2,0),0)</f>
        <v/>
      </c>
      <c r="M455" s="156">
        <f>IFERROR(VLOOKUP(F455&amp;G455,Rush!B:C,2,0),0)</f>
        <v/>
      </c>
      <c r="N455" s="156">
        <f>IFERROR(VLOOKUP(F455&amp;G455,Rec!B:C,2,0),K455)</f>
        <v/>
      </c>
      <c r="O455" s="156">
        <f>IFERROR(VLOOKUP(F455&amp;G455,Returns!A:B,2,0),0)</f>
        <v/>
      </c>
      <c r="Q455" s="156" t="inlineStr">
        <is>
          <t>Michael Penix</t>
        </is>
      </c>
      <c r="R455" s="156" t="inlineStr">
        <is>
          <t>ATL</t>
        </is>
      </c>
      <c r="S455" s="156" t="inlineStr">
        <is>
          <t>QB</t>
        </is>
      </c>
    </row>
    <row r="456" hidden="1" ht="15.6" customHeight="1" s="152">
      <c r="A456" s="217" t="n">
        <v>135</v>
      </c>
      <c r="B456" s="218">
        <f>VLOOKUP(G456,Matrix!R:AA,10,0)</f>
        <v/>
      </c>
      <c r="C456" s="156">
        <f>IF(K456&gt;0.01,K456,IFERROR(VLOOKUP(F456&amp;G456,Rec!B:C,2,0),K456)+SUM(L456:O456))</f>
        <v/>
      </c>
      <c r="D456" s="218">
        <f>_xlfn.IFNA(INDEX('Injury Report'!F:F, MATCH(G456&amp;F456, 'Injury Report'!A:A, 0)), "Healthy")</f>
        <v/>
      </c>
      <c r="E456" s="219">
        <f>VLOOKUP(A456,'WR Depth'!A:G,7,0)-1</f>
        <v/>
      </c>
      <c r="F456" s="218">
        <f>VLOOKUP(A456,'WR Depth'!A:C,3,0)</f>
        <v/>
      </c>
      <c r="G456" s="218">
        <f>VLOOKUP(A456,'WR Depth'!A:B,2,0)</f>
        <v/>
      </c>
      <c r="H456" s="218">
        <f>VLOOKUP(A456,'WR Depth'!A:D,4,0)</f>
        <v/>
      </c>
      <c r="I456" s="218">
        <f>H456&amp;E456</f>
        <v/>
      </c>
      <c r="J456" s="220">
        <f>IF(VLOOKUP(F456,Rec!F:G,2,0)=G456,"OK","Check Team")</f>
        <v/>
      </c>
      <c r="K456" s="156" t="n"/>
      <c r="L456" s="156">
        <f>IFERROR(VLOOKUP(F456&amp;G456,Pass!B:C,2,0),0)</f>
        <v/>
      </c>
      <c r="M456" s="156">
        <f>IFERROR(VLOOKUP(F456&amp;G456,Rush!B:C,2,0),0)</f>
        <v/>
      </c>
      <c r="N456" s="156">
        <f>IFERROR(VLOOKUP(F456&amp;G456,Rec!B:C,2,0),K456)</f>
        <v/>
      </c>
      <c r="O456" s="156">
        <f>IFERROR(VLOOKUP(F456&amp;G456,Returns!A:B,2,0),0)</f>
        <v/>
      </c>
      <c r="Q456" s="156" t="inlineStr">
        <is>
          <t>Rashaad Penny</t>
        </is>
      </c>
      <c r="R456" s="156" t="inlineStr">
        <is>
          <t>FA</t>
        </is>
      </c>
      <c r="S456" s="156" t="inlineStr">
        <is>
          <t>RB</t>
        </is>
      </c>
    </row>
    <row r="457" hidden="1" ht="15.6" customHeight="1" s="152">
      <c r="A457" s="221" t="n">
        <v>136</v>
      </c>
      <c r="B457" s="218">
        <f>VLOOKUP(G457,Matrix!R:AA,10,0)</f>
        <v/>
      </c>
      <c r="C457" s="156">
        <f>IF(K457&gt;0.01,K457,IFERROR(VLOOKUP(F457&amp;G457,Rec!B:C,2,0),K457)+SUM(L457:O457))</f>
        <v/>
      </c>
      <c r="D457" s="218">
        <f>_xlfn.IFNA(INDEX('Injury Report'!F:F, MATCH(G457&amp;F457, 'Injury Report'!A:A, 0)), "Healthy")</f>
        <v/>
      </c>
      <c r="E457" s="219">
        <f>VLOOKUP(A457,'WR Depth'!A:G,7,0)-1</f>
        <v/>
      </c>
      <c r="F457" s="218">
        <f>VLOOKUP(A457,'WR Depth'!A:C,3,0)</f>
        <v/>
      </c>
      <c r="G457" s="218">
        <f>VLOOKUP(A457,'WR Depth'!A:B,2,0)</f>
        <v/>
      </c>
      <c r="H457" s="218">
        <f>VLOOKUP(A457,'WR Depth'!A:D,4,0)</f>
        <v/>
      </c>
      <c r="I457" s="218">
        <f>H457&amp;E457</f>
        <v/>
      </c>
      <c r="J457" s="220">
        <f>IF(VLOOKUP(F457,Rec!F:G,2,0)=G457,"OK","Check Team")</f>
        <v/>
      </c>
      <c r="K457" s="156" t="n"/>
      <c r="L457" s="156">
        <f>IFERROR(VLOOKUP(F457&amp;G457,Pass!B:C,2,0),0)</f>
        <v/>
      </c>
      <c r="M457" s="156">
        <f>IFERROR(VLOOKUP(F457&amp;G457,Rush!B:C,2,0),0)</f>
        <v/>
      </c>
      <c r="N457" s="156">
        <f>IFERROR(VLOOKUP(F457&amp;G457,Rec!B:C,2,0),K457)</f>
        <v/>
      </c>
      <c r="O457" s="156">
        <f>IFERROR(VLOOKUP(F457&amp;G457,Returns!A:B,2,0),0)</f>
        <v/>
      </c>
      <c r="Q457" s="156" t="inlineStr">
        <is>
          <t>Donovan Peoples-Jones</t>
        </is>
      </c>
      <c r="R457" s="156" t="inlineStr">
        <is>
          <t>FA</t>
        </is>
      </c>
      <c r="S457" s="156" t="inlineStr">
        <is>
          <t>WR</t>
        </is>
      </c>
    </row>
    <row r="458" hidden="1" ht="15.6" customHeight="1" s="152">
      <c r="A458" s="217" t="n">
        <v>137</v>
      </c>
      <c r="B458" s="218">
        <f>VLOOKUP(G458,Matrix!R:AA,10,0)</f>
        <v/>
      </c>
      <c r="C458" s="156">
        <f>IF(K458&gt;0.01,K458,IFERROR(VLOOKUP(F458&amp;G458,Rec!B:C,2,0),K458)+SUM(L458:O458))</f>
        <v/>
      </c>
      <c r="D458" s="218">
        <f>_xlfn.IFNA(INDEX('Injury Report'!F:F, MATCH(G458&amp;F458, 'Injury Report'!A:A, 0)), "Healthy")</f>
        <v/>
      </c>
      <c r="E458" s="219">
        <f>VLOOKUP(A458,'WR Depth'!A:G,7,0)-1</f>
        <v/>
      </c>
      <c r="F458" s="218">
        <f>VLOOKUP(A458,'WR Depth'!A:C,3,0)</f>
        <v/>
      </c>
      <c r="G458" s="218">
        <f>VLOOKUP(A458,'WR Depth'!A:B,2,0)</f>
        <v/>
      </c>
      <c r="H458" s="218">
        <f>VLOOKUP(A458,'WR Depth'!A:D,4,0)</f>
        <v/>
      </c>
      <c r="I458" s="218">
        <f>H458&amp;E458</f>
        <v/>
      </c>
      <c r="J458" s="220">
        <f>IF(VLOOKUP(F458,Rec!F:G,2,0)=G458,"OK","Check Team")</f>
        <v/>
      </c>
      <c r="K458" s="156" t="n"/>
      <c r="L458" s="156">
        <f>IFERROR(VLOOKUP(F458&amp;G458,Pass!B:C,2,0),0)</f>
        <v/>
      </c>
      <c r="M458" s="156">
        <f>IFERROR(VLOOKUP(F458&amp;G458,Rush!B:C,2,0),0)</f>
        <v/>
      </c>
      <c r="N458" s="156">
        <f>IFERROR(VLOOKUP(F458&amp;G458,Rec!B:C,2,0),K458)</f>
        <v/>
      </c>
      <c r="O458" s="156">
        <f>IFERROR(VLOOKUP(F458&amp;G458,Returns!A:B,2,0),0)</f>
        <v/>
      </c>
      <c r="Q458" s="156" t="inlineStr">
        <is>
          <t>Samaje Perine</t>
        </is>
      </c>
      <c r="R458" s="156" t="inlineStr">
        <is>
          <t>KC</t>
        </is>
      </c>
      <c r="S458" s="156" t="inlineStr">
        <is>
          <t>RB</t>
        </is>
      </c>
    </row>
    <row r="459" hidden="1" ht="15.6" customHeight="1" s="152">
      <c r="A459" s="221" t="n">
        <v>138</v>
      </c>
      <c r="B459" s="218">
        <f>VLOOKUP(G459,Matrix!R:AA,10,0)</f>
        <v/>
      </c>
      <c r="C459" s="156">
        <f>IF(K459&gt;0.01,K459,IFERROR(VLOOKUP(F459&amp;G459,Rec!B:C,2,0),K459)+SUM(L459:O459))</f>
        <v/>
      </c>
      <c r="D459" s="218">
        <f>_xlfn.IFNA(INDEX('Injury Report'!F:F, MATCH(G459&amp;F459, 'Injury Report'!A:A, 0)), "Healthy")</f>
        <v/>
      </c>
      <c r="E459" s="219">
        <f>VLOOKUP(A459,'WR Depth'!A:G,7,0)-1</f>
        <v/>
      </c>
      <c r="F459" s="218">
        <f>VLOOKUP(A459,'WR Depth'!A:C,3,0)</f>
        <v/>
      </c>
      <c r="G459" s="218">
        <f>VLOOKUP(A459,'WR Depth'!A:B,2,0)</f>
        <v/>
      </c>
      <c r="H459" s="218">
        <f>VLOOKUP(A459,'WR Depth'!A:D,4,0)</f>
        <v/>
      </c>
      <c r="I459" s="218">
        <f>H459&amp;E459</f>
        <v/>
      </c>
      <c r="J459" s="220">
        <f>IF(VLOOKUP(F459,Rec!F:G,2,0)=G459,"OK","Check Team")</f>
        <v/>
      </c>
      <c r="K459" s="156" t="n"/>
      <c r="L459" s="156">
        <f>IFERROR(VLOOKUP(F459&amp;G459,Pass!B:C,2,0),0)</f>
        <v/>
      </c>
      <c r="M459" s="156">
        <f>IFERROR(VLOOKUP(F459&amp;G459,Rush!B:C,2,0),0)</f>
        <v/>
      </c>
      <c r="N459" s="156">
        <f>IFERROR(VLOOKUP(F459&amp;G459,Rec!B:C,2,0),K459)</f>
        <v/>
      </c>
      <c r="O459" s="156">
        <f>IFERROR(VLOOKUP(F459&amp;G459,Returns!A:B,2,0),0)</f>
        <v/>
      </c>
      <c r="Q459" s="156" t="inlineStr">
        <is>
          <t>La'Mical Perine</t>
        </is>
      </c>
      <c r="R459" s="156" t="inlineStr">
        <is>
          <t>FA</t>
        </is>
      </c>
      <c r="S459" s="156" t="inlineStr">
        <is>
          <t>RB</t>
        </is>
      </c>
    </row>
    <row r="460" hidden="1" ht="15.6" customHeight="1" s="152">
      <c r="A460" s="217" t="n">
        <v>139</v>
      </c>
      <c r="B460" s="218">
        <f>VLOOKUP(G460,Matrix!R:AA,10,0)</f>
        <v/>
      </c>
      <c r="C460" s="156">
        <f>IF(K460&gt;0.01,K460,IFERROR(VLOOKUP(F460&amp;G460,Rec!B:C,2,0),K460)+SUM(L460:O460))</f>
        <v/>
      </c>
      <c r="D460" s="218">
        <f>_xlfn.IFNA(INDEX('Injury Report'!F:F, MATCH(G460&amp;F460, 'Injury Report'!A:A, 0)), "Healthy")</f>
        <v/>
      </c>
      <c r="E460" s="219">
        <f>VLOOKUP(A460,'WR Depth'!A:G,7,0)-1</f>
        <v/>
      </c>
      <c r="F460" s="218">
        <f>VLOOKUP(A460,'WR Depth'!A:C,3,0)</f>
        <v/>
      </c>
      <c r="G460" s="218">
        <f>VLOOKUP(A460,'WR Depth'!A:B,2,0)</f>
        <v/>
      </c>
      <c r="H460" s="218">
        <f>VLOOKUP(A460,'WR Depth'!A:D,4,0)</f>
        <v/>
      </c>
      <c r="I460" s="218">
        <f>H460&amp;E460</f>
        <v/>
      </c>
      <c r="J460" s="220">
        <f>IF(VLOOKUP(F460,Rec!F:G,2,0)=G460,"OK","Check Team")</f>
        <v/>
      </c>
      <c r="K460" s="156" t="n"/>
      <c r="L460" s="156">
        <f>IFERROR(VLOOKUP(F460&amp;G460,Pass!B:C,2,0),0)</f>
        <v/>
      </c>
      <c r="M460" s="156">
        <f>IFERROR(VLOOKUP(F460&amp;G460,Rush!B:C,2,0),0)</f>
        <v/>
      </c>
      <c r="N460" s="156">
        <f>IFERROR(VLOOKUP(F460&amp;G460,Rec!B:C,2,0),K460)</f>
        <v/>
      </c>
      <c r="O460" s="156">
        <f>IFERROR(VLOOKUP(F460&amp;G460,Returns!A:B,2,0),0)</f>
        <v/>
      </c>
      <c r="Q460" s="156" t="inlineStr">
        <is>
          <t>A.T. Perry</t>
        </is>
      </c>
      <c r="R460" s="156" t="inlineStr">
        <is>
          <t>FA</t>
        </is>
      </c>
      <c r="S460" s="156" t="inlineStr">
        <is>
          <t>WR</t>
        </is>
      </c>
    </row>
    <row r="461" hidden="1" ht="15.6" customHeight="1" s="152">
      <c r="A461" s="221" t="n">
        <v>140</v>
      </c>
      <c r="B461" s="218">
        <f>VLOOKUP(G461,Matrix!R:AA,10,0)</f>
        <v/>
      </c>
      <c r="C461" s="156">
        <f>IF(K461&gt;0.01,K461,IFERROR(VLOOKUP(F461&amp;G461,Rec!B:C,2,0),K461)+SUM(L461:O461))</f>
        <v/>
      </c>
      <c r="D461" s="218">
        <f>_xlfn.IFNA(INDEX('Injury Report'!F:F, MATCH(G461&amp;F461, 'Injury Report'!A:A, 0)), "Healthy")</f>
        <v/>
      </c>
      <c r="E461" s="219">
        <f>VLOOKUP(A461,'WR Depth'!A:G,7,0)-1</f>
        <v/>
      </c>
      <c r="F461" s="218">
        <f>VLOOKUP(A461,'WR Depth'!A:C,3,0)</f>
        <v/>
      </c>
      <c r="G461" s="218">
        <f>VLOOKUP(A461,'WR Depth'!A:B,2,0)</f>
        <v/>
      </c>
      <c r="H461" s="218">
        <f>VLOOKUP(A461,'WR Depth'!A:D,4,0)</f>
        <v/>
      </c>
      <c r="I461" s="218">
        <f>H461&amp;E461</f>
        <v/>
      </c>
      <c r="J461" s="220">
        <f>IF(VLOOKUP(F461,Rec!F:G,2,0)=G461,"OK","Check Team")</f>
        <v/>
      </c>
      <c r="K461" s="156" t="n"/>
      <c r="L461" s="156">
        <f>IFERROR(VLOOKUP(F461&amp;G461,Pass!B:C,2,0),0)</f>
        <v/>
      </c>
      <c r="M461" s="156">
        <f>IFERROR(VLOOKUP(F461&amp;G461,Rush!B:C,2,0),0)</f>
        <v/>
      </c>
      <c r="N461" s="156">
        <f>IFERROR(VLOOKUP(F461&amp;G461,Rec!B:C,2,0),K461)</f>
        <v/>
      </c>
      <c r="O461" s="156">
        <f>IFERROR(VLOOKUP(F461&amp;G461,Returns!A:B,2,0),0)</f>
        <v/>
      </c>
      <c r="Q461" s="156" t="inlineStr">
        <is>
          <t>Kyle Philips</t>
        </is>
      </c>
      <c r="R461" s="156" t="inlineStr">
        <is>
          <t>FA</t>
        </is>
      </c>
      <c r="S461" s="156" t="inlineStr">
        <is>
          <t>WR</t>
        </is>
      </c>
    </row>
    <row r="462" hidden="1" ht="15.6" customHeight="1" s="152">
      <c r="A462" s="217" t="n">
        <v>141</v>
      </c>
      <c r="B462" s="218">
        <f>VLOOKUP(G462,Matrix!R:AA,10,0)</f>
        <v/>
      </c>
      <c r="C462" s="156">
        <f>IF(K462&gt;0.01,K462,IFERROR(VLOOKUP(F462&amp;G462,Rec!B:C,2,0),K462)+SUM(L462:O462))</f>
        <v/>
      </c>
      <c r="D462" s="218">
        <f>_xlfn.IFNA(INDEX('Injury Report'!F:F, MATCH(G462&amp;F462, 'Injury Report'!A:A, 0)), "Healthy")</f>
        <v/>
      </c>
      <c r="E462" s="219">
        <f>VLOOKUP(A462,'WR Depth'!A:G,7,0)-1</f>
        <v/>
      </c>
      <c r="F462" s="218">
        <f>VLOOKUP(A462,'WR Depth'!A:C,3,0)</f>
        <v/>
      </c>
      <c r="G462" s="218">
        <f>VLOOKUP(A462,'WR Depth'!A:B,2,0)</f>
        <v/>
      </c>
      <c r="H462" s="218">
        <f>VLOOKUP(A462,'WR Depth'!A:D,4,0)</f>
        <v/>
      </c>
      <c r="I462" s="218">
        <f>H462&amp;E462</f>
        <v/>
      </c>
      <c r="J462" s="220">
        <f>IF(VLOOKUP(F462,Rec!F:G,2,0)=G462,"OK","Check Team")</f>
        <v/>
      </c>
      <c r="K462" s="156" t="n"/>
      <c r="L462" s="156">
        <f>IFERROR(VLOOKUP(F462&amp;G462,Pass!B:C,2,0),0)</f>
        <v/>
      </c>
      <c r="M462" s="156">
        <f>IFERROR(VLOOKUP(F462&amp;G462,Rush!B:C,2,0),0)</f>
        <v/>
      </c>
      <c r="N462" s="156">
        <f>IFERROR(VLOOKUP(F462&amp;G462,Rec!B:C,2,0),K462)</f>
        <v/>
      </c>
      <c r="O462" s="156">
        <f>IFERROR(VLOOKUP(F462&amp;G462,Returns!A:B,2,0),0)</f>
        <v/>
      </c>
      <c r="Q462" s="156" t="inlineStr">
        <is>
          <t>George Pickens</t>
        </is>
      </c>
      <c r="R462" s="156" t="inlineStr">
        <is>
          <t>PIT</t>
        </is>
      </c>
      <c r="S462" s="156" t="inlineStr">
        <is>
          <t>WR</t>
        </is>
      </c>
    </row>
    <row r="463" hidden="1" ht="15.6" customHeight="1" s="152">
      <c r="A463" s="221" t="n">
        <v>142</v>
      </c>
      <c r="B463" s="218">
        <f>VLOOKUP(G463,Matrix!R:AA,10,0)</f>
        <v/>
      </c>
      <c r="C463" s="156">
        <f>IF(K463&gt;0.01,K463,IFERROR(VLOOKUP(F463&amp;G463,Rec!B:C,2,0),K463)+SUM(L463:O463))</f>
        <v/>
      </c>
      <c r="D463" s="218">
        <f>_xlfn.IFNA(INDEX('Injury Report'!F:F, MATCH(G463&amp;F463, 'Injury Report'!A:A, 0)), "Healthy")</f>
        <v/>
      </c>
      <c r="E463" s="219">
        <f>VLOOKUP(A463,'WR Depth'!A:G,7,0)-1</f>
        <v/>
      </c>
      <c r="F463" s="218">
        <f>VLOOKUP(A463,'WR Depth'!A:C,3,0)</f>
        <v/>
      </c>
      <c r="G463" s="218">
        <f>VLOOKUP(A463,'WR Depth'!A:B,2,0)</f>
        <v/>
      </c>
      <c r="H463" s="218">
        <f>VLOOKUP(A463,'WR Depth'!A:D,4,0)</f>
        <v/>
      </c>
      <c r="I463" s="218">
        <f>H463&amp;E463</f>
        <v/>
      </c>
      <c r="J463" s="220">
        <f>IF(VLOOKUP(F463,Rec!F:G,2,0)=G463,"OK","Check Team")</f>
        <v/>
      </c>
      <c r="K463" s="156" t="n"/>
      <c r="L463" s="156">
        <f>IFERROR(VLOOKUP(F463&amp;G463,Pass!B:C,2,0),0)</f>
        <v/>
      </c>
      <c r="M463" s="156">
        <f>IFERROR(VLOOKUP(F463&amp;G463,Rush!B:C,2,0),0)</f>
        <v/>
      </c>
      <c r="N463" s="156">
        <f>IFERROR(VLOOKUP(F463&amp;G463,Rec!B:C,2,0),K463)</f>
        <v/>
      </c>
      <c r="O463" s="156">
        <f>IFERROR(VLOOKUP(F463&amp;G463,Returns!A:B,2,0),0)</f>
        <v/>
      </c>
      <c r="Q463" s="156" t="inlineStr">
        <is>
          <t>Kenny Pickett</t>
        </is>
      </c>
      <c r="R463" s="156" t="inlineStr">
        <is>
          <t>PHI</t>
        </is>
      </c>
      <c r="S463" s="156" t="inlineStr">
        <is>
          <t>QB</t>
        </is>
      </c>
    </row>
    <row r="464" hidden="1" ht="15.6" customHeight="1" s="152">
      <c r="A464" s="217" t="n">
        <v>143</v>
      </c>
      <c r="B464" s="218">
        <f>VLOOKUP(G464,Matrix!R:AA,10,0)</f>
        <v/>
      </c>
      <c r="C464" s="156">
        <f>IF(K464&gt;0.01,K464,IFERROR(VLOOKUP(F464&amp;G464,Rec!B:C,2,0),K464)+SUM(L464:O464))</f>
        <v/>
      </c>
      <c r="D464" s="218">
        <f>_xlfn.IFNA(INDEX('Injury Report'!F:F, MATCH(G464&amp;F464, 'Injury Report'!A:A, 0)), "Healthy")</f>
        <v/>
      </c>
      <c r="E464" s="219">
        <f>VLOOKUP(A464,'WR Depth'!A:G,7,0)-1</f>
        <v/>
      </c>
      <c r="F464" s="218">
        <f>VLOOKUP(A464,'WR Depth'!A:C,3,0)</f>
        <v/>
      </c>
      <c r="G464" s="218">
        <f>VLOOKUP(A464,'WR Depth'!A:B,2,0)</f>
        <v/>
      </c>
      <c r="H464" s="218">
        <f>VLOOKUP(A464,'WR Depth'!A:D,4,0)</f>
        <v/>
      </c>
      <c r="I464" s="218">
        <f>H464&amp;E464</f>
        <v/>
      </c>
      <c r="J464" s="220">
        <f>IF(VLOOKUP(F464,Rec!F:G,2,0)=G464,"OK","Check Team")</f>
        <v/>
      </c>
      <c r="K464" s="156" t="n"/>
      <c r="L464" s="156">
        <f>IFERROR(VLOOKUP(F464&amp;G464,Pass!B:C,2,0),0)</f>
        <v/>
      </c>
      <c r="M464" s="156">
        <f>IFERROR(VLOOKUP(F464&amp;G464,Rush!B:C,2,0),0)</f>
        <v/>
      </c>
      <c r="N464" s="156">
        <f>IFERROR(VLOOKUP(F464&amp;G464,Rec!B:C,2,0),K464)</f>
        <v/>
      </c>
      <c r="O464" s="156">
        <f>IFERROR(VLOOKUP(F464&amp;G464,Returns!A:B,2,0),0)</f>
        <v/>
      </c>
      <c r="Q464" s="156" t="inlineStr">
        <is>
          <t>Dameon Pierce</t>
        </is>
      </c>
      <c r="R464" s="156" t="inlineStr">
        <is>
          <t>HOU</t>
        </is>
      </c>
      <c r="S464" s="156" t="inlineStr">
        <is>
          <t>RB</t>
        </is>
      </c>
    </row>
    <row r="465" hidden="1" ht="15.6" customHeight="1" s="152">
      <c r="A465" s="221" t="n">
        <v>144</v>
      </c>
      <c r="B465" s="218">
        <f>VLOOKUP(G465,Matrix!R:AA,10,0)</f>
        <v/>
      </c>
      <c r="C465" s="156">
        <f>IF(K465&gt;0.01,K465,IFERROR(VLOOKUP(F465&amp;G465,Rec!B:C,2,0),K465)+SUM(L465:O465))</f>
        <v/>
      </c>
      <c r="D465" s="218">
        <f>_xlfn.IFNA(INDEX('Injury Report'!F:F, MATCH(G465&amp;F465, 'Injury Report'!A:A, 0)), "Healthy")</f>
        <v/>
      </c>
      <c r="E465" s="219">
        <f>VLOOKUP(A465,'WR Depth'!A:G,7,0)-1</f>
        <v/>
      </c>
      <c r="F465" s="218">
        <f>VLOOKUP(A465,'WR Depth'!A:C,3,0)</f>
        <v/>
      </c>
      <c r="G465" s="218">
        <f>VLOOKUP(A465,'WR Depth'!A:B,2,0)</f>
        <v/>
      </c>
      <c r="H465" s="218">
        <f>VLOOKUP(A465,'WR Depth'!A:D,4,0)</f>
        <v/>
      </c>
      <c r="I465" s="218">
        <f>H465&amp;E465</f>
        <v/>
      </c>
      <c r="J465" s="220">
        <f>IF(VLOOKUP(F465,Rec!F:G,2,0)=G465,"OK","Check Team")</f>
        <v/>
      </c>
      <c r="K465" s="156" t="n"/>
      <c r="L465" s="156">
        <f>IFERROR(VLOOKUP(F465&amp;G465,Pass!B:C,2,0),0)</f>
        <v/>
      </c>
      <c r="M465" s="156">
        <f>IFERROR(VLOOKUP(F465&amp;G465,Rush!B:C,2,0),0)</f>
        <v/>
      </c>
      <c r="N465" s="156">
        <f>IFERROR(VLOOKUP(F465&amp;G465,Rec!B:C,2,0),K465)</f>
        <v/>
      </c>
      <c r="O465" s="156">
        <f>IFERROR(VLOOKUP(F465&amp;G465,Returns!A:B,2,0),0)</f>
        <v/>
      </c>
      <c r="Q465" s="156" t="inlineStr">
        <is>
          <t>Alec Pierce</t>
        </is>
      </c>
      <c r="R465" s="156" t="inlineStr">
        <is>
          <t>IND</t>
        </is>
      </c>
      <c r="S465" s="156" t="inlineStr">
        <is>
          <t>WR</t>
        </is>
      </c>
    </row>
    <row r="466" hidden="1" ht="15.6" customHeight="1" s="152">
      <c r="A466" s="217" t="n">
        <v>145</v>
      </c>
      <c r="B466" s="218">
        <f>VLOOKUP(G466,Matrix!R:AA,10,0)</f>
        <v/>
      </c>
      <c r="C466" s="156">
        <f>IF(K466&gt;0.01,K466,IFERROR(VLOOKUP(F466&amp;G466,Rec!B:C,2,0),K466)+SUM(L466:O466))</f>
        <v/>
      </c>
      <c r="D466" s="218">
        <f>_xlfn.IFNA(INDEX('Injury Report'!F:F, MATCH(G466&amp;F466, 'Injury Report'!A:A, 0)), "Healthy")</f>
        <v/>
      </c>
      <c r="E466" s="219">
        <f>VLOOKUP(A466,'WR Depth'!A:G,7,0)-1</f>
        <v/>
      </c>
      <c r="F466" s="218">
        <f>VLOOKUP(A466,'WR Depth'!A:C,3,0)</f>
        <v/>
      </c>
      <c r="G466" s="218">
        <f>VLOOKUP(A466,'WR Depth'!A:B,2,0)</f>
        <v/>
      </c>
      <c r="H466" s="218">
        <f>VLOOKUP(A466,'WR Depth'!A:D,4,0)</f>
        <v/>
      </c>
      <c r="I466" s="218">
        <f>H466&amp;E466</f>
        <v/>
      </c>
      <c r="J466" s="220">
        <f>IF(VLOOKUP(F466,Rec!F:G,2,0)=G466,"OK","Check Team")</f>
        <v/>
      </c>
      <c r="K466" s="156" t="n"/>
      <c r="L466" s="156">
        <f>IFERROR(VLOOKUP(F466&amp;G466,Pass!B:C,2,0),0)</f>
        <v/>
      </c>
      <c r="M466" s="156">
        <f>IFERROR(VLOOKUP(F466&amp;G466,Rush!B:C,2,0),0)</f>
        <v/>
      </c>
      <c r="N466" s="156">
        <f>IFERROR(VLOOKUP(F466&amp;G466,Rec!B:C,2,0),K466)</f>
        <v/>
      </c>
      <c r="O466" s="156">
        <f>IFERROR(VLOOKUP(F466&amp;G466,Returns!A:B,2,0),0)</f>
        <v/>
      </c>
      <c r="Q466" s="156" t="inlineStr">
        <is>
          <t>Eddy Pineiro</t>
        </is>
      </c>
      <c r="R466" s="156" t="inlineStr">
        <is>
          <t>CAR</t>
        </is>
      </c>
      <c r="S466" s="156" t="inlineStr">
        <is>
          <t>K</t>
        </is>
      </c>
    </row>
    <row r="467" hidden="1" ht="15.6" customHeight="1" s="152">
      <c r="A467" s="221" t="n">
        <v>146</v>
      </c>
      <c r="B467" s="218">
        <f>VLOOKUP(G467,Matrix!R:AA,10,0)</f>
        <v/>
      </c>
      <c r="C467" s="156">
        <f>IF(K467&gt;0.01,K467,IFERROR(VLOOKUP(F467&amp;G467,Rec!B:C,2,0),K467)+SUM(L467:O467))</f>
        <v/>
      </c>
      <c r="D467" s="218">
        <f>_xlfn.IFNA(INDEX('Injury Report'!F:F, MATCH(G467&amp;F467, 'Injury Report'!A:A, 0)), "Healthy")</f>
        <v/>
      </c>
      <c r="E467" s="219">
        <f>VLOOKUP(A467,'WR Depth'!A:G,7,0)-1</f>
        <v/>
      </c>
      <c r="F467" s="218">
        <f>VLOOKUP(A467,'WR Depth'!A:C,3,0)</f>
        <v/>
      </c>
      <c r="G467" s="218">
        <f>VLOOKUP(A467,'WR Depth'!A:B,2,0)</f>
        <v/>
      </c>
      <c r="H467" s="218">
        <f>VLOOKUP(A467,'WR Depth'!A:D,4,0)</f>
        <v/>
      </c>
      <c r="I467" s="218">
        <f>H467&amp;E467</f>
        <v/>
      </c>
      <c r="J467" s="220">
        <f>IF(VLOOKUP(F467,Rec!F:G,2,0)=G467,"OK","Check Team")</f>
        <v/>
      </c>
      <c r="K467" s="156" t="n"/>
      <c r="L467" s="156">
        <f>IFERROR(VLOOKUP(F467&amp;G467,Pass!B:C,2,0),0)</f>
        <v/>
      </c>
      <c r="M467" s="156">
        <f>IFERROR(VLOOKUP(F467&amp;G467,Rush!B:C,2,0),0)</f>
        <v/>
      </c>
      <c r="N467" s="156">
        <f>IFERROR(VLOOKUP(F467&amp;G467,Rec!B:C,2,0),K467)</f>
        <v/>
      </c>
      <c r="O467" s="156">
        <f>IFERROR(VLOOKUP(F467&amp;G467,Returns!A:B,2,0),0)</f>
        <v/>
      </c>
      <c r="Q467" s="156" t="inlineStr">
        <is>
          <t>Michael Pittman</t>
        </is>
      </c>
      <c r="R467" s="156" t="inlineStr">
        <is>
          <t>IND</t>
        </is>
      </c>
      <c r="S467" s="156" t="inlineStr">
        <is>
          <t>WR</t>
        </is>
      </c>
    </row>
    <row r="468" hidden="1" ht="15.6" customHeight="1" s="152">
      <c r="A468" s="217" t="n">
        <v>147</v>
      </c>
      <c r="B468" s="218">
        <f>VLOOKUP(G468,Matrix!R:AA,10,0)</f>
        <v/>
      </c>
      <c r="C468" s="156">
        <f>IF(K468&gt;0.01,K468,IFERROR(VLOOKUP(F468&amp;G468,Rec!B:C,2,0),K468)+SUM(L468:O468))</f>
        <v/>
      </c>
      <c r="D468" s="218">
        <f>_xlfn.IFNA(INDEX('Injury Report'!F:F, MATCH(G468&amp;F468, 'Injury Report'!A:A, 0)), "Healthy")</f>
        <v/>
      </c>
      <c r="E468" s="219">
        <f>VLOOKUP(A468,'WR Depth'!A:G,7,0)-1</f>
        <v/>
      </c>
      <c r="F468" s="218">
        <f>VLOOKUP(A468,'WR Depth'!A:C,3,0)</f>
        <v/>
      </c>
      <c r="G468" s="218">
        <f>VLOOKUP(A468,'WR Depth'!A:B,2,0)</f>
        <v/>
      </c>
      <c r="H468" s="218">
        <f>VLOOKUP(A468,'WR Depth'!A:D,4,0)</f>
        <v/>
      </c>
      <c r="I468" s="218">
        <f>H468&amp;E468</f>
        <v/>
      </c>
      <c r="J468" s="220">
        <f>IF(VLOOKUP(F468,Rec!F:G,2,0)=G468,"OK","Check Team")</f>
        <v/>
      </c>
      <c r="K468" s="156" t="n"/>
      <c r="L468" s="156">
        <f>IFERROR(VLOOKUP(F468&amp;G468,Pass!B:C,2,0),0)</f>
        <v/>
      </c>
      <c r="M468" s="156">
        <f>IFERROR(VLOOKUP(F468&amp;G468,Rush!B:C,2,0),0)</f>
        <v/>
      </c>
      <c r="N468" s="156">
        <f>IFERROR(VLOOKUP(F468&amp;G468,Rec!B:C,2,0),K468)</f>
        <v/>
      </c>
      <c r="O468" s="156">
        <f>IFERROR(VLOOKUP(F468&amp;G468,Returns!A:B,2,0),0)</f>
        <v/>
      </c>
      <c r="Q468" s="156" t="inlineStr">
        <is>
          <t>Kyle Pitts</t>
        </is>
      </c>
      <c r="R468" s="156" t="inlineStr">
        <is>
          <t>ATL</t>
        </is>
      </c>
      <c r="S468" s="156" t="inlineStr">
        <is>
          <t>TE</t>
        </is>
      </c>
    </row>
    <row r="469" hidden="1" ht="15.6" customHeight="1" s="152">
      <c r="A469" s="221" t="n">
        <v>148</v>
      </c>
      <c r="B469" s="218">
        <f>VLOOKUP(G469,Matrix!R:AA,10,0)</f>
        <v/>
      </c>
      <c r="C469" s="156">
        <f>IF(K469&gt;0.01,K469,IFERROR(VLOOKUP(F469&amp;G469,Rec!B:C,2,0),K469)+SUM(L469:O469))</f>
        <v/>
      </c>
      <c r="D469" s="218">
        <f>_xlfn.IFNA(INDEX('Injury Report'!F:F, MATCH(G469&amp;F469, 'Injury Report'!A:A, 0)), "Healthy")</f>
        <v/>
      </c>
      <c r="E469" s="219">
        <f>VLOOKUP(A469,'WR Depth'!A:G,7,0)-1</f>
        <v/>
      </c>
      <c r="F469" s="218">
        <f>VLOOKUP(A469,'WR Depth'!A:C,3,0)</f>
        <v/>
      </c>
      <c r="G469" s="218">
        <f>VLOOKUP(A469,'WR Depth'!A:B,2,0)</f>
        <v/>
      </c>
      <c r="H469" s="218">
        <f>VLOOKUP(A469,'WR Depth'!A:D,4,0)</f>
        <v/>
      </c>
      <c r="I469" s="218">
        <f>H469&amp;E469</f>
        <v/>
      </c>
      <c r="J469" s="220">
        <f>IF(VLOOKUP(F469,Rec!F:G,2,0)=G469,"OK","Check Team")</f>
        <v/>
      </c>
      <c r="K469" s="156" t="n"/>
      <c r="L469" s="156">
        <f>IFERROR(VLOOKUP(F469&amp;G469,Pass!B:C,2,0),0)</f>
        <v/>
      </c>
      <c r="M469" s="156">
        <f>IFERROR(VLOOKUP(F469&amp;G469,Rush!B:C,2,0),0)</f>
        <v/>
      </c>
      <c r="N469" s="156">
        <f>IFERROR(VLOOKUP(F469&amp;G469,Rec!B:C,2,0),K469)</f>
        <v/>
      </c>
      <c r="O469" s="156">
        <f>IFERROR(VLOOKUP(F469&amp;G469,Returns!A:B,2,0),0)</f>
        <v/>
      </c>
      <c r="Q469" s="156" t="inlineStr">
        <is>
          <t>Ja'Lynn Polk</t>
        </is>
      </c>
      <c r="R469" s="156" t="inlineStr">
        <is>
          <t>NE</t>
        </is>
      </c>
      <c r="S469" s="156" t="inlineStr">
        <is>
          <t>WR</t>
        </is>
      </c>
    </row>
    <row r="470" hidden="1" ht="15.6" customHeight="1" s="152">
      <c r="A470" s="217" t="n">
        <v>149</v>
      </c>
      <c r="B470" s="218">
        <f>VLOOKUP(G470,Matrix!R:AA,10,0)</f>
        <v/>
      </c>
      <c r="C470" s="156">
        <f>IF(K470&gt;0.01,K470,IFERROR(VLOOKUP(F470&amp;G470,Rec!B:C,2,0),K470)+SUM(L470:O470))</f>
        <v/>
      </c>
      <c r="D470" s="218">
        <f>_xlfn.IFNA(INDEX('Injury Report'!F:F, MATCH(G470&amp;F470, 'Injury Report'!A:A, 0)), "Healthy")</f>
        <v/>
      </c>
      <c r="E470" s="219">
        <f>VLOOKUP(A470,'WR Depth'!A:G,7,0)-1</f>
        <v/>
      </c>
      <c r="F470" s="218">
        <f>VLOOKUP(A470,'WR Depth'!A:C,3,0)</f>
        <v/>
      </c>
      <c r="G470" s="218">
        <f>VLOOKUP(A470,'WR Depth'!A:B,2,0)</f>
        <v/>
      </c>
      <c r="H470" s="218">
        <f>VLOOKUP(A470,'WR Depth'!A:D,4,0)</f>
        <v/>
      </c>
      <c r="I470" s="218">
        <f>H470&amp;E470</f>
        <v/>
      </c>
      <c r="J470" s="220">
        <f>IF(VLOOKUP(F470,Rec!F:G,2,0)=G470,"OK","Check Team")</f>
        <v/>
      </c>
      <c r="K470" s="156" t="n"/>
      <c r="L470" s="156">
        <f>IFERROR(VLOOKUP(F470&amp;G470,Pass!B:C,2,0),0)</f>
        <v/>
      </c>
      <c r="M470" s="156">
        <f>IFERROR(VLOOKUP(F470&amp;G470,Rush!B:C,2,0),0)</f>
        <v/>
      </c>
      <c r="N470" s="156">
        <f>IFERROR(VLOOKUP(F470&amp;G470,Rec!B:C,2,0),K470)</f>
        <v/>
      </c>
      <c r="O470" s="156">
        <f>IFERROR(VLOOKUP(F470&amp;G470,Returns!A:B,2,0),0)</f>
        <v/>
      </c>
      <c r="Q470" s="156" t="inlineStr">
        <is>
          <t>Tony Pollard</t>
        </is>
      </c>
      <c r="R470" s="156" t="inlineStr">
        <is>
          <t>TEN</t>
        </is>
      </c>
      <c r="S470" s="156" t="inlineStr">
        <is>
          <t>RB</t>
        </is>
      </c>
    </row>
    <row r="471" hidden="1" ht="15.6" customHeight="1" s="152">
      <c r="A471" s="221" t="n">
        <v>150</v>
      </c>
      <c r="B471" s="218">
        <f>VLOOKUP(G471,Matrix!R:AA,10,0)</f>
        <v/>
      </c>
      <c r="C471" s="156">
        <f>IF(K471&gt;0.01,K471,IFERROR(VLOOKUP(F471&amp;G471,Rec!B:C,2,0),K471)+SUM(L471:O471))</f>
        <v/>
      </c>
      <c r="D471" s="218">
        <f>_xlfn.IFNA(INDEX('Injury Report'!F:F, MATCH(G471&amp;F471, 'Injury Report'!A:A, 0)), "Healthy")</f>
        <v/>
      </c>
      <c r="E471" s="219">
        <f>VLOOKUP(A471,'WR Depth'!A:G,7,0)-1</f>
        <v/>
      </c>
      <c r="F471" s="218">
        <f>VLOOKUP(A471,'WR Depth'!A:C,3,0)</f>
        <v/>
      </c>
      <c r="G471" s="218">
        <f>VLOOKUP(A471,'WR Depth'!A:B,2,0)</f>
        <v/>
      </c>
      <c r="H471" s="218">
        <f>VLOOKUP(A471,'WR Depth'!A:D,4,0)</f>
        <v/>
      </c>
      <c r="I471" s="218">
        <f>H471&amp;E471</f>
        <v/>
      </c>
      <c r="J471" s="220">
        <f>IF(VLOOKUP(F471,Rec!F:G,2,0)=G471,"OK","Check Team")</f>
        <v/>
      </c>
      <c r="K471" s="156" t="n"/>
      <c r="L471" s="156">
        <f>IFERROR(VLOOKUP(F471&amp;G471,Pass!B:C,2,0),0)</f>
        <v/>
      </c>
      <c r="M471" s="156">
        <f>IFERROR(VLOOKUP(F471&amp;G471,Rush!B:C,2,0),0)</f>
        <v/>
      </c>
      <c r="N471" s="156">
        <f>IFERROR(VLOOKUP(F471&amp;G471,Rec!B:C,2,0),K471)</f>
        <v/>
      </c>
      <c r="O471" s="156">
        <f>IFERROR(VLOOKUP(F471&amp;G471,Returns!A:B,2,0),0)</f>
        <v/>
      </c>
      <c r="Q471" s="156" t="inlineStr">
        <is>
          <t>Brandon Powell</t>
        </is>
      </c>
      <c r="R471" s="156" t="inlineStr">
        <is>
          <t>MIN</t>
        </is>
      </c>
      <c r="S471" s="156" t="inlineStr">
        <is>
          <t>WR</t>
        </is>
      </c>
    </row>
    <row r="472" hidden="1" ht="15.6" customHeight="1" s="152">
      <c r="A472" s="217" t="n">
        <v>151</v>
      </c>
      <c r="B472" s="218">
        <f>VLOOKUP(G472,Matrix!R:AA,10,0)</f>
        <v/>
      </c>
      <c r="C472" s="156">
        <f>IF(K472&gt;0.01,K472,IFERROR(VLOOKUP(F472&amp;G472,Rec!B:C,2,0),K472)+SUM(L472:O472))</f>
        <v/>
      </c>
      <c r="D472" s="218">
        <f>_xlfn.IFNA(INDEX('Injury Report'!F:F, MATCH(G472&amp;F472, 'Injury Report'!A:A, 0)), "Healthy")</f>
        <v/>
      </c>
      <c r="E472" s="219">
        <f>VLOOKUP(A472,'WR Depth'!A:G,7,0)-1</f>
        <v/>
      </c>
      <c r="F472" s="218">
        <f>VLOOKUP(A472,'WR Depth'!A:C,3,0)</f>
        <v/>
      </c>
      <c r="G472" s="218">
        <f>VLOOKUP(A472,'WR Depth'!A:B,2,0)</f>
        <v/>
      </c>
      <c r="H472" s="218">
        <f>VLOOKUP(A472,'WR Depth'!A:D,4,0)</f>
        <v/>
      </c>
      <c r="I472" s="218">
        <f>H472&amp;E472</f>
        <v/>
      </c>
      <c r="J472" s="220">
        <f>IF(VLOOKUP(F472,Rec!F:G,2,0)=G472,"OK","Check Team")</f>
        <v/>
      </c>
      <c r="K472" s="156" t="n"/>
      <c r="L472" s="156">
        <f>IFERROR(VLOOKUP(F472&amp;G472,Pass!B:C,2,0),0)</f>
        <v/>
      </c>
      <c r="M472" s="156">
        <f>IFERROR(VLOOKUP(F472&amp;G472,Rush!B:C,2,0),0)</f>
        <v/>
      </c>
      <c r="N472" s="156">
        <f>IFERROR(VLOOKUP(F472&amp;G472,Rec!B:C,2,0),K472)</f>
        <v/>
      </c>
      <c r="O472" s="156">
        <f>IFERROR(VLOOKUP(F472&amp;G472,Returns!A:B,2,0),0)</f>
        <v/>
      </c>
      <c r="Q472" s="156" t="inlineStr">
        <is>
          <t>Matt Prater</t>
        </is>
      </c>
      <c r="R472" s="156" t="inlineStr">
        <is>
          <t>ARI</t>
        </is>
      </c>
      <c r="S472" s="156" t="inlineStr">
        <is>
          <t>K</t>
        </is>
      </c>
    </row>
    <row r="473" hidden="1" ht="15.6" customHeight="1" s="152">
      <c r="A473" s="221" t="n">
        <v>152</v>
      </c>
      <c r="B473" s="218">
        <f>VLOOKUP(G473,Matrix!R:AA,10,0)</f>
        <v/>
      </c>
      <c r="C473" s="156">
        <f>IF(K473&gt;0.01,K473,IFERROR(VLOOKUP(F473&amp;G473,Rec!B:C,2,0),K473)+SUM(L473:O473))</f>
        <v/>
      </c>
      <c r="D473" s="218">
        <f>_xlfn.IFNA(INDEX('Injury Report'!F:F, MATCH(G473&amp;F473, 'Injury Report'!A:A, 0)), "Healthy")</f>
        <v/>
      </c>
      <c r="E473" s="219">
        <f>VLOOKUP(A473,'WR Depth'!A:G,7,0)-1</f>
        <v/>
      </c>
      <c r="F473" s="218">
        <f>VLOOKUP(A473,'WR Depth'!A:C,3,0)</f>
        <v/>
      </c>
      <c r="G473" s="218">
        <f>VLOOKUP(A473,'WR Depth'!A:B,2,0)</f>
        <v/>
      </c>
      <c r="H473" s="218">
        <f>VLOOKUP(A473,'WR Depth'!A:D,4,0)</f>
        <v/>
      </c>
      <c r="I473" s="218">
        <f>H473&amp;E473</f>
        <v/>
      </c>
      <c r="J473" s="220">
        <f>IF(VLOOKUP(F473,Rec!F:G,2,0)=G473,"OK","Check Team")</f>
        <v/>
      </c>
      <c r="K473" s="156" t="n"/>
      <c r="L473" s="156">
        <f>IFERROR(VLOOKUP(F473&amp;G473,Pass!B:C,2,0),0)</f>
        <v/>
      </c>
      <c r="M473" s="156">
        <f>IFERROR(VLOOKUP(F473&amp;G473,Rush!B:C,2,0),0)</f>
        <v/>
      </c>
      <c r="N473" s="156">
        <f>IFERROR(VLOOKUP(F473&amp;G473,Rec!B:C,2,0),K473)</f>
        <v/>
      </c>
      <c r="O473" s="156">
        <f>IFERROR(VLOOKUP(F473&amp;G473,Returns!A:B,2,0),0)</f>
        <v/>
      </c>
      <c r="Q473" s="156" t="inlineStr">
        <is>
          <t>Michael Pratt</t>
        </is>
      </c>
      <c r="R473" s="156" t="inlineStr">
        <is>
          <t>FA</t>
        </is>
      </c>
      <c r="S473" s="156" t="inlineStr">
        <is>
          <t>QB</t>
        </is>
      </c>
    </row>
    <row r="474" hidden="1" ht="15.6" customHeight="1" s="152">
      <c r="A474" s="217" t="n">
        <v>153</v>
      </c>
      <c r="B474" s="218">
        <f>VLOOKUP(G474,Matrix!R:AA,10,0)</f>
        <v/>
      </c>
      <c r="C474" s="156">
        <f>IF(K474&gt;0.01,K474,IFERROR(VLOOKUP(F474&amp;G474,Rec!B:C,2,0),K474)+SUM(L474:O474))</f>
        <v/>
      </c>
      <c r="D474" s="218">
        <f>_xlfn.IFNA(INDEX('Injury Report'!F:F, MATCH(G474&amp;F474, 'Injury Report'!A:A, 0)), "Healthy")</f>
        <v/>
      </c>
      <c r="E474" s="219">
        <f>VLOOKUP(A474,'WR Depth'!A:G,7,0)-1</f>
        <v/>
      </c>
      <c r="F474" s="218">
        <f>VLOOKUP(A474,'WR Depth'!A:C,3,0)</f>
        <v/>
      </c>
      <c r="G474" s="218">
        <f>VLOOKUP(A474,'WR Depth'!A:B,2,0)</f>
        <v/>
      </c>
      <c r="H474" s="218">
        <f>VLOOKUP(A474,'WR Depth'!A:D,4,0)</f>
        <v/>
      </c>
      <c r="I474" s="218">
        <f>H474&amp;E474</f>
        <v/>
      </c>
      <c r="J474" s="220">
        <f>IF(VLOOKUP(F474,Rec!F:G,2,0)=G474,"OK","Check Team")</f>
        <v/>
      </c>
      <c r="K474" s="156" t="n"/>
      <c r="L474" s="156">
        <f>IFERROR(VLOOKUP(F474&amp;G474,Pass!B:C,2,0),0)</f>
        <v/>
      </c>
      <c r="M474" s="156">
        <f>IFERROR(VLOOKUP(F474&amp;G474,Rush!B:C,2,0),0)</f>
        <v/>
      </c>
      <c r="N474" s="156">
        <f>IFERROR(VLOOKUP(F474&amp;G474,Rec!B:C,2,0),K474)</f>
        <v/>
      </c>
      <c r="O474" s="156">
        <f>IFERROR(VLOOKUP(F474&amp;G474,Returns!A:B,2,0),0)</f>
        <v/>
      </c>
      <c r="Q474" s="156" t="inlineStr">
        <is>
          <t>Dak Prescott</t>
        </is>
      </c>
      <c r="R474" s="156" t="inlineStr">
        <is>
          <t>DAL</t>
        </is>
      </c>
      <c r="S474" s="156" t="inlineStr">
        <is>
          <t>QB</t>
        </is>
      </c>
    </row>
    <row r="475" hidden="1" ht="15.6" customHeight="1" s="152">
      <c r="A475" s="221" t="n">
        <v>154</v>
      </c>
      <c r="B475" s="218">
        <f>VLOOKUP(G475,Matrix!R:AA,10,0)</f>
        <v/>
      </c>
      <c r="C475" s="156">
        <f>IF(K475&gt;0.01,K475,IFERROR(VLOOKUP(F475&amp;G475,Rec!B:C,2,0),K475)+SUM(L475:O475))</f>
        <v/>
      </c>
      <c r="D475" s="218">
        <f>_xlfn.IFNA(INDEX('Injury Report'!F:F, MATCH(G475&amp;F475, 'Injury Report'!A:A, 0)), "Healthy")</f>
        <v/>
      </c>
      <c r="E475" s="219">
        <f>VLOOKUP(A475,'WR Depth'!A:G,7,0)-1</f>
        <v/>
      </c>
      <c r="F475" s="218">
        <f>VLOOKUP(A475,'WR Depth'!A:C,3,0)</f>
        <v/>
      </c>
      <c r="G475" s="218">
        <f>VLOOKUP(A475,'WR Depth'!A:B,2,0)</f>
        <v/>
      </c>
      <c r="H475" s="218">
        <f>VLOOKUP(A475,'WR Depth'!A:D,4,0)</f>
        <v/>
      </c>
      <c r="I475" s="218">
        <f>H475&amp;E475</f>
        <v/>
      </c>
      <c r="J475" s="220">
        <f>IF(VLOOKUP(F475,Rec!F:G,2,0)=G475,"OK","Check Team")</f>
        <v/>
      </c>
      <c r="K475" s="156" t="n"/>
      <c r="L475" s="156">
        <f>IFERROR(VLOOKUP(F475&amp;G475,Pass!B:C,2,0),0)</f>
        <v/>
      </c>
      <c r="M475" s="156">
        <f>IFERROR(VLOOKUP(F475&amp;G475,Rush!B:C,2,0),0)</f>
        <v/>
      </c>
      <c r="N475" s="156">
        <f>IFERROR(VLOOKUP(F475&amp;G475,Rec!B:C,2,0),K475)</f>
        <v/>
      </c>
      <c r="O475" s="156">
        <f>IFERROR(VLOOKUP(F475&amp;G475,Returns!A:B,2,0),0)</f>
        <v/>
      </c>
      <c r="Q475" s="156" t="inlineStr">
        <is>
          <t>Deneric Prince</t>
        </is>
      </c>
      <c r="R475" s="156" t="inlineStr">
        <is>
          <t>FA</t>
        </is>
      </c>
      <c r="S475" s="156" t="inlineStr">
        <is>
          <t>RB</t>
        </is>
      </c>
    </row>
    <row r="476" hidden="1" ht="15.6" customHeight="1" s="152">
      <c r="A476" s="217" t="n">
        <v>155</v>
      </c>
      <c r="B476" s="218">
        <f>VLOOKUP(G476,Matrix!R:AA,10,0)</f>
        <v/>
      </c>
      <c r="C476" s="156">
        <f>IF(K476&gt;0.01,K476,IFERROR(VLOOKUP(F476&amp;G476,Rec!B:C,2,0),K476)+SUM(L476:O476))</f>
        <v/>
      </c>
      <c r="D476" s="218">
        <f>_xlfn.IFNA(INDEX('Injury Report'!F:F, MATCH(G476&amp;F476, 'Injury Report'!A:A, 0)), "Healthy")</f>
        <v/>
      </c>
      <c r="E476" s="219">
        <f>VLOOKUP(A476,'WR Depth'!A:G,7,0)-1</f>
        <v/>
      </c>
      <c r="F476" s="218">
        <f>VLOOKUP(A476,'WR Depth'!A:C,3,0)</f>
        <v/>
      </c>
      <c r="G476" s="218">
        <f>VLOOKUP(A476,'WR Depth'!A:B,2,0)</f>
        <v/>
      </c>
      <c r="H476" s="218">
        <f>VLOOKUP(A476,'WR Depth'!A:D,4,0)</f>
        <v/>
      </c>
      <c r="I476" s="218">
        <f>H476&amp;E476</f>
        <v/>
      </c>
      <c r="J476" s="220">
        <f>IF(VLOOKUP(F476,Rec!F:G,2,0)=G476,"OK","Check Team")</f>
        <v/>
      </c>
      <c r="K476" s="156" t="n"/>
      <c r="L476" s="156">
        <f>IFERROR(VLOOKUP(F476&amp;G476,Pass!B:C,2,0),0)</f>
        <v/>
      </c>
      <c r="M476" s="156">
        <f>IFERROR(VLOOKUP(F476&amp;G476,Rush!B:C,2,0),0)</f>
        <v/>
      </c>
      <c r="N476" s="156">
        <f>IFERROR(VLOOKUP(F476&amp;G476,Rec!B:C,2,0),K476)</f>
        <v/>
      </c>
      <c r="O476" s="156">
        <f>IFERROR(VLOOKUP(F476&amp;G476,Returns!A:B,2,0),0)</f>
        <v/>
      </c>
      <c r="Q476" s="156" t="inlineStr">
        <is>
          <t>Byron Pringle</t>
        </is>
      </c>
      <c r="R476" s="156" t="inlineStr">
        <is>
          <t>FA</t>
        </is>
      </c>
      <c r="S476" s="156" t="inlineStr">
        <is>
          <t>WR</t>
        </is>
      </c>
    </row>
    <row r="477" hidden="1" ht="15.6" customHeight="1" s="152">
      <c r="A477" s="221" t="n">
        <v>156</v>
      </c>
      <c r="B477" s="218">
        <f>VLOOKUP(G477,Matrix!R:AA,10,0)</f>
        <v/>
      </c>
      <c r="C477" s="156">
        <f>IF(K477&gt;0.01,K477,IFERROR(VLOOKUP(F477&amp;G477,Rec!B:C,2,0),K477)+SUM(L477:O477))</f>
        <v/>
      </c>
      <c r="D477" s="218">
        <f>_xlfn.IFNA(INDEX('Injury Report'!F:F, MATCH(G477&amp;F477, 'Injury Report'!A:A, 0)), "Healthy")</f>
        <v/>
      </c>
      <c r="E477" s="219">
        <f>VLOOKUP(A477,'WR Depth'!A:G,7,0)-1</f>
        <v/>
      </c>
      <c r="F477" s="218">
        <f>VLOOKUP(A477,'WR Depth'!A:C,3,0)</f>
        <v/>
      </c>
      <c r="G477" s="218">
        <f>VLOOKUP(A477,'WR Depth'!A:B,2,0)</f>
        <v/>
      </c>
      <c r="H477" s="218">
        <f>VLOOKUP(A477,'WR Depth'!A:D,4,0)</f>
        <v/>
      </c>
      <c r="I477" s="218">
        <f>H477&amp;E477</f>
        <v/>
      </c>
      <c r="J477" s="220">
        <f>IF(VLOOKUP(F477,Rec!F:G,2,0)=G477,"OK","Check Team")</f>
        <v/>
      </c>
      <c r="K477" s="156" t="n"/>
      <c r="L477" s="156">
        <f>IFERROR(VLOOKUP(F477&amp;G477,Pass!B:C,2,0),0)</f>
        <v/>
      </c>
      <c r="M477" s="156">
        <f>IFERROR(VLOOKUP(F477&amp;G477,Rush!B:C,2,0),0)</f>
        <v/>
      </c>
      <c r="N477" s="156">
        <f>IFERROR(VLOOKUP(F477&amp;G477,Rec!B:C,2,0),K477)</f>
        <v/>
      </c>
      <c r="O477" s="156">
        <f>IFERROR(VLOOKUP(F477&amp;G477,Returns!A:B,2,0),0)</f>
        <v/>
      </c>
      <c r="Q477" s="156" t="inlineStr">
        <is>
          <t>James Proche</t>
        </is>
      </c>
      <c r="R477" s="156" t="inlineStr">
        <is>
          <t>CLE</t>
        </is>
      </c>
      <c r="S477" s="156" t="inlineStr">
        <is>
          <t>WR</t>
        </is>
      </c>
    </row>
    <row r="478" hidden="1" ht="15.6" customHeight="1" s="152">
      <c r="A478" s="217" t="n">
        <v>157</v>
      </c>
      <c r="B478" s="218">
        <f>VLOOKUP(G478,Matrix!R:AA,10,0)</f>
        <v/>
      </c>
      <c r="C478" s="156">
        <f>IF(K478&gt;0.01,K478,IFERROR(VLOOKUP(F478&amp;G478,Rec!B:C,2,0),K478)+SUM(L478:O478))</f>
        <v/>
      </c>
      <c r="D478" s="218">
        <f>_xlfn.IFNA(INDEX('Injury Report'!F:F, MATCH(G478&amp;F478, 'Injury Report'!A:A, 0)), "Healthy")</f>
        <v/>
      </c>
      <c r="E478" s="219">
        <f>VLOOKUP(A478,'WR Depth'!A:G,7,0)-1</f>
        <v/>
      </c>
      <c r="F478" s="218">
        <f>VLOOKUP(A478,'WR Depth'!A:C,3,0)</f>
        <v/>
      </c>
      <c r="G478" s="218">
        <f>VLOOKUP(A478,'WR Depth'!A:B,2,0)</f>
        <v/>
      </c>
      <c r="H478" s="218">
        <f>VLOOKUP(A478,'WR Depth'!A:D,4,0)</f>
        <v/>
      </c>
      <c r="I478" s="218">
        <f>H478&amp;E478</f>
        <v/>
      </c>
      <c r="J478" s="220">
        <f>IF(VLOOKUP(F478,Rec!F:G,2,0)=G478,"OK","Check Team")</f>
        <v/>
      </c>
      <c r="K478" s="156" t="n"/>
      <c r="L478" s="156">
        <f>IFERROR(VLOOKUP(F478&amp;G478,Pass!B:C,2,0),0)</f>
        <v/>
      </c>
      <c r="M478" s="156">
        <f>IFERROR(VLOOKUP(F478&amp;G478,Rush!B:C,2,0),0)</f>
        <v/>
      </c>
      <c r="N478" s="156">
        <f>IFERROR(VLOOKUP(F478&amp;G478,Rec!B:C,2,0),K478)</f>
        <v/>
      </c>
      <c r="O478" s="156">
        <f>IFERROR(VLOOKUP(F478&amp;G478,Returns!A:B,2,0),0)</f>
        <v/>
      </c>
      <c r="Q478" s="156" t="inlineStr">
        <is>
          <t>MyCole Pruitt</t>
        </is>
      </c>
      <c r="R478" s="156" t="inlineStr">
        <is>
          <t>PIT</t>
        </is>
      </c>
      <c r="S478" s="156" t="inlineStr">
        <is>
          <t>TE</t>
        </is>
      </c>
    </row>
    <row r="479" hidden="1" ht="15.6" customHeight="1" s="152">
      <c r="A479" s="221" t="n">
        <v>158</v>
      </c>
      <c r="B479" s="218">
        <f>VLOOKUP(G479,Matrix!R:AA,10,0)</f>
        <v/>
      </c>
      <c r="C479" s="156">
        <f>IF(K479&gt;0.01,K479,IFERROR(VLOOKUP(F479&amp;G479,Rec!B:C,2,0),K479)+SUM(L479:O479))</f>
        <v/>
      </c>
      <c r="D479" s="218">
        <f>_xlfn.IFNA(INDEX('Injury Report'!F:F, MATCH(G479&amp;F479, 'Injury Report'!A:A, 0)), "Healthy")</f>
        <v/>
      </c>
      <c r="E479" s="219">
        <f>VLOOKUP(A479,'WR Depth'!A:G,7,0)-1</f>
        <v/>
      </c>
      <c r="F479" s="218">
        <f>VLOOKUP(A479,'WR Depth'!A:C,3,0)</f>
        <v/>
      </c>
      <c r="G479" s="218">
        <f>VLOOKUP(A479,'WR Depth'!A:B,2,0)</f>
        <v/>
      </c>
      <c r="H479" s="218">
        <f>VLOOKUP(A479,'WR Depth'!A:D,4,0)</f>
        <v/>
      </c>
      <c r="I479" s="218">
        <f>H479&amp;E479</f>
        <v/>
      </c>
      <c r="J479" s="220">
        <f>IF(VLOOKUP(F479,Rec!F:G,2,0)=G479,"OK","Check Team")</f>
        <v/>
      </c>
      <c r="K479" s="156" t="n"/>
      <c r="L479" s="156">
        <f>IFERROR(VLOOKUP(F479&amp;G479,Pass!B:C,2,0),0)</f>
        <v/>
      </c>
      <c r="M479" s="156">
        <f>IFERROR(VLOOKUP(F479&amp;G479,Rush!B:C,2,0),0)</f>
        <v/>
      </c>
      <c r="N479" s="156">
        <f>IFERROR(VLOOKUP(F479&amp;G479,Rec!B:C,2,0),K479)</f>
        <v/>
      </c>
      <c r="O479" s="156">
        <f>IFERROR(VLOOKUP(F479&amp;G479,Returns!A:B,2,0),0)</f>
        <v/>
      </c>
      <c r="Q479" s="156" t="inlineStr">
        <is>
          <t>Brock Purdy</t>
        </is>
      </c>
      <c r="R479" s="156" t="inlineStr">
        <is>
          <t>SF</t>
        </is>
      </c>
      <c r="S479" s="156" t="inlineStr">
        <is>
          <t>QB</t>
        </is>
      </c>
    </row>
    <row r="480" hidden="1" ht="15.6" customHeight="1" s="152">
      <c r="A480" s="217" t="n">
        <v>159</v>
      </c>
      <c r="B480" s="218">
        <f>VLOOKUP(G480,Matrix!R:AA,10,0)</f>
        <v/>
      </c>
      <c r="C480" s="156">
        <f>IF(K480&gt;0.01,K480,IFERROR(VLOOKUP(F480&amp;G480,Rec!B:C,2,0),K480)+SUM(L480:O480))</f>
        <v/>
      </c>
      <c r="D480" s="218">
        <f>_xlfn.IFNA(INDEX('Injury Report'!F:F, MATCH(G480&amp;F480, 'Injury Report'!A:A, 0)), "Healthy")</f>
        <v/>
      </c>
      <c r="E480" s="219">
        <f>VLOOKUP(A480,'WR Depth'!A:G,7,0)-1</f>
        <v/>
      </c>
      <c r="F480" s="218">
        <f>VLOOKUP(A480,'WR Depth'!A:C,3,0)</f>
        <v/>
      </c>
      <c r="G480" s="218">
        <f>VLOOKUP(A480,'WR Depth'!A:B,2,0)</f>
        <v/>
      </c>
      <c r="H480" s="218">
        <f>VLOOKUP(A480,'WR Depth'!A:D,4,0)</f>
        <v/>
      </c>
      <c r="I480" s="218">
        <f>H480&amp;E480</f>
        <v/>
      </c>
      <c r="J480" s="220">
        <f>IF(VLOOKUP(F480,Rec!F:G,2,0)=G480,"OK","Check Team")</f>
        <v/>
      </c>
      <c r="K480" s="156" t="n"/>
      <c r="L480" s="156">
        <f>IFERROR(VLOOKUP(F480&amp;G480,Pass!B:C,2,0),0)</f>
        <v/>
      </c>
      <c r="M480" s="156">
        <f>IFERROR(VLOOKUP(F480&amp;G480,Rush!B:C,2,0),0)</f>
        <v/>
      </c>
      <c r="N480" s="156">
        <f>IFERROR(VLOOKUP(F480&amp;G480,Rec!B:C,2,0),K480)</f>
        <v/>
      </c>
      <c r="O480" s="156">
        <f>IFERROR(VLOOKUP(F480&amp;G480,Returns!A:B,2,0),0)</f>
        <v/>
      </c>
      <c r="Q480" s="156" t="inlineStr">
        <is>
          <t>Spencer Rattler</t>
        </is>
      </c>
      <c r="R480" s="156" t="inlineStr">
        <is>
          <t>NO</t>
        </is>
      </c>
      <c r="S480" s="156" t="inlineStr">
        <is>
          <t>QB</t>
        </is>
      </c>
    </row>
    <row r="481" hidden="1" ht="15.6" customHeight="1" s="152">
      <c r="A481" s="221" t="n">
        <v>160</v>
      </c>
      <c r="B481" s="218">
        <f>VLOOKUP(G481,Matrix!R:AA,10,0)</f>
        <v/>
      </c>
      <c r="C481" s="156">
        <f>IF(K481&gt;0.01,K481,IFERROR(VLOOKUP(F481&amp;G481,Rec!B:C,2,0),K481)+SUM(L481:O481))</f>
        <v/>
      </c>
      <c r="D481" s="218">
        <f>_xlfn.IFNA(INDEX('Injury Report'!F:F, MATCH(G481&amp;F481, 'Injury Report'!A:A, 0)), "Healthy")</f>
        <v/>
      </c>
      <c r="E481" s="219">
        <f>VLOOKUP(A481,'WR Depth'!A:G,7,0)-1</f>
        <v/>
      </c>
      <c r="F481" s="218">
        <f>VLOOKUP(A481,'WR Depth'!A:C,3,0)</f>
        <v/>
      </c>
      <c r="G481" s="218">
        <f>VLOOKUP(A481,'WR Depth'!A:B,2,0)</f>
        <v/>
      </c>
      <c r="H481" s="218">
        <f>VLOOKUP(A481,'WR Depth'!A:D,4,0)</f>
        <v/>
      </c>
      <c r="I481" s="218">
        <f>H481&amp;E481</f>
        <v/>
      </c>
      <c r="J481" s="220">
        <f>IF(VLOOKUP(F481,Rec!F:G,2,0)=G481,"OK","Check Team")</f>
        <v/>
      </c>
      <c r="K481" s="156" t="n"/>
      <c r="L481" s="156">
        <f>IFERROR(VLOOKUP(F481&amp;G481,Pass!B:C,2,0),0)</f>
        <v/>
      </c>
      <c r="M481" s="156">
        <f>IFERROR(VLOOKUP(F481&amp;G481,Rush!B:C,2,0),0)</f>
        <v/>
      </c>
      <c r="N481" s="156">
        <f>IFERROR(VLOOKUP(F481&amp;G481,Rec!B:C,2,0),K481)</f>
        <v/>
      </c>
      <c r="O481" s="156">
        <f>IFERROR(VLOOKUP(F481&amp;G481,Returns!A:B,2,0),0)</f>
        <v/>
      </c>
      <c r="Q481" s="156" t="inlineStr">
        <is>
          <t>Kalif Raymond</t>
        </is>
      </c>
      <c r="R481" s="156" t="inlineStr">
        <is>
          <t>DET</t>
        </is>
      </c>
      <c r="S481" s="156" t="inlineStr">
        <is>
          <t>WR</t>
        </is>
      </c>
    </row>
    <row r="482" hidden="1" ht="15.6" customHeight="1" s="152">
      <c r="A482" s="217" t="n">
        <v>161</v>
      </c>
      <c r="B482" s="218">
        <f>VLOOKUP(G482,Matrix!R:AA,10,0)</f>
        <v/>
      </c>
      <c r="C482" s="156">
        <f>IF(K482&gt;0.01,K482,IFERROR(VLOOKUP(F482&amp;G482,Rec!B:C,2,0),K482)+SUM(L482:O482))</f>
        <v/>
      </c>
      <c r="D482" s="218">
        <f>_xlfn.IFNA(INDEX('Injury Report'!F:F, MATCH(G482&amp;F482, 'Injury Report'!A:A, 0)), "Healthy")</f>
        <v/>
      </c>
      <c r="E482" s="219">
        <f>VLOOKUP(A482,'WR Depth'!A:G,7,0)-1</f>
        <v/>
      </c>
      <c r="F482" s="218">
        <f>VLOOKUP(A482,'WR Depth'!A:C,3,0)</f>
        <v/>
      </c>
      <c r="G482" s="218">
        <f>VLOOKUP(A482,'WR Depth'!A:B,2,0)</f>
        <v/>
      </c>
      <c r="H482" s="218">
        <f>VLOOKUP(A482,'WR Depth'!A:D,4,0)</f>
        <v/>
      </c>
      <c r="I482" s="218">
        <f>H482&amp;E482</f>
        <v/>
      </c>
      <c r="J482" s="220">
        <f>IF(VLOOKUP(F482,Rec!F:G,2,0)=G482,"OK","Check Team")</f>
        <v/>
      </c>
      <c r="K482" s="156" t="n"/>
      <c r="L482" s="156">
        <f>IFERROR(VLOOKUP(F482&amp;G482,Pass!B:C,2,0),0)</f>
        <v/>
      </c>
      <c r="M482" s="156">
        <f>IFERROR(VLOOKUP(F482&amp;G482,Rush!B:C,2,0),0)</f>
        <v/>
      </c>
      <c r="N482" s="156">
        <f>IFERROR(VLOOKUP(F482&amp;G482,Rec!B:C,2,0),K482)</f>
        <v/>
      </c>
      <c r="O482" s="156">
        <f>IFERROR(VLOOKUP(F482&amp;G482,Returns!A:B,2,0),0)</f>
        <v/>
      </c>
      <c r="Q482" s="156" t="inlineStr">
        <is>
          <t>Jalen Reagor</t>
        </is>
      </c>
      <c r="R482" s="156" t="inlineStr">
        <is>
          <t>LAC</t>
        </is>
      </c>
      <c r="S482" s="156" t="inlineStr">
        <is>
          <t>WR</t>
        </is>
      </c>
    </row>
    <row r="483" hidden="1" ht="15.6" customHeight="1" s="152">
      <c r="A483" s="221" t="n">
        <v>162</v>
      </c>
      <c r="B483" s="218">
        <f>VLOOKUP(G483,Matrix!R:AA,10,0)</f>
        <v/>
      </c>
      <c r="C483" s="156">
        <f>IF(K483&gt;0.01,K483,IFERROR(VLOOKUP(F483&amp;G483,Rec!B:C,2,0),K483)+SUM(L483:O483))</f>
        <v/>
      </c>
      <c r="D483" s="218">
        <f>_xlfn.IFNA(INDEX('Injury Report'!F:F, MATCH(G483&amp;F483, 'Injury Report'!A:A, 0)), "Healthy")</f>
        <v/>
      </c>
      <c r="E483" s="219">
        <f>VLOOKUP(A483,'WR Depth'!A:G,7,0)-1</f>
        <v/>
      </c>
      <c r="F483" s="218">
        <f>VLOOKUP(A483,'WR Depth'!A:C,3,0)</f>
        <v/>
      </c>
      <c r="G483" s="218">
        <f>VLOOKUP(A483,'WR Depth'!A:B,2,0)</f>
        <v/>
      </c>
      <c r="H483" s="218">
        <f>VLOOKUP(A483,'WR Depth'!A:D,4,0)</f>
        <v/>
      </c>
      <c r="I483" s="218">
        <f>H483&amp;E483</f>
        <v/>
      </c>
      <c r="J483" s="220">
        <f>IF(VLOOKUP(F483,Rec!F:G,2,0)=G483,"OK","Check Team")</f>
        <v/>
      </c>
      <c r="K483" s="156" t="n"/>
      <c r="L483" s="156">
        <f>IFERROR(VLOOKUP(F483&amp;G483,Pass!B:C,2,0),0)</f>
        <v/>
      </c>
      <c r="M483" s="156">
        <f>IFERROR(VLOOKUP(F483&amp;G483,Rush!B:C,2,0),0)</f>
        <v/>
      </c>
      <c r="N483" s="156">
        <f>IFERROR(VLOOKUP(F483&amp;G483,Rec!B:C,2,0),K483)</f>
        <v/>
      </c>
      <c r="O483" s="156">
        <f>IFERROR(VLOOKUP(F483&amp;G483,Returns!A:B,2,0),0)</f>
        <v/>
      </c>
      <c r="Q483" s="156" t="inlineStr">
        <is>
          <t>Jayden Reed</t>
        </is>
      </c>
      <c r="R483" s="156" t="inlineStr">
        <is>
          <t>GB</t>
        </is>
      </c>
      <c r="S483" s="156" t="inlineStr">
        <is>
          <t>WR</t>
        </is>
      </c>
    </row>
    <row r="484" hidden="1" ht="15.6" customHeight="1" s="152">
      <c r="A484" s="217" t="n">
        <v>163</v>
      </c>
      <c r="B484" s="218">
        <f>VLOOKUP(G484,Matrix!R:AA,10,0)</f>
        <v/>
      </c>
      <c r="C484" s="156">
        <f>IF(K484&gt;0.01,K484,IFERROR(VLOOKUP(F484&amp;G484,Rec!B:C,2,0),K484)+SUM(L484:O484))</f>
        <v/>
      </c>
      <c r="D484" s="218">
        <f>_xlfn.IFNA(INDEX('Injury Report'!F:F, MATCH(G484&amp;F484, 'Injury Report'!A:A, 0)), "Healthy")</f>
        <v/>
      </c>
      <c r="E484" s="219">
        <f>VLOOKUP(A484,'WR Depth'!A:G,7,0)-1</f>
        <v/>
      </c>
      <c r="F484" s="218">
        <f>VLOOKUP(A484,'WR Depth'!A:C,3,0)</f>
        <v/>
      </c>
      <c r="G484" s="218">
        <f>VLOOKUP(A484,'WR Depth'!A:B,2,0)</f>
        <v/>
      </c>
      <c r="H484" s="218">
        <f>VLOOKUP(A484,'WR Depth'!A:D,4,0)</f>
        <v/>
      </c>
      <c r="I484" s="218">
        <f>H484&amp;E484</f>
        <v/>
      </c>
      <c r="J484" s="220">
        <f>IF(VLOOKUP(F484,Rec!F:G,2,0)=G484,"OK","Check Team")</f>
        <v/>
      </c>
      <c r="K484" s="156" t="n"/>
      <c r="L484" s="156">
        <f>IFERROR(VLOOKUP(F484&amp;G484,Pass!B:C,2,0),0)</f>
        <v/>
      </c>
      <c r="M484" s="156">
        <f>IFERROR(VLOOKUP(F484&amp;G484,Rush!B:C,2,0),0)</f>
        <v/>
      </c>
      <c r="N484" s="156">
        <f>IFERROR(VLOOKUP(F484&amp;G484,Rec!B:C,2,0),K484)</f>
        <v/>
      </c>
      <c r="O484" s="156">
        <f>IFERROR(VLOOKUP(F484&amp;G484,Returns!A:B,2,0),0)</f>
        <v/>
      </c>
      <c r="Q484" s="156" t="inlineStr">
        <is>
          <t>Will Reichard</t>
        </is>
      </c>
      <c r="R484" s="156" t="inlineStr">
        <is>
          <t>MIN</t>
        </is>
      </c>
      <c r="S484" s="156" t="inlineStr">
        <is>
          <t>K</t>
        </is>
      </c>
    </row>
    <row r="485" hidden="1" ht="15.6" customHeight="1" s="152">
      <c r="A485" s="221" t="n">
        <v>164</v>
      </c>
      <c r="B485" s="218">
        <f>VLOOKUP(G485,Matrix!R:AA,10,0)</f>
        <v/>
      </c>
      <c r="C485" s="156">
        <f>IF(K485&gt;0.01,K485,IFERROR(VLOOKUP(F485&amp;G485,Rec!B:C,2,0),K485)+SUM(L485:O485))</f>
        <v/>
      </c>
      <c r="D485" s="218">
        <f>_xlfn.IFNA(INDEX('Injury Report'!F:F, MATCH(G485&amp;F485, 'Injury Report'!A:A, 0)), "Healthy")</f>
        <v/>
      </c>
      <c r="E485" s="219">
        <f>VLOOKUP(A485,'WR Depth'!A:G,7,0)-1</f>
        <v/>
      </c>
      <c r="F485" s="218">
        <f>VLOOKUP(A485,'WR Depth'!A:C,3,0)</f>
        <v/>
      </c>
      <c r="G485" s="218">
        <f>VLOOKUP(A485,'WR Depth'!A:B,2,0)</f>
        <v/>
      </c>
      <c r="H485" s="218">
        <f>VLOOKUP(A485,'WR Depth'!A:D,4,0)</f>
        <v/>
      </c>
      <c r="I485" s="218">
        <f>H485&amp;E485</f>
        <v/>
      </c>
      <c r="J485" s="220">
        <f>IF(VLOOKUP(F485,Rec!F:G,2,0)=G485,"OK","Check Team")</f>
        <v/>
      </c>
      <c r="K485" s="156" t="n"/>
      <c r="L485" s="156">
        <f>IFERROR(VLOOKUP(F485&amp;G485,Pass!B:C,2,0),0)</f>
        <v/>
      </c>
      <c r="M485" s="156">
        <f>IFERROR(VLOOKUP(F485&amp;G485,Rush!B:C,2,0),0)</f>
        <v/>
      </c>
      <c r="N485" s="156">
        <f>IFERROR(VLOOKUP(F485&amp;G485,Rec!B:C,2,0),K485)</f>
        <v/>
      </c>
      <c r="O485" s="156">
        <f>IFERROR(VLOOKUP(F485&amp;G485,Returns!A:B,2,0),0)</f>
        <v/>
      </c>
      <c r="Q485" s="156" t="inlineStr">
        <is>
          <t>Tip Reiman</t>
        </is>
      </c>
      <c r="R485" s="156" t="inlineStr">
        <is>
          <t>ARI</t>
        </is>
      </c>
      <c r="S485" s="156" t="inlineStr">
        <is>
          <t>TE</t>
        </is>
      </c>
    </row>
    <row r="486" hidden="1" ht="15.6" customHeight="1" s="152">
      <c r="A486" s="217" t="n">
        <v>165</v>
      </c>
      <c r="B486" s="218">
        <f>VLOOKUP(G486,Matrix!R:AA,10,0)</f>
        <v/>
      </c>
      <c r="C486" s="156">
        <f>IF(K486&gt;0.01,K486,IFERROR(VLOOKUP(F486&amp;G486,Rec!B:C,2,0),K486)+SUM(L486:O486))</f>
        <v/>
      </c>
      <c r="D486" s="218">
        <f>_xlfn.IFNA(INDEX('Injury Report'!F:F, MATCH(G486&amp;F486, 'Injury Report'!A:A, 0)), "Healthy")</f>
        <v/>
      </c>
      <c r="E486" s="219">
        <f>VLOOKUP(A486,'WR Depth'!A:G,7,0)-1</f>
        <v/>
      </c>
      <c r="F486" s="218">
        <f>VLOOKUP(A486,'WR Depth'!A:C,3,0)</f>
        <v/>
      </c>
      <c r="G486" s="218">
        <f>VLOOKUP(A486,'WR Depth'!A:B,2,0)</f>
        <v/>
      </c>
      <c r="H486" s="218">
        <f>VLOOKUP(A486,'WR Depth'!A:D,4,0)</f>
        <v/>
      </c>
      <c r="I486" s="218">
        <f>H486&amp;E486</f>
        <v/>
      </c>
      <c r="J486" s="220">
        <f>IF(VLOOKUP(F486,Rec!F:G,2,0)=G486,"OK","Check Team")</f>
        <v/>
      </c>
      <c r="K486" s="156" t="n"/>
      <c r="L486" s="156">
        <f>IFERROR(VLOOKUP(F486&amp;G486,Pass!B:C,2,0),0)</f>
        <v/>
      </c>
      <c r="M486" s="156">
        <f>IFERROR(VLOOKUP(F486&amp;G486,Rush!B:C,2,0),0)</f>
        <v/>
      </c>
      <c r="N486" s="156">
        <f>IFERROR(VLOOKUP(F486&amp;G486,Rec!B:C,2,0),K486)</f>
        <v/>
      </c>
      <c r="O486" s="156">
        <f>IFERROR(VLOOKUP(F486&amp;G486,Returns!A:B,2,0),0)</f>
        <v/>
      </c>
      <c r="Q486" s="156" t="inlineStr">
        <is>
          <t>Nikko Remigio</t>
        </is>
      </c>
      <c r="R486" s="156" t="inlineStr">
        <is>
          <t>KC</t>
        </is>
      </c>
      <c r="S486" s="156" t="inlineStr">
        <is>
          <t>WR</t>
        </is>
      </c>
    </row>
    <row r="487" hidden="1" ht="15.6" customHeight="1" s="152">
      <c r="A487" s="221" t="n">
        <v>166</v>
      </c>
      <c r="B487" s="218">
        <f>VLOOKUP(G487,Matrix!R:AA,10,0)</f>
        <v/>
      </c>
      <c r="C487" s="156">
        <f>IF(K487&gt;0.01,K487,IFERROR(VLOOKUP(F487&amp;G487,Rec!B:C,2,0),K487)+SUM(L487:O487))</f>
        <v/>
      </c>
      <c r="D487" s="218">
        <f>_xlfn.IFNA(INDEX('Injury Report'!F:F, MATCH(G487&amp;F487, 'Injury Report'!A:A, 0)), "Healthy")</f>
        <v/>
      </c>
      <c r="E487" s="219">
        <f>VLOOKUP(A487,'WR Depth'!A:G,7,0)-1</f>
        <v/>
      </c>
      <c r="F487" s="218">
        <f>VLOOKUP(A487,'WR Depth'!A:C,3,0)</f>
        <v/>
      </c>
      <c r="G487" s="218">
        <f>VLOOKUP(A487,'WR Depth'!A:B,2,0)</f>
        <v/>
      </c>
      <c r="H487" s="218">
        <f>VLOOKUP(A487,'WR Depth'!A:D,4,0)</f>
        <v/>
      </c>
      <c r="I487" s="218">
        <f>H487&amp;E487</f>
        <v/>
      </c>
      <c r="J487" s="220">
        <f>IF(VLOOKUP(F487,Rec!F:G,2,0)=G487,"OK","Check Team")</f>
        <v/>
      </c>
      <c r="K487" s="156" t="n"/>
      <c r="L487" s="156">
        <f>IFERROR(VLOOKUP(F487&amp;G487,Pass!B:C,2,0),0)</f>
        <v/>
      </c>
      <c r="M487" s="156">
        <f>IFERROR(VLOOKUP(F487&amp;G487,Rush!B:C,2,0),0)</f>
        <v/>
      </c>
      <c r="N487" s="156">
        <f>IFERROR(VLOOKUP(F487&amp;G487,Rec!B:C,2,0),K487)</f>
        <v/>
      </c>
      <c r="O487" s="156">
        <f>IFERROR(VLOOKUP(F487&amp;G487,Returns!A:B,2,0),0)</f>
        <v/>
      </c>
      <c r="Q487" s="156" t="inlineStr">
        <is>
          <t>Hunter Renfrow</t>
        </is>
      </c>
      <c r="R487" s="156" t="inlineStr">
        <is>
          <t>FA</t>
        </is>
      </c>
      <c r="S487" s="156" t="inlineStr">
        <is>
          <t>WR</t>
        </is>
      </c>
    </row>
    <row r="488" hidden="1" ht="15.6" customHeight="1" s="152">
      <c r="A488" s="217" t="n">
        <v>167</v>
      </c>
      <c r="B488" s="218">
        <f>VLOOKUP(G488,Matrix!R:AA,10,0)</f>
        <v/>
      </c>
      <c r="C488" s="156">
        <f>IF(K488&gt;0.01,K488,IFERROR(VLOOKUP(F488&amp;G488,Rec!B:C,2,0),K488)+SUM(L488:O488))</f>
        <v/>
      </c>
      <c r="D488" s="218">
        <f>_xlfn.IFNA(INDEX('Injury Report'!F:F, MATCH(G488&amp;F488, 'Injury Report'!A:A, 0)), "Healthy")</f>
        <v/>
      </c>
      <c r="E488" s="219">
        <f>VLOOKUP(A488,'WR Depth'!A:G,7,0)-1</f>
        <v/>
      </c>
      <c r="F488" s="218">
        <f>VLOOKUP(A488,'WR Depth'!A:C,3,0)</f>
        <v/>
      </c>
      <c r="G488" s="218">
        <f>VLOOKUP(A488,'WR Depth'!A:B,2,0)</f>
        <v/>
      </c>
      <c r="H488" s="218">
        <f>VLOOKUP(A488,'WR Depth'!A:D,4,0)</f>
        <v/>
      </c>
      <c r="I488" s="218">
        <f>H488&amp;E488</f>
        <v/>
      </c>
      <c r="J488" s="220">
        <f>IF(VLOOKUP(F488,Rec!F:G,2,0)=G488,"OK","Check Team")</f>
        <v/>
      </c>
      <c r="K488" s="156" t="n"/>
      <c r="L488" s="156">
        <f>IFERROR(VLOOKUP(F488&amp;G488,Pass!B:C,2,0),0)</f>
        <v/>
      </c>
      <c r="M488" s="156">
        <f>IFERROR(VLOOKUP(F488&amp;G488,Rush!B:C,2,0),0)</f>
        <v/>
      </c>
      <c r="N488" s="156">
        <f>IFERROR(VLOOKUP(F488&amp;G488,Rec!B:C,2,0),K488)</f>
        <v/>
      </c>
      <c r="O488" s="156">
        <f>IFERROR(VLOOKUP(F488&amp;G488,Returns!A:B,2,0),0)</f>
        <v/>
      </c>
      <c r="Q488" s="156" t="inlineStr">
        <is>
          <t>Josh Reynolds</t>
        </is>
      </c>
      <c r="R488" s="156" t="inlineStr">
        <is>
          <t>JAX</t>
        </is>
      </c>
      <c r="S488" s="156" t="inlineStr">
        <is>
          <t>WR</t>
        </is>
      </c>
    </row>
    <row r="489" hidden="1" ht="15.6" customHeight="1" s="152">
      <c r="A489" s="221" t="n">
        <v>168</v>
      </c>
      <c r="B489" s="218">
        <f>VLOOKUP(G489,Matrix!R:AA,10,0)</f>
        <v/>
      </c>
      <c r="C489" s="156">
        <f>IF(K489&gt;0.01,K489,IFERROR(VLOOKUP(F489&amp;G489,Rec!B:C,2,0),K489)+SUM(L489:O489))</f>
        <v/>
      </c>
      <c r="D489" s="218">
        <f>_xlfn.IFNA(INDEX('Injury Report'!F:F, MATCH(G489&amp;F489, 'Injury Report'!A:A, 0)), "Healthy")</f>
        <v/>
      </c>
      <c r="E489" s="219">
        <f>VLOOKUP(A489,'WR Depth'!A:G,7,0)-1</f>
        <v/>
      </c>
      <c r="F489" s="218">
        <f>VLOOKUP(A489,'WR Depth'!A:C,3,0)</f>
        <v/>
      </c>
      <c r="G489" s="218">
        <f>VLOOKUP(A489,'WR Depth'!A:B,2,0)</f>
        <v/>
      </c>
      <c r="H489" s="218">
        <f>VLOOKUP(A489,'WR Depth'!A:D,4,0)</f>
        <v/>
      </c>
      <c r="I489" s="218">
        <f>H489&amp;E489</f>
        <v/>
      </c>
      <c r="J489" s="220">
        <f>IF(VLOOKUP(F489,Rec!F:G,2,0)=G489,"OK","Check Team")</f>
        <v/>
      </c>
      <c r="K489" s="156" t="n"/>
      <c r="L489" s="156">
        <f>IFERROR(VLOOKUP(F489&amp;G489,Pass!B:C,2,0),0)</f>
        <v/>
      </c>
      <c r="M489" s="156">
        <f>IFERROR(VLOOKUP(F489&amp;G489,Rush!B:C,2,0),0)</f>
        <v/>
      </c>
      <c r="N489" s="156">
        <f>IFERROR(VLOOKUP(F489&amp;G489,Rec!B:C,2,0),K489)</f>
        <v/>
      </c>
      <c r="O489" s="156">
        <f>IFERROR(VLOOKUP(F489&amp;G489,Returns!A:B,2,0),0)</f>
        <v/>
      </c>
      <c r="Q489" s="156" t="inlineStr">
        <is>
          <t>Craig Reynolds</t>
        </is>
      </c>
      <c r="R489" s="156" t="inlineStr">
        <is>
          <t>DET</t>
        </is>
      </c>
      <c r="S489" s="156" t="inlineStr">
        <is>
          <t>RB</t>
        </is>
      </c>
    </row>
    <row r="490" hidden="1" ht="15.6" customHeight="1" s="152">
      <c r="A490" s="217" t="n">
        <v>169</v>
      </c>
      <c r="B490" s="218">
        <f>VLOOKUP(G490,Matrix!R:AA,10,0)</f>
        <v/>
      </c>
      <c r="C490" s="156">
        <f>IF(K490&gt;0.01,K490,IFERROR(VLOOKUP(F490&amp;G490,Rec!B:C,2,0),K490)+SUM(L490:O490))</f>
        <v/>
      </c>
      <c r="D490" s="218">
        <f>_xlfn.IFNA(INDEX('Injury Report'!F:F, MATCH(G490&amp;F490, 'Injury Report'!A:A, 0)), "Healthy")</f>
        <v/>
      </c>
      <c r="E490" s="219">
        <f>VLOOKUP(A490,'WR Depth'!A:G,7,0)-1</f>
        <v/>
      </c>
      <c r="F490" s="218">
        <f>VLOOKUP(A490,'WR Depth'!A:C,3,0)</f>
        <v/>
      </c>
      <c r="G490" s="218">
        <f>VLOOKUP(A490,'WR Depth'!A:B,2,0)</f>
        <v/>
      </c>
      <c r="H490" s="218">
        <f>VLOOKUP(A490,'WR Depth'!A:D,4,0)</f>
        <v/>
      </c>
      <c r="I490" s="218">
        <f>H490&amp;E490</f>
        <v/>
      </c>
      <c r="J490" s="220">
        <f>IF(VLOOKUP(F490,Rec!F:G,2,0)=G490,"OK","Check Team")</f>
        <v/>
      </c>
      <c r="K490" s="156" t="n"/>
      <c r="L490" s="156">
        <f>IFERROR(VLOOKUP(F490&amp;G490,Pass!B:C,2,0),0)</f>
        <v/>
      </c>
      <c r="M490" s="156">
        <f>IFERROR(VLOOKUP(F490&amp;G490,Rush!B:C,2,0),0)</f>
        <v/>
      </c>
      <c r="N490" s="156">
        <f>IFERROR(VLOOKUP(F490&amp;G490,Rec!B:C,2,0),K490)</f>
        <v/>
      </c>
      <c r="O490" s="156">
        <f>IFERROR(VLOOKUP(F490&amp;G490,Returns!A:B,2,0),0)</f>
        <v/>
      </c>
      <c r="Q490" s="156" t="inlineStr">
        <is>
          <t>Patrick Ricard</t>
        </is>
      </c>
      <c r="R490" s="156" t="inlineStr">
        <is>
          <t>BAL</t>
        </is>
      </c>
      <c r="S490" s="156" t="inlineStr">
        <is>
          <t>RB</t>
        </is>
      </c>
    </row>
    <row r="491" hidden="1" ht="15.6" customHeight="1" s="152">
      <c r="A491" s="221" t="n">
        <v>170</v>
      </c>
      <c r="B491" s="218">
        <f>VLOOKUP(G491,Matrix!R:AA,10,0)</f>
        <v/>
      </c>
      <c r="C491" s="156">
        <f>IF(K491&gt;0.01,K491,IFERROR(VLOOKUP(F491&amp;G491,Rec!B:C,2,0),K491)+SUM(L491:O491))</f>
        <v/>
      </c>
      <c r="D491" s="218">
        <f>_xlfn.IFNA(INDEX('Injury Report'!F:F, MATCH(G491&amp;F491, 'Injury Report'!A:A, 0)), "Healthy")</f>
        <v/>
      </c>
      <c r="E491" s="219">
        <f>VLOOKUP(A491,'WR Depth'!A:G,7,0)-1</f>
        <v/>
      </c>
      <c r="F491" s="218">
        <f>VLOOKUP(A491,'WR Depth'!A:C,3,0)</f>
        <v/>
      </c>
      <c r="G491" s="218">
        <f>VLOOKUP(A491,'WR Depth'!A:B,2,0)</f>
        <v/>
      </c>
      <c r="H491" s="218">
        <f>VLOOKUP(A491,'WR Depth'!A:D,4,0)</f>
        <v/>
      </c>
      <c r="I491" s="218">
        <f>H491&amp;E491</f>
        <v/>
      </c>
      <c r="J491" s="220">
        <f>IF(VLOOKUP(F491,Rec!F:G,2,0)=G491,"OK","Check Team")</f>
        <v/>
      </c>
      <c r="K491" s="156" t="n"/>
      <c r="L491" s="156">
        <f>IFERROR(VLOOKUP(F491&amp;G491,Pass!B:C,2,0),0)</f>
        <v/>
      </c>
      <c r="M491" s="156">
        <f>IFERROR(VLOOKUP(F491&amp;G491,Rush!B:C,2,0),0)</f>
        <v/>
      </c>
      <c r="N491" s="156">
        <f>IFERROR(VLOOKUP(F491&amp;G491,Rec!B:C,2,0),K491)</f>
        <v/>
      </c>
      <c r="O491" s="156">
        <f>IFERROR(VLOOKUP(F491&amp;G491,Returns!A:B,2,0),0)</f>
        <v/>
      </c>
      <c r="Q491" s="156" t="inlineStr">
        <is>
          <t>Brenden Rice</t>
        </is>
      </c>
      <c r="R491" s="156" t="inlineStr">
        <is>
          <t>LAC</t>
        </is>
      </c>
      <c r="S491" s="156" t="inlineStr">
        <is>
          <t>WR</t>
        </is>
      </c>
    </row>
    <row r="492" hidden="1" ht="15.6" customHeight="1" s="152">
      <c r="A492" s="217" t="n">
        <v>171</v>
      </c>
      <c r="B492" s="218">
        <f>VLOOKUP(G492,Matrix!R:AA,10,0)</f>
        <v/>
      </c>
      <c r="C492" s="156">
        <f>IF(K492&gt;0.01,K492,IFERROR(VLOOKUP(F492&amp;G492,Rec!B:C,2,0),K492)+SUM(L492:O492))</f>
        <v/>
      </c>
      <c r="D492" s="218">
        <f>_xlfn.IFNA(INDEX('Injury Report'!F:F, MATCH(G492&amp;F492, 'Injury Report'!A:A, 0)), "Healthy")</f>
        <v/>
      </c>
      <c r="E492" s="219">
        <f>VLOOKUP(A492,'WR Depth'!A:G,7,0)-1</f>
        <v/>
      </c>
      <c r="F492" s="218">
        <f>VLOOKUP(A492,'WR Depth'!A:C,3,0)</f>
        <v/>
      </c>
      <c r="G492" s="218">
        <f>VLOOKUP(A492,'WR Depth'!A:B,2,0)</f>
        <v/>
      </c>
      <c r="H492" s="218">
        <f>VLOOKUP(A492,'WR Depth'!A:D,4,0)</f>
        <v/>
      </c>
      <c r="I492" s="218">
        <f>H492&amp;E492</f>
        <v/>
      </c>
      <c r="J492" s="220">
        <f>IF(VLOOKUP(F492,Rec!F:G,2,0)=G492,"OK","Check Team")</f>
        <v/>
      </c>
      <c r="K492" s="156" t="n"/>
      <c r="L492" s="156">
        <f>IFERROR(VLOOKUP(F492&amp;G492,Pass!B:C,2,0),0)</f>
        <v/>
      </c>
      <c r="M492" s="156">
        <f>IFERROR(VLOOKUP(F492&amp;G492,Rush!B:C,2,0),0)</f>
        <v/>
      </c>
      <c r="N492" s="156">
        <f>IFERROR(VLOOKUP(F492&amp;G492,Rec!B:C,2,0),K492)</f>
        <v/>
      </c>
      <c r="O492" s="156">
        <f>IFERROR(VLOOKUP(F492&amp;G492,Returns!A:B,2,0),0)</f>
        <v/>
      </c>
      <c r="Q492" s="156" t="inlineStr">
        <is>
          <t>Rashee Rice</t>
        </is>
      </c>
      <c r="R492" s="156" t="inlineStr">
        <is>
          <t>KC</t>
        </is>
      </c>
      <c r="S492" s="156" t="inlineStr">
        <is>
          <t>WR</t>
        </is>
      </c>
    </row>
    <row r="493" hidden="1" ht="15.6" customHeight="1" s="152">
      <c r="A493" s="221" t="n">
        <v>172</v>
      </c>
      <c r="B493" s="218">
        <f>VLOOKUP(G493,Matrix!R:AA,10,0)</f>
        <v/>
      </c>
      <c r="C493" s="156">
        <f>IF(K493&gt;0.01,K493,IFERROR(VLOOKUP(F493&amp;G493,Rec!B:C,2,0),K493)+SUM(L493:O493))</f>
        <v/>
      </c>
      <c r="D493" s="218">
        <f>_xlfn.IFNA(INDEX('Injury Report'!F:F, MATCH(G493&amp;F493, 'Injury Report'!A:A, 0)), "Healthy")</f>
        <v/>
      </c>
      <c r="E493" s="219">
        <f>VLOOKUP(A493,'WR Depth'!A:G,7,0)-1</f>
        <v/>
      </c>
      <c r="F493" s="218">
        <f>VLOOKUP(A493,'WR Depth'!A:C,3,0)</f>
        <v/>
      </c>
      <c r="G493" s="218">
        <f>VLOOKUP(A493,'WR Depth'!A:B,2,0)</f>
        <v/>
      </c>
      <c r="H493" s="218">
        <f>VLOOKUP(A493,'WR Depth'!A:D,4,0)</f>
        <v/>
      </c>
      <c r="I493" s="218">
        <f>H493&amp;E493</f>
        <v/>
      </c>
      <c r="J493" s="220">
        <f>IF(VLOOKUP(F493,Rec!F:G,2,0)=G493,"OK","Check Team")</f>
        <v/>
      </c>
      <c r="K493" s="156" t="n"/>
      <c r="L493" s="156">
        <f>IFERROR(VLOOKUP(F493&amp;G493,Pass!B:C,2,0),0)</f>
        <v/>
      </c>
      <c r="M493" s="156">
        <f>IFERROR(VLOOKUP(F493&amp;G493,Rush!B:C,2,0),0)</f>
        <v/>
      </c>
      <c r="N493" s="156">
        <f>IFERROR(VLOOKUP(F493&amp;G493,Rec!B:C,2,0),K493)</f>
        <v/>
      </c>
      <c r="O493" s="156">
        <f>IFERROR(VLOOKUP(F493&amp;G493,Returns!A:B,2,0),0)</f>
        <v/>
      </c>
      <c r="Q493" s="156" t="inlineStr">
        <is>
          <t>Anthony Richardson</t>
        </is>
      </c>
      <c r="R493" s="156" t="inlineStr">
        <is>
          <t>IND</t>
        </is>
      </c>
      <c r="S493" s="156" t="inlineStr">
        <is>
          <t>QB</t>
        </is>
      </c>
    </row>
    <row r="494" hidden="1" ht="15.6" customHeight="1" s="152">
      <c r="A494" s="217" t="n">
        <v>173</v>
      </c>
      <c r="B494" s="218">
        <f>VLOOKUP(G494,Matrix!R:AA,10,0)</f>
        <v/>
      </c>
      <c r="C494" s="156">
        <f>IF(K494&gt;0.01,K494,IFERROR(VLOOKUP(F494&amp;G494,Rec!B:C,2,0),K494)+SUM(L494:O494))</f>
        <v/>
      </c>
      <c r="D494" s="218">
        <f>_xlfn.IFNA(INDEX('Injury Report'!F:F, MATCH(G494&amp;F494, 'Injury Report'!A:A, 0)), "Healthy")</f>
        <v/>
      </c>
      <c r="E494" s="219">
        <f>VLOOKUP(A494,'WR Depth'!A:G,7,0)-1</f>
        <v/>
      </c>
      <c r="F494" s="218">
        <f>VLOOKUP(A494,'WR Depth'!A:C,3,0)</f>
        <v/>
      </c>
      <c r="G494" s="218">
        <f>VLOOKUP(A494,'WR Depth'!A:B,2,0)</f>
        <v/>
      </c>
      <c r="H494" s="218">
        <f>VLOOKUP(A494,'WR Depth'!A:D,4,0)</f>
        <v/>
      </c>
      <c r="I494" s="218">
        <f>H494&amp;E494</f>
        <v/>
      </c>
      <c r="J494" s="220">
        <f>IF(VLOOKUP(F494,Rec!F:G,2,0)=G494,"OK","Check Team")</f>
        <v/>
      </c>
      <c r="K494" s="156" t="n"/>
      <c r="L494" s="156">
        <f>IFERROR(VLOOKUP(F494&amp;G494,Pass!B:C,2,0),0)</f>
        <v/>
      </c>
      <c r="M494" s="156">
        <f>IFERROR(VLOOKUP(F494&amp;G494,Rush!B:C,2,0),0)</f>
        <v/>
      </c>
      <c r="N494" s="156">
        <f>IFERROR(VLOOKUP(F494&amp;G494,Rec!B:C,2,0),K494)</f>
        <v/>
      </c>
      <c r="O494" s="156">
        <f>IFERROR(VLOOKUP(F494&amp;G494,Returns!A:B,2,0),0)</f>
        <v/>
      </c>
      <c r="Q494" s="156" t="inlineStr">
        <is>
          <t>Desmond Ridder</t>
        </is>
      </c>
      <c r="R494" s="156" t="inlineStr">
        <is>
          <t>LV</t>
        </is>
      </c>
      <c r="S494" s="156" t="inlineStr">
        <is>
          <t>QB</t>
        </is>
      </c>
    </row>
    <row r="495" hidden="1" ht="15.6" customHeight="1" s="152">
      <c r="A495" s="221" t="n">
        <v>174</v>
      </c>
      <c r="B495" s="218">
        <f>VLOOKUP(G495,Matrix!R:AA,10,0)</f>
        <v/>
      </c>
      <c r="C495" s="156">
        <f>IF(K495&gt;0.01,K495,IFERROR(VLOOKUP(F495&amp;G495,Rec!B:C,2,0),K495)+SUM(L495:O495))</f>
        <v/>
      </c>
      <c r="D495" s="218">
        <f>_xlfn.IFNA(INDEX('Injury Report'!F:F, MATCH(G495&amp;F495, 'Injury Report'!A:A, 0)), "Healthy")</f>
        <v/>
      </c>
      <c r="E495" s="219">
        <f>VLOOKUP(A495,'WR Depth'!A:G,7,0)-1</f>
        <v/>
      </c>
      <c r="F495" s="218">
        <f>VLOOKUP(A495,'WR Depth'!A:C,3,0)</f>
        <v/>
      </c>
      <c r="G495" s="218">
        <f>VLOOKUP(A495,'WR Depth'!A:B,2,0)</f>
        <v/>
      </c>
      <c r="H495" s="218">
        <f>VLOOKUP(A495,'WR Depth'!A:D,4,0)</f>
        <v/>
      </c>
      <c r="I495" s="218">
        <f>H495&amp;E495</f>
        <v/>
      </c>
      <c r="J495" s="220">
        <f>IF(VLOOKUP(F495,Rec!F:G,2,0)=G495,"OK","Check Team")</f>
        <v/>
      </c>
      <c r="K495" s="156" t="n"/>
      <c r="L495" s="156">
        <f>IFERROR(VLOOKUP(F495&amp;G495,Pass!B:C,2,0),0)</f>
        <v/>
      </c>
      <c r="M495" s="156">
        <f>IFERROR(VLOOKUP(F495&amp;G495,Rush!B:C,2,0),0)</f>
        <v/>
      </c>
      <c r="N495" s="156">
        <f>IFERROR(VLOOKUP(F495&amp;G495,Rec!B:C,2,0),K495)</f>
        <v/>
      </c>
      <c r="O495" s="156">
        <f>IFERROR(VLOOKUP(F495&amp;G495,Returns!A:B,2,0),0)</f>
        <v/>
      </c>
      <c r="Q495" s="156" t="inlineStr">
        <is>
          <t>Calvin Ridley</t>
        </is>
      </c>
      <c r="R495" s="156" t="inlineStr">
        <is>
          <t>TEN</t>
        </is>
      </c>
      <c r="S495" s="156" t="inlineStr">
        <is>
          <t>WR</t>
        </is>
      </c>
    </row>
    <row r="496" hidden="1" ht="15.6" customHeight="1" s="152">
      <c r="A496" s="217" t="n">
        <v>175</v>
      </c>
      <c r="B496" s="218">
        <f>VLOOKUP(G496,Matrix!R:AA,10,0)</f>
        <v/>
      </c>
      <c r="C496" s="156">
        <f>IF(K496&gt;0.01,K496,IFERROR(VLOOKUP(F496&amp;G496,Rec!B:C,2,0),K496)+SUM(L496:O496))</f>
        <v/>
      </c>
      <c r="D496" s="218">
        <f>_xlfn.IFNA(INDEX('Injury Report'!F:F, MATCH(G496&amp;F496, 'Injury Report'!A:A, 0)), "Healthy")</f>
        <v/>
      </c>
      <c r="E496" s="219">
        <f>VLOOKUP(A496,'WR Depth'!A:G,7,0)-1</f>
        <v/>
      </c>
      <c r="F496" s="218">
        <f>VLOOKUP(A496,'WR Depth'!A:C,3,0)</f>
        <v/>
      </c>
      <c r="G496" s="218">
        <f>VLOOKUP(A496,'WR Depth'!A:B,2,0)</f>
        <v/>
      </c>
      <c r="H496" s="218">
        <f>VLOOKUP(A496,'WR Depth'!A:D,4,0)</f>
        <v/>
      </c>
      <c r="I496" s="218">
        <f>H496&amp;E496</f>
        <v/>
      </c>
      <c r="J496" s="220">
        <f>IF(VLOOKUP(F496,Rec!F:G,2,0)=G496,"OK","Check Team")</f>
        <v/>
      </c>
      <c r="K496" s="156" t="n"/>
      <c r="L496" s="156">
        <f>IFERROR(VLOOKUP(F496&amp;G496,Pass!B:C,2,0),0)</f>
        <v/>
      </c>
      <c r="M496" s="156">
        <f>IFERROR(VLOOKUP(F496&amp;G496,Rush!B:C,2,0),0)</f>
        <v/>
      </c>
      <c r="N496" s="156">
        <f>IFERROR(VLOOKUP(F496&amp;G496,Rec!B:C,2,0),K496)</f>
        <v/>
      </c>
      <c r="O496" s="156">
        <f>IFERROR(VLOOKUP(F496&amp;G496,Returns!A:B,2,0),0)</f>
        <v/>
      </c>
      <c r="Q496" s="156" t="inlineStr">
        <is>
          <t>Ronnie Rivers</t>
        </is>
      </c>
      <c r="R496" s="156" t="inlineStr">
        <is>
          <t>LAR</t>
        </is>
      </c>
      <c r="S496" s="156" t="inlineStr">
        <is>
          <t>RB</t>
        </is>
      </c>
    </row>
    <row r="497" hidden="1" ht="15.6" customHeight="1" s="152">
      <c r="A497" s="221" t="n">
        <v>176</v>
      </c>
      <c r="B497" s="218">
        <f>VLOOKUP(G497,Matrix!R:AA,10,0)</f>
        <v/>
      </c>
      <c r="C497" s="156">
        <f>IF(K497&gt;0.01,K497,IFERROR(VLOOKUP(F497&amp;G497,Rec!B:C,2,0),K497)+SUM(L497:O497))</f>
        <v/>
      </c>
      <c r="D497" s="218">
        <f>_xlfn.IFNA(INDEX('Injury Report'!F:F, MATCH(G497&amp;F497, 'Injury Report'!A:A, 0)), "Healthy")</f>
        <v/>
      </c>
      <c r="E497" s="219">
        <f>VLOOKUP(A497,'WR Depth'!A:G,7,0)-1</f>
        <v/>
      </c>
      <c r="F497" s="218">
        <f>VLOOKUP(A497,'WR Depth'!A:C,3,0)</f>
        <v/>
      </c>
      <c r="G497" s="218">
        <f>VLOOKUP(A497,'WR Depth'!A:B,2,0)</f>
        <v/>
      </c>
      <c r="H497" s="218">
        <f>VLOOKUP(A497,'WR Depth'!A:D,4,0)</f>
        <v/>
      </c>
      <c r="I497" s="218">
        <f>H497&amp;E497</f>
        <v/>
      </c>
      <c r="J497" s="220">
        <f>IF(VLOOKUP(F497,Rec!F:G,2,0)=G497,"OK","Check Team")</f>
        <v/>
      </c>
      <c r="K497" s="156" t="n"/>
      <c r="L497" s="156">
        <f>IFERROR(VLOOKUP(F497&amp;G497,Pass!B:C,2,0),0)</f>
        <v/>
      </c>
      <c r="M497" s="156">
        <f>IFERROR(VLOOKUP(F497&amp;G497,Rush!B:C,2,0),0)</f>
        <v/>
      </c>
      <c r="N497" s="156">
        <f>IFERROR(VLOOKUP(F497&amp;G497,Rec!B:C,2,0),K497)</f>
        <v/>
      </c>
      <c r="O497" s="156">
        <f>IFERROR(VLOOKUP(F497&amp;G497,Returns!A:B,2,0),0)</f>
        <v/>
      </c>
      <c r="Q497" s="156" t="inlineStr">
        <is>
          <t>Demarcus Robinson</t>
        </is>
      </c>
      <c r="R497" s="156" t="inlineStr">
        <is>
          <t>LAR</t>
        </is>
      </c>
      <c r="S497" s="156" t="inlineStr">
        <is>
          <t>WR</t>
        </is>
      </c>
    </row>
    <row r="498" hidden="1" ht="15.6" customHeight="1" s="152">
      <c r="A498" s="217" t="n">
        <v>177</v>
      </c>
      <c r="B498" s="218">
        <f>VLOOKUP(G498,Matrix!R:AA,10,0)</f>
        <v/>
      </c>
      <c r="C498" s="156">
        <f>IF(K498&gt;0.01,K498,IFERROR(VLOOKUP(F498&amp;G498,Rec!B:C,2,0),K498)+SUM(L498:O498))</f>
        <v/>
      </c>
      <c r="D498" s="218">
        <f>_xlfn.IFNA(INDEX('Injury Report'!F:F, MATCH(G498&amp;F498, 'Injury Report'!A:A, 0)), "Healthy")</f>
        <v/>
      </c>
      <c r="E498" s="219">
        <f>VLOOKUP(A498,'WR Depth'!A:G,7,0)-1</f>
        <v/>
      </c>
      <c r="F498" s="218">
        <f>VLOOKUP(A498,'WR Depth'!A:C,3,0)</f>
        <v/>
      </c>
      <c r="G498" s="218">
        <f>VLOOKUP(A498,'WR Depth'!A:B,2,0)</f>
        <v/>
      </c>
      <c r="H498" s="218">
        <f>VLOOKUP(A498,'WR Depth'!A:D,4,0)</f>
        <v/>
      </c>
      <c r="I498" s="218">
        <f>H498&amp;E498</f>
        <v/>
      </c>
      <c r="J498" s="220">
        <f>IF(VLOOKUP(F498,Rec!F:G,2,0)=G498,"OK","Check Team")</f>
        <v/>
      </c>
      <c r="K498" s="156" t="n"/>
      <c r="L498" s="156">
        <f>IFERROR(VLOOKUP(F498&amp;G498,Pass!B:C,2,0),0)</f>
        <v/>
      </c>
      <c r="M498" s="156">
        <f>IFERROR(VLOOKUP(F498&amp;G498,Rush!B:C,2,0),0)</f>
        <v/>
      </c>
      <c r="N498" s="156">
        <f>IFERROR(VLOOKUP(F498&amp;G498,Rec!B:C,2,0),K498)</f>
        <v/>
      </c>
      <c r="O498" s="156">
        <f>IFERROR(VLOOKUP(F498&amp;G498,Returns!A:B,2,0),0)</f>
        <v/>
      </c>
      <c r="Q498" s="156" t="inlineStr">
        <is>
          <t>Allen Robinson</t>
        </is>
      </c>
      <c r="R498" s="156" t="inlineStr">
        <is>
          <t>DET</t>
        </is>
      </c>
      <c r="S498" s="156" t="inlineStr">
        <is>
          <t>WR</t>
        </is>
      </c>
    </row>
    <row r="499" hidden="1" ht="15.6" customHeight="1" s="152">
      <c r="A499" s="221" t="n">
        <v>178</v>
      </c>
      <c r="B499" s="218">
        <f>VLOOKUP(G499,Matrix!R:AA,10,0)</f>
        <v/>
      </c>
      <c r="C499" s="156">
        <f>IF(K499&gt;0.01,K499,IFERROR(VLOOKUP(F499&amp;G499,Rec!B:C,2,0),K499)+SUM(L499:O499))</f>
        <v/>
      </c>
      <c r="D499" s="218">
        <f>_xlfn.IFNA(INDEX('Injury Report'!F:F, MATCH(G499&amp;F499, 'Injury Report'!A:A, 0)), "Healthy")</f>
        <v/>
      </c>
      <c r="E499" s="219">
        <f>VLOOKUP(A499,'WR Depth'!A:G,7,0)-1</f>
        <v/>
      </c>
      <c r="F499" s="218">
        <f>VLOOKUP(A499,'WR Depth'!A:C,3,0)</f>
        <v/>
      </c>
      <c r="G499" s="218">
        <f>VLOOKUP(A499,'WR Depth'!A:B,2,0)</f>
        <v/>
      </c>
      <c r="H499" s="218">
        <f>VLOOKUP(A499,'WR Depth'!A:D,4,0)</f>
        <v/>
      </c>
      <c r="I499" s="218">
        <f>H499&amp;E499</f>
        <v/>
      </c>
      <c r="J499" s="220">
        <f>IF(VLOOKUP(F499,Rec!F:G,2,0)=G499,"OK","Check Team")</f>
        <v/>
      </c>
      <c r="K499" s="156" t="n"/>
      <c r="L499" s="156">
        <f>IFERROR(VLOOKUP(F499&amp;G499,Pass!B:C,2,0),0)</f>
        <v/>
      </c>
      <c r="M499" s="156">
        <f>IFERROR(VLOOKUP(F499&amp;G499,Rush!B:C,2,0),0)</f>
        <v/>
      </c>
      <c r="N499" s="156">
        <f>IFERROR(VLOOKUP(F499&amp;G499,Rec!B:C,2,0),K499)</f>
        <v/>
      </c>
      <c r="O499" s="156">
        <f>IFERROR(VLOOKUP(F499&amp;G499,Returns!A:B,2,0),0)</f>
        <v/>
      </c>
      <c r="Q499" s="156" t="inlineStr">
        <is>
          <t>Wan'Dale Robinson</t>
        </is>
      </c>
      <c r="R499" s="156" t="inlineStr">
        <is>
          <t>NYG</t>
        </is>
      </c>
      <c r="S499" s="156" t="inlineStr">
        <is>
          <t>WR</t>
        </is>
      </c>
    </row>
    <row r="500" hidden="1" ht="15.6" customHeight="1" s="152">
      <c r="A500" s="217" t="n">
        <v>179</v>
      </c>
      <c r="B500" s="218">
        <f>VLOOKUP(G500,Matrix!R:AA,10,0)</f>
        <v/>
      </c>
      <c r="C500" s="156">
        <f>IF(K500&gt;0.01,K500,IFERROR(VLOOKUP(F500&amp;G500,Rec!B:C,2,0),K500)+SUM(L500:O500))</f>
        <v/>
      </c>
      <c r="D500" s="218">
        <f>_xlfn.IFNA(INDEX('Injury Report'!F:F, MATCH(G500&amp;F500, 'Injury Report'!A:A, 0)), "Healthy")</f>
        <v/>
      </c>
      <c r="E500" s="219">
        <f>VLOOKUP(A500,'WR Depth'!A:G,7,0)-1</f>
        <v/>
      </c>
      <c r="F500" s="218">
        <f>VLOOKUP(A500,'WR Depth'!A:C,3,0)</f>
        <v/>
      </c>
      <c r="G500" s="218">
        <f>VLOOKUP(A500,'WR Depth'!A:B,2,0)</f>
        <v/>
      </c>
      <c r="H500" s="218">
        <f>VLOOKUP(A500,'WR Depth'!A:D,4,0)</f>
        <v/>
      </c>
      <c r="I500" s="218">
        <f>H500&amp;E500</f>
        <v/>
      </c>
      <c r="J500" s="220">
        <f>IF(VLOOKUP(F500,Rec!F:G,2,0)=G500,"OK","Check Team")</f>
        <v/>
      </c>
      <c r="K500" s="156" t="n"/>
      <c r="L500" s="156">
        <f>IFERROR(VLOOKUP(F500&amp;G500,Pass!B:C,2,0),0)</f>
        <v/>
      </c>
      <c r="M500" s="156">
        <f>IFERROR(VLOOKUP(F500&amp;G500,Rush!B:C,2,0),0)</f>
        <v/>
      </c>
      <c r="N500" s="156">
        <f>IFERROR(VLOOKUP(F500&amp;G500,Rec!B:C,2,0),K500)</f>
        <v/>
      </c>
      <c r="O500" s="156">
        <f>IFERROR(VLOOKUP(F500&amp;G500,Returns!A:B,2,0),0)</f>
        <v/>
      </c>
      <c r="Q500" s="156" t="inlineStr">
        <is>
          <t>Brian Robinson</t>
        </is>
      </c>
      <c r="R500" s="156" t="inlineStr">
        <is>
          <t>WAS</t>
        </is>
      </c>
      <c r="S500" s="156" t="inlineStr">
        <is>
          <t>RB</t>
        </is>
      </c>
    </row>
    <row r="501" hidden="1" ht="15.6" customHeight="1" s="152">
      <c r="A501" s="221" t="n">
        <v>180</v>
      </c>
      <c r="B501" s="218">
        <f>VLOOKUP(G501,Matrix!R:AA,10,0)</f>
        <v/>
      </c>
      <c r="C501" s="156">
        <f>IF(K501&gt;0.01,K501,IFERROR(VLOOKUP(F501&amp;G501,Rec!B:C,2,0),K501)+SUM(L501:O501))</f>
        <v/>
      </c>
      <c r="D501" s="218">
        <f>_xlfn.IFNA(INDEX('Injury Report'!F:F, MATCH(G501&amp;F501, 'Injury Report'!A:A, 0)), "Healthy")</f>
        <v/>
      </c>
      <c r="E501" s="219">
        <f>VLOOKUP(A501,'WR Depth'!A:G,7,0)-1</f>
        <v/>
      </c>
      <c r="F501" s="218">
        <f>VLOOKUP(A501,'WR Depth'!A:C,3,0)</f>
        <v/>
      </c>
      <c r="G501" s="218">
        <f>VLOOKUP(A501,'WR Depth'!A:B,2,0)</f>
        <v/>
      </c>
      <c r="H501" s="218">
        <f>VLOOKUP(A501,'WR Depth'!A:D,4,0)</f>
        <v/>
      </c>
      <c r="I501" s="218">
        <f>H501&amp;E501</f>
        <v/>
      </c>
      <c r="J501" s="220">
        <f>IF(VLOOKUP(F501,Rec!F:G,2,0)=G501,"OK","Check Team")</f>
        <v/>
      </c>
      <c r="K501" s="156" t="n"/>
      <c r="L501" s="156">
        <f>IFERROR(VLOOKUP(F501&amp;G501,Pass!B:C,2,0),0)</f>
        <v/>
      </c>
      <c r="M501" s="156">
        <f>IFERROR(VLOOKUP(F501&amp;G501,Rush!B:C,2,0),0)</f>
        <v/>
      </c>
      <c r="N501" s="156">
        <f>IFERROR(VLOOKUP(F501&amp;G501,Rec!B:C,2,0),K501)</f>
        <v/>
      </c>
      <c r="O501" s="156">
        <f>IFERROR(VLOOKUP(F501&amp;G501,Returns!A:B,2,0),0)</f>
        <v/>
      </c>
      <c r="Q501" s="156" t="inlineStr">
        <is>
          <t>Bijan Robinson</t>
        </is>
      </c>
      <c r="R501" s="156" t="inlineStr">
        <is>
          <t>ATL</t>
        </is>
      </c>
      <c r="S501" s="156" t="inlineStr">
        <is>
          <t>RB</t>
        </is>
      </c>
    </row>
    <row r="502" hidden="1" ht="15.6" customHeight="1" s="152">
      <c r="A502" s="217" t="n">
        <v>181</v>
      </c>
      <c r="B502" s="218">
        <f>VLOOKUP(G502,Matrix!R:AA,10,0)</f>
        <v/>
      </c>
      <c r="C502" s="156">
        <f>IF(K502&gt;0.01,K502,IFERROR(VLOOKUP(F502&amp;G502,Rec!B:C,2,0),K502)+SUM(L502:O502))</f>
        <v/>
      </c>
      <c r="D502" s="218">
        <f>_xlfn.IFNA(INDEX('Injury Report'!F:F, MATCH(G502&amp;F502, 'Injury Report'!A:A, 0)), "Healthy")</f>
        <v/>
      </c>
      <c r="E502" s="219">
        <f>VLOOKUP(A502,'WR Depth'!A:G,7,0)-1</f>
        <v/>
      </c>
      <c r="F502" s="218">
        <f>VLOOKUP(A502,'WR Depth'!A:C,3,0)</f>
        <v/>
      </c>
      <c r="G502" s="218">
        <f>VLOOKUP(A502,'WR Depth'!A:B,2,0)</f>
        <v/>
      </c>
      <c r="H502" s="218">
        <f>VLOOKUP(A502,'WR Depth'!A:D,4,0)</f>
        <v/>
      </c>
      <c r="I502" s="218">
        <f>H502&amp;E502</f>
        <v/>
      </c>
      <c r="J502" s="220">
        <f>IF(VLOOKUP(F502,Rec!F:G,2,0)=G502,"OK","Check Team")</f>
        <v/>
      </c>
      <c r="K502" s="156" t="n"/>
      <c r="L502" s="156">
        <f>IFERROR(VLOOKUP(F502&amp;G502,Pass!B:C,2,0),0)</f>
        <v/>
      </c>
      <c r="M502" s="156">
        <f>IFERROR(VLOOKUP(F502&amp;G502,Rush!B:C,2,0),0)</f>
        <v/>
      </c>
      <c r="N502" s="156">
        <f>IFERROR(VLOOKUP(F502&amp;G502,Rec!B:C,2,0),K502)</f>
        <v/>
      </c>
      <c r="O502" s="156">
        <f>IFERROR(VLOOKUP(F502&amp;G502,Returns!A:B,2,0),0)</f>
        <v/>
      </c>
      <c r="Q502" s="156" t="inlineStr">
        <is>
          <t>Keilan Robinson</t>
        </is>
      </c>
      <c r="R502" s="156" t="inlineStr">
        <is>
          <t>JAX</t>
        </is>
      </c>
      <c r="S502" s="156" t="inlineStr">
        <is>
          <t>RB</t>
        </is>
      </c>
    </row>
    <row r="503" hidden="1" ht="15.6" customHeight="1" s="152">
      <c r="A503" s="221" t="n">
        <v>182</v>
      </c>
      <c r="B503" s="218">
        <f>VLOOKUP(G503,Matrix!R:AA,10,0)</f>
        <v/>
      </c>
      <c r="C503" s="156">
        <f>IF(K503&gt;0.01,K503,IFERROR(VLOOKUP(F503&amp;G503,Rec!B:C,2,0),K503)+SUM(L503:O503))</f>
        <v/>
      </c>
      <c r="D503" s="218">
        <f>_xlfn.IFNA(INDEX('Injury Report'!F:F, MATCH(G503&amp;F503, 'Injury Report'!A:A, 0)), "Healthy")</f>
        <v/>
      </c>
      <c r="E503" s="219">
        <f>VLOOKUP(A503,'WR Depth'!A:G,7,0)-1</f>
        <v/>
      </c>
      <c r="F503" s="218">
        <f>VLOOKUP(A503,'WR Depth'!A:C,3,0)</f>
        <v/>
      </c>
      <c r="G503" s="218">
        <f>VLOOKUP(A503,'WR Depth'!A:B,2,0)</f>
        <v/>
      </c>
      <c r="H503" s="218">
        <f>VLOOKUP(A503,'WR Depth'!A:D,4,0)</f>
        <v/>
      </c>
      <c r="I503" s="218">
        <f>H503&amp;E503</f>
        <v/>
      </c>
      <c r="J503" s="220">
        <f>IF(VLOOKUP(F503,Rec!F:G,2,0)=G503,"OK","Check Team")</f>
        <v/>
      </c>
      <c r="K503" s="156" t="n"/>
      <c r="L503" s="156">
        <f>IFERROR(VLOOKUP(F503&amp;G503,Pass!B:C,2,0),0)</f>
        <v/>
      </c>
      <c r="M503" s="156">
        <f>IFERROR(VLOOKUP(F503&amp;G503,Rush!B:C,2,0),0)</f>
        <v/>
      </c>
      <c r="N503" s="156">
        <f>IFERROR(VLOOKUP(F503&amp;G503,Rec!B:C,2,0),K503)</f>
        <v/>
      </c>
      <c r="O503" s="156">
        <f>IFERROR(VLOOKUP(F503&amp;G503,Returns!A:B,2,0),0)</f>
        <v/>
      </c>
      <c r="Q503" s="156" t="inlineStr">
        <is>
          <t>Aaron Rodgers</t>
        </is>
      </c>
      <c r="R503" s="156" t="inlineStr">
        <is>
          <t>NYJ</t>
        </is>
      </c>
      <c r="S503" s="156" t="inlineStr">
        <is>
          <t>QB</t>
        </is>
      </c>
    </row>
    <row r="504" hidden="1" ht="15.6" customHeight="1" s="152">
      <c r="A504" s="217" t="n">
        <v>183</v>
      </c>
      <c r="B504" s="218">
        <f>VLOOKUP(G504,Matrix!R:AA,10,0)</f>
        <v/>
      </c>
      <c r="C504" s="156">
        <f>IF(K504&gt;0.01,K504,IFERROR(VLOOKUP(F504&amp;G504,Rec!B:C,2,0),K504)+SUM(L504:O504))</f>
        <v/>
      </c>
      <c r="D504" s="218">
        <f>_xlfn.IFNA(INDEX('Injury Report'!F:F, MATCH(G504&amp;F504, 'Injury Report'!A:A, 0)), "Healthy")</f>
        <v/>
      </c>
      <c r="E504" s="219">
        <f>VLOOKUP(A504,'WR Depth'!A:G,7,0)-1</f>
        <v/>
      </c>
      <c r="F504" s="218">
        <f>VLOOKUP(A504,'WR Depth'!A:C,3,0)</f>
        <v/>
      </c>
      <c r="G504" s="218">
        <f>VLOOKUP(A504,'WR Depth'!A:B,2,0)</f>
        <v/>
      </c>
      <c r="H504" s="218">
        <f>VLOOKUP(A504,'WR Depth'!A:D,4,0)</f>
        <v/>
      </c>
      <c r="I504" s="218">
        <f>H504&amp;E504</f>
        <v/>
      </c>
      <c r="J504" s="220">
        <f>IF(VLOOKUP(F504,Rec!F:G,2,0)=G504,"OK","Check Team")</f>
        <v/>
      </c>
      <c r="K504" s="156" t="n"/>
      <c r="L504" s="156">
        <f>IFERROR(VLOOKUP(F504&amp;G504,Pass!B:C,2,0),0)</f>
        <v/>
      </c>
      <c r="M504" s="156">
        <f>IFERROR(VLOOKUP(F504&amp;G504,Rush!B:C,2,0),0)</f>
        <v/>
      </c>
      <c r="N504" s="156">
        <f>IFERROR(VLOOKUP(F504&amp;G504,Rec!B:C,2,0),K504)</f>
        <v/>
      </c>
      <c r="O504" s="156">
        <f>IFERROR(VLOOKUP(F504&amp;G504,Returns!A:B,2,0),0)</f>
        <v/>
      </c>
      <c r="Q504" s="156" t="inlineStr">
        <is>
          <t>Chris Rodriguez</t>
        </is>
      </c>
      <c r="R504" s="156" t="inlineStr">
        <is>
          <t>WAS</t>
        </is>
      </c>
      <c r="S504" s="156" t="inlineStr">
        <is>
          <t>RB</t>
        </is>
      </c>
    </row>
    <row r="505" hidden="1" ht="15.6" customHeight="1" s="152">
      <c r="A505" s="221" t="n">
        <v>184</v>
      </c>
      <c r="B505" s="218">
        <f>VLOOKUP(G505,Matrix!R:AA,10,0)</f>
        <v/>
      </c>
      <c r="C505" s="156">
        <f>IF(K505&gt;0.01,K505,IFERROR(VLOOKUP(F505&amp;G505,Rec!B:C,2,0),K505)+SUM(L505:O505))</f>
        <v/>
      </c>
      <c r="D505" s="218">
        <f>_xlfn.IFNA(INDEX('Injury Report'!F:F, MATCH(G505&amp;F505, 'Injury Report'!A:A, 0)), "Healthy")</f>
        <v/>
      </c>
      <c r="E505" s="219">
        <f>VLOOKUP(A505,'WR Depth'!A:G,7,0)-1</f>
        <v/>
      </c>
      <c r="F505" s="218">
        <f>VLOOKUP(A505,'WR Depth'!A:C,3,0)</f>
        <v/>
      </c>
      <c r="G505" s="218">
        <f>VLOOKUP(A505,'WR Depth'!A:B,2,0)</f>
        <v/>
      </c>
      <c r="H505" s="218">
        <f>VLOOKUP(A505,'WR Depth'!A:D,4,0)</f>
        <v/>
      </c>
      <c r="I505" s="218">
        <f>H505&amp;E505</f>
        <v/>
      </c>
      <c r="J505" s="220">
        <f>IF(VLOOKUP(F505,Rec!F:G,2,0)=G505,"OK","Check Team")</f>
        <v/>
      </c>
      <c r="K505" s="156" t="n"/>
      <c r="L505" s="156">
        <f>IFERROR(VLOOKUP(F505&amp;G505,Pass!B:C,2,0),0)</f>
        <v/>
      </c>
      <c r="M505" s="156">
        <f>IFERROR(VLOOKUP(F505&amp;G505,Rush!B:C,2,0),0)</f>
        <v/>
      </c>
      <c r="N505" s="156">
        <f>IFERROR(VLOOKUP(F505&amp;G505,Rec!B:C,2,0),K505)</f>
        <v/>
      </c>
      <c r="O505" s="156">
        <f>IFERROR(VLOOKUP(F505&amp;G505,Returns!A:B,2,0),0)</f>
        <v/>
      </c>
      <c r="Q505" s="156" t="inlineStr">
        <is>
          <t>John Parker Romo</t>
        </is>
      </c>
      <c r="R505" s="156" t="inlineStr">
        <is>
          <t>NE</t>
        </is>
      </c>
      <c r="S505" s="156" t="inlineStr">
        <is>
          <t>K</t>
        </is>
      </c>
    </row>
    <row r="506" hidden="1" ht="15.6" customHeight="1" s="152">
      <c r="A506" s="217" t="n">
        <v>185</v>
      </c>
      <c r="B506" s="218">
        <f>VLOOKUP(G506,Matrix!R:AA,10,0)</f>
        <v/>
      </c>
      <c r="C506" s="156">
        <f>IF(K506&gt;0.01,K506,IFERROR(VLOOKUP(F506&amp;G506,Rec!B:C,2,0),K506)+SUM(L506:O506))</f>
        <v/>
      </c>
      <c r="D506" s="218">
        <f>_xlfn.IFNA(INDEX('Injury Report'!F:F, MATCH(G506&amp;F506, 'Injury Report'!A:A, 0)), "Healthy")</f>
        <v/>
      </c>
      <c r="E506" s="219">
        <f>VLOOKUP(A506,'WR Depth'!A:G,7,0)-1</f>
        <v/>
      </c>
      <c r="F506" s="218">
        <f>VLOOKUP(A506,'WR Depth'!A:C,3,0)</f>
        <v/>
      </c>
      <c r="G506" s="218">
        <f>VLOOKUP(A506,'WR Depth'!A:B,2,0)</f>
        <v/>
      </c>
      <c r="H506" s="218">
        <f>VLOOKUP(A506,'WR Depth'!A:D,4,0)</f>
        <v/>
      </c>
      <c r="I506" s="218">
        <f>H506&amp;E506</f>
        <v/>
      </c>
      <c r="J506" s="220">
        <f>IF(VLOOKUP(F506,Rec!F:G,2,0)=G506,"OK","Check Team")</f>
        <v/>
      </c>
      <c r="K506" s="156" t="n"/>
      <c r="L506" s="156">
        <f>IFERROR(VLOOKUP(F506&amp;G506,Pass!B:C,2,0),0)</f>
        <v/>
      </c>
      <c r="M506" s="156">
        <f>IFERROR(VLOOKUP(F506&amp;G506,Rush!B:C,2,0),0)</f>
        <v/>
      </c>
      <c r="N506" s="156">
        <f>IFERROR(VLOOKUP(F506&amp;G506,Rec!B:C,2,0),K506)</f>
        <v/>
      </c>
      <c r="O506" s="156">
        <f>IFERROR(VLOOKUP(F506&amp;G506,Returns!A:B,2,0),0)</f>
        <v/>
      </c>
      <c r="Q506" s="156" t="inlineStr">
        <is>
          <t>Marcus Rosemy-Jacksaint</t>
        </is>
      </c>
      <c r="R506" s="156" t="inlineStr">
        <is>
          <t>FA</t>
        </is>
      </c>
      <c r="S506" s="156" t="inlineStr">
        <is>
          <t>WR</t>
        </is>
      </c>
    </row>
    <row r="507" hidden="1" ht="15.6" customHeight="1" s="152">
      <c r="A507" s="221" t="n">
        <v>186</v>
      </c>
      <c r="B507" s="218">
        <f>VLOOKUP(G507,Matrix!R:AA,10,0)</f>
        <v/>
      </c>
      <c r="C507" s="156">
        <f>IF(K507&gt;0.01,K507,IFERROR(VLOOKUP(F507&amp;G507,Rec!B:C,2,0),K507)+SUM(L507:O507))</f>
        <v/>
      </c>
      <c r="D507" s="218">
        <f>_xlfn.IFNA(INDEX('Injury Report'!F:F, MATCH(G507&amp;F507, 'Injury Report'!A:A, 0)), "Healthy")</f>
        <v/>
      </c>
      <c r="E507" s="219">
        <f>VLOOKUP(A507,'WR Depth'!A:G,7,0)-1</f>
        <v/>
      </c>
      <c r="F507" s="218">
        <f>VLOOKUP(A507,'WR Depth'!A:C,3,0)</f>
        <v/>
      </c>
      <c r="G507" s="218">
        <f>VLOOKUP(A507,'WR Depth'!A:B,2,0)</f>
        <v/>
      </c>
      <c r="H507" s="218">
        <f>VLOOKUP(A507,'WR Depth'!A:D,4,0)</f>
        <v/>
      </c>
      <c r="I507" s="218">
        <f>H507&amp;E507</f>
        <v/>
      </c>
      <c r="J507" s="220">
        <f>IF(VLOOKUP(F507,Rec!F:G,2,0)=G507,"OK","Check Team")</f>
        <v/>
      </c>
      <c r="K507" s="156" t="n"/>
      <c r="L507" s="156">
        <f>IFERROR(VLOOKUP(F507&amp;G507,Pass!B:C,2,0),0)</f>
        <v/>
      </c>
      <c r="M507" s="156">
        <f>IFERROR(VLOOKUP(F507&amp;G507,Rush!B:C,2,0),0)</f>
        <v/>
      </c>
      <c r="N507" s="156">
        <f>IFERROR(VLOOKUP(F507&amp;G507,Rec!B:C,2,0),K507)</f>
        <v/>
      </c>
      <c r="O507" s="156">
        <f>IFERROR(VLOOKUP(F507&amp;G507,Returns!A:B,2,0),0)</f>
        <v/>
      </c>
      <c r="Q507" s="156" t="inlineStr">
        <is>
          <t>Justyn Ross</t>
        </is>
      </c>
      <c r="R507" s="156" t="inlineStr">
        <is>
          <t>FA</t>
        </is>
      </c>
      <c r="S507" s="156" t="inlineStr">
        <is>
          <t>WR</t>
        </is>
      </c>
    </row>
    <row r="508" hidden="1" ht="15.6" customHeight="1" s="152">
      <c r="A508" s="217" t="n">
        <v>187</v>
      </c>
      <c r="B508" s="218">
        <f>VLOOKUP(G508,Matrix!R:AA,10,0)</f>
        <v/>
      </c>
      <c r="C508" s="156">
        <f>IF(K508&gt;0.01,K508,IFERROR(VLOOKUP(F508&amp;G508,Rec!B:C,2,0),K508)+SUM(L508:O508))</f>
        <v/>
      </c>
      <c r="D508" s="218">
        <f>_xlfn.IFNA(INDEX('Injury Report'!F:F, MATCH(G508&amp;F508, 'Injury Report'!A:A, 0)), "Healthy")</f>
        <v/>
      </c>
      <c r="E508" s="219">
        <f>VLOOKUP(A508,'WR Depth'!A:G,7,0)-1</f>
        <v/>
      </c>
      <c r="F508" s="218">
        <f>VLOOKUP(A508,'WR Depth'!A:C,3,0)</f>
        <v/>
      </c>
      <c r="G508" s="218">
        <f>VLOOKUP(A508,'WR Depth'!A:B,2,0)</f>
        <v/>
      </c>
      <c r="H508" s="218">
        <f>VLOOKUP(A508,'WR Depth'!A:D,4,0)</f>
        <v/>
      </c>
      <c r="I508" s="218">
        <f>H508&amp;E508</f>
        <v/>
      </c>
      <c r="J508" s="220">
        <f>IF(VLOOKUP(F508,Rec!F:G,2,0)=G508,"OK","Check Team")</f>
        <v/>
      </c>
      <c r="K508" s="156" t="n"/>
      <c r="L508" s="156">
        <f>IFERROR(VLOOKUP(F508&amp;G508,Pass!B:C,2,0),0)</f>
        <v/>
      </c>
      <c r="M508" s="156">
        <f>IFERROR(VLOOKUP(F508&amp;G508,Rush!B:C,2,0),0)</f>
        <v/>
      </c>
      <c r="N508" s="156">
        <f>IFERROR(VLOOKUP(F508&amp;G508,Rec!B:C,2,0),K508)</f>
        <v/>
      </c>
      <c r="O508" s="156">
        <f>IFERROR(VLOOKUP(F508&amp;G508,Returns!A:B,2,0),0)</f>
        <v/>
      </c>
      <c r="Q508" s="156" t="inlineStr">
        <is>
          <t>Jeremy Ruckert</t>
        </is>
      </c>
      <c r="R508" s="156" t="inlineStr">
        <is>
          <t>NYJ</t>
        </is>
      </c>
      <c r="S508" s="156" t="inlineStr">
        <is>
          <t>TE</t>
        </is>
      </c>
    </row>
    <row r="509" hidden="1" ht="15.6" customHeight="1" s="152">
      <c r="A509" s="221" t="n">
        <v>188</v>
      </c>
      <c r="B509" s="218">
        <f>VLOOKUP(G509,Matrix!R:AA,10,0)</f>
        <v/>
      </c>
      <c r="C509" s="156">
        <f>IF(K509&gt;0.01,K509,IFERROR(VLOOKUP(F509&amp;G509,Rec!B:C,2,0),K509)+SUM(L509:O509))</f>
        <v/>
      </c>
      <c r="D509" s="218">
        <f>_xlfn.IFNA(INDEX('Injury Report'!F:F, MATCH(G509&amp;F509, 'Injury Report'!A:A, 0)), "Healthy")</f>
        <v/>
      </c>
      <c r="E509" s="219">
        <f>VLOOKUP(A509,'WR Depth'!A:G,7,0)-1</f>
        <v/>
      </c>
      <c r="F509" s="218">
        <f>VLOOKUP(A509,'WR Depth'!A:C,3,0)</f>
        <v/>
      </c>
      <c r="G509" s="218">
        <f>VLOOKUP(A509,'WR Depth'!A:B,2,0)</f>
        <v/>
      </c>
      <c r="H509" s="218">
        <f>VLOOKUP(A509,'WR Depth'!A:D,4,0)</f>
        <v/>
      </c>
      <c r="I509" s="218">
        <f>H509&amp;E509</f>
        <v/>
      </c>
      <c r="J509" s="220">
        <f>IF(VLOOKUP(F509,Rec!F:G,2,0)=G509,"OK","Check Team")</f>
        <v/>
      </c>
      <c r="K509" s="156" t="n"/>
      <c r="L509" s="156">
        <f>IFERROR(VLOOKUP(F509&amp;G509,Pass!B:C,2,0),0)</f>
        <v/>
      </c>
      <c r="M509" s="156">
        <f>IFERROR(VLOOKUP(F509&amp;G509,Rush!B:C,2,0),0)</f>
        <v/>
      </c>
      <c r="N509" s="156">
        <f>IFERROR(VLOOKUP(F509&amp;G509,Rec!B:C,2,0),K509)</f>
        <v/>
      </c>
      <c r="O509" s="156">
        <f>IFERROR(VLOOKUP(F509&amp;G509,Returns!A:B,2,0),0)</f>
        <v/>
      </c>
      <c r="Q509" s="156" t="inlineStr">
        <is>
          <t>Mason Rudolph</t>
        </is>
      </c>
      <c r="R509" s="156" t="inlineStr">
        <is>
          <t>TEN</t>
        </is>
      </c>
      <c r="S509" s="156" t="inlineStr">
        <is>
          <t>QB</t>
        </is>
      </c>
    </row>
    <row r="510" hidden="1" ht="15.6" customHeight="1" s="152">
      <c r="A510" s="217" t="n">
        <v>189</v>
      </c>
      <c r="B510" s="218">
        <f>VLOOKUP(G510,Matrix!R:AA,10,0)</f>
        <v/>
      </c>
      <c r="C510" s="156">
        <f>IF(K510&gt;0.01,K510,IFERROR(VLOOKUP(F510&amp;G510,Rec!B:C,2,0),K510)+SUM(L510:O510))</f>
        <v/>
      </c>
      <c r="D510" s="218">
        <f>_xlfn.IFNA(INDEX('Injury Report'!F:F, MATCH(G510&amp;F510, 'Injury Report'!A:A, 0)), "Healthy")</f>
        <v/>
      </c>
      <c r="E510" s="219">
        <f>VLOOKUP(A510,'WR Depth'!A:G,7,0)-1</f>
        <v/>
      </c>
      <c r="F510" s="218">
        <f>VLOOKUP(A510,'WR Depth'!A:C,3,0)</f>
        <v/>
      </c>
      <c r="G510" s="218">
        <f>VLOOKUP(A510,'WR Depth'!A:B,2,0)</f>
        <v/>
      </c>
      <c r="H510" s="218">
        <f>VLOOKUP(A510,'WR Depth'!A:D,4,0)</f>
        <v/>
      </c>
      <c r="I510" s="218">
        <f>H510&amp;E510</f>
        <v/>
      </c>
      <c r="J510" s="220">
        <f>IF(VLOOKUP(F510,Rec!F:G,2,0)=G510,"OK","Check Team")</f>
        <v/>
      </c>
      <c r="K510" s="156" t="n"/>
      <c r="L510" s="156">
        <f>IFERROR(VLOOKUP(F510&amp;G510,Pass!B:C,2,0),0)</f>
        <v/>
      </c>
      <c r="M510" s="156">
        <f>IFERROR(VLOOKUP(F510&amp;G510,Rush!B:C,2,0),0)</f>
        <v/>
      </c>
      <c r="N510" s="156">
        <f>IFERROR(VLOOKUP(F510&amp;G510,Rec!B:C,2,0),K510)</f>
        <v/>
      </c>
      <c r="O510" s="156">
        <f>IFERROR(VLOOKUP(F510&amp;G510,Returns!A:B,2,0),0)</f>
        <v/>
      </c>
      <c r="Q510" s="156" t="inlineStr">
        <is>
          <t>Cooper Rush</t>
        </is>
      </c>
      <c r="R510" s="156" t="inlineStr">
        <is>
          <t>DAL</t>
        </is>
      </c>
      <c r="S510" s="156" t="inlineStr">
        <is>
          <t>QB</t>
        </is>
      </c>
    </row>
    <row r="511" hidden="1" ht="15.6" customHeight="1" s="152">
      <c r="A511" s="221" t="n">
        <v>190</v>
      </c>
      <c r="B511" s="218">
        <f>VLOOKUP(G511,Matrix!R:AA,10,0)</f>
        <v/>
      </c>
      <c r="C511" s="156">
        <f>IF(K511&gt;0.01,K511,IFERROR(VLOOKUP(F511&amp;G511,Rec!B:C,2,0),K511)+SUM(L511:O511))</f>
        <v/>
      </c>
      <c r="D511" s="218">
        <f>_xlfn.IFNA(INDEX('Injury Report'!F:F, MATCH(G511&amp;F511, 'Injury Report'!A:A, 0)), "Healthy")</f>
        <v/>
      </c>
      <c r="E511" s="219">
        <f>VLOOKUP(A511,'WR Depth'!A:G,7,0)-1</f>
        <v/>
      </c>
      <c r="F511" s="218">
        <f>VLOOKUP(A511,'WR Depth'!A:C,3,0)</f>
        <v/>
      </c>
      <c r="G511" s="218">
        <f>VLOOKUP(A511,'WR Depth'!A:B,2,0)</f>
        <v/>
      </c>
      <c r="H511" s="218">
        <f>VLOOKUP(A511,'WR Depth'!A:D,4,0)</f>
        <v/>
      </c>
      <c r="I511" s="218">
        <f>H511&amp;E511</f>
        <v/>
      </c>
      <c r="J511" s="220">
        <f>IF(VLOOKUP(F511,Rec!F:G,2,0)=G511,"OK","Check Team")</f>
        <v/>
      </c>
      <c r="K511" s="156" t="n"/>
      <c r="L511" s="156">
        <f>IFERROR(VLOOKUP(F511&amp;G511,Pass!B:C,2,0),0)</f>
        <v/>
      </c>
      <c r="M511" s="156">
        <f>IFERROR(VLOOKUP(F511&amp;G511,Rush!B:C,2,0),0)</f>
        <v/>
      </c>
      <c r="N511" s="156">
        <f>IFERROR(VLOOKUP(F511&amp;G511,Rec!B:C,2,0),K511)</f>
        <v/>
      </c>
      <c r="O511" s="156">
        <f>IFERROR(VLOOKUP(F511&amp;G511,Returns!A:B,2,0),0)</f>
        <v/>
      </c>
      <c r="Q511" s="156" t="inlineStr">
        <is>
          <t>Chad Ryland</t>
        </is>
      </c>
      <c r="R511" s="156" t="inlineStr">
        <is>
          <t>ARI</t>
        </is>
      </c>
      <c r="S511" s="156" t="inlineStr">
        <is>
          <t>K</t>
        </is>
      </c>
    </row>
    <row r="512" hidden="1" ht="15.6" customHeight="1" s="152">
      <c r="A512" s="217" t="n">
        <v>191</v>
      </c>
      <c r="B512" s="218">
        <f>VLOOKUP(G512,Matrix!R:AA,10,0)</f>
        <v/>
      </c>
      <c r="C512" s="156">
        <f>IF(K512&gt;0.01,K512,IFERROR(VLOOKUP(F512&amp;G512,Rec!B:C,2,0),K512)+SUM(L512:O512))</f>
        <v/>
      </c>
      <c r="D512" s="218">
        <f>_xlfn.IFNA(INDEX('Injury Report'!F:F, MATCH(G512&amp;F512, 'Injury Report'!A:A, 0)), "Healthy")</f>
        <v/>
      </c>
      <c r="E512" s="219">
        <f>VLOOKUP(A512,'WR Depth'!A:G,7,0)-1</f>
        <v/>
      </c>
      <c r="F512" s="218">
        <f>VLOOKUP(A512,'WR Depth'!A:C,3,0)</f>
        <v/>
      </c>
      <c r="G512" s="218">
        <f>VLOOKUP(A512,'WR Depth'!A:B,2,0)</f>
        <v/>
      </c>
      <c r="H512" s="218">
        <f>VLOOKUP(A512,'WR Depth'!A:D,4,0)</f>
        <v/>
      </c>
      <c r="I512" s="218">
        <f>H512&amp;E512</f>
        <v/>
      </c>
      <c r="J512" s="220">
        <f>IF(VLOOKUP(F512,Rec!F:G,2,0)=G512,"OK","Check Team")</f>
        <v/>
      </c>
      <c r="K512" s="156" t="n"/>
      <c r="L512" s="156">
        <f>IFERROR(VLOOKUP(F512&amp;G512,Pass!B:C,2,0),0)</f>
        <v/>
      </c>
      <c r="M512" s="156">
        <f>IFERROR(VLOOKUP(F512&amp;G512,Rush!B:C,2,0),0)</f>
        <v/>
      </c>
      <c r="N512" s="156">
        <f>IFERROR(VLOOKUP(F512&amp;G512,Rec!B:C,2,0),K512)</f>
        <v/>
      </c>
      <c r="O512" s="156">
        <f>IFERROR(VLOOKUP(F512&amp;G512,Returns!A:B,2,0),0)</f>
        <v/>
      </c>
      <c r="Q512" s="156" t="inlineStr">
        <is>
          <t>Drew Sample</t>
        </is>
      </c>
      <c r="R512" s="156" t="inlineStr">
        <is>
          <t>CIN</t>
        </is>
      </c>
      <c r="S512" s="156" t="inlineStr">
        <is>
          <t>TE</t>
        </is>
      </c>
    </row>
    <row r="513" hidden="1" ht="15.6" customHeight="1" s="152">
      <c r="A513" s="221" t="n">
        <v>192</v>
      </c>
      <c r="B513" s="218">
        <f>VLOOKUP(G513,Matrix!R:AA,10,0)</f>
        <v/>
      </c>
      <c r="C513" s="156">
        <f>IF(K513&gt;0.01,K513,IFERROR(VLOOKUP(F513&amp;G513,Rec!B:C,2,0),K513)+SUM(L513:O513))</f>
        <v/>
      </c>
      <c r="D513" s="218">
        <f>_xlfn.IFNA(INDEX('Injury Report'!F:F, MATCH(G513&amp;F513, 'Injury Report'!A:A, 0)), "Healthy")</f>
        <v/>
      </c>
      <c r="E513" s="219">
        <f>VLOOKUP(A513,'WR Depth'!A:G,7,0)-1</f>
        <v/>
      </c>
      <c r="F513" s="218">
        <f>VLOOKUP(A513,'WR Depth'!A:C,3,0)</f>
        <v/>
      </c>
      <c r="G513" s="218">
        <f>VLOOKUP(A513,'WR Depth'!A:B,2,0)</f>
        <v/>
      </c>
      <c r="H513" s="218">
        <f>VLOOKUP(A513,'WR Depth'!A:D,4,0)</f>
        <v/>
      </c>
      <c r="I513" s="218">
        <f>H513&amp;E513</f>
        <v/>
      </c>
      <c r="J513" s="220">
        <f>IF(VLOOKUP(F513,Rec!F:G,2,0)=G513,"OK","Check Team")</f>
        <v/>
      </c>
      <c r="K513" s="156" t="n"/>
      <c r="L513" s="156">
        <f>IFERROR(VLOOKUP(F513&amp;G513,Pass!B:C,2,0),0)</f>
        <v/>
      </c>
      <c r="M513" s="156">
        <f>IFERROR(VLOOKUP(F513&amp;G513,Rush!B:C,2,0),0)</f>
        <v/>
      </c>
      <c r="N513" s="156">
        <f>IFERROR(VLOOKUP(F513&amp;G513,Rec!B:C,2,0),K513)</f>
        <v/>
      </c>
      <c r="O513" s="156">
        <f>IFERROR(VLOOKUP(F513&amp;G513,Returns!A:B,2,0),0)</f>
        <v/>
      </c>
      <c r="Q513" s="156" t="inlineStr">
        <is>
          <t>Curtis Samuel</t>
        </is>
      </c>
      <c r="R513" s="156" t="inlineStr">
        <is>
          <t>BUF</t>
        </is>
      </c>
      <c r="S513" s="156" t="inlineStr">
        <is>
          <t>WR</t>
        </is>
      </c>
    </row>
    <row r="514" hidden="1" ht="15.6" customHeight="1" s="152">
      <c r="A514" s="217" t="n">
        <v>193</v>
      </c>
      <c r="B514" s="218">
        <f>VLOOKUP(G514,Matrix!R:AA,10,0)</f>
        <v/>
      </c>
      <c r="C514" s="156">
        <f>IF(K514&gt;0.01,K514,IFERROR(VLOOKUP(F514&amp;G514,Rec!B:C,2,0),K514)+SUM(L514:O514))</f>
        <v/>
      </c>
      <c r="D514" s="218">
        <f>_xlfn.IFNA(INDEX('Injury Report'!F:F, MATCH(G514&amp;F514, 'Injury Report'!A:A, 0)), "Healthy")</f>
        <v/>
      </c>
      <c r="E514" s="219">
        <f>VLOOKUP(A514,'WR Depth'!A:G,7,0)-1</f>
        <v/>
      </c>
      <c r="F514" s="218">
        <f>VLOOKUP(A514,'WR Depth'!A:C,3,0)</f>
        <v/>
      </c>
      <c r="G514" s="218">
        <f>VLOOKUP(A514,'WR Depth'!A:B,2,0)</f>
        <v/>
      </c>
      <c r="H514" s="218">
        <f>VLOOKUP(A514,'WR Depth'!A:D,4,0)</f>
        <v/>
      </c>
      <c r="I514" s="218">
        <f>H514&amp;E514</f>
        <v/>
      </c>
      <c r="J514" s="220">
        <f>IF(VLOOKUP(F514,Rec!F:G,2,0)=G514,"OK","Check Team")</f>
        <v/>
      </c>
      <c r="K514" s="156" t="n"/>
      <c r="L514" s="156">
        <f>IFERROR(VLOOKUP(F514&amp;G514,Pass!B:C,2,0),0)</f>
        <v/>
      </c>
      <c r="M514" s="156">
        <f>IFERROR(VLOOKUP(F514&amp;G514,Rush!B:C,2,0),0)</f>
        <v/>
      </c>
      <c r="N514" s="156">
        <f>IFERROR(VLOOKUP(F514&amp;G514,Rec!B:C,2,0),K514)</f>
        <v/>
      </c>
      <c r="O514" s="156">
        <f>IFERROR(VLOOKUP(F514&amp;G514,Returns!A:B,2,0),0)</f>
        <v/>
      </c>
      <c r="Q514" s="156" t="inlineStr">
        <is>
          <t>Deebo Samuel</t>
        </is>
      </c>
      <c r="R514" s="156" t="inlineStr">
        <is>
          <t>SF</t>
        </is>
      </c>
      <c r="S514" s="156" t="inlineStr">
        <is>
          <t>WR</t>
        </is>
      </c>
    </row>
    <row r="515" hidden="1" ht="15.6" customHeight="1" s="152">
      <c r="A515" s="221" t="n">
        <v>194</v>
      </c>
      <c r="B515" s="218">
        <f>VLOOKUP(G515,Matrix!R:AA,10,0)</f>
        <v/>
      </c>
      <c r="C515" s="156">
        <f>IF(K515&gt;0.01,K515,IFERROR(VLOOKUP(F515&amp;G515,Rec!B:C,2,0),K515)+SUM(L515:O515))</f>
        <v/>
      </c>
      <c r="D515" s="218">
        <f>_xlfn.IFNA(INDEX('Injury Report'!F:F, MATCH(G515&amp;F515, 'Injury Report'!A:A, 0)), "Healthy")</f>
        <v/>
      </c>
      <c r="E515" s="219">
        <f>VLOOKUP(A515,'WR Depth'!A:G,7,0)-1</f>
        <v/>
      </c>
      <c r="F515" s="218">
        <f>VLOOKUP(A515,'WR Depth'!A:C,3,0)</f>
        <v/>
      </c>
      <c r="G515" s="218">
        <f>VLOOKUP(A515,'WR Depth'!A:B,2,0)</f>
        <v/>
      </c>
      <c r="H515" s="218">
        <f>VLOOKUP(A515,'WR Depth'!A:D,4,0)</f>
        <v/>
      </c>
      <c r="I515" s="218">
        <f>H515&amp;E515</f>
        <v/>
      </c>
      <c r="J515" s="220">
        <f>IF(VLOOKUP(F515,Rec!F:G,2,0)=G515,"OK","Check Team")</f>
        <v/>
      </c>
      <c r="K515" s="156" t="n"/>
      <c r="L515" s="156">
        <f>IFERROR(VLOOKUP(F515&amp;G515,Pass!B:C,2,0),0)</f>
        <v/>
      </c>
      <c r="M515" s="156">
        <f>IFERROR(VLOOKUP(F515&amp;G515,Rush!B:C,2,0),0)</f>
        <v/>
      </c>
      <c r="N515" s="156">
        <f>IFERROR(VLOOKUP(F515&amp;G515,Rec!B:C,2,0),K515)</f>
        <v/>
      </c>
      <c r="O515" s="156">
        <f>IFERROR(VLOOKUP(F515&amp;G515,Returns!A:B,2,0),0)</f>
        <v/>
      </c>
      <c r="Q515" s="156" t="inlineStr">
        <is>
          <t>Jason Sanders</t>
        </is>
      </c>
      <c r="R515" s="156" t="inlineStr">
        <is>
          <t>MIA</t>
        </is>
      </c>
      <c r="S515" s="156" t="inlineStr">
        <is>
          <t>K</t>
        </is>
      </c>
    </row>
    <row r="516" hidden="1" ht="15.6" customHeight="1" s="152">
      <c r="A516" s="217" t="n">
        <v>195</v>
      </c>
      <c r="B516" s="218">
        <f>VLOOKUP(G516,Matrix!R:AA,10,0)</f>
        <v/>
      </c>
      <c r="C516" s="156">
        <f>IF(K516&gt;0.01,K516,IFERROR(VLOOKUP(F516&amp;G516,Rec!B:C,2,0),K516)+SUM(L516:O516))</f>
        <v/>
      </c>
      <c r="D516" s="218">
        <f>_xlfn.IFNA(INDEX('Injury Report'!F:F, MATCH(G516&amp;F516, 'Injury Report'!A:A, 0)), "Healthy")</f>
        <v/>
      </c>
      <c r="E516" s="219">
        <f>VLOOKUP(A516,'WR Depth'!A:G,7,0)-1</f>
        <v/>
      </c>
      <c r="F516" s="218">
        <f>VLOOKUP(A516,'WR Depth'!A:C,3,0)</f>
        <v/>
      </c>
      <c r="G516" s="218">
        <f>VLOOKUP(A516,'WR Depth'!A:B,2,0)</f>
        <v/>
      </c>
      <c r="H516" s="218">
        <f>VLOOKUP(A516,'WR Depth'!A:D,4,0)</f>
        <v/>
      </c>
      <c r="I516" s="218">
        <f>H516&amp;E516</f>
        <v/>
      </c>
      <c r="J516" s="220">
        <f>IF(VLOOKUP(F516,Rec!F:G,2,0)=G516,"OK","Check Team")</f>
        <v/>
      </c>
      <c r="K516" s="156" t="n"/>
      <c r="L516" s="156">
        <f>IFERROR(VLOOKUP(F516&amp;G516,Pass!B:C,2,0),0)</f>
        <v/>
      </c>
      <c r="M516" s="156">
        <f>IFERROR(VLOOKUP(F516&amp;G516,Rush!B:C,2,0),0)</f>
        <v/>
      </c>
      <c r="N516" s="156">
        <f>IFERROR(VLOOKUP(F516&amp;G516,Rec!B:C,2,0),K516)</f>
        <v/>
      </c>
      <c r="O516" s="156">
        <f>IFERROR(VLOOKUP(F516&amp;G516,Returns!A:B,2,0),0)</f>
        <v/>
      </c>
      <c r="Q516" s="156" t="inlineStr">
        <is>
          <t>Miles Sanders</t>
        </is>
      </c>
      <c r="R516" s="156" t="inlineStr">
        <is>
          <t>CAR</t>
        </is>
      </c>
      <c r="S516" s="156" t="inlineStr">
        <is>
          <t>RB</t>
        </is>
      </c>
    </row>
    <row r="517" hidden="1" ht="15.6" customHeight="1" s="152">
      <c r="A517" s="221" t="n">
        <v>196</v>
      </c>
      <c r="B517" s="218">
        <f>VLOOKUP(G517,Matrix!R:AA,10,0)</f>
        <v/>
      </c>
      <c r="C517" s="156">
        <f>IF(K517&gt;0.01,K517,IFERROR(VLOOKUP(F517&amp;G517,Rec!B:C,2,0),K517)+SUM(L517:O517))</f>
        <v/>
      </c>
      <c r="D517" s="218">
        <f>_xlfn.IFNA(INDEX('Injury Report'!F:F, MATCH(G517&amp;F517, 'Injury Report'!A:A, 0)), "Healthy")</f>
        <v/>
      </c>
      <c r="E517" s="219">
        <f>VLOOKUP(A517,'WR Depth'!A:G,7,0)-1</f>
        <v/>
      </c>
      <c r="F517" s="218">
        <f>VLOOKUP(A517,'WR Depth'!A:C,3,0)</f>
        <v/>
      </c>
      <c r="G517" s="218">
        <f>VLOOKUP(A517,'WR Depth'!A:B,2,0)</f>
        <v/>
      </c>
      <c r="H517" s="218">
        <f>VLOOKUP(A517,'WR Depth'!A:D,4,0)</f>
        <v/>
      </c>
      <c r="I517" s="218">
        <f>H517&amp;E517</f>
        <v/>
      </c>
      <c r="J517" s="220">
        <f>IF(VLOOKUP(F517,Rec!F:G,2,0)=G517,"OK","Check Team")</f>
        <v/>
      </c>
      <c r="K517" s="156" t="n"/>
      <c r="L517" s="156">
        <f>IFERROR(VLOOKUP(F517&amp;G517,Pass!B:C,2,0),0)</f>
        <v/>
      </c>
      <c r="M517" s="156">
        <f>IFERROR(VLOOKUP(F517&amp;G517,Rush!B:C,2,0),0)</f>
        <v/>
      </c>
      <c r="N517" s="156">
        <f>IFERROR(VLOOKUP(F517&amp;G517,Rec!B:C,2,0),K517)</f>
        <v/>
      </c>
      <c r="O517" s="156">
        <f>IFERROR(VLOOKUP(F517&amp;G517,Returns!A:B,2,0),0)</f>
        <v/>
      </c>
      <c r="Q517" s="156" t="inlineStr">
        <is>
          <t>Ja'Tavion Sanders</t>
        </is>
      </c>
      <c r="R517" s="156" t="inlineStr">
        <is>
          <t>CAR</t>
        </is>
      </c>
      <c r="S517" s="156" t="inlineStr">
        <is>
          <t>TE</t>
        </is>
      </c>
    </row>
    <row r="518" hidden="1" ht="15.6" customHeight="1" s="152">
      <c r="A518" s="217" t="n">
        <v>197</v>
      </c>
      <c r="B518" s="218">
        <f>VLOOKUP(G518,Matrix!R:AA,10,0)</f>
        <v/>
      </c>
      <c r="C518" s="156">
        <f>IF(K518&gt;0.01,K518,IFERROR(VLOOKUP(F518&amp;G518,Rec!B:C,2,0),K518)+SUM(L518:O518))</f>
        <v/>
      </c>
      <c r="D518" s="218">
        <f>_xlfn.IFNA(INDEX('Injury Report'!F:F, MATCH(G518&amp;F518, 'Injury Report'!A:A, 0)), "Healthy")</f>
        <v/>
      </c>
      <c r="E518" s="219">
        <f>VLOOKUP(A518,'WR Depth'!A:G,7,0)-1</f>
        <v/>
      </c>
      <c r="F518" s="218">
        <f>VLOOKUP(A518,'WR Depth'!A:C,3,0)</f>
        <v/>
      </c>
      <c r="G518" s="218">
        <f>VLOOKUP(A518,'WR Depth'!A:B,2,0)</f>
        <v/>
      </c>
      <c r="H518" s="218">
        <f>VLOOKUP(A518,'WR Depth'!A:D,4,0)</f>
        <v/>
      </c>
      <c r="I518" s="218">
        <f>H518&amp;E518</f>
        <v/>
      </c>
      <c r="J518" s="220">
        <f>IF(VLOOKUP(F518,Rec!F:G,2,0)=G518,"OK","Check Team")</f>
        <v/>
      </c>
      <c r="K518" s="156" t="n"/>
      <c r="L518" s="156">
        <f>IFERROR(VLOOKUP(F518&amp;G518,Pass!B:C,2,0),0)</f>
        <v/>
      </c>
      <c r="M518" s="156">
        <f>IFERROR(VLOOKUP(F518&amp;G518,Rush!B:C,2,0),0)</f>
        <v/>
      </c>
      <c r="N518" s="156">
        <f>IFERROR(VLOOKUP(F518&amp;G518,Rec!B:C,2,0),K518)</f>
        <v/>
      </c>
      <c r="O518" s="156">
        <f>IFERROR(VLOOKUP(F518&amp;G518,Returns!A:B,2,0),0)</f>
        <v/>
      </c>
      <c r="Q518" s="156" t="inlineStr">
        <is>
          <t>Cairo Santos</t>
        </is>
      </c>
      <c r="R518" s="156" t="inlineStr">
        <is>
          <t>CHI</t>
        </is>
      </c>
      <c r="S518" s="156" t="inlineStr">
        <is>
          <t>K</t>
        </is>
      </c>
    </row>
    <row r="519" hidden="1" ht="15.6" customHeight="1" s="152">
      <c r="A519" s="221" t="n">
        <v>198</v>
      </c>
      <c r="B519" s="218">
        <f>VLOOKUP(G519,Matrix!R:AA,10,0)</f>
        <v/>
      </c>
      <c r="C519" s="156">
        <f>IF(K519&gt;0.01,K519,IFERROR(VLOOKUP(F519&amp;G519,Rec!B:C,2,0),K519)+SUM(L519:O519))</f>
        <v/>
      </c>
      <c r="D519" s="218">
        <f>_xlfn.IFNA(INDEX('Injury Report'!F:F, MATCH(G519&amp;F519, 'Injury Report'!A:A, 0)), "Healthy")</f>
        <v/>
      </c>
      <c r="E519" s="219">
        <f>VLOOKUP(A519,'WR Depth'!A:G,7,0)-1</f>
        <v/>
      </c>
      <c r="F519" s="218">
        <f>VLOOKUP(A519,'WR Depth'!A:C,3,0)</f>
        <v/>
      </c>
      <c r="G519" s="218">
        <f>VLOOKUP(A519,'WR Depth'!A:B,2,0)</f>
        <v/>
      </c>
      <c r="H519" s="218">
        <f>VLOOKUP(A519,'WR Depth'!A:D,4,0)</f>
        <v/>
      </c>
      <c r="I519" s="218">
        <f>H519&amp;E519</f>
        <v/>
      </c>
      <c r="J519" s="220">
        <f>IF(VLOOKUP(F519,Rec!F:G,2,0)=G519,"OK","Check Team")</f>
        <v/>
      </c>
      <c r="K519" s="156" t="n"/>
      <c r="L519" s="156">
        <f>IFERROR(VLOOKUP(F519&amp;G519,Pass!B:C,2,0),0)</f>
        <v/>
      </c>
      <c r="M519" s="156">
        <f>IFERROR(VLOOKUP(F519&amp;G519,Rush!B:C,2,0),0)</f>
        <v/>
      </c>
      <c r="N519" s="156">
        <f>IFERROR(VLOOKUP(F519&amp;G519,Rec!B:C,2,0),K519)</f>
        <v/>
      </c>
      <c r="O519" s="156">
        <f>IFERROR(VLOOKUP(F519&amp;G519,Returns!A:B,2,0),0)</f>
        <v/>
      </c>
      <c r="Q519" s="156" t="inlineStr">
        <is>
          <t>Eric Saubert</t>
        </is>
      </c>
      <c r="R519" s="156" t="inlineStr">
        <is>
          <t>SF</t>
        </is>
      </c>
      <c r="S519" s="156" t="inlineStr">
        <is>
          <t>TE</t>
        </is>
      </c>
    </row>
    <row r="520" hidden="1" ht="15.6" customHeight="1" s="152">
      <c r="A520" s="217" t="n">
        <v>199</v>
      </c>
      <c r="B520" s="218">
        <f>VLOOKUP(G520,Matrix!R:AA,10,0)</f>
        <v/>
      </c>
      <c r="C520" s="156">
        <f>IF(K520&gt;0.01,K520,IFERROR(VLOOKUP(F520&amp;G520,Rec!B:C,2,0),K520)+SUM(L520:O520))</f>
        <v/>
      </c>
      <c r="D520" s="218">
        <f>_xlfn.IFNA(INDEX('Injury Report'!F:F, MATCH(G520&amp;F520, 'Injury Report'!A:A, 0)), "Healthy")</f>
        <v/>
      </c>
      <c r="E520" s="219">
        <f>VLOOKUP(A520,'WR Depth'!A:G,7,0)-1</f>
        <v/>
      </c>
      <c r="F520" s="218">
        <f>VLOOKUP(A520,'WR Depth'!A:C,3,0)</f>
        <v/>
      </c>
      <c r="G520" s="218">
        <f>VLOOKUP(A520,'WR Depth'!A:B,2,0)</f>
        <v/>
      </c>
      <c r="H520" s="218">
        <f>VLOOKUP(A520,'WR Depth'!A:D,4,0)</f>
        <v/>
      </c>
      <c r="I520" s="218">
        <f>H520&amp;E520</f>
        <v/>
      </c>
      <c r="J520" s="220">
        <f>IF(VLOOKUP(F520,Rec!F:G,2,0)=G520,"OK","Check Team")</f>
        <v/>
      </c>
      <c r="K520" s="156" t="n"/>
      <c r="L520" s="156">
        <f>IFERROR(VLOOKUP(F520&amp;G520,Pass!B:C,2,0),0)</f>
        <v/>
      </c>
      <c r="M520" s="156">
        <f>IFERROR(VLOOKUP(F520&amp;G520,Rush!B:C,2,0),0)</f>
        <v/>
      </c>
      <c r="N520" s="156">
        <f>IFERROR(VLOOKUP(F520&amp;G520,Rec!B:C,2,0),K520)</f>
        <v/>
      </c>
      <c r="O520" s="156">
        <f>IFERROR(VLOOKUP(F520&amp;G520,Returns!A:B,2,0),0)</f>
        <v/>
      </c>
      <c r="Q520" s="156" t="inlineStr">
        <is>
          <t>Luke Schoonmaker</t>
        </is>
      </c>
      <c r="R520" s="156" t="inlineStr">
        <is>
          <t>DAL</t>
        </is>
      </c>
      <c r="S520" s="156" t="inlineStr">
        <is>
          <t>TE</t>
        </is>
      </c>
    </row>
    <row r="521" hidden="1" ht="15.6" customHeight="1" s="152">
      <c r="A521" s="221" t="n">
        <v>200</v>
      </c>
      <c r="B521" s="218">
        <f>VLOOKUP(G521,Matrix!R:AA,10,0)</f>
        <v/>
      </c>
      <c r="C521" s="156">
        <f>IF(K521&gt;0.01,K521,IFERROR(VLOOKUP(F521&amp;G521,Rec!B:C,2,0),K521)+SUM(L521:O521))</f>
        <v/>
      </c>
      <c r="D521" s="218">
        <f>_xlfn.IFNA(INDEX('Injury Report'!F:F, MATCH(G521&amp;F521, 'Injury Report'!A:A, 0)), "Healthy")</f>
        <v/>
      </c>
      <c r="E521" s="219">
        <f>VLOOKUP(A521,'WR Depth'!A:G,7,0)-1</f>
        <v/>
      </c>
      <c r="F521" s="218">
        <f>VLOOKUP(A521,'WR Depth'!A:C,3,0)</f>
        <v/>
      </c>
      <c r="G521" s="218">
        <f>VLOOKUP(A521,'WR Depth'!A:B,2,0)</f>
        <v/>
      </c>
      <c r="H521" s="218">
        <f>VLOOKUP(A521,'WR Depth'!A:D,4,0)</f>
        <v/>
      </c>
      <c r="I521" s="218">
        <f>H521&amp;E521</f>
        <v/>
      </c>
      <c r="J521" s="220">
        <f>IF(VLOOKUP(F521,Rec!F:G,2,0)=G521,"OK","Check Team")</f>
        <v/>
      </c>
      <c r="K521" s="156" t="n"/>
      <c r="L521" s="156">
        <f>IFERROR(VLOOKUP(F521&amp;G521,Pass!B:C,2,0),0)</f>
        <v/>
      </c>
      <c r="M521" s="156">
        <f>IFERROR(VLOOKUP(F521&amp;G521,Rush!B:C,2,0),0)</f>
        <v/>
      </c>
      <c r="N521" s="156">
        <f>IFERROR(VLOOKUP(F521&amp;G521,Rec!B:C,2,0),K521)</f>
        <v/>
      </c>
      <c r="O521" s="156">
        <f>IFERROR(VLOOKUP(F521&amp;G521,Returns!A:B,2,0),0)</f>
        <v/>
      </c>
      <c r="Q521" s="156" t="inlineStr">
        <is>
          <t>Cody Schrader</t>
        </is>
      </c>
      <c r="R521" s="156" t="inlineStr">
        <is>
          <t>LAR</t>
        </is>
      </c>
      <c r="S521" s="156" t="inlineStr">
        <is>
          <t>RB</t>
        </is>
      </c>
    </row>
    <row r="522" hidden="1" ht="15.6" customHeight="1" s="152">
      <c r="A522" s="217" t="n">
        <v>201</v>
      </c>
      <c r="B522" s="218">
        <f>VLOOKUP(G522,Matrix!R:AA,10,0)</f>
        <v/>
      </c>
      <c r="C522" s="156">
        <f>IF(K522&gt;0.01,K522,IFERROR(VLOOKUP(F522&amp;G522,Rec!B:C,2,0),K522)+SUM(L522:O522))</f>
        <v/>
      </c>
      <c r="D522" s="218">
        <f>_xlfn.IFNA(INDEX('Injury Report'!F:F, MATCH(G522&amp;F522, 'Injury Report'!A:A, 0)), "Healthy")</f>
        <v/>
      </c>
      <c r="E522" s="219">
        <f>VLOOKUP(A522,'WR Depth'!A:G,7,0)-1</f>
        <v/>
      </c>
      <c r="F522" s="218">
        <f>VLOOKUP(A522,'WR Depth'!A:C,3,0)</f>
        <v/>
      </c>
      <c r="G522" s="218">
        <f>VLOOKUP(A522,'WR Depth'!A:B,2,0)</f>
        <v/>
      </c>
      <c r="H522" s="218">
        <f>VLOOKUP(A522,'WR Depth'!A:D,4,0)</f>
        <v/>
      </c>
      <c r="I522" s="218">
        <f>H522&amp;E522</f>
        <v/>
      </c>
      <c r="J522" s="220">
        <f>IF(VLOOKUP(F522,Rec!F:G,2,0)=G522,"OK","Check Team")</f>
        <v/>
      </c>
      <c r="K522" s="156" t="n"/>
      <c r="L522" s="156">
        <f>IFERROR(VLOOKUP(F522&amp;G522,Pass!B:C,2,0),0)</f>
        <v/>
      </c>
      <c r="M522" s="156">
        <f>IFERROR(VLOOKUP(F522&amp;G522,Rush!B:C,2,0),0)</f>
        <v/>
      </c>
      <c r="N522" s="156">
        <f>IFERROR(VLOOKUP(F522&amp;G522,Rec!B:C,2,0),K522)</f>
        <v/>
      </c>
      <c r="O522" s="156">
        <f>IFERROR(VLOOKUP(F522&amp;G522,Returns!A:B,2,0),0)</f>
        <v/>
      </c>
      <c r="Q522" s="156" t="inlineStr">
        <is>
          <t>Dalton Schultz</t>
        </is>
      </c>
      <c r="R522" s="156" t="inlineStr">
        <is>
          <t>HOU</t>
        </is>
      </c>
      <c r="S522" s="156" t="inlineStr">
        <is>
          <t>TE</t>
        </is>
      </c>
    </row>
    <row r="523" hidden="1" ht="15.6" customHeight="1" s="152">
      <c r="A523" s="221" t="n">
        <v>202</v>
      </c>
      <c r="B523" s="218">
        <f>VLOOKUP(G523,Matrix!R:AA,10,0)</f>
        <v/>
      </c>
      <c r="C523" s="156">
        <f>IF(K523&gt;0.01,K523,IFERROR(VLOOKUP(F523&amp;G523,Rec!B:C,2,0),K523)+SUM(L523:O523))</f>
        <v/>
      </c>
      <c r="D523" s="218">
        <f>_xlfn.IFNA(INDEX('Injury Report'!F:F, MATCH(G523&amp;F523, 'Injury Report'!A:A, 0)), "Healthy")</f>
        <v/>
      </c>
      <c r="E523" s="219">
        <f>VLOOKUP(A523,'WR Depth'!A:G,7,0)-1</f>
        <v/>
      </c>
      <c r="F523" s="218">
        <f>VLOOKUP(A523,'WR Depth'!A:C,3,0)</f>
        <v/>
      </c>
      <c r="G523" s="218">
        <f>VLOOKUP(A523,'WR Depth'!A:B,2,0)</f>
        <v/>
      </c>
      <c r="H523" s="218">
        <f>VLOOKUP(A523,'WR Depth'!A:D,4,0)</f>
        <v/>
      </c>
      <c r="I523" s="218">
        <f>H523&amp;E523</f>
        <v/>
      </c>
      <c r="J523" s="220">
        <f>IF(VLOOKUP(F523,Rec!F:G,2,0)=G523,"OK","Check Team")</f>
        <v/>
      </c>
      <c r="K523" s="156" t="n"/>
      <c r="L523" s="156">
        <f>IFERROR(VLOOKUP(F523&amp;G523,Pass!B:C,2,0),0)</f>
        <v/>
      </c>
      <c r="M523" s="156">
        <f>IFERROR(VLOOKUP(F523&amp;G523,Rush!B:C,2,0),0)</f>
        <v/>
      </c>
      <c r="N523" s="156">
        <f>IFERROR(VLOOKUP(F523&amp;G523,Rec!B:C,2,0),K523)</f>
        <v/>
      </c>
      <c r="O523" s="156">
        <f>IFERROR(VLOOKUP(F523&amp;G523,Returns!A:B,2,0),0)</f>
        <v/>
      </c>
      <c r="Q523" s="156" t="inlineStr">
        <is>
          <t>Boston Scott</t>
        </is>
      </c>
      <c r="R523" s="156" t="inlineStr">
        <is>
          <t>FA</t>
        </is>
      </c>
      <c r="S523" s="156" t="inlineStr">
        <is>
          <t>RB</t>
        </is>
      </c>
    </row>
    <row r="524" hidden="1" ht="15.6" customHeight="1" s="152">
      <c r="A524" s="217" t="n">
        <v>203</v>
      </c>
      <c r="B524" s="218">
        <f>VLOOKUP(G524,Matrix!R:AA,10,0)</f>
        <v/>
      </c>
      <c r="C524" s="156">
        <f>IF(K524&gt;0.01,K524,IFERROR(VLOOKUP(F524&amp;G524,Rec!B:C,2,0),K524)+SUM(L524:O524))</f>
        <v/>
      </c>
      <c r="D524" s="218">
        <f>_xlfn.IFNA(INDEX('Injury Report'!F:F, MATCH(G524&amp;F524, 'Injury Report'!A:A, 0)), "Healthy")</f>
        <v/>
      </c>
      <c r="E524" s="219">
        <f>VLOOKUP(A524,'WR Depth'!A:G,7,0)-1</f>
        <v/>
      </c>
      <c r="F524" s="218">
        <f>VLOOKUP(A524,'WR Depth'!A:C,3,0)</f>
        <v/>
      </c>
      <c r="G524" s="218">
        <f>VLOOKUP(A524,'WR Depth'!A:B,2,0)</f>
        <v/>
      </c>
      <c r="H524" s="218">
        <f>VLOOKUP(A524,'WR Depth'!A:D,4,0)</f>
        <v/>
      </c>
      <c r="I524" s="218">
        <f>H524&amp;E524</f>
        <v/>
      </c>
      <c r="J524" s="220">
        <f>IF(VLOOKUP(F524,Rec!F:G,2,0)=G524,"OK","Check Team")</f>
        <v/>
      </c>
      <c r="K524" s="156" t="n"/>
      <c r="L524" s="156">
        <f>IFERROR(VLOOKUP(F524&amp;G524,Pass!B:C,2,0),0)</f>
        <v/>
      </c>
      <c r="M524" s="156">
        <f>IFERROR(VLOOKUP(F524&amp;G524,Rush!B:C,2,0),0)</f>
        <v/>
      </c>
      <c r="N524" s="156">
        <f>IFERROR(VLOOKUP(F524&amp;G524,Rec!B:C,2,0),K524)</f>
        <v/>
      </c>
      <c r="O524" s="156">
        <f>IFERROR(VLOOKUP(F524&amp;G524,Returns!A:B,2,0),0)</f>
        <v/>
      </c>
      <c r="Q524" s="156" t="inlineStr">
        <is>
          <t>Tyler Scott</t>
        </is>
      </c>
      <c r="R524" s="156" t="inlineStr">
        <is>
          <t>CHI</t>
        </is>
      </c>
      <c r="S524" s="156" t="inlineStr">
        <is>
          <t>WR</t>
        </is>
      </c>
    </row>
    <row r="525" hidden="1" ht="15.6" customHeight="1" s="152">
      <c r="A525" s="221" t="n">
        <v>204</v>
      </c>
      <c r="B525" s="218">
        <f>VLOOKUP(G525,Matrix!R:AA,10,0)</f>
        <v/>
      </c>
      <c r="C525" s="156">
        <f>IF(K525&gt;0.01,K525,IFERROR(VLOOKUP(F525&amp;G525,Rec!B:C,2,0),K525)+SUM(L525:O525))</f>
        <v/>
      </c>
      <c r="D525" s="218">
        <f>_xlfn.IFNA(INDEX('Injury Report'!F:F, MATCH(G525&amp;F525, 'Injury Report'!A:A, 0)), "Healthy")</f>
        <v/>
      </c>
      <c r="E525" s="219">
        <f>VLOOKUP(A525,'WR Depth'!A:G,7,0)-1</f>
        <v/>
      </c>
      <c r="F525" s="218">
        <f>VLOOKUP(A525,'WR Depth'!A:C,3,0)</f>
        <v/>
      </c>
      <c r="G525" s="218">
        <f>VLOOKUP(A525,'WR Depth'!A:B,2,0)</f>
        <v/>
      </c>
      <c r="H525" s="218">
        <f>VLOOKUP(A525,'WR Depth'!A:D,4,0)</f>
        <v/>
      </c>
      <c r="I525" s="218">
        <f>H525&amp;E525</f>
        <v/>
      </c>
      <c r="J525" s="220">
        <f>IF(VLOOKUP(F525,Rec!F:G,2,0)=G525,"OK","Check Team")</f>
        <v/>
      </c>
      <c r="K525" s="156" t="n"/>
      <c r="L525" s="156">
        <f>IFERROR(VLOOKUP(F525&amp;G525,Pass!B:C,2,0),0)</f>
        <v/>
      </c>
      <c r="M525" s="156">
        <f>IFERROR(VLOOKUP(F525&amp;G525,Rush!B:C,2,0),0)</f>
        <v/>
      </c>
      <c r="N525" s="156">
        <f>IFERROR(VLOOKUP(F525&amp;G525,Rec!B:C,2,0),K525)</f>
        <v/>
      </c>
      <c r="O525" s="156">
        <f>IFERROR(VLOOKUP(F525&amp;G525,Returns!A:B,2,0),0)</f>
        <v/>
      </c>
      <c r="Q525" s="156" t="inlineStr">
        <is>
          <t>Austin Seibert</t>
        </is>
      </c>
      <c r="R525" s="156" t="inlineStr">
        <is>
          <t>WAS</t>
        </is>
      </c>
      <c r="S525" s="156" t="inlineStr">
        <is>
          <t>K</t>
        </is>
      </c>
    </row>
    <row r="526" hidden="1" ht="15.6" customHeight="1" s="152">
      <c r="A526" s="217" t="n">
        <v>205</v>
      </c>
      <c r="B526" s="218">
        <f>VLOOKUP(G526,Matrix!R:AA,10,0)</f>
        <v/>
      </c>
      <c r="C526" s="156">
        <f>IF(K526&gt;0.01,K526,IFERROR(VLOOKUP(F526&amp;G526,Rec!B:C,2,0),K526)+SUM(L526:O526))</f>
        <v/>
      </c>
      <c r="D526" s="218">
        <f>_xlfn.IFNA(INDEX('Injury Report'!F:F, MATCH(G526&amp;F526, 'Injury Report'!A:A, 0)), "Healthy")</f>
        <v/>
      </c>
      <c r="E526" s="219">
        <f>VLOOKUP(A526,'WR Depth'!A:G,7,0)-1</f>
        <v/>
      </c>
      <c r="F526" s="218">
        <f>VLOOKUP(A526,'WR Depth'!A:C,3,0)</f>
        <v/>
      </c>
      <c r="G526" s="218">
        <f>VLOOKUP(A526,'WR Depth'!A:B,2,0)</f>
        <v/>
      </c>
      <c r="H526" s="218">
        <f>VLOOKUP(A526,'WR Depth'!A:D,4,0)</f>
        <v/>
      </c>
      <c r="I526" s="218">
        <f>H526&amp;E526</f>
        <v/>
      </c>
      <c r="J526" s="220">
        <f>IF(VLOOKUP(F526,Rec!F:G,2,0)=G526,"OK","Check Team")</f>
        <v/>
      </c>
      <c r="K526" s="156" t="n"/>
      <c r="L526" s="156">
        <f>IFERROR(VLOOKUP(F526&amp;G526,Pass!B:C,2,0),0)</f>
        <v/>
      </c>
      <c r="M526" s="156">
        <f>IFERROR(VLOOKUP(F526&amp;G526,Rush!B:C,2,0),0)</f>
        <v/>
      </c>
      <c r="N526" s="156">
        <f>IFERROR(VLOOKUP(F526&amp;G526,Rec!B:C,2,0),K526)</f>
        <v/>
      </c>
      <c r="O526" s="156">
        <f>IFERROR(VLOOKUP(F526&amp;G526,Returns!A:B,2,0),0)</f>
        <v/>
      </c>
      <c r="Q526" s="156" t="inlineStr">
        <is>
          <t>Trey Sermon</t>
        </is>
      </c>
      <c r="R526" s="156" t="inlineStr">
        <is>
          <t>IND</t>
        </is>
      </c>
      <c r="S526" s="156" t="inlineStr">
        <is>
          <t>RB</t>
        </is>
      </c>
    </row>
    <row r="527" hidden="1" ht="15.6" customHeight="1" s="152">
      <c r="A527" s="221" t="n">
        <v>206</v>
      </c>
      <c r="B527" s="218">
        <f>VLOOKUP(G527,Matrix!R:AA,10,0)</f>
        <v/>
      </c>
      <c r="C527" s="156">
        <f>IF(K527&gt;0.01,K527,IFERROR(VLOOKUP(F527&amp;G527,Rec!B:C,2,0),K527)+SUM(L527:O527))</f>
        <v/>
      </c>
      <c r="D527" s="218">
        <f>_xlfn.IFNA(INDEX('Injury Report'!F:F, MATCH(G527&amp;F527, 'Injury Report'!A:A, 0)), "Healthy")</f>
        <v/>
      </c>
      <c r="E527" s="219">
        <f>VLOOKUP(A527,'WR Depth'!A:G,7,0)-1</f>
        <v/>
      </c>
      <c r="F527" s="218">
        <f>VLOOKUP(A527,'WR Depth'!A:C,3,0)</f>
        <v/>
      </c>
      <c r="G527" s="218">
        <f>VLOOKUP(A527,'WR Depth'!A:B,2,0)</f>
        <v/>
      </c>
      <c r="H527" s="218">
        <f>VLOOKUP(A527,'WR Depth'!A:D,4,0)</f>
        <v/>
      </c>
      <c r="I527" s="218">
        <f>H527&amp;E527</f>
        <v/>
      </c>
      <c r="J527" s="220">
        <f>IF(VLOOKUP(F527,Rec!F:G,2,0)=G527,"OK","Check Team")</f>
        <v/>
      </c>
      <c r="K527" s="156" t="n"/>
      <c r="L527" s="156">
        <f>IFERROR(VLOOKUP(F527&amp;G527,Pass!B:C,2,0),0)</f>
        <v/>
      </c>
      <c r="M527" s="156">
        <f>IFERROR(VLOOKUP(F527&amp;G527,Rush!B:C,2,0),0)</f>
        <v/>
      </c>
      <c r="N527" s="156">
        <f>IFERROR(VLOOKUP(F527&amp;G527,Rec!B:C,2,0),K527)</f>
        <v/>
      </c>
      <c r="O527" s="156">
        <f>IFERROR(VLOOKUP(F527&amp;G527,Returns!A:B,2,0),0)</f>
        <v/>
      </c>
      <c r="Q527" s="156" t="inlineStr">
        <is>
          <t>Rashid Shaheed</t>
        </is>
      </c>
      <c r="R527" s="156" t="inlineStr">
        <is>
          <t>NO</t>
        </is>
      </c>
      <c r="S527" s="156" t="inlineStr">
        <is>
          <t>WR</t>
        </is>
      </c>
    </row>
    <row r="528" hidden="1" ht="15.6" customHeight="1" s="152">
      <c r="A528" s="217" t="n">
        <v>207</v>
      </c>
      <c r="B528" s="218">
        <f>VLOOKUP(G528,Matrix!R:AA,10,0)</f>
        <v/>
      </c>
      <c r="C528" s="156">
        <f>IF(K528&gt;0.01,K528,IFERROR(VLOOKUP(F528&amp;G528,Rec!B:C,2,0),K528)+SUM(L528:O528))</f>
        <v/>
      </c>
      <c r="D528" s="218">
        <f>_xlfn.IFNA(INDEX('Injury Report'!F:F, MATCH(G528&amp;F528, 'Injury Report'!A:A, 0)), "Healthy")</f>
        <v/>
      </c>
      <c r="E528" s="219">
        <f>VLOOKUP(A528,'WR Depth'!A:G,7,0)-1</f>
        <v/>
      </c>
      <c r="F528" s="218">
        <f>VLOOKUP(A528,'WR Depth'!A:C,3,0)</f>
        <v/>
      </c>
      <c r="G528" s="218">
        <f>VLOOKUP(A528,'WR Depth'!A:B,2,0)</f>
        <v/>
      </c>
      <c r="H528" s="218">
        <f>VLOOKUP(A528,'WR Depth'!A:D,4,0)</f>
        <v/>
      </c>
      <c r="I528" s="218">
        <f>H528&amp;E528</f>
        <v/>
      </c>
      <c r="J528" s="220">
        <f>IF(VLOOKUP(F528,Rec!F:G,2,0)=G528,"OK","Check Team")</f>
        <v/>
      </c>
      <c r="K528" s="156" t="n"/>
      <c r="L528" s="156">
        <f>IFERROR(VLOOKUP(F528&amp;G528,Pass!B:C,2,0),0)</f>
        <v/>
      </c>
      <c r="M528" s="156">
        <f>IFERROR(VLOOKUP(F528&amp;G528,Rush!B:C,2,0),0)</f>
        <v/>
      </c>
      <c r="N528" s="156">
        <f>IFERROR(VLOOKUP(F528&amp;G528,Rec!B:C,2,0),K528)</f>
        <v/>
      </c>
      <c r="O528" s="156">
        <f>IFERROR(VLOOKUP(F528&amp;G528,Returns!A:B,2,0),0)</f>
        <v/>
      </c>
      <c r="Q528" s="156" t="inlineStr">
        <is>
          <t>Khalil Shakir</t>
        </is>
      </c>
      <c r="R528" s="156" t="inlineStr">
        <is>
          <t>BUF</t>
        </is>
      </c>
      <c r="S528" s="156" t="inlineStr">
        <is>
          <t>WR</t>
        </is>
      </c>
    </row>
    <row r="529" hidden="1" ht="15.6" customHeight="1" s="152">
      <c r="A529" s="221" t="n">
        <v>208</v>
      </c>
      <c r="B529" s="218">
        <f>VLOOKUP(G529,Matrix!R:AA,10,0)</f>
        <v/>
      </c>
      <c r="C529" s="156">
        <f>IF(K529&gt;0.01,K529,IFERROR(VLOOKUP(F529&amp;G529,Rec!B:C,2,0),K529)+SUM(L529:O529))</f>
        <v/>
      </c>
      <c r="D529" s="218">
        <f>_xlfn.IFNA(INDEX('Injury Report'!F:F, MATCH(G529&amp;F529, 'Injury Report'!A:A, 0)), "Healthy")</f>
        <v/>
      </c>
      <c r="E529" s="219">
        <f>VLOOKUP(A529,'WR Depth'!A:G,7,0)-1</f>
        <v/>
      </c>
      <c r="F529" s="218">
        <f>VLOOKUP(A529,'WR Depth'!A:C,3,0)</f>
        <v/>
      </c>
      <c r="G529" s="218">
        <f>VLOOKUP(A529,'WR Depth'!A:B,2,0)</f>
        <v/>
      </c>
      <c r="H529" s="218">
        <f>VLOOKUP(A529,'WR Depth'!A:D,4,0)</f>
        <v/>
      </c>
      <c r="I529" s="218">
        <f>H529&amp;E529</f>
        <v/>
      </c>
      <c r="J529" s="220">
        <f>IF(VLOOKUP(F529,Rec!F:G,2,0)=G529,"OK","Check Team")</f>
        <v/>
      </c>
      <c r="K529" s="156" t="n"/>
      <c r="L529" s="156">
        <f>IFERROR(VLOOKUP(F529&amp;G529,Pass!B:C,2,0),0)</f>
        <v/>
      </c>
      <c r="M529" s="156">
        <f>IFERROR(VLOOKUP(F529&amp;G529,Rush!B:C,2,0),0)</f>
        <v/>
      </c>
      <c r="N529" s="156">
        <f>IFERROR(VLOOKUP(F529&amp;G529,Rec!B:C,2,0),K529)</f>
        <v/>
      </c>
      <c r="O529" s="156">
        <f>IFERROR(VLOOKUP(F529&amp;G529,Returns!A:B,2,0),0)</f>
        <v/>
      </c>
      <c r="Q529" s="156" t="inlineStr">
        <is>
          <t>Aaron Shampklin</t>
        </is>
      </c>
      <c r="R529" s="156" t="inlineStr">
        <is>
          <t>FA</t>
        </is>
      </c>
      <c r="S529" s="156" t="inlineStr">
        <is>
          <t>RB</t>
        </is>
      </c>
    </row>
    <row r="530" hidden="1" ht="15.6" customHeight="1" s="152">
      <c r="A530" s="217" t="n">
        <v>209</v>
      </c>
      <c r="B530" s="218">
        <f>VLOOKUP(G530,Matrix!R:AA,10,0)</f>
        <v/>
      </c>
      <c r="C530" s="156">
        <f>IF(K530&gt;0.01,K530,IFERROR(VLOOKUP(F530&amp;G530,Rec!B:C,2,0),K530)+SUM(L530:O530))</f>
        <v/>
      </c>
      <c r="D530" s="218">
        <f>_xlfn.IFNA(INDEX('Injury Report'!F:F, MATCH(G530&amp;F530, 'Injury Report'!A:A, 0)), "Healthy")</f>
        <v/>
      </c>
      <c r="E530" s="219">
        <f>VLOOKUP(A530,'WR Depth'!A:G,7,0)-1</f>
        <v/>
      </c>
      <c r="F530" s="218">
        <f>VLOOKUP(A530,'WR Depth'!A:C,3,0)</f>
        <v/>
      </c>
      <c r="G530" s="218">
        <f>VLOOKUP(A530,'WR Depth'!A:B,2,0)</f>
        <v/>
      </c>
      <c r="H530" s="218">
        <f>VLOOKUP(A530,'WR Depth'!A:D,4,0)</f>
        <v/>
      </c>
      <c r="I530" s="218">
        <f>H530&amp;E530</f>
        <v/>
      </c>
      <c r="J530" s="220">
        <f>IF(VLOOKUP(F530,Rec!F:G,2,0)=G530,"OK","Check Team")</f>
        <v/>
      </c>
      <c r="K530" s="156" t="n"/>
      <c r="L530" s="156">
        <f>IFERROR(VLOOKUP(F530&amp;G530,Pass!B:C,2,0),0)</f>
        <v/>
      </c>
      <c r="M530" s="156">
        <f>IFERROR(VLOOKUP(F530&amp;G530,Rush!B:C,2,0),0)</f>
        <v/>
      </c>
      <c r="N530" s="156">
        <f>IFERROR(VLOOKUP(F530&amp;G530,Rec!B:C,2,0),K530)</f>
        <v/>
      </c>
      <c r="O530" s="156">
        <f>IFERROR(VLOOKUP(F530&amp;G530,Returns!A:B,2,0),0)</f>
        <v/>
      </c>
      <c r="Q530" s="156" t="inlineStr">
        <is>
          <t>Tyrell Shavers</t>
        </is>
      </c>
      <c r="R530" s="156" t="inlineStr">
        <is>
          <t>FA</t>
        </is>
      </c>
      <c r="S530" s="156" t="inlineStr">
        <is>
          <t>WR</t>
        </is>
      </c>
    </row>
    <row r="531" hidden="1" ht="15.6" customHeight="1" s="152">
      <c r="A531" s="221" t="n">
        <v>210</v>
      </c>
      <c r="B531" s="218">
        <f>VLOOKUP(G531,Matrix!R:AA,10,0)</f>
        <v/>
      </c>
      <c r="C531" s="156">
        <f>IF(K531&gt;0.01,K531,IFERROR(VLOOKUP(F531&amp;G531,Rec!B:C,2,0),K531)+SUM(L531:O531))</f>
        <v/>
      </c>
      <c r="D531" s="218">
        <f>_xlfn.IFNA(INDEX('Injury Report'!F:F, MATCH(G531&amp;F531, 'Injury Report'!A:A, 0)), "Healthy")</f>
        <v/>
      </c>
      <c r="E531" s="219">
        <f>VLOOKUP(A531,'WR Depth'!A:G,7,0)-1</f>
        <v/>
      </c>
      <c r="F531" s="218">
        <f>VLOOKUP(A531,'WR Depth'!A:C,3,0)</f>
        <v/>
      </c>
      <c r="G531" s="218">
        <f>VLOOKUP(A531,'WR Depth'!A:B,2,0)</f>
        <v/>
      </c>
      <c r="H531" s="218">
        <f>VLOOKUP(A531,'WR Depth'!A:D,4,0)</f>
        <v/>
      </c>
      <c r="I531" s="218">
        <f>H531&amp;E531</f>
        <v/>
      </c>
      <c r="J531" s="220">
        <f>IF(VLOOKUP(F531,Rec!F:G,2,0)=G531,"OK","Check Team")</f>
        <v/>
      </c>
      <c r="K531" s="156" t="n"/>
      <c r="L531" s="156">
        <f>IFERROR(VLOOKUP(F531&amp;G531,Pass!B:C,2,0),0)</f>
        <v/>
      </c>
      <c r="M531" s="156">
        <f>IFERROR(VLOOKUP(F531&amp;G531,Rush!B:C,2,0),0)</f>
        <v/>
      </c>
      <c r="N531" s="156">
        <f>IFERROR(VLOOKUP(F531&amp;G531,Rec!B:C,2,0),K531)</f>
        <v/>
      </c>
      <c r="O531" s="156">
        <f>IFERROR(VLOOKUP(F531&amp;G531,Returns!A:B,2,0),0)</f>
        <v/>
      </c>
      <c r="Q531" s="156" t="inlineStr">
        <is>
          <t>Laviska Shenault</t>
        </is>
      </c>
      <c r="R531" s="156" t="inlineStr">
        <is>
          <t>FA</t>
        </is>
      </c>
      <c r="S531" s="156" t="inlineStr">
        <is>
          <t>WR</t>
        </is>
      </c>
    </row>
    <row r="532" hidden="1" ht="15.6" customHeight="1" s="152">
      <c r="A532" s="217" t="n">
        <v>211</v>
      </c>
      <c r="B532" s="218">
        <f>VLOOKUP(G532,Matrix!R:AA,10,0)</f>
        <v/>
      </c>
      <c r="C532" s="156">
        <f>IF(K532&gt;0.01,K532,IFERROR(VLOOKUP(F532&amp;G532,Rec!B:C,2,0),K532)+SUM(L532:O532))</f>
        <v/>
      </c>
      <c r="D532" s="218">
        <f>_xlfn.IFNA(INDEX('Injury Report'!F:F, MATCH(G532&amp;F532, 'Injury Report'!A:A, 0)), "Healthy")</f>
        <v/>
      </c>
      <c r="E532" s="219">
        <f>VLOOKUP(A532,'WR Depth'!A:G,7,0)-1</f>
        <v/>
      </c>
      <c r="F532" s="218">
        <f>VLOOKUP(A532,'WR Depth'!A:C,3,0)</f>
        <v/>
      </c>
      <c r="G532" s="218">
        <f>VLOOKUP(A532,'WR Depth'!A:B,2,0)</f>
        <v/>
      </c>
      <c r="H532" s="218">
        <f>VLOOKUP(A532,'WR Depth'!A:D,4,0)</f>
        <v/>
      </c>
      <c r="I532" s="218">
        <f>H532&amp;E532</f>
        <v/>
      </c>
      <c r="J532" s="220">
        <f>IF(VLOOKUP(F532,Rec!F:G,2,0)=G532,"OK","Check Team")</f>
        <v/>
      </c>
      <c r="K532" s="156" t="n"/>
      <c r="L532" s="156">
        <f>IFERROR(VLOOKUP(F532&amp;G532,Pass!B:C,2,0),0)</f>
        <v/>
      </c>
      <c r="M532" s="156">
        <f>IFERROR(VLOOKUP(F532&amp;G532,Rush!B:C,2,0),0)</f>
        <v/>
      </c>
      <c r="N532" s="156">
        <f>IFERROR(VLOOKUP(F532&amp;G532,Rec!B:C,2,0),K532)</f>
        <v/>
      </c>
      <c r="O532" s="156">
        <f>IFERROR(VLOOKUP(F532&amp;G532,Returns!A:B,2,0),0)</f>
        <v/>
      </c>
      <c r="Q532" s="156" t="inlineStr">
        <is>
          <t>Sterling Shepard</t>
        </is>
      </c>
      <c r="R532" s="156" t="inlineStr">
        <is>
          <t>TB</t>
        </is>
      </c>
      <c r="S532" s="156" t="inlineStr">
        <is>
          <t>WR</t>
        </is>
      </c>
    </row>
    <row r="533" hidden="1" ht="15.6" customHeight="1" s="152">
      <c r="A533" s="221" t="n">
        <v>212</v>
      </c>
      <c r="B533" s="218">
        <f>VLOOKUP(G533,Matrix!R:AA,10,0)</f>
        <v/>
      </c>
      <c r="C533" s="156">
        <f>IF(K533&gt;0.01,K533,IFERROR(VLOOKUP(F533&amp;G533,Rec!B:C,2,0),K533)+SUM(L533:O533))</f>
        <v/>
      </c>
      <c r="D533" s="218">
        <f>_xlfn.IFNA(INDEX('Injury Report'!F:F, MATCH(G533&amp;F533, 'Injury Report'!A:A, 0)), "Healthy")</f>
        <v/>
      </c>
      <c r="E533" s="219">
        <f>VLOOKUP(A533,'WR Depth'!A:G,7,0)-1</f>
        <v/>
      </c>
      <c r="F533" s="218">
        <f>VLOOKUP(A533,'WR Depth'!A:C,3,0)</f>
        <v/>
      </c>
      <c r="G533" s="218">
        <f>VLOOKUP(A533,'WR Depth'!A:B,2,0)</f>
        <v/>
      </c>
      <c r="H533" s="218">
        <f>VLOOKUP(A533,'WR Depth'!A:D,4,0)</f>
        <v/>
      </c>
      <c r="I533" s="218">
        <f>H533&amp;E533</f>
        <v/>
      </c>
      <c r="J533" s="220">
        <f>IF(VLOOKUP(F533,Rec!F:G,2,0)=G533,"OK","Check Team")</f>
        <v/>
      </c>
      <c r="K533" s="156" t="n"/>
      <c r="L533" s="156">
        <f>IFERROR(VLOOKUP(F533&amp;G533,Pass!B:C,2,0),0)</f>
        <v/>
      </c>
      <c r="M533" s="156">
        <f>IFERROR(VLOOKUP(F533&amp;G533,Rush!B:C,2,0),0)</f>
        <v/>
      </c>
      <c r="N533" s="156">
        <f>IFERROR(VLOOKUP(F533&amp;G533,Rec!B:C,2,0),K533)</f>
        <v/>
      </c>
      <c r="O533" s="156">
        <f>IFERROR(VLOOKUP(F533&amp;G533,Returns!A:B,2,0),0)</f>
        <v/>
      </c>
      <c r="Q533" s="156" t="inlineStr">
        <is>
          <t>Trent Sherfield</t>
        </is>
      </c>
      <c r="R533" s="156" t="inlineStr">
        <is>
          <t>MIN</t>
        </is>
      </c>
      <c r="S533" s="156" t="inlineStr">
        <is>
          <t>WR</t>
        </is>
      </c>
    </row>
    <row r="534" hidden="1" ht="15.6" customHeight="1" s="152">
      <c r="A534" s="217" t="n">
        <v>213</v>
      </c>
      <c r="B534" s="218">
        <f>VLOOKUP(G534,Matrix!R:AA,10,0)</f>
        <v/>
      </c>
      <c r="C534" s="156">
        <f>IF(K534&gt;0.01,K534,IFERROR(VLOOKUP(F534&amp;G534,Rec!B:C,2,0),K534)+SUM(L534:O534))</f>
        <v/>
      </c>
      <c r="D534" s="218">
        <f>_xlfn.IFNA(INDEX('Injury Report'!F:F, MATCH(G534&amp;F534, 'Injury Report'!A:A, 0)), "Healthy")</f>
        <v/>
      </c>
      <c r="E534" s="219">
        <f>VLOOKUP(A534,'WR Depth'!A:G,7,0)-1</f>
        <v/>
      </c>
      <c r="F534" s="218">
        <f>VLOOKUP(A534,'WR Depth'!A:C,3,0)</f>
        <v/>
      </c>
      <c r="G534" s="218">
        <f>VLOOKUP(A534,'WR Depth'!A:B,2,0)</f>
        <v/>
      </c>
      <c r="H534" s="218">
        <f>VLOOKUP(A534,'WR Depth'!A:D,4,0)</f>
        <v/>
      </c>
      <c r="I534" s="218">
        <f>H534&amp;E534</f>
        <v/>
      </c>
      <c r="J534" s="220">
        <f>IF(VLOOKUP(F534,Rec!F:G,2,0)=G534,"OK","Check Team")</f>
        <v/>
      </c>
      <c r="K534" s="156" t="n"/>
      <c r="L534" s="156">
        <f>IFERROR(VLOOKUP(F534&amp;G534,Pass!B:C,2,0),0)</f>
        <v/>
      </c>
      <c r="M534" s="156">
        <f>IFERROR(VLOOKUP(F534&amp;G534,Rush!B:C,2,0),0)</f>
        <v/>
      </c>
      <c r="N534" s="156">
        <f>IFERROR(VLOOKUP(F534&amp;G534,Rec!B:C,2,0),K534)</f>
        <v/>
      </c>
      <c r="O534" s="156">
        <f>IFERROR(VLOOKUP(F534&amp;G534,Returns!A:B,2,0),0)</f>
        <v/>
      </c>
      <c r="Q534" s="156" t="inlineStr">
        <is>
          <t>Will Shipley</t>
        </is>
      </c>
      <c r="R534" s="156" t="inlineStr">
        <is>
          <t>PHI</t>
        </is>
      </c>
      <c r="S534" s="156" t="inlineStr">
        <is>
          <t>RB</t>
        </is>
      </c>
    </row>
    <row r="535" hidden="1" ht="15.6" customHeight="1" s="152">
      <c r="A535" s="221" t="n">
        <v>214</v>
      </c>
      <c r="B535" s="218">
        <f>VLOOKUP(G535,Matrix!R:AA,10,0)</f>
        <v/>
      </c>
      <c r="C535" s="156">
        <f>IF(K535&gt;0.01,K535,IFERROR(VLOOKUP(F535&amp;G535,Rec!B:C,2,0),K535)+SUM(L535:O535))</f>
        <v/>
      </c>
      <c r="D535" s="218">
        <f>_xlfn.IFNA(INDEX('Injury Report'!F:F, MATCH(G535&amp;F535, 'Injury Report'!A:A, 0)), "Healthy")</f>
        <v/>
      </c>
      <c r="E535" s="219">
        <f>VLOOKUP(A535,'WR Depth'!A:G,7,0)-1</f>
        <v/>
      </c>
      <c r="F535" s="218">
        <f>VLOOKUP(A535,'WR Depth'!A:C,3,0)</f>
        <v/>
      </c>
      <c r="G535" s="218">
        <f>VLOOKUP(A535,'WR Depth'!A:B,2,0)</f>
        <v/>
      </c>
      <c r="H535" s="218">
        <f>VLOOKUP(A535,'WR Depth'!A:D,4,0)</f>
        <v/>
      </c>
      <c r="I535" s="218">
        <f>H535&amp;E535</f>
        <v/>
      </c>
      <c r="J535" s="220">
        <f>IF(VLOOKUP(F535,Rec!F:G,2,0)=G535,"OK","Check Team")</f>
        <v/>
      </c>
      <c r="K535" s="156" t="n"/>
      <c r="L535" s="156">
        <f>IFERROR(VLOOKUP(F535&amp;G535,Pass!B:C,2,0),0)</f>
        <v/>
      </c>
      <c r="M535" s="156">
        <f>IFERROR(VLOOKUP(F535&amp;G535,Rush!B:C,2,0),0)</f>
        <v/>
      </c>
      <c r="N535" s="156">
        <f>IFERROR(VLOOKUP(F535&amp;G535,Rec!B:C,2,0),K535)</f>
        <v/>
      </c>
      <c r="O535" s="156">
        <f>IFERROR(VLOOKUP(F535&amp;G535,Returns!A:B,2,0),0)</f>
        <v/>
      </c>
      <c r="Q535" s="156" t="inlineStr">
        <is>
          <t>Spencer Shrader</t>
        </is>
      </c>
      <c r="R535" s="156" t="inlineStr">
        <is>
          <t>KC</t>
        </is>
      </c>
      <c r="S535" s="156" t="inlineStr">
        <is>
          <t>K</t>
        </is>
      </c>
    </row>
    <row r="536" hidden="1" ht="15.6" customHeight="1" s="152">
      <c r="A536" s="217" t="n">
        <v>215</v>
      </c>
      <c r="B536" s="218">
        <f>VLOOKUP(G536,Matrix!R:AA,10,0)</f>
        <v/>
      </c>
      <c r="C536" s="156">
        <f>IF(K536&gt;0.01,K536,IFERROR(VLOOKUP(F536&amp;G536,Rec!B:C,2,0),K536)+SUM(L536:O536))</f>
        <v/>
      </c>
      <c r="D536" s="218">
        <f>_xlfn.IFNA(INDEX('Injury Report'!F:F, MATCH(G536&amp;F536, 'Injury Report'!A:A, 0)), "Healthy")</f>
        <v/>
      </c>
      <c r="E536" s="219">
        <f>VLOOKUP(A536,'WR Depth'!A:G,7,0)-1</f>
        <v/>
      </c>
      <c r="F536" s="218">
        <f>VLOOKUP(A536,'WR Depth'!A:C,3,0)</f>
        <v/>
      </c>
      <c r="G536" s="218">
        <f>VLOOKUP(A536,'WR Depth'!A:B,2,0)</f>
        <v/>
      </c>
      <c r="H536" s="218">
        <f>VLOOKUP(A536,'WR Depth'!A:D,4,0)</f>
        <v/>
      </c>
      <c r="I536" s="218">
        <f>H536&amp;E536</f>
        <v/>
      </c>
      <c r="J536" s="220">
        <f>IF(VLOOKUP(F536,Rec!F:G,2,0)=G536,"OK","Check Team")</f>
        <v/>
      </c>
      <c r="K536" s="156" t="n"/>
      <c r="L536" s="156">
        <f>IFERROR(VLOOKUP(F536&amp;G536,Pass!B:C,2,0),0)</f>
        <v/>
      </c>
      <c r="M536" s="156">
        <f>IFERROR(VLOOKUP(F536&amp;G536,Rush!B:C,2,0),0)</f>
        <v/>
      </c>
      <c r="N536" s="156">
        <f>IFERROR(VLOOKUP(F536&amp;G536,Rec!B:C,2,0),K536)</f>
        <v/>
      </c>
      <c r="O536" s="156">
        <f>IFERROR(VLOOKUP(F536&amp;G536,Returns!A:B,2,0),0)</f>
        <v/>
      </c>
      <c r="Q536" s="156" t="inlineStr">
        <is>
          <t>Trevor Siemian</t>
        </is>
      </c>
      <c r="R536" s="156" t="inlineStr">
        <is>
          <t>FA</t>
        </is>
      </c>
      <c r="S536" s="156" t="inlineStr">
        <is>
          <t>QB</t>
        </is>
      </c>
    </row>
    <row r="537" hidden="1" ht="15.6" customHeight="1" s="152">
      <c r="A537" s="221" t="n">
        <v>216</v>
      </c>
      <c r="B537" s="218">
        <f>VLOOKUP(G537,Matrix!R:AA,10,0)</f>
        <v/>
      </c>
      <c r="C537" s="156">
        <f>IF(K537&gt;0.01,K537,IFERROR(VLOOKUP(F537&amp;G537,Rec!B:C,2,0),K537)+SUM(L537:O537))</f>
        <v/>
      </c>
      <c r="D537" s="218">
        <f>_xlfn.IFNA(INDEX('Injury Report'!F:F, MATCH(G537&amp;F537, 'Injury Report'!A:A, 0)), "Healthy")</f>
        <v/>
      </c>
      <c r="E537" s="219">
        <f>VLOOKUP(A537,'WR Depth'!A:G,7,0)-1</f>
        <v/>
      </c>
      <c r="F537" s="218">
        <f>VLOOKUP(A537,'WR Depth'!A:C,3,0)</f>
        <v/>
      </c>
      <c r="G537" s="218">
        <f>VLOOKUP(A537,'WR Depth'!A:B,2,0)</f>
        <v/>
      </c>
      <c r="H537" s="218">
        <f>VLOOKUP(A537,'WR Depth'!A:D,4,0)</f>
        <v/>
      </c>
      <c r="I537" s="218">
        <f>H537&amp;E537</f>
        <v/>
      </c>
      <c r="J537" s="220">
        <f>IF(VLOOKUP(F537,Rec!F:G,2,0)=G537,"OK","Check Team")</f>
        <v/>
      </c>
      <c r="K537" s="156" t="n"/>
      <c r="L537" s="156">
        <f>IFERROR(VLOOKUP(F537&amp;G537,Pass!B:C,2,0),0)</f>
        <v/>
      </c>
      <c r="M537" s="156">
        <f>IFERROR(VLOOKUP(F537&amp;G537,Rush!B:C,2,0),0)</f>
        <v/>
      </c>
      <c r="N537" s="156">
        <f>IFERROR(VLOOKUP(F537&amp;G537,Rec!B:C,2,0),K537)</f>
        <v/>
      </c>
      <c r="O537" s="156">
        <f>IFERROR(VLOOKUP(F537&amp;G537,Returns!A:B,2,0),0)</f>
        <v/>
      </c>
      <c r="Q537" s="156" t="inlineStr">
        <is>
          <t>Steven Sims</t>
        </is>
      </c>
      <c r="R537" s="156" t="inlineStr">
        <is>
          <t>BAL</t>
        </is>
      </c>
      <c r="S537" s="156" t="inlineStr">
        <is>
          <t>WR</t>
        </is>
      </c>
    </row>
    <row r="538" hidden="1" ht="15.6" customHeight="1" s="152">
      <c r="A538" s="217" t="n">
        <v>217</v>
      </c>
      <c r="B538" s="218">
        <f>VLOOKUP(G538,Matrix!R:AA,10,0)</f>
        <v/>
      </c>
      <c r="C538" s="156">
        <f>IF(K538&gt;0.01,K538,IFERROR(VLOOKUP(F538&amp;G538,Rec!B:C,2,0),K538)+SUM(L538:O538))</f>
        <v/>
      </c>
      <c r="D538" s="218">
        <f>_xlfn.IFNA(INDEX('Injury Report'!F:F, MATCH(G538&amp;F538, 'Injury Report'!A:A, 0)), "Healthy")</f>
        <v/>
      </c>
      <c r="E538" s="219">
        <f>VLOOKUP(A538,'WR Depth'!A:G,7,0)-1</f>
        <v/>
      </c>
      <c r="F538" s="218">
        <f>VLOOKUP(A538,'WR Depth'!A:C,3,0)</f>
        <v/>
      </c>
      <c r="G538" s="218">
        <f>VLOOKUP(A538,'WR Depth'!A:B,2,0)</f>
        <v/>
      </c>
      <c r="H538" s="218">
        <f>VLOOKUP(A538,'WR Depth'!A:D,4,0)</f>
        <v/>
      </c>
      <c r="I538" s="218">
        <f>H538&amp;E538</f>
        <v/>
      </c>
      <c r="J538" s="220">
        <f>IF(VLOOKUP(F538,Rec!F:G,2,0)=G538,"OK","Check Team")</f>
        <v/>
      </c>
      <c r="K538" s="156" t="n"/>
      <c r="L538" s="156">
        <f>IFERROR(VLOOKUP(F538&amp;G538,Pass!B:C,2,0),0)</f>
        <v/>
      </c>
      <c r="M538" s="156">
        <f>IFERROR(VLOOKUP(F538&amp;G538,Rush!B:C,2,0),0)</f>
        <v/>
      </c>
      <c r="N538" s="156">
        <f>IFERROR(VLOOKUP(F538&amp;G538,Rec!B:C,2,0),K538)</f>
        <v/>
      </c>
      <c r="O538" s="156">
        <f>IFERROR(VLOOKUP(F538&amp;G538,Returns!A:B,2,0),0)</f>
        <v/>
      </c>
      <c r="Q538" s="156" t="inlineStr">
        <is>
          <t>Devin Singletary</t>
        </is>
      </c>
      <c r="R538" s="156" t="inlineStr">
        <is>
          <t>NYG</t>
        </is>
      </c>
      <c r="S538" s="156" t="inlineStr">
        <is>
          <t>RB</t>
        </is>
      </c>
    </row>
    <row r="539" hidden="1" ht="15.6" customHeight="1" s="152">
      <c r="A539" s="221" t="n">
        <v>218</v>
      </c>
      <c r="B539" s="218">
        <f>VLOOKUP(G539,Matrix!R:AA,10,0)</f>
        <v/>
      </c>
      <c r="C539" s="156">
        <f>IF(K539&gt;0.01,K539,IFERROR(VLOOKUP(F539&amp;G539,Rec!B:C,2,0),K539)+SUM(L539:O539))</f>
        <v/>
      </c>
      <c r="D539" s="218">
        <f>_xlfn.IFNA(INDEX('Injury Report'!F:F, MATCH(G539&amp;F539, 'Injury Report'!A:A, 0)), "Healthy")</f>
        <v/>
      </c>
      <c r="E539" s="219">
        <f>VLOOKUP(A539,'WR Depth'!A:G,7,0)-1</f>
        <v/>
      </c>
      <c r="F539" s="218">
        <f>VLOOKUP(A539,'WR Depth'!A:C,3,0)</f>
        <v/>
      </c>
      <c r="G539" s="218">
        <f>VLOOKUP(A539,'WR Depth'!A:B,2,0)</f>
        <v/>
      </c>
      <c r="H539" s="218">
        <f>VLOOKUP(A539,'WR Depth'!A:D,4,0)</f>
        <v/>
      </c>
      <c r="I539" s="218">
        <f>H539&amp;E539</f>
        <v/>
      </c>
      <c r="J539" s="220">
        <f>IF(VLOOKUP(F539,Rec!F:G,2,0)=G539,"OK","Check Team")</f>
        <v/>
      </c>
      <c r="K539" s="156" t="n"/>
      <c r="L539" s="156">
        <f>IFERROR(VLOOKUP(F539&amp;G539,Pass!B:C,2,0),0)</f>
        <v/>
      </c>
      <c r="M539" s="156">
        <f>IFERROR(VLOOKUP(F539&amp;G539,Rush!B:C,2,0),0)</f>
        <v/>
      </c>
      <c r="N539" s="156">
        <f>IFERROR(VLOOKUP(F539&amp;G539,Rec!B:C,2,0),K539)</f>
        <v/>
      </c>
      <c r="O539" s="156">
        <f>IFERROR(VLOOKUP(F539&amp;G539,Returns!A:B,2,0),0)</f>
        <v/>
      </c>
      <c r="Q539" s="156" t="inlineStr">
        <is>
          <t>Ben Sinnott</t>
        </is>
      </c>
      <c r="R539" s="156" t="inlineStr">
        <is>
          <t>WAS</t>
        </is>
      </c>
      <c r="S539" s="156" t="inlineStr">
        <is>
          <t>TE</t>
        </is>
      </c>
    </row>
    <row r="540" hidden="1" ht="15.6" customHeight="1" s="152">
      <c r="A540" s="217" t="n">
        <v>219</v>
      </c>
      <c r="B540" s="218">
        <f>VLOOKUP(G540,Matrix!R:AA,10,0)</f>
        <v/>
      </c>
      <c r="C540" s="156">
        <f>IF(K540&gt;0.01,K540,IFERROR(VLOOKUP(F540&amp;G540,Rec!B:C,2,0),K540)+SUM(L540:O540))</f>
        <v/>
      </c>
      <c r="D540" s="218">
        <f>_xlfn.IFNA(INDEX('Injury Report'!F:F, MATCH(G540&amp;F540, 'Injury Report'!A:A, 0)), "Healthy")</f>
        <v/>
      </c>
      <c r="E540" s="219">
        <f>VLOOKUP(A540,'WR Depth'!A:G,7,0)-1</f>
        <v/>
      </c>
      <c r="F540" s="218">
        <f>VLOOKUP(A540,'WR Depth'!A:C,3,0)</f>
        <v/>
      </c>
      <c r="G540" s="218">
        <f>VLOOKUP(A540,'WR Depth'!A:B,2,0)</f>
        <v/>
      </c>
      <c r="H540" s="218">
        <f>VLOOKUP(A540,'WR Depth'!A:D,4,0)</f>
        <v/>
      </c>
      <c r="I540" s="218">
        <f>H540&amp;E540</f>
        <v/>
      </c>
      <c r="J540" s="220">
        <f>IF(VLOOKUP(F540,Rec!F:G,2,0)=G540,"OK","Check Team")</f>
        <v/>
      </c>
      <c r="K540" s="156" t="n"/>
      <c r="L540" s="156">
        <f>IFERROR(VLOOKUP(F540&amp;G540,Pass!B:C,2,0),0)</f>
        <v/>
      </c>
      <c r="M540" s="156">
        <f>IFERROR(VLOOKUP(F540&amp;G540,Rush!B:C,2,0),0)</f>
        <v/>
      </c>
      <c r="N540" s="156">
        <f>IFERROR(VLOOKUP(F540&amp;G540,Rec!B:C,2,0),K540)</f>
        <v/>
      </c>
      <c r="O540" s="156">
        <f>IFERROR(VLOOKUP(F540&amp;G540,Returns!A:B,2,0),0)</f>
        <v/>
      </c>
      <c r="Q540" s="156" t="inlineStr">
        <is>
          <t>Ben Skowronek</t>
        </is>
      </c>
      <c r="R540" s="156" t="inlineStr">
        <is>
          <t>PIT</t>
        </is>
      </c>
      <c r="S540" s="156" t="inlineStr">
        <is>
          <t>WR</t>
        </is>
      </c>
    </row>
    <row r="541" hidden="1" ht="15.6" customHeight="1" s="152">
      <c r="A541" s="221" t="n">
        <v>220</v>
      </c>
      <c r="B541" s="218">
        <f>VLOOKUP(G541,Matrix!R:AA,10,0)</f>
        <v/>
      </c>
      <c r="C541" s="156">
        <f>IF(K541&gt;0.01,K541,IFERROR(VLOOKUP(F541&amp;G541,Rec!B:C,2,0),K541)+SUM(L541:O541))</f>
        <v/>
      </c>
      <c r="D541" s="218">
        <f>_xlfn.IFNA(INDEX('Injury Report'!F:F, MATCH(G541&amp;F541, 'Injury Report'!A:A, 0)), "Healthy")</f>
        <v/>
      </c>
      <c r="E541" s="219">
        <f>VLOOKUP(A541,'WR Depth'!A:G,7,0)-1</f>
        <v/>
      </c>
      <c r="F541" s="218">
        <f>VLOOKUP(A541,'WR Depth'!A:C,3,0)</f>
        <v/>
      </c>
      <c r="G541" s="218">
        <f>VLOOKUP(A541,'WR Depth'!A:B,2,0)</f>
        <v/>
      </c>
      <c r="H541" s="218">
        <f>VLOOKUP(A541,'WR Depth'!A:D,4,0)</f>
        <v/>
      </c>
      <c r="I541" s="218">
        <f>H541&amp;E541</f>
        <v/>
      </c>
      <c r="J541" s="220">
        <f>IF(VLOOKUP(F541,Rec!F:G,2,0)=G541,"OK","Check Team")</f>
        <v/>
      </c>
      <c r="K541" s="156" t="n"/>
      <c r="L541" s="156">
        <f>IFERROR(VLOOKUP(F541&amp;G541,Pass!B:C,2,0),0)</f>
        <v/>
      </c>
      <c r="M541" s="156">
        <f>IFERROR(VLOOKUP(F541&amp;G541,Rush!B:C,2,0),0)</f>
        <v/>
      </c>
      <c r="N541" s="156">
        <f>IFERROR(VLOOKUP(F541&amp;G541,Rec!B:C,2,0),K541)</f>
        <v/>
      </c>
      <c r="O541" s="156">
        <f>IFERROR(VLOOKUP(F541&amp;G541,Returns!A:B,2,0),0)</f>
        <v/>
      </c>
      <c r="Q541" s="156" t="inlineStr">
        <is>
          <t>Darius Slayton</t>
        </is>
      </c>
      <c r="R541" s="156" t="inlineStr">
        <is>
          <t>NYG</t>
        </is>
      </c>
      <c r="S541" s="156" t="inlineStr">
        <is>
          <t>WR</t>
        </is>
      </c>
    </row>
    <row r="542" hidden="1" ht="15.6" customHeight="1" s="152">
      <c r="A542" s="217" t="n">
        <v>221</v>
      </c>
      <c r="B542" s="218">
        <f>VLOOKUP(G542,Matrix!R:AA,10,0)</f>
        <v/>
      </c>
      <c r="C542" s="156">
        <f>IF(K542&gt;0.01,K542,IFERROR(VLOOKUP(F542&amp;G542,Rec!B:C,2,0),K542)+SUM(L542:O542))</f>
        <v/>
      </c>
      <c r="D542" s="218">
        <f>_xlfn.IFNA(INDEX('Injury Report'!F:F, MATCH(G542&amp;F542, 'Injury Report'!A:A, 0)), "Healthy")</f>
        <v/>
      </c>
      <c r="E542" s="219">
        <f>VLOOKUP(A542,'WR Depth'!A:G,7,0)-1</f>
        <v/>
      </c>
      <c r="F542" s="218">
        <f>VLOOKUP(A542,'WR Depth'!A:C,3,0)</f>
        <v/>
      </c>
      <c r="G542" s="218">
        <f>VLOOKUP(A542,'WR Depth'!A:B,2,0)</f>
        <v/>
      </c>
      <c r="H542" s="218">
        <f>VLOOKUP(A542,'WR Depth'!A:D,4,0)</f>
        <v/>
      </c>
      <c r="I542" s="218">
        <f>H542&amp;E542</f>
        <v/>
      </c>
      <c r="J542" s="220">
        <f>IF(VLOOKUP(F542,Rec!F:G,2,0)=G542,"OK","Check Team")</f>
        <v/>
      </c>
      <c r="K542" s="156" t="n"/>
      <c r="L542" s="156">
        <f>IFERROR(VLOOKUP(F542&amp;G542,Pass!B:C,2,0),0)</f>
        <v/>
      </c>
      <c r="M542" s="156">
        <f>IFERROR(VLOOKUP(F542&amp;G542,Rush!B:C,2,0),0)</f>
        <v/>
      </c>
      <c r="N542" s="156">
        <f>IFERROR(VLOOKUP(F542&amp;G542,Rec!B:C,2,0),K542)</f>
        <v/>
      </c>
      <c r="O542" s="156">
        <f>IFERROR(VLOOKUP(F542&amp;G542,Returns!A:B,2,0),0)</f>
        <v/>
      </c>
      <c r="Q542" s="156" t="inlineStr">
        <is>
          <t>Joey Slye</t>
        </is>
      </c>
      <c r="R542" s="156" t="inlineStr">
        <is>
          <t>NE</t>
        </is>
      </c>
      <c r="S542" s="156" t="inlineStr">
        <is>
          <t>K</t>
        </is>
      </c>
    </row>
    <row r="543" hidden="1" ht="15.6" customHeight="1" s="152">
      <c r="A543" s="221" t="n">
        <v>222</v>
      </c>
      <c r="B543" s="218">
        <f>VLOOKUP(G543,Matrix!R:AA,10,0)</f>
        <v/>
      </c>
      <c r="C543" s="156">
        <f>IF(K543&gt;0.01,K543,IFERROR(VLOOKUP(F543&amp;G543,Rec!B:C,2,0),K543)+SUM(L543:O543))</f>
        <v/>
      </c>
      <c r="D543" s="218">
        <f>_xlfn.IFNA(INDEX('Injury Report'!F:F, MATCH(G543&amp;F543, 'Injury Report'!A:A, 0)), "Healthy")</f>
        <v/>
      </c>
      <c r="E543" s="219">
        <f>VLOOKUP(A543,'WR Depth'!A:G,7,0)-1</f>
        <v/>
      </c>
      <c r="F543" s="218">
        <f>VLOOKUP(A543,'WR Depth'!A:C,3,0)</f>
        <v/>
      </c>
      <c r="G543" s="218">
        <f>VLOOKUP(A543,'WR Depth'!A:B,2,0)</f>
        <v/>
      </c>
      <c r="H543" s="218">
        <f>VLOOKUP(A543,'WR Depth'!A:D,4,0)</f>
        <v/>
      </c>
      <c r="I543" s="218">
        <f>H543&amp;E543</f>
        <v/>
      </c>
      <c r="J543" s="220">
        <f>IF(VLOOKUP(F543,Rec!F:G,2,0)=G543,"OK","Check Team")</f>
        <v/>
      </c>
      <c r="K543" s="156" t="n"/>
      <c r="L543" s="156">
        <f>IFERROR(VLOOKUP(F543&amp;G543,Pass!B:C,2,0),0)</f>
        <v/>
      </c>
      <c r="M543" s="156">
        <f>IFERROR(VLOOKUP(F543&amp;G543,Rush!B:C,2,0),0)</f>
        <v/>
      </c>
      <c r="N543" s="156">
        <f>IFERROR(VLOOKUP(F543&amp;G543,Rec!B:C,2,0),K543)</f>
        <v/>
      </c>
      <c r="O543" s="156">
        <f>IFERROR(VLOOKUP(F543&amp;G543,Returns!A:B,2,0),0)</f>
        <v/>
      </c>
      <c r="Q543" s="156" t="inlineStr">
        <is>
          <t>Stone Smartt</t>
        </is>
      </c>
      <c r="R543" s="156" t="inlineStr">
        <is>
          <t>LAC</t>
        </is>
      </c>
      <c r="S543" s="156" t="inlineStr">
        <is>
          <t>TE</t>
        </is>
      </c>
    </row>
    <row r="544" hidden="1" ht="15.6" customHeight="1" s="152">
      <c r="A544" s="217" t="n">
        <v>223</v>
      </c>
      <c r="B544" s="218">
        <f>VLOOKUP(G544,Matrix!R:AA,10,0)</f>
        <v/>
      </c>
      <c r="C544" s="156">
        <f>IF(K544&gt;0.01,K544,IFERROR(VLOOKUP(F544&amp;G544,Rec!B:C,2,0),K544)+SUM(L544:O544))</f>
        <v/>
      </c>
      <c r="D544" s="218">
        <f>_xlfn.IFNA(INDEX('Injury Report'!F:F, MATCH(G544&amp;F544, 'Injury Report'!A:A, 0)), "Healthy")</f>
        <v/>
      </c>
      <c r="E544" s="219">
        <f>VLOOKUP(A544,'WR Depth'!A:G,7,0)-1</f>
        <v/>
      </c>
      <c r="F544" s="218">
        <f>VLOOKUP(A544,'WR Depth'!A:C,3,0)</f>
        <v/>
      </c>
      <c r="G544" s="218">
        <f>VLOOKUP(A544,'WR Depth'!A:B,2,0)</f>
        <v/>
      </c>
      <c r="H544" s="218">
        <f>VLOOKUP(A544,'WR Depth'!A:D,4,0)</f>
        <v/>
      </c>
      <c r="I544" s="218">
        <f>H544&amp;E544</f>
        <v/>
      </c>
      <c r="J544" s="220">
        <f>IF(VLOOKUP(F544,Rec!F:G,2,0)=G544,"OK","Check Team")</f>
        <v/>
      </c>
      <c r="K544" s="156" t="n"/>
      <c r="L544" s="156">
        <f>IFERROR(VLOOKUP(F544&amp;G544,Pass!B:C,2,0),0)</f>
        <v/>
      </c>
      <c r="M544" s="156">
        <f>IFERROR(VLOOKUP(F544&amp;G544,Rush!B:C,2,0),0)</f>
        <v/>
      </c>
      <c r="N544" s="156">
        <f>IFERROR(VLOOKUP(F544&amp;G544,Rec!B:C,2,0),K544)</f>
        <v/>
      </c>
      <c r="O544" s="156">
        <f>IFERROR(VLOOKUP(F544&amp;G544,Returns!A:B,2,0),0)</f>
        <v/>
      </c>
      <c r="Q544" s="156" t="inlineStr">
        <is>
          <t>Ainias Smith</t>
        </is>
      </c>
      <c r="R544" s="156" t="inlineStr">
        <is>
          <t>PHI</t>
        </is>
      </c>
      <c r="S544" s="156" t="inlineStr">
        <is>
          <t>WR</t>
        </is>
      </c>
    </row>
    <row r="545" hidden="1" ht="15.6" customHeight="1" s="152">
      <c r="A545" s="221" t="n">
        <v>224</v>
      </c>
      <c r="B545" s="218">
        <f>VLOOKUP(G545,Matrix!R:AA,10,0)</f>
        <v/>
      </c>
      <c r="C545" s="156">
        <f>IF(K545&gt;0.01,K545,IFERROR(VLOOKUP(F545&amp;G545,Rec!B:C,2,0),K545)+SUM(L545:O545))</f>
        <v/>
      </c>
      <c r="D545" s="218">
        <f>_xlfn.IFNA(INDEX('Injury Report'!F:F, MATCH(G545&amp;F545, 'Injury Report'!A:A, 0)), "Healthy")</f>
        <v/>
      </c>
      <c r="E545" s="219">
        <f>VLOOKUP(A545,'WR Depth'!A:G,7,0)-1</f>
        <v/>
      </c>
      <c r="F545" s="218">
        <f>VLOOKUP(A545,'WR Depth'!A:C,3,0)</f>
        <v/>
      </c>
      <c r="G545" s="218">
        <f>VLOOKUP(A545,'WR Depth'!A:B,2,0)</f>
        <v/>
      </c>
      <c r="H545" s="218">
        <f>VLOOKUP(A545,'WR Depth'!A:D,4,0)</f>
        <v/>
      </c>
      <c r="I545" s="218">
        <f>H545&amp;E545</f>
        <v/>
      </c>
      <c r="J545" s="220">
        <f>IF(VLOOKUP(F545,Rec!F:G,2,0)=G545,"OK","Check Team")</f>
        <v/>
      </c>
      <c r="K545" s="156" t="n"/>
      <c r="L545" s="156">
        <f>IFERROR(VLOOKUP(F545&amp;G545,Pass!B:C,2,0),0)</f>
        <v/>
      </c>
      <c r="M545" s="156">
        <f>IFERROR(VLOOKUP(F545&amp;G545,Rush!B:C,2,0),0)</f>
        <v/>
      </c>
      <c r="N545" s="156">
        <f>IFERROR(VLOOKUP(F545&amp;G545,Rec!B:C,2,0),K545)</f>
        <v/>
      </c>
      <c r="O545" s="156">
        <f>IFERROR(VLOOKUP(F545&amp;G545,Returns!A:B,2,0),0)</f>
        <v/>
      </c>
      <c r="Q545" s="156" t="inlineStr">
        <is>
          <t>Xavier Smith</t>
        </is>
      </c>
      <c r="R545" s="156" t="inlineStr">
        <is>
          <t>LAR</t>
        </is>
      </c>
      <c r="S545" s="156" t="inlineStr">
        <is>
          <t>WR</t>
        </is>
      </c>
    </row>
    <row r="546" hidden="1" ht="15.6" customHeight="1" s="152">
      <c r="A546" s="217" t="n">
        <v>225</v>
      </c>
      <c r="B546" s="218">
        <f>VLOOKUP(G546,Matrix!R:AA,10,0)</f>
        <v/>
      </c>
      <c r="C546" s="156">
        <f>IF(K546&gt;0.01,K546,IFERROR(VLOOKUP(F546&amp;G546,Rec!B:C,2,0),K546)+SUM(L546:O546))</f>
        <v/>
      </c>
      <c r="D546" s="218">
        <f>_xlfn.IFNA(INDEX('Injury Report'!F:F, MATCH(G546&amp;F546, 'Injury Report'!A:A, 0)), "Healthy")</f>
        <v/>
      </c>
      <c r="E546" s="219">
        <f>VLOOKUP(A546,'WR Depth'!A:G,7,0)-1</f>
        <v/>
      </c>
      <c r="F546" s="218">
        <f>VLOOKUP(A546,'WR Depth'!A:C,3,0)</f>
        <v/>
      </c>
      <c r="G546" s="218">
        <f>VLOOKUP(A546,'WR Depth'!A:B,2,0)</f>
        <v/>
      </c>
      <c r="H546" s="218">
        <f>VLOOKUP(A546,'WR Depth'!A:D,4,0)</f>
        <v/>
      </c>
      <c r="I546" s="218">
        <f>H546&amp;E546</f>
        <v/>
      </c>
      <c r="J546" s="220">
        <f>IF(VLOOKUP(F546,Rec!F:G,2,0)=G546,"OK","Check Team")</f>
        <v/>
      </c>
      <c r="K546" s="156" t="n"/>
      <c r="L546" s="156">
        <f>IFERROR(VLOOKUP(F546&amp;G546,Pass!B:C,2,0),0)</f>
        <v/>
      </c>
      <c r="M546" s="156">
        <f>IFERROR(VLOOKUP(F546&amp;G546,Rush!B:C,2,0),0)</f>
        <v/>
      </c>
      <c r="N546" s="156">
        <f>IFERROR(VLOOKUP(F546&amp;G546,Rec!B:C,2,0),K546)</f>
        <v/>
      </c>
      <c r="O546" s="156">
        <f>IFERROR(VLOOKUP(F546&amp;G546,Returns!A:B,2,0),0)</f>
        <v/>
      </c>
      <c r="Q546" s="156" t="inlineStr">
        <is>
          <t>Jonnu Smith</t>
        </is>
      </c>
      <c r="R546" s="156" t="inlineStr">
        <is>
          <t>MIA</t>
        </is>
      </c>
      <c r="S546" s="156" t="inlineStr">
        <is>
          <t>TE</t>
        </is>
      </c>
    </row>
    <row r="547" hidden="1" ht="15.6" customHeight="1" s="152">
      <c r="A547" s="221" t="n">
        <v>226</v>
      </c>
      <c r="B547" s="218">
        <f>VLOOKUP(G547,Matrix!R:AA,10,0)</f>
        <v/>
      </c>
      <c r="C547" s="156">
        <f>IF(K547&gt;0.01,K547,IFERROR(VLOOKUP(F547&amp;G547,Rec!B:C,2,0),K547)+SUM(L547:O547))</f>
        <v/>
      </c>
      <c r="D547" s="218">
        <f>_xlfn.IFNA(INDEX('Injury Report'!F:F, MATCH(G547&amp;F547, 'Injury Report'!A:A, 0)), "Healthy")</f>
        <v/>
      </c>
      <c r="E547" s="219">
        <f>VLOOKUP(A547,'WR Depth'!A:G,7,0)-1</f>
        <v/>
      </c>
      <c r="F547" s="218">
        <f>VLOOKUP(A547,'WR Depth'!A:C,3,0)</f>
        <v/>
      </c>
      <c r="G547" s="218">
        <f>VLOOKUP(A547,'WR Depth'!A:B,2,0)</f>
        <v/>
      </c>
      <c r="H547" s="218">
        <f>VLOOKUP(A547,'WR Depth'!A:D,4,0)</f>
        <v/>
      </c>
      <c r="I547" s="218">
        <f>H547&amp;E547</f>
        <v/>
      </c>
      <c r="J547" s="220">
        <f>IF(VLOOKUP(F547,Rec!F:G,2,0)=G547,"OK","Check Team")</f>
        <v/>
      </c>
      <c r="K547" s="156" t="n"/>
      <c r="L547" s="156">
        <f>IFERROR(VLOOKUP(F547&amp;G547,Pass!B:C,2,0),0)</f>
        <v/>
      </c>
      <c r="M547" s="156">
        <f>IFERROR(VLOOKUP(F547&amp;G547,Rush!B:C,2,0),0)</f>
        <v/>
      </c>
      <c r="N547" s="156">
        <f>IFERROR(VLOOKUP(F547&amp;G547,Rec!B:C,2,0),K547)</f>
        <v/>
      </c>
      <c r="O547" s="156">
        <f>IFERROR(VLOOKUP(F547&amp;G547,Returns!A:B,2,0),0)</f>
        <v/>
      </c>
      <c r="Q547" s="156" t="inlineStr">
        <is>
          <t>Geno Smith</t>
        </is>
      </c>
      <c r="R547" s="156" t="inlineStr">
        <is>
          <t>SEA</t>
        </is>
      </c>
      <c r="S547" s="156" t="inlineStr">
        <is>
          <t>QB</t>
        </is>
      </c>
    </row>
    <row r="548" hidden="1" ht="15.6" customHeight="1" s="152">
      <c r="A548" s="217" t="n">
        <v>227</v>
      </c>
      <c r="B548" s="218">
        <f>VLOOKUP(G548,Matrix!R:AA,10,0)</f>
        <v/>
      </c>
      <c r="C548" s="156">
        <f>IF(K548&gt;0.01,K548,IFERROR(VLOOKUP(F548&amp;G548,Rec!B:C,2,0),K548)+SUM(L548:O548))</f>
        <v/>
      </c>
      <c r="D548" s="218">
        <f>_xlfn.IFNA(INDEX('Injury Report'!F:F, MATCH(G548&amp;F548, 'Injury Report'!A:A, 0)), "Healthy")</f>
        <v/>
      </c>
      <c r="E548" s="219">
        <f>VLOOKUP(A548,'WR Depth'!A:G,7,0)-1</f>
        <v/>
      </c>
      <c r="F548" s="218">
        <f>VLOOKUP(A548,'WR Depth'!A:C,3,0)</f>
        <v/>
      </c>
      <c r="G548" s="218">
        <f>VLOOKUP(A548,'WR Depth'!A:B,2,0)</f>
        <v/>
      </c>
      <c r="H548" s="218">
        <f>VLOOKUP(A548,'WR Depth'!A:D,4,0)</f>
        <v/>
      </c>
      <c r="I548" s="218">
        <f>H548&amp;E548</f>
        <v/>
      </c>
      <c r="J548" s="220">
        <f>IF(VLOOKUP(F548,Rec!F:G,2,0)=G548,"OK","Check Team")</f>
        <v/>
      </c>
      <c r="K548" s="156" t="n"/>
      <c r="L548" s="156">
        <f>IFERROR(VLOOKUP(F548&amp;G548,Pass!B:C,2,0),0)</f>
        <v/>
      </c>
      <c r="M548" s="156">
        <f>IFERROR(VLOOKUP(F548&amp;G548,Rush!B:C,2,0),0)</f>
        <v/>
      </c>
      <c r="N548" s="156">
        <f>IFERROR(VLOOKUP(F548&amp;G548,Rec!B:C,2,0),K548)</f>
        <v/>
      </c>
      <c r="O548" s="156">
        <f>IFERROR(VLOOKUP(F548&amp;G548,Returns!A:B,2,0),0)</f>
        <v/>
      </c>
      <c r="Q548" s="156" t="inlineStr">
        <is>
          <t>Irv Smith</t>
        </is>
      </c>
      <c r="R548" s="156" t="inlineStr">
        <is>
          <t>HOU</t>
        </is>
      </c>
      <c r="S548" s="156" t="inlineStr">
        <is>
          <t>TE</t>
        </is>
      </c>
    </row>
    <row r="549" hidden="1" ht="15.6" customHeight="1" s="152">
      <c r="A549" s="221" t="n">
        <v>228</v>
      </c>
      <c r="B549" s="218">
        <f>VLOOKUP(G549,Matrix!R:AA,10,0)</f>
        <v/>
      </c>
      <c r="C549" s="156">
        <f>IF(K549&gt;0.01,K549,IFERROR(VLOOKUP(F549&amp;G549,Rec!B:C,2,0),K549)+SUM(L549:O549))</f>
        <v/>
      </c>
      <c r="D549" s="218">
        <f>_xlfn.IFNA(INDEX('Injury Report'!F:F, MATCH(G549&amp;F549, 'Injury Report'!A:A, 0)), "Healthy")</f>
        <v/>
      </c>
      <c r="E549" s="219">
        <f>VLOOKUP(A549,'WR Depth'!A:G,7,0)-1</f>
        <v/>
      </c>
      <c r="F549" s="218">
        <f>VLOOKUP(A549,'WR Depth'!A:C,3,0)</f>
        <v/>
      </c>
      <c r="G549" s="218">
        <f>VLOOKUP(A549,'WR Depth'!A:B,2,0)</f>
        <v/>
      </c>
      <c r="H549" s="218">
        <f>VLOOKUP(A549,'WR Depth'!A:D,4,0)</f>
        <v/>
      </c>
      <c r="I549" s="218">
        <f>H549&amp;E549</f>
        <v/>
      </c>
      <c r="J549" s="220">
        <f>IF(VLOOKUP(F549,Rec!F:G,2,0)=G549,"OK","Check Team")</f>
        <v/>
      </c>
      <c r="K549" s="156" t="n"/>
      <c r="L549" s="156">
        <f>IFERROR(VLOOKUP(F549&amp;G549,Pass!B:C,2,0),0)</f>
        <v/>
      </c>
      <c r="M549" s="156">
        <f>IFERROR(VLOOKUP(F549&amp;G549,Rush!B:C,2,0),0)</f>
        <v/>
      </c>
      <c r="N549" s="156">
        <f>IFERROR(VLOOKUP(F549&amp;G549,Rec!B:C,2,0),K549)</f>
        <v/>
      </c>
      <c r="O549" s="156">
        <f>IFERROR(VLOOKUP(F549&amp;G549,Returns!A:B,2,0),0)</f>
        <v/>
      </c>
      <c r="Q549" s="156" t="inlineStr">
        <is>
          <t>Tre'Quan Smith</t>
        </is>
      </c>
      <c r="R549" s="156" t="inlineStr">
        <is>
          <t>FA</t>
        </is>
      </c>
      <c r="S549" s="156" t="inlineStr">
        <is>
          <t>WR</t>
        </is>
      </c>
    </row>
    <row r="550" hidden="1" ht="15.6" customHeight="1" s="152">
      <c r="A550" s="217" t="n">
        <v>229</v>
      </c>
      <c r="B550" s="218">
        <f>VLOOKUP(G550,Matrix!R:AA,10,0)</f>
        <v/>
      </c>
      <c r="C550" s="156">
        <f>IF(K550&gt;0.01,K550,IFERROR(VLOOKUP(F550&amp;G550,Rec!B:C,2,0),K550)+SUM(L550:O550))</f>
        <v/>
      </c>
      <c r="D550" s="218">
        <f>_xlfn.IFNA(INDEX('Injury Report'!F:F, MATCH(G550&amp;F550, 'Injury Report'!A:A, 0)), "Healthy")</f>
        <v/>
      </c>
      <c r="E550" s="219">
        <f>VLOOKUP(A550,'WR Depth'!A:G,7,0)-1</f>
        <v/>
      </c>
      <c r="F550" s="218">
        <f>VLOOKUP(A550,'WR Depth'!A:C,3,0)</f>
        <v/>
      </c>
      <c r="G550" s="218">
        <f>VLOOKUP(A550,'WR Depth'!A:B,2,0)</f>
        <v/>
      </c>
      <c r="H550" s="218">
        <f>VLOOKUP(A550,'WR Depth'!A:D,4,0)</f>
        <v/>
      </c>
      <c r="I550" s="218">
        <f>H550&amp;E550</f>
        <v/>
      </c>
      <c r="J550" s="220">
        <f>IF(VLOOKUP(F550,Rec!F:G,2,0)=G550,"OK","Check Team")</f>
        <v/>
      </c>
      <c r="K550" s="156" t="n"/>
      <c r="L550" s="156">
        <f>IFERROR(VLOOKUP(F550&amp;G550,Pass!B:C,2,0),0)</f>
        <v/>
      </c>
      <c r="M550" s="156">
        <f>IFERROR(VLOOKUP(F550&amp;G550,Rush!B:C,2,0),0)</f>
        <v/>
      </c>
      <c r="N550" s="156">
        <f>IFERROR(VLOOKUP(F550&amp;G550,Rec!B:C,2,0),K550)</f>
        <v/>
      </c>
      <c r="O550" s="156">
        <f>IFERROR(VLOOKUP(F550&amp;G550,Returns!A:B,2,0),0)</f>
        <v/>
      </c>
      <c r="Q550" s="156" t="inlineStr">
        <is>
          <t>DeVonta Smith</t>
        </is>
      </c>
      <c r="R550" s="156" t="inlineStr">
        <is>
          <t>PHI</t>
        </is>
      </c>
      <c r="S550" s="156" t="inlineStr">
        <is>
          <t>WR</t>
        </is>
      </c>
    </row>
    <row r="551" hidden="1" ht="15.6" customHeight="1" s="152">
      <c r="A551" s="221" t="n">
        <v>230</v>
      </c>
      <c r="B551" s="218">
        <f>VLOOKUP(G551,Matrix!R:AA,10,0)</f>
        <v/>
      </c>
      <c r="C551" s="156">
        <f>IF(K551&gt;0.01,K551,IFERROR(VLOOKUP(F551&amp;G551,Rec!B:C,2,0),K551)+SUM(L551:O551))</f>
        <v/>
      </c>
      <c r="D551" s="218">
        <f>_xlfn.IFNA(INDEX('Injury Report'!F:F, MATCH(G551&amp;F551, 'Injury Report'!A:A, 0)), "Healthy")</f>
        <v/>
      </c>
      <c r="E551" s="219">
        <f>VLOOKUP(A551,'WR Depth'!A:G,7,0)-1</f>
        <v/>
      </c>
      <c r="F551" s="218">
        <f>VLOOKUP(A551,'WR Depth'!A:C,3,0)</f>
        <v/>
      </c>
      <c r="G551" s="218">
        <f>VLOOKUP(A551,'WR Depth'!A:B,2,0)</f>
        <v/>
      </c>
      <c r="H551" s="218">
        <f>VLOOKUP(A551,'WR Depth'!A:D,4,0)</f>
        <v/>
      </c>
      <c r="I551" s="218">
        <f>H551&amp;E551</f>
        <v/>
      </c>
      <c r="J551" s="220">
        <f>IF(VLOOKUP(F551,Rec!F:G,2,0)=G551,"OK","Check Team")</f>
        <v/>
      </c>
      <c r="K551" s="156" t="n"/>
      <c r="L551" s="156">
        <f>IFERROR(VLOOKUP(F551&amp;G551,Pass!B:C,2,0),0)</f>
        <v/>
      </c>
      <c r="M551" s="156">
        <f>IFERROR(VLOOKUP(F551&amp;G551,Rush!B:C,2,0),0)</f>
        <v/>
      </c>
      <c r="N551" s="156">
        <f>IFERROR(VLOOKUP(F551&amp;G551,Rec!B:C,2,0),K551)</f>
        <v/>
      </c>
      <c r="O551" s="156">
        <f>IFERROR(VLOOKUP(F551&amp;G551,Returns!A:B,2,0),0)</f>
        <v/>
      </c>
      <c r="Q551" s="156" t="inlineStr">
        <is>
          <t>Ihmir Smith-Marsette</t>
        </is>
      </c>
      <c r="R551" s="156" t="inlineStr">
        <is>
          <t>NYG</t>
        </is>
      </c>
      <c r="S551" s="156" t="inlineStr">
        <is>
          <t>WR</t>
        </is>
      </c>
    </row>
    <row r="552" hidden="1" ht="15.6" customHeight="1" s="152">
      <c r="A552" s="217" t="n">
        <v>231</v>
      </c>
      <c r="B552" s="218">
        <f>VLOOKUP(G552,Matrix!R:AA,10,0)</f>
        <v/>
      </c>
      <c r="C552" s="156">
        <f>IF(K552&gt;0.01,K552,IFERROR(VLOOKUP(F552&amp;G552,Rec!B:C,2,0),K552)+SUM(L552:O552))</f>
        <v/>
      </c>
      <c r="D552" s="218">
        <f>_xlfn.IFNA(INDEX('Injury Report'!F:F, MATCH(G552&amp;F552, 'Injury Report'!A:A, 0)), "Healthy")</f>
        <v/>
      </c>
      <c r="E552" s="219">
        <f>VLOOKUP(A552,'WR Depth'!A:G,7,0)-1</f>
        <v/>
      </c>
      <c r="F552" s="218">
        <f>VLOOKUP(A552,'WR Depth'!A:C,3,0)</f>
        <v/>
      </c>
      <c r="G552" s="218">
        <f>VLOOKUP(A552,'WR Depth'!A:B,2,0)</f>
        <v/>
      </c>
      <c r="H552" s="218">
        <f>VLOOKUP(A552,'WR Depth'!A:D,4,0)</f>
        <v/>
      </c>
      <c r="I552" s="218">
        <f>H552&amp;E552</f>
        <v/>
      </c>
      <c r="J552" s="220">
        <f>IF(VLOOKUP(F552,Rec!F:G,2,0)=G552,"OK","Check Team")</f>
        <v/>
      </c>
      <c r="K552" s="156" t="n"/>
      <c r="L552" s="156">
        <f>IFERROR(VLOOKUP(F552&amp;G552,Pass!B:C,2,0),0)</f>
        <v/>
      </c>
      <c r="M552" s="156">
        <f>IFERROR(VLOOKUP(F552&amp;G552,Rush!B:C,2,0),0)</f>
        <v/>
      </c>
      <c r="N552" s="156">
        <f>IFERROR(VLOOKUP(F552&amp;G552,Rec!B:C,2,0),K552)</f>
        <v/>
      </c>
      <c r="O552" s="156">
        <f>IFERROR(VLOOKUP(F552&amp;G552,Returns!A:B,2,0),0)</f>
        <v/>
      </c>
      <c r="Q552" s="156" t="inlineStr">
        <is>
          <t>Jaxon Smith-Njigba</t>
        </is>
      </c>
      <c r="R552" s="156" t="inlineStr">
        <is>
          <t>SEA</t>
        </is>
      </c>
      <c r="S552" s="156" t="inlineStr">
        <is>
          <t>WR</t>
        </is>
      </c>
    </row>
    <row r="553" hidden="1" ht="15.6" customHeight="1" s="152">
      <c r="A553" s="221" t="n">
        <v>232</v>
      </c>
      <c r="B553" s="218">
        <f>VLOOKUP(G553,Matrix!R:AA,10,0)</f>
        <v/>
      </c>
      <c r="C553" s="156">
        <f>IF(K553&gt;0.01,K553,IFERROR(VLOOKUP(F553&amp;G553,Rec!B:C,2,0),K553)+SUM(L553:O553))</f>
        <v/>
      </c>
      <c r="D553" s="218">
        <f>_xlfn.IFNA(INDEX('Injury Report'!F:F, MATCH(G553&amp;F553, 'Injury Report'!A:A, 0)), "Healthy")</f>
        <v/>
      </c>
      <c r="E553" s="219">
        <f>VLOOKUP(A553,'WR Depth'!A:G,7,0)-1</f>
        <v/>
      </c>
      <c r="F553" s="218">
        <f>VLOOKUP(A553,'WR Depth'!A:C,3,0)</f>
        <v/>
      </c>
      <c r="G553" s="218">
        <f>VLOOKUP(A553,'WR Depth'!A:B,2,0)</f>
        <v/>
      </c>
      <c r="H553" s="218">
        <f>VLOOKUP(A553,'WR Depth'!A:D,4,0)</f>
        <v/>
      </c>
      <c r="I553" s="218">
        <f>H553&amp;E553</f>
        <v/>
      </c>
      <c r="J553" s="220">
        <f>IF(VLOOKUP(F553,Rec!F:G,2,0)=G553,"OK","Check Team")</f>
        <v/>
      </c>
      <c r="K553" s="156" t="n"/>
      <c r="L553" s="156">
        <f>IFERROR(VLOOKUP(F553&amp;G553,Pass!B:C,2,0),0)</f>
        <v/>
      </c>
      <c r="M553" s="156">
        <f>IFERROR(VLOOKUP(F553&amp;G553,Rush!B:C,2,0),0)</f>
        <v/>
      </c>
      <c r="N553" s="156">
        <f>IFERROR(VLOOKUP(F553&amp;G553,Rec!B:C,2,0),K553)</f>
        <v/>
      </c>
      <c r="O553" s="156">
        <f>IFERROR(VLOOKUP(F553&amp;G553,Returns!A:B,2,0),0)</f>
        <v/>
      </c>
      <c r="Q553" s="156" t="inlineStr">
        <is>
          <t>Juju Smith-Schuster</t>
        </is>
      </c>
      <c r="R553" s="156" t="inlineStr">
        <is>
          <t>KC</t>
        </is>
      </c>
      <c r="S553" s="156" t="inlineStr">
        <is>
          <t>WR</t>
        </is>
      </c>
    </row>
    <row r="554" hidden="1" ht="15.6" customHeight="1" s="152">
      <c r="A554" s="217" t="n">
        <v>233</v>
      </c>
      <c r="B554" s="218">
        <f>VLOOKUP(G554,Matrix!R:AA,10,0)</f>
        <v/>
      </c>
      <c r="C554" s="156">
        <f>IF(K554&gt;0.01,K554,IFERROR(VLOOKUP(F554&amp;G554,Rec!B:C,2,0),K554)+SUM(L554:O554))</f>
        <v/>
      </c>
      <c r="D554" s="218">
        <f>_xlfn.IFNA(INDEX('Injury Report'!F:F, MATCH(G554&amp;F554, 'Injury Report'!A:A, 0)), "Healthy")</f>
        <v/>
      </c>
      <c r="E554" s="219">
        <f>VLOOKUP(A554,'WR Depth'!A:G,7,0)-1</f>
        <v/>
      </c>
      <c r="F554" s="218">
        <f>VLOOKUP(A554,'WR Depth'!A:C,3,0)</f>
        <v/>
      </c>
      <c r="G554" s="218">
        <f>VLOOKUP(A554,'WR Depth'!A:B,2,0)</f>
        <v/>
      </c>
      <c r="H554" s="218">
        <f>VLOOKUP(A554,'WR Depth'!A:D,4,0)</f>
        <v/>
      </c>
      <c r="I554" s="218">
        <f>H554&amp;E554</f>
        <v/>
      </c>
      <c r="J554" s="220">
        <f>IF(VLOOKUP(F554,Rec!F:G,2,0)=G554,"OK","Check Team")</f>
        <v/>
      </c>
      <c r="K554" s="156" t="n"/>
      <c r="L554" s="156">
        <f>IFERROR(VLOOKUP(F554&amp;G554,Pass!B:C,2,0),0)</f>
        <v/>
      </c>
      <c r="M554" s="156">
        <f>IFERROR(VLOOKUP(F554&amp;G554,Rush!B:C,2,0),0)</f>
        <v/>
      </c>
      <c r="N554" s="156">
        <f>IFERROR(VLOOKUP(F554&amp;G554,Rec!B:C,2,0),K554)</f>
        <v/>
      </c>
      <c r="O554" s="156">
        <f>IFERROR(VLOOKUP(F554&amp;G554,Returns!A:B,2,0),0)</f>
        <v/>
      </c>
      <c r="Q554" s="156" t="inlineStr">
        <is>
          <t>Durham Smythe</t>
        </is>
      </c>
      <c r="R554" s="156" t="inlineStr">
        <is>
          <t>MIA</t>
        </is>
      </c>
      <c r="S554" s="156" t="inlineStr">
        <is>
          <t>TE</t>
        </is>
      </c>
    </row>
    <row r="555" hidden="1" ht="15.6" customHeight="1" s="152">
      <c r="A555" s="221" t="n">
        <v>234</v>
      </c>
      <c r="B555" s="218">
        <f>VLOOKUP(G555,Matrix!R:AA,10,0)</f>
        <v/>
      </c>
      <c r="C555" s="156">
        <f>IF(K555&gt;0.01,K555,IFERROR(VLOOKUP(F555&amp;G555,Rec!B:C,2,0),K555)+SUM(L555:O555))</f>
        <v/>
      </c>
      <c r="D555" s="218">
        <f>_xlfn.IFNA(INDEX('Injury Report'!F:F, MATCH(G555&amp;F555, 'Injury Report'!A:A, 0)), "Healthy")</f>
        <v/>
      </c>
      <c r="E555" s="219">
        <f>VLOOKUP(A555,'WR Depth'!A:G,7,0)-1</f>
        <v/>
      </c>
      <c r="F555" s="218">
        <f>VLOOKUP(A555,'WR Depth'!A:C,3,0)</f>
        <v/>
      </c>
      <c r="G555" s="218">
        <f>VLOOKUP(A555,'WR Depth'!A:B,2,0)</f>
        <v/>
      </c>
      <c r="H555" s="218">
        <f>VLOOKUP(A555,'WR Depth'!A:D,4,0)</f>
        <v/>
      </c>
      <c r="I555" s="218">
        <f>H555&amp;E555</f>
        <v/>
      </c>
      <c r="J555" s="220">
        <f>IF(VLOOKUP(F555,Rec!F:G,2,0)=G555,"OK","Check Team")</f>
        <v/>
      </c>
      <c r="K555" s="156" t="n"/>
      <c r="L555" s="156">
        <f>IFERROR(VLOOKUP(F555&amp;G555,Pass!B:C,2,0),0)</f>
        <v/>
      </c>
      <c r="M555" s="156">
        <f>IFERROR(VLOOKUP(F555&amp;G555,Rush!B:C,2,0),0)</f>
        <v/>
      </c>
      <c r="N555" s="156">
        <f>IFERROR(VLOOKUP(F555&amp;G555,Rec!B:C,2,0),K555)</f>
        <v/>
      </c>
      <c r="O555" s="156">
        <f>IFERROR(VLOOKUP(F555&amp;G555,Returns!A:B,2,0),0)</f>
        <v/>
      </c>
      <c r="Q555" s="156" t="inlineStr">
        <is>
          <t>Brevyn Spann-Ford</t>
        </is>
      </c>
      <c r="R555" s="156" t="inlineStr">
        <is>
          <t>DAL</t>
        </is>
      </c>
      <c r="S555" s="156" t="inlineStr">
        <is>
          <t>TE</t>
        </is>
      </c>
    </row>
    <row r="556" hidden="1" ht="15.6" customHeight="1" s="152">
      <c r="A556" s="217" t="n">
        <v>235</v>
      </c>
      <c r="B556" s="218">
        <f>VLOOKUP(G556,Matrix!R:AA,10,0)</f>
        <v/>
      </c>
      <c r="C556" s="156">
        <f>IF(K556&gt;0.01,K556,IFERROR(VLOOKUP(F556&amp;G556,Rec!B:C,2,0),K556)+SUM(L556:O556))</f>
        <v/>
      </c>
      <c r="D556" s="218">
        <f>_xlfn.IFNA(INDEX('Injury Report'!F:F, MATCH(G556&amp;F556, 'Injury Report'!A:A, 0)), "Healthy")</f>
        <v/>
      </c>
      <c r="E556" s="219">
        <f>VLOOKUP(A556,'WR Depth'!A:G,7,0)-1</f>
        <v/>
      </c>
      <c r="F556" s="218">
        <f>VLOOKUP(A556,'WR Depth'!A:C,3,0)</f>
        <v/>
      </c>
      <c r="G556" s="218">
        <f>VLOOKUP(A556,'WR Depth'!A:B,2,0)</f>
        <v/>
      </c>
      <c r="H556" s="218">
        <f>VLOOKUP(A556,'WR Depth'!A:D,4,0)</f>
        <v/>
      </c>
      <c r="I556" s="218">
        <f>H556&amp;E556</f>
        <v/>
      </c>
      <c r="J556" s="220">
        <f>IF(VLOOKUP(F556,Rec!F:G,2,0)=G556,"OK","Check Team")</f>
        <v/>
      </c>
      <c r="K556" s="156" t="n"/>
      <c r="L556" s="156">
        <f>IFERROR(VLOOKUP(F556&amp;G556,Pass!B:C,2,0),0)</f>
        <v/>
      </c>
      <c r="M556" s="156">
        <f>IFERROR(VLOOKUP(F556&amp;G556,Rush!B:C,2,0),0)</f>
        <v/>
      </c>
      <c r="N556" s="156">
        <f>IFERROR(VLOOKUP(F556&amp;G556,Rec!B:C,2,0),K556)</f>
        <v/>
      </c>
      <c r="O556" s="156">
        <f>IFERROR(VLOOKUP(F556&amp;G556,Returns!A:B,2,0),0)</f>
        <v/>
      </c>
      <c r="Q556" s="156" t="inlineStr">
        <is>
          <t>Tyjae Spears</t>
        </is>
      </c>
      <c r="R556" s="156" t="inlineStr">
        <is>
          <t>TEN</t>
        </is>
      </c>
      <c r="S556" s="156" t="inlineStr">
        <is>
          <t>RB</t>
        </is>
      </c>
    </row>
    <row r="557" hidden="1" ht="15.6" customHeight="1" s="152">
      <c r="A557" s="221" t="n">
        <v>236</v>
      </c>
      <c r="B557" s="218">
        <f>VLOOKUP(G557,Matrix!R:AA,10,0)</f>
        <v/>
      </c>
      <c r="C557" s="156">
        <f>IF(K557&gt;0.01,K557,IFERROR(VLOOKUP(F557&amp;G557,Rec!B:C,2,0),K557)+SUM(L557:O557))</f>
        <v/>
      </c>
      <c r="D557" s="218">
        <f>_xlfn.IFNA(INDEX('Injury Report'!F:F, MATCH(G557&amp;F557, 'Injury Report'!A:A, 0)), "Healthy")</f>
        <v/>
      </c>
      <c r="E557" s="219">
        <f>VLOOKUP(A557,'WR Depth'!A:G,7,0)-1</f>
        <v/>
      </c>
      <c r="F557" s="218">
        <f>VLOOKUP(A557,'WR Depth'!A:C,3,0)</f>
        <v/>
      </c>
      <c r="G557" s="218">
        <f>VLOOKUP(A557,'WR Depth'!A:B,2,0)</f>
        <v/>
      </c>
      <c r="H557" s="218">
        <f>VLOOKUP(A557,'WR Depth'!A:D,4,0)</f>
        <v/>
      </c>
      <c r="I557" s="218">
        <f>H557&amp;E557</f>
        <v/>
      </c>
      <c r="J557" s="220">
        <f>IF(VLOOKUP(F557,Rec!F:G,2,0)=G557,"OK","Check Team")</f>
        <v/>
      </c>
      <c r="K557" s="156" t="n"/>
      <c r="L557" s="156">
        <f>IFERROR(VLOOKUP(F557&amp;G557,Pass!B:C,2,0),0)</f>
        <v/>
      </c>
      <c r="M557" s="156">
        <f>IFERROR(VLOOKUP(F557&amp;G557,Rush!B:C,2,0),0)</f>
        <v/>
      </c>
      <c r="N557" s="156">
        <f>IFERROR(VLOOKUP(F557&amp;G557,Rec!B:C,2,0),K557)</f>
        <v/>
      </c>
      <c r="O557" s="156">
        <f>IFERROR(VLOOKUP(F557&amp;G557,Returns!A:B,2,0),0)</f>
        <v/>
      </c>
      <c r="Q557" s="156" t="inlineStr">
        <is>
          <t>Isaiah Spiller</t>
        </is>
      </c>
      <c r="R557" s="156" t="inlineStr">
        <is>
          <t>LV</t>
        </is>
      </c>
      <c r="S557" s="156" t="inlineStr">
        <is>
          <t>RB</t>
        </is>
      </c>
    </row>
    <row r="558" hidden="1" ht="15.6" customHeight="1" s="152">
      <c r="A558" s="217" t="n">
        <v>237</v>
      </c>
      <c r="B558" s="218">
        <f>VLOOKUP(G558,Matrix!R:AA,10,0)</f>
        <v/>
      </c>
      <c r="C558" s="156">
        <f>IF(K558&gt;0.01,K558,IFERROR(VLOOKUP(F558&amp;G558,Rec!B:C,2,0),K558)+SUM(L558:O558))</f>
        <v/>
      </c>
      <c r="D558" s="218">
        <f>_xlfn.IFNA(INDEX('Injury Report'!F:F, MATCH(G558&amp;F558, 'Injury Report'!A:A, 0)), "Healthy")</f>
        <v/>
      </c>
      <c r="E558" s="219">
        <f>VLOOKUP(A558,'WR Depth'!A:G,7,0)-1</f>
        <v/>
      </c>
      <c r="F558" s="218">
        <f>VLOOKUP(A558,'WR Depth'!A:C,3,0)</f>
        <v/>
      </c>
      <c r="G558" s="218">
        <f>VLOOKUP(A558,'WR Depth'!A:B,2,0)</f>
        <v/>
      </c>
      <c r="H558" s="218">
        <f>VLOOKUP(A558,'WR Depth'!A:D,4,0)</f>
        <v/>
      </c>
      <c r="I558" s="218">
        <f>H558&amp;E558</f>
        <v/>
      </c>
      <c r="J558" s="220">
        <f>IF(VLOOKUP(F558,Rec!F:G,2,0)=G558,"OK","Check Team")</f>
        <v/>
      </c>
      <c r="K558" s="156" t="n"/>
      <c r="L558" s="156">
        <f>IFERROR(VLOOKUP(F558&amp;G558,Pass!B:C,2,0),0)</f>
        <v/>
      </c>
      <c r="M558" s="156">
        <f>IFERROR(VLOOKUP(F558&amp;G558,Rush!B:C,2,0),0)</f>
        <v/>
      </c>
      <c r="N558" s="156">
        <f>IFERROR(VLOOKUP(F558&amp;G558,Rec!B:C,2,0),K558)</f>
        <v/>
      </c>
      <c r="O558" s="156">
        <f>IFERROR(VLOOKUP(F558&amp;G558,Returns!A:B,2,0),0)</f>
        <v/>
      </c>
      <c r="Q558" s="156" t="inlineStr">
        <is>
          <t>Amon-Ra St. Brown</t>
        </is>
      </c>
      <c r="R558" s="156" t="inlineStr">
        <is>
          <t>DET</t>
        </is>
      </c>
      <c r="S558" s="156" t="inlineStr">
        <is>
          <t>WR</t>
        </is>
      </c>
    </row>
    <row r="559" hidden="1" ht="15.6" customHeight="1" s="152">
      <c r="A559" s="221" t="n">
        <v>238</v>
      </c>
      <c r="B559" s="218">
        <f>VLOOKUP(G559,Matrix!R:AA,10,0)</f>
        <v/>
      </c>
      <c r="C559" s="156">
        <f>IF(K559&gt;0.01,K559,IFERROR(VLOOKUP(F559&amp;G559,Rec!B:C,2,0),K559)+SUM(L559:O559))</f>
        <v/>
      </c>
      <c r="D559" s="218">
        <f>_xlfn.IFNA(INDEX('Injury Report'!F:F, MATCH(G559&amp;F559, 'Injury Report'!A:A, 0)), "Healthy")</f>
        <v/>
      </c>
      <c r="E559" s="219">
        <f>VLOOKUP(A559,'WR Depth'!A:G,7,0)-1</f>
        <v/>
      </c>
      <c r="F559" s="218">
        <f>VLOOKUP(A559,'WR Depth'!A:C,3,0)</f>
        <v/>
      </c>
      <c r="G559" s="218">
        <f>VLOOKUP(A559,'WR Depth'!A:B,2,0)</f>
        <v/>
      </c>
      <c r="H559" s="218">
        <f>VLOOKUP(A559,'WR Depth'!A:D,4,0)</f>
        <v/>
      </c>
      <c r="I559" s="218">
        <f>H559&amp;E559</f>
        <v/>
      </c>
      <c r="J559" s="220">
        <f>IF(VLOOKUP(F559,Rec!F:G,2,0)=G559,"OK","Check Team")</f>
        <v/>
      </c>
      <c r="K559" s="156" t="n"/>
      <c r="L559" s="156">
        <f>IFERROR(VLOOKUP(F559&amp;G559,Pass!B:C,2,0),0)</f>
        <v/>
      </c>
      <c r="M559" s="156">
        <f>IFERROR(VLOOKUP(F559&amp;G559,Rush!B:C,2,0),0)</f>
        <v/>
      </c>
      <c r="N559" s="156">
        <f>IFERROR(VLOOKUP(F559&amp;G559,Rec!B:C,2,0),K559)</f>
        <v/>
      </c>
      <c r="O559" s="156">
        <f>IFERROR(VLOOKUP(F559&amp;G559,Returns!A:B,2,0),0)</f>
        <v/>
      </c>
      <c r="Q559" s="156" t="inlineStr">
        <is>
          <t>Equanimeous St. Brown</t>
        </is>
      </c>
      <c r="R559" s="156" t="inlineStr">
        <is>
          <t>FA</t>
        </is>
      </c>
      <c r="S559" s="156" t="inlineStr">
        <is>
          <t>WR</t>
        </is>
      </c>
    </row>
    <row r="560" hidden="1" ht="15.6" customHeight="1" s="152">
      <c r="A560" s="217" t="n">
        <v>239</v>
      </c>
      <c r="B560" s="218">
        <f>VLOOKUP(G560,Matrix!R:AA,10,0)</f>
        <v/>
      </c>
      <c r="C560" s="156">
        <f>IF(K560&gt;0.01,K560,IFERROR(VLOOKUP(F560&amp;G560,Rec!B:C,2,0),K560)+SUM(L560:O560))</f>
        <v/>
      </c>
      <c r="D560" s="218">
        <f>_xlfn.IFNA(INDEX('Injury Report'!F:F, MATCH(G560&amp;F560, 'Injury Report'!A:A, 0)), "Healthy")</f>
        <v/>
      </c>
      <c r="E560" s="219">
        <f>VLOOKUP(A560,'WR Depth'!A:G,7,0)-1</f>
        <v/>
      </c>
      <c r="F560" s="218">
        <f>VLOOKUP(A560,'WR Depth'!A:C,3,0)</f>
        <v/>
      </c>
      <c r="G560" s="218">
        <f>VLOOKUP(A560,'WR Depth'!A:B,2,0)</f>
        <v/>
      </c>
      <c r="H560" s="218">
        <f>VLOOKUP(A560,'WR Depth'!A:D,4,0)</f>
        <v/>
      </c>
      <c r="I560" s="218">
        <f>H560&amp;E560</f>
        <v/>
      </c>
      <c r="J560" s="220">
        <f>IF(VLOOKUP(F560,Rec!F:G,2,0)=G560,"OK","Check Team")</f>
        <v/>
      </c>
      <c r="K560" s="156" t="n"/>
      <c r="L560" s="156">
        <f>IFERROR(VLOOKUP(F560&amp;G560,Pass!B:C,2,0),0)</f>
        <v/>
      </c>
      <c r="M560" s="156">
        <f>IFERROR(VLOOKUP(F560&amp;G560,Rush!B:C,2,0),0)</f>
        <v/>
      </c>
      <c r="N560" s="156">
        <f>IFERROR(VLOOKUP(F560&amp;G560,Rec!B:C,2,0),K560)</f>
        <v/>
      </c>
      <c r="O560" s="156">
        <f>IFERROR(VLOOKUP(F560&amp;G560,Returns!A:B,2,0),0)</f>
        <v/>
      </c>
      <c r="Q560" s="156" t="inlineStr">
        <is>
          <t>Matthew Stafford</t>
        </is>
      </c>
      <c r="R560" s="156" t="inlineStr">
        <is>
          <t>LAR</t>
        </is>
      </c>
      <c r="S560" s="156" t="inlineStr">
        <is>
          <t>QB</t>
        </is>
      </c>
    </row>
    <row r="561" hidden="1" ht="15.6" customHeight="1" s="152">
      <c r="A561" s="221" t="n">
        <v>240</v>
      </c>
      <c r="B561" s="218">
        <f>VLOOKUP(G561,Matrix!R:AA,10,0)</f>
        <v/>
      </c>
      <c r="C561" s="156">
        <f>IF(K561&gt;0.01,K561,IFERROR(VLOOKUP(F561&amp;G561,Rec!B:C,2,0),K561)+SUM(L561:O561))</f>
        <v/>
      </c>
      <c r="D561" s="218">
        <f>_xlfn.IFNA(INDEX('Injury Report'!F:F, MATCH(G561&amp;F561, 'Injury Report'!A:A, 0)), "Healthy")</f>
        <v/>
      </c>
      <c r="E561" s="219">
        <f>VLOOKUP(A561,'WR Depth'!A:G,7,0)-1</f>
        <v/>
      </c>
      <c r="F561" s="218">
        <f>VLOOKUP(A561,'WR Depth'!A:C,3,0)</f>
        <v/>
      </c>
      <c r="G561" s="218">
        <f>VLOOKUP(A561,'WR Depth'!A:B,2,0)</f>
        <v/>
      </c>
      <c r="H561" s="218">
        <f>VLOOKUP(A561,'WR Depth'!A:D,4,0)</f>
        <v/>
      </c>
      <c r="I561" s="218">
        <f>H561&amp;E561</f>
        <v/>
      </c>
      <c r="J561" s="220">
        <f>IF(VLOOKUP(F561,Rec!F:G,2,0)=G561,"OK","Check Team")</f>
        <v/>
      </c>
      <c r="K561" s="156" t="n"/>
      <c r="L561" s="156">
        <f>IFERROR(VLOOKUP(F561&amp;G561,Pass!B:C,2,0),0)</f>
        <v/>
      </c>
      <c r="M561" s="156">
        <f>IFERROR(VLOOKUP(F561&amp;G561,Rush!B:C,2,0),0)</f>
        <v/>
      </c>
      <c r="N561" s="156">
        <f>IFERROR(VLOOKUP(F561&amp;G561,Rec!B:C,2,0),K561)</f>
        <v/>
      </c>
      <c r="O561" s="156">
        <f>IFERROR(VLOOKUP(F561&amp;G561,Returns!A:B,2,0),0)</f>
        <v/>
      </c>
      <c r="Q561" s="156" t="inlineStr">
        <is>
          <t>Carson Steele</t>
        </is>
      </c>
      <c r="R561" s="156" t="inlineStr">
        <is>
          <t>KC</t>
        </is>
      </c>
      <c r="S561" s="156" t="inlineStr">
        <is>
          <t>RB</t>
        </is>
      </c>
    </row>
    <row r="562" hidden="1" ht="15.6" customHeight="1" s="152">
      <c r="A562" s="217" t="n">
        <v>241</v>
      </c>
      <c r="B562" s="218">
        <f>VLOOKUP(G562,Matrix!R:AA,10,0)</f>
        <v/>
      </c>
      <c r="C562" s="156">
        <f>IF(K562&gt;0.01,K562,IFERROR(VLOOKUP(F562&amp;G562,Rec!B:C,2,0),K562)+SUM(L562:O562))</f>
        <v/>
      </c>
      <c r="D562" s="218">
        <f>_xlfn.IFNA(INDEX('Injury Report'!F:F, MATCH(G562&amp;F562, 'Injury Report'!A:A, 0)), "Healthy")</f>
        <v/>
      </c>
      <c r="E562" s="219">
        <f>VLOOKUP(A562,'WR Depth'!A:G,7,0)-1</f>
        <v/>
      </c>
      <c r="F562" s="218">
        <f>VLOOKUP(A562,'WR Depth'!A:C,3,0)</f>
        <v/>
      </c>
      <c r="G562" s="218">
        <f>VLOOKUP(A562,'WR Depth'!A:B,2,0)</f>
        <v/>
      </c>
      <c r="H562" s="218">
        <f>VLOOKUP(A562,'WR Depth'!A:D,4,0)</f>
        <v/>
      </c>
      <c r="I562" s="218">
        <f>H562&amp;E562</f>
        <v/>
      </c>
      <c r="J562" s="220">
        <f>IF(VLOOKUP(F562,Rec!F:G,2,0)=G562,"OK","Check Team")</f>
        <v/>
      </c>
      <c r="K562" s="156" t="n"/>
      <c r="L562" s="156">
        <f>IFERROR(VLOOKUP(F562&amp;G562,Pass!B:C,2,0),0)</f>
        <v/>
      </c>
      <c r="M562" s="156">
        <f>IFERROR(VLOOKUP(F562&amp;G562,Rush!B:C,2,0),0)</f>
        <v/>
      </c>
      <c r="N562" s="156">
        <f>IFERROR(VLOOKUP(F562&amp;G562,Rec!B:C,2,0),K562)</f>
        <v/>
      </c>
      <c r="O562" s="156">
        <f>IFERROR(VLOOKUP(F562&amp;G562,Returns!A:B,2,0),0)</f>
        <v/>
      </c>
      <c r="Q562" s="156" t="inlineStr">
        <is>
          <t>Rhamondre Stevenson</t>
        </is>
      </c>
      <c r="R562" s="156" t="inlineStr">
        <is>
          <t>NE</t>
        </is>
      </c>
      <c r="S562" s="156" t="inlineStr">
        <is>
          <t>RB</t>
        </is>
      </c>
    </row>
    <row r="563" hidden="1" ht="15.6" customHeight="1" s="152">
      <c r="A563" s="221" t="n">
        <v>242</v>
      </c>
      <c r="B563" s="218">
        <f>VLOOKUP(G563,Matrix!R:AA,10,0)</f>
        <v/>
      </c>
      <c r="C563" s="156">
        <f>IF(K563&gt;0.01,K563,IFERROR(VLOOKUP(F563&amp;G563,Rec!B:C,2,0),K563)+SUM(L563:O563))</f>
        <v/>
      </c>
      <c r="D563" s="218">
        <f>_xlfn.IFNA(INDEX('Injury Report'!F:F, MATCH(G563&amp;F563, 'Injury Report'!A:A, 0)), "Healthy")</f>
        <v/>
      </c>
      <c r="E563" s="219">
        <f>VLOOKUP(A563,'WR Depth'!A:G,7,0)-1</f>
        <v/>
      </c>
      <c r="F563" s="218">
        <f>VLOOKUP(A563,'WR Depth'!A:C,3,0)</f>
        <v/>
      </c>
      <c r="G563" s="218">
        <f>VLOOKUP(A563,'WR Depth'!A:B,2,0)</f>
        <v/>
      </c>
      <c r="H563" s="218">
        <f>VLOOKUP(A563,'WR Depth'!A:D,4,0)</f>
        <v/>
      </c>
      <c r="I563" s="218">
        <f>H563&amp;E563</f>
        <v/>
      </c>
      <c r="J563" s="220">
        <f>IF(VLOOKUP(F563,Rec!F:G,2,0)=G563,"OK","Check Team")</f>
        <v/>
      </c>
      <c r="K563" s="156" t="n"/>
      <c r="L563" s="156">
        <f>IFERROR(VLOOKUP(F563&amp;G563,Pass!B:C,2,0),0)</f>
        <v/>
      </c>
      <c r="M563" s="156">
        <f>IFERROR(VLOOKUP(F563&amp;G563,Rush!B:C,2,0),0)</f>
        <v/>
      </c>
      <c r="N563" s="156">
        <f>IFERROR(VLOOKUP(F563&amp;G563,Rec!B:C,2,0),K563)</f>
        <v/>
      </c>
      <c r="O563" s="156">
        <f>IFERROR(VLOOKUP(F563&amp;G563,Returns!A:B,2,0),0)</f>
        <v/>
      </c>
      <c r="Q563" s="156" t="inlineStr">
        <is>
          <t>Easton Stick</t>
        </is>
      </c>
      <c r="R563" s="156" t="inlineStr">
        <is>
          <t>LAC</t>
        </is>
      </c>
      <c r="S563" s="156" t="inlineStr">
        <is>
          <t>QB</t>
        </is>
      </c>
    </row>
    <row r="564" hidden="1" ht="15.6" customHeight="1" s="152">
      <c r="A564" s="217" t="n">
        <v>243</v>
      </c>
      <c r="B564" s="218">
        <f>VLOOKUP(G564,Matrix!R:AA,10,0)</f>
        <v/>
      </c>
      <c r="C564" s="156">
        <f>IF(K564&gt;0.01,K564,IFERROR(VLOOKUP(F564&amp;G564,Rec!B:C,2,0),K564)+SUM(L564:O564))</f>
        <v/>
      </c>
      <c r="D564" s="218">
        <f>_xlfn.IFNA(INDEX('Injury Report'!F:F, MATCH(G564&amp;F564, 'Injury Report'!A:A, 0)), "Healthy")</f>
        <v/>
      </c>
      <c r="E564" s="219">
        <f>VLOOKUP(A564,'WR Depth'!A:G,7,0)-1</f>
        <v/>
      </c>
      <c r="F564" s="218">
        <f>VLOOKUP(A564,'WR Depth'!A:C,3,0)</f>
        <v/>
      </c>
      <c r="G564" s="218">
        <f>VLOOKUP(A564,'WR Depth'!A:B,2,0)</f>
        <v/>
      </c>
      <c r="H564" s="218">
        <f>VLOOKUP(A564,'WR Depth'!A:D,4,0)</f>
        <v/>
      </c>
      <c r="I564" s="218">
        <f>H564&amp;E564</f>
        <v/>
      </c>
      <c r="J564" s="220">
        <f>IF(VLOOKUP(F564,Rec!F:G,2,0)=G564,"OK","Check Team")</f>
        <v/>
      </c>
      <c r="K564" s="156" t="n"/>
      <c r="L564" s="156">
        <f>IFERROR(VLOOKUP(F564&amp;G564,Pass!B:C,2,0),0)</f>
        <v/>
      </c>
      <c r="M564" s="156">
        <f>IFERROR(VLOOKUP(F564&amp;G564,Rush!B:C,2,0),0)</f>
        <v/>
      </c>
      <c r="N564" s="156">
        <f>IFERROR(VLOOKUP(F564&amp;G564,Rec!B:C,2,0),K564)</f>
        <v/>
      </c>
      <c r="O564" s="156">
        <f>IFERROR(VLOOKUP(F564&amp;G564,Returns!A:B,2,0),0)</f>
        <v/>
      </c>
      <c r="Q564" s="156" t="inlineStr">
        <is>
          <t>Jarrett Stidham</t>
        </is>
      </c>
      <c r="R564" s="156" t="inlineStr">
        <is>
          <t>DEN</t>
        </is>
      </c>
      <c r="S564" s="156" t="inlineStr">
        <is>
          <t>QB</t>
        </is>
      </c>
    </row>
    <row r="565" hidden="1" ht="15.6" customHeight="1" s="152">
      <c r="A565" s="221" t="n">
        <v>244</v>
      </c>
      <c r="B565" s="218">
        <f>VLOOKUP(G565,Matrix!R:AA,10,0)</f>
        <v/>
      </c>
      <c r="C565" s="156">
        <f>IF(K565&gt;0.01,K565,IFERROR(VLOOKUP(F565&amp;G565,Rec!B:C,2,0),K565)+SUM(L565:O565))</f>
        <v/>
      </c>
      <c r="D565" s="218">
        <f>_xlfn.IFNA(INDEX('Injury Report'!F:F, MATCH(G565&amp;F565, 'Injury Report'!A:A, 0)), "Healthy")</f>
        <v/>
      </c>
      <c r="E565" s="219">
        <f>VLOOKUP(A565,'WR Depth'!A:G,7,0)-1</f>
        <v/>
      </c>
      <c r="F565" s="218">
        <f>VLOOKUP(A565,'WR Depth'!A:C,3,0)</f>
        <v/>
      </c>
      <c r="G565" s="218">
        <f>VLOOKUP(A565,'WR Depth'!A:B,2,0)</f>
        <v/>
      </c>
      <c r="H565" s="218">
        <f>VLOOKUP(A565,'WR Depth'!A:D,4,0)</f>
        <v/>
      </c>
      <c r="I565" s="218">
        <f>H565&amp;E565</f>
        <v/>
      </c>
      <c r="J565" s="220">
        <f>IF(VLOOKUP(F565,Rec!F:G,2,0)=G565,"OK","Check Team")</f>
        <v/>
      </c>
      <c r="K565" s="156" t="n"/>
      <c r="L565" s="156">
        <f>IFERROR(VLOOKUP(F565&amp;G565,Pass!B:C,2,0),0)</f>
        <v/>
      </c>
      <c r="M565" s="156">
        <f>IFERROR(VLOOKUP(F565&amp;G565,Rush!B:C,2,0),0)</f>
        <v/>
      </c>
      <c r="N565" s="156">
        <f>IFERROR(VLOOKUP(F565&amp;G565,Rec!B:C,2,0),K565)</f>
        <v/>
      </c>
      <c r="O565" s="156">
        <f>IFERROR(VLOOKUP(F565&amp;G565,Returns!A:B,2,0),0)</f>
        <v/>
      </c>
      <c r="Q565" s="156" t="inlineStr">
        <is>
          <t>Jack Stoll</t>
        </is>
      </c>
      <c r="R565" s="156" t="inlineStr">
        <is>
          <t>MIA</t>
        </is>
      </c>
      <c r="S565" s="156" t="inlineStr">
        <is>
          <t>TE</t>
        </is>
      </c>
    </row>
    <row r="566" hidden="1" ht="15.6" customHeight="1" s="152">
      <c r="A566" s="217" t="n">
        <v>245</v>
      </c>
      <c r="B566" s="218">
        <f>VLOOKUP(G566,Matrix!R:AA,10,0)</f>
        <v/>
      </c>
      <c r="C566" s="156">
        <f>IF(K566&gt;0.01,K566,IFERROR(VLOOKUP(F566&amp;G566,Rec!B:C,2,0),K566)+SUM(L566:O566))</f>
        <v/>
      </c>
      <c r="D566" s="218">
        <f>_xlfn.IFNA(INDEX('Injury Report'!F:F, MATCH(G566&amp;F566, 'Injury Report'!A:A, 0)), "Healthy")</f>
        <v/>
      </c>
      <c r="E566" s="219">
        <f>VLOOKUP(A566,'WR Depth'!A:G,7,0)-1</f>
        <v/>
      </c>
      <c r="F566" s="218">
        <f>VLOOKUP(A566,'WR Depth'!A:C,3,0)</f>
        <v/>
      </c>
      <c r="G566" s="218">
        <f>VLOOKUP(A566,'WR Depth'!A:B,2,0)</f>
        <v/>
      </c>
      <c r="H566" s="218">
        <f>VLOOKUP(A566,'WR Depth'!A:D,4,0)</f>
        <v/>
      </c>
      <c r="I566" s="218">
        <f>H566&amp;E566</f>
        <v/>
      </c>
      <c r="J566" s="220">
        <f>IF(VLOOKUP(F566,Rec!F:G,2,0)=G566,"OK","Check Team")</f>
        <v/>
      </c>
      <c r="K566" s="156" t="n"/>
      <c r="L566" s="156">
        <f>IFERROR(VLOOKUP(F566&amp;G566,Pass!B:C,2,0),0)</f>
        <v/>
      </c>
      <c r="M566" s="156">
        <f>IFERROR(VLOOKUP(F566&amp;G566,Rush!B:C,2,0),0)</f>
        <v/>
      </c>
      <c r="N566" s="156">
        <f>IFERROR(VLOOKUP(F566&amp;G566,Rec!B:C,2,0),K566)</f>
        <v/>
      </c>
      <c r="O566" s="156">
        <f>IFERROR(VLOOKUP(F566&amp;G566,Returns!A:B,2,0),0)</f>
        <v/>
      </c>
      <c r="Q566" s="156" t="inlineStr">
        <is>
          <t>Cade Stover</t>
        </is>
      </c>
      <c r="R566" s="156" t="inlineStr">
        <is>
          <t>HOU</t>
        </is>
      </c>
      <c r="S566" s="156" t="inlineStr">
        <is>
          <t>TE</t>
        </is>
      </c>
    </row>
    <row r="567" hidden="1" ht="15.6" customHeight="1" s="152">
      <c r="A567" s="221" t="n">
        <v>246</v>
      </c>
      <c r="B567" s="218">
        <f>VLOOKUP(G567,Matrix!R:AA,10,0)</f>
        <v/>
      </c>
      <c r="C567" s="156">
        <f>IF(K567&gt;0.01,K567,IFERROR(VLOOKUP(F567&amp;G567,Rec!B:C,2,0),K567)+SUM(L567:O567))</f>
        <v/>
      </c>
      <c r="D567" s="218">
        <f>_xlfn.IFNA(INDEX('Injury Report'!F:F, MATCH(G567&amp;F567, 'Injury Report'!A:A, 0)), "Healthy")</f>
        <v/>
      </c>
      <c r="E567" s="219">
        <f>VLOOKUP(A567,'WR Depth'!A:G,7,0)-1</f>
        <v/>
      </c>
      <c r="F567" s="218">
        <f>VLOOKUP(A567,'WR Depth'!A:C,3,0)</f>
        <v/>
      </c>
      <c r="G567" s="218">
        <f>VLOOKUP(A567,'WR Depth'!A:B,2,0)</f>
        <v/>
      </c>
      <c r="H567" s="218">
        <f>VLOOKUP(A567,'WR Depth'!A:D,4,0)</f>
        <v/>
      </c>
      <c r="I567" s="218">
        <f>H567&amp;E567</f>
        <v/>
      </c>
      <c r="J567" s="220">
        <f>IF(VLOOKUP(F567,Rec!F:G,2,0)=G567,"OK","Check Team")</f>
        <v/>
      </c>
      <c r="K567" s="156" t="n"/>
      <c r="L567" s="156">
        <f>IFERROR(VLOOKUP(F567&amp;G567,Pass!B:C,2,0),0)</f>
        <v/>
      </c>
      <c r="M567" s="156">
        <f>IFERROR(VLOOKUP(F567&amp;G567,Rush!B:C,2,0),0)</f>
        <v/>
      </c>
      <c r="N567" s="156">
        <f>IFERROR(VLOOKUP(F567&amp;G567,Rec!B:C,2,0),K567)</f>
        <v/>
      </c>
      <c r="O567" s="156">
        <f>IFERROR(VLOOKUP(F567&amp;G567,Returns!A:B,2,0),0)</f>
        <v/>
      </c>
      <c r="Q567" s="156" t="inlineStr">
        <is>
          <t>Brenton Strange</t>
        </is>
      </c>
      <c r="R567" s="156" t="inlineStr">
        <is>
          <t>JAX</t>
        </is>
      </c>
      <c r="S567" s="156" t="inlineStr">
        <is>
          <t>TE</t>
        </is>
      </c>
    </row>
    <row r="568" hidden="1" ht="15.6" customHeight="1" s="152">
      <c r="A568" s="217" t="n">
        <v>247</v>
      </c>
      <c r="B568" s="218">
        <f>VLOOKUP(G568,Matrix!R:AA,10,0)</f>
        <v/>
      </c>
      <c r="C568" s="156">
        <f>IF(K568&gt;0.01,K568,IFERROR(VLOOKUP(F568&amp;G568,Rec!B:C,2,0),K568)+SUM(L568:O568))</f>
        <v/>
      </c>
      <c r="D568" s="218">
        <f>_xlfn.IFNA(INDEX('Injury Report'!F:F, MATCH(G568&amp;F568, 'Injury Report'!A:A, 0)), "Healthy")</f>
        <v/>
      </c>
      <c r="E568" s="219">
        <f>VLOOKUP(A568,'WR Depth'!A:G,7,0)-1</f>
        <v/>
      </c>
      <c r="F568" s="218">
        <f>VLOOKUP(A568,'WR Depth'!A:C,3,0)</f>
        <v/>
      </c>
      <c r="G568" s="218">
        <f>VLOOKUP(A568,'WR Depth'!A:B,2,0)</f>
        <v/>
      </c>
      <c r="H568" s="218">
        <f>VLOOKUP(A568,'WR Depth'!A:D,4,0)</f>
        <v/>
      </c>
      <c r="I568" s="218">
        <f>H568&amp;E568</f>
        <v/>
      </c>
      <c r="J568" s="220">
        <f>IF(VLOOKUP(F568,Rec!F:G,2,0)=G568,"OK","Check Team")</f>
        <v/>
      </c>
      <c r="K568" s="156" t="n"/>
      <c r="L568" s="156">
        <f>IFERROR(VLOOKUP(F568&amp;G568,Pass!B:C,2,0),0)</f>
        <v/>
      </c>
      <c r="M568" s="156">
        <f>IFERROR(VLOOKUP(F568&amp;G568,Rush!B:C,2,0),0)</f>
        <v/>
      </c>
      <c r="N568" s="156">
        <f>IFERROR(VLOOKUP(F568&amp;G568,Rec!B:C,2,0),K568)</f>
        <v/>
      </c>
      <c r="O568" s="156">
        <f>IFERROR(VLOOKUP(F568&amp;G568,Returns!A:B,2,0),0)</f>
        <v/>
      </c>
      <c r="Q568" s="156" t="inlineStr">
        <is>
          <t>Pierre Strong</t>
        </is>
      </c>
      <c r="R568" s="156" t="inlineStr">
        <is>
          <t>CLE</t>
        </is>
      </c>
      <c r="S568" s="156" t="inlineStr">
        <is>
          <t>RB</t>
        </is>
      </c>
    </row>
    <row r="569" hidden="1" ht="15.6" customHeight="1" s="152">
      <c r="A569" s="221" t="n">
        <v>248</v>
      </c>
      <c r="B569" s="218">
        <f>VLOOKUP(G569,Matrix!R:AA,10,0)</f>
        <v/>
      </c>
      <c r="C569" s="156">
        <f>IF(K569&gt;0.01,K569,IFERROR(VLOOKUP(F569&amp;G569,Rec!B:C,2,0),K569)+SUM(L569:O569))</f>
        <v/>
      </c>
      <c r="D569" s="218">
        <f>_xlfn.IFNA(INDEX('Injury Report'!F:F, MATCH(G569&amp;F569, 'Injury Report'!A:A, 0)), "Healthy")</f>
        <v/>
      </c>
      <c r="E569" s="219">
        <f>VLOOKUP(A569,'WR Depth'!A:G,7,0)-1</f>
        <v/>
      </c>
      <c r="F569" s="218">
        <f>VLOOKUP(A569,'WR Depth'!A:C,3,0)</f>
        <v/>
      </c>
      <c r="G569" s="218">
        <f>VLOOKUP(A569,'WR Depth'!A:B,2,0)</f>
        <v/>
      </c>
      <c r="H569" s="218">
        <f>VLOOKUP(A569,'WR Depth'!A:D,4,0)</f>
        <v/>
      </c>
      <c r="I569" s="218">
        <f>H569&amp;E569</f>
        <v/>
      </c>
      <c r="J569" s="220">
        <f>IF(VLOOKUP(F569,Rec!F:G,2,0)=G569,"OK","Check Team")</f>
        <v/>
      </c>
      <c r="K569" s="156" t="n"/>
      <c r="L569" s="156">
        <f>IFERROR(VLOOKUP(F569&amp;G569,Pass!B:C,2,0),0)</f>
        <v/>
      </c>
      <c r="M569" s="156">
        <f>IFERROR(VLOOKUP(F569&amp;G569,Rush!B:C,2,0),0)</f>
        <v/>
      </c>
      <c r="N569" s="156">
        <f>IFERROR(VLOOKUP(F569&amp;G569,Rec!B:C,2,0),K569)</f>
        <v/>
      </c>
      <c r="O569" s="156">
        <f>IFERROR(VLOOKUP(F569&amp;G569,Returns!A:B,2,0),0)</f>
        <v/>
      </c>
      <c r="Q569" s="156" t="inlineStr">
        <is>
          <t>C.J. Stroud</t>
        </is>
      </c>
      <c r="R569" s="156" t="inlineStr">
        <is>
          <t>HOU</t>
        </is>
      </c>
      <c r="S569" s="156" t="inlineStr">
        <is>
          <t>QB</t>
        </is>
      </c>
    </row>
    <row r="570" hidden="1" ht="15.6" customHeight="1" s="152">
      <c r="A570" s="217" t="n">
        <v>249</v>
      </c>
      <c r="B570" s="218">
        <f>VLOOKUP(G570,Matrix!R:AA,10,0)</f>
        <v/>
      </c>
      <c r="C570" s="156">
        <f>IF(K570&gt;0.01,K570,IFERROR(VLOOKUP(F570&amp;G570,Rec!B:C,2,0),K570)+SUM(L570:O570))</f>
        <v/>
      </c>
      <c r="D570" s="218">
        <f>_xlfn.IFNA(INDEX('Injury Report'!F:F, MATCH(G570&amp;F570, 'Injury Report'!A:A, 0)), "Healthy")</f>
        <v/>
      </c>
      <c r="E570" s="219">
        <f>VLOOKUP(A570,'WR Depth'!A:G,7,0)-1</f>
        <v/>
      </c>
      <c r="F570" s="218">
        <f>VLOOKUP(A570,'WR Depth'!A:C,3,0)</f>
        <v/>
      </c>
      <c r="G570" s="218">
        <f>VLOOKUP(A570,'WR Depth'!A:B,2,0)</f>
        <v/>
      </c>
      <c r="H570" s="218">
        <f>VLOOKUP(A570,'WR Depth'!A:D,4,0)</f>
        <v/>
      </c>
      <c r="I570" s="218">
        <f>H570&amp;E570</f>
        <v/>
      </c>
      <c r="J570" s="220">
        <f>IF(VLOOKUP(F570,Rec!F:G,2,0)=G570,"OK","Check Team")</f>
        <v/>
      </c>
      <c r="K570" s="156" t="n"/>
      <c r="L570" s="156">
        <f>IFERROR(VLOOKUP(F570&amp;G570,Pass!B:C,2,0),0)</f>
        <v/>
      </c>
      <c r="M570" s="156">
        <f>IFERROR(VLOOKUP(F570&amp;G570,Rush!B:C,2,0),0)</f>
        <v/>
      </c>
      <c r="N570" s="156">
        <f>IFERROR(VLOOKUP(F570&amp;G570,Rec!B:C,2,0),K570)</f>
        <v/>
      </c>
      <c r="O570" s="156">
        <f>IFERROR(VLOOKUP(F570&amp;G570,Returns!A:B,2,0),0)</f>
        <v/>
      </c>
      <c r="Q570" s="156" t="inlineStr">
        <is>
          <t>Ryan Succop</t>
        </is>
      </c>
      <c r="R570" s="156" t="inlineStr">
        <is>
          <t>FA</t>
        </is>
      </c>
      <c r="S570" s="156" t="inlineStr">
        <is>
          <t>K</t>
        </is>
      </c>
    </row>
    <row r="571" hidden="1" ht="15.6" customHeight="1" s="152">
      <c r="A571" s="221" t="n">
        <v>250</v>
      </c>
      <c r="B571" s="218">
        <f>VLOOKUP(G571,Matrix!R:AA,10,0)</f>
        <v/>
      </c>
      <c r="C571" s="156">
        <f>IF(K571&gt;0.01,K571,IFERROR(VLOOKUP(F571&amp;G571,Rec!B:C,2,0),K571)+SUM(L571:O571))</f>
        <v/>
      </c>
      <c r="D571" s="218">
        <f>_xlfn.IFNA(INDEX('Injury Report'!F:F, MATCH(G571&amp;F571, 'Injury Report'!A:A, 0)), "Healthy")</f>
        <v/>
      </c>
      <c r="E571" s="219">
        <f>VLOOKUP(A571,'WR Depth'!A:G,7,0)-1</f>
        <v/>
      </c>
      <c r="F571" s="218">
        <f>VLOOKUP(A571,'WR Depth'!A:C,3,0)</f>
        <v/>
      </c>
      <c r="G571" s="218">
        <f>VLOOKUP(A571,'WR Depth'!A:B,2,0)</f>
        <v/>
      </c>
      <c r="H571" s="218">
        <f>VLOOKUP(A571,'WR Depth'!A:D,4,0)</f>
        <v/>
      </c>
      <c r="I571" s="218">
        <f>H571&amp;E571</f>
        <v/>
      </c>
      <c r="J571" s="220">
        <f>IF(VLOOKUP(F571,Rec!F:G,2,0)=G571,"OK","Check Team")</f>
        <v/>
      </c>
      <c r="K571" s="156" t="n"/>
      <c r="L571" s="156">
        <f>IFERROR(VLOOKUP(F571&amp;G571,Pass!B:C,2,0),0)</f>
        <v/>
      </c>
      <c r="M571" s="156">
        <f>IFERROR(VLOOKUP(F571&amp;G571,Rush!B:C,2,0),0)</f>
        <v/>
      </c>
      <c r="N571" s="156">
        <f>IFERROR(VLOOKUP(F571&amp;G571,Rec!B:C,2,0),K571)</f>
        <v/>
      </c>
      <c r="O571" s="156">
        <f>IFERROR(VLOOKUP(F571&amp;G571,Returns!A:B,2,0),0)</f>
        <v/>
      </c>
      <c r="Q571" s="156" t="inlineStr">
        <is>
          <t>Courtland Sutton</t>
        </is>
      </c>
      <c r="R571" s="156" t="inlineStr">
        <is>
          <t>DEN</t>
        </is>
      </c>
      <c r="S571" s="156" t="inlineStr">
        <is>
          <t>WR</t>
        </is>
      </c>
    </row>
    <row r="572" hidden="1" ht="15.6" customHeight="1" s="152">
      <c r="A572" s="217" t="n">
        <v>251</v>
      </c>
      <c r="B572" s="218">
        <f>VLOOKUP(G572,Matrix!R:AA,10,0)</f>
        <v/>
      </c>
      <c r="C572" s="156">
        <f>IF(K572&gt;0.01,K572,IFERROR(VLOOKUP(F572&amp;G572,Rec!B:C,2,0),K572)+SUM(L572:O572))</f>
        <v/>
      </c>
      <c r="D572" s="218">
        <f>_xlfn.IFNA(INDEX('Injury Report'!F:F, MATCH(G572&amp;F572, 'Injury Report'!A:A, 0)), "Healthy")</f>
        <v/>
      </c>
      <c r="E572" s="219">
        <f>VLOOKUP(A572,'WR Depth'!A:G,7,0)-1</f>
        <v/>
      </c>
      <c r="F572" s="218">
        <f>VLOOKUP(A572,'WR Depth'!A:C,3,0)</f>
        <v/>
      </c>
      <c r="G572" s="218">
        <f>VLOOKUP(A572,'WR Depth'!A:B,2,0)</f>
        <v/>
      </c>
      <c r="H572" s="218">
        <f>VLOOKUP(A572,'WR Depth'!A:D,4,0)</f>
        <v/>
      </c>
      <c r="I572" s="218">
        <f>H572&amp;E572</f>
        <v/>
      </c>
      <c r="J572" s="220">
        <f>IF(VLOOKUP(F572,Rec!F:G,2,0)=G572,"OK","Check Team")</f>
        <v/>
      </c>
      <c r="K572" s="156" t="n"/>
      <c r="L572" s="156">
        <f>IFERROR(VLOOKUP(F572&amp;G572,Pass!B:C,2,0),0)</f>
        <v/>
      </c>
      <c r="M572" s="156">
        <f>IFERROR(VLOOKUP(F572&amp;G572,Rush!B:C,2,0),0)</f>
        <v/>
      </c>
      <c r="N572" s="156">
        <f>IFERROR(VLOOKUP(F572&amp;G572,Rec!B:C,2,0),K572)</f>
        <v/>
      </c>
      <c r="O572" s="156">
        <f>IFERROR(VLOOKUP(F572&amp;G572,Returns!A:B,2,0),0)</f>
        <v/>
      </c>
      <c r="Q572" s="156" t="inlineStr">
        <is>
          <t>D'Andre Swift</t>
        </is>
      </c>
      <c r="R572" s="156" t="inlineStr">
        <is>
          <t>CHI</t>
        </is>
      </c>
      <c r="S572" s="156" t="inlineStr">
        <is>
          <t>RB</t>
        </is>
      </c>
    </row>
    <row r="573" hidden="1" ht="15.6" customHeight="1" s="152">
      <c r="A573" s="221" t="n">
        <v>252</v>
      </c>
      <c r="B573" s="218">
        <f>VLOOKUP(G573,Matrix!R:AA,10,0)</f>
        <v/>
      </c>
      <c r="C573" s="156">
        <f>IF(K573&gt;0.01,K573,IFERROR(VLOOKUP(F573&amp;G573,Rec!B:C,2,0),K573)+SUM(L573:O573))</f>
        <v/>
      </c>
      <c r="D573" s="218">
        <f>_xlfn.IFNA(INDEX('Injury Report'!F:F, MATCH(G573&amp;F573, 'Injury Report'!A:A, 0)), "Healthy")</f>
        <v/>
      </c>
      <c r="E573" s="219">
        <f>VLOOKUP(A573,'WR Depth'!A:G,7,0)-1</f>
        <v/>
      </c>
      <c r="F573" s="218">
        <f>VLOOKUP(A573,'WR Depth'!A:C,3,0)</f>
        <v/>
      </c>
      <c r="G573" s="218">
        <f>VLOOKUP(A573,'WR Depth'!A:B,2,0)</f>
        <v/>
      </c>
      <c r="H573" s="218">
        <f>VLOOKUP(A573,'WR Depth'!A:D,4,0)</f>
        <v/>
      </c>
      <c r="I573" s="218">
        <f>H573&amp;E573</f>
        <v/>
      </c>
      <c r="J573" s="220">
        <f>IF(VLOOKUP(F573,Rec!F:G,2,0)=G573,"OK","Check Team")</f>
        <v/>
      </c>
      <c r="K573" s="156" t="n"/>
      <c r="L573" s="156">
        <f>IFERROR(VLOOKUP(F573&amp;G573,Pass!B:C,2,0),0)</f>
        <v/>
      </c>
      <c r="M573" s="156">
        <f>IFERROR(VLOOKUP(F573&amp;G573,Rush!B:C,2,0),0)</f>
        <v/>
      </c>
      <c r="N573" s="156">
        <f>IFERROR(VLOOKUP(F573&amp;G573,Rec!B:C,2,0),K573)</f>
        <v/>
      </c>
      <c r="O573" s="156">
        <f>IFERROR(VLOOKUP(F573&amp;G573,Returns!A:B,2,0),0)</f>
        <v/>
      </c>
      <c r="Q573" s="156" t="inlineStr">
        <is>
          <t>Taulia Tagovailoa</t>
        </is>
      </c>
      <c r="R573" s="156" t="inlineStr">
        <is>
          <t>FA</t>
        </is>
      </c>
      <c r="S573" s="156" t="inlineStr">
        <is>
          <t>QB</t>
        </is>
      </c>
    </row>
    <row r="574" hidden="1" ht="15.6" customHeight="1" s="152">
      <c r="A574" s="217" t="n">
        <v>253</v>
      </c>
      <c r="B574" s="218">
        <f>VLOOKUP(G574,Matrix!R:AA,10,0)</f>
        <v/>
      </c>
      <c r="C574" s="156">
        <f>IF(K574&gt;0.01,K574,IFERROR(VLOOKUP(F574&amp;G574,Rec!B:C,2,0),K574)+SUM(L574:O574))</f>
        <v/>
      </c>
      <c r="D574" s="218">
        <f>_xlfn.IFNA(INDEX('Injury Report'!F:F, MATCH(G574&amp;F574, 'Injury Report'!A:A, 0)), "Healthy")</f>
        <v/>
      </c>
      <c r="E574" s="219">
        <f>VLOOKUP(A574,'WR Depth'!A:G,7,0)-1</f>
        <v/>
      </c>
      <c r="F574" s="218">
        <f>VLOOKUP(A574,'WR Depth'!A:C,3,0)</f>
        <v/>
      </c>
      <c r="G574" s="218">
        <f>VLOOKUP(A574,'WR Depth'!A:B,2,0)</f>
        <v/>
      </c>
      <c r="H574" s="218">
        <f>VLOOKUP(A574,'WR Depth'!A:D,4,0)</f>
        <v/>
      </c>
      <c r="I574" s="218">
        <f>H574&amp;E574</f>
        <v/>
      </c>
      <c r="J574" s="220">
        <f>IF(VLOOKUP(F574,Rec!F:G,2,0)=G574,"OK","Check Team")</f>
        <v/>
      </c>
      <c r="K574" s="156" t="n"/>
      <c r="L574" s="156">
        <f>IFERROR(VLOOKUP(F574&amp;G574,Pass!B:C,2,0),0)</f>
        <v/>
      </c>
      <c r="M574" s="156">
        <f>IFERROR(VLOOKUP(F574&amp;G574,Rush!B:C,2,0),0)</f>
        <v/>
      </c>
      <c r="N574" s="156">
        <f>IFERROR(VLOOKUP(F574&amp;G574,Rec!B:C,2,0),K574)</f>
        <v/>
      </c>
      <c r="O574" s="156">
        <f>IFERROR(VLOOKUP(F574&amp;G574,Returns!A:B,2,0),0)</f>
        <v/>
      </c>
      <c r="Q574" s="156" t="inlineStr">
        <is>
          <t>Tua Tagovailoa</t>
        </is>
      </c>
      <c r="R574" s="156" t="inlineStr">
        <is>
          <t>MIA</t>
        </is>
      </c>
      <c r="S574" s="156" t="inlineStr">
        <is>
          <t>QB</t>
        </is>
      </c>
    </row>
    <row r="575" hidden="1" ht="15.6" customHeight="1" s="152">
      <c r="A575" s="221" t="n">
        <v>254</v>
      </c>
      <c r="B575" s="218">
        <f>VLOOKUP(G575,Matrix!R:AA,10,0)</f>
        <v/>
      </c>
      <c r="C575" s="156">
        <f>IF(K575&gt;0.01,K575,IFERROR(VLOOKUP(F575&amp;G575,Rec!B:C,2,0),K575)+SUM(L575:O575))</f>
        <v/>
      </c>
      <c r="D575" s="218">
        <f>_xlfn.IFNA(INDEX('Injury Report'!F:F, MATCH(G575&amp;F575, 'Injury Report'!A:A, 0)), "Healthy")</f>
        <v/>
      </c>
      <c r="E575" s="219">
        <f>VLOOKUP(A575,'WR Depth'!A:G,7,0)-1</f>
        <v/>
      </c>
      <c r="F575" s="218">
        <f>VLOOKUP(A575,'WR Depth'!A:C,3,0)</f>
        <v/>
      </c>
      <c r="G575" s="218">
        <f>VLOOKUP(A575,'WR Depth'!A:B,2,0)</f>
        <v/>
      </c>
      <c r="H575" s="218">
        <f>VLOOKUP(A575,'WR Depth'!A:D,4,0)</f>
        <v/>
      </c>
      <c r="I575" s="218">
        <f>H575&amp;E575</f>
        <v/>
      </c>
      <c r="J575" s="220">
        <f>IF(VLOOKUP(F575,Rec!F:G,2,0)=G575,"OK","Check Team")</f>
        <v/>
      </c>
      <c r="K575" s="156" t="n"/>
      <c r="L575" s="156">
        <f>IFERROR(VLOOKUP(F575&amp;G575,Pass!B:C,2,0),0)</f>
        <v/>
      </c>
      <c r="M575" s="156">
        <f>IFERROR(VLOOKUP(F575&amp;G575,Rush!B:C,2,0),0)</f>
        <v/>
      </c>
      <c r="N575" s="156">
        <f>IFERROR(VLOOKUP(F575&amp;G575,Rec!B:C,2,0),K575)</f>
        <v/>
      </c>
      <c r="O575" s="156">
        <f>IFERROR(VLOOKUP(F575&amp;G575,Returns!A:B,2,0),0)</f>
        <v/>
      </c>
      <c r="Q575" s="156" t="inlineStr">
        <is>
          <t>Ryan Tannehill</t>
        </is>
      </c>
      <c r="R575" s="156" t="inlineStr">
        <is>
          <t>FA</t>
        </is>
      </c>
      <c r="S575" s="156" t="inlineStr">
        <is>
          <t>QB</t>
        </is>
      </c>
    </row>
    <row r="576" hidden="1" ht="15.6" customHeight="1" s="152">
      <c r="A576" s="217" t="n">
        <v>255</v>
      </c>
      <c r="B576" s="218">
        <f>VLOOKUP(G576,Matrix!R:AA,10,0)</f>
        <v/>
      </c>
      <c r="C576" s="156">
        <f>IF(K576&gt;0.01,K576,IFERROR(VLOOKUP(F576&amp;G576,Rec!B:C,2,0),K576)+SUM(L576:O576))</f>
        <v/>
      </c>
      <c r="D576" s="218">
        <f>_xlfn.IFNA(INDEX('Injury Report'!F:F, MATCH(G576&amp;F576, 'Injury Report'!A:A, 0)), "Healthy")</f>
        <v/>
      </c>
      <c r="E576" s="219">
        <f>VLOOKUP(A576,'WR Depth'!A:G,7,0)-1</f>
        <v/>
      </c>
      <c r="F576" s="218">
        <f>VLOOKUP(A576,'WR Depth'!A:C,3,0)</f>
        <v/>
      </c>
      <c r="G576" s="218">
        <f>VLOOKUP(A576,'WR Depth'!A:B,2,0)</f>
        <v/>
      </c>
      <c r="H576" s="218">
        <f>VLOOKUP(A576,'WR Depth'!A:D,4,0)</f>
        <v/>
      </c>
      <c r="I576" s="218">
        <f>H576&amp;E576</f>
        <v/>
      </c>
      <c r="J576" s="220">
        <f>IF(VLOOKUP(F576,Rec!F:G,2,0)=G576,"OK","Check Team")</f>
        <v/>
      </c>
      <c r="K576" s="156" t="n"/>
      <c r="L576" s="156">
        <f>IFERROR(VLOOKUP(F576&amp;G576,Pass!B:C,2,0),0)</f>
        <v/>
      </c>
      <c r="M576" s="156">
        <f>IFERROR(VLOOKUP(F576&amp;G576,Rush!B:C,2,0),0)</f>
        <v/>
      </c>
      <c r="N576" s="156">
        <f>IFERROR(VLOOKUP(F576&amp;G576,Rec!B:C,2,0),K576)</f>
        <v/>
      </c>
      <c r="O576" s="156">
        <f>IFERROR(VLOOKUP(F576&amp;G576,Returns!A:B,2,0),0)</f>
        <v/>
      </c>
      <c r="Q576" s="156" t="inlineStr">
        <is>
          <t>J.J. Taylor</t>
        </is>
      </c>
      <c r="R576" s="156" t="inlineStr">
        <is>
          <t>FA</t>
        </is>
      </c>
      <c r="S576" s="156" t="inlineStr">
        <is>
          <t>RB</t>
        </is>
      </c>
    </row>
    <row r="577" hidden="1" ht="15.6" customHeight="1" s="152">
      <c r="A577" s="221" t="n">
        <v>256</v>
      </c>
      <c r="B577" s="218">
        <f>VLOOKUP(G577,Matrix!R:AA,10,0)</f>
        <v/>
      </c>
      <c r="C577" s="156">
        <f>IF(K577&gt;0.01,K577,IFERROR(VLOOKUP(F577&amp;G577,Rec!B:C,2,0),K577)+SUM(L577:O577))</f>
        <v/>
      </c>
      <c r="D577" s="218">
        <f>_xlfn.IFNA(INDEX('Injury Report'!F:F, MATCH(G577&amp;F577, 'Injury Report'!A:A, 0)), "Healthy")</f>
        <v/>
      </c>
      <c r="E577" s="219">
        <f>VLOOKUP(A577,'WR Depth'!A:G,7,0)-1</f>
        <v/>
      </c>
      <c r="F577" s="218">
        <f>VLOOKUP(A577,'WR Depth'!A:C,3,0)</f>
        <v/>
      </c>
      <c r="G577" s="218">
        <f>VLOOKUP(A577,'WR Depth'!A:B,2,0)</f>
        <v/>
      </c>
      <c r="H577" s="218">
        <f>VLOOKUP(A577,'WR Depth'!A:D,4,0)</f>
        <v/>
      </c>
      <c r="I577" s="218">
        <f>H577&amp;E577</f>
        <v/>
      </c>
      <c r="J577" s="220">
        <f>IF(VLOOKUP(F577,Rec!F:G,2,0)=G577,"OK","Check Team")</f>
        <v/>
      </c>
      <c r="K577" s="156" t="n"/>
      <c r="L577" s="156">
        <f>IFERROR(VLOOKUP(F577&amp;G577,Pass!B:C,2,0),0)</f>
        <v/>
      </c>
      <c r="M577" s="156">
        <f>IFERROR(VLOOKUP(F577&amp;G577,Rush!B:C,2,0),0)</f>
        <v/>
      </c>
      <c r="N577" s="156">
        <f>IFERROR(VLOOKUP(F577&amp;G577,Rec!B:C,2,0),K577)</f>
        <v/>
      </c>
      <c r="O577" s="156">
        <f>IFERROR(VLOOKUP(F577&amp;G577,Returns!A:B,2,0),0)</f>
        <v/>
      </c>
      <c r="Q577" s="156" t="inlineStr">
        <is>
          <t>Jonathan Taylor</t>
        </is>
      </c>
      <c r="R577" s="156" t="inlineStr">
        <is>
          <t>IND</t>
        </is>
      </c>
      <c r="S577" s="156" t="inlineStr">
        <is>
          <t>RB</t>
        </is>
      </c>
    </row>
    <row r="578" hidden="1" ht="15.6" customHeight="1" s="152">
      <c r="A578" s="217" t="n">
        <v>257</v>
      </c>
      <c r="B578" s="218">
        <f>VLOOKUP(G578,Matrix!R:AA,10,0)</f>
        <v/>
      </c>
      <c r="C578" s="156">
        <f>IF(K578&gt;0.01,K578,IFERROR(VLOOKUP(F578&amp;G578,Rec!B:C,2,0),K578)+SUM(L578:O578))</f>
        <v/>
      </c>
      <c r="D578" s="218">
        <f>_xlfn.IFNA(INDEX('Injury Report'!F:F, MATCH(G578&amp;F578, 'Injury Report'!A:A, 0)), "Healthy")</f>
        <v/>
      </c>
      <c r="E578" s="219">
        <f>VLOOKUP(A578,'WR Depth'!A:G,7,0)-1</f>
        <v/>
      </c>
      <c r="F578" s="218">
        <f>VLOOKUP(A578,'WR Depth'!A:C,3,0)</f>
        <v/>
      </c>
      <c r="G578" s="218">
        <f>VLOOKUP(A578,'WR Depth'!A:B,2,0)</f>
        <v/>
      </c>
      <c r="H578" s="218">
        <f>VLOOKUP(A578,'WR Depth'!A:D,4,0)</f>
        <v/>
      </c>
      <c r="I578" s="218">
        <f>H578&amp;E578</f>
        <v/>
      </c>
      <c r="J578" s="220">
        <f>IF(VLOOKUP(F578,Rec!F:G,2,0)=G578,"OK","Check Team")</f>
        <v/>
      </c>
      <c r="K578" s="156" t="n"/>
      <c r="L578" s="156">
        <f>IFERROR(VLOOKUP(F578&amp;G578,Pass!B:C,2,0),0)</f>
        <v/>
      </c>
      <c r="M578" s="156">
        <f>IFERROR(VLOOKUP(F578&amp;G578,Rush!B:C,2,0),0)</f>
        <v/>
      </c>
      <c r="N578" s="156">
        <f>IFERROR(VLOOKUP(F578&amp;G578,Rec!B:C,2,0),K578)</f>
        <v/>
      </c>
      <c r="O578" s="156">
        <f>IFERROR(VLOOKUP(F578&amp;G578,Returns!A:B,2,0),0)</f>
        <v/>
      </c>
      <c r="Q578" s="156" t="inlineStr">
        <is>
          <t>Patrick Taylor</t>
        </is>
      </c>
      <c r="R578" s="156" t="inlineStr">
        <is>
          <t>SF</t>
        </is>
      </c>
      <c r="S578" s="156" t="inlineStr">
        <is>
          <t>RB</t>
        </is>
      </c>
    </row>
    <row r="579" hidden="1" ht="15.6" customHeight="1" s="152">
      <c r="A579" s="221" t="n">
        <v>258</v>
      </c>
      <c r="B579" s="218">
        <f>VLOOKUP(G579,Matrix!R:AA,10,0)</f>
        <v/>
      </c>
      <c r="C579" s="156">
        <f>IF(K579&gt;0.01,K579,IFERROR(VLOOKUP(F579&amp;G579,Rec!B:C,2,0),K579)+SUM(L579:O579))</f>
        <v/>
      </c>
      <c r="D579" s="218">
        <f>_xlfn.IFNA(INDEX('Injury Report'!F:F, MATCH(G579&amp;F579, 'Injury Report'!A:A, 0)), "Healthy")</f>
        <v/>
      </c>
      <c r="E579" s="219">
        <f>VLOOKUP(A579,'WR Depth'!A:G,7,0)-1</f>
        <v/>
      </c>
      <c r="F579" s="218">
        <f>VLOOKUP(A579,'WR Depth'!A:C,3,0)</f>
        <v/>
      </c>
      <c r="G579" s="218">
        <f>VLOOKUP(A579,'WR Depth'!A:B,2,0)</f>
        <v/>
      </c>
      <c r="H579" s="218">
        <f>VLOOKUP(A579,'WR Depth'!A:D,4,0)</f>
        <v/>
      </c>
      <c r="I579" s="218">
        <f>H579&amp;E579</f>
        <v/>
      </c>
      <c r="J579" s="220">
        <f>IF(VLOOKUP(F579,Rec!F:G,2,0)=G579,"OK","Check Team")</f>
        <v/>
      </c>
      <c r="K579" s="156" t="n"/>
      <c r="L579" s="156">
        <f>IFERROR(VLOOKUP(F579&amp;G579,Pass!B:C,2,0),0)</f>
        <v/>
      </c>
      <c r="M579" s="156">
        <f>IFERROR(VLOOKUP(F579&amp;G579,Rush!B:C,2,0),0)</f>
        <v/>
      </c>
      <c r="N579" s="156">
        <f>IFERROR(VLOOKUP(F579&amp;G579,Rec!B:C,2,0),K579)</f>
        <v/>
      </c>
      <c r="O579" s="156">
        <f>IFERROR(VLOOKUP(F579&amp;G579,Returns!A:B,2,0),0)</f>
        <v/>
      </c>
      <c r="Q579" s="156" t="inlineStr">
        <is>
          <t>Tyrod Taylor</t>
        </is>
      </c>
      <c r="R579" s="156" t="inlineStr">
        <is>
          <t>NYJ</t>
        </is>
      </c>
      <c r="S579" s="156" t="inlineStr">
        <is>
          <t>QB</t>
        </is>
      </c>
    </row>
    <row r="580" hidden="1" ht="15.6" customHeight="1" s="152">
      <c r="A580" s="217" t="n">
        <v>259</v>
      </c>
      <c r="B580" s="218">
        <f>VLOOKUP(G580,Matrix!R:AA,10,0)</f>
        <v/>
      </c>
      <c r="C580" s="156">
        <f>IF(K580&gt;0.01,K580,IFERROR(VLOOKUP(F580&amp;G580,Rec!B:C,2,0),K580)+SUM(L580:O580))</f>
        <v/>
      </c>
      <c r="D580" s="218">
        <f>_xlfn.IFNA(INDEX('Injury Report'!F:F, MATCH(G580&amp;F580, 'Injury Report'!A:A, 0)), "Healthy")</f>
        <v/>
      </c>
      <c r="E580" s="219">
        <f>VLOOKUP(A580,'WR Depth'!A:G,7,0)-1</f>
        <v/>
      </c>
      <c r="F580" s="218">
        <f>VLOOKUP(A580,'WR Depth'!A:C,3,0)</f>
        <v/>
      </c>
      <c r="G580" s="218">
        <f>VLOOKUP(A580,'WR Depth'!A:B,2,0)</f>
        <v/>
      </c>
      <c r="H580" s="218">
        <f>VLOOKUP(A580,'WR Depth'!A:D,4,0)</f>
        <v/>
      </c>
      <c r="I580" s="218">
        <f>H580&amp;E580</f>
        <v/>
      </c>
      <c r="J580" s="220">
        <f>IF(VLOOKUP(F580,Rec!F:G,2,0)=G580,"OK","Check Team")</f>
        <v/>
      </c>
      <c r="K580" s="156" t="n"/>
      <c r="L580" s="156">
        <f>IFERROR(VLOOKUP(F580&amp;G580,Pass!B:C,2,0),0)</f>
        <v/>
      </c>
      <c r="M580" s="156">
        <f>IFERROR(VLOOKUP(F580&amp;G580,Rush!B:C,2,0),0)</f>
        <v/>
      </c>
      <c r="N580" s="156">
        <f>IFERROR(VLOOKUP(F580&amp;G580,Rec!B:C,2,0),K580)</f>
        <v/>
      </c>
      <c r="O580" s="156">
        <f>IFERROR(VLOOKUP(F580&amp;G580,Returns!A:B,2,0),0)</f>
        <v/>
      </c>
      <c r="Q580" s="156" t="inlineStr">
        <is>
          <t>Adam Thielen</t>
        </is>
      </c>
      <c r="R580" s="156" t="inlineStr">
        <is>
          <t>CAR</t>
        </is>
      </c>
      <c r="S580" s="156" t="inlineStr">
        <is>
          <t>WR</t>
        </is>
      </c>
    </row>
    <row r="581" hidden="1" ht="15.6" customHeight="1" s="152">
      <c r="A581" s="221" t="n">
        <v>260</v>
      </c>
      <c r="B581" s="218">
        <f>VLOOKUP(G581,Matrix!R:AA,10,0)</f>
        <v/>
      </c>
      <c r="C581" s="156">
        <f>IF(K581&gt;0.01,K581,IFERROR(VLOOKUP(F581&amp;G581,Rec!B:C,2,0),K581)+SUM(L581:O581))</f>
        <v/>
      </c>
      <c r="D581" s="218">
        <f>_xlfn.IFNA(INDEX('Injury Report'!F:F, MATCH(G581&amp;F581, 'Injury Report'!A:A, 0)), "Healthy")</f>
        <v/>
      </c>
      <c r="E581" s="219">
        <f>VLOOKUP(A581,'WR Depth'!A:G,7,0)-1</f>
        <v/>
      </c>
      <c r="F581" s="218">
        <f>VLOOKUP(A581,'WR Depth'!A:C,3,0)</f>
        <v/>
      </c>
      <c r="G581" s="218">
        <f>VLOOKUP(A581,'WR Depth'!A:B,2,0)</f>
        <v/>
      </c>
      <c r="H581" s="218">
        <f>VLOOKUP(A581,'WR Depth'!A:D,4,0)</f>
        <v/>
      </c>
      <c r="I581" s="218">
        <f>H581&amp;E581</f>
        <v/>
      </c>
      <c r="J581" s="220">
        <f>IF(VLOOKUP(F581,Rec!F:G,2,0)=G581,"OK","Check Team")</f>
        <v/>
      </c>
      <c r="K581" s="156" t="n"/>
      <c r="L581" s="156">
        <f>IFERROR(VLOOKUP(F581&amp;G581,Pass!B:C,2,0),0)</f>
        <v/>
      </c>
      <c r="M581" s="156">
        <f>IFERROR(VLOOKUP(F581&amp;G581,Rush!B:C,2,0),0)</f>
        <v/>
      </c>
      <c r="N581" s="156">
        <f>IFERROR(VLOOKUP(F581&amp;G581,Rec!B:C,2,0),K581)</f>
        <v/>
      </c>
      <c r="O581" s="156">
        <f>IFERROR(VLOOKUP(F581&amp;G581,Returns!A:B,2,0),0)</f>
        <v/>
      </c>
      <c r="Q581" s="156" t="inlineStr">
        <is>
          <t>Logan Thomas</t>
        </is>
      </c>
      <c r="R581" s="156" t="inlineStr">
        <is>
          <t>FA</t>
        </is>
      </c>
      <c r="S581" s="156" t="inlineStr">
        <is>
          <t>TE</t>
        </is>
      </c>
    </row>
    <row r="582" hidden="1" ht="15.6" customHeight="1" s="152">
      <c r="A582" s="217" t="n">
        <v>261</v>
      </c>
      <c r="B582" s="218">
        <f>VLOOKUP(G582,Matrix!R:AA,10,0)</f>
        <v/>
      </c>
      <c r="C582" s="156">
        <f>IF(K582&gt;0.01,K582,IFERROR(VLOOKUP(F582&amp;G582,Rec!B:C,2,0),K582)+SUM(L582:O582))</f>
        <v/>
      </c>
      <c r="D582" s="218">
        <f>_xlfn.IFNA(INDEX('Injury Report'!F:F, MATCH(G582&amp;F582, 'Injury Report'!A:A, 0)), "Healthy")</f>
        <v/>
      </c>
      <c r="E582" s="219">
        <f>VLOOKUP(A582,'WR Depth'!A:G,7,0)-1</f>
        <v/>
      </c>
      <c r="F582" s="218">
        <f>VLOOKUP(A582,'WR Depth'!A:C,3,0)</f>
        <v/>
      </c>
      <c r="G582" s="218">
        <f>VLOOKUP(A582,'WR Depth'!A:B,2,0)</f>
        <v/>
      </c>
      <c r="H582" s="218">
        <f>VLOOKUP(A582,'WR Depth'!A:D,4,0)</f>
        <v/>
      </c>
      <c r="I582" s="218">
        <f>H582&amp;E582</f>
        <v/>
      </c>
      <c r="J582" s="220">
        <f>IF(VLOOKUP(F582,Rec!F:G,2,0)=G582,"OK","Check Team")</f>
        <v/>
      </c>
      <c r="K582" s="156" t="n"/>
      <c r="L582" s="156">
        <f>IFERROR(VLOOKUP(F582&amp;G582,Pass!B:C,2,0),0)</f>
        <v/>
      </c>
      <c r="M582" s="156">
        <f>IFERROR(VLOOKUP(F582&amp;G582,Rush!B:C,2,0),0)</f>
        <v/>
      </c>
      <c r="N582" s="156">
        <f>IFERROR(VLOOKUP(F582&amp;G582,Rec!B:C,2,0),K582)</f>
        <v/>
      </c>
      <c r="O582" s="156">
        <f>IFERROR(VLOOKUP(F582&amp;G582,Returns!A:B,2,0),0)</f>
        <v/>
      </c>
      <c r="Q582" s="156" t="inlineStr">
        <is>
          <t>Michael Thomas</t>
        </is>
      </c>
      <c r="R582" s="156" t="inlineStr">
        <is>
          <t>FA</t>
        </is>
      </c>
      <c r="S582" s="156" t="inlineStr">
        <is>
          <t>WR</t>
        </is>
      </c>
    </row>
    <row r="583" hidden="1" ht="15.6" customHeight="1" s="152">
      <c r="A583" s="221" t="n">
        <v>262</v>
      </c>
      <c r="B583" s="218">
        <f>VLOOKUP(G583,Matrix!R:AA,10,0)</f>
        <v/>
      </c>
      <c r="C583" s="156">
        <f>IF(K583&gt;0.01,K583,IFERROR(VLOOKUP(F583&amp;G583,Rec!B:C,2,0),K583)+SUM(L583:O583))</f>
        <v/>
      </c>
      <c r="D583" s="218">
        <f>_xlfn.IFNA(INDEX('Injury Report'!F:F, MATCH(G583&amp;F583, 'Injury Report'!A:A, 0)), "Healthy")</f>
        <v/>
      </c>
      <c r="E583" s="219">
        <f>VLOOKUP(A583,'WR Depth'!A:G,7,0)-1</f>
        <v/>
      </c>
      <c r="F583" s="218">
        <f>VLOOKUP(A583,'WR Depth'!A:C,3,0)</f>
        <v/>
      </c>
      <c r="G583" s="218">
        <f>VLOOKUP(A583,'WR Depth'!A:B,2,0)</f>
        <v/>
      </c>
      <c r="H583" s="218">
        <f>VLOOKUP(A583,'WR Depth'!A:D,4,0)</f>
        <v/>
      </c>
      <c r="I583" s="218">
        <f>H583&amp;E583</f>
        <v/>
      </c>
      <c r="J583" s="220">
        <f>IF(VLOOKUP(F583,Rec!F:G,2,0)=G583,"OK","Check Team")</f>
        <v/>
      </c>
      <c r="K583" s="156" t="n"/>
      <c r="L583" s="156">
        <f>IFERROR(VLOOKUP(F583&amp;G583,Pass!B:C,2,0),0)</f>
        <v/>
      </c>
      <c r="M583" s="156">
        <f>IFERROR(VLOOKUP(F583&amp;G583,Rush!B:C,2,0),0)</f>
        <v/>
      </c>
      <c r="N583" s="156">
        <f>IFERROR(VLOOKUP(F583&amp;G583,Rec!B:C,2,0),K583)</f>
        <v/>
      </c>
      <c r="O583" s="156">
        <f>IFERROR(VLOOKUP(F583&amp;G583,Returns!A:B,2,0),0)</f>
        <v/>
      </c>
      <c r="Q583" s="156" t="inlineStr">
        <is>
          <t>Ian Thomas</t>
        </is>
      </c>
      <c r="R583" s="156" t="inlineStr">
        <is>
          <t>CAR</t>
        </is>
      </c>
      <c r="S583" s="156" t="inlineStr">
        <is>
          <t>TE</t>
        </is>
      </c>
    </row>
    <row r="584" hidden="1" ht="15.6" customHeight="1" s="152">
      <c r="A584" s="217" t="n">
        <v>263</v>
      </c>
      <c r="B584" s="218">
        <f>VLOOKUP(G584,Matrix!R:AA,10,0)</f>
        <v/>
      </c>
      <c r="C584" s="156">
        <f>IF(K584&gt;0.01,K584,IFERROR(VLOOKUP(F584&amp;G584,Rec!B:C,2,0),K584)+SUM(L584:O584))</f>
        <v/>
      </c>
      <c r="D584" s="218">
        <f>_xlfn.IFNA(INDEX('Injury Report'!F:F, MATCH(G584&amp;F584, 'Injury Report'!A:A, 0)), "Healthy")</f>
        <v/>
      </c>
      <c r="E584" s="219">
        <f>VLOOKUP(A584,'WR Depth'!A:G,7,0)-1</f>
        <v/>
      </c>
      <c r="F584" s="218">
        <f>VLOOKUP(A584,'WR Depth'!A:C,3,0)</f>
        <v/>
      </c>
      <c r="G584" s="218">
        <f>VLOOKUP(A584,'WR Depth'!A:B,2,0)</f>
        <v/>
      </c>
      <c r="H584" s="218">
        <f>VLOOKUP(A584,'WR Depth'!A:D,4,0)</f>
        <v/>
      </c>
      <c r="I584" s="218">
        <f>H584&amp;E584</f>
        <v/>
      </c>
      <c r="J584" s="220">
        <f>IF(VLOOKUP(F584,Rec!F:G,2,0)=G584,"OK","Check Team")</f>
        <v/>
      </c>
      <c r="K584" s="156" t="n"/>
      <c r="L584" s="156">
        <f>IFERROR(VLOOKUP(F584&amp;G584,Pass!B:C,2,0),0)</f>
        <v/>
      </c>
      <c r="M584" s="156">
        <f>IFERROR(VLOOKUP(F584&amp;G584,Rush!B:C,2,0),0)</f>
        <v/>
      </c>
      <c r="N584" s="156">
        <f>IFERROR(VLOOKUP(F584&amp;G584,Rec!B:C,2,0),K584)</f>
        <v/>
      </c>
      <c r="O584" s="156">
        <f>IFERROR(VLOOKUP(F584&amp;G584,Returns!A:B,2,0),0)</f>
        <v/>
      </c>
      <c r="Q584" s="156" t="inlineStr">
        <is>
          <t>Brian Thomas</t>
        </is>
      </c>
      <c r="R584" s="156" t="inlineStr">
        <is>
          <t>JAX</t>
        </is>
      </c>
      <c r="S584" s="156" t="inlineStr">
        <is>
          <t>WR</t>
        </is>
      </c>
    </row>
    <row r="585" hidden="1" ht="15.6" customHeight="1" s="152">
      <c r="A585" s="221" t="n">
        <v>264</v>
      </c>
      <c r="B585" s="218">
        <f>VLOOKUP(G585,Matrix!R:AA,10,0)</f>
        <v/>
      </c>
      <c r="C585" s="156">
        <f>IF(K585&gt;0.01,K585,IFERROR(VLOOKUP(F585&amp;G585,Rec!B:C,2,0),K585)+SUM(L585:O585))</f>
        <v/>
      </c>
      <c r="D585" s="218">
        <f>_xlfn.IFNA(INDEX('Injury Report'!F:F, MATCH(G585&amp;F585, 'Injury Report'!A:A, 0)), "Healthy")</f>
        <v/>
      </c>
      <c r="E585" s="219">
        <f>VLOOKUP(A585,'WR Depth'!A:G,7,0)-1</f>
        <v/>
      </c>
      <c r="F585" s="218">
        <f>VLOOKUP(A585,'WR Depth'!A:C,3,0)</f>
        <v/>
      </c>
      <c r="G585" s="218">
        <f>VLOOKUP(A585,'WR Depth'!A:B,2,0)</f>
        <v/>
      </c>
      <c r="H585" s="218">
        <f>VLOOKUP(A585,'WR Depth'!A:D,4,0)</f>
        <v/>
      </c>
      <c r="I585" s="218">
        <f>H585&amp;E585</f>
        <v/>
      </c>
      <c r="J585" s="220">
        <f>IF(VLOOKUP(F585,Rec!F:G,2,0)=G585,"OK","Check Team")</f>
        <v/>
      </c>
      <c r="K585" s="156" t="n"/>
      <c r="L585" s="156">
        <f>IFERROR(VLOOKUP(F585&amp;G585,Pass!B:C,2,0),0)</f>
        <v/>
      </c>
      <c r="M585" s="156">
        <f>IFERROR(VLOOKUP(F585&amp;G585,Rush!B:C,2,0),0)</f>
        <v/>
      </c>
      <c r="N585" s="156">
        <f>IFERROR(VLOOKUP(F585&amp;G585,Rec!B:C,2,0),K585)</f>
        <v/>
      </c>
      <c r="O585" s="156">
        <f>IFERROR(VLOOKUP(F585&amp;G585,Returns!A:B,2,0),0)</f>
        <v/>
      </c>
      <c r="Q585" s="156" t="inlineStr">
        <is>
          <t>Deven Thompkins</t>
        </is>
      </c>
      <c r="R585" s="156" t="inlineStr">
        <is>
          <t>CAR</t>
        </is>
      </c>
      <c r="S585" s="156" t="inlineStr">
        <is>
          <t>WR</t>
        </is>
      </c>
    </row>
    <row r="586" hidden="1" ht="15.6" customHeight="1" s="152">
      <c r="A586" s="217" t="n">
        <v>265</v>
      </c>
      <c r="B586" s="218">
        <f>VLOOKUP(G586,Matrix!R:AA,10,0)</f>
        <v/>
      </c>
      <c r="C586" s="156">
        <f>IF(K586&gt;0.01,K586,IFERROR(VLOOKUP(F586&amp;G586,Rec!B:C,2,0),K586)+SUM(L586:O586))</f>
        <v/>
      </c>
      <c r="D586" s="218">
        <f>_xlfn.IFNA(INDEX('Injury Report'!F:F, MATCH(G586&amp;F586, 'Injury Report'!A:A, 0)), "Healthy")</f>
        <v/>
      </c>
      <c r="E586" s="219">
        <f>VLOOKUP(A586,'WR Depth'!A:G,7,0)-1</f>
        <v/>
      </c>
      <c r="F586" s="218">
        <f>VLOOKUP(A586,'WR Depth'!A:C,3,0)</f>
        <v/>
      </c>
      <c r="G586" s="218">
        <f>VLOOKUP(A586,'WR Depth'!A:B,2,0)</f>
        <v/>
      </c>
      <c r="H586" s="218">
        <f>VLOOKUP(A586,'WR Depth'!A:D,4,0)</f>
        <v/>
      </c>
      <c r="I586" s="218">
        <f>H586&amp;E586</f>
        <v/>
      </c>
      <c r="J586" s="220">
        <f>IF(VLOOKUP(F586,Rec!F:G,2,0)=G586,"OK","Check Team")</f>
        <v/>
      </c>
      <c r="K586" s="156" t="n"/>
      <c r="L586" s="156">
        <f>IFERROR(VLOOKUP(F586&amp;G586,Pass!B:C,2,0),0)</f>
        <v/>
      </c>
      <c r="M586" s="156">
        <f>IFERROR(VLOOKUP(F586&amp;G586,Rush!B:C,2,0),0)</f>
        <v/>
      </c>
      <c r="N586" s="156">
        <f>IFERROR(VLOOKUP(F586&amp;G586,Rec!B:C,2,0),K586)</f>
        <v/>
      </c>
      <c r="O586" s="156">
        <f>IFERROR(VLOOKUP(F586&amp;G586,Returns!A:B,2,0),0)</f>
        <v/>
      </c>
      <c r="Q586" s="156" t="inlineStr">
        <is>
          <t>Skylar Thompson</t>
        </is>
      </c>
      <c r="R586" s="156" t="inlineStr">
        <is>
          <t>FA</t>
        </is>
      </c>
      <c r="S586" s="156" t="inlineStr">
        <is>
          <t>QB</t>
        </is>
      </c>
    </row>
    <row r="587" hidden="1" ht="15.6" customHeight="1" s="152">
      <c r="A587" s="221" t="n">
        <v>266</v>
      </c>
      <c r="B587" s="218">
        <f>VLOOKUP(G587,Matrix!R:AA,10,0)</f>
        <v/>
      </c>
      <c r="C587" s="156">
        <f>IF(K587&gt;0.01,K587,IFERROR(VLOOKUP(F587&amp;G587,Rec!B:C,2,0),K587)+SUM(L587:O587))</f>
        <v/>
      </c>
      <c r="D587" s="218">
        <f>_xlfn.IFNA(INDEX('Injury Report'!F:F, MATCH(G587&amp;F587, 'Injury Report'!A:A, 0)), "Healthy")</f>
        <v/>
      </c>
      <c r="E587" s="219">
        <f>VLOOKUP(A587,'WR Depth'!A:G,7,0)-1</f>
        <v/>
      </c>
      <c r="F587" s="218">
        <f>VLOOKUP(A587,'WR Depth'!A:C,3,0)</f>
        <v/>
      </c>
      <c r="G587" s="218">
        <f>VLOOKUP(A587,'WR Depth'!A:B,2,0)</f>
        <v/>
      </c>
      <c r="H587" s="218">
        <f>VLOOKUP(A587,'WR Depth'!A:D,4,0)</f>
        <v/>
      </c>
      <c r="I587" s="218">
        <f>H587&amp;E587</f>
        <v/>
      </c>
      <c r="J587" s="220">
        <f>IF(VLOOKUP(F587,Rec!F:G,2,0)=G587,"OK","Check Team")</f>
        <v/>
      </c>
      <c r="K587" s="156" t="n"/>
      <c r="L587" s="156">
        <f>IFERROR(VLOOKUP(F587&amp;G587,Pass!B:C,2,0),0)</f>
        <v/>
      </c>
      <c r="M587" s="156">
        <f>IFERROR(VLOOKUP(F587&amp;G587,Rush!B:C,2,0),0)</f>
        <v/>
      </c>
      <c r="N587" s="156">
        <f>IFERROR(VLOOKUP(F587&amp;G587,Rec!B:C,2,0),K587)</f>
        <v/>
      </c>
      <c r="O587" s="156">
        <f>IFERROR(VLOOKUP(F587&amp;G587,Returns!A:B,2,0),0)</f>
        <v/>
      </c>
      <c r="Q587" s="156" t="inlineStr">
        <is>
          <t>Cody Thompson</t>
        </is>
      </c>
      <c r="R587" s="156" t="inlineStr">
        <is>
          <t>FA</t>
        </is>
      </c>
      <c r="S587" s="156" t="inlineStr">
        <is>
          <t>WR</t>
        </is>
      </c>
    </row>
    <row r="588" hidden="1" ht="15.6" customHeight="1" s="152">
      <c r="A588" s="217" t="n">
        <v>267</v>
      </c>
      <c r="B588" s="218">
        <f>VLOOKUP(G588,Matrix!R:AA,10,0)</f>
        <v/>
      </c>
      <c r="C588" s="156">
        <f>IF(K588&gt;0.01,K588,IFERROR(VLOOKUP(F588&amp;G588,Rec!B:C,2,0),K588)+SUM(L588:O588))</f>
        <v/>
      </c>
      <c r="D588" s="218">
        <f>_xlfn.IFNA(INDEX('Injury Report'!F:F, MATCH(G588&amp;F588, 'Injury Report'!A:A, 0)), "Healthy")</f>
        <v/>
      </c>
      <c r="E588" s="219">
        <f>VLOOKUP(A588,'WR Depth'!A:G,7,0)-1</f>
        <v/>
      </c>
      <c r="F588" s="218">
        <f>VLOOKUP(A588,'WR Depth'!A:C,3,0)</f>
        <v/>
      </c>
      <c r="G588" s="218">
        <f>VLOOKUP(A588,'WR Depth'!A:B,2,0)</f>
        <v/>
      </c>
      <c r="H588" s="218">
        <f>VLOOKUP(A588,'WR Depth'!A:D,4,0)</f>
        <v/>
      </c>
      <c r="I588" s="218">
        <f>H588&amp;E588</f>
        <v/>
      </c>
      <c r="J588" s="220">
        <f>IF(VLOOKUP(F588,Rec!F:G,2,0)=G588,"OK","Check Team")</f>
        <v/>
      </c>
      <c r="K588" s="156" t="n"/>
      <c r="L588" s="156">
        <f>IFERROR(VLOOKUP(F588&amp;G588,Pass!B:C,2,0),0)</f>
        <v/>
      </c>
      <c r="M588" s="156">
        <f>IFERROR(VLOOKUP(F588&amp;G588,Rush!B:C,2,0),0)</f>
        <v/>
      </c>
      <c r="N588" s="156">
        <f>IFERROR(VLOOKUP(F588&amp;G588,Rec!B:C,2,0),K588)</f>
        <v/>
      </c>
      <c r="O588" s="156">
        <f>IFERROR(VLOOKUP(F588&amp;G588,Returns!A:B,2,0),0)</f>
        <v/>
      </c>
      <c r="Q588" s="156" t="inlineStr">
        <is>
          <t>Dorian Thompson-Robinson</t>
        </is>
      </c>
      <c r="R588" s="156" t="inlineStr">
        <is>
          <t>CLE</t>
        </is>
      </c>
      <c r="S588" s="156" t="inlineStr">
        <is>
          <t>QB</t>
        </is>
      </c>
    </row>
    <row r="589" hidden="1" ht="15.6" customHeight="1" s="152">
      <c r="A589" s="221" t="n">
        <v>268</v>
      </c>
      <c r="B589" s="218">
        <f>VLOOKUP(G589,Matrix!R:AA,10,0)</f>
        <v/>
      </c>
      <c r="C589" s="156">
        <f>IF(K589&gt;0.01,K589,IFERROR(VLOOKUP(F589&amp;G589,Rec!B:C,2,0),K589)+SUM(L589:O589))</f>
        <v/>
      </c>
      <c r="D589" s="218">
        <f>_xlfn.IFNA(INDEX('Injury Report'!F:F, MATCH(G589&amp;F589, 'Injury Report'!A:A, 0)), "Healthy")</f>
        <v/>
      </c>
      <c r="E589" s="219">
        <f>VLOOKUP(A589,'WR Depth'!A:G,7,0)-1</f>
        <v/>
      </c>
      <c r="F589" s="218">
        <f>VLOOKUP(A589,'WR Depth'!A:C,3,0)</f>
        <v/>
      </c>
      <c r="G589" s="218">
        <f>VLOOKUP(A589,'WR Depth'!A:B,2,0)</f>
        <v/>
      </c>
      <c r="H589" s="218">
        <f>VLOOKUP(A589,'WR Depth'!A:D,4,0)</f>
        <v/>
      </c>
      <c r="I589" s="218">
        <f>H589&amp;E589</f>
        <v/>
      </c>
      <c r="J589" s="220">
        <f>IF(VLOOKUP(F589,Rec!F:G,2,0)=G589,"OK","Check Team")</f>
        <v/>
      </c>
      <c r="K589" s="156" t="n"/>
      <c r="L589" s="156">
        <f>IFERROR(VLOOKUP(F589&amp;G589,Pass!B:C,2,0),0)</f>
        <v/>
      </c>
      <c r="M589" s="156">
        <f>IFERROR(VLOOKUP(F589&amp;G589,Rush!B:C,2,0),0)</f>
        <v/>
      </c>
      <c r="N589" s="156">
        <f>IFERROR(VLOOKUP(F589&amp;G589,Rec!B:C,2,0),K589)</f>
        <v/>
      </c>
      <c r="O589" s="156">
        <f>IFERROR(VLOOKUP(F589&amp;G589,Returns!A:B,2,0),0)</f>
        <v/>
      </c>
      <c r="Q589" s="156" t="inlineStr">
        <is>
          <t>Tyquan Thornton</t>
        </is>
      </c>
      <c r="R589" s="156" t="inlineStr">
        <is>
          <t>FA</t>
        </is>
      </c>
      <c r="S589" s="156" t="inlineStr">
        <is>
          <t>WR</t>
        </is>
      </c>
    </row>
    <row r="590" hidden="1" ht="15.6" customHeight="1" s="152">
      <c r="A590" s="217" t="n">
        <v>269</v>
      </c>
      <c r="B590" s="218">
        <f>VLOOKUP(G590,Matrix!R:AA,10,0)</f>
        <v/>
      </c>
      <c r="C590" s="156">
        <f>IF(K590&gt;0.01,K590,IFERROR(VLOOKUP(F590&amp;G590,Rec!B:C,2,0),K590)+SUM(L590:O590))</f>
        <v/>
      </c>
      <c r="D590" s="218">
        <f>_xlfn.IFNA(INDEX('Injury Report'!F:F, MATCH(G590&amp;F590, 'Injury Report'!A:A, 0)), "Healthy")</f>
        <v/>
      </c>
      <c r="E590" s="219">
        <f>VLOOKUP(A590,'WR Depth'!A:G,7,0)-1</f>
        <v/>
      </c>
      <c r="F590" s="218">
        <f>VLOOKUP(A590,'WR Depth'!A:C,3,0)</f>
        <v/>
      </c>
      <c r="G590" s="218">
        <f>VLOOKUP(A590,'WR Depth'!A:B,2,0)</f>
        <v/>
      </c>
      <c r="H590" s="218">
        <f>VLOOKUP(A590,'WR Depth'!A:D,4,0)</f>
        <v/>
      </c>
      <c r="I590" s="218">
        <f>H590&amp;E590</f>
        <v/>
      </c>
      <c r="J590" s="220">
        <f>IF(VLOOKUP(F590,Rec!F:G,2,0)=G590,"OK","Check Team")</f>
        <v/>
      </c>
      <c r="K590" s="156" t="n"/>
      <c r="L590" s="156">
        <f>IFERROR(VLOOKUP(F590&amp;G590,Pass!B:C,2,0),0)</f>
        <v/>
      </c>
      <c r="M590" s="156">
        <f>IFERROR(VLOOKUP(F590&amp;G590,Rush!B:C,2,0),0)</f>
        <v/>
      </c>
      <c r="N590" s="156">
        <f>IFERROR(VLOOKUP(F590&amp;G590,Rec!B:C,2,0),K590)</f>
        <v/>
      </c>
      <c r="O590" s="156">
        <f>IFERROR(VLOOKUP(F590&amp;G590,Returns!A:B,2,0),0)</f>
        <v/>
      </c>
      <c r="Q590" s="156" t="inlineStr">
        <is>
          <t>Jamari Thrash</t>
        </is>
      </c>
      <c r="R590" s="156" t="inlineStr">
        <is>
          <t>CLE</t>
        </is>
      </c>
      <c r="S590" s="156" t="inlineStr">
        <is>
          <t>WR</t>
        </is>
      </c>
    </row>
    <row r="591" hidden="1" ht="15.6" customHeight="1" s="152">
      <c r="A591" s="221" t="n">
        <v>270</v>
      </c>
      <c r="B591" s="218">
        <f>VLOOKUP(G591,Matrix!R:AA,10,0)</f>
        <v/>
      </c>
      <c r="C591" s="156">
        <f>IF(K591&gt;0.01,K591,IFERROR(VLOOKUP(F591&amp;G591,Rec!B:C,2,0),K591)+SUM(L591:O591))</f>
        <v/>
      </c>
      <c r="D591" s="218">
        <f>_xlfn.IFNA(INDEX('Injury Report'!F:F, MATCH(G591&amp;F591, 'Injury Report'!A:A, 0)), "Healthy")</f>
        <v/>
      </c>
      <c r="E591" s="219">
        <f>VLOOKUP(A591,'WR Depth'!A:G,7,0)-1</f>
        <v/>
      </c>
      <c r="F591" s="218">
        <f>VLOOKUP(A591,'WR Depth'!A:C,3,0)</f>
        <v/>
      </c>
      <c r="G591" s="218">
        <f>VLOOKUP(A591,'WR Depth'!A:B,2,0)</f>
        <v/>
      </c>
      <c r="H591" s="218">
        <f>VLOOKUP(A591,'WR Depth'!A:D,4,0)</f>
        <v/>
      </c>
      <c r="I591" s="218">
        <f>H591&amp;E591</f>
        <v/>
      </c>
      <c r="J591" s="220">
        <f>IF(VLOOKUP(F591,Rec!F:G,2,0)=G591,"OK","Check Team")</f>
        <v/>
      </c>
      <c r="K591" s="156" t="n"/>
      <c r="L591" s="156">
        <f>IFERROR(VLOOKUP(F591&amp;G591,Pass!B:C,2,0),0)</f>
        <v/>
      </c>
      <c r="M591" s="156">
        <f>IFERROR(VLOOKUP(F591&amp;G591,Rush!B:C,2,0),0)</f>
        <v/>
      </c>
      <c r="N591" s="156">
        <f>IFERROR(VLOOKUP(F591&amp;G591,Rec!B:C,2,0),K591)</f>
        <v/>
      </c>
      <c r="O591" s="156">
        <f>IFERROR(VLOOKUP(F591&amp;G591,Returns!A:B,2,0),0)</f>
        <v/>
      </c>
      <c r="Q591" s="156" t="inlineStr">
        <is>
          <t>Cedric Tillman</t>
        </is>
      </c>
      <c r="R591" s="156" t="inlineStr">
        <is>
          <t>CLE</t>
        </is>
      </c>
      <c r="S591" s="156" t="inlineStr">
        <is>
          <t>WR</t>
        </is>
      </c>
    </row>
    <row r="592" hidden="1" ht="15.6" customHeight="1" s="152">
      <c r="A592" s="217" t="n">
        <v>271</v>
      </c>
      <c r="B592" s="218">
        <f>VLOOKUP(G592,Matrix!R:AA,10,0)</f>
        <v/>
      </c>
      <c r="C592" s="156">
        <f>IF(K592&gt;0.01,K592,IFERROR(VLOOKUP(F592&amp;G592,Rec!B:C,2,0),K592)+SUM(L592:O592))</f>
        <v/>
      </c>
      <c r="D592" s="218">
        <f>_xlfn.IFNA(INDEX('Injury Report'!F:F, MATCH(G592&amp;F592, 'Injury Report'!A:A, 0)), "Healthy")</f>
        <v/>
      </c>
      <c r="E592" s="219">
        <f>VLOOKUP(A592,'WR Depth'!A:G,7,0)-1</f>
        <v/>
      </c>
      <c r="F592" s="218">
        <f>VLOOKUP(A592,'WR Depth'!A:C,3,0)</f>
        <v/>
      </c>
      <c r="G592" s="218">
        <f>VLOOKUP(A592,'WR Depth'!A:B,2,0)</f>
        <v/>
      </c>
      <c r="H592" s="218">
        <f>VLOOKUP(A592,'WR Depth'!A:D,4,0)</f>
        <v/>
      </c>
      <c r="I592" s="218">
        <f>H592&amp;E592</f>
        <v/>
      </c>
      <c r="J592" s="220">
        <f>IF(VLOOKUP(F592,Rec!F:G,2,0)=G592,"OK","Check Team")</f>
        <v/>
      </c>
      <c r="K592" s="156" t="n"/>
      <c r="L592" s="156">
        <f>IFERROR(VLOOKUP(F592&amp;G592,Pass!B:C,2,0),0)</f>
        <v/>
      </c>
      <c r="M592" s="156">
        <f>IFERROR(VLOOKUP(F592&amp;G592,Rush!B:C,2,0),0)</f>
        <v/>
      </c>
      <c r="N592" s="156">
        <f>IFERROR(VLOOKUP(F592&amp;G592,Rec!B:C,2,0),K592)</f>
        <v/>
      </c>
      <c r="O592" s="156">
        <f>IFERROR(VLOOKUP(F592&amp;G592,Returns!A:B,2,0),0)</f>
        <v/>
      </c>
      <c r="Q592" s="156" t="inlineStr">
        <is>
          <t>Mason Tipton</t>
        </is>
      </c>
      <c r="R592" s="156" t="inlineStr">
        <is>
          <t>NO</t>
        </is>
      </c>
      <c r="S592" s="156" t="inlineStr">
        <is>
          <t>WR</t>
        </is>
      </c>
    </row>
    <row r="593" hidden="1" ht="15.6" customHeight="1" s="152">
      <c r="A593" s="221" t="n">
        <v>272</v>
      </c>
      <c r="B593" s="218">
        <f>VLOOKUP(G593,Matrix!R:AA,10,0)</f>
        <v/>
      </c>
      <c r="C593" s="156">
        <f>IF(K593&gt;0.01,K593,IFERROR(VLOOKUP(F593&amp;G593,Rec!B:C,2,0),K593)+SUM(L593:O593))</f>
        <v/>
      </c>
      <c r="D593" s="218">
        <f>_xlfn.IFNA(INDEX('Injury Report'!F:F, MATCH(G593&amp;F593, 'Injury Report'!A:A, 0)), "Healthy")</f>
        <v/>
      </c>
      <c r="E593" s="219">
        <f>VLOOKUP(A593,'WR Depth'!A:G,7,0)-1</f>
        <v/>
      </c>
      <c r="F593" s="218">
        <f>VLOOKUP(A593,'WR Depth'!A:C,3,0)</f>
        <v/>
      </c>
      <c r="G593" s="218">
        <f>VLOOKUP(A593,'WR Depth'!A:B,2,0)</f>
        <v/>
      </c>
      <c r="H593" s="218">
        <f>VLOOKUP(A593,'WR Depth'!A:D,4,0)</f>
        <v/>
      </c>
      <c r="I593" s="218">
        <f>H593&amp;E593</f>
        <v/>
      </c>
      <c r="J593" s="220">
        <f>IF(VLOOKUP(F593,Rec!F:G,2,0)=G593,"OK","Check Team")</f>
        <v/>
      </c>
      <c r="K593" s="156" t="n"/>
      <c r="L593" s="156">
        <f>IFERROR(VLOOKUP(F593&amp;G593,Pass!B:C,2,0),0)</f>
        <v/>
      </c>
      <c r="M593" s="156">
        <f>IFERROR(VLOOKUP(F593&amp;G593,Rush!B:C,2,0),0)</f>
        <v/>
      </c>
      <c r="N593" s="156">
        <f>IFERROR(VLOOKUP(F593&amp;G593,Rec!B:C,2,0),K593)</f>
        <v/>
      </c>
      <c r="O593" s="156">
        <f>IFERROR(VLOOKUP(F593&amp;G593,Returns!A:B,2,0),0)</f>
        <v/>
      </c>
      <c r="Q593" s="156" t="inlineStr">
        <is>
          <t>Jalen Tolbert</t>
        </is>
      </c>
      <c r="R593" s="156" t="inlineStr">
        <is>
          <t>DAL</t>
        </is>
      </c>
      <c r="S593" s="156" t="inlineStr">
        <is>
          <t>WR</t>
        </is>
      </c>
    </row>
    <row r="594" hidden="1" ht="15.6" customHeight="1" s="152">
      <c r="A594" s="217" t="n">
        <v>273</v>
      </c>
      <c r="B594" s="218">
        <f>VLOOKUP(G594,Matrix!R:AA,10,0)</f>
        <v/>
      </c>
      <c r="C594" s="156">
        <f>IF(K594&gt;0.01,K594,IFERROR(VLOOKUP(F594&amp;G594,Rec!B:C,2,0),K594)+SUM(L594:O594))</f>
        <v/>
      </c>
      <c r="D594" s="218">
        <f>_xlfn.IFNA(INDEX('Injury Report'!F:F, MATCH(G594&amp;F594, 'Injury Report'!A:A, 0)), "Healthy")</f>
        <v/>
      </c>
      <c r="E594" s="219">
        <f>VLOOKUP(A594,'WR Depth'!A:G,7,0)-1</f>
        <v/>
      </c>
      <c r="F594" s="218">
        <f>VLOOKUP(A594,'WR Depth'!A:C,3,0)</f>
        <v/>
      </c>
      <c r="G594" s="218">
        <f>VLOOKUP(A594,'WR Depth'!A:B,2,0)</f>
        <v/>
      </c>
      <c r="H594" s="218">
        <f>VLOOKUP(A594,'WR Depth'!A:D,4,0)</f>
        <v/>
      </c>
      <c r="I594" s="218">
        <f>H594&amp;E594</f>
        <v/>
      </c>
      <c r="J594" s="220">
        <f>IF(VLOOKUP(F594,Rec!F:G,2,0)=G594,"OK","Check Team")</f>
        <v/>
      </c>
      <c r="K594" s="156" t="n"/>
      <c r="L594" s="156">
        <f>IFERROR(VLOOKUP(F594&amp;G594,Pass!B:C,2,0),0)</f>
        <v/>
      </c>
      <c r="M594" s="156">
        <f>IFERROR(VLOOKUP(F594&amp;G594,Rush!B:C,2,0),0)</f>
        <v/>
      </c>
      <c r="N594" s="156">
        <f>IFERROR(VLOOKUP(F594&amp;G594,Rec!B:C,2,0),K594)</f>
        <v/>
      </c>
      <c r="O594" s="156">
        <f>IFERROR(VLOOKUP(F594&amp;G594,Returns!A:B,2,0),0)</f>
        <v/>
      </c>
      <c r="Q594" s="156" t="inlineStr">
        <is>
          <t>Kadarius Toney</t>
        </is>
      </c>
      <c r="R594" s="156" t="inlineStr">
        <is>
          <t>FA</t>
        </is>
      </c>
      <c r="S594" s="156" t="inlineStr">
        <is>
          <t>WR</t>
        </is>
      </c>
    </row>
    <row r="595" hidden="1" ht="15.6" customHeight="1" s="152">
      <c r="A595" s="221" t="n">
        <v>274</v>
      </c>
      <c r="B595" s="218">
        <f>VLOOKUP(G595,Matrix!R:AA,10,0)</f>
        <v/>
      </c>
      <c r="C595" s="156">
        <f>IF(K595&gt;0.01,K595,IFERROR(VLOOKUP(F595&amp;G595,Rec!B:C,2,0),K595)+SUM(L595:O595))</f>
        <v/>
      </c>
      <c r="D595" s="218">
        <f>_xlfn.IFNA(INDEX('Injury Report'!F:F, MATCH(G595&amp;F595, 'Injury Report'!A:A, 0)), "Healthy")</f>
        <v/>
      </c>
      <c r="E595" s="219">
        <f>VLOOKUP(A595,'WR Depth'!A:G,7,0)-1</f>
        <v/>
      </c>
      <c r="F595" s="218">
        <f>VLOOKUP(A595,'WR Depth'!A:C,3,0)</f>
        <v/>
      </c>
      <c r="G595" s="218">
        <f>VLOOKUP(A595,'WR Depth'!A:B,2,0)</f>
        <v/>
      </c>
      <c r="H595" s="218">
        <f>VLOOKUP(A595,'WR Depth'!A:D,4,0)</f>
        <v/>
      </c>
      <c r="I595" s="218">
        <f>H595&amp;E595</f>
        <v/>
      </c>
      <c r="J595" s="220">
        <f>IF(VLOOKUP(F595,Rec!F:G,2,0)=G595,"OK","Check Team")</f>
        <v/>
      </c>
      <c r="K595" s="156" t="n"/>
      <c r="L595" s="156">
        <f>IFERROR(VLOOKUP(F595&amp;G595,Pass!B:C,2,0),0)</f>
        <v/>
      </c>
      <c r="M595" s="156">
        <f>IFERROR(VLOOKUP(F595&amp;G595,Rush!B:C,2,0),0)</f>
        <v/>
      </c>
      <c r="N595" s="156">
        <f>IFERROR(VLOOKUP(F595&amp;G595,Rec!B:C,2,0),K595)</f>
        <v/>
      </c>
      <c r="O595" s="156">
        <f>IFERROR(VLOOKUP(F595&amp;G595,Returns!A:B,2,0),0)</f>
        <v/>
      </c>
      <c r="Q595" s="156" t="inlineStr">
        <is>
          <t>Robert Tonyan</t>
        </is>
      </c>
      <c r="R595" s="156" t="inlineStr">
        <is>
          <t>FA</t>
        </is>
      </c>
      <c r="S595" s="156" t="inlineStr">
        <is>
          <t>TE</t>
        </is>
      </c>
    </row>
    <row r="596" hidden="1" ht="15.6" customHeight="1" s="152">
      <c r="A596" s="217" t="n">
        <v>275</v>
      </c>
      <c r="B596" s="218">
        <f>VLOOKUP(G596,Matrix!R:AA,10,0)</f>
        <v/>
      </c>
      <c r="C596" s="156">
        <f>IF(K596&gt;0.01,K596,IFERROR(VLOOKUP(F596&amp;G596,Rec!B:C,2,0),K596)+SUM(L596:O596))</f>
        <v/>
      </c>
      <c r="D596" s="218">
        <f>_xlfn.IFNA(INDEX('Injury Report'!F:F, MATCH(G596&amp;F596, 'Injury Report'!A:A, 0)), "Healthy")</f>
        <v/>
      </c>
      <c r="E596" s="219">
        <f>VLOOKUP(A596,'WR Depth'!A:G,7,0)-1</f>
        <v/>
      </c>
      <c r="F596" s="218">
        <f>VLOOKUP(A596,'WR Depth'!A:C,3,0)</f>
        <v/>
      </c>
      <c r="G596" s="218">
        <f>VLOOKUP(A596,'WR Depth'!A:B,2,0)</f>
        <v/>
      </c>
      <c r="H596" s="218">
        <f>VLOOKUP(A596,'WR Depth'!A:D,4,0)</f>
        <v/>
      </c>
      <c r="I596" s="218">
        <f>H596&amp;E596</f>
        <v/>
      </c>
      <c r="J596" s="220">
        <f>IF(VLOOKUP(F596,Rec!F:G,2,0)=G596,"OK","Check Team")</f>
        <v/>
      </c>
      <c r="K596" s="156" t="n"/>
      <c r="L596" s="156">
        <f>IFERROR(VLOOKUP(F596&amp;G596,Pass!B:C,2,0),0)</f>
        <v/>
      </c>
      <c r="M596" s="156">
        <f>IFERROR(VLOOKUP(F596&amp;G596,Rush!B:C,2,0),0)</f>
        <v/>
      </c>
      <c r="N596" s="156">
        <f>IFERROR(VLOOKUP(F596&amp;G596,Rec!B:C,2,0),K596)</f>
        <v/>
      </c>
      <c r="O596" s="156">
        <f>IFERROR(VLOOKUP(F596&amp;G596,Returns!A:B,2,0),0)</f>
        <v/>
      </c>
      <c r="Q596" s="156" t="inlineStr">
        <is>
          <t>Tyrone Tracy</t>
        </is>
      </c>
      <c r="R596" s="156" t="inlineStr">
        <is>
          <t>NYG</t>
        </is>
      </c>
      <c r="S596" s="156" t="inlineStr">
        <is>
          <t>RB</t>
        </is>
      </c>
    </row>
    <row r="597" hidden="1" ht="15.6" customHeight="1" s="152">
      <c r="A597" s="221" t="n">
        <v>276</v>
      </c>
      <c r="B597" s="218">
        <f>VLOOKUP(G597,Matrix!R:AA,10,0)</f>
        <v/>
      </c>
      <c r="C597" s="156">
        <f>IF(K597&gt;0.01,K597,IFERROR(VLOOKUP(F597&amp;G597,Rec!B:C,2,0),K597)+SUM(L597:O597))</f>
        <v/>
      </c>
      <c r="D597" s="218">
        <f>_xlfn.IFNA(INDEX('Injury Report'!F:F, MATCH(G597&amp;F597, 'Injury Report'!A:A, 0)), "Healthy")</f>
        <v/>
      </c>
      <c r="E597" s="219">
        <f>VLOOKUP(A597,'WR Depth'!A:G,7,0)-1</f>
        <v/>
      </c>
      <c r="F597" s="218">
        <f>VLOOKUP(A597,'WR Depth'!A:C,3,0)</f>
        <v/>
      </c>
      <c r="G597" s="218">
        <f>VLOOKUP(A597,'WR Depth'!A:B,2,0)</f>
        <v/>
      </c>
      <c r="H597" s="218">
        <f>VLOOKUP(A597,'WR Depth'!A:D,4,0)</f>
        <v/>
      </c>
      <c r="I597" s="218">
        <f>H597&amp;E597</f>
        <v/>
      </c>
      <c r="J597" s="220">
        <f>IF(VLOOKUP(F597,Rec!F:G,2,0)=G597,"OK","Check Team")</f>
        <v/>
      </c>
      <c r="K597" s="156" t="n"/>
      <c r="L597" s="156">
        <f>IFERROR(VLOOKUP(F597&amp;G597,Pass!B:C,2,0),0)</f>
        <v/>
      </c>
      <c r="M597" s="156">
        <f>IFERROR(VLOOKUP(F597&amp;G597,Rush!B:C,2,0),0)</f>
        <v/>
      </c>
      <c r="N597" s="156">
        <f>IFERROR(VLOOKUP(F597&amp;G597,Rec!B:C,2,0),K597)</f>
        <v/>
      </c>
      <c r="O597" s="156">
        <f>IFERROR(VLOOKUP(F597&amp;G597,Returns!A:B,2,0),0)</f>
        <v/>
      </c>
      <c r="Q597" s="156" t="inlineStr">
        <is>
          <t>Kyle Trask</t>
        </is>
      </c>
      <c r="R597" s="156" t="inlineStr">
        <is>
          <t>TB</t>
        </is>
      </c>
      <c r="S597" s="156" t="inlineStr">
        <is>
          <t>QB</t>
        </is>
      </c>
    </row>
    <row r="598" hidden="1" ht="15.6" customHeight="1" s="152">
      <c r="A598" s="217" t="n">
        <v>277</v>
      </c>
      <c r="B598" s="218">
        <f>VLOOKUP(G598,Matrix!R:AA,10,0)</f>
        <v/>
      </c>
      <c r="C598" s="156">
        <f>IF(K598&gt;0.01,K598,IFERROR(VLOOKUP(F598&amp;G598,Rec!B:C,2,0),K598)+SUM(L598:O598))</f>
        <v/>
      </c>
      <c r="D598" s="218">
        <f>_xlfn.IFNA(INDEX('Injury Report'!F:F, MATCH(G598&amp;F598, 'Injury Report'!A:A, 0)), "Healthy")</f>
        <v/>
      </c>
      <c r="E598" s="219">
        <f>VLOOKUP(A598,'WR Depth'!A:G,7,0)-1</f>
        <v/>
      </c>
      <c r="F598" s="218">
        <f>VLOOKUP(A598,'WR Depth'!A:C,3,0)</f>
        <v/>
      </c>
      <c r="G598" s="218">
        <f>VLOOKUP(A598,'WR Depth'!A:B,2,0)</f>
        <v/>
      </c>
      <c r="H598" s="218">
        <f>VLOOKUP(A598,'WR Depth'!A:D,4,0)</f>
        <v/>
      </c>
      <c r="I598" s="218">
        <f>H598&amp;E598</f>
        <v/>
      </c>
      <c r="J598" s="220">
        <f>IF(VLOOKUP(F598,Rec!F:G,2,0)=G598,"OK","Check Team")</f>
        <v/>
      </c>
      <c r="K598" s="156" t="n"/>
      <c r="L598" s="156">
        <f>IFERROR(VLOOKUP(F598&amp;G598,Pass!B:C,2,0),0)</f>
        <v/>
      </c>
      <c r="M598" s="156">
        <f>IFERROR(VLOOKUP(F598&amp;G598,Rush!B:C,2,0),0)</f>
        <v/>
      </c>
      <c r="N598" s="156">
        <f>IFERROR(VLOOKUP(F598&amp;G598,Rec!B:C,2,0),K598)</f>
        <v/>
      </c>
      <c r="O598" s="156">
        <f>IFERROR(VLOOKUP(F598&amp;G598,Returns!A:B,2,0),0)</f>
        <v/>
      </c>
      <c r="Q598" s="156" t="inlineStr">
        <is>
          <t>Adam Trautman</t>
        </is>
      </c>
      <c r="R598" s="156" t="inlineStr">
        <is>
          <t>DEN</t>
        </is>
      </c>
      <c r="S598" s="156" t="inlineStr">
        <is>
          <t>TE</t>
        </is>
      </c>
    </row>
    <row r="599" hidden="1" ht="15.6" customHeight="1" s="152">
      <c r="A599" s="221" t="n">
        <v>278</v>
      </c>
      <c r="B599" s="218">
        <f>VLOOKUP(G599,Matrix!R:AA,10,0)</f>
        <v/>
      </c>
      <c r="C599" s="156">
        <f>IF(K599&gt;0.01,K599,IFERROR(VLOOKUP(F599&amp;G599,Rec!B:C,2,0),K599)+SUM(L599:O599))</f>
        <v/>
      </c>
      <c r="D599" s="218">
        <f>_xlfn.IFNA(INDEX('Injury Report'!F:F, MATCH(G599&amp;F599, 'Injury Report'!A:A, 0)), "Healthy")</f>
        <v/>
      </c>
      <c r="E599" s="219">
        <f>VLOOKUP(A599,'WR Depth'!A:G,7,0)-1</f>
        <v/>
      </c>
      <c r="F599" s="218">
        <f>VLOOKUP(A599,'WR Depth'!A:C,3,0)</f>
        <v/>
      </c>
      <c r="G599" s="218">
        <f>VLOOKUP(A599,'WR Depth'!A:B,2,0)</f>
        <v/>
      </c>
      <c r="H599" s="218">
        <f>VLOOKUP(A599,'WR Depth'!A:D,4,0)</f>
        <v/>
      </c>
      <c r="I599" s="218">
        <f>H599&amp;E599</f>
        <v/>
      </c>
      <c r="J599" s="220">
        <f>IF(VLOOKUP(F599,Rec!F:G,2,0)=G599,"OK","Check Team")</f>
        <v/>
      </c>
      <c r="K599" s="156" t="n"/>
      <c r="L599" s="156">
        <f>IFERROR(VLOOKUP(F599&amp;G599,Pass!B:C,2,0),0)</f>
        <v/>
      </c>
      <c r="M599" s="156">
        <f>IFERROR(VLOOKUP(F599&amp;G599,Rush!B:C,2,0),0)</f>
        <v/>
      </c>
      <c r="N599" s="156">
        <f>IFERROR(VLOOKUP(F599&amp;G599,Rec!B:C,2,0),K599)</f>
        <v/>
      </c>
      <c r="O599" s="156">
        <f>IFERROR(VLOOKUP(F599&amp;G599,Returns!A:B,2,0),0)</f>
        <v/>
      </c>
      <c r="Q599" s="156" t="inlineStr">
        <is>
          <t>Jordan Travis</t>
        </is>
      </c>
      <c r="R599" s="156" t="inlineStr">
        <is>
          <t>NYJ</t>
        </is>
      </c>
      <c r="S599" s="156" t="inlineStr">
        <is>
          <t>QB</t>
        </is>
      </c>
    </row>
    <row r="600" hidden="1" ht="15.6" customHeight="1" s="152">
      <c r="A600" s="217" t="n">
        <v>279</v>
      </c>
      <c r="B600" s="218">
        <f>VLOOKUP(G600,Matrix!R:AA,10,0)</f>
        <v/>
      </c>
      <c r="C600" s="156">
        <f>IF(K600&gt;0.01,K600,IFERROR(VLOOKUP(F600&amp;G600,Rec!B:C,2,0),K600)+SUM(L600:O600))</f>
        <v/>
      </c>
      <c r="D600" s="218">
        <f>_xlfn.IFNA(INDEX('Injury Report'!F:F, MATCH(G600&amp;F600, 'Injury Report'!A:A, 0)), "Healthy")</f>
        <v/>
      </c>
      <c r="E600" s="219">
        <f>VLOOKUP(A600,'WR Depth'!A:G,7,0)-1</f>
        <v/>
      </c>
      <c r="F600" s="218">
        <f>VLOOKUP(A600,'WR Depth'!A:C,3,0)</f>
        <v/>
      </c>
      <c r="G600" s="218">
        <f>VLOOKUP(A600,'WR Depth'!A:B,2,0)</f>
        <v/>
      </c>
      <c r="H600" s="218">
        <f>VLOOKUP(A600,'WR Depth'!A:D,4,0)</f>
        <v/>
      </c>
      <c r="I600" s="218">
        <f>H600&amp;E600</f>
        <v/>
      </c>
      <c r="J600" s="220">
        <f>IF(VLOOKUP(F600,Rec!F:G,2,0)=G600,"OK","Check Team")</f>
        <v/>
      </c>
      <c r="K600" s="156" t="n"/>
      <c r="L600" s="156">
        <f>IFERROR(VLOOKUP(F600&amp;G600,Pass!B:C,2,0),0)</f>
        <v/>
      </c>
      <c r="M600" s="156">
        <f>IFERROR(VLOOKUP(F600&amp;G600,Rush!B:C,2,0),0)</f>
        <v/>
      </c>
      <c r="N600" s="156">
        <f>IFERROR(VLOOKUP(F600&amp;G600,Rec!B:C,2,0),K600)</f>
        <v/>
      </c>
      <c r="O600" s="156">
        <f>IFERROR(VLOOKUP(F600&amp;G600,Returns!A:B,2,0),0)</f>
        <v/>
      </c>
      <c r="Q600" s="156" t="inlineStr">
        <is>
          <t>Tommy Tremble</t>
        </is>
      </c>
      <c r="R600" s="156" t="inlineStr">
        <is>
          <t>CAR</t>
        </is>
      </c>
      <c r="S600" s="156" t="inlineStr">
        <is>
          <t>TE</t>
        </is>
      </c>
    </row>
    <row r="601" hidden="1" ht="15.6" customHeight="1" s="152">
      <c r="A601" s="221" t="n">
        <v>280</v>
      </c>
      <c r="B601" s="218">
        <f>VLOOKUP(G601,Matrix!R:AA,10,0)</f>
        <v/>
      </c>
      <c r="C601" s="156">
        <f>IF(K601&gt;0.01,K601,IFERROR(VLOOKUP(F601&amp;G601,Rec!B:C,2,0),K601)+SUM(L601:O601))</f>
        <v/>
      </c>
      <c r="D601" s="218">
        <f>_xlfn.IFNA(INDEX('Injury Report'!F:F, MATCH(G601&amp;F601, 'Injury Report'!A:A, 0)), "Healthy")</f>
        <v/>
      </c>
      <c r="E601" s="219">
        <f>VLOOKUP(A601,'WR Depth'!A:G,7,0)-1</f>
        <v/>
      </c>
      <c r="F601" s="218">
        <f>VLOOKUP(A601,'WR Depth'!A:C,3,0)</f>
        <v/>
      </c>
      <c r="G601" s="218">
        <f>VLOOKUP(A601,'WR Depth'!A:B,2,0)</f>
        <v/>
      </c>
      <c r="H601" s="218">
        <f>VLOOKUP(A601,'WR Depth'!A:D,4,0)</f>
        <v/>
      </c>
      <c r="I601" s="218">
        <f>H601&amp;E601</f>
        <v/>
      </c>
      <c r="J601" s="220">
        <f>IF(VLOOKUP(F601,Rec!F:G,2,0)=G601,"OK","Check Team")</f>
        <v/>
      </c>
      <c r="K601" s="156" t="n"/>
      <c r="L601" s="156">
        <f>IFERROR(VLOOKUP(F601&amp;G601,Pass!B:C,2,0),0)</f>
        <v/>
      </c>
      <c r="M601" s="156">
        <f>IFERROR(VLOOKUP(F601&amp;G601,Rush!B:C,2,0),0)</f>
        <v/>
      </c>
      <c r="N601" s="156">
        <f>IFERROR(VLOOKUP(F601&amp;G601,Rec!B:C,2,0),K601)</f>
        <v/>
      </c>
      <c r="O601" s="156">
        <f>IFERROR(VLOOKUP(F601&amp;G601,Returns!A:B,2,0),0)</f>
        <v/>
      </c>
      <c r="Q601" s="156" t="inlineStr">
        <is>
          <t>Mitchell Trubisky</t>
        </is>
      </c>
      <c r="R601" s="156" t="inlineStr">
        <is>
          <t>BUF</t>
        </is>
      </c>
      <c r="S601" s="156" t="inlineStr">
        <is>
          <t>QB</t>
        </is>
      </c>
    </row>
    <row r="602" hidden="1" ht="15.6" customHeight="1" s="152">
      <c r="A602" s="217" t="n">
        <v>281</v>
      </c>
      <c r="B602" s="218">
        <f>VLOOKUP(G602,Matrix!R:AA,10,0)</f>
        <v/>
      </c>
      <c r="C602" s="156">
        <f>IF(K602&gt;0.01,K602,IFERROR(VLOOKUP(F602&amp;G602,Rec!B:C,2,0),K602)+SUM(L602:O602))</f>
        <v/>
      </c>
      <c r="D602" s="218">
        <f>_xlfn.IFNA(INDEX('Injury Report'!F:F, MATCH(G602&amp;F602, 'Injury Report'!A:A, 0)), "Healthy")</f>
        <v/>
      </c>
      <c r="E602" s="219">
        <f>VLOOKUP(A602,'WR Depth'!A:G,7,0)-1</f>
        <v/>
      </c>
      <c r="F602" s="218">
        <f>VLOOKUP(A602,'WR Depth'!A:C,3,0)</f>
        <v/>
      </c>
      <c r="G602" s="218">
        <f>VLOOKUP(A602,'WR Depth'!A:B,2,0)</f>
        <v/>
      </c>
      <c r="H602" s="218">
        <f>VLOOKUP(A602,'WR Depth'!A:D,4,0)</f>
        <v/>
      </c>
      <c r="I602" s="218">
        <f>H602&amp;E602</f>
        <v/>
      </c>
      <c r="J602" s="220">
        <f>IF(VLOOKUP(F602,Rec!F:G,2,0)=G602,"OK","Check Team")</f>
        <v/>
      </c>
      <c r="K602" s="156" t="n"/>
      <c r="L602" s="156">
        <f>IFERROR(VLOOKUP(F602&amp;G602,Pass!B:C,2,0),0)</f>
        <v/>
      </c>
      <c r="M602" s="156">
        <f>IFERROR(VLOOKUP(F602&amp;G602,Rush!B:C,2,0),0)</f>
        <v/>
      </c>
      <c r="N602" s="156">
        <f>IFERROR(VLOOKUP(F602&amp;G602,Rec!B:C,2,0),K602)</f>
        <v/>
      </c>
      <c r="O602" s="156">
        <f>IFERROR(VLOOKUP(F602&amp;G602,Returns!A:B,2,0),0)</f>
        <v/>
      </c>
      <c r="Q602" s="156" t="inlineStr">
        <is>
          <t>Justin Tucker</t>
        </is>
      </c>
      <c r="R602" s="156" t="inlineStr">
        <is>
          <t>BAL</t>
        </is>
      </c>
      <c r="S602" s="156" t="inlineStr">
        <is>
          <t>K</t>
        </is>
      </c>
    </row>
    <row r="603" hidden="1" ht="15.6" customHeight="1" s="152">
      <c r="A603" s="221" t="n">
        <v>282</v>
      </c>
      <c r="B603" s="218">
        <f>VLOOKUP(G603,Matrix!R:AA,10,0)</f>
        <v/>
      </c>
      <c r="C603" s="156">
        <f>IF(K603&gt;0.01,K603,IFERROR(VLOOKUP(F603&amp;G603,Rec!B:C,2,0),K603)+SUM(L603:O603))</f>
        <v/>
      </c>
      <c r="D603" s="218">
        <f>_xlfn.IFNA(INDEX('Injury Report'!F:F, MATCH(G603&amp;F603, 'Injury Report'!A:A, 0)), "Healthy")</f>
        <v/>
      </c>
      <c r="E603" s="219">
        <f>VLOOKUP(A603,'WR Depth'!A:G,7,0)-1</f>
        <v/>
      </c>
      <c r="F603" s="218">
        <f>VLOOKUP(A603,'WR Depth'!A:C,3,0)</f>
        <v/>
      </c>
      <c r="G603" s="218">
        <f>VLOOKUP(A603,'WR Depth'!A:B,2,0)</f>
        <v/>
      </c>
      <c r="H603" s="218">
        <f>VLOOKUP(A603,'WR Depth'!A:D,4,0)</f>
        <v/>
      </c>
      <c r="I603" s="218">
        <f>H603&amp;E603</f>
        <v/>
      </c>
      <c r="J603" s="220">
        <f>IF(VLOOKUP(F603,Rec!F:G,2,0)=G603,"OK","Check Team")</f>
        <v/>
      </c>
      <c r="K603" s="156" t="n"/>
      <c r="L603" s="156">
        <f>IFERROR(VLOOKUP(F603&amp;G603,Pass!B:C,2,0),0)</f>
        <v/>
      </c>
      <c r="M603" s="156">
        <f>IFERROR(VLOOKUP(F603&amp;G603,Rush!B:C,2,0),0)</f>
        <v/>
      </c>
      <c r="N603" s="156">
        <f>IFERROR(VLOOKUP(F603&amp;G603,Rec!B:C,2,0),K603)</f>
        <v/>
      </c>
      <c r="O603" s="156">
        <f>IFERROR(VLOOKUP(F603&amp;G603,Returns!A:B,2,0),0)</f>
        <v/>
      </c>
      <c r="Q603" s="156" t="inlineStr">
        <is>
          <t>Sean Tucker</t>
        </is>
      </c>
      <c r="R603" s="156" t="inlineStr">
        <is>
          <t>TB</t>
        </is>
      </c>
      <c r="S603" s="156" t="inlineStr">
        <is>
          <t>RB</t>
        </is>
      </c>
    </row>
    <row r="604" hidden="1" ht="15.6" customHeight="1" s="152">
      <c r="A604" s="217" t="n">
        <v>283</v>
      </c>
      <c r="B604" s="218">
        <f>VLOOKUP(G604,Matrix!R:AA,10,0)</f>
        <v/>
      </c>
      <c r="C604" s="156">
        <f>IF(K604&gt;0.01,K604,IFERROR(VLOOKUP(F604&amp;G604,Rec!B:C,2,0),K604)+SUM(L604:O604))</f>
        <v/>
      </c>
      <c r="D604" s="218">
        <f>_xlfn.IFNA(INDEX('Injury Report'!F:F, MATCH(G604&amp;F604, 'Injury Report'!A:A, 0)), "Healthy")</f>
        <v/>
      </c>
      <c r="E604" s="219">
        <f>VLOOKUP(A604,'WR Depth'!A:G,7,0)-1</f>
        <v/>
      </c>
      <c r="F604" s="218">
        <f>VLOOKUP(A604,'WR Depth'!A:C,3,0)</f>
        <v/>
      </c>
      <c r="G604" s="218">
        <f>VLOOKUP(A604,'WR Depth'!A:B,2,0)</f>
        <v/>
      </c>
      <c r="H604" s="218">
        <f>VLOOKUP(A604,'WR Depth'!A:D,4,0)</f>
        <v/>
      </c>
      <c r="I604" s="218">
        <f>H604&amp;E604</f>
        <v/>
      </c>
      <c r="J604" s="220">
        <f>IF(VLOOKUP(F604,Rec!F:G,2,0)=G604,"OK","Check Team")</f>
        <v/>
      </c>
      <c r="K604" s="156" t="n"/>
      <c r="L604" s="156">
        <f>IFERROR(VLOOKUP(F604&amp;G604,Pass!B:C,2,0),0)</f>
        <v/>
      </c>
      <c r="M604" s="156">
        <f>IFERROR(VLOOKUP(F604&amp;G604,Rush!B:C,2,0),0)</f>
        <v/>
      </c>
      <c r="N604" s="156">
        <f>IFERROR(VLOOKUP(F604&amp;G604,Rec!B:C,2,0),K604)</f>
        <v/>
      </c>
      <c r="O604" s="156">
        <f>IFERROR(VLOOKUP(F604&amp;G604,Returns!A:B,2,0),0)</f>
        <v/>
      </c>
      <c r="Q604" s="156" t="inlineStr">
        <is>
          <t>Tre Tucker</t>
        </is>
      </c>
      <c r="R604" s="156" t="inlineStr">
        <is>
          <t>LV</t>
        </is>
      </c>
      <c r="S604" s="156" t="inlineStr">
        <is>
          <t>WR</t>
        </is>
      </c>
    </row>
    <row r="605" hidden="1" ht="15.6" customHeight="1" s="152">
      <c r="A605" s="221" t="n">
        <v>284</v>
      </c>
      <c r="B605" s="218">
        <f>VLOOKUP(G605,Matrix!R:AA,10,0)</f>
        <v/>
      </c>
      <c r="C605" s="156">
        <f>IF(K605&gt;0.01,K605,IFERROR(VLOOKUP(F605&amp;G605,Rec!B:C,2,0),K605)+SUM(L605:O605))</f>
        <v/>
      </c>
      <c r="D605" s="218">
        <f>_xlfn.IFNA(INDEX('Injury Report'!F:F, MATCH(G605&amp;F605, 'Injury Report'!A:A, 0)), "Healthy")</f>
        <v/>
      </c>
      <c r="E605" s="219">
        <f>VLOOKUP(A605,'WR Depth'!A:G,7,0)-1</f>
        <v/>
      </c>
      <c r="F605" s="218">
        <f>VLOOKUP(A605,'WR Depth'!A:C,3,0)</f>
        <v/>
      </c>
      <c r="G605" s="218">
        <f>VLOOKUP(A605,'WR Depth'!A:B,2,0)</f>
        <v/>
      </c>
      <c r="H605" s="218">
        <f>VLOOKUP(A605,'WR Depth'!A:D,4,0)</f>
        <v/>
      </c>
      <c r="I605" s="218">
        <f>H605&amp;E605</f>
        <v/>
      </c>
      <c r="J605" s="220">
        <f>IF(VLOOKUP(F605,Rec!F:G,2,0)=G605,"OK","Check Team")</f>
        <v/>
      </c>
      <c r="K605" s="156" t="n"/>
      <c r="L605" s="156">
        <f>IFERROR(VLOOKUP(F605&amp;G605,Pass!B:C,2,0),0)</f>
        <v/>
      </c>
      <c r="M605" s="156">
        <f>IFERROR(VLOOKUP(F605&amp;G605,Rush!B:C,2,0),0)</f>
        <v/>
      </c>
      <c r="N605" s="156">
        <f>IFERROR(VLOOKUP(F605&amp;G605,Rec!B:C,2,0),K605)</f>
        <v/>
      </c>
      <c r="O605" s="156">
        <f>IFERROR(VLOOKUP(F605&amp;G605,Returns!A:B,2,0),0)</f>
        <v/>
      </c>
      <c r="Q605" s="156" t="inlineStr">
        <is>
          <t>Clayton Tune</t>
        </is>
      </c>
      <c r="R605" s="156" t="inlineStr">
        <is>
          <t>ARI</t>
        </is>
      </c>
      <c r="S605" s="156" t="inlineStr">
        <is>
          <t>QB</t>
        </is>
      </c>
    </row>
    <row r="606" hidden="1" ht="15.6" customHeight="1" s="152">
      <c r="A606" s="217" t="n">
        <v>285</v>
      </c>
      <c r="B606" s="218">
        <f>VLOOKUP(G606,Matrix!R:AA,10,0)</f>
        <v/>
      </c>
      <c r="C606" s="156">
        <f>IF(K606&gt;0.01,K606,IFERROR(VLOOKUP(F606&amp;G606,Rec!B:C,2,0),K606)+SUM(L606:O606))</f>
        <v/>
      </c>
      <c r="D606" s="218">
        <f>_xlfn.IFNA(INDEX('Injury Report'!F:F, MATCH(G606&amp;F606, 'Injury Report'!A:A, 0)), "Healthy")</f>
        <v/>
      </c>
      <c r="E606" s="219">
        <f>VLOOKUP(A606,'WR Depth'!A:G,7,0)-1</f>
        <v/>
      </c>
      <c r="F606" s="218">
        <f>VLOOKUP(A606,'WR Depth'!A:C,3,0)</f>
        <v/>
      </c>
      <c r="G606" s="218">
        <f>VLOOKUP(A606,'WR Depth'!A:B,2,0)</f>
        <v/>
      </c>
      <c r="H606" s="218">
        <f>VLOOKUP(A606,'WR Depth'!A:D,4,0)</f>
        <v/>
      </c>
      <c r="I606" s="218">
        <f>H606&amp;E606</f>
        <v/>
      </c>
      <c r="J606" s="220">
        <f>IF(VLOOKUP(F606,Rec!F:G,2,0)=G606,"OK","Check Team")</f>
        <v/>
      </c>
      <c r="K606" s="156" t="n"/>
      <c r="L606" s="156">
        <f>IFERROR(VLOOKUP(F606&amp;G606,Pass!B:C,2,0),0)</f>
        <v/>
      </c>
      <c r="M606" s="156">
        <f>IFERROR(VLOOKUP(F606&amp;G606,Rush!B:C,2,0),0)</f>
        <v/>
      </c>
      <c r="N606" s="156">
        <f>IFERROR(VLOOKUP(F606&amp;G606,Rec!B:C,2,0),K606)</f>
        <v/>
      </c>
      <c r="O606" s="156">
        <f>IFERROR(VLOOKUP(F606&amp;G606,Returns!A:B,2,0),0)</f>
        <v/>
      </c>
      <c r="Q606" s="156" t="inlineStr">
        <is>
          <t>DJ Turner</t>
        </is>
      </c>
      <c r="R606" s="156" t="inlineStr">
        <is>
          <t>LV</t>
        </is>
      </c>
      <c r="S606" s="156" t="inlineStr">
        <is>
          <t>WR</t>
        </is>
      </c>
    </row>
    <row r="607" hidden="1" ht="15.6" customHeight="1" s="152">
      <c r="A607" s="221" t="n">
        <v>286</v>
      </c>
      <c r="B607" s="218">
        <f>VLOOKUP(G607,Matrix!R:AA,10,0)</f>
        <v/>
      </c>
      <c r="C607" s="156">
        <f>IF(K607&gt;0.01,K607,IFERROR(VLOOKUP(F607&amp;G607,Rec!B:C,2,0),K607)+SUM(L607:O607))</f>
        <v/>
      </c>
      <c r="D607" s="218">
        <f>_xlfn.IFNA(INDEX('Injury Report'!F:F, MATCH(G607&amp;F607, 'Injury Report'!A:A, 0)), "Healthy")</f>
        <v/>
      </c>
      <c r="E607" s="219">
        <f>VLOOKUP(A607,'WR Depth'!A:G,7,0)-1</f>
        <v/>
      </c>
      <c r="F607" s="218">
        <f>VLOOKUP(A607,'WR Depth'!A:C,3,0)</f>
        <v/>
      </c>
      <c r="G607" s="218">
        <f>VLOOKUP(A607,'WR Depth'!A:B,2,0)</f>
        <v/>
      </c>
      <c r="H607" s="218">
        <f>VLOOKUP(A607,'WR Depth'!A:D,4,0)</f>
        <v/>
      </c>
      <c r="I607" s="218">
        <f>H607&amp;E607</f>
        <v/>
      </c>
      <c r="J607" s="220">
        <f>IF(VLOOKUP(F607,Rec!F:G,2,0)=G607,"OK","Check Team")</f>
        <v/>
      </c>
      <c r="K607" s="156" t="n"/>
      <c r="L607" s="156">
        <f>IFERROR(VLOOKUP(F607&amp;G607,Pass!B:C,2,0),0)</f>
        <v/>
      </c>
      <c r="M607" s="156">
        <f>IFERROR(VLOOKUP(F607&amp;G607,Rush!B:C,2,0),0)</f>
        <v/>
      </c>
      <c r="N607" s="156">
        <f>IFERROR(VLOOKUP(F607&amp;G607,Rec!B:C,2,0),K607)</f>
        <v/>
      </c>
      <c r="O607" s="156">
        <f>IFERROR(VLOOKUP(F607&amp;G607,Returns!A:B,2,0),0)</f>
        <v/>
      </c>
      <c r="Q607" s="156" t="inlineStr">
        <is>
          <t>Cole Turner</t>
        </is>
      </c>
      <c r="R607" s="156" t="inlineStr">
        <is>
          <t>FA</t>
        </is>
      </c>
      <c r="S607" s="156" t="inlineStr">
        <is>
          <t>TE</t>
        </is>
      </c>
    </row>
    <row r="608" hidden="1" ht="15.6" customHeight="1" s="152">
      <c r="A608" s="217" t="n">
        <v>287</v>
      </c>
      <c r="B608" s="218">
        <f>VLOOKUP(G608,Matrix!R:AA,10,0)</f>
        <v/>
      </c>
      <c r="C608" s="156">
        <f>IF(K608&gt;0.01,K608,IFERROR(VLOOKUP(F608&amp;G608,Rec!B:C,2,0),K608)+SUM(L608:O608))</f>
        <v/>
      </c>
      <c r="D608" s="218">
        <f>_xlfn.IFNA(INDEX('Injury Report'!F:F, MATCH(G608&amp;F608, 'Injury Report'!A:A, 0)), "Healthy")</f>
        <v/>
      </c>
      <c r="E608" s="219">
        <f>VLOOKUP(A608,'WR Depth'!A:G,7,0)-1</f>
        <v/>
      </c>
      <c r="F608" s="218">
        <f>VLOOKUP(A608,'WR Depth'!A:C,3,0)</f>
        <v/>
      </c>
      <c r="G608" s="218">
        <f>VLOOKUP(A608,'WR Depth'!A:B,2,0)</f>
        <v/>
      </c>
      <c r="H608" s="218">
        <f>VLOOKUP(A608,'WR Depth'!A:D,4,0)</f>
        <v/>
      </c>
      <c r="I608" s="218">
        <f>H608&amp;E608</f>
        <v/>
      </c>
      <c r="J608" s="220">
        <f>IF(VLOOKUP(F608,Rec!F:G,2,0)=G608,"OK","Check Team")</f>
        <v/>
      </c>
      <c r="K608" s="156" t="n"/>
      <c r="L608" s="156">
        <f>IFERROR(VLOOKUP(F608&amp;G608,Pass!B:C,2,0),0)</f>
        <v/>
      </c>
      <c r="M608" s="156">
        <f>IFERROR(VLOOKUP(F608&amp;G608,Rush!B:C,2,0),0)</f>
        <v/>
      </c>
      <c r="N608" s="156">
        <f>IFERROR(VLOOKUP(F608&amp;G608,Rec!B:C,2,0),K608)</f>
        <v/>
      </c>
      <c r="O608" s="156">
        <f>IFERROR(VLOOKUP(F608&amp;G608,Returns!A:B,2,0),0)</f>
        <v/>
      </c>
      <c r="Q608" s="156" t="inlineStr">
        <is>
          <t>KaVontae Turpin</t>
        </is>
      </c>
      <c r="R608" s="156" t="inlineStr">
        <is>
          <t>DAL</t>
        </is>
      </c>
      <c r="S608" s="156" t="inlineStr">
        <is>
          <t>WR</t>
        </is>
      </c>
    </row>
    <row r="609" hidden="1" ht="15.6" customHeight="1" s="152">
      <c r="A609" s="221" t="n">
        <v>288</v>
      </c>
      <c r="B609" s="218">
        <f>VLOOKUP(G609,Matrix!R:AA,10,0)</f>
        <v/>
      </c>
      <c r="C609" s="156">
        <f>IF(K609&gt;0.01,K609,IFERROR(VLOOKUP(F609&amp;G609,Rec!B:C,2,0),K609)+SUM(L609:O609))</f>
        <v/>
      </c>
      <c r="D609" s="218">
        <f>_xlfn.IFNA(INDEX('Injury Report'!F:F, MATCH(G609&amp;F609, 'Injury Report'!A:A, 0)), "Healthy")</f>
        <v/>
      </c>
      <c r="E609" s="219">
        <f>VLOOKUP(A609,'WR Depth'!A:G,7,0)-1</f>
        <v/>
      </c>
      <c r="F609" s="218">
        <f>VLOOKUP(A609,'WR Depth'!A:C,3,0)</f>
        <v/>
      </c>
      <c r="G609" s="218">
        <f>VLOOKUP(A609,'WR Depth'!A:B,2,0)</f>
        <v/>
      </c>
      <c r="H609" s="218">
        <f>VLOOKUP(A609,'WR Depth'!A:D,4,0)</f>
        <v/>
      </c>
      <c r="I609" s="218">
        <f>H609&amp;E609</f>
        <v/>
      </c>
      <c r="J609" s="220">
        <f>IF(VLOOKUP(F609,Rec!F:G,2,0)=G609,"OK","Check Team")</f>
        <v/>
      </c>
      <c r="K609" s="156" t="n"/>
      <c r="L609" s="156">
        <f>IFERROR(VLOOKUP(F609&amp;G609,Pass!B:C,2,0),0)</f>
        <v/>
      </c>
      <c r="M609" s="156">
        <f>IFERROR(VLOOKUP(F609&amp;G609,Rush!B:C,2,0),0)</f>
        <v/>
      </c>
      <c r="N609" s="156">
        <f>IFERROR(VLOOKUP(F609&amp;G609,Rec!B:C,2,0),K609)</f>
        <v/>
      </c>
      <c r="O609" s="156">
        <f>IFERROR(VLOOKUP(F609&amp;G609,Returns!A:B,2,0),0)</f>
        <v/>
      </c>
      <c r="Q609" s="156" t="inlineStr">
        <is>
          <t>C.J. Uzomah</t>
        </is>
      </c>
      <c r="R609" s="156" t="inlineStr">
        <is>
          <t>PHI</t>
        </is>
      </c>
      <c r="S609" s="156" t="inlineStr">
        <is>
          <t>TE</t>
        </is>
      </c>
    </row>
    <row r="610" hidden="1" ht="15.6" customHeight="1" s="152">
      <c r="A610" s="217" t="n">
        <v>1</v>
      </c>
      <c r="B610" s="218">
        <f>VLOOKUP(G610,Matrix!R:AA,10,0)</f>
        <v/>
      </c>
      <c r="C610" s="156">
        <f>IF(K610&gt;=0.01,K610,IFERROR(VLOOKUP(F610&amp;G610,Rec!B:C,2,0),K610)+SUM(L610:O610))</f>
        <v/>
      </c>
      <c r="D610" s="218">
        <f>_xlfn.IFNA(INDEX('Injury Report'!F:F, MATCH(G610&amp;F610, 'Injury Report'!A:A, 0)), "Healthy")</f>
        <v/>
      </c>
      <c r="E610" s="219">
        <f>VLOOKUP(A610,'TE Depth'!A:G,7,0)-1</f>
        <v/>
      </c>
      <c r="F610" s="218">
        <f>VLOOKUP(A610,'TE Depth'!A:C,3,0)</f>
        <v/>
      </c>
      <c r="G610" s="218">
        <f>VLOOKUP(A610,'TE Depth'!A:B,2,0)</f>
        <v/>
      </c>
      <c r="H610" s="218">
        <f>VLOOKUP(A610,'TE Depth'!A:D,4,0)</f>
        <v/>
      </c>
      <c r="I610" s="218">
        <f>H610&amp;E610</f>
        <v/>
      </c>
      <c r="J610" s="220">
        <f>IF(VLOOKUP(F610,Rec!F:G,2,0)=G610,"OK","Check Team")</f>
        <v/>
      </c>
      <c r="K610" s="156" t="n"/>
      <c r="L610" s="156">
        <f>IFERROR(VLOOKUP(F610&amp;G610,Pass!B:C,2,0),0)</f>
        <v/>
      </c>
      <c r="M610" s="156">
        <f>IFERROR(VLOOKUP(F610&amp;G610,Rush!B:C,2,0),0)</f>
        <v/>
      </c>
      <c r="N610" s="156">
        <f>IFERROR(VLOOKUP(F610&amp;G610,Rec!B:C,2,0),K610)</f>
        <v/>
      </c>
      <c r="O610" s="156">
        <f>IFERROR(VLOOKUP(F610&amp;G610,Returns!A:B,2,0),0)</f>
        <v/>
      </c>
      <c r="Q610" s="156" t="inlineStr">
        <is>
          <t>Sione Vaki</t>
        </is>
      </c>
      <c r="R610" s="156" t="inlineStr">
        <is>
          <t>DET</t>
        </is>
      </c>
      <c r="S610" s="156" t="inlineStr">
        <is>
          <t>RB</t>
        </is>
      </c>
    </row>
    <row r="611" hidden="1" ht="15.6" customHeight="1" s="152">
      <c r="A611" s="221" t="n">
        <v>2</v>
      </c>
      <c r="B611" s="218">
        <f>VLOOKUP(G611,Matrix!R:AA,10,0)</f>
        <v/>
      </c>
      <c r="C611" s="156">
        <f>IF(K611&gt;=0.01,K611,IFERROR(VLOOKUP(F611&amp;G611,Rec!B:C,2,0),K611)+SUM(L611:O611))</f>
        <v/>
      </c>
      <c r="D611" s="218">
        <f>_xlfn.IFNA(INDEX('Injury Report'!F:F, MATCH(G611&amp;F611, 'Injury Report'!A:A, 0)), "Healthy")</f>
        <v/>
      </c>
      <c r="E611" s="219">
        <f>VLOOKUP(A611,'TE Depth'!A:G,7,0)-1</f>
        <v/>
      </c>
      <c r="F611" s="218">
        <f>VLOOKUP(A611,'TE Depth'!A:C,3,0)</f>
        <v/>
      </c>
      <c r="G611" s="218">
        <f>VLOOKUP(A611,'TE Depth'!A:B,2,0)</f>
        <v/>
      </c>
      <c r="H611" s="218">
        <f>VLOOKUP(A611,'TE Depth'!A:D,4,0)</f>
        <v/>
      </c>
      <c r="I611" s="218">
        <f>H611&amp;E611</f>
        <v/>
      </c>
      <c r="J611" s="220">
        <f>IF(VLOOKUP(F611,Rec!F:G,2,0)=G611,"OK","Check Team")</f>
        <v/>
      </c>
      <c r="K611" s="156" t="n"/>
      <c r="L611" s="156">
        <f>IFERROR(VLOOKUP(F611&amp;G611,Pass!B:C,2,0),0)</f>
        <v/>
      </c>
      <c r="M611" s="156">
        <f>IFERROR(VLOOKUP(F611&amp;G611,Rush!B:C,2,0),0)</f>
        <v/>
      </c>
      <c r="N611" s="156">
        <f>IFERROR(VLOOKUP(F611&amp;G611,Rec!B:C,2,0),K611)</f>
        <v/>
      </c>
      <c r="O611" s="156">
        <f>IFERROR(VLOOKUP(F611&amp;G611,Returns!A:B,2,0),0)</f>
        <v/>
      </c>
      <c r="Q611" s="156" t="inlineStr">
        <is>
          <t>Marquez Valdes-Scantling</t>
        </is>
      </c>
      <c r="R611" s="156" t="inlineStr">
        <is>
          <t>NO</t>
        </is>
      </c>
      <c r="S611" s="156" t="inlineStr">
        <is>
          <t>WR</t>
        </is>
      </c>
    </row>
    <row r="612" hidden="1" ht="15.6" customHeight="1" s="152">
      <c r="A612" s="217" t="n">
        <v>3</v>
      </c>
      <c r="B612" s="218">
        <f>VLOOKUP(G612,Matrix!R:AA,10,0)</f>
        <v/>
      </c>
      <c r="C612" s="156">
        <f>IF(K612&gt;=0.01,K612,IFERROR(VLOOKUP(F612&amp;G612,Rec!B:C,2,0),K612)+SUM(L612:O612))</f>
        <v/>
      </c>
      <c r="D612" s="218">
        <f>_xlfn.IFNA(INDEX('Injury Report'!F:F, MATCH(G612&amp;F612, 'Injury Report'!A:A, 0)), "Healthy")</f>
        <v/>
      </c>
      <c r="E612" s="219">
        <f>VLOOKUP(A612,'TE Depth'!A:G,7,0)-1</f>
        <v/>
      </c>
      <c r="F612" s="218">
        <f>VLOOKUP(A612,'TE Depth'!A:C,3,0)</f>
        <v/>
      </c>
      <c r="G612" s="218">
        <f>VLOOKUP(A612,'TE Depth'!A:B,2,0)</f>
        <v/>
      </c>
      <c r="H612" s="218">
        <f>VLOOKUP(A612,'TE Depth'!A:D,4,0)</f>
        <v/>
      </c>
      <c r="I612" s="218">
        <f>H612&amp;E612</f>
        <v/>
      </c>
      <c r="J612" s="220">
        <f>IF(VLOOKUP(F612,Rec!F:G,2,0)=G612,"OK","Check Team")</f>
        <v/>
      </c>
      <c r="K612" s="156" t="n"/>
      <c r="L612" s="156">
        <f>IFERROR(VLOOKUP(F612&amp;G612,Pass!B:C,2,0),0)</f>
        <v/>
      </c>
      <c r="M612" s="156">
        <f>IFERROR(VLOOKUP(F612&amp;G612,Rush!B:C,2,0),0)</f>
        <v/>
      </c>
      <c r="N612" s="156">
        <f>IFERROR(VLOOKUP(F612&amp;G612,Rec!B:C,2,0),K612)</f>
        <v/>
      </c>
      <c r="O612" s="156">
        <f>IFERROR(VLOOKUP(F612&amp;G612,Returns!A:B,2,0),0)</f>
        <v/>
      </c>
      <c r="Q612" s="156" t="inlineStr">
        <is>
          <t>Nick Vannett</t>
        </is>
      </c>
      <c r="R612" s="156" t="inlineStr">
        <is>
          <t>TEN</t>
        </is>
      </c>
      <c r="S612" s="156" t="inlineStr">
        <is>
          <t>TE</t>
        </is>
      </c>
    </row>
    <row r="613" hidden="1" ht="15.6" customHeight="1" s="152">
      <c r="A613" s="221" t="n">
        <v>4</v>
      </c>
      <c r="B613" s="218">
        <f>VLOOKUP(G613,Matrix!R:AA,10,0)</f>
        <v/>
      </c>
      <c r="C613" s="156">
        <f>IF(K613&gt;=0.01,K613,IFERROR(VLOOKUP(F613&amp;G613,Rec!B:C,2,0),K613)+SUM(L613:O613))</f>
        <v/>
      </c>
      <c r="D613" s="218">
        <f>_xlfn.IFNA(INDEX('Injury Report'!F:F, MATCH(G613&amp;F613, 'Injury Report'!A:A, 0)), "Healthy")</f>
        <v/>
      </c>
      <c r="E613" s="219">
        <f>VLOOKUP(A613,'TE Depth'!A:G,7,0)-1</f>
        <v/>
      </c>
      <c r="F613" s="218">
        <f>VLOOKUP(A613,'TE Depth'!A:C,3,0)</f>
        <v/>
      </c>
      <c r="G613" s="218">
        <f>VLOOKUP(A613,'TE Depth'!A:B,2,0)</f>
        <v/>
      </c>
      <c r="H613" s="218">
        <f>VLOOKUP(A613,'TE Depth'!A:D,4,0)</f>
        <v/>
      </c>
      <c r="I613" s="218">
        <f>H613&amp;E613</f>
        <v/>
      </c>
      <c r="J613" s="220">
        <f>IF(VLOOKUP(F613,Rec!F:G,2,0)=G613,"OK","Check Team")</f>
        <v/>
      </c>
      <c r="K613" s="156" t="n"/>
      <c r="L613" s="156">
        <f>IFERROR(VLOOKUP(F613&amp;G613,Pass!B:C,2,0),0)</f>
        <v/>
      </c>
      <c r="M613" s="156">
        <f>IFERROR(VLOOKUP(F613&amp;G613,Rush!B:C,2,0),0)</f>
        <v/>
      </c>
      <c r="N613" s="156">
        <f>IFERROR(VLOOKUP(F613&amp;G613,Rec!B:C,2,0),K613)</f>
        <v/>
      </c>
      <c r="O613" s="156">
        <f>IFERROR(VLOOKUP(F613&amp;G613,Returns!A:B,2,0),0)</f>
        <v/>
      </c>
      <c r="Q613" s="156" t="inlineStr">
        <is>
          <t>Deuce Vaughn</t>
        </is>
      </c>
      <c r="R613" s="156" t="inlineStr">
        <is>
          <t>DAL</t>
        </is>
      </c>
      <c r="S613" s="156" t="inlineStr">
        <is>
          <t>RB</t>
        </is>
      </c>
    </row>
    <row r="614" hidden="1" ht="15.6" customHeight="1" s="152">
      <c r="A614" s="217" t="n">
        <v>5</v>
      </c>
      <c r="B614" s="218">
        <f>VLOOKUP(G614,Matrix!R:AA,10,0)</f>
        <v/>
      </c>
      <c r="C614" s="156">
        <f>IF(K614&gt;=0.01,K614,IFERROR(VLOOKUP(F614&amp;G614,Rec!B:C,2,0),K614)+SUM(L614:O614))</f>
        <v/>
      </c>
      <c r="D614" s="218">
        <f>_xlfn.IFNA(INDEX('Injury Report'!F:F, MATCH(G614&amp;F614, 'Injury Report'!A:A, 0)), "Healthy")</f>
        <v/>
      </c>
      <c r="E614" s="219">
        <f>VLOOKUP(A614,'TE Depth'!A:G,7,0)-1</f>
        <v/>
      </c>
      <c r="F614" s="218">
        <f>VLOOKUP(A614,'TE Depth'!A:C,3,0)</f>
        <v/>
      </c>
      <c r="G614" s="218">
        <f>VLOOKUP(A614,'TE Depth'!A:B,2,0)</f>
        <v/>
      </c>
      <c r="H614" s="218">
        <f>VLOOKUP(A614,'TE Depth'!A:D,4,0)</f>
        <v/>
      </c>
      <c r="I614" s="218">
        <f>H614&amp;E614</f>
        <v/>
      </c>
      <c r="J614" s="220">
        <f>IF(VLOOKUP(F614,Rec!F:G,2,0)=G614,"OK","Check Team")</f>
        <v/>
      </c>
      <c r="K614" s="156" t="n"/>
      <c r="L614" s="156">
        <f>IFERROR(VLOOKUP(F614&amp;G614,Pass!B:C,2,0),0)</f>
        <v/>
      </c>
      <c r="M614" s="156">
        <f>IFERROR(VLOOKUP(F614&amp;G614,Rush!B:C,2,0),0)</f>
        <v/>
      </c>
      <c r="N614" s="156">
        <f>IFERROR(VLOOKUP(F614&amp;G614,Rec!B:C,2,0),K614)</f>
        <v/>
      </c>
      <c r="O614" s="156">
        <f>IFERROR(VLOOKUP(F614&amp;G614,Returns!A:B,2,0),0)</f>
        <v/>
      </c>
      <c r="Q614" s="156" t="inlineStr">
        <is>
          <t>Ke'Shawn Vaughn</t>
        </is>
      </c>
      <c r="R614" s="156" t="inlineStr">
        <is>
          <t>FA</t>
        </is>
      </c>
      <c r="S614" s="156" t="inlineStr">
        <is>
          <t>RB</t>
        </is>
      </c>
    </row>
    <row r="615" hidden="1" ht="15.6" customHeight="1" s="152">
      <c r="A615" s="221" t="n">
        <v>6</v>
      </c>
      <c r="B615" s="218">
        <f>VLOOKUP(G615,Matrix!R:AA,10,0)</f>
        <v/>
      </c>
      <c r="C615" s="156">
        <f>IF(K615&gt;=0.01,K615,IFERROR(VLOOKUP(F615&amp;G615,Rec!B:C,2,0),K615)+SUM(L615:O615))</f>
        <v/>
      </c>
      <c r="D615" s="218">
        <f>_xlfn.IFNA(INDEX('Injury Report'!F:F, MATCH(G615&amp;F615, 'Injury Report'!A:A, 0)), "Healthy")</f>
        <v/>
      </c>
      <c r="E615" s="219">
        <f>VLOOKUP(A615,'TE Depth'!A:G,7,0)-1</f>
        <v/>
      </c>
      <c r="F615" s="218">
        <f>VLOOKUP(A615,'TE Depth'!A:C,3,0)</f>
        <v/>
      </c>
      <c r="G615" s="218">
        <f>VLOOKUP(A615,'TE Depth'!A:B,2,0)</f>
        <v/>
      </c>
      <c r="H615" s="218">
        <f>VLOOKUP(A615,'TE Depth'!A:D,4,0)</f>
        <v/>
      </c>
      <c r="I615" s="218">
        <f>H615&amp;E615</f>
        <v/>
      </c>
      <c r="J615" s="220">
        <f>IF(VLOOKUP(F615,Rec!F:G,2,0)=G615,"OK","Check Team")</f>
        <v/>
      </c>
      <c r="K615" s="156" t="n"/>
      <c r="L615" s="156">
        <f>IFERROR(VLOOKUP(F615&amp;G615,Pass!B:C,2,0),0)</f>
        <v/>
      </c>
      <c r="M615" s="156">
        <f>IFERROR(VLOOKUP(F615&amp;G615,Rush!B:C,2,0),0)</f>
        <v/>
      </c>
      <c r="N615" s="156">
        <f>IFERROR(VLOOKUP(F615&amp;G615,Rec!B:C,2,0),K615)</f>
        <v/>
      </c>
      <c r="O615" s="156">
        <f>IFERROR(VLOOKUP(F615&amp;G615,Returns!A:B,2,0),0)</f>
        <v/>
      </c>
      <c r="Q615" s="156" t="inlineStr">
        <is>
          <t>Devaughn Vele</t>
        </is>
      </c>
      <c r="R615" s="156" t="inlineStr">
        <is>
          <t>DEN</t>
        </is>
      </c>
      <c r="S615" s="156" t="inlineStr">
        <is>
          <t>WR</t>
        </is>
      </c>
    </row>
    <row r="616" hidden="1" ht="15.6" customHeight="1" s="152">
      <c r="A616" s="217" t="n">
        <v>7</v>
      </c>
      <c r="B616" s="218">
        <f>VLOOKUP(G616,Matrix!R:AA,10,0)</f>
        <v/>
      </c>
      <c r="C616" s="156">
        <f>IF(K616&gt;=0.01,K616,IFERROR(VLOOKUP(F616&amp;G616,Rec!B:C,2,0),K616)+SUM(L616:O616))</f>
        <v/>
      </c>
      <c r="D616" s="218">
        <f>_xlfn.IFNA(INDEX('Injury Report'!F:F, MATCH(G616&amp;F616, 'Injury Report'!A:A, 0)), "Healthy")</f>
        <v/>
      </c>
      <c r="E616" s="219">
        <f>VLOOKUP(A616,'TE Depth'!A:G,7,0)-1</f>
        <v/>
      </c>
      <c r="F616" s="218">
        <f>VLOOKUP(A616,'TE Depth'!A:C,3,0)</f>
        <v/>
      </c>
      <c r="G616" s="218">
        <f>VLOOKUP(A616,'TE Depth'!A:B,2,0)</f>
        <v/>
      </c>
      <c r="H616" s="218">
        <f>VLOOKUP(A616,'TE Depth'!A:D,4,0)</f>
        <v/>
      </c>
      <c r="I616" s="218">
        <f>H616&amp;E616</f>
        <v/>
      </c>
      <c r="J616" s="220">
        <f>IF(VLOOKUP(F616,Rec!F:G,2,0)=G616,"OK","Check Team")</f>
        <v/>
      </c>
      <c r="K616" s="156" t="n"/>
      <c r="L616" s="156">
        <f>IFERROR(VLOOKUP(F616&amp;G616,Pass!B:C,2,0),0)</f>
        <v/>
      </c>
      <c r="M616" s="156">
        <f>IFERROR(VLOOKUP(F616&amp;G616,Rush!B:C,2,0),0)</f>
        <v/>
      </c>
      <c r="N616" s="156">
        <f>IFERROR(VLOOKUP(F616&amp;G616,Rec!B:C,2,0),K616)</f>
        <v/>
      </c>
      <c r="O616" s="156">
        <f>IFERROR(VLOOKUP(F616&amp;G616,Returns!A:B,2,0),0)</f>
        <v/>
      </c>
      <c r="Q616" s="156" t="inlineStr">
        <is>
          <t>Kimani Vidal</t>
        </is>
      </c>
      <c r="R616" s="156" t="inlineStr">
        <is>
          <t>LAC</t>
        </is>
      </c>
      <c r="S616" s="156" t="inlineStr">
        <is>
          <t>RB</t>
        </is>
      </c>
    </row>
    <row r="617" hidden="1" ht="15.6" customHeight="1" s="152">
      <c r="A617" s="221" t="n">
        <v>8</v>
      </c>
      <c r="B617" s="218">
        <f>VLOOKUP(G617,Matrix!R:AA,10,0)</f>
        <v/>
      </c>
      <c r="C617" s="156">
        <f>IF(K617&gt;=0.01,K617,IFERROR(VLOOKUP(F617&amp;G617,Rec!B:C,2,0),K617)+SUM(L617:O617))</f>
        <v/>
      </c>
      <c r="D617" s="218">
        <f>_xlfn.IFNA(INDEX('Injury Report'!F:F, MATCH(G617&amp;F617, 'Injury Report'!A:A, 0)), "Healthy")</f>
        <v/>
      </c>
      <c r="E617" s="219">
        <f>VLOOKUP(A617,'TE Depth'!A:G,7,0)-1</f>
        <v/>
      </c>
      <c r="F617" s="218">
        <f>VLOOKUP(A617,'TE Depth'!A:C,3,0)</f>
        <v/>
      </c>
      <c r="G617" s="218">
        <f>VLOOKUP(A617,'TE Depth'!A:B,2,0)</f>
        <v/>
      </c>
      <c r="H617" s="218">
        <f>VLOOKUP(A617,'TE Depth'!A:D,4,0)</f>
        <v/>
      </c>
      <c r="I617" s="218">
        <f>H617&amp;E617</f>
        <v/>
      </c>
      <c r="J617" s="220">
        <f>IF(VLOOKUP(F617,Rec!F:G,2,0)=G617,"OK","Check Team")</f>
        <v/>
      </c>
      <c r="K617" s="156" t="n"/>
      <c r="L617" s="156">
        <f>IFERROR(VLOOKUP(F617&amp;G617,Pass!B:C,2,0),0)</f>
        <v/>
      </c>
      <c r="M617" s="156">
        <f>IFERROR(VLOOKUP(F617&amp;G617,Rush!B:C,2,0),0)</f>
        <v/>
      </c>
      <c r="N617" s="156">
        <f>IFERROR(VLOOKUP(F617&amp;G617,Rec!B:C,2,0),K617)</f>
        <v/>
      </c>
      <c r="O617" s="156">
        <f>IFERROR(VLOOKUP(F617&amp;G617,Returns!A:B,2,0),0)</f>
        <v/>
      </c>
      <c r="Q617" s="156" t="inlineStr">
        <is>
          <t>Tristan Vizcaino</t>
        </is>
      </c>
      <c r="R617" s="156" t="inlineStr">
        <is>
          <t>FA</t>
        </is>
      </c>
      <c r="S617" s="156" t="inlineStr">
        <is>
          <t>K</t>
        </is>
      </c>
    </row>
    <row r="618" hidden="1" ht="15.6" customHeight="1" s="152">
      <c r="A618" s="217" t="n">
        <v>9</v>
      </c>
      <c r="B618" s="218">
        <f>VLOOKUP(G618,Matrix!R:AA,10,0)</f>
        <v/>
      </c>
      <c r="C618" s="156">
        <f>IF(K618&gt;=0.01,K618,IFERROR(VLOOKUP(F618&amp;G618,Rec!B:C,2,0),K618)+SUM(L618:O618))</f>
        <v/>
      </c>
      <c r="D618" s="218">
        <f>_xlfn.IFNA(INDEX('Injury Report'!F:F, MATCH(G618&amp;F618, 'Injury Report'!A:A, 0)), "Healthy")</f>
        <v/>
      </c>
      <c r="E618" s="219">
        <f>VLOOKUP(A618,'TE Depth'!A:G,7,0)-1</f>
        <v/>
      </c>
      <c r="F618" s="218">
        <f>VLOOKUP(A618,'TE Depth'!A:C,3,0)</f>
        <v/>
      </c>
      <c r="G618" s="218">
        <f>VLOOKUP(A618,'TE Depth'!A:B,2,0)</f>
        <v/>
      </c>
      <c r="H618" s="218">
        <f>VLOOKUP(A618,'TE Depth'!A:D,4,0)</f>
        <v/>
      </c>
      <c r="I618" s="218">
        <f>H618&amp;E618</f>
        <v/>
      </c>
      <c r="J618" s="220">
        <f>IF(VLOOKUP(F618,Rec!F:G,2,0)=G618,"OK","Check Team")</f>
        <v/>
      </c>
      <c r="K618" s="156" t="n"/>
      <c r="L618" s="156">
        <f>IFERROR(VLOOKUP(F618&amp;G618,Pass!B:C,2,0),0)</f>
        <v/>
      </c>
      <c r="M618" s="156">
        <f>IFERROR(VLOOKUP(F618&amp;G618,Rush!B:C,2,0),0)</f>
        <v/>
      </c>
      <c r="N618" s="156">
        <f>IFERROR(VLOOKUP(F618&amp;G618,Rec!B:C,2,0),K618)</f>
        <v/>
      </c>
      <c r="O618" s="156">
        <f>IFERROR(VLOOKUP(F618&amp;G618,Returns!A:B,2,0),0)</f>
        <v/>
      </c>
      <c r="Q618" s="156" t="inlineStr">
        <is>
          <t>Jaylen Waddle</t>
        </is>
      </c>
      <c r="R618" s="156" t="inlineStr">
        <is>
          <t>MIA</t>
        </is>
      </c>
      <c r="S618" s="156" t="inlineStr">
        <is>
          <t>WR</t>
        </is>
      </c>
    </row>
    <row r="619" hidden="1" ht="15.6" customHeight="1" s="152">
      <c r="A619" s="221" t="n">
        <v>10</v>
      </c>
      <c r="B619" s="218">
        <f>VLOOKUP(G619,Matrix!R:AA,10,0)</f>
        <v/>
      </c>
      <c r="C619" s="156">
        <f>IF(K619&gt;=0.01,K619,IFERROR(VLOOKUP(F619&amp;G619,Rec!B:C,2,0),K619)+SUM(L619:O619))</f>
        <v/>
      </c>
      <c r="D619" s="218">
        <f>_xlfn.IFNA(INDEX('Injury Report'!F:F, MATCH(G619&amp;F619, 'Injury Report'!A:A, 0)), "Healthy")</f>
        <v/>
      </c>
      <c r="E619" s="219">
        <f>VLOOKUP(A619,'TE Depth'!A:G,7,0)-1</f>
        <v/>
      </c>
      <c r="F619" s="218">
        <f>VLOOKUP(A619,'TE Depth'!A:C,3,0)</f>
        <v/>
      </c>
      <c r="G619" s="218">
        <f>VLOOKUP(A619,'TE Depth'!A:B,2,0)</f>
        <v/>
      </c>
      <c r="H619" s="218">
        <f>VLOOKUP(A619,'TE Depth'!A:D,4,0)</f>
        <v/>
      </c>
      <c r="I619" s="218">
        <f>H619&amp;E619</f>
        <v/>
      </c>
      <c r="J619" s="220">
        <f>IF(VLOOKUP(F619,Rec!F:G,2,0)=G619,"OK","Check Team")</f>
        <v/>
      </c>
      <c r="K619" s="156" t="n"/>
      <c r="L619" s="156">
        <f>IFERROR(VLOOKUP(F619&amp;G619,Pass!B:C,2,0),0)</f>
        <v/>
      </c>
      <c r="M619" s="156">
        <f>IFERROR(VLOOKUP(F619&amp;G619,Rush!B:C,2,0),0)</f>
        <v/>
      </c>
      <c r="N619" s="156">
        <f>IFERROR(VLOOKUP(F619&amp;G619,Rec!B:C,2,0),K619)</f>
        <v/>
      </c>
      <c r="O619" s="156">
        <f>IFERROR(VLOOKUP(F619&amp;G619,Returns!A:B,2,0),0)</f>
        <v/>
      </c>
      <c r="Q619" s="156" t="inlineStr">
        <is>
          <t>Kenneth Walker</t>
        </is>
      </c>
      <c r="R619" s="156" t="inlineStr">
        <is>
          <t>SEA</t>
        </is>
      </c>
      <c r="S619" s="156" t="inlineStr">
        <is>
          <t>RB</t>
        </is>
      </c>
    </row>
    <row r="620" hidden="1" ht="15.6" customHeight="1" s="152">
      <c r="A620" s="217" t="n">
        <v>11</v>
      </c>
      <c r="B620" s="218">
        <f>VLOOKUP(G620,Matrix!R:AA,10,0)</f>
        <v/>
      </c>
      <c r="C620" s="156">
        <f>IF(K620&gt;=0.01,K620,IFERROR(VLOOKUP(F620&amp;G620,Rec!B:C,2,0),K620)+SUM(L620:O620))</f>
        <v/>
      </c>
      <c r="D620" s="218">
        <f>_xlfn.IFNA(INDEX('Injury Report'!F:F, MATCH(G620&amp;F620, 'Injury Report'!A:A, 0)), "Healthy")</f>
        <v/>
      </c>
      <c r="E620" s="219">
        <f>VLOOKUP(A620,'TE Depth'!A:G,7,0)-1</f>
        <v/>
      </c>
      <c r="F620" s="218">
        <f>VLOOKUP(A620,'TE Depth'!A:C,3,0)</f>
        <v/>
      </c>
      <c r="G620" s="218">
        <f>VLOOKUP(A620,'TE Depth'!A:B,2,0)</f>
        <v/>
      </c>
      <c r="H620" s="218">
        <f>VLOOKUP(A620,'TE Depth'!A:D,4,0)</f>
        <v/>
      </c>
      <c r="I620" s="218">
        <f>H620&amp;E620</f>
        <v/>
      </c>
      <c r="J620" s="220">
        <f>IF(VLOOKUP(F620,Rec!F:G,2,0)=G620,"OK","Check Team")</f>
        <v/>
      </c>
      <c r="K620" s="156" t="n"/>
      <c r="L620" s="156">
        <f>IFERROR(VLOOKUP(F620&amp;G620,Pass!B:C,2,0),0)</f>
        <v/>
      </c>
      <c r="M620" s="156">
        <f>IFERROR(VLOOKUP(F620&amp;G620,Rush!B:C,2,0),0)</f>
        <v/>
      </c>
      <c r="N620" s="156">
        <f>IFERROR(VLOOKUP(F620&amp;G620,Rec!B:C,2,0),K620)</f>
        <v/>
      </c>
      <c r="O620" s="156">
        <f>IFERROR(VLOOKUP(F620&amp;G620,Returns!A:B,2,0),0)</f>
        <v/>
      </c>
      <c r="Q620" s="156" t="inlineStr">
        <is>
          <t>Devontez Walker</t>
        </is>
      </c>
      <c r="R620" s="156" t="inlineStr">
        <is>
          <t>BAL</t>
        </is>
      </c>
      <c r="S620" s="156" t="inlineStr">
        <is>
          <t>WR</t>
        </is>
      </c>
    </row>
    <row r="621" hidden="1" ht="15.6" customHeight="1" s="152">
      <c r="A621" s="221" t="n">
        <v>12</v>
      </c>
      <c r="B621" s="218">
        <f>VLOOKUP(G621,Matrix!R:AA,10,0)</f>
        <v/>
      </c>
      <c r="C621" s="156">
        <f>IF(K621&gt;=0.01,K621,IFERROR(VLOOKUP(F621&amp;G621,Rec!B:C,2,0),K621)+SUM(L621:O621))</f>
        <v/>
      </c>
      <c r="D621" s="218">
        <f>_xlfn.IFNA(INDEX('Injury Report'!F:F, MATCH(G621&amp;F621, 'Injury Report'!A:A, 0)), "Healthy")</f>
        <v/>
      </c>
      <c r="E621" s="219">
        <f>VLOOKUP(A621,'TE Depth'!A:G,7,0)-1</f>
        <v/>
      </c>
      <c r="F621" s="218">
        <f>VLOOKUP(A621,'TE Depth'!A:C,3,0)</f>
        <v/>
      </c>
      <c r="G621" s="218">
        <f>VLOOKUP(A621,'TE Depth'!A:B,2,0)</f>
        <v/>
      </c>
      <c r="H621" s="218">
        <f>VLOOKUP(A621,'TE Depth'!A:D,4,0)</f>
        <v/>
      </c>
      <c r="I621" s="218">
        <f>H621&amp;E621</f>
        <v/>
      </c>
      <c r="J621" s="220">
        <f>IF(VLOOKUP(F621,Rec!F:G,2,0)=G621,"OK","Check Team")</f>
        <v/>
      </c>
      <c r="K621" s="156" t="n"/>
      <c r="L621" s="156">
        <f>IFERROR(VLOOKUP(F621&amp;G621,Pass!B:C,2,0),0)</f>
        <v/>
      </c>
      <c r="M621" s="156">
        <f>IFERROR(VLOOKUP(F621&amp;G621,Rush!B:C,2,0),0)</f>
        <v/>
      </c>
      <c r="N621" s="156">
        <f>IFERROR(VLOOKUP(F621&amp;G621,Rec!B:C,2,0),K621)</f>
        <v/>
      </c>
      <c r="O621" s="156">
        <f>IFERROR(VLOOKUP(F621&amp;G621,Returns!A:B,2,0),0)</f>
        <v/>
      </c>
      <c r="Q621" s="156" t="inlineStr">
        <is>
          <t>Tylan Wallace</t>
        </is>
      </c>
      <c r="R621" s="156" t="inlineStr">
        <is>
          <t>BAL</t>
        </is>
      </c>
      <c r="S621" s="156" t="inlineStr">
        <is>
          <t>WR</t>
        </is>
      </c>
    </row>
    <row r="622" hidden="1" ht="15.6" customHeight="1" s="152">
      <c r="A622" s="217" t="n">
        <v>13</v>
      </c>
      <c r="B622" s="218">
        <f>VLOOKUP(G622,Matrix!R:AA,10,0)</f>
        <v/>
      </c>
      <c r="C622" s="156">
        <f>IF(K622&gt;=0.01,K622,IFERROR(VLOOKUP(F622&amp;G622,Rec!B:C,2,0),K622)+SUM(L622:O622))</f>
        <v/>
      </c>
      <c r="D622" s="218">
        <f>_xlfn.IFNA(INDEX('Injury Report'!F:F, MATCH(G622&amp;F622, 'Injury Report'!A:A, 0)), "Healthy")</f>
        <v/>
      </c>
      <c r="E622" s="219">
        <f>VLOOKUP(A622,'TE Depth'!A:G,7,0)-1</f>
        <v/>
      </c>
      <c r="F622" s="218">
        <f>VLOOKUP(A622,'TE Depth'!A:C,3,0)</f>
        <v/>
      </c>
      <c r="G622" s="218">
        <f>VLOOKUP(A622,'TE Depth'!A:B,2,0)</f>
        <v/>
      </c>
      <c r="H622" s="218">
        <f>VLOOKUP(A622,'TE Depth'!A:D,4,0)</f>
        <v/>
      </c>
      <c r="I622" s="218">
        <f>H622&amp;E622</f>
        <v/>
      </c>
      <c r="J622" s="220">
        <f>IF(VLOOKUP(F622,Rec!F:G,2,0)=G622,"OK","Check Team")</f>
        <v/>
      </c>
      <c r="K622" s="156" t="n"/>
      <c r="L622" s="156">
        <f>IFERROR(VLOOKUP(F622&amp;G622,Pass!B:C,2,0),0)</f>
        <v/>
      </c>
      <c r="M622" s="156">
        <f>IFERROR(VLOOKUP(F622&amp;G622,Rush!B:C,2,0),0)</f>
        <v/>
      </c>
      <c r="N622" s="156">
        <f>IFERROR(VLOOKUP(F622&amp;G622,Rec!B:C,2,0),K622)</f>
        <v/>
      </c>
      <c r="O622" s="156">
        <f>IFERROR(VLOOKUP(F622&amp;G622,Returns!A:B,2,0),0)</f>
        <v/>
      </c>
      <c r="Q622" s="156" t="inlineStr">
        <is>
          <t>Darren Waller</t>
        </is>
      </c>
      <c r="R622" s="156" t="inlineStr">
        <is>
          <t>FA</t>
        </is>
      </c>
      <c r="S622" s="156" t="inlineStr">
        <is>
          <t>TE</t>
        </is>
      </c>
    </row>
    <row r="623" hidden="1" ht="15.6" customHeight="1" s="152">
      <c r="A623" s="221" t="n">
        <v>14</v>
      </c>
      <c r="B623" s="218">
        <f>VLOOKUP(G623,Matrix!R:AA,10,0)</f>
        <v/>
      </c>
      <c r="C623" s="156">
        <f>IF(K623&gt;=0.01,K623,IFERROR(VLOOKUP(F623&amp;G623,Rec!B:C,2,0),K623)+SUM(L623:O623))</f>
        <v/>
      </c>
      <c r="D623" s="218">
        <f>_xlfn.IFNA(INDEX('Injury Report'!F:F, MATCH(G623&amp;F623, 'Injury Report'!A:A, 0)), "Healthy")</f>
        <v/>
      </c>
      <c r="E623" s="219">
        <f>VLOOKUP(A623,'TE Depth'!A:G,7,0)-1</f>
        <v/>
      </c>
      <c r="F623" s="218">
        <f>VLOOKUP(A623,'TE Depth'!A:C,3,0)</f>
        <v/>
      </c>
      <c r="G623" s="218">
        <f>VLOOKUP(A623,'TE Depth'!A:B,2,0)</f>
        <v/>
      </c>
      <c r="H623" s="218">
        <f>VLOOKUP(A623,'TE Depth'!A:D,4,0)</f>
        <v/>
      </c>
      <c r="I623" s="218">
        <f>H623&amp;E623</f>
        <v/>
      </c>
      <c r="J623" s="220">
        <f>IF(VLOOKUP(F623,Rec!F:G,2,0)=G623,"OK","Check Team")</f>
        <v/>
      </c>
      <c r="K623" s="156" t="n"/>
      <c r="L623" s="156">
        <f>IFERROR(VLOOKUP(F623&amp;G623,Pass!B:C,2,0),0)</f>
        <v/>
      </c>
      <c r="M623" s="156">
        <f>IFERROR(VLOOKUP(F623&amp;G623,Rush!B:C,2,0),0)</f>
        <v/>
      </c>
      <c r="N623" s="156">
        <f>IFERROR(VLOOKUP(F623&amp;G623,Rec!B:C,2,0),K623)</f>
        <v/>
      </c>
      <c r="O623" s="156">
        <f>IFERROR(VLOOKUP(F623&amp;G623,Returns!A:B,2,0),0)</f>
        <v/>
      </c>
      <c r="Q623" s="156" t="inlineStr">
        <is>
          <t>Jaylen Warren</t>
        </is>
      </c>
      <c r="R623" s="156" t="inlineStr">
        <is>
          <t>PIT</t>
        </is>
      </c>
      <c r="S623" s="156" t="inlineStr">
        <is>
          <t>RB</t>
        </is>
      </c>
    </row>
    <row r="624" hidden="1" ht="15.6" customHeight="1" s="152">
      <c r="A624" s="217" t="n">
        <v>15</v>
      </c>
      <c r="B624" s="218">
        <f>VLOOKUP(G624,Matrix!R:AA,10,0)</f>
        <v/>
      </c>
      <c r="C624" s="156">
        <f>IF(K624&gt;=0.01,K624,IFERROR(VLOOKUP(F624&amp;G624,Rec!B:C,2,0),K624)+SUM(L624:O624))</f>
        <v/>
      </c>
      <c r="D624" s="218">
        <f>_xlfn.IFNA(INDEX('Injury Report'!F:F, MATCH(G624&amp;F624, 'Injury Report'!A:A, 0)), "Healthy")</f>
        <v/>
      </c>
      <c r="E624" s="219">
        <f>VLOOKUP(A624,'TE Depth'!A:G,7,0)-1</f>
        <v/>
      </c>
      <c r="F624" s="218">
        <f>VLOOKUP(A624,'TE Depth'!A:C,3,0)</f>
        <v/>
      </c>
      <c r="G624" s="218">
        <f>VLOOKUP(A624,'TE Depth'!A:B,2,0)</f>
        <v/>
      </c>
      <c r="H624" s="218">
        <f>VLOOKUP(A624,'TE Depth'!A:D,4,0)</f>
        <v/>
      </c>
      <c r="I624" s="218">
        <f>H624&amp;E624</f>
        <v/>
      </c>
      <c r="J624" s="220">
        <f>IF(VLOOKUP(F624,Rec!F:G,2,0)=G624,"OK","Check Team")</f>
        <v/>
      </c>
      <c r="K624" s="156" t="n"/>
      <c r="L624" s="156">
        <f>IFERROR(VLOOKUP(F624&amp;G624,Pass!B:C,2,0),0)</f>
        <v/>
      </c>
      <c r="M624" s="156">
        <f>IFERROR(VLOOKUP(F624&amp;G624,Rush!B:C,2,0),0)</f>
        <v/>
      </c>
      <c r="N624" s="156">
        <f>IFERROR(VLOOKUP(F624&amp;G624,Rec!B:C,2,0),K624)</f>
        <v/>
      </c>
      <c r="O624" s="156">
        <f>IFERROR(VLOOKUP(F624&amp;G624,Returns!A:B,2,0),0)</f>
        <v/>
      </c>
      <c r="Q624" s="156" t="inlineStr">
        <is>
          <t>Parker Washington</t>
        </is>
      </c>
      <c r="R624" s="156" t="inlineStr">
        <is>
          <t>JAX</t>
        </is>
      </c>
      <c r="S624" s="156" t="inlineStr">
        <is>
          <t>WR</t>
        </is>
      </c>
    </row>
    <row r="625" hidden="1" ht="15.6" customHeight="1" s="152">
      <c r="A625" s="221" t="n">
        <v>16</v>
      </c>
      <c r="B625" s="218">
        <f>VLOOKUP(G625,Matrix!R:AA,10,0)</f>
        <v/>
      </c>
      <c r="C625" s="156">
        <f>IF(K625&gt;=0.01,K625,IFERROR(VLOOKUP(F625&amp;G625,Rec!B:C,2,0),K625)+SUM(L625:O625))</f>
        <v/>
      </c>
      <c r="D625" s="218">
        <f>_xlfn.IFNA(INDEX('Injury Report'!F:F, MATCH(G625&amp;F625, 'Injury Report'!A:A, 0)), "Healthy")</f>
        <v/>
      </c>
      <c r="E625" s="219">
        <f>VLOOKUP(A625,'TE Depth'!A:G,7,0)-1</f>
        <v/>
      </c>
      <c r="F625" s="218">
        <f>VLOOKUP(A625,'TE Depth'!A:C,3,0)</f>
        <v/>
      </c>
      <c r="G625" s="218">
        <f>VLOOKUP(A625,'TE Depth'!A:B,2,0)</f>
        <v/>
      </c>
      <c r="H625" s="218">
        <f>VLOOKUP(A625,'TE Depth'!A:D,4,0)</f>
        <v/>
      </c>
      <c r="I625" s="218">
        <f>H625&amp;E625</f>
        <v/>
      </c>
      <c r="J625" s="220">
        <f>IF(VLOOKUP(F625,Rec!F:G,2,0)=G625,"OK","Check Team")</f>
        <v/>
      </c>
      <c r="K625" s="156" t="n"/>
      <c r="L625" s="156">
        <f>IFERROR(VLOOKUP(F625&amp;G625,Pass!B:C,2,0),0)</f>
        <v/>
      </c>
      <c r="M625" s="156">
        <f>IFERROR(VLOOKUP(F625&amp;G625,Rush!B:C,2,0),0)</f>
        <v/>
      </c>
      <c r="N625" s="156">
        <f>IFERROR(VLOOKUP(F625&amp;G625,Rec!B:C,2,0),K625)</f>
        <v/>
      </c>
      <c r="O625" s="156">
        <f>IFERROR(VLOOKUP(F625&amp;G625,Returns!A:B,2,0),0)</f>
        <v/>
      </c>
      <c r="Q625" s="156" t="inlineStr">
        <is>
          <t>Darnell Washington</t>
        </is>
      </c>
      <c r="R625" s="156" t="inlineStr">
        <is>
          <t>PIT</t>
        </is>
      </c>
      <c r="S625" s="156" t="inlineStr">
        <is>
          <t>TE</t>
        </is>
      </c>
    </row>
    <row r="626" hidden="1" ht="15.6" customHeight="1" s="152">
      <c r="A626" s="217" t="n">
        <v>17</v>
      </c>
      <c r="B626" s="218">
        <f>VLOOKUP(G626,Matrix!R:AA,10,0)</f>
        <v/>
      </c>
      <c r="C626" s="156">
        <f>IF(K626&gt;=0.01,K626,IFERROR(VLOOKUP(F626&amp;G626,Rec!B:C,2,0),K626)+SUM(L626:O626))</f>
        <v/>
      </c>
      <c r="D626" s="218">
        <f>_xlfn.IFNA(INDEX('Injury Report'!F:F, MATCH(G626&amp;F626, 'Injury Report'!A:A, 0)), "Healthy")</f>
        <v/>
      </c>
      <c r="E626" s="219">
        <f>VLOOKUP(A626,'TE Depth'!A:G,7,0)-1</f>
        <v/>
      </c>
      <c r="F626" s="218">
        <f>VLOOKUP(A626,'TE Depth'!A:C,3,0)</f>
        <v/>
      </c>
      <c r="G626" s="218">
        <f>VLOOKUP(A626,'TE Depth'!A:B,2,0)</f>
        <v/>
      </c>
      <c r="H626" s="218">
        <f>VLOOKUP(A626,'TE Depth'!A:D,4,0)</f>
        <v/>
      </c>
      <c r="I626" s="218">
        <f>H626&amp;E626</f>
        <v/>
      </c>
      <c r="J626" s="220">
        <f>IF(VLOOKUP(F626,Rec!F:G,2,0)=G626,"OK","Check Team")</f>
        <v/>
      </c>
      <c r="K626" s="156" t="n"/>
      <c r="L626" s="156">
        <f>IFERROR(VLOOKUP(F626&amp;G626,Pass!B:C,2,0),0)</f>
        <v/>
      </c>
      <c r="M626" s="156">
        <f>IFERROR(VLOOKUP(F626&amp;G626,Rush!B:C,2,0),0)</f>
        <v/>
      </c>
      <c r="N626" s="156">
        <f>IFERROR(VLOOKUP(F626&amp;G626,Rec!B:C,2,0),K626)</f>
        <v/>
      </c>
      <c r="O626" s="156">
        <f>IFERROR(VLOOKUP(F626&amp;G626,Returns!A:B,2,0),0)</f>
        <v/>
      </c>
      <c r="Q626" s="156" t="inlineStr">
        <is>
          <t>Carlos Washington</t>
        </is>
      </c>
      <c r="R626" s="156" t="inlineStr">
        <is>
          <t>ATL</t>
        </is>
      </c>
      <c r="S626" s="156" t="inlineStr">
        <is>
          <t>RB</t>
        </is>
      </c>
    </row>
    <row r="627" hidden="1" ht="15.6" customHeight="1" s="152">
      <c r="A627" s="221" t="n">
        <v>18</v>
      </c>
      <c r="B627" s="218">
        <f>VLOOKUP(G627,Matrix!R:AA,10,0)</f>
        <v/>
      </c>
      <c r="C627" s="156">
        <f>IF(K627&gt;=0.01,K627,IFERROR(VLOOKUP(F627&amp;G627,Rec!B:C,2,0),K627)+SUM(L627:O627))</f>
        <v/>
      </c>
      <c r="D627" s="218">
        <f>_xlfn.IFNA(INDEX('Injury Report'!F:F, MATCH(G627&amp;F627, 'Injury Report'!A:A, 0)), "Healthy")</f>
        <v/>
      </c>
      <c r="E627" s="219">
        <f>VLOOKUP(A627,'TE Depth'!A:G,7,0)-1</f>
        <v/>
      </c>
      <c r="F627" s="218">
        <f>VLOOKUP(A627,'TE Depth'!A:C,3,0)</f>
        <v/>
      </c>
      <c r="G627" s="218">
        <f>VLOOKUP(A627,'TE Depth'!A:B,2,0)</f>
        <v/>
      </c>
      <c r="H627" s="218">
        <f>VLOOKUP(A627,'TE Depth'!A:D,4,0)</f>
        <v/>
      </c>
      <c r="I627" s="218">
        <f>H627&amp;E627</f>
        <v/>
      </c>
      <c r="J627" s="220">
        <f>IF(VLOOKUP(F627,Rec!F:G,2,0)=G627,"OK","Check Team")</f>
        <v/>
      </c>
      <c r="K627" s="156" t="n"/>
      <c r="L627" s="156">
        <f>IFERROR(VLOOKUP(F627&amp;G627,Pass!B:C,2,0),0)</f>
        <v/>
      </c>
      <c r="M627" s="156">
        <f>IFERROR(VLOOKUP(F627&amp;G627,Rush!B:C,2,0),0)</f>
        <v/>
      </c>
      <c r="N627" s="156">
        <f>IFERROR(VLOOKUP(F627&amp;G627,Rec!B:C,2,0),K627)</f>
        <v/>
      </c>
      <c r="O627" s="156">
        <f>IFERROR(VLOOKUP(F627&amp;G627,Returns!A:B,2,0),0)</f>
        <v/>
      </c>
      <c r="Q627" s="156" t="inlineStr">
        <is>
          <t>Casey Washington</t>
        </is>
      </c>
      <c r="R627" s="156" t="inlineStr">
        <is>
          <t>ATL</t>
        </is>
      </c>
      <c r="S627" s="156" t="inlineStr">
        <is>
          <t>WR</t>
        </is>
      </c>
    </row>
    <row r="628" hidden="1" ht="15.6" customHeight="1" s="152">
      <c r="A628" s="217" t="n">
        <v>19</v>
      </c>
      <c r="B628" s="218">
        <f>VLOOKUP(G628,Matrix!R:AA,10,0)</f>
        <v/>
      </c>
      <c r="C628" s="156">
        <f>IF(K628&gt;=0.01,K628,IFERROR(VLOOKUP(F628&amp;G628,Rec!B:C,2,0),K628)+SUM(L628:O628))</f>
        <v/>
      </c>
      <c r="D628" s="218">
        <f>_xlfn.IFNA(INDEX('Injury Report'!F:F, MATCH(G628&amp;F628, 'Injury Report'!A:A, 0)), "Healthy")</f>
        <v/>
      </c>
      <c r="E628" s="219">
        <f>VLOOKUP(A628,'TE Depth'!A:G,7,0)-1</f>
        <v/>
      </c>
      <c r="F628" s="218">
        <f>VLOOKUP(A628,'TE Depth'!A:C,3,0)</f>
        <v/>
      </c>
      <c r="G628" s="218">
        <f>VLOOKUP(A628,'TE Depth'!A:B,2,0)</f>
        <v/>
      </c>
      <c r="H628" s="218">
        <f>VLOOKUP(A628,'TE Depth'!A:D,4,0)</f>
        <v/>
      </c>
      <c r="I628" s="218">
        <f>H628&amp;E628</f>
        <v/>
      </c>
      <c r="J628" s="220">
        <f>IF(VLOOKUP(F628,Rec!F:G,2,0)=G628,"OK","Check Team")</f>
        <v/>
      </c>
      <c r="K628" s="156" t="n"/>
      <c r="L628" s="156">
        <f>IFERROR(VLOOKUP(F628&amp;G628,Pass!B:C,2,0),0)</f>
        <v/>
      </c>
      <c r="M628" s="156">
        <f>IFERROR(VLOOKUP(F628&amp;G628,Rush!B:C,2,0),0)</f>
        <v/>
      </c>
      <c r="N628" s="156">
        <f>IFERROR(VLOOKUP(F628&amp;G628,Rec!B:C,2,0),K628)</f>
        <v/>
      </c>
      <c r="O628" s="156">
        <f>IFERROR(VLOOKUP(F628&amp;G628,Returns!A:B,2,0),0)</f>
        <v/>
      </c>
      <c r="Q628" s="156" t="inlineStr">
        <is>
          <t>Malik Washington</t>
        </is>
      </c>
      <c r="R628" s="156" t="inlineStr">
        <is>
          <t>MIA</t>
        </is>
      </c>
      <c r="S628" s="156" t="inlineStr">
        <is>
          <t>WR</t>
        </is>
      </c>
    </row>
    <row r="629" hidden="1" ht="15.6" customHeight="1" s="152">
      <c r="A629" s="221" t="n">
        <v>20</v>
      </c>
      <c r="B629" s="218">
        <f>VLOOKUP(G629,Matrix!R:AA,10,0)</f>
        <v/>
      </c>
      <c r="C629" s="156">
        <f>IF(K629&gt;=0.01,K629,IFERROR(VLOOKUP(F629&amp;G629,Rec!B:C,2,0),K629)+SUM(L629:O629))</f>
        <v/>
      </c>
      <c r="D629" s="218">
        <f>_xlfn.IFNA(INDEX('Injury Report'!F:F, MATCH(G629&amp;F629, 'Injury Report'!A:A, 0)), "Healthy")</f>
        <v/>
      </c>
      <c r="E629" s="219">
        <f>VLOOKUP(A629,'TE Depth'!A:G,7,0)-1</f>
        <v/>
      </c>
      <c r="F629" s="218">
        <f>VLOOKUP(A629,'TE Depth'!A:C,3,0)</f>
        <v/>
      </c>
      <c r="G629" s="218">
        <f>VLOOKUP(A629,'TE Depth'!A:B,2,0)</f>
        <v/>
      </c>
      <c r="H629" s="218">
        <f>VLOOKUP(A629,'TE Depth'!A:D,4,0)</f>
        <v/>
      </c>
      <c r="I629" s="218">
        <f>H629&amp;E629</f>
        <v/>
      </c>
      <c r="J629" s="220">
        <f>IF(VLOOKUP(F629,Rec!F:G,2,0)=G629,"OK","Check Team")</f>
        <v/>
      </c>
      <c r="K629" s="156" t="n"/>
      <c r="L629" s="156">
        <f>IFERROR(VLOOKUP(F629&amp;G629,Pass!B:C,2,0),0)</f>
        <v/>
      </c>
      <c r="M629" s="156">
        <f>IFERROR(VLOOKUP(F629&amp;G629,Rush!B:C,2,0),0)</f>
        <v/>
      </c>
      <c r="N629" s="156">
        <f>IFERROR(VLOOKUP(F629&amp;G629,Rec!B:C,2,0),K629)</f>
        <v/>
      </c>
      <c r="O629" s="156">
        <f>IFERROR(VLOOKUP(F629&amp;G629,Returns!A:B,2,0),0)</f>
        <v/>
      </c>
      <c r="Q629" s="156" t="inlineStr">
        <is>
          <t>Tahj Washington</t>
        </is>
      </c>
      <c r="R629" s="156" t="inlineStr">
        <is>
          <t>MIA</t>
        </is>
      </c>
      <c r="S629" s="156" t="inlineStr">
        <is>
          <t>WR</t>
        </is>
      </c>
    </row>
    <row r="630" hidden="1" ht="15.6" customHeight="1" s="152">
      <c r="A630" s="217" t="n">
        <v>21</v>
      </c>
      <c r="B630" s="218">
        <f>VLOOKUP(G630,Matrix!R:AA,10,0)</f>
        <v/>
      </c>
      <c r="C630" s="156">
        <f>IF(K630&gt;=0.01,K630,IFERROR(VLOOKUP(F630&amp;G630,Rec!B:C,2,0),K630)+SUM(L630:O630))</f>
        <v/>
      </c>
      <c r="D630" s="218">
        <f>_xlfn.IFNA(INDEX('Injury Report'!F:F, MATCH(G630&amp;F630, 'Injury Report'!A:A, 0)), "Healthy")</f>
        <v/>
      </c>
      <c r="E630" s="219">
        <f>VLOOKUP(A630,'TE Depth'!A:G,7,0)-1</f>
        <v/>
      </c>
      <c r="F630" s="218">
        <f>VLOOKUP(A630,'TE Depth'!A:C,3,0)</f>
        <v/>
      </c>
      <c r="G630" s="218">
        <f>VLOOKUP(A630,'TE Depth'!A:B,2,0)</f>
        <v/>
      </c>
      <c r="H630" s="218">
        <f>VLOOKUP(A630,'TE Depth'!A:D,4,0)</f>
        <v/>
      </c>
      <c r="I630" s="218">
        <f>H630&amp;E630</f>
        <v/>
      </c>
      <c r="J630" s="220">
        <f>IF(VLOOKUP(F630,Rec!F:G,2,0)=G630,"OK","Check Team")</f>
        <v/>
      </c>
      <c r="K630" s="156" t="n"/>
      <c r="L630" s="156">
        <f>IFERROR(VLOOKUP(F630&amp;G630,Pass!B:C,2,0),0)</f>
        <v/>
      </c>
      <c r="M630" s="156">
        <f>IFERROR(VLOOKUP(F630&amp;G630,Rush!B:C,2,0),0)</f>
        <v/>
      </c>
      <c r="N630" s="156">
        <f>IFERROR(VLOOKUP(F630&amp;G630,Rec!B:C,2,0),K630)</f>
        <v/>
      </c>
      <c r="O630" s="156">
        <f>IFERROR(VLOOKUP(F630&amp;G630,Returns!A:B,2,0),0)</f>
        <v/>
      </c>
      <c r="Q630" s="156" t="inlineStr">
        <is>
          <t>Quez Watkins</t>
        </is>
      </c>
      <c r="R630" s="156" t="inlineStr">
        <is>
          <t>FA</t>
        </is>
      </c>
      <c r="S630" s="156" t="inlineStr">
        <is>
          <t>WR</t>
        </is>
      </c>
    </row>
    <row r="631" hidden="1" ht="15.6" customHeight="1" s="152">
      <c r="A631" s="221" t="n">
        <v>22</v>
      </c>
      <c r="B631" s="218">
        <f>VLOOKUP(G631,Matrix!R:AA,10,0)</f>
        <v/>
      </c>
      <c r="C631" s="156">
        <f>IF(K631&gt;=0.01,K631,IFERROR(VLOOKUP(F631&amp;G631,Rec!B:C,2,0),K631)+SUM(L631:O631))</f>
        <v/>
      </c>
      <c r="D631" s="218">
        <f>_xlfn.IFNA(INDEX('Injury Report'!F:F, MATCH(G631&amp;F631, 'Injury Report'!A:A, 0)), "Healthy")</f>
        <v/>
      </c>
      <c r="E631" s="219">
        <f>VLOOKUP(A631,'TE Depth'!A:G,7,0)-1</f>
        <v/>
      </c>
      <c r="F631" s="218">
        <f>VLOOKUP(A631,'TE Depth'!A:C,3,0)</f>
        <v/>
      </c>
      <c r="G631" s="218">
        <f>VLOOKUP(A631,'TE Depth'!A:B,2,0)</f>
        <v/>
      </c>
      <c r="H631" s="218">
        <f>VLOOKUP(A631,'TE Depth'!A:D,4,0)</f>
        <v/>
      </c>
      <c r="I631" s="218">
        <f>H631&amp;E631</f>
        <v/>
      </c>
      <c r="J631" s="220">
        <f>IF(VLOOKUP(F631,Rec!F:G,2,0)=G631,"OK","Check Team")</f>
        <v/>
      </c>
      <c r="K631" s="156" t="n"/>
      <c r="L631" s="156">
        <f>IFERROR(VLOOKUP(F631&amp;G631,Pass!B:C,2,0),0)</f>
        <v/>
      </c>
      <c r="M631" s="156">
        <f>IFERROR(VLOOKUP(F631&amp;G631,Rush!B:C,2,0),0)</f>
        <v/>
      </c>
      <c r="N631" s="156">
        <f>IFERROR(VLOOKUP(F631&amp;G631,Rec!B:C,2,0),K631)</f>
        <v/>
      </c>
      <c r="O631" s="156">
        <f>IFERROR(VLOOKUP(F631&amp;G631,Returns!A:B,2,0),0)</f>
        <v/>
      </c>
      <c r="Q631" s="156" t="inlineStr">
        <is>
          <t>Deshaun Watson</t>
        </is>
      </c>
      <c r="R631" s="156" t="inlineStr">
        <is>
          <t>CLE</t>
        </is>
      </c>
      <c r="S631" s="156" t="inlineStr">
        <is>
          <t>QB</t>
        </is>
      </c>
    </row>
    <row r="632" hidden="1" ht="15.6" customHeight="1" s="152">
      <c r="A632" s="217" t="n">
        <v>23</v>
      </c>
      <c r="B632" s="218">
        <f>VLOOKUP(G632,Matrix!R:AA,10,0)</f>
        <v/>
      </c>
      <c r="C632" s="156">
        <f>IF(K632&gt;=0.01,K632,IFERROR(VLOOKUP(F632&amp;G632,Rec!B:C,2,0),K632)+SUM(L632:O632))</f>
        <v/>
      </c>
      <c r="D632" s="218">
        <f>_xlfn.IFNA(INDEX('Injury Report'!F:F, MATCH(G632&amp;F632, 'Injury Report'!A:A, 0)), "Healthy")</f>
        <v/>
      </c>
      <c r="E632" s="219">
        <f>VLOOKUP(A632,'TE Depth'!A:G,7,0)-1</f>
        <v/>
      </c>
      <c r="F632" s="218">
        <f>VLOOKUP(A632,'TE Depth'!A:C,3,0)</f>
        <v/>
      </c>
      <c r="G632" s="218">
        <f>VLOOKUP(A632,'TE Depth'!A:B,2,0)</f>
        <v/>
      </c>
      <c r="H632" s="218">
        <f>VLOOKUP(A632,'TE Depth'!A:D,4,0)</f>
        <v/>
      </c>
      <c r="I632" s="218">
        <f>H632&amp;E632</f>
        <v/>
      </c>
      <c r="J632" s="220">
        <f>IF(VLOOKUP(F632,Rec!F:G,2,0)=G632,"OK","Check Team")</f>
        <v/>
      </c>
      <c r="K632" s="156" t="n"/>
      <c r="L632" s="156">
        <f>IFERROR(VLOOKUP(F632&amp;G632,Pass!B:C,2,0),0)</f>
        <v/>
      </c>
      <c r="M632" s="156">
        <f>IFERROR(VLOOKUP(F632&amp;G632,Rush!B:C,2,0),0)</f>
        <v/>
      </c>
      <c r="N632" s="156">
        <f>IFERROR(VLOOKUP(F632&amp;G632,Rec!B:C,2,0),K632)</f>
        <v/>
      </c>
      <c r="O632" s="156">
        <f>IFERROR(VLOOKUP(F632&amp;G632,Returns!A:B,2,0),0)</f>
        <v/>
      </c>
      <c r="Q632" s="156" t="inlineStr">
        <is>
          <t>Justin Watson</t>
        </is>
      </c>
      <c r="R632" s="156" t="inlineStr">
        <is>
          <t>KC</t>
        </is>
      </c>
      <c r="S632" s="156" t="inlineStr">
        <is>
          <t>WR</t>
        </is>
      </c>
    </row>
    <row r="633" hidden="1" ht="15.6" customHeight="1" s="152">
      <c r="A633" s="221" t="n">
        <v>24</v>
      </c>
      <c r="B633" s="218">
        <f>VLOOKUP(G633,Matrix!R:AA,10,0)</f>
        <v/>
      </c>
      <c r="C633" s="156">
        <f>IF(K633&gt;=0.01,K633,IFERROR(VLOOKUP(F633&amp;G633,Rec!B:C,2,0),K633)+SUM(L633:O633))</f>
        <v/>
      </c>
      <c r="D633" s="218">
        <f>_xlfn.IFNA(INDEX('Injury Report'!F:F, MATCH(G633&amp;F633, 'Injury Report'!A:A, 0)), "Healthy")</f>
        <v/>
      </c>
      <c r="E633" s="219">
        <f>VLOOKUP(A633,'TE Depth'!A:G,7,0)-1</f>
        <v/>
      </c>
      <c r="F633" s="218">
        <f>VLOOKUP(A633,'TE Depth'!A:C,3,0)</f>
        <v/>
      </c>
      <c r="G633" s="218">
        <f>VLOOKUP(A633,'TE Depth'!A:B,2,0)</f>
        <v/>
      </c>
      <c r="H633" s="218">
        <f>VLOOKUP(A633,'TE Depth'!A:D,4,0)</f>
        <v/>
      </c>
      <c r="I633" s="218">
        <f>H633&amp;E633</f>
        <v/>
      </c>
      <c r="J633" s="220">
        <f>IF(VLOOKUP(F633,Rec!F:G,2,0)=G633,"OK","Check Team")</f>
        <v/>
      </c>
      <c r="K633" s="156" t="n"/>
      <c r="L633" s="156">
        <f>IFERROR(VLOOKUP(F633&amp;G633,Pass!B:C,2,0),0)</f>
        <v/>
      </c>
      <c r="M633" s="156">
        <f>IFERROR(VLOOKUP(F633&amp;G633,Rush!B:C,2,0),0)</f>
        <v/>
      </c>
      <c r="N633" s="156">
        <f>IFERROR(VLOOKUP(F633&amp;G633,Rec!B:C,2,0),K633)</f>
        <v/>
      </c>
      <c r="O633" s="156">
        <f>IFERROR(VLOOKUP(F633&amp;G633,Returns!A:B,2,0),0)</f>
        <v/>
      </c>
      <c r="Q633" s="156" t="inlineStr">
        <is>
          <t>Christian Watson</t>
        </is>
      </c>
      <c r="R633" s="156" t="inlineStr">
        <is>
          <t>GB</t>
        </is>
      </c>
      <c r="S633" s="156" t="inlineStr">
        <is>
          <t>WR</t>
        </is>
      </c>
    </row>
    <row r="634" hidden="1" ht="15.6" customHeight="1" s="152">
      <c r="A634" s="217" t="n">
        <v>25</v>
      </c>
      <c r="B634" s="218">
        <f>VLOOKUP(G634,Matrix!R:AA,10,0)</f>
        <v/>
      </c>
      <c r="C634" s="156">
        <f>IF(K634&gt;=0.01,K634,IFERROR(VLOOKUP(F634&amp;G634,Rec!B:C,2,0),K634)+SUM(L634:O634))</f>
        <v/>
      </c>
      <c r="D634" s="218">
        <f>_xlfn.IFNA(INDEX('Injury Report'!F:F, MATCH(G634&amp;F634, 'Injury Report'!A:A, 0)), "Healthy")</f>
        <v/>
      </c>
      <c r="E634" s="219">
        <f>VLOOKUP(A634,'TE Depth'!A:G,7,0)-1</f>
        <v/>
      </c>
      <c r="F634" s="218">
        <f>VLOOKUP(A634,'TE Depth'!A:C,3,0)</f>
        <v/>
      </c>
      <c r="G634" s="218">
        <f>VLOOKUP(A634,'TE Depth'!A:B,2,0)</f>
        <v/>
      </c>
      <c r="H634" s="218">
        <f>VLOOKUP(A634,'TE Depth'!A:D,4,0)</f>
        <v/>
      </c>
      <c r="I634" s="218">
        <f>H634&amp;E634</f>
        <v/>
      </c>
      <c r="J634" s="220">
        <f>IF(VLOOKUP(F634,Rec!F:G,2,0)=G634,"OK","Check Team")</f>
        <v/>
      </c>
      <c r="K634" s="156" t="n"/>
      <c r="L634" s="156">
        <f>IFERROR(VLOOKUP(F634&amp;G634,Pass!B:C,2,0),0)</f>
        <v/>
      </c>
      <c r="M634" s="156">
        <f>IFERROR(VLOOKUP(F634&amp;G634,Rush!B:C,2,0),0)</f>
        <v/>
      </c>
      <c r="N634" s="156">
        <f>IFERROR(VLOOKUP(F634&amp;G634,Rec!B:C,2,0),K634)</f>
        <v/>
      </c>
      <c r="O634" s="156">
        <f>IFERROR(VLOOKUP(F634&amp;G634,Returns!A:B,2,0),0)</f>
        <v/>
      </c>
      <c r="Q634" s="156" t="inlineStr">
        <is>
          <t>Blake Watson</t>
        </is>
      </c>
      <c r="R634" s="156" t="inlineStr">
        <is>
          <t>DEN</t>
        </is>
      </c>
      <c r="S634" s="156" t="inlineStr">
        <is>
          <t>RB</t>
        </is>
      </c>
    </row>
    <row r="635" hidden="1" ht="15.6" customHeight="1" s="152">
      <c r="A635" s="221" t="n">
        <v>26</v>
      </c>
      <c r="B635" s="218">
        <f>VLOOKUP(G635,Matrix!R:AA,10,0)</f>
        <v/>
      </c>
      <c r="C635" s="156">
        <f>IF(K635&gt;=0.01,K635,IFERROR(VLOOKUP(F635&amp;G635,Rec!B:C,2,0),K635)+SUM(L635:O635))</f>
        <v/>
      </c>
      <c r="D635" s="218">
        <f>_xlfn.IFNA(INDEX('Injury Report'!F:F, MATCH(G635&amp;F635, 'Injury Report'!A:A, 0)), "Healthy")</f>
        <v/>
      </c>
      <c r="E635" s="219">
        <f>VLOOKUP(A635,'TE Depth'!A:G,7,0)-1</f>
        <v/>
      </c>
      <c r="F635" s="218">
        <f>VLOOKUP(A635,'TE Depth'!A:C,3,0)</f>
        <v/>
      </c>
      <c r="G635" s="218">
        <f>VLOOKUP(A635,'TE Depth'!A:B,2,0)</f>
        <v/>
      </c>
      <c r="H635" s="218">
        <f>VLOOKUP(A635,'TE Depth'!A:D,4,0)</f>
        <v/>
      </c>
      <c r="I635" s="218">
        <f>H635&amp;E635</f>
        <v/>
      </c>
      <c r="J635" s="220">
        <f>IF(VLOOKUP(F635,Rec!F:G,2,0)=G635,"OK","Check Team")</f>
        <v/>
      </c>
      <c r="K635" s="156" t="n"/>
      <c r="L635" s="156">
        <f>IFERROR(VLOOKUP(F635&amp;G635,Pass!B:C,2,0),0)</f>
        <v/>
      </c>
      <c r="M635" s="156">
        <f>IFERROR(VLOOKUP(F635&amp;G635,Rush!B:C,2,0),0)</f>
        <v/>
      </c>
      <c r="N635" s="156">
        <f>IFERROR(VLOOKUP(F635&amp;G635,Rec!B:C,2,0),K635)</f>
        <v/>
      </c>
      <c r="O635" s="156">
        <f>IFERROR(VLOOKUP(F635&amp;G635,Returns!A:B,2,0),0)</f>
        <v/>
      </c>
      <c r="Q635" s="156" t="inlineStr">
        <is>
          <t>Carson Wentz</t>
        </is>
      </c>
      <c r="R635" s="156" t="inlineStr">
        <is>
          <t>KC</t>
        </is>
      </c>
      <c r="S635" s="156" t="inlineStr">
        <is>
          <t>QB</t>
        </is>
      </c>
    </row>
    <row r="636" hidden="1" ht="15.6" customHeight="1" s="152">
      <c r="A636" s="217" t="n">
        <v>27</v>
      </c>
      <c r="B636" s="218">
        <f>VLOOKUP(G636,Matrix!R:AA,10,0)</f>
        <v/>
      </c>
      <c r="C636" s="156">
        <f>IF(K636&gt;=0.01,K636,IFERROR(VLOOKUP(F636&amp;G636,Rec!B:C,2,0),K636)+SUM(L636:O636))</f>
        <v/>
      </c>
      <c r="D636" s="218">
        <f>_xlfn.IFNA(INDEX('Injury Report'!F:F, MATCH(G636&amp;F636, 'Injury Report'!A:A, 0)), "Healthy")</f>
        <v/>
      </c>
      <c r="E636" s="219">
        <f>VLOOKUP(A636,'TE Depth'!A:G,7,0)-1</f>
        <v/>
      </c>
      <c r="F636" s="218">
        <f>VLOOKUP(A636,'TE Depth'!A:C,3,0)</f>
        <v/>
      </c>
      <c r="G636" s="218">
        <f>VLOOKUP(A636,'TE Depth'!A:B,2,0)</f>
        <v/>
      </c>
      <c r="H636" s="218">
        <f>VLOOKUP(A636,'TE Depth'!A:D,4,0)</f>
        <v/>
      </c>
      <c r="I636" s="218">
        <f>H636&amp;E636</f>
        <v/>
      </c>
      <c r="J636" s="220">
        <f>IF(VLOOKUP(F636,Rec!F:G,2,0)=G636,"OK","Check Team")</f>
        <v/>
      </c>
      <c r="K636" s="156" t="n"/>
      <c r="L636" s="156">
        <f>IFERROR(VLOOKUP(F636&amp;G636,Pass!B:C,2,0),0)</f>
        <v/>
      </c>
      <c r="M636" s="156">
        <f>IFERROR(VLOOKUP(F636&amp;G636,Rush!B:C,2,0),0)</f>
        <v/>
      </c>
      <c r="N636" s="156">
        <f>IFERROR(VLOOKUP(F636&amp;G636,Rec!B:C,2,0),K636)</f>
        <v/>
      </c>
      <c r="O636" s="156">
        <f>IFERROR(VLOOKUP(F636&amp;G636,Returns!A:B,2,0),0)</f>
        <v/>
      </c>
      <c r="Q636" s="156" t="inlineStr">
        <is>
          <t>Nick Westbrook-Ikhine</t>
        </is>
      </c>
      <c r="R636" s="156" t="inlineStr">
        <is>
          <t>TEN</t>
        </is>
      </c>
      <c r="S636" s="156" t="inlineStr">
        <is>
          <t>WR</t>
        </is>
      </c>
      <c r="T636" s="156" t="n"/>
      <c r="U636" s="156" t="n"/>
      <c r="V636" s="156" t="n"/>
      <c r="W636" s="156" t="n"/>
      <c r="X636" s="156" t="n"/>
      <c r="Y636" s="156" t="n"/>
      <c r="Z636" s="156" t="n"/>
      <c r="AA636" s="156" t="n"/>
      <c r="AB636" s="156" t="n"/>
    </row>
    <row r="637" hidden="1" ht="15.6" customHeight="1" s="152">
      <c r="A637" s="221" t="n">
        <v>28</v>
      </c>
      <c r="B637" s="218">
        <f>VLOOKUP(G637,Matrix!R:AA,10,0)</f>
        <v/>
      </c>
      <c r="C637" s="156">
        <f>IF(K637&gt;=0.01,K637,IFERROR(VLOOKUP(F637&amp;G637,Rec!B:C,2,0),K637)+SUM(L637:O637))</f>
        <v/>
      </c>
      <c r="D637" s="218">
        <f>_xlfn.IFNA(INDEX('Injury Report'!F:F, MATCH(G637&amp;F637, 'Injury Report'!A:A, 0)), "Healthy")</f>
        <v/>
      </c>
      <c r="E637" s="219">
        <f>VLOOKUP(A637,'TE Depth'!A:G,7,0)-1</f>
        <v/>
      </c>
      <c r="F637" s="218">
        <f>VLOOKUP(A637,'TE Depth'!A:C,3,0)</f>
        <v/>
      </c>
      <c r="G637" s="218">
        <f>VLOOKUP(A637,'TE Depth'!A:B,2,0)</f>
        <v/>
      </c>
      <c r="H637" s="218">
        <f>VLOOKUP(A637,'TE Depth'!A:D,4,0)</f>
        <v/>
      </c>
      <c r="I637" s="218">
        <f>H637&amp;E637</f>
        <v/>
      </c>
      <c r="J637" s="220">
        <f>IF(VLOOKUP(F637,Rec!F:G,2,0)=G637,"OK","Check Team")</f>
        <v/>
      </c>
      <c r="K637" s="156" t="n"/>
      <c r="L637" s="156">
        <f>IFERROR(VLOOKUP(F637&amp;G637,Pass!B:C,2,0),0)</f>
        <v/>
      </c>
      <c r="M637" s="156">
        <f>IFERROR(VLOOKUP(F637&amp;G637,Rush!B:C,2,0),0)</f>
        <v/>
      </c>
      <c r="N637" s="156">
        <f>IFERROR(VLOOKUP(F637&amp;G637,Rec!B:C,2,0),K637)</f>
        <v/>
      </c>
      <c r="O637" s="156">
        <f>IFERROR(VLOOKUP(F637&amp;G637,Returns!A:B,2,0),0)</f>
        <v/>
      </c>
      <c r="Q637" s="156" t="inlineStr">
        <is>
          <t>Zamir White</t>
        </is>
      </c>
      <c r="R637" s="156" t="inlineStr">
        <is>
          <t>LV</t>
        </is>
      </c>
      <c r="S637" s="156" t="inlineStr">
        <is>
          <t>RB</t>
        </is>
      </c>
    </row>
    <row r="638" hidden="1" ht="15.6" customHeight="1" s="152">
      <c r="A638" s="217" t="n">
        <v>29</v>
      </c>
      <c r="B638" s="218">
        <f>VLOOKUP(G638,Matrix!R:AA,10,0)</f>
        <v/>
      </c>
      <c r="C638" s="156">
        <f>IF(K638&gt;=0.01,K638,IFERROR(VLOOKUP(F638&amp;G638,Rec!B:C,2,0),K638)+SUM(L638:O638))</f>
        <v/>
      </c>
      <c r="D638" s="218">
        <f>_xlfn.IFNA(INDEX('Injury Report'!F:F, MATCH(G638&amp;F638, 'Injury Report'!A:A, 0)), "Healthy")</f>
        <v/>
      </c>
      <c r="E638" s="219">
        <f>VLOOKUP(A638,'TE Depth'!A:G,7,0)-1</f>
        <v/>
      </c>
      <c r="F638" s="218">
        <f>VLOOKUP(A638,'TE Depth'!A:C,3,0)</f>
        <v/>
      </c>
      <c r="G638" s="218">
        <f>VLOOKUP(A638,'TE Depth'!A:B,2,0)</f>
        <v/>
      </c>
      <c r="H638" s="218">
        <f>VLOOKUP(A638,'TE Depth'!A:D,4,0)</f>
        <v/>
      </c>
      <c r="I638" s="218">
        <f>H638&amp;E638</f>
        <v/>
      </c>
      <c r="J638" s="220">
        <f>IF(VLOOKUP(F638,Rec!F:G,2,0)=G638,"OK","Check Team")</f>
        <v/>
      </c>
      <c r="K638" s="156" t="n"/>
      <c r="L638" s="156">
        <f>IFERROR(VLOOKUP(F638&amp;G638,Pass!B:C,2,0),0)</f>
        <v/>
      </c>
      <c r="M638" s="156">
        <f>IFERROR(VLOOKUP(F638&amp;G638,Rush!B:C,2,0),0)</f>
        <v/>
      </c>
      <c r="N638" s="156">
        <f>IFERROR(VLOOKUP(F638&amp;G638,Rec!B:C,2,0),K638)</f>
        <v/>
      </c>
      <c r="O638" s="156">
        <f>IFERROR(VLOOKUP(F638&amp;G638,Returns!A:B,2,0),0)</f>
        <v/>
      </c>
      <c r="Q638" s="156" t="inlineStr">
        <is>
          <t>Rachaad White</t>
        </is>
      </c>
      <c r="R638" s="156" t="inlineStr">
        <is>
          <t>TB</t>
        </is>
      </c>
      <c r="S638" s="156" t="inlineStr">
        <is>
          <t>RB</t>
        </is>
      </c>
    </row>
    <row r="639" hidden="1" ht="15.6" customHeight="1" s="152">
      <c r="A639" s="221" t="n">
        <v>30</v>
      </c>
      <c r="B639" s="218">
        <f>VLOOKUP(G639,Matrix!R:AA,10,0)</f>
        <v/>
      </c>
      <c r="C639" s="156">
        <f>IF(K639&gt;=0.01,K639,IFERROR(VLOOKUP(F639&amp;G639,Rec!B:C,2,0),K639)+SUM(L639:O639))</f>
        <v/>
      </c>
      <c r="D639" s="218">
        <f>_xlfn.IFNA(INDEX('Injury Report'!F:F, MATCH(G639&amp;F639, 'Injury Report'!A:A, 0)), "Healthy")</f>
        <v/>
      </c>
      <c r="E639" s="219">
        <f>VLOOKUP(A639,'TE Depth'!A:G,7,0)-1</f>
        <v/>
      </c>
      <c r="F639" s="218">
        <f>VLOOKUP(A639,'TE Depth'!A:C,3,0)</f>
        <v/>
      </c>
      <c r="G639" s="218">
        <f>VLOOKUP(A639,'TE Depth'!A:B,2,0)</f>
        <v/>
      </c>
      <c r="H639" s="218">
        <f>VLOOKUP(A639,'TE Depth'!A:D,4,0)</f>
        <v/>
      </c>
      <c r="I639" s="218">
        <f>H639&amp;E639</f>
        <v/>
      </c>
      <c r="J639" s="220">
        <f>IF(VLOOKUP(F639,Rec!F:G,2,0)=G639,"OK","Check Team")</f>
        <v/>
      </c>
      <c r="K639" s="156" t="n"/>
      <c r="L639" s="156">
        <f>IFERROR(VLOOKUP(F639&amp;G639,Pass!B:C,2,0),0)</f>
        <v/>
      </c>
      <c r="M639" s="156">
        <f>IFERROR(VLOOKUP(F639&amp;G639,Rush!B:C,2,0),0)</f>
        <v/>
      </c>
      <c r="N639" s="156">
        <f>IFERROR(VLOOKUP(F639&amp;G639,Rec!B:C,2,0),K639)</f>
        <v/>
      </c>
      <c r="O639" s="156">
        <f>IFERROR(VLOOKUP(F639&amp;G639,Returns!A:B,2,0),0)</f>
        <v/>
      </c>
      <c r="Q639" s="156" t="inlineStr">
        <is>
          <t>Mike White</t>
        </is>
      </c>
      <c r="R639" s="156" t="inlineStr">
        <is>
          <t>BUF</t>
        </is>
      </c>
      <c r="S639" s="156" t="inlineStr">
        <is>
          <t>QB</t>
        </is>
      </c>
    </row>
    <row r="640" hidden="1" ht="15.6" customHeight="1" s="152">
      <c r="A640" s="217" t="n">
        <v>31</v>
      </c>
      <c r="B640" s="218">
        <f>VLOOKUP(G640,Matrix!R:AA,10,0)</f>
        <v/>
      </c>
      <c r="C640" s="156">
        <f>IF(K640&gt;=0.01,K640,IFERROR(VLOOKUP(F640&amp;G640,Rec!B:C,2,0),K640)+SUM(L640:O640))</f>
        <v/>
      </c>
      <c r="D640" s="218">
        <f>_xlfn.IFNA(INDEX('Injury Report'!F:F, MATCH(G640&amp;F640, 'Injury Report'!A:A, 0)), "Healthy")</f>
        <v/>
      </c>
      <c r="E640" s="219">
        <f>VLOOKUP(A640,'TE Depth'!A:G,7,0)-1</f>
        <v/>
      </c>
      <c r="F640" s="218">
        <f>VLOOKUP(A640,'TE Depth'!A:C,3,0)</f>
        <v/>
      </c>
      <c r="G640" s="218">
        <f>VLOOKUP(A640,'TE Depth'!A:B,2,0)</f>
        <v/>
      </c>
      <c r="H640" s="218">
        <f>VLOOKUP(A640,'TE Depth'!A:D,4,0)</f>
        <v/>
      </c>
      <c r="I640" s="218">
        <f>H640&amp;E640</f>
        <v/>
      </c>
      <c r="J640" s="220">
        <f>IF(VLOOKUP(F640,Rec!F:G,2,0)=G640,"OK","Check Team")</f>
        <v/>
      </c>
      <c r="K640" s="156" t="n"/>
      <c r="L640" s="156">
        <f>IFERROR(VLOOKUP(F640&amp;G640,Pass!B:C,2,0),0)</f>
        <v/>
      </c>
      <c r="M640" s="156">
        <f>IFERROR(VLOOKUP(F640&amp;G640,Rush!B:C,2,0),0)</f>
        <v/>
      </c>
      <c r="N640" s="156">
        <f>IFERROR(VLOOKUP(F640&amp;G640,Rec!B:C,2,0),K640)</f>
        <v/>
      </c>
      <c r="O640" s="156">
        <f>IFERROR(VLOOKUP(F640&amp;G640,Returns!A:B,2,0),0)</f>
        <v/>
      </c>
      <c r="Q640" s="156" t="inlineStr">
        <is>
          <t>Blake Whiteheart</t>
        </is>
      </c>
      <c r="R640" s="156" t="inlineStr">
        <is>
          <t>CLE</t>
        </is>
      </c>
      <c r="S640" s="156" t="inlineStr">
        <is>
          <t>TE</t>
        </is>
      </c>
    </row>
    <row r="641" hidden="1" ht="15.6" customHeight="1" s="152">
      <c r="A641" s="221" t="n">
        <v>32</v>
      </c>
      <c r="B641" s="218">
        <f>VLOOKUP(G641,Matrix!R:AA,10,0)</f>
        <v/>
      </c>
      <c r="C641" s="156">
        <f>IF(K641&gt;=0.01,K641,IFERROR(VLOOKUP(F641&amp;G641,Rec!B:C,2,0),K641)+SUM(L641:O641))</f>
        <v/>
      </c>
      <c r="D641" s="218">
        <f>_xlfn.IFNA(INDEX('Injury Report'!F:F, MATCH(G641&amp;F641, 'Injury Report'!A:A, 0)), "Healthy")</f>
        <v/>
      </c>
      <c r="E641" s="219">
        <f>VLOOKUP(A641,'TE Depth'!A:G,7,0)-1</f>
        <v/>
      </c>
      <c r="F641" s="218">
        <f>VLOOKUP(A641,'TE Depth'!A:C,3,0)</f>
        <v/>
      </c>
      <c r="G641" s="218">
        <f>VLOOKUP(A641,'TE Depth'!A:B,2,0)</f>
        <v/>
      </c>
      <c r="H641" s="218">
        <f>VLOOKUP(A641,'TE Depth'!A:D,4,0)</f>
        <v/>
      </c>
      <c r="I641" s="218">
        <f>H641&amp;E641</f>
        <v/>
      </c>
      <c r="J641" s="220">
        <f>IF(VLOOKUP(F641,Rec!F:G,2,0)=G641,"OK","Check Team")</f>
        <v/>
      </c>
      <c r="K641" s="156" t="n"/>
      <c r="L641" s="156">
        <f>IFERROR(VLOOKUP(F641&amp;G641,Pass!B:C,2,0),0)</f>
        <v/>
      </c>
      <c r="M641" s="156">
        <f>IFERROR(VLOOKUP(F641&amp;G641,Rush!B:C,2,0),0)</f>
        <v/>
      </c>
      <c r="N641" s="156">
        <f>IFERROR(VLOOKUP(F641&amp;G641,Rec!B:C,2,0),K641)</f>
        <v/>
      </c>
      <c r="O641" s="156">
        <f>IFERROR(VLOOKUP(F641&amp;G641,Returns!A:B,2,0),0)</f>
        <v/>
      </c>
      <c r="Q641" s="156" t="inlineStr">
        <is>
          <t>Jordan Whittington</t>
        </is>
      </c>
      <c r="R641" s="156" t="inlineStr">
        <is>
          <t>LAR</t>
        </is>
      </c>
      <c r="S641" s="156" t="inlineStr">
        <is>
          <t>WR</t>
        </is>
      </c>
    </row>
    <row r="642" hidden="1" ht="15.6" customHeight="1" s="152">
      <c r="A642" s="217" t="n">
        <v>33</v>
      </c>
      <c r="B642" s="218">
        <f>VLOOKUP(G642,Matrix!R:AA,10,0)</f>
        <v/>
      </c>
      <c r="C642" s="156">
        <f>IF(K642&gt;=0.01,K642,IFERROR(VLOOKUP(F642&amp;G642,Rec!B:C,2,0),K642)+SUM(L642:O642))</f>
        <v/>
      </c>
      <c r="D642" s="218">
        <f>_xlfn.IFNA(INDEX('Injury Report'!F:F, MATCH(G642&amp;F642, 'Injury Report'!A:A, 0)), "Healthy")</f>
        <v/>
      </c>
      <c r="E642" s="219">
        <f>VLOOKUP(A642,'TE Depth'!A:G,7,0)-1</f>
        <v/>
      </c>
      <c r="F642" s="218">
        <f>VLOOKUP(A642,'TE Depth'!A:C,3,0)</f>
        <v/>
      </c>
      <c r="G642" s="218">
        <f>VLOOKUP(A642,'TE Depth'!A:B,2,0)</f>
        <v/>
      </c>
      <c r="H642" s="218">
        <f>VLOOKUP(A642,'TE Depth'!A:D,4,0)</f>
        <v/>
      </c>
      <c r="I642" s="218">
        <f>H642&amp;E642</f>
        <v/>
      </c>
      <c r="J642" s="220">
        <f>IF(VLOOKUP(F642,Rec!F:G,2,0)=G642,"OK","Check Team")</f>
        <v/>
      </c>
      <c r="K642" s="156" t="n"/>
      <c r="L642" s="156">
        <f>IFERROR(VLOOKUP(F642&amp;G642,Pass!B:C,2,0),0)</f>
        <v/>
      </c>
      <c r="M642" s="156">
        <f>IFERROR(VLOOKUP(F642&amp;G642,Rush!B:C,2,0),0)</f>
        <v/>
      </c>
      <c r="N642" s="156">
        <f>IFERROR(VLOOKUP(F642&amp;G642,Rec!B:C,2,0),K642)</f>
        <v/>
      </c>
      <c r="O642" s="156">
        <f>IFERROR(VLOOKUP(F642&amp;G642,Returns!A:B,2,0),0)</f>
        <v/>
      </c>
      <c r="Q642" s="156" t="inlineStr">
        <is>
          <t>Josh Whyle</t>
        </is>
      </c>
      <c r="R642" s="156" t="inlineStr">
        <is>
          <t>TEN</t>
        </is>
      </c>
      <c r="S642" s="156" t="inlineStr">
        <is>
          <t>TE</t>
        </is>
      </c>
    </row>
    <row r="643" hidden="1" ht="15.6" customHeight="1" s="152">
      <c r="A643" s="221" t="n">
        <v>34</v>
      </c>
      <c r="B643" s="218">
        <f>VLOOKUP(G643,Matrix!R:AA,10,0)</f>
        <v/>
      </c>
      <c r="C643" s="156">
        <f>IF(K643&gt;=0.01,K643,IFERROR(VLOOKUP(F643&amp;G643,Rec!B:C,2,0),K643)+SUM(L643:O643))</f>
        <v/>
      </c>
      <c r="D643" s="218">
        <f>_xlfn.IFNA(INDEX('Injury Report'!F:F, MATCH(G643&amp;F643, 'Injury Report'!A:A, 0)), "Healthy")</f>
        <v/>
      </c>
      <c r="E643" s="219">
        <f>VLOOKUP(A643,'TE Depth'!A:G,7,0)-1</f>
        <v/>
      </c>
      <c r="F643" s="218">
        <f>VLOOKUP(A643,'TE Depth'!A:C,3,0)</f>
        <v/>
      </c>
      <c r="G643" s="218">
        <f>VLOOKUP(A643,'TE Depth'!A:B,2,0)</f>
        <v/>
      </c>
      <c r="H643" s="218">
        <f>VLOOKUP(A643,'TE Depth'!A:D,4,0)</f>
        <v/>
      </c>
      <c r="I643" s="218">
        <f>H643&amp;E643</f>
        <v/>
      </c>
      <c r="J643" s="220">
        <f>IF(VLOOKUP(F643,Rec!F:G,2,0)=G643,"OK","Check Team")</f>
        <v/>
      </c>
      <c r="K643" s="156" t="n"/>
      <c r="L643" s="156">
        <f>IFERROR(VLOOKUP(F643&amp;G643,Pass!B:C,2,0),0)</f>
        <v/>
      </c>
      <c r="M643" s="156">
        <f>IFERROR(VLOOKUP(F643&amp;G643,Rush!B:C,2,0),0)</f>
        <v/>
      </c>
      <c r="N643" s="156">
        <f>IFERROR(VLOOKUP(F643&amp;G643,Rec!B:C,2,0),K643)</f>
        <v/>
      </c>
      <c r="O643" s="156">
        <f>IFERROR(VLOOKUP(F643&amp;G643,Returns!A:B,2,0),0)</f>
        <v/>
      </c>
      <c r="Q643" s="156" t="inlineStr">
        <is>
          <t>Dontayvion Wicks</t>
        </is>
      </c>
      <c r="R643" s="156" t="inlineStr">
        <is>
          <t>GB</t>
        </is>
      </c>
      <c r="S643" s="156" t="inlineStr">
        <is>
          <t>WR</t>
        </is>
      </c>
    </row>
    <row r="644" hidden="1" ht="15.6" customHeight="1" s="152">
      <c r="A644" s="217" t="n">
        <v>35</v>
      </c>
      <c r="B644" s="218">
        <f>VLOOKUP(G644,Matrix!R:AA,10,0)</f>
        <v/>
      </c>
      <c r="C644" s="156">
        <f>IF(K644&gt;=0.01,K644,IFERROR(VLOOKUP(F644&amp;G644,Rec!B:C,2,0),K644)+SUM(L644:O644))</f>
        <v/>
      </c>
      <c r="D644" s="218">
        <f>_xlfn.IFNA(INDEX('Injury Report'!F:F, MATCH(G644&amp;F644, 'Injury Report'!A:A, 0)), "Healthy")</f>
        <v/>
      </c>
      <c r="E644" s="219">
        <f>VLOOKUP(A644,'TE Depth'!A:G,7,0)-1</f>
        <v/>
      </c>
      <c r="F644" s="218">
        <f>VLOOKUP(A644,'TE Depth'!A:C,3,0)</f>
        <v/>
      </c>
      <c r="G644" s="218">
        <f>VLOOKUP(A644,'TE Depth'!A:B,2,0)</f>
        <v/>
      </c>
      <c r="H644" s="218">
        <f>VLOOKUP(A644,'TE Depth'!A:D,4,0)</f>
        <v/>
      </c>
      <c r="I644" s="218">
        <f>H644&amp;E644</f>
        <v/>
      </c>
      <c r="J644" s="220">
        <f>IF(VLOOKUP(F644,Rec!F:G,2,0)=G644,"OK","Check Team")</f>
        <v/>
      </c>
      <c r="K644" s="156" t="n"/>
      <c r="L644" s="156">
        <f>IFERROR(VLOOKUP(F644&amp;G644,Pass!B:C,2,0),0)</f>
        <v/>
      </c>
      <c r="M644" s="156">
        <f>IFERROR(VLOOKUP(F644&amp;G644,Rush!B:C,2,0),0)</f>
        <v/>
      </c>
      <c r="N644" s="156">
        <f>IFERROR(VLOOKUP(F644&amp;G644,Rec!B:C,2,0),K644)</f>
        <v/>
      </c>
      <c r="O644" s="156">
        <f>IFERROR(VLOOKUP(F644&amp;G644,Returns!A:B,2,0),0)</f>
        <v/>
      </c>
      <c r="Q644" s="156" t="inlineStr">
        <is>
          <t>Mitchell Wilcox</t>
        </is>
      </c>
      <c r="R644" s="156" t="inlineStr">
        <is>
          <t>NE</t>
        </is>
      </c>
      <c r="S644" s="156" t="inlineStr">
        <is>
          <t>TE</t>
        </is>
      </c>
    </row>
    <row r="645" hidden="1" ht="15.6" customHeight="1" s="152">
      <c r="A645" s="221" t="n">
        <v>36</v>
      </c>
      <c r="B645" s="218">
        <f>VLOOKUP(G645,Matrix!R:AA,10,0)</f>
        <v/>
      </c>
      <c r="C645" s="156">
        <f>IF(K645&gt;=0.01,K645,IFERROR(VLOOKUP(F645&amp;G645,Rec!B:C,2,0),K645)+SUM(L645:O645))</f>
        <v/>
      </c>
      <c r="D645" s="218">
        <f>_xlfn.IFNA(INDEX('Injury Report'!F:F, MATCH(G645&amp;F645, 'Injury Report'!A:A, 0)), "Healthy")</f>
        <v/>
      </c>
      <c r="E645" s="219">
        <f>VLOOKUP(A645,'TE Depth'!A:G,7,0)-1</f>
        <v/>
      </c>
      <c r="F645" s="218">
        <f>VLOOKUP(A645,'TE Depth'!A:C,3,0)</f>
        <v/>
      </c>
      <c r="G645" s="218">
        <f>VLOOKUP(A645,'TE Depth'!A:B,2,0)</f>
        <v/>
      </c>
      <c r="H645" s="218">
        <f>VLOOKUP(A645,'TE Depth'!A:D,4,0)</f>
        <v/>
      </c>
      <c r="I645" s="218">
        <f>H645&amp;E645</f>
        <v/>
      </c>
      <c r="J645" s="220">
        <f>IF(VLOOKUP(F645,Rec!F:G,2,0)=G645,"OK","Check Team")</f>
        <v/>
      </c>
      <c r="K645" s="156" t="n"/>
      <c r="L645" s="156">
        <f>IFERROR(VLOOKUP(F645&amp;G645,Pass!B:C,2,0),0)</f>
        <v/>
      </c>
      <c r="M645" s="156">
        <f>IFERROR(VLOOKUP(F645&amp;G645,Rush!B:C,2,0),0)</f>
        <v/>
      </c>
      <c r="N645" s="156">
        <f>IFERROR(VLOOKUP(F645&amp;G645,Rec!B:C,2,0),K645)</f>
        <v/>
      </c>
      <c r="O645" s="156">
        <f>IFERROR(VLOOKUP(F645&amp;G645,Returns!A:B,2,0),0)</f>
        <v/>
      </c>
      <c r="Q645" s="156" t="inlineStr">
        <is>
          <t>Jared Wiley</t>
        </is>
      </c>
      <c r="R645" s="156" t="inlineStr">
        <is>
          <t>KC</t>
        </is>
      </c>
      <c r="S645" s="156" t="inlineStr">
        <is>
          <t>TE</t>
        </is>
      </c>
    </row>
    <row r="646" hidden="1" ht="15.6" customHeight="1" s="152">
      <c r="A646" s="217" t="n">
        <v>37</v>
      </c>
      <c r="B646" s="218">
        <f>VLOOKUP(G646,Matrix!R:AA,10,0)</f>
        <v/>
      </c>
      <c r="C646" s="156">
        <f>IF(K646&gt;=0.01,K646,IFERROR(VLOOKUP(F646&amp;G646,Rec!B:C,2,0),K646)+SUM(L646:O646))</f>
        <v/>
      </c>
      <c r="D646" s="218">
        <f>_xlfn.IFNA(INDEX('Injury Report'!F:F, MATCH(G646&amp;F646, 'Injury Report'!A:A, 0)), "Healthy")</f>
        <v/>
      </c>
      <c r="E646" s="219">
        <f>VLOOKUP(A646,'TE Depth'!A:G,7,0)-1</f>
        <v/>
      </c>
      <c r="F646" s="218">
        <f>VLOOKUP(A646,'TE Depth'!A:C,3,0)</f>
        <v/>
      </c>
      <c r="G646" s="218">
        <f>VLOOKUP(A646,'TE Depth'!A:B,2,0)</f>
        <v/>
      </c>
      <c r="H646" s="218">
        <f>VLOOKUP(A646,'TE Depth'!A:D,4,0)</f>
        <v/>
      </c>
      <c r="I646" s="218">
        <f>H646&amp;E646</f>
        <v/>
      </c>
      <c r="J646" s="220">
        <f>IF(VLOOKUP(F646,Rec!F:G,2,0)=G646,"OK","Check Team")</f>
        <v/>
      </c>
      <c r="K646" s="156" t="n"/>
      <c r="L646" s="156">
        <f>IFERROR(VLOOKUP(F646&amp;G646,Pass!B:C,2,0),0)</f>
        <v/>
      </c>
      <c r="M646" s="156">
        <f>IFERROR(VLOOKUP(F646&amp;G646,Rush!B:C,2,0),0)</f>
        <v/>
      </c>
      <c r="N646" s="156">
        <f>IFERROR(VLOOKUP(F646&amp;G646,Rec!B:C,2,0),K646)</f>
        <v/>
      </c>
      <c r="O646" s="156">
        <f>IFERROR(VLOOKUP(F646&amp;G646,Returns!A:B,2,0),0)</f>
        <v/>
      </c>
      <c r="Q646" s="156" t="inlineStr">
        <is>
          <t>Trayveon Williams</t>
        </is>
      </c>
      <c r="R646" s="156" t="inlineStr">
        <is>
          <t>CIN</t>
        </is>
      </c>
      <c r="S646" s="156" t="inlineStr">
        <is>
          <t>RB</t>
        </is>
      </c>
    </row>
    <row r="647" hidden="1" ht="15.6" customHeight="1" s="152">
      <c r="A647" s="221" t="n">
        <v>38</v>
      </c>
      <c r="B647" s="218">
        <f>VLOOKUP(G647,Matrix!R:AA,10,0)</f>
        <v/>
      </c>
      <c r="C647" s="156">
        <f>IF(K647&gt;=0.01,K647,IFERROR(VLOOKUP(F647&amp;G647,Rec!B:C,2,0),K647)+SUM(L647:O647))</f>
        <v/>
      </c>
      <c r="D647" s="218">
        <f>_xlfn.IFNA(INDEX('Injury Report'!F:F, MATCH(G647&amp;F647, 'Injury Report'!A:A, 0)), "Healthy")</f>
        <v/>
      </c>
      <c r="E647" s="219">
        <f>VLOOKUP(A647,'TE Depth'!A:G,7,0)-1</f>
        <v/>
      </c>
      <c r="F647" s="218">
        <f>VLOOKUP(A647,'TE Depth'!A:C,3,0)</f>
        <v/>
      </c>
      <c r="G647" s="218">
        <f>VLOOKUP(A647,'TE Depth'!A:B,2,0)</f>
        <v/>
      </c>
      <c r="H647" s="218">
        <f>VLOOKUP(A647,'TE Depth'!A:D,4,0)</f>
        <v/>
      </c>
      <c r="I647" s="218">
        <f>H647&amp;E647</f>
        <v/>
      </c>
      <c r="J647" s="220">
        <f>IF(VLOOKUP(F647,Rec!F:G,2,0)=G647,"OK","Check Team")</f>
        <v/>
      </c>
      <c r="K647" s="156" t="n"/>
      <c r="L647" s="156">
        <f>IFERROR(VLOOKUP(F647&amp;G647,Pass!B:C,2,0),0)</f>
        <v/>
      </c>
      <c r="M647" s="156">
        <f>IFERROR(VLOOKUP(F647&amp;G647,Rush!B:C,2,0),0)</f>
        <v/>
      </c>
      <c r="N647" s="156">
        <f>IFERROR(VLOOKUP(F647&amp;G647,Rec!B:C,2,0),K647)</f>
        <v/>
      </c>
      <c r="O647" s="156">
        <f>IFERROR(VLOOKUP(F647&amp;G647,Returns!A:B,2,0),0)</f>
        <v/>
      </c>
      <c r="Q647" s="156" t="inlineStr">
        <is>
          <t>Mike Williams</t>
        </is>
      </c>
      <c r="R647" s="156" t="inlineStr">
        <is>
          <t>PIT</t>
        </is>
      </c>
      <c r="S647" s="156" t="inlineStr">
        <is>
          <t>WR</t>
        </is>
      </c>
    </row>
    <row r="648" hidden="1" ht="15.6" customHeight="1" s="152">
      <c r="A648" s="217" t="n">
        <v>39</v>
      </c>
      <c r="B648" s="218">
        <f>VLOOKUP(G648,Matrix!R:AA,10,0)</f>
        <v/>
      </c>
      <c r="C648" s="156">
        <f>IF(K648&gt;=0.01,K648,IFERROR(VLOOKUP(F648&amp;G648,Rec!B:C,2,0),K648)+SUM(L648:O648))</f>
        <v/>
      </c>
      <c r="D648" s="218">
        <f>_xlfn.IFNA(INDEX('Injury Report'!F:F, MATCH(G648&amp;F648, 'Injury Report'!A:A, 0)), "Healthy")</f>
        <v/>
      </c>
      <c r="E648" s="219">
        <f>VLOOKUP(A648,'TE Depth'!A:G,7,0)-1</f>
        <v/>
      </c>
      <c r="F648" s="218">
        <f>VLOOKUP(A648,'TE Depth'!A:C,3,0)</f>
        <v/>
      </c>
      <c r="G648" s="218">
        <f>VLOOKUP(A648,'TE Depth'!A:B,2,0)</f>
        <v/>
      </c>
      <c r="H648" s="218">
        <f>VLOOKUP(A648,'TE Depth'!A:D,4,0)</f>
        <v/>
      </c>
      <c r="I648" s="218">
        <f>H648&amp;E648</f>
        <v/>
      </c>
      <c r="J648" s="220">
        <f>IF(VLOOKUP(F648,Rec!F:G,2,0)=G648,"OK","Check Team")</f>
        <v/>
      </c>
      <c r="K648" s="156" t="n"/>
      <c r="L648" s="156">
        <f>IFERROR(VLOOKUP(F648&amp;G648,Pass!B:C,2,0),0)</f>
        <v/>
      </c>
      <c r="M648" s="156">
        <f>IFERROR(VLOOKUP(F648&amp;G648,Rush!B:C,2,0),0)</f>
        <v/>
      </c>
      <c r="N648" s="156">
        <f>IFERROR(VLOOKUP(F648&amp;G648,Rec!B:C,2,0),K648)</f>
        <v/>
      </c>
      <c r="O648" s="156">
        <f>IFERROR(VLOOKUP(F648&amp;G648,Returns!A:B,2,0),0)</f>
        <v/>
      </c>
      <c r="Q648" s="156" t="inlineStr">
        <is>
          <t>Jamaal Williams</t>
        </is>
      </c>
      <c r="R648" s="156" t="inlineStr">
        <is>
          <t>NO</t>
        </is>
      </c>
      <c r="S648" s="156" t="inlineStr">
        <is>
          <t>RB</t>
        </is>
      </c>
    </row>
    <row r="649" hidden="1" ht="15.6" customHeight="1" s="152">
      <c r="A649" s="221" t="n">
        <v>40</v>
      </c>
      <c r="B649" s="218">
        <f>VLOOKUP(G649,Matrix!R:AA,10,0)</f>
        <v/>
      </c>
      <c r="C649" s="156">
        <f>IF(K649&gt;=0.01,K649,IFERROR(VLOOKUP(F649&amp;G649,Rec!B:C,2,0),K649)+SUM(L649:O649))</f>
        <v/>
      </c>
      <c r="D649" s="218">
        <f>_xlfn.IFNA(INDEX('Injury Report'!F:F, MATCH(G649&amp;F649, 'Injury Report'!A:A, 0)), "Healthy")</f>
        <v/>
      </c>
      <c r="E649" s="219">
        <f>VLOOKUP(A649,'TE Depth'!A:G,7,0)-1</f>
        <v/>
      </c>
      <c r="F649" s="218">
        <f>VLOOKUP(A649,'TE Depth'!A:C,3,0)</f>
        <v/>
      </c>
      <c r="G649" s="218">
        <f>VLOOKUP(A649,'TE Depth'!A:B,2,0)</f>
        <v/>
      </c>
      <c r="H649" s="218">
        <f>VLOOKUP(A649,'TE Depth'!A:D,4,0)</f>
        <v/>
      </c>
      <c r="I649" s="218">
        <f>H649&amp;E649</f>
        <v/>
      </c>
      <c r="J649" s="220">
        <f>IF(VLOOKUP(F649,Rec!F:G,2,0)=G649,"OK","Check Team")</f>
        <v/>
      </c>
      <c r="K649" s="156" t="n"/>
      <c r="L649" s="156">
        <f>IFERROR(VLOOKUP(F649&amp;G649,Pass!B:C,2,0),0)</f>
        <v/>
      </c>
      <c r="M649" s="156">
        <f>IFERROR(VLOOKUP(F649&amp;G649,Rush!B:C,2,0),0)</f>
        <v/>
      </c>
      <c r="N649" s="156">
        <f>IFERROR(VLOOKUP(F649&amp;G649,Rec!B:C,2,0),K649)</f>
        <v/>
      </c>
      <c r="O649" s="156">
        <f>IFERROR(VLOOKUP(F649&amp;G649,Returns!A:B,2,0),0)</f>
        <v/>
      </c>
      <c r="Q649" s="156" t="inlineStr">
        <is>
          <t>Javonte Williams</t>
        </is>
      </c>
      <c r="R649" s="156" t="inlineStr">
        <is>
          <t>DEN</t>
        </is>
      </c>
      <c r="S649" s="156" t="inlineStr">
        <is>
          <t>RB</t>
        </is>
      </c>
    </row>
    <row r="650" hidden="1" ht="15.6" customHeight="1" s="152">
      <c r="A650" s="217" t="n">
        <v>41</v>
      </c>
      <c r="B650" s="218">
        <f>VLOOKUP(G650,Matrix!R:AA,10,0)</f>
        <v/>
      </c>
      <c r="C650" s="156">
        <f>IF(K650&gt;=0.01,K650,IFERROR(VLOOKUP(F650&amp;G650,Rec!B:C,2,0),K650)+SUM(L650:O650))</f>
        <v/>
      </c>
      <c r="D650" s="218">
        <f>_xlfn.IFNA(INDEX('Injury Report'!F:F, MATCH(G650&amp;F650, 'Injury Report'!A:A, 0)), "Healthy")</f>
        <v/>
      </c>
      <c r="E650" s="219">
        <f>VLOOKUP(A650,'TE Depth'!A:G,7,0)-1</f>
        <v/>
      </c>
      <c r="F650" s="218">
        <f>VLOOKUP(A650,'TE Depth'!A:C,3,0)</f>
        <v/>
      </c>
      <c r="G650" s="218">
        <f>VLOOKUP(A650,'TE Depth'!A:B,2,0)</f>
        <v/>
      </c>
      <c r="H650" s="218">
        <f>VLOOKUP(A650,'TE Depth'!A:D,4,0)</f>
        <v/>
      </c>
      <c r="I650" s="218">
        <f>H650&amp;E650</f>
        <v/>
      </c>
      <c r="J650" s="220">
        <f>IF(VLOOKUP(F650,Rec!F:G,2,0)=G650,"OK","Check Team")</f>
        <v/>
      </c>
      <c r="K650" s="156" t="n"/>
      <c r="L650" s="156">
        <f>IFERROR(VLOOKUP(F650&amp;G650,Pass!B:C,2,0),0)</f>
        <v/>
      </c>
      <c r="M650" s="156">
        <f>IFERROR(VLOOKUP(F650&amp;G650,Rush!B:C,2,0),0)</f>
        <v/>
      </c>
      <c r="N650" s="156">
        <f>IFERROR(VLOOKUP(F650&amp;G650,Rec!B:C,2,0),K650)</f>
        <v/>
      </c>
      <c r="O650" s="156">
        <f>IFERROR(VLOOKUP(F650&amp;G650,Returns!A:B,2,0),0)</f>
        <v/>
      </c>
      <c r="Q650" s="156" t="inlineStr">
        <is>
          <t>Kyren Williams</t>
        </is>
      </c>
      <c r="R650" s="156" t="inlineStr">
        <is>
          <t>LAR</t>
        </is>
      </c>
      <c r="S650" s="156" t="inlineStr">
        <is>
          <t>RB</t>
        </is>
      </c>
    </row>
    <row r="651" hidden="1" ht="15.6" customHeight="1" s="152">
      <c r="A651" s="221" t="n">
        <v>42</v>
      </c>
      <c r="B651" s="218">
        <f>VLOOKUP(G651,Matrix!R:AA,10,0)</f>
        <v/>
      </c>
      <c r="C651" s="156">
        <f>IF(K651&gt;=0.01,K651,IFERROR(VLOOKUP(F651&amp;G651,Rec!B:C,2,0),K651)+SUM(L651:O651))</f>
        <v/>
      </c>
      <c r="D651" s="218">
        <f>_xlfn.IFNA(INDEX('Injury Report'!F:F, MATCH(G651&amp;F651, 'Injury Report'!A:A, 0)), "Healthy")</f>
        <v/>
      </c>
      <c r="E651" s="219">
        <f>VLOOKUP(A651,'TE Depth'!A:G,7,0)-1</f>
        <v/>
      </c>
      <c r="F651" s="218">
        <f>VLOOKUP(A651,'TE Depth'!A:C,3,0)</f>
        <v/>
      </c>
      <c r="G651" s="218">
        <f>VLOOKUP(A651,'TE Depth'!A:B,2,0)</f>
        <v/>
      </c>
      <c r="H651" s="218">
        <f>VLOOKUP(A651,'TE Depth'!A:D,4,0)</f>
        <v/>
      </c>
      <c r="I651" s="218">
        <f>H651&amp;E651</f>
        <v/>
      </c>
      <c r="J651" s="220">
        <f>IF(VLOOKUP(F651,Rec!F:G,2,0)=G651,"OK","Check Team")</f>
        <v/>
      </c>
      <c r="K651" s="156" t="n"/>
      <c r="L651" s="156">
        <f>IFERROR(VLOOKUP(F651&amp;G651,Pass!B:C,2,0),0)</f>
        <v/>
      </c>
      <c r="M651" s="156">
        <f>IFERROR(VLOOKUP(F651&amp;G651,Rush!B:C,2,0),0)</f>
        <v/>
      </c>
      <c r="N651" s="156">
        <f>IFERROR(VLOOKUP(F651&amp;G651,Rec!B:C,2,0),K651)</f>
        <v/>
      </c>
      <c r="O651" s="156">
        <f>IFERROR(VLOOKUP(F651&amp;G651,Returns!A:B,2,0),0)</f>
        <v/>
      </c>
      <c r="Q651" s="156" t="inlineStr">
        <is>
          <t>Jameson Williams</t>
        </is>
      </c>
      <c r="R651" s="156" t="inlineStr">
        <is>
          <t>DET</t>
        </is>
      </c>
      <c r="S651" s="156" t="inlineStr">
        <is>
          <t>WR</t>
        </is>
      </c>
    </row>
    <row r="652" hidden="1" ht="15.6" customHeight="1" s="152">
      <c r="A652" s="217" t="n">
        <v>43</v>
      </c>
      <c r="B652" s="218">
        <f>VLOOKUP(G652,Matrix!R:AA,10,0)</f>
        <v/>
      </c>
      <c r="C652" s="156">
        <f>IF(K652&gt;=0.01,K652,IFERROR(VLOOKUP(F652&amp;G652,Rec!B:C,2,0),K652)+SUM(L652:O652))</f>
        <v/>
      </c>
      <c r="D652" s="218">
        <f>_xlfn.IFNA(INDEX('Injury Report'!F:F, MATCH(G652&amp;F652, 'Injury Report'!A:A, 0)), "Healthy")</f>
        <v/>
      </c>
      <c r="E652" s="219">
        <f>VLOOKUP(A652,'TE Depth'!A:G,7,0)-1</f>
        <v/>
      </c>
      <c r="F652" s="218">
        <f>VLOOKUP(A652,'TE Depth'!A:C,3,0)</f>
        <v/>
      </c>
      <c r="G652" s="218">
        <f>VLOOKUP(A652,'TE Depth'!A:B,2,0)</f>
        <v/>
      </c>
      <c r="H652" s="218">
        <f>VLOOKUP(A652,'TE Depth'!A:D,4,0)</f>
        <v/>
      </c>
      <c r="I652" s="218">
        <f>H652&amp;E652</f>
        <v/>
      </c>
      <c r="J652" s="220">
        <f>IF(VLOOKUP(F652,Rec!F:G,2,0)=G652,"OK","Check Team")</f>
        <v/>
      </c>
      <c r="K652" s="156" t="n"/>
      <c r="L652" s="156">
        <f>IFERROR(VLOOKUP(F652&amp;G652,Pass!B:C,2,0),0)</f>
        <v/>
      </c>
      <c r="M652" s="156">
        <f>IFERROR(VLOOKUP(F652&amp;G652,Rush!B:C,2,0),0)</f>
        <v/>
      </c>
      <c r="N652" s="156">
        <f>IFERROR(VLOOKUP(F652&amp;G652,Rec!B:C,2,0),K652)</f>
        <v/>
      </c>
      <c r="O652" s="156">
        <f>IFERROR(VLOOKUP(F652&amp;G652,Returns!A:B,2,0),0)</f>
        <v/>
      </c>
      <c r="Q652" s="156" t="inlineStr">
        <is>
          <t>Miyan WIlliams</t>
        </is>
      </c>
      <c r="R652" s="156" t="inlineStr">
        <is>
          <t>FA</t>
        </is>
      </c>
      <c r="S652" s="156" t="inlineStr">
        <is>
          <t>RB</t>
        </is>
      </c>
    </row>
    <row r="653" hidden="1" ht="15.6" customHeight="1" s="152">
      <c r="A653" s="221" t="n">
        <v>44</v>
      </c>
      <c r="B653" s="218">
        <f>VLOOKUP(G653,Matrix!R:AA,10,0)</f>
        <v/>
      </c>
      <c r="C653" s="156">
        <f>IF(K653&gt;=0.01,K653,IFERROR(VLOOKUP(F653&amp;G653,Rec!B:C,2,0),K653)+SUM(L653:O653))</f>
        <v/>
      </c>
      <c r="D653" s="218">
        <f>_xlfn.IFNA(INDEX('Injury Report'!F:F, MATCH(G653&amp;F653, 'Injury Report'!A:A, 0)), "Healthy")</f>
        <v/>
      </c>
      <c r="E653" s="219">
        <f>VLOOKUP(A653,'TE Depth'!A:G,7,0)-1</f>
        <v/>
      </c>
      <c r="F653" s="218">
        <f>VLOOKUP(A653,'TE Depth'!A:C,3,0)</f>
        <v/>
      </c>
      <c r="G653" s="218">
        <f>VLOOKUP(A653,'TE Depth'!A:B,2,0)</f>
        <v/>
      </c>
      <c r="H653" s="218">
        <f>VLOOKUP(A653,'TE Depth'!A:D,4,0)</f>
        <v/>
      </c>
      <c r="I653" s="218">
        <f>H653&amp;E653</f>
        <v/>
      </c>
      <c r="J653" s="220">
        <f>IF(VLOOKUP(F653,Rec!F:G,2,0)=G653,"OK","Check Team")</f>
        <v/>
      </c>
      <c r="K653" s="156" t="n"/>
      <c r="L653" s="156">
        <f>IFERROR(VLOOKUP(F653&amp;G653,Pass!B:C,2,0),0)</f>
        <v/>
      </c>
      <c r="M653" s="156">
        <f>IFERROR(VLOOKUP(F653&amp;G653,Rush!B:C,2,0),0)</f>
        <v/>
      </c>
      <c r="N653" s="156">
        <f>IFERROR(VLOOKUP(F653&amp;G653,Rec!B:C,2,0),K653)</f>
        <v/>
      </c>
      <c r="O653" s="156">
        <f>IFERROR(VLOOKUP(F653&amp;G653,Returns!A:B,2,0),0)</f>
        <v/>
      </c>
      <c r="Q653" s="156" t="inlineStr">
        <is>
          <t>Caleb Williams</t>
        </is>
      </c>
      <c r="R653" s="156" t="inlineStr">
        <is>
          <t>CHI</t>
        </is>
      </c>
      <c r="S653" s="156" t="inlineStr">
        <is>
          <t>QB</t>
        </is>
      </c>
    </row>
    <row r="654" hidden="1" ht="15.6" customHeight="1" s="152">
      <c r="A654" s="217" t="n">
        <v>45</v>
      </c>
      <c r="B654" s="218">
        <f>VLOOKUP(G654,Matrix!R:AA,10,0)</f>
        <v/>
      </c>
      <c r="C654" s="156">
        <f>IF(K654&gt;=0.01,K654,IFERROR(VLOOKUP(F654&amp;G654,Rec!B:C,2,0),K654)+SUM(L654:O654))</f>
        <v/>
      </c>
      <c r="D654" s="218">
        <f>_xlfn.IFNA(INDEX('Injury Report'!F:F, MATCH(G654&amp;F654, 'Injury Report'!A:A, 0)), "Healthy")</f>
        <v/>
      </c>
      <c r="E654" s="219">
        <f>VLOOKUP(A654,'TE Depth'!A:G,7,0)-1</f>
        <v/>
      </c>
      <c r="F654" s="218">
        <f>VLOOKUP(A654,'TE Depth'!A:C,3,0)</f>
        <v/>
      </c>
      <c r="G654" s="218">
        <f>VLOOKUP(A654,'TE Depth'!A:B,2,0)</f>
        <v/>
      </c>
      <c r="H654" s="218">
        <f>VLOOKUP(A654,'TE Depth'!A:D,4,0)</f>
        <v/>
      </c>
      <c r="I654" s="218">
        <f>H654&amp;E654</f>
        <v/>
      </c>
      <c r="J654" s="220">
        <f>IF(VLOOKUP(F654,Rec!F:G,2,0)=G654,"OK","Check Team")</f>
        <v/>
      </c>
      <c r="K654" s="156" t="n"/>
      <c r="L654" s="156">
        <f>IFERROR(VLOOKUP(F654&amp;G654,Pass!B:C,2,0),0)</f>
        <v/>
      </c>
      <c r="M654" s="156">
        <f>IFERROR(VLOOKUP(F654&amp;G654,Rush!B:C,2,0),0)</f>
        <v/>
      </c>
      <c r="N654" s="156">
        <f>IFERROR(VLOOKUP(F654&amp;G654,Rec!B:C,2,0),K654)</f>
        <v/>
      </c>
      <c r="O654" s="156">
        <f>IFERROR(VLOOKUP(F654&amp;G654,Returns!A:B,2,0),0)</f>
        <v/>
      </c>
      <c r="Q654" s="156" t="inlineStr">
        <is>
          <t>Malik Willis</t>
        </is>
      </c>
      <c r="R654" s="156" t="inlineStr">
        <is>
          <t>GB</t>
        </is>
      </c>
      <c r="S654" s="156" t="inlineStr">
        <is>
          <t>QB</t>
        </is>
      </c>
    </row>
    <row r="655" hidden="1" ht="15.6" customHeight="1" s="152">
      <c r="A655" s="221" t="n">
        <v>46</v>
      </c>
      <c r="B655" s="218">
        <f>VLOOKUP(G655,Matrix!R:AA,10,0)</f>
        <v/>
      </c>
      <c r="C655" s="156">
        <f>IF(K655&gt;=0.01,K655,IFERROR(VLOOKUP(F655&amp;G655,Rec!B:C,2,0),K655)+SUM(L655:O655))</f>
        <v/>
      </c>
      <c r="D655" s="218">
        <f>_xlfn.IFNA(INDEX('Injury Report'!F:F, MATCH(G655&amp;F655, 'Injury Report'!A:A, 0)), "Healthy")</f>
        <v/>
      </c>
      <c r="E655" s="219">
        <f>VLOOKUP(A655,'TE Depth'!A:G,7,0)-1</f>
        <v/>
      </c>
      <c r="F655" s="218">
        <f>VLOOKUP(A655,'TE Depth'!A:C,3,0)</f>
        <v/>
      </c>
      <c r="G655" s="218">
        <f>VLOOKUP(A655,'TE Depth'!A:B,2,0)</f>
        <v/>
      </c>
      <c r="H655" s="218">
        <f>VLOOKUP(A655,'TE Depth'!A:D,4,0)</f>
        <v/>
      </c>
      <c r="I655" s="218">
        <f>H655&amp;E655</f>
        <v/>
      </c>
      <c r="J655" s="220">
        <f>IF(VLOOKUP(F655,Rec!F:G,2,0)=G655,"OK","Check Team")</f>
        <v/>
      </c>
      <c r="K655" s="156" t="n"/>
      <c r="L655" s="156">
        <f>IFERROR(VLOOKUP(F655&amp;G655,Pass!B:C,2,0),0)</f>
        <v/>
      </c>
      <c r="M655" s="156">
        <f>IFERROR(VLOOKUP(F655&amp;G655,Rush!B:C,2,0),0)</f>
        <v/>
      </c>
      <c r="N655" s="156">
        <f>IFERROR(VLOOKUP(F655&amp;G655,Rec!B:C,2,0),K655)</f>
        <v/>
      </c>
      <c r="O655" s="156">
        <f>IFERROR(VLOOKUP(F655&amp;G655,Returns!A:B,2,0),0)</f>
        <v/>
      </c>
      <c r="Q655" s="156" t="inlineStr">
        <is>
          <t>Garrett Wilson</t>
        </is>
      </c>
      <c r="R655" s="156" t="inlineStr">
        <is>
          <t>NYJ</t>
        </is>
      </c>
      <c r="S655" s="156" t="inlineStr">
        <is>
          <t>WR</t>
        </is>
      </c>
    </row>
    <row r="656" hidden="1" ht="15.6" customHeight="1" s="152">
      <c r="A656" s="217" t="n">
        <v>47</v>
      </c>
      <c r="B656" s="218">
        <f>VLOOKUP(G656,Matrix!R:AA,10,0)</f>
        <v/>
      </c>
      <c r="C656" s="156">
        <f>IF(K656&gt;=0.01,K656,IFERROR(VLOOKUP(F656&amp;G656,Rec!B:C,2,0),K656)+SUM(L656:O656))</f>
        <v/>
      </c>
      <c r="D656" s="218">
        <f>_xlfn.IFNA(INDEX('Injury Report'!F:F, MATCH(G656&amp;F656, 'Injury Report'!A:A, 0)), "Healthy")</f>
        <v/>
      </c>
      <c r="E656" s="219">
        <f>VLOOKUP(A656,'TE Depth'!A:G,7,0)-1</f>
        <v/>
      </c>
      <c r="F656" s="218">
        <f>VLOOKUP(A656,'TE Depth'!A:C,3,0)</f>
        <v/>
      </c>
      <c r="G656" s="218">
        <f>VLOOKUP(A656,'TE Depth'!A:B,2,0)</f>
        <v/>
      </c>
      <c r="H656" s="218">
        <f>VLOOKUP(A656,'TE Depth'!A:D,4,0)</f>
        <v/>
      </c>
      <c r="I656" s="218">
        <f>H656&amp;E656</f>
        <v/>
      </c>
      <c r="J656" s="220">
        <f>IF(VLOOKUP(F656,Rec!F:G,2,0)=G656,"OK","Check Team")</f>
        <v/>
      </c>
      <c r="K656" s="156" t="n"/>
      <c r="L656" s="156">
        <f>IFERROR(VLOOKUP(F656&amp;G656,Pass!B:C,2,0),0)</f>
        <v/>
      </c>
      <c r="M656" s="156">
        <f>IFERROR(VLOOKUP(F656&amp;G656,Rush!B:C,2,0),0)</f>
        <v/>
      </c>
      <c r="N656" s="156">
        <f>IFERROR(VLOOKUP(F656&amp;G656,Rec!B:C,2,0),K656)</f>
        <v/>
      </c>
      <c r="O656" s="156">
        <f>IFERROR(VLOOKUP(F656&amp;G656,Returns!A:B,2,0),0)</f>
        <v/>
      </c>
      <c r="Q656" s="156" t="inlineStr">
        <is>
          <t>Zach Wilson</t>
        </is>
      </c>
      <c r="R656" s="156" t="inlineStr">
        <is>
          <t>DEN</t>
        </is>
      </c>
      <c r="S656" s="156" t="inlineStr">
        <is>
          <t>QB</t>
        </is>
      </c>
    </row>
    <row r="657" hidden="1" ht="15.6" customHeight="1" s="152">
      <c r="A657" s="221" t="n">
        <v>48</v>
      </c>
      <c r="B657" s="218">
        <f>VLOOKUP(G657,Matrix!R:AA,10,0)</f>
        <v/>
      </c>
      <c r="C657" s="156">
        <f>IF(K657&gt;=0.01,K657,IFERROR(VLOOKUP(F657&amp;G657,Rec!B:C,2,0),K657)+SUM(L657:O657))</f>
        <v/>
      </c>
      <c r="D657" s="218">
        <f>_xlfn.IFNA(INDEX('Injury Report'!F:F, MATCH(G657&amp;F657, 'Injury Report'!A:A, 0)), "Healthy")</f>
        <v/>
      </c>
      <c r="E657" s="219">
        <f>VLOOKUP(A657,'TE Depth'!A:G,7,0)-1</f>
        <v/>
      </c>
      <c r="F657" s="218">
        <f>VLOOKUP(A657,'TE Depth'!A:C,3,0)</f>
        <v/>
      </c>
      <c r="G657" s="218">
        <f>VLOOKUP(A657,'TE Depth'!A:B,2,0)</f>
        <v/>
      </c>
      <c r="H657" s="218">
        <f>VLOOKUP(A657,'TE Depth'!A:D,4,0)</f>
        <v/>
      </c>
      <c r="I657" s="218">
        <f>H657&amp;E657</f>
        <v/>
      </c>
      <c r="J657" s="220">
        <f>IF(VLOOKUP(F657,Rec!F:G,2,0)=G657,"OK","Check Team")</f>
        <v/>
      </c>
      <c r="K657" s="156" t="n"/>
      <c r="L657" s="156">
        <f>IFERROR(VLOOKUP(F657&amp;G657,Pass!B:C,2,0),0)</f>
        <v/>
      </c>
      <c r="M657" s="156">
        <f>IFERROR(VLOOKUP(F657&amp;G657,Rush!B:C,2,0),0)</f>
        <v/>
      </c>
      <c r="N657" s="156">
        <f>IFERROR(VLOOKUP(F657&amp;G657,Rec!B:C,2,0),K657)</f>
        <v/>
      </c>
      <c r="O657" s="156">
        <f>IFERROR(VLOOKUP(F657&amp;G657,Returns!A:B,2,0),0)</f>
        <v/>
      </c>
      <c r="Q657" s="156" t="inlineStr">
        <is>
          <t>Russell Wilson</t>
        </is>
      </c>
      <c r="R657" s="156" t="inlineStr">
        <is>
          <t>PIT</t>
        </is>
      </c>
      <c r="S657" s="156" t="inlineStr">
        <is>
          <t>QB</t>
        </is>
      </c>
    </row>
    <row r="658" hidden="1" ht="15.6" customHeight="1" s="152">
      <c r="A658" s="217" t="n">
        <v>49</v>
      </c>
      <c r="B658" s="218">
        <f>VLOOKUP(G658,Matrix!R:AA,10,0)</f>
        <v/>
      </c>
      <c r="C658" s="156">
        <f>IF(K658&gt;=0.01,K658,IFERROR(VLOOKUP(F658&amp;G658,Rec!B:C,2,0),K658)+SUM(L658:O658))</f>
        <v/>
      </c>
      <c r="D658" s="218">
        <f>_xlfn.IFNA(INDEX('Injury Report'!F:F, MATCH(G658&amp;F658, 'Injury Report'!A:A, 0)), "Healthy")</f>
        <v/>
      </c>
      <c r="E658" s="219">
        <f>VLOOKUP(A658,'TE Depth'!A:G,7,0)-1</f>
        <v/>
      </c>
      <c r="F658" s="218">
        <f>VLOOKUP(A658,'TE Depth'!A:C,3,0)</f>
        <v/>
      </c>
      <c r="G658" s="218">
        <f>VLOOKUP(A658,'TE Depth'!A:B,2,0)</f>
        <v/>
      </c>
      <c r="H658" s="218">
        <f>VLOOKUP(A658,'TE Depth'!A:D,4,0)</f>
        <v/>
      </c>
      <c r="I658" s="218">
        <f>H658&amp;E658</f>
        <v/>
      </c>
      <c r="J658" s="220">
        <f>IF(VLOOKUP(F658,Rec!F:G,2,0)=G658,"OK","Check Team")</f>
        <v/>
      </c>
      <c r="K658" s="156" t="n"/>
      <c r="L658" s="156">
        <f>IFERROR(VLOOKUP(F658&amp;G658,Pass!B:C,2,0),0)</f>
        <v/>
      </c>
      <c r="M658" s="156">
        <f>IFERROR(VLOOKUP(F658&amp;G658,Rush!B:C,2,0),0)</f>
        <v/>
      </c>
      <c r="N658" s="156">
        <f>IFERROR(VLOOKUP(F658&amp;G658,Rec!B:C,2,0),K658)</f>
        <v/>
      </c>
      <c r="O658" s="156">
        <f>IFERROR(VLOOKUP(F658&amp;G658,Returns!A:B,2,0),0)</f>
        <v/>
      </c>
      <c r="Q658" s="156" t="inlineStr">
        <is>
          <t>Cedrick Wilson</t>
        </is>
      </c>
      <c r="R658" s="156" t="inlineStr">
        <is>
          <t>NO</t>
        </is>
      </c>
      <c r="S658" s="156" t="inlineStr">
        <is>
          <t>WR</t>
        </is>
      </c>
    </row>
    <row r="659" hidden="1" ht="15.6" customHeight="1" s="152">
      <c r="A659" s="221" t="n">
        <v>50</v>
      </c>
      <c r="B659" s="218">
        <f>VLOOKUP(G659,Matrix!R:AA,10,0)</f>
        <v/>
      </c>
      <c r="C659" s="156">
        <f>IF(K659&gt;=0.01,K659,IFERROR(VLOOKUP(F659&amp;G659,Rec!B:C,2,0),K659)+SUM(L659:O659))</f>
        <v/>
      </c>
      <c r="D659" s="218">
        <f>_xlfn.IFNA(INDEX('Injury Report'!F:F, MATCH(G659&amp;F659, 'Injury Report'!A:A, 0)), "Healthy")</f>
        <v/>
      </c>
      <c r="E659" s="219">
        <f>VLOOKUP(A659,'TE Depth'!A:G,7,0)-1</f>
        <v/>
      </c>
      <c r="F659" s="218">
        <f>VLOOKUP(A659,'TE Depth'!A:C,3,0)</f>
        <v/>
      </c>
      <c r="G659" s="218">
        <f>VLOOKUP(A659,'TE Depth'!A:B,2,0)</f>
        <v/>
      </c>
      <c r="H659" s="218">
        <f>VLOOKUP(A659,'TE Depth'!A:D,4,0)</f>
        <v/>
      </c>
      <c r="I659" s="218">
        <f>H659&amp;E659</f>
        <v/>
      </c>
      <c r="J659" s="220">
        <f>IF(VLOOKUP(F659,Rec!F:G,2,0)=G659,"OK","Check Team")</f>
        <v/>
      </c>
      <c r="K659" s="156" t="n"/>
      <c r="L659" s="156">
        <f>IFERROR(VLOOKUP(F659&amp;G659,Pass!B:C,2,0),0)</f>
        <v/>
      </c>
      <c r="M659" s="156">
        <f>IFERROR(VLOOKUP(F659&amp;G659,Rush!B:C,2,0),0)</f>
        <v/>
      </c>
      <c r="N659" s="156">
        <f>IFERROR(VLOOKUP(F659&amp;G659,Rec!B:C,2,0),K659)</f>
        <v/>
      </c>
      <c r="O659" s="156">
        <f>IFERROR(VLOOKUP(F659&amp;G659,Returns!A:B,2,0),0)</f>
        <v/>
      </c>
      <c r="Q659" s="156" t="inlineStr">
        <is>
          <t>Jeff Wilson</t>
        </is>
      </c>
      <c r="R659" s="156" t="inlineStr">
        <is>
          <t>MIA</t>
        </is>
      </c>
      <c r="S659" s="156" t="inlineStr">
        <is>
          <t>RB</t>
        </is>
      </c>
    </row>
    <row r="660" hidden="1" ht="15.6" customHeight="1" s="152">
      <c r="A660" s="217" t="n">
        <v>51</v>
      </c>
      <c r="B660" s="218">
        <f>VLOOKUP(G660,Matrix!R:AA,10,0)</f>
        <v/>
      </c>
      <c r="C660" s="156">
        <f>IF(K660&gt;=0.01,K660,IFERROR(VLOOKUP(F660&amp;G660,Rec!B:C,2,0),K660)+SUM(L660:O660))</f>
        <v/>
      </c>
      <c r="D660" s="218">
        <f>_xlfn.IFNA(INDEX('Injury Report'!F:F, MATCH(G660&amp;F660, 'Injury Report'!A:A, 0)), "Healthy")</f>
        <v/>
      </c>
      <c r="E660" s="219">
        <f>VLOOKUP(A660,'TE Depth'!A:G,7,0)-1</f>
        <v/>
      </c>
      <c r="F660" s="218">
        <f>VLOOKUP(A660,'TE Depth'!A:C,3,0)</f>
        <v/>
      </c>
      <c r="G660" s="218">
        <f>VLOOKUP(A660,'TE Depth'!A:B,2,0)</f>
        <v/>
      </c>
      <c r="H660" s="218">
        <f>VLOOKUP(A660,'TE Depth'!A:D,4,0)</f>
        <v/>
      </c>
      <c r="I660" s="218">
        <f>H660&amp;E660</f>
        <v/>
      </c>
      <c r="J660" s="220">
        <f>IF(VLOOKUP(F660,Rec!F:G,2,0)=G660,"OK","Check Team")</f>
        <v/>
      </c>
      <c r="K660" s="156" t="n"/>
      <c r="L660" s="156">
        <f>IFERROR(VLOOKUP(F660&amp;G660,Pass!B:C,2,0),0)</f>
        <v/>
      </c>
      <c r="M660" s="156">
        <f>IFERROR(VLOOKUP(F660&amp;G660,Rush!B:C,2,0),0)</f>
        <v/>
      </c>
      <c r="N660" s="156">
        <f>IFERROR(VLOOKUP(F660&amp;G660,Rec!B:C,2,0),K660)</f>
        <v/>
      </c>
      <c r="O660" s="156">
        <f>IFERROR(VLOOKUP(F660&amp;G660,Returns!A:B,2,0),0)</f>
        <v/>
      </c>
      <c r="Q660" s="156" t="inlineStr">
        <is>
          <t>Emanuel Wilson</t>
        </is>
      </c>
      <c r="R660" s="156" t="inlineStr">
        <is>
          <t>GB</t>
        </is>
      </c>
      <c r="S660" s="156" t="inlineStr">
        <is>
          <t>RB</t>
        </is>
      </c>
    </row>
    <row r="661" hidden="1" ht="15.6" customHeight="1" s="152">
      <c r="A661" s="221" t="n">
        <v>52</v>
      </c>
      <c r="B661" s="218">
        <f>VLOOKUP(G661,Matrix!R:AA,10,0)</f>
        <v/>
      </c>
      <c r="C661" s="156">
        <f>IF(K661&gt;=0.01,K661,IFERROR(VLOOKUP(F661&amp;G661,Rec!B:C,2,0),K661)+SUM(L661:O661))</f>
        <v/>
      </c>
      <c r="D661" s="218">
        <f>_xlfn.IFNA(INDEX('Injury Report'!F:F, MATCH(G661&amp;F661, 'Injury Report'!A:A, 0)), "Healthy")</f>
        <v/>
      </c>
      <c r="E661" s="219">
        <f>VLOOKUP(A661,'TE Depth'!A:G,7,0)-1</f>
        <v/>
      </c>
      <c r="F661" s="218">
        <f>VLOOKUP(A661,'TE Depth'!A:C,3,0)</f>
        <v/>
      </c>
      <c r="G661" s="218">
        <f>VLOOKUP(A661,'TE Depth'!A:B,2,0)</f>
        <v/>
      </c>
      <c r="H661" s="218">
        <f>VLOOKUP(A661,'TE Depth'!A:D,4,0)</f>
        <v/>
      </c>
      <c r="I661" s="218">
        <f>H661&amp;E661</f>
        <v/>
      </c>
      <c r="J661" s="220">
        <f>IF(VLOOKUP(F661,Rec!F:G,2,0)=G661,"OK","Check Team")</f>
        <v/>
      </c>
      <c r="K661" s="156" t="n"/>
      <c r="L661" s="156">
        <f>IFERROR(VLOOKUP(F661&amp;G661,Pass!B:C,2,0),0)</f>
        <v/>
      </c>
      <c r="M661" s="156">
        <f>IFERROR(VLOOKUP(F661&amp;G661,Rush!B:C,2,0),0)</f>
        <v/>
      </c>
      <c r="N661" s="156">
        <f>IFERROR(VLOOKUP(F661&amp;G661,Rec!B:C,2,0),K661)</f>
        <v/>
      </c>
      <c r="O661" s="156">
        <f>IFERROR(VLOOKUP(F661&amp;G661,Returns!A:B,2,0),0)</f>
        <v/>
      </c>
      <c r="Q661" s="156" t="inlineStr">
        <is>
          <t>Michael Wilson</t>
        </is>
      </c>
      <c r="R661" s="156" t="inlineStr">
        <is>
          <t>ARI</t>
        </is>
      </c>
      <c r="S661" s="156" t="inlineStr">
        <is>
          <t>WR</t>
        </is>
      </c>
    </row>
    <row r="662" hidden="1" ht="15.6" customHeight="1" s="152">
      <c r="A662" s="217" t="n">
        <v>53</v>
      </c>
      <c r="B662" s="218">
        <f>VLOOKUP(G662,Matrix!R:AA,10,0)</f>
        <v/>
      </c>
      <c r="C662" s="156">
        <f>IF(K662&gt;=0.01,K662,IFERROR(VLOOKUP(F662&amp;G662,Rec!B:C,2,0),K662)+SUM(L662:O662))</f>
        <v/>
      </c>
      <c r="D662" s="218">
        <f>_xlfn.IFNA(INDEX('Injury Report'!F:F, MATCH(G662&amp;F662, 'Injury Report'!A:A, 0)), "Healthy")</f>
        <v/>
      </c>
      <c r="E662" s="219">
        <f>VLOOKUP(A662,'TE Depth'!A:G,7,0)-1</f>
        <v/>
      </c>
      <c r="F662" s="218">
        <f>VLOOKUP(A662,'TE Depth'!A:C,3,0)</f>
        <v/>
      </c>
      <c r="G662" s="218">
        <f>VLOOKUP(A662,'TE Depth'!A:B,2,0)</f>
        <v/>
      </c>
      <c r="H662" s="218">
        <f>VLOOKUP(A662,'TE Depth'!A:D,4,0)</f>
        <v/>
      </c>
      <c r="I662" s="218">
        <f>H662&amp;E662</f>
        <v/>
      </c>
      <c r="J662" s="220">
        <f>IF(VLOOKUP(F662,Rec!F:G,2,0)=G662,"OK","Check Team")</f>
        <v/>
      </c>
      <c r="K662" s="156" t="n"/>
      <c r="L662" s="156">
        <f>IFERROR(VLOOKUP(F662&amp;G662,Pass!B:C,2,0),0)</f>
        <v/>
      </c>
      <c r="M662" s="156">
        <f>IFERROR(VLOOKUP(F662&amp;G662,Rush!B:C,2,0),0)</f>
        <v/>
      </c>
      <c r="N662" s="156">
        <f>IFERROR(VLOOKUP(F662&amp;G662,Rec!B:C,2,0),K662)</f>
        <v/>
      </c>
      <c r="O662" s="156">
        <f>IFERROR(VLOOKUP(F662&amp;G662,Returns!A:B,2,0),0)</f>
        <v/>
      </c>
      <c r="Q662" s="156" t="inlineStr">
        <is>
          <t>Johnny Wilson</t>
        </is>
      </c>
      <c r="R662" s="156" t="inlineStr">
        <is>
          <t>PHI</t>
        </is>
      </c>
      <c r="S662" s="156" t="inlineStr">
        <is>
          <t>WR</t>
        </is>
      </c>
    </row>
    <row r="663" hidden="1" ht="15.6" customHeight="1" s="152">
      <c r="A663" s="221" t="n">
        <v>54</v>
      </c>
      <c r="B663" s="218">
        <f>VLOOKUP(G663,Matrix!R:AA,10,0)</f>
        <v/>
      </c>
      <c r="C663" s="156">
        <f>IF(K663&gt;=0.01,K663,IFERROR(VLOOKUP(F663&amp;G663,Rec!B:C,2,0),K663)+SUM(L663:O663))</f>
        <v/>
      </c>
      <c r="D663" s="218">
        <f>_xlfn.IFNA(INDEX('Injury Report'!F:F, MATCH(G663&amp;F663, 'Injury Report'!A:A, 0)), "Healthy")</f>
        <v/>
      </c>
      <c r="E663" s="219">
        <f>VLOOKUP(A663,'TE Depth'!A:G,7,0)-1</f>
        <v/>
      </c>
      <c r="F663" s="218">
        <f>VLOOKUP(A663,'TE Depth'!A:C,3,0)</f>
        <v/>
      </c>
      <c r="G663" s="218">
        <f>VLOOKUP(A663,'TE Depth'!A:B,2,0)</f>
        <v/>
      </c>
      <c r="H663" s="218">
        <f>VLOOKUP(A663,'TE Depth'!A:D,4,0)</f>
        <v/>
      </c>
      <c r="I663" s="218">
        <f>H663&amp;E663</f>
        <v/>
      </c>
      <c r="J663" s="220">
        <f>IF(VLOOKUP(F663,Rec!F:G,2,0)=G663,"OK","Check Team")</f>
        <v/>
      </c>
      <c r="K663" s="156" t="n"/>
      <c r="L663" s="156">
        <f>IFERROR(VLOOKUP(F663&amp;G663,Pass!B:C,2,0),0)</f>
        <v/>
      </c>
      <c r="M663" s="156">
        <f>IFERROR(VLOOKUP(F663&amp;G663,Rush!B:C,2,0),0)</f>
        <v/>
      </c>
      <c r="N663" s="156">
        <f>IFERROR(VLOOKUP(F663&amp;G663,Rec!B:C,2,0),K663)</f>
        <v/>
      </c>
      <c r="O663" s="156">
        <f>IFERROR(VLOOKUP(F663&amp;G663,Returns!A:B,2,0),0)</f>
        <v/>
      </c>
      <c r="Q663" s="156" t="inlineStr">
        <is>
          <t>Roman Wilson</t>
        </is>
      </c>
      <c r="R663" s="156" t="inlineStr">
        <is>
          <t>PIT</t>
        </is>
      </c>
      <c r="S663" s="156" t="inlineStr">
        <is>
          <t>WR</t>
        </is>
      </c>
    </row>
    <row r="664" hidden="1" ht="15.6" customHeight="1" s="152">
      <c r="A664" s="217" t="n">
        <v>55</v>
      </c>
      <c r="B664" s="218">
        <f>VLOOKUP(G664,Matrix!R:AA,10,0)</f>
        <v/>
      </c>
      <c r="C664" s="156">
        <f>IF(K664&gt;=0.01,K664,IFERROR(VLOOKUP(F664&amp;G664,Rec!B:C,2,0),K664)+SUM(L664:O664))</f>
        <v/>
      </c>
      <c r="D664" s="218">
        <f>_xlfn.IFNA(INDEX('Injury Report'!F:F, MATCH(G664&amp;F664, 'Injury Report'!A:A, 0)), "Healthy")</f>
        <v/>
      </c>
      <c r="E664" s="219">
        <f>VLOOKUP(A664,'TE Depth'!A:G,7,0)-1</f>
        <v/>
      </c>
      <c r="F664" s="218">
        <f>VLOOKUP(A664,'TE Depth'!A:C,3,0)</f>
        <v/>
      </c>
      <c r="G664" s="218">
        <f>VLOOKUP(A664,'TE Depth'!A:B,2,0)</f>
        <v/>
      </c>
      <c r="H664" s="218">
        <f>VLOOKUP(A664,'TE Depth'!A:D,4,0)</f>
        <v/>
      </c>
      <c r="I664" s="218">
        <f>H664&amp;E664</f>
        <v/>
      </c>
      <c r="J664" s="220">
        <f>IF(VLOOKUP(F664,Rec!F:G,2,0)=G664,"OK","Check Team")</f>
        <v/>
      </c>
      <c r="K664" s="156" t="n"/>
      <c r="L664" s="156">
        <f>IFERROR(VLOOKUP(F664&amp;G664,Pass!B:C,2,0),0)</f>
        <v/>
      </c>
      <c r="M664" s="156">
        <f>IFERROR(VLOOKUP(F664&amp;G664,Rush!B:C,2,0),0)</f>
        <v/>
      </c>
      <c r="N664" s="156">
        <f>IFERROR(VLOOKUP(F664&amp;G664,Rec!B:C,2,0),K664)</f>
        <v/>
      </c>
      <c r="O664" s="156">
        <f>IFERROR(VLOOKUP(F664&amp;G664,Returns!A:B,2,0),0)</f>
        <v/>
      </c>
      <c r="Q664" s="156" t="inlineStr">
        <is>
          <t>Jameis Winston</t>
        </is>
      </c>
      <c r="R664" s="156" t="inlineStr">
        <is>
          <t>CLE</t>
        </is>
      </c>
      <c r="S664" s="156" t="inlineStr">
        <is>
          <t>QB</t>
        </is>
      </c>
    </row>
    <row r="665" hidden="1" ht="15.6" customHeight="1" s="152">
      <c r="A665" s="221" t="n">
        <v>56</v>
      </c>
      <c r="B665" s="218">
        <f>VLOOKUP(G665,Matrix!R:AA,10,0)</f>
        <v/>
      </c>
      <c r="C665" s="156">
        <f>IF(K665&gt;=0.01,K665,IFERROR(VLOOKUP(F665&amp;G665,Rec!B:C,2,0),K665)+SUM(L665:O665))</f>
        <v/>
      </c>
      <c r="D665" s="218">
        <f>_xlfn.IFNA(INDEX('Injury Report'!F:F, MATCH(G665&amp;F665, 'Injury Report'!A:A, 0)), "Healthy")</f>
        <v/>
      </c>
      <c r="E665" s="219">
        <f>VLOOKUP(A665,'TE Depth'!A:G,7,0)-1</f>
        <v/>
      </c>
      <c r="F665" s="218">
        <f>VLOOKUP(A665,'TE Depth'!A:C,3,0)</f>
        <v/>
      </c>
      <c r="G665" s="218">
        <f>VLOOKUP(A665,'TE Depth'!A:B,2,0)</f>
        <v/>
      </c>
      <c r="H665" s="218">
        <f>VLOOKUP(A665,'TE Depth'!A:D,4,0)</f>
        <v/>
      </c>
      <c r="I665" s="218">
        <f>H665&amp;E665</f>
        <v/>
      </c>
      <c r="J665" s="220">
        <f>IF(VLOOKUP(F665,Rec!F:G,2,0)=G665,"OK","Check Team")</f>
        <v/>
      </c>
      <c r="K665" s="156" t="n"/>
      <c r="L665" s="156">
        <f>IFERROR(VLOOKUP(F665&amp;G665,Pass!B:C,2,0),0)</f>
        <v/>
      </c>
      <c r="M665" s="156">
        <f>IFERROR(VLOOKUP(F665&amp;G665,Rush!B:C,2,0),0)</f>
        <v/>
      </c>
      <c r="N665" s="156">
        <f>IFERROR(VLOOKUP(F665&amp;G665,Rec!B:C,2,0),K665)</f>
        <v/>
      </c>
      <c r="O665" s="156">
        <f>IFERROR(VLOOKUP(F665&amp;G665,Returns!A:B,2,0),0)</f>
        <v/>
      </c>
      <c r="Q665" s="156" t="inlineStr">
        <is>
          <t>Charlie Woerner</t>
        </is>
      </c>
      <c r="R665" s="156" t="inlineStr">
        <is>
          <t>ATL</t>
        </is>
      </c>
      <c r="S665" s="156" t="inlineStr">
        <is>
          <t>TE</t>
        </is>
      </c>
    </row>
    <row r="666" hidden="1" ht="15.6" customHeight="1" s="152">
      <c r="A666" s="217" t="n">
        <v>57</v>
      </c>
      <c r="B666" s="218">
        <f>VLOOKUP(G666,Matrix!R:AA,10,0)</f>
        <v/>
      </c>
      <c r="C666" s="156">
        <f>IF(K666&gt;=0.01,K666,IFERROR(VLOOKUP(F666&amp;G666,Rec!B:C,2,0),K666)+SUM(L666:O666))</f>
        <v/>
      </c>
      <c r="D666" s="218">
        <f>_xlfn.IFNA(INDEX('Injury Report'!F:F, MATCH(G666&amp;F666, 'Injury Report'!A:A, 0)), "Healthy")</f>
        <v/>
      </c>
      <c r="E666" s="219">
        <f>VLOOKUP(A666,'TE Depth'!A:G,7,0)-1</f>
        <v/>
      </c>
      <c r="F666" s="218">
        <f>VLOOKUP(A666,'TE Depth'!A:C,3,0)</f>
        <v/>
      </c>
      <c r="G666" s="218">
        <f>VLOOKUP(A666,'TE Depth'!A:B,2,0)</f>
        <v/>
      </c>
      <c r="H666" s="218">
        <f>VLOOKUP(A666,'TE Depth'!A:D,4,0)</f>
        <v/>
      </c>
      <c r="I666" s="218">
        <f>H666&amp;E666</f>
        <v/>
      </c>
      <c r="J666" s="220">
        <f>IF(VLOOKUP(F666,Rec!F:G,2,0)=G666,"OK","Check Team")</f>
        <v/>
      </c>
      <c r="K666" s="156" t="n"/>
      <c r="L666" s="156">
        <f>IFERROR(VLOOKUP(F666&amp;G666,Pass!B:C,2,0),0)</f>
        <v/>
      </c>
      <c r="M666" s="156">
        <f>IFERROR(VLOOKUP(F666&amp;G666,Rush!B:C,2,0),0)</f>
        <v/>
      </c>
      <c r="N666" s="156">
        <f>IFERROR(VLOOKUP(F666&amp;G666,Rec!B:C,2,0),K666)</f>
        <v/>
      </c>
      <c r="O666" s="156">
        <f>IFERROR(VLOOKUP(F666&amp;G666,Returns!A:B,2,0),0)</f>
        <v/>
      </c>
      <c r="Q666" s="156" t="inlineStr">
        <is>
          <t>Jelani Woods</t>
        </is>
      </c>
      <c r="R666" s="156" t="inlineStr">
        <is>
          <t>IND</t>
        </is>
      </c>
      <c r="S666" s="156" t="inlineStr">
        <is>
          <t>TE</t>
        </is>
      </c>
    </row>
    <row r="667" hidden="1" ht="15.6" customHeight="1" s="152">
      <c r="A667" s="221" t="n">
        <v>58</v>
      </c>
      <c r="B667" s="218">
        <f>VLOOKUP(G667,Matrix!R:AA,10,0)</f>
        <v/>
      </c>
      <c r="C667" s="156">
        <f>IF(K667&gt;=0.01,K667,IFERROR(VLOOKUP(F667&amp;G667,Rec!B:C,2,0),K667)+SUM(L667:O667))</f>
        <v/>
      </c>
      <c r="D667" s="218">
        <f>_xlfn.IFNA(INDEX('Injury Report'!F:F, MATCH(G667&amp;F667, 'Injury Report'!A:A, 0)), "Healthy")</f>
        <v/>
      </c>
      <c r="E667" s="219">
        <f>VLOOKUP(A667,'TE Depth'!A:G,7,0)-1</f>
        <v/>
      </c>
      <c r="F667" s="218">
        <f>VLOOKUP(A667,'TE Depth'!A:C,3,0)</f>
        <v/>
      </c>
      <c r="G667" s="218">
        <f>VLOOKUP(A667,'TE Depth'!A:B,2,0)</f>
        <v/>
      </c>
      <c r="H667" s="218">
        <f>VLOOKUP(A667,'TE Depth'!A:D,4,0)</f>
        <v/>
      </c>
      <c r="I667" s="218">
        <f>H667&amp;E667</f>
        <v/>
      </c>
      <c r="J667" s="220">
        <f>IF(VLOOKUP(F667,Rec!F:G,2,0)=G667,"OK","Check Team")</f>
        <v/>
      </c>
      <c r="K667" s="156" t="n"/>
      <c r="L667" s="156">
        <f>IFERROR(VLOOKUP(F667&amp;G667,Pass!B:C,2,0),0)</f>
        <v/>
      </c>
      <c r="M667" s="156">
        <f>IFERROR(VLOOKUP(F667&amp;G667,Rush!B:C,2,0),0)</f>
        <v/>
      </c>
      <c r="N667" s="156">
        <f>IFERROR(VLOOKUP(F667&amp;G667,Rec!B:C,2,0),K667)</f>
        <v/>
      </c>
      <c r="O667" s="156">
        <f>IFERROR(VLOOKUP(F667&amp;G667,Returns!A:B,2,0),0)</f>
        <v/>
      </c>
      <c r="Q667" s="156" t="inlineStr">
        <is>
          <t>Michael Woods</t>
        </is>
      </c>
      <c r="R667" s="156" t="inlineStr">
        <is>
          <t>CLE</t>
        </is>
      </c>
      <c r="S667" s="156" t="inlineStr">
        <is>
          <t>WR</t>
        </is>
      </c>
    </row>
    <row r="668" hidden="1" ht="15.6" customHeight="1" s="152">
      <c r="A668" s="217" t="n">
        <v>59</v>
      </c>
      <c r="B668" s="218">
        <f>VLOOKUP(G668,Matrix!R:AA,10,0)</f>
        <v/>
      </c>
      <c r="C668" s="156">
        <f>IF(K668&gt;=0.01,K668,IFERROR(VLOOKUP(F668&amp;G668,Rec!B:C,2,0),K668)+SUM(L668:O668))</f>
        <v/>
      </c>
      <c r="D668" s="218">
        <f>_xlfn.IFNA(INDEX('Injury Report'!F:F, MATCH(G668&amp;F668, 'Injury Report'!A:A, 0)), "Healthy")</f>
        <v/>
      </c>
      <c r="E668" s="219">
        <f>VLOOKUP(A668,'TE Depth'!A:G,7,0)-1</f>
        <v/>
      </c>
      <c r="F668" s="218">
        <f>VLOOKUP(A668,'TE Depth'!A:C,3,0)</f>
        <v/>
      </c>
      <c r="G668" s="218">
        <f>VLOOKUP(A668,'TE Depth'!A:B,2,0)</f>
        <v/>
      </c>
      <c r="H668" s="218">
        <f>VLOOKUP(A668,'TE Depth'!A:D,4,0)</f>
        <v/>
      </c>
      <c r="I668" s="218">
        <f>H668&amp;E668</f>
        <v/>
      </c>
      <c r="J668" s="220">
        <f>IF(VLOOKUP(F668,Rec!F:G,2,0)=G668,"OK","Check Team")</f>
        <v/>
      </c>
      <c r="K668" s="156" t="n"/>
      <c r="L668" s="156">
        <f>IFERROR(VLOOKUP(F668&amp;G668,Pass!B:C,2,0),0)</f>
        <v/>
      </c>
      <c r="M668" s="156">
        <f>IFERROR(VLOOKUP(F668&amp;G668,Rush!B:C,2,0),0)</f>
        <v/>
      </c>
      <c r="N668" s="156">
        <f>IFERROR(VLOOKUP(F668&amp;G668,Rec!B:C,2,0),K668)</f>
        <v/>
      </c>
      <c r="O668" s="156">
        <f>IFERROR(VLOOKUP(F668&amp;G668,Returns!A:B,2,0),0)</f>
        <v/>
      </c>
      <c r="Q668" s="156" t="inlineStr">
        <is>
          <t>Robert Woods</t>
        </is>
      </c>
      <c r="R668" s="156" t="inlineStr">
        <is>
          <t>HOU</t>
        </is>
      </c>
      <c r="S668" s="156" t="inlineStr">
        <is>
          <t>WR</t>
        </is>
      </c>
    </row>
    <row r="669" hidden="1" ht="15.6" customHeight="1" s="152">
      <c r="A669" s="221" t="n">
        <v>60</v>
      </c>
      <c r="B669" s="218">
        <f>VLOOKUP(G669,Matrix!R:AA,10,0)</f>
        <v/>
      </c>
      <c r="C669" s="156">
        <f>IF(K669&gt;=0.01,K669,IFERROR(VLOOKUP(F669&amp;G669,Rec!B:C,2,0),K669)+SUM(L669:O669))</f>
        <v/>
      </c>
      <c r="D669" s="218">
        <f>_xlfn.IFNA(INDEX('Injury Report'!F:F, MATCH(G669&amp;F669, 'Injury Report'!A:A, 0)), "Healthy")</f>
        <v/>
      </c>
      <c r="E669" s="219">
        <f>VLOOKUP(A669,'TE Depth'!A:G,7,0)-1</f>
        <v/>
      </c>
      <c r="F669" s="218">
        <f>VLOOKUP(A669,'TE Depth'!A:C,3,0)</f>
        <v/>
      </c>
      <c r="G669" s="218">
        <f>VLOOKUP(A669,'TE Depth'!A:B,2,0)</f>
        <v/>
      </c>
      <c r="H669" s="218">
        <f>VLOOKUP(A669,'TE Depth'!A:D,4,0)</f>
        <v/>
      </c>
      <c r="I669" s="218">
        <f>H669&amp;E669</f>
        <v/>
      </c>
      <c r="J669" s="220">
        <f>IF(VLOOKUP(F669,Rec!F:G,2,0)=G669,"OK","Check Team")</f>
        <v/>
      </c>
      <c r="K669" s="156" t="n"/>
      <c r="L669" s="156">
        <f>IFERROR(VLOOKUP(F669&amp;G669,Pass!B:C,2,0),0)</f>
        <v/>
      </c>
      <c r="M669" s="156">
        <f>IFERROR(VLOOKUP(F669&amp;G669,Rush!B:C,2,0),0)</f>
        <v/>
      </c>
      <c r="N669" s="156">
        <f>IFERROR(VLOOKUP(F669&amp;G669,Rec!B:C,2,0),K669)</f>
        <v/>
      </c>
      <c r="O669" s="156">
        <f>IFERROR(VLOOKUP(F669&amp;G669,Returns!A:B,2,0),0)</f>
        <v/>
      </c>
      <c r="Q669" s="156" t="inlineStr">
        <is>
          <t>Xavier Worthy</t>
        </is>
      </c>
      <c r="R669" s="156" t="inlineStr">
        <is>
          <t>KC</t>
        </is>
      </c>
      <c r="S669" s="156" t="inlineStr">
        <is>
          <t>WR</t>
        </is>
      </c>
    </row>
    <row r="670" hidden="1" ht="15.6" customHeight="1" s="152">
      <c r="A670" s="217" t="n">
        <v>61</v>
      </c>
      <c r="B670" s="218">
        <f>VLOOKUP(G670,Matrix!R:AA,10,0)</f>
        <v/>
      </c>
      <c r="C670" s="156">
        <f>IF(K670&gt;=0.01,K670,IFERROR(VLOOKUP(F670&amp;G670,Rec!B:C,2,0),K670)+SUM(L670:O670))</f>
        <v/>
      </c>
      <c r="D670" s="218">
        <f>_xlfn.IFNA(INDEX('Injury Report'!F:F, MATCH(G670&amp;F670, 'Injury Report'!A:A, 0)), "Healthy")</f>
        <v/>
      </c>
      <c r="E670" s="219">
        <f>VLOOKUP(A670,'TE Depth'!A:G,7,0)-1</f>
        <v/>
      </c>
      <c r="F670" s="218">
        <f>VLOOKUP(A670,'TE Depth'!A:C,3,0)</f>
        <v/>
      </c>
      <c r="G670" s="218">
        <f>VLOOKUP(A670,'TE Depth'!A:B,2,0)</f>
        <v/>
      </c>
      <c r="H670" s="218">
        <f>VLOOKUP(A670,'TE Depth'!A:D,4,0)</f>
        <v/>
      </c>
      <c r="I670" s="218">
        <f>H670&amp;E670</f>
        <v/>
      </c>
      <c r="J670" s="220">
        <f>IF(VLOOKUP(F670,Rec!F:G,2,0)=G670,"OK","Check Team")</f>
        <v/>
      </c>
      <c r="K670" s="156" t="n"/>
      <c r="L670" s="156">
        <f>IFERROR(VLOOKUP(F670&amp;G670,Pass!B:C,2,0),0)</f>
        <v/>
      </c>
      <c r="M670" s="156">
        <f>IFERROR(VLOOKUP(F670&amp;G670,Rush!B:C,2,0),0)</f>
        <v/>
      </c>
      <c r="N670" s="156">
        <f>IFERROR(VLOOKUP(F670&amp;G670,Rec!B:C,2,0),K670)</f>
        <v/>
      </c>
      <c r="O670" s="156">
        <f>IFERROR(VLOOKUP(F670&amp;G670,Returns!A:B,2,0),0)</f>
        <v/>
      </c>
      <c r="Q670" s="156" t="inlineStr">
        <is>
          <t>Jaylen Wright</t>
        </is>
      </c>
      <c r="R670" s="156" t="inlineStr">
        <is>
          <t>MIA</t>
        </is>
      </c>
      <c r="S670" s="156" t="inlineStr">
        <is>
          <t>RB</t>
        </is>
      </c>
    </row>
    <row r="671" hidden="1" ht="15.6" customHeight="1" s="152">
      <c r="A671" s="221" t="n">
        <v>62</v>
      </c>
      <c r="B671" s="218">
        <f>VLOOKUP(G671,Matrix!R:AA,10,0)</f>
        <v/>
      </c>
      <c r="C671" s="156">
        <f>IF(K671&gt;=0.01,K671,IFERROR(VLOOKUP(F671&amp;G671,Rec!B:C,2,0),K671)+SUM(L671:O671))</f>
        <v/>
      </c>
      <c r="D671" s="218">
        <f>_xlfn.IFNA(INDEX('Injury Report'!F:F, MATCH(G671&amp;F671, 'Injury Report'!A:A, 0)), "Healthy")</f>
        <v/>
      </c>
      <c r="E671" s="219">
        <f>VLOOKUP(A671,'TE Depth'!A:G,7,0)-1</f>
        <v/>
      </c>
      <c r="F671" s="218">
        <f>VLOOKUP(A671,'TE Depth'!A:C,3,0)</f>
        <v/>
      </c>
      <c r="G671" s="218">
        <f>VLOOKUP(A671,'TE Depth'!A:B,2,0)</f>
        <v/>
      </c>
      <c r="H671" s="218">
        <f>VLOOKUP(A671,'TE Depth'!A:D,4,0)</f>
        <v/>
      </c>
      <c r="I671" s="218">
        <f>H671&amp;E671</f>
        <v/>
      </c>
      <c r="J671" s="220">
        <f>IF(VLOOKUP(F671,Rec!F:G,2,0)=G671,"OK","Check Team")</f>
        <v/>
      </c>
      <c r="K671" s="156" t="n"/>
      <c r="L671" s="156">
        <f>IFERROR(VLOOKUP(F671&amp;G671,Pass!B:C,2,0),0)</f>
        <v/>
      </c>
      <c r="M671" s="156">
        <f>IFERROR(VLOOKUP(F671&amp;G671,Rush!B:C,2,0),0)</f>
        <v/>
      </c>
      <c r="N671" s="156">
        <f>IFERROR(VLOOKUP(F671&amp;G671,Rec!B:C,2,0),K671)</f>
        <v/>
      </c>
      <c r="O671" s="156">
        <f>IFERROR(VLOOKUP(F671&amp;G671,Returns!A:B,2,0),0)</f>
        <v/>
      </c>
      <c r="Q671" s="156" t="inlineStr">
        <is>
          <t>Brock Wright</t>
        </is>
      </c>
      <c r="R671" s="156" t="inlineStr">
        <is>
          <t>DET</t>
        </is>
      </c>
      <c r="S671" s="156" t="inlineStr">
        <is>
          <t>TE</t>
        </is>
      </c>
    </row>
    <row r="672" hidden="1" ht="15.6" customHeight="1" s="152">
      <c r="A672" s="217" t="n">
        <v>63</v>
      </c>
      <c r="B672" s="218">
        <f>VLOOKUP(G672,Matrix!R:AA,10,0)</f>
        <v/>
      </c>
      <c r="C672" s="156">
        <f>IF(K672&gt;=0.01,K672,IFERROR(VLOOKUP(F672&amp;G672,Rec!B:C,2,0),K672)+SUM(L672:O672))</f>
        <v/>
      </c>
      <c r="D672" s="218">
        <f>_xlfn.IFNA(INDEX('Injury Report'!F:F, MATCH(G672&amp;F672, 'Injury Report'!A:A, 0)), "Healthy")</f>
        <v/>
      </c>
      <c r="E672" s="219">
        <f>VLOOKUP(A672,'TE Depth'!A:G,7,0)-1</f>
        <v/>
      </c>
      <c r="F672" s="218">
        <f>VLOOKUP(A672,'TE Depth'!A:C,3,0)</f>
        <v/>
      </c>
      <c r="G672" s="218">
        <f>VLOOKUP(A672,'TE Depth'!A:B,2,0)</f>
        <v/>
      </c>
      <c r="H672" s="218">
        <f>VLOOKUP(A672,'TE Depth'!A:D,4,0)</f>
        <v/>
      </c>
      <c r="I672" s="218">
        <f>H672&amp;E672</f>
        <v/>
      </c>
      <c r="J672" s="220">
        <f>IF(VLOOKUP(F672,Rec!F:G,2,0)=G672,"OK","Check Team")</f>
        <v/>
      </c>
      <c r="K672" s="156" t="n"/>
      <c r="L672" s="156">
        <f>IFERROR(VLOOKUP(F672&amp;G672,Pass!B:C,2,0),0)</f>
        <v/>
      </c>
      <c r="M672" s="156">
        <f>IFERROR(VLOOKUP(F672&amp;G672,Rush!B:C,2,0),0)</f>
        <v/>
      </c>
      <c r="N672" s="156">
        <f>IFERROR(VLOOKUP(F672&amp;G672,Rec!B:C,2,0),K672)</f>
        <v/>
      </c>
      <c r="O672" s="156">
        <f>IFERROR(VLOOKUP(F672&amp;G672,Returns!A:B,2,0),0)</f>
        <v/>
      </c>
      <c r="Q672" s="156" t="inlineStr">
        <is>
          <t>Matthew Wright</t>
        </is>
      </c>
      <c r="R672" s="156" t="inlineStr">
        <is>
          <t>FA</t>
        </is>
      </c>
      <c r="S672" s="156" t="inlineStr">
        <is>
          <t>K</t>
        </is>
      </c>
    </row>
    <row r="673" hidden="1" ht="15.6" customHeight="1" s="152">
      <c r="A673" s="221" t="n">
        <v>64</v>
      </c>
      <c r="B673" s="218">
        <f>VLOOKUP(G673,Matrix!R:AA,10,0)</f>
        <v/>
      </c>
      <c r="C673" s="156">
        <f>IF(K673&gt;=0.01,K673,IFERROR(VLOOKUP(F673&amp;G673,Rec!B:C,2,0),K673)+SUM(L673:O673))</f>
        <v/>
      </c>
      <c r="D673" s="218">
        <f>_xlfn.IFNA(INDEX('Injury Report'!F:F, MATCH(G673&amp;F673, 'Injury Report'!A:A, 0)), "Healthy")</f>
        <v/>
      </c>
      <c r="E673" s="219">
        <f>VLOOKUP(A673,'TE Depth'!A:G,7,0)-1</f>
        <v/>
      </c>
      <c r="F673" s="218">
        <f>VLOOKUP(A673,'TE Depth'!A:C,3,0)</f>
        <v/>
      </c>
      <c r="G673" s="218">
        <f>VLOOKUP(A673,'TE Depth'!A:B,2,0)</f>
        <v/>
      </c>
      <c r="H673" s="218">
        <f>VLOOKUP(A673,'TE Depth'!A:D,4,0)</f>
        <v/>
      </c>
      <c r="I673" s="218">
        <f>H673&amp;E673</f>
        <v/>
      </c>
      <c r="J673" s="220">
        <f>IF(VLOOKUP(F673,Rec!F:G,2,0)=G673,"OK","Check Team")</f>
        <v/>
      </c>
      <c r="K673" s="156" t="n"/>
      <c r="L673" s="156">
        <f>IFERROR(VLOOKUP(F673&amp;G673,Pass!B:C,2,0),0)</f>
        <v/>
      </c>
      <c r="M673" s="156">
        <f>IFERROR(VLOOKUP(F673&amp;G673,Rush!B:C,2,0),0)</f>
        <v/>
      </c>
      <c r="N673" s="156">
        <f>IFERROR(VLOOKUP(F673&amp;G673,Rec!B:C,2,0),K673)</f>
        <v/>
      </c>
      <c r="O673" s="156">
        <f>IFERROR(VLOOKUP(F673&amp;G673,Returns!A:B,2,0),0)</f>
        <v/>
      </c>
      <c r="Q673" s="156" t="inlineStr">
        <is>
          <t>Kenny Yeboah</t>
        </is>
      </c>
      <c r="R673" s="156" t="inlineStr">
        <is>
          <t>NYJ</t>
        </is>
      </c>
      <c r="S673" s="156" t="inlineStr">
        <is>
          <t>TE</t>
        </is>
      </c>
    </row>
    <row r="674" hidden="1" ht="15.6" customHeight="1" s="152">
      <c r="A674" s="217" t="n">
        <v>65</v>
      </c>
      <c r="B674" s="218">
        <f>VLOOKUP(G674,Matrix!R:AA,10,0)</f>
        <v/>
      </c>
      <c r="C674" s="156">
        <f>IF(K674&gt;=0.01,K674,IFERROR(VLOOKUP(F674&amp;G674,Rec!B:C,2,0),K674)+SUM(L674:O674))</f>
        <v/>
      </c>
      <c r="D674" s="218">
        <f>_xlfn.IFNA(INDEX('Injury Report'!F:F, MATCH(G674&amp;F674, 'Injury Report'!A:A, 0)), "Healthy")</f>
        <v/>
      </c>
      <c r="E674" s="219">
        <f>VLOOKUP(A674,'TE Depth'!A:G,7,0)-1</f>
        <v/>
      </c>
      <c r="F674" s="218">
        <f>VLOOKUP(A674,'TE Depth'!A:C,3,0)</f>
        <v/>
      </c>
      <c r="G674" s="218">
        <f>VLOOKUP(A674,'TE Depth'!A:B,2,0)</f>
        <v/>
      </c>
      <c r="H674" s="218">
        <f>VLOOKUP(A674,'TE Depth'!A:D,4,0)</f>
        <v/>
      </c>
      <c r="I674" s="218">
        <f>H674&amp;E674</f>
        <v/>
      </c>
      <c r="J674" s="220">
        <f>IF(VLOOKUP(F674,Rec!F:G,2,0)=G674,"OK","Check Team")</f>
        <v/>
      </c>
      <c r="K674" s="156" t="n"/>
      <c r="L674" s="156">
        <f>IFERROR(VLOOKUP(F674&amp;G674,Pass!B:C,2,0),0)</f>
        <v/>
      </c>
      <c r="M674" s="156">
        <f>IFERROR(VLOOKUP(F674&amp;G674,Rush!B:C,2,0),0)</f>
        <v/>
      </c>
      <c r="N674" s="156">
        <f>IFERROR(VLOOKUP(F674&amp;G674,Rec!B:C,2,0),K674)</f>
        <v/>
      </c>
      <c r="O674" s="156">
        <f>IFERROR(VLOOKUP(F674&amp;G674,Returns!A:B,2,0),0)</f>
        <v/>
      </c>
      <c r="Q674" s="156" t="inlineStr">
        <is>
          <t>Cade York</t>
        </is>
      </c>
      <c r="R674" s="156" t="inlineStr">
        <is>
          <t>CIN</t>
        </is>
      </c>
      <c r="S674" s="156" t="inlineStr">
        <is>
          <t>K</t>
        </is>
      </c>
    </row>
    <row r="675" hidden="1" ht="15.6" customHeight="1" s="152">
      <c r="A675" s="221" t="n">
        <v>66</v>
      </c>
      <c r="B675" s="218">
        <f>VLOOKUP(G675,Matrix!R:AA,10,0)</f>
        <v/>
      </c>
      <c r="C675" s="156">
        <f>IF(K675&gt;=0.01,K675,IFERROR(VLOOKUP(F675&amp;G675,Rec!B:C,2,0),K675)+SUM(L675:O675))</f>
        <v/>
      </c>
      <c r="D675" s="218">
        <f>_xlfn.IFNA(INDEX('Injury Report'!F:F, MATCH(G675&amp;F675, 'Injury Report'!A:A, 0)), "Healthy")</f>
        <v/>
      </c>
      <c r="E675" s="219">
        <f>VLOOKUP(A675,'TE Depth'!A:G,7,0)-1</f>
        <v/>
      </c>
      <c r="F675" s="218">
        <f>VLOOKUP(A675,'TE Depth'!A:C,3,0)</f>
        <v/>
      </c>
      <c r="G675" s="218">
        <f>VLOOKUP(A675,'TE Depth'!A:B,2,0)</f>
        <v/>
      </c>
      <c r="H675" s="218">
        <f>VLOOKUP(A675,'TE Depth'!A:D,4,0)</f>
        <v/>
      </c>
      <c r="I675" s="218">
        <f>H675&amp;E675</f>
        <v/>
      </c>
      <c r="J675" s="220">
        <f>IF(VLOOKUP(F675,Rec!F:G,2,0)=G675,"OK","Check Team")</f>
        <v/>
      </c>
      <c r="K675" s="156" t="n"/>
      <c r="L675" s="156">
        <f>IFERROR(VLOOKUP(F675&amp;G675,Pass!B:C,2,0),0)</f>
        <v/>
      </c>
      <c r="M675" s="156">
        <f>IFERROR(VLOOKUP(F675&amp;G675,Rush!B:C,2,0),0)</f>
        <v/>
      </c>
      <c r="N675" s="156">
        <f>IFERROR(VLOOKUP(F675&amp;G675,Rec!B:C,2,0),K675)</f>
        <v/>
      </c>
      <c r="O675" s="156">
        <f>IFERROR(VLOOKUP(F675&amp;G675,Returns!A:B,2,0),0)</f>
        <v/>
      </c>
      <c r="Q675" s="156" t="inlineStr">
        <is>
          <t>Bryce Young</t>
        </is>
      </c>
      <c r="R675" s="156" t="inlineStr">
        <is>
          <t>CAR</t>
        </is>
      </c>
      <c r="S675" s="156" t="inlineStr">
        <is>
          <t>QB</t>
        </is>
      </c>
    </row>
    <row r="676" hidden="1" ht="15.6" customHeight="1" s="152">
      <c r="A676" s="217" t="n">
        <v>67</v>
      </c>
      <c r="B676" s="218">
        <f>VLOOKUP(G676,Matrix!R:AA,10,0)</f>
        <v/>
      </c>
      <c r="C676" s="156">
        <f>IF(K676&gt;=0.01,K676,IFERROR(VLOOKUP(F676&amp;G676,Rec!B:C,2,0),K676)+SUM(L676:O676))</f>
        <v/>
      </c>
      <c r="D676" s="218">
        <f>_xlfn.IFNA(INDEX('Injury Report'!F:F, MATCH(G676&amp;F676, 'Injury Report'!A:A, 0)), "Healthy")</f>
        <v/>
      </c>
      <c r="E676" s="219">
        <f>VLOOKUP(A676,'TE Depth'!A:G,7,0)-1</f>
        <v/>
      </c>
      <c r="F676" s="218">
        <f>VLOOKUP(A676,'TE Depth'!A:C,3,0)</f>
        <v/>
      </c>
      <c r="G676" s="218">
        <f>VLOOKUP(A676,'TE Depth'!A:B,2,0)</f>
        <v/>
      </c>
      <c r="H676" s="218">
        <f>VLOOKUP(A676,'TE Depth'!A:D,4,0)</f>
        <v/>
      </c>
      <c r="I676" s="218">
        <f>H676&amp;E676</f>
        <v/>
      </c>
      <c r="J676" s="220">
        <f>IF(VLOOKUP(F676,Rec!F:G,2,0)=G676,"OK","Check Team")</f>
        <v/>
      </c>
      <c r="K676" s="156" t="n"/>
      <c r="L676" s="156">
        <f>IFERROR(VLOOKUP(F676&amp;G676,Pass!B:C,2,0),0)</f>
        <v/>
      </c>
      <c r="M676" s="156">
        <f>IFERROR(VLOOKUP(F676&amp;G676,Rush!B:C,2,0),0)</f>
        <v/>
      </c>
      <c r="N676" s="156">
        <f>IFERROR(VLOOKUP(F676&amp;G676,Rec!B:C,2,0),K676)</f>
        <v/>
      </c>
      <c r="O676" s="156">
        <f>IFERROR(VLOOKUP(F676&amp;G676,Returns!A:B,2,0),0)</f>
        <v/>
      </c>
      <c r="Q676" s="156" t="inlineStr">
        <is>
          <t>Olamide Zaccheaus</t>
        </is>
      </c>
      <c r="R676" s="156" t="inlineStr">
        <is>
          <t>WAS</t>
        </is>
      </c>
      <c r="S676" s="156" t="inlineStr">
        <is>
          <t>WR</t>
        </is>
      </c>
    </row>
    <row r="677" hidden="1" ht="15.6" customHeight="1" s="152">
      <c r="A677" s="221" t="n">
        <v>68</v>
      </c>
      <c r="B677" s="218">
        <f>VLOOKUP(G677,Matrix!R:AA,10,0)</f>
        <v/>
      </c>
      <c r="C677" s="156">
        <f>IF(K677&gt;=0.01,K677,IFERROR(VLOOKUP(F677&amp;G677,Rec!B:C,2,0),K677)+SUM(L677:O677))</f>
        <v/>
      </c>
      <c r="D677" s="218">
        <f>_xlfn.IFNA(INDEX('Injury Report'!F:F, MATCH(G677&amp;F677, 'Injury Report'!A:A, 0)), "Healthy")</f>
        <v/>
      </c>
      <c r="E677" s="219">
        <f>VLOOKUP(A677,'TE Depth'!A:G,7,0)-1</f>
        <v/>
      </c>
      <c r="F677" s="218">
        <f>VLOOKUP(A677,'TE Depth'!A:C,3,0)</f>
        <v/>
      </c>
      <c r="G677" s="218">
        <f>VLOOKUP(A677,'TE Depth'!A:B,2,0)</f>
        <v/>
      </c>
      <c r="H677" s="218">
        <f>VLOOKUP(A677,'TE Depth'!A:D,4,0)</f>
        <v/>
      </c>
      <c r="I677" s="218">
        <f>H677&amp;E677</f>
        <v/>
      </c>
      <c r="J677" s="220">
        <f>IF(VLOOKUP(F677,Rec!F:G,2,0)=G677,"OK","Check Team")</f>
        <v/>
      </c>
      <c r="K677" s="156" t="n"/>
      <c r="L677" s="156">
        <f>IFERROR(VLOOKUP(F677&amp;G677,Pass!B:C,2,0),0)</f>
        <v/>
      </c>
      <c r="M677" s="156">
        <f>IFERROR(VLOOKUP(F677&amp;G677,Rush!B:C,2,0),0)</f>
        <v/>
      </c>
      <c r="N677" s="156">
        <f>IFERROR(VLOOKUP(F677&amp;G677,Rec!B:C,2,0),K677)</f>
        <v/>
      </c>
      <c r="O677" s="156">
        <f>IFERROR(VLOOKUP(F677&amp;G677,Returns!A:B,2,0),0)</f>
        <v/>
      </c>
      <c r="Q677" s="156" t="inlineStr">
        <is>
          <t>Bailey Zappe</t>
        </is>
      </c>
      <c r="R677" s="156" t="inlineStr">
        <is>
          <t>CLE</t>
        </is>
      </c>
      <c r="S677" s="156" t="inlineStr">
        <is>
          <t>QB</t>
        </is>
      </c>
    </row>
    <row r="678" hidden="1" ht="15.6" customHeight="1" s="152">
      <c r="A678" s="217" t="n">
        <v>69</v>
      </c>
      <c r="B678" s="218">
        <f>VLOOKUP(G678,Matrix!R:AA,10,0)</f>
        <v/>
      </c>
      <c r="C678" s="156">
        <f>IF(K678&gt;=0.01,K678,IFERROR(VLOOKUP(F678&amp;G678,Rec!B:C,2,0),K678)+SUM(L678:O678))</f>
        <v/>
      </c>
      <c r="D678" s="218">
        <f>_xlfn.IFNA(INDEX('Injury Report'!F:F, MATCH(G678&amp;F678, 'Injury Report'!A:A, 0)), "Healthy")</f>
        <v/>
      </c>
      <c r="E678" s="219">
        <f>VLOOKUP(A678,'TE Depth'!A:G,7,0)-1</f>
        <v/>
      </c>
      <c r="F678" s="218">
        <f>VLOOKUP(A678,'TE Depth'!A:C,3,0)</f>
        <v/>
      </c>
      <c r="G678" s="218">
        <f>VLOOKUP(A678,'TE Depth'!A:B,2,0)</f>
        <v/>
      </c>
      <c r="H678" s="218">
        <f>VLOOKUP(A678,'TE Depth'!A:D,4,0)</f>
        <v/>
      </c>
      <c r="I678" s="218">
        <f>H678&amp;E678</f>
        <v/>
      </c>
      <c r="J678" s="220">
        <f>IF(VLOOKUP(F678,Rec!F:G,2,0)=G678,"OK","Check Team")</f>
        <v/>
      </c>
      <c r="K678" s="156" t="n"/>
      <c r="L678" s="156">
        <f>IFERROR(VLOOKUP(F678&amp;G678,Pass!B:C,2,0),0)</f>
        <v/>
      </c>
      <c r="M678" s="156">
        <f>IFERROR(VLOOKUP(F678&amp;G678,Rush!B:C,2,0),0)</f>
        <v/>
      </c>
      <c r="N678" s="156">
        <f>IFERROR(VLOOKUP(F678&amp;G678,Rec!B:C,2,0),K678)</f>
        <v/>
      </c>
      <c r="O678" s="156">
        <f>IFERROR(VLOOKUP(F678&amp;G678,Returns!A:B,2,0),0)</f>
        <v/>
      </c>
      <c r="Q678" s="156" t="inlineStr">
        <is>
          <t>Greg Zuerlein</t>
        </is>
      </c>
      <c r="R678" s="156" t="inlineStr">
        <is>
          <t>NYJ</t>
        </is>
      </c>
      <c r="S678" s="156" t="inlineStr">
        <is>
          <t>K</t>
        </is>
      </c>
    </row>
    <row r="679" hidden="1" ht="15.6" customHeight="1" s="152">
      <c r="A679" s="221" t="n">
        <v>70</v>
      </c>
      <c r="B679" s="218">
        <f>VLOOKUP(G679,Matrix!R:AA,10,0)</f>
        <v/>
      </c>
      <c r="C679" s="156">
        <f>IF(K679&gt;=0.01,K679,IFERROR(VLOOKUP(F679&amp;G679,Rec!B:C,2,0),K679)+SUM(L679:O679))</f>
        <v/>
      </c>
      <c r="D679" s="218">
        <f>_xlfn.IFNA(INDEX('Injury Report'!F:F, MATCH(G679&amp;F679, 'Injury Report'!A:A, 0)), "Healthy")</f>
        <v/>
      </c>
      <c r="E679" s="219">
        <f>VLOOKUP(A679,'TE Depth'!A:G,7,0)-1</f>
        <v/>
      </c>
      <c r="F679" s="218">
        <f>VLOOKUP(A679,'TE Depth'!A:C,3,0)</f>
        <v/>
      </c>
      <c r="G679" s="218">
        <f>VLOOKUP(A679,'TE Depth'!A:B,2,0)</f>
        <v/>
      </c>
      <c r="H679" s="218">
        <f>VLOOKUP(A679,'TE Depth'!A:D,4,0)</f>
        <v/>
      </c>
      <c r="I679" s="218">
        <f>H679&amp;E679</f>
        <v/>
      </c>
      <c r="J679" s="220">
        <f>IF(VLOOKUP(F679,Rec!F:G,2,0)=G679,"OK","Check Team")</f>
        <v/>
      </c>
      <c r="K679" s="156" t="n"/>
      <c r="L679" s="156">
        <f>IFERROR(VLOOKUP(F679&amp;G679,Pass!B:C,2,0),0)</f>
        <v/>
      </c>
      <c r="M679" s="156">
        <f>IFERROR(VLOOKUP(F679&amp;G679,Rush!B:C,2,0),0)</f>
        <v/>
      </c>
      <c r="N679" s="156">
        <f>IFERROR(VLOOKUP(F679&amp;G679,Rec!B:C,2,0),K679)</f>
        <v/>
      </c>
      <c r="O679" s="156">
        <f>IFERROR(VLOOKUP(F679&amp;G679,Returns!A:B,2,0),0)</f>
        <v/>
      </c>
      <c r="Q679" s="156" t="inlineStr">
        <is>
          <t>Shane Zylstra</t>
        </is>
      </c>
      <c r="R679" s="156" t="inlineStr">
        <is>
          <t>DET</t>
        </is>
      </c>
      <c r="S679" s="156" t="inlineStr">
        <is>
          <t>TE</t>
        </is>
      </c>
    </row>
    <row r="680" hidden="1" ht="15.6" customHeight="1" s="152">
      <c r="A680" s="217" t="n">
        <v>71</v>
      </c>
      <c r="B680" s="218">
        <f>VLOOKUP(G680,Matrix!R:AA,10,0)</f>
        <v/>
      </c>
      <c r="C680" s="156">
        <f>IF(K680&gt;=0.01,K680,IFERROR(VLOOKUP(F680&amp;G680,Rec!B:C,2,0),K680)+SUM(L680:O680))</f>
        <v/>
      </c>
      <c r="D680" s="218">
        <f>_xlfn.IFNA(INDEX('Injury Report'!F:F, MATCH(G680&amp;F680, 'Injury Report'!A:A, 0)), "Healthy")</f>
        <v/>
      </c>
      <c r="E680" s="219">
        <f>VLOOKUP(A680,'TE Depth'!A:G,7,0)-1</f>
        <v/>
      </c>
      <c r="F680" s="218">
        <f>VLOOKUP(A680,'TE Depth'!A:C,3,0)</f>
        <v/>
      </c>
      <c r="G680" s="218">
        <f>VLOOKUP(A680,'TE Depth'!A:B,2,0)</f>
        <v/>
      </c>
      <c r="H680" s="218">
        <f>VLOOKUP(A680,'TE Depth'!A:D,4,0)</f>
        <v/>
      </c>
      <c r="I680" s="218">
        <f>H680&amp;E680</f>
        <v/>
      </c>
      <c r="J680" s="220">
        <f>IF(VLOOKUP(F680,Rec!F:G,2,0)=G680,"OK","Check Team")</f>
        <v/>
      </c>
      <c r="K680" s="156" t="n"/>
      <c r="L680" s="156">
        <f>IFERROR(VLOOKUP(F680&amp;G680,Pass!B:C,2,0),0)</f>
        <v/>
      </c>
      <c r="M680" s="156">
        <f>IFERROR(VLOOKUP(F680&amp;G680,Rush!B:C,2,0),0)</f>
        <v/>
      </c>
      <c r="N680" s="156">
        <f>IFERROR(VLOOKUP(F680&amp;G680,Rec!B:C,2,0),K680)</f>
        <v/>
      </c>
      <c r="O680" s="156">
        <f>IFERROR(VLOOKUP(F680&amp;G680,Returns!A:B,2,0),0)</f>
        <v/>
      </c>
      <c r="R680" s="156" t="n"/>
    </row>
    <row r="681" hidden="1" ht="15.6" customHeight="1" s="152">
      <c r="A681" s="221" t="n">
        <v>72</v>
      </c>
      <c r="B681" s="218">
        <f>VLOOKUP(G681,Matrix!R:AA,10,0)</f>
        <v/>
      </c>
      <c r="C681" s="156">
        <f>IF(K681&gt;=0.01,K681,IFERROR(VLOOKUP(F681&amp;G681,Rec!B:C,2,0),K681)+SUM(L681:O681))</f>
        <v/>
      </c>
      <c r="D681" s="218">
        <f>_xlfn.IFNA(INDEX('Injury Report'!F:F, MATCH(G681&amp;F681, 'Injury Report'!A:A, 0)), "Healthy")</f>
        <v/>
      </c>
      <c r="E681" s="219">
        <f>VLOOKUP(A681,'TE Depth'!A:G,7,0)-1</f>
        <v/>
      </c>
      <c r="F681" s="218">
        <f>VLOOKUP(A681,'TE Depth'!A:C,3,0)</f>
        <v/>
      </c>
      <c r="G681" s="218">
        <f>VLOOKUP(A681,'TE Depth'!A:B,2,0)</f>
        <v/>
      </c>
      <c r="H681" s="218">
        <f>VLOOKUP(A681,'TE Depth'!A:D,4,0)</f>
        <v/>
      </c>
      <c r="I681" s="218">
        <f>H681&amp;E681</f>
        <v/>
      </c>
      <c r="J681" s="220">
        <f>IF(VLOOKUP(F681,Rec!F:G,2,0)=G681,"OK","Check Team")</f>
        <v/>
      </c>
      <c r="K681" s="156" t="n"/>
      <c r="L681" s="156">
        <f>IFERROR(VLOOKUP(F681&amp;G681,Pass!B:C,2,0),0)</f>
        <v/>
      </c>
      <c r="M681" s="156">
        <f>IFERROR(VLOOKUP(F681&amp;G681,Rush!B:C,2,0),0)</f>
        <v/>
      </c>
      <c r="N681" s="156">
        <f>IFERROR(VLOOKUP(F681&amp;G681,Rec!B:C,2,0),K681)</f>
        <v/>
      </c>
      <c r="O681" s="156">
        <f>IFERROR(VLOOKUP(F681&amp;G681,Returns!A:B,2,0),0)</f>
        <v/>
      </c>
      <c r="R681" s="156" t="n"/>
    </row>
    <row r="682" hidden="1" ht="15.6" customHeight="1" s="152">
      <c r="A682" s="217" t="n">
        <v>73</v>
      </c>
      <c r="B682" s="218">
        <f>VLOOKUP(G682,Matrix!R:AA,10,0)</f>
        <v/>
      </c>
      <c r="C682" s="156">
        <f>IF(K682&gt;=0.01,K682,IFERROR(VLOOKUP(F682&amp;G682,Rec!B:C,2,0),K682)+SUM(L682:O682))</f>
        <v/>
      </c>
      <c r="D682" s="218">
        <f>_xlfn.IFNA(INDEX('Injury Report'!F:F, MATCH(G682&amp;F682, 'Injury Report'!A:A, 0)), "Healthy")</f>
        <v/>
      </c>
      <c r="E682" s="219">
        <f>VLOOKUP(A682,'TE Depth'!A:G,7,0)-1</f>
        <v/>
      </c>
      <c r="F682" s="218">
        <f>VLOOKUP(A682,'TE Depth'!A:C,3,0)</f>
        <v/>
      </c>
      <c r="G682" s="218">
        <f>VLOOKUP(A682,'TE Depth'!A:B,2,0)</f>
        <v/>
      </c>
      <c r="H682" s="218">
        <f>VLOOKUP(A682,'TE Depth'!A:D,4,0)</f>
        <v/>
      </c>
      <c r="I682" s="218">
        <f>H682&amp;E682</f>
        <v/>
      </c>
      <c r="J682" s="220">
        <f>IF(VLOOKUP(F682,Rec!F:G,2,0)=G682,"OK","Check Team")</f>
        <v/>
      </c>
      <c r="K682" s="156" t="n"/>
      <c r="L682" s="156">
        <f>IFERROR(VLOOKUP(F682&amp;G682,Pass!B:C,2,0),0)</f>
        <v/>
      </c>
      <c r="M682" s="156">
        <f>IFERROR(VLOOKUP(F682&amp;G682,Rush!B:C,2,0),0)</f>
        <v/>
      </c>
      <c r="N682" s="156">
        <f>IFERROR(VLOOKUP(F682&amp;G682,Rec!B:C,2,0),K682)</f>
        <v/>
      </c>
      <c r="O682" s="156">
        <f>IFERROR(VLOOKUP(F682&amp;G682,Returns!A:B,2,0),0)</f>
        <v/>
      </c>
      <c r="R682" s="156" t="n"/>
    </row>
    <row r="683" hidden="1" ht="15.6" customHeight="1" s="152">
      <c r="A683" s="221" t="n">
        <v>74</v>
      </c>
      <c r="B683" s="218">
        <f>VLOOKUP(G683,Matrix!R:AA,10,0)</f>
        <v/>
      </c>
      <c r="C683" s="156">
        <f>IF(K683&gt;=0.01,K683,IFERROR(VLOOKUP(F683&amp;G683,Rec!B:C,2,0),K683)+SUM(L683:O683))</f>
        <v/>
      </c>
      <c r="D683" s="218">
        <f>_xlfn.IFNA(INDEX('Injury Report'!F:F, MATCH(G683&amp;F683, 'Injury Report'!A:A, 0)), "Healthy")</f>
        <v/>
      </c>
      <c r="E683" s="219">
        <f>VLOOKUP(A683,'TE Depth'!A:G,7,0)-1</f>
        <v/>
      </c>
      <c r="F683" s="218">
        <f>VLOOKUP(A683,'TE Depth'!A:C,3,0)</f>
        <v/>
      </c>
      <c r="G683" s="218">
        <f>VLOOKUP(A683,'TE Depth'!A:B,2,0)</f>
        <v/>
      </c>
      <c r="H683" s="218">
        <f>VLOOKUP(A683,'TE Depth'!A:D,4,0)</f>
        <v/>
      </c>
      <c r="I683" s="218">
        <f>H683&amp;E683</f>
        <v/>
      </c>
      <c r="J683" s="220">
        <f>IF(VLOOKUP(F683,Rec!F:G,2,0)=G683,"OK","Check Team")</f>
        <v/>
      </c>
      <c r="K683" s="156" t="n"/>
      <c r="L683" s="156">
        <f>IFERROR(VLOOKUP(F683&amp;G683,Pass!B:C,2,0),0)</f>
        <v/>
      </c>
      <c r="M683" s="156">
        <f>IFERROR(VLOOKUP(F683&amp;G683,Rush!B:C,2,0),0)</f>
        <v/>
      </c>
      <c r="N683" s="156">
        <f>IFERROR(VLOOKUP(F683&amp;G683,Rec!B:C,2,0),K683)</f>
        <v/>
      </c>
      <c r="O683" s="156">
        <f>IFERROR(VLOOKUP(F683&amp;G683,Returns!A:B,2,0),0)</f>
        <v/>
      </c>
      <c r="R683" s="156" t="n"/>
    </row>
    <row r="684" hidden="1" ht="15.6" customHeight="1" s="152">
      <c r="A684" s="217" t="n">
        <v>75</v>
      </c>
      <c r="B684" s="218">
        <f>VLOOKUP(G684,Matrix!R:AA,10,0)</f>
        <v/>
      </c>
      <c r="C684" s="156">
        <f>IF(K684&gt;=0.01,K684,IFERROR(VLOOKUP(F684&amp;G684,Rec!B:C,2,0),K684)+SUM(L684:O684))</f>
        <v/>
      </c>
      <c r="D684" s="218">
        <f>_xlfn.IFNA(INDEX('Injury Report'!F:F, MATCH(G684&amp;F684, 'Injury Report'!A:A, 0)), "Healthy")</f>
        <v/>
      </c>
      <c r="E684" s="219">
        <f>VLOOKUP(A684,'TE Depth'!A:G,7,0)-1</f>
        <v/>
      </c>
      <c r="F684" s="218">
        <f>VLOOKUP(A684,'TE Depth'!A:C,3,0)</f>
        <v/>
      </c>
      <c r="G684" s="218">
        <f>VLOOKUP(A684,'TE Depth'!A:B,2,0)</f>
        <v/>
      </c>
      <c r="H684" s="218">
        <f>VLOOKUP(A684,'TE Depth'!A:D,4,0)</f>
        <v/>
      </c>
      <c r="I684" s="218">
        <f>H684&amp;E684</f>
        <v/>
      </c>
      <c r="J684" s="220">
        <f>IF(VLOOKUP(F684,Rec!F:G,2,0)=G684,"OK","Check Team")</f>
        <v/>
      </c>
      <c r="K684" s="156" t="n"/>
      <c r="L684" s="156">
        <f>IFERROR(VLOOKUP(F684&amp;G684,Pass!B:C,2,0),0)</f>
        <v/>
      </c>
      <c r="M684" s="156">
        <f>IFERROR(VLOOKUP(F684&amp;G684,Rush!B:C,2,0),0)</f>
        <v/>
      </c>
      <c r="N684" s="156">
        <f>IFERROR(VLOOKUP(F684&amp;G684,Rec!B:C,2,0),K684)</f>
        <v/>
      </c>
      <c r="O684" s="156">
        <f>IFERROR(VLOOKUP(F684&amp;G684,Returns!A:B,2,0),0)</f>
        <v/>
      </c>
      <c r="R684" s="156" t="n"/>
    </row>
    <row r="685" hidden="1" ht="15.6" customHeight="1" s="152">
      <c r="A685" s="221" t="n">
        <v>76</v>
      </c>
      <c r="B685" s="218">
        <f>VLOOKUP(G685,Matrix!R:AA,10,0)</f>
        <v/>
      </c>
      <c r="C685" s="156">
        <f>IF(K685&gt;=0.01,K685,IFERROR(VLOOKUP(F685&amp;G685,Rec!B:C,2,0),K685)+SUM(L685:O685))</f>
        <v/>
      </c>
      <c r="D685" s="218">
        <f>_xlfn.IFNA(INDEX('Injury Report'!F:F, MATCH(G685&amp;F685, 'Injury Report'!A:A, 0)), "Healthy")</f>
        <v/>
      </c>
      <c r="E685" s="219">
        <f>VLOOKUP(A685,'TE Depth'!A:G,7,0)-1</f>
        <v/>
      </c>
      <c r="F685" s="218">
        <f>VLOOKUP(A685,'TE Depth'!A:C,3,0)</f>
        <v/>
      </c>
      <c r="G685" s="218">
        <f>VLOOKUP(A685,'TE Depth'!A:B,2,0)</f>
        <v/>
      </c>
      <c r="H685" s="218">
        <f>VLOOKUP(A685,'TE Depth'!A:D,4,0)</f>
        <v/>
      </c>
      <c r="I685" s="218">
        <f>H685&amp;E685</f>
        <v/>
      </c>
      <c r="J685" s="220">
        <f>IF(VLOOKUP(F685,Rec!F:G,2,0)=G685,"OK","Check Team")</f>
        <v/>
      </c>
      <c r="K685" s="156" t="n"/>
      <c r="L685" s="156">
        <f>IFERROR(VLOOKUP(F685&amp;G685,Pass!B:C,2,0),0)</f>
        <v/>
      </c>
      <c r="M685" s="156">
        <f>IFERROR(VLOOKUP(F685&amp;G685,Rush!B:C,2,0),0)</f>
        <v/>
      </c>
      <c r="N685" s="156">
        <f>IFERROR(VLOOKUP(F685&amp;G685,Rec!B:C,2,0),K685)</f>
        <v/>
      </c>
      <c r="O685" s="156">
        <f>IFERROR(VLOOKUP(F685&amp;G685,Returns!A:B,2,0),0)</f>
        <v/>
      </c>
      <c r="R685" s="156" t="n"/>
    </row>
    <row r="686" hidden="1" ht="15.6" customHeight="1" s="152">
      <c r="A686" s="217" t="n">
        <v>77</v>
      </c>
      <c r="B686" s="218">
        <f>VLOOKUP(G686,Matrix!R:AA,10,0)</f>
        <v/>
      </c>
      <c r="C686" s="156">
        <f>IF(K686&gt;=0.01,K686,IFERROR(VLOOKUP(F686&amp;G686,Rec!B:C,2,0),K686)+SUM(L686:O686))</f>
        <v/>
      </c>
      <c r="D686" s="218">
        <f>_xlfn.IFNA(INDEX('Injury Report'!F:F, MATCH(G686&amp;F686, 'Injury Report'!A:A, 0)), "Healthy")</f>
        <v/>
      </c>
      <c r="E686" s="219">
        <f>VLOOKUP(A686,'TE Depth'!A:G,7,0)-1</f>
        <v/>
      </c>
      <c r="F686" s="218">
        <f>VLOOKUP(A686,'TE Depth'!A:C,3,0)</f>
        <v/>
      </c>
      <c r="G686" s="218">
        <f>VLOOKUP(A686,'TE Depth'!A:B,2,0)</f>
        <v/>
      </c>
      <c r="H686" s="218">
        <f>VLOOKUP(A686,'TE Depth'!A:D,4,0)</f>
        <v/>
      </c>
      <c r="I686" s="218">
        <f>H686&amp;E686</f>
        <v/>
      </c>
      <c r="J686" s="220">
        <f>IF(VLOOKUP(F686,Rec!F:G,2,0)=G686,"OK","Check Team")</f>
        <v/>
      </c>
      <c r="K686" s="156" t="n"/>
      <c r="L686" s="156">
        <f>IFERROR(VLOOKUP(F686&amp;G686,Pass!B:C,2,0),0)</f>
        <v/>
      </c>
      <c r="M686" s="156">
        <f>IFERROR(VLOOKUP(F686&amp;G686,Rush!B:C,2,0),0)</f>
        <v/>
      </c>
      <c r="N686" s="156">
        <f>IFERROR(VLOOKUP(F686&amp;G686,Rec!B:C,2,0),K686)</f>
        <v/>
      </c>
      <c r="O686" s="156">
        <f>IFERROR(VLOOKUP(F686&amp;G686,Returns!A:B,2,0),0)</f>
        <v/>
      </c>
      <c r="R686" s="156" t="n"/>
    </row>
    <row r="687" hidden="1" ht="15.6" customHeight="1" s="152">
      <c r="A687" s="221" t="n">
        <v>78</v>
      </c>
      <c r="B687" s="218">
        <f>VLOOKUP(G687,Matrix!R:AA,10,0)</f>
        <v/>
      </c>
      <c r="C687" s="156">
        <f>IF(K687&gt;=0.01,K687,IFERROR(VLOOKUP(F687&amp;G687,Rec!B:C,2,0),K687)+SUM(L687:O687))</f>
        <v/>
      </c>
      <c r="D687" s="218">
        <f>_xlfn.IFNA(INDEX('Injury Report'!F:F, MATCH(G687&amp;F687, 'Injury Report'!A:A, 0)), "Healthy")</f>
        <v/>
      </c>
      <c r="E687" s="219">
        <f>VLOOKUP(A687,'TE Depth'!A:G,7,0)-1</f>
        <v/>
      </c>
      <c r="F687" s="218">
        <f>VLOOKUP(A687,'TE Depth'!A:C,3,0)</f>
        <v/>
      </c>
      <c r="G687" s="218">
        <f>VLOOKUP(A687,'TE Depth'!A:B,2,0)</f>
        <v/>
      </c>
      <c r="H687" s="218">
        <f>VLOOKUP(A687,'TE Depth'!A:D,4,0)</f>
        <v/>
      </c>
      <c r="I687" s="218">
        <f>H687&amp;E687</f>
        <v/>
      </c>
      <c r="J687" s="220">
        <f>IF(VLOOKUP(F687,Rec!F:G,2,0)=G687,"OK","Check Team")</f>
        <v/>
      </c>
      <c r="K687" s="156" t="n"/>
      <c r="L687" s="156">
        <f>IFERROR(VLOOKUP(F687&amp;G687,Pass!B:C,2,0),0)</f>
        <v/>
      </c>
      <c r="M687" s="156">
        <f>IFERROR(VLOOKUP(F687&amp;G687,Rush!B:C,2,0),0)</f>
        <v/>
      </c>
      <c r="N687" s="156">
        <f>IFERROR(VLOOKUP(F687&amp;G687,Rec!B:C,2,0),K687)</f>
        <v/>
      </c>
      <c r="O687" s="156">
        <f>IFERROR(VLOOKUP(F687&amp;G687,Returns!A:B,2,0),0)</f>
        <v/>
      </c>
      <c r="R687" s="156" t="n"/>
    </row>
    <row r="688" hidden="1" ht="15.6" customHeight="1" s="152">
      <c r="A688" s="217" t="n">
        <v>79</v>
      </c>
      <c r="B688" s="218">
        <f>VLOOKUP(G688,Matrix!R:AA,10,0)</f>
        <v/>
      </c>
      <c r="C688" s="156">
        <f>IF(K688&gt;=0.01,K688,IFERROR(VLOOKUP(F688&amp;G688,Rec!B:C,2,0),K688)+SUM(L688:O688))</f>
        <v/>
      </c>
      <c r="D688" s="218">
        <f>_xlfn.IFNA(INDEX('Injury Report'!F:F, MATCH(G688&amp;F688, 'Injury Report'!A:A, 0)), "Healthy")</f>
        <v/>
      </c>
      <c r="E688" s="219">
        <f>VLOOKUP(A688,'TE Depth'!A:G,7,0)-1</f>
        <v/>
      </c>
      <c r="F688" s="218">
        <f>VLOOKUP(A688,'TE Depth'!A:C,3,0)</f>
        <v/>
      </c>
      <c r="G688" s="218">
        <f>VLOOKUP(A688,'TE Depth'!A:B,2,0)</f>
        <v/>
      </c>
      <c r="H688" s="218">
        <f>VLOOKUP(A688,'TE Depth'!A:D,4,0)</f>
        <v/>
      </c>
      <c r="I688" s="218">
        <f>H688&amp;E688</f>
        <v/>
      </c>
      <c r="J688" s="220">
        <f>IF(VLOOKUP(F688,Rec!F:G,2,0)=G688,"OK","Check Team")</f>
        <v/>
      </c>
      <c r="K688" s="156" t="n"/>
      <c r="L688" s="156">
        <f>IFERROR(VLOOKUP(F688&amp;G688,Pass!B:C,2,0),0)</f>
        <v/>
      </c>
      <c r="M688" s="156">
        <f>IFERROR(VLOOKUP(F688&amp;G688,Rush!B:C,2,0),0)</f>
        <v/>
      </c>
      <c r="N688" s="156">
        <f>IFERROR(VLOOKUP(F688&amp;G688,Rec!B:C,2,0),K688)</f>
        <v/>
      </c>
      <c r="O688" s="156">
        <f>IFERROR(VLOOKUP(F688&amp;G688,Returns!A:B,2,0),0)</f>
        <v/>
      </c>
    </row>
    <row r="689" hidden="1" ht="15.6" customHeight="1" s="152">
      <c r="A689" s="221" t="n">
        <v>80</v>
      </c>
      <c r="B689" s="218">
        <f>VLOOKUP(G689,Matrix!R:AA,10,0)</f>
        <v/>
      </c>
      <c r="C689" s="156">
        <f>IF(K689&gt;=0.01,K689,IFERROR(VLOOKUP(F689&amp;G689,Rec!B:C,2,0),K689)+SUM(L689:O689))</f>
        <v/>
      </c>
      <c r="D689" s="218">
        <f>_xlfn.IFNA(INDEX('Injury Report'!F:F, MATCH(G689&amp;F689, 'Injury Report'!A:A, 0)), "Healthy")</f>
        <v/>
      </c>
      <c r="E689" s="219">
        <f>VLOOKUP(A689,'TE Depth'!A:G,7,0)-1</f>
        <v/>
      </c>
      <c r="F689" s="218">
        <f>VLOOKUP(A689,'TE Depth'!A:C,3,0)</f>
        <v/>
      </c>
      <c r="G689" s="218">
        <f>VLOOKUP(A689,'TE Depth'!A:B,2,0)</f>
        <v/>
      </c>
      <c r="H689" s="218">
        <f>VLOOKUP(A689,'TE Depth'!A:D,4,0)</f>
        <v/>
      </c>
      <c r="I689" s="218">
        <f>H689&amp;E689</f>
        <v/>
      </c>
      <c r="J689" s="220">
        <f>IF(VLOOKUP(F689,Rec!F:G,2,0)=G689,"OK","Check Team")</f>
        <v/>
      </c>
      <c r="K689" s="156" t="n"/>
      <c r="L689" s="156">
        <f>IFERROR(VLOOKUP(F689&amp;G689,Pass!B:C,2,0),0)</f>
        <v/>
      </c>
      <c r="M689" s="156">
        <f>IFERROR(VLOOKUP(F689&amp;G689,Rush!B:C,2,0),0)</f>
        <v/>
      </c>
      <c r="N689" s="156">
        <f>IFERROR(VLOOKUP(F689&amp;G689,Rec!B:C,2,0),K689)</f>
        <v/>
      </c>
      <c r="O689" s="156">
        <f>IFERROR(VLOOKUP(F689&amp;G689,Returns!A:B,2,0),0)</f>
        <v/>
      </c>
    </row>
    <row r="690" hidden="1" ht="15.6" customHeight="1" s="152">
      <c r="A690" s="217" t="n">
        <v>81</v>
      </c>
      <c r="B690" s="218">
        <f>VLOOKUP(G690,Matrix!R:AA,10,0)</f>
        <v/>
      </c>
      <c r="C690" s="156">
        <f>IF(K690&gt;=0.01,K690,IFERROR(VLOOKUP(F690&amp;G690,Rec!B:C,2,0),K690)+SUM(L690:O690))</f>
        <v/>
      </c>
      <c r="D690" s="218">
        <f>_xlfn.IFNA(INDEX('Injury Report'!F:F, MATCH(G690&amp;F690, 'Injury Report'!A:A, 0)), "Healthy")</f>
        <v/>
      </c>
      <c r="E690" s="219">
        <f>VLOOKUP(A690,'TE Depth'!A:G,7,0)-1</f>
        <v/>
      </c>
      <c r="F690" s="218">
        <f>VLOOKUP(A690,'TE Depth'!A:C,3,0)</f>
        <v/>
      </c>
      <c r="G690" s="218">
        <f>VLOOKUP(A690,'TE Depth'!A:B,2,0)</f>
        <v/>
      </c>
      <c r="H690" s="218">
        <f>VLOOKUP(A690,'TE Depth'!A:D,4,0)</f>
        <v/>
      </c>
      <c r="I690" s="218">
        <f>H690&amp;E690</f>
        <v/>
      </c>
      <c r="J690" s="220">
        <f>IF(VLOOKUP(F690,Rec!F:G,2,0)=G690,"OK","Check Team")</f>
        <v/>
      </c>
      <c r="K690" s="156" t="n"/>
      <c r="L690" s="156">
        <f>IFERROR(VLOOKUP(F690&amp;G690,Pass!B:C,2,0),0)</f>
        <v/>
      </c>
      <c r="M690" s="156">
        <f>IFERROR(VLOOKUP(F690&amp;G690,Rush!B:C,2,0),0)</f>
        <v/>
      </c>
      <c r="N690" s="156">
        <f>IFERROR(VLOOKUP(F690&amp;G690,Rec!B:C,2,0),K690)</f>
        <v/>
      </c>
      <c r="O690" s="156">
        <f>IFERROR(VLOOKUP(F690&amp;G690,Returns!A:B,2,0),0)</f>
        <v/>
      </c>
    </row>
    <row r="691" hidden="1" ht="15.6" customHeight="1" s="152">
      <c r="A691" s="221" t="n">
        <v>82</v>
      </c>
      <c r="B691" s="218">
        <f>VLOOKUP(G691,Matrix!R:AA,10,0)</f>
        <v/>
      </c>
      <c r="C691" s="156">
        <f>IF(K691&gt;=0.01,K691,IFERROR(VLOOKUP(F691&amp;G691,Rec!B:C,2,0),K691)+SUM(L691:O691))</f>
        <v/>
      </c>
      <c r="D691" s="218">
        <f>_xlfn.IFNA(INDEX('Injury Report'!F:F, MATCH(G691&amp;F691, 'Injury Report'!A:A, 0)), "Healthy")</f>
        <v/>
      </c>
      <c r="E691" s="219">
        <f>VLOOKUP(A691,'TE Depth'!A:G,7,0)-1</f>
        <v/>
      </c>
      <c r="F691" s="218">
        <f>VLOOKUP(A691,'TE Depth'!A:C,3,0)</f>
        <v/>
      </c>
      <c r="G691" s="218">
        <f>VLOOKUP(A691,'TE Depth'!A:B,2,0)</f>
        <v/>
      </c>
      <c r="H691" s="218">
        <f>VLOOKUP(A691,'TE Depth'!A:D,4,0)</f>
        <v/>
      </c>
      <c r="I691" s="218">
        <f>H691&amp;E691</f>
        <v/>
      </c>
      <c r="J691" s="220">
        <f>IF(VLOOKUP(F691,Rec!F:G,2,0)=G691,"OK","Check Team")</f>
        <v/>
      </c>
      <c r="K691" s="156" t="n"/>
      <c r="L691" s="156">
        <f>IFERROR(VLOOKUP(F691&amp;G691,Pass!B:C,2,0),0)</f>
        <v/>
      </c>
      <c r="M691" s="156">
        <f>IFERROR(VLOOKUP(F691&amp;G691,Rush!B:C,2,0),0)</f>
        <v/>
      </c>
      <c r="N691" s="156">
        <f>IFERROR(VLOOKUP(F691&amp;G691,Rec!B:C,2,0),K691)</f>
        <v/>
      </c>
      <c r="O691" s="156">
        <f>IFERROR(VLOOKUP(F691&amp;G691,Returns!A:B,2,0),0)</f>
        <v/>
      </c>
    </row>
    <row r="692" hidden="1" ht="14.4" customHeight="1" s="152">
      <c r="A692" s="217" t="n">
        <v>83</v>
      </c>
      <c r="B692" s="218">
        <f>VLOOKUP(G692,Matrix!R:AA,10,0)</f>
        <v/>
      </c>
      <c r="C692" s="156">
        <f>IF(K692&gt;=0.01,K692,IFERROR(VLOOKUP(F692&amp;G692,Rec!B:C,2,0),K692)+SUM(L692:O692))</f>
        <v/>
      </c>
      <c r="D692" s="218">
        <f>_xlfn.IFNA(INDEX('Injury Report'!F:F, MATCH(G692&amp;F692, 'Injury Report'!A:A, 0)), "Healthy")</f>
        <v/>
      </c>
      <c r="E692" s="219">
        <f>VLOOKUP(A692,'TE Depth'!A:G,7,0)-1</f>
        <v/>
      </c>
      <c r="F692" s="218">
        <f>VLOOKUP(A692,'TE Depth'!A:C,3,0)</f>
        <v/>
      </c>
      <c r="G692" s="218">
        <f>VLOOKUP(A692,'TE Depth'!A:B,2,0)</f>
        <v/>
      </c>
      <c r="H692" s="218">
        <f>VLOOKUP(A692,'TE Depth'!A:D,4,0)</f>
        <v/>
      </c>
      <c r="I692" s="218">
        <f>H692&amp;E692</f>
        <v/>
      </c>
      <c r="J692" s="220">
        <f>IF(VLOOKUP(F692,Rec!F:G,2,0)=G692,"OK","Check Team")</f>
        <v/>
      </c>
      <c r="K692" s="156" t="n"/>
      <c r="L692" s="156">
        <f>IFERROR(VLOOKUP(F692&amp;G692,Pass!B:C,2,0),0)</f>
        <v/>
      </c>
      <c r="M692" s="156">
        <f>IFERROR(VLOOKUP(F692&amp;G692,Rush!B:C,2,0),0)</f>
        <v/>
      </c>
      <c r="N692" s="156">
        <f>IFERROR(VLOOKUP(F692&amp;G692,Rec!B:C,2,0),K692)</f>
        <v/>
      </c>
      <c r="O692" s="156">
        <f>IFERROR(VLOOKUP(F692&amp;G692,Returns!A:B,2,0),0)</f>
        <v/>
      </c>
    </row>
    <row r="693" hidden="1" ht="14.4" customHeight="1" s="152">
      <c r="A693" s="221" t="n">
        <v>84</v>
      </c>
      <c r="B693" s="218">
        <f>VLOOKUP(G693,Matrix!R:AA,10,0)</f>
        <v/>
      </c>
      <c r="C693" s="156">
        <f>IF(K693&gt;=0.01,K693,IFERROR(VLOOKUP(F693&amp;G693,Rec!B:C,2,0),K693)+SUM(L693:O693))</f>
        <v/>
      </c>
      <c r="D693" s="218">
        <f>_xlfn.IFNA(INDEX('Injury Report'!F:F, MATCH(G693&amp;F693, 'Injury Report'!A:A, 0)), "Healthy")</f>
        <v/>
      </c>
      <c r="E693" s="219">
        <f>VLOOKUP(A693,'TE Depth'!A:G,7,0)-1</f>
        <v/>
      </c>
      <c r="F693" s="218">
        <f>VLOOKUP(A693,'TE Depth'!A:C,3,0)</f>
        <v/>
      </c>
      <c r="G693" s="218">
        <f>VLOOKUP(A693,'TE Depth'!A:B,2,0)</f>
        <v/>
      </c>
      <c r="H693" s="218">
        <f>VLOOKUP(A693,'TE Depth'!A:D,4,0)</f>
        <v/>
      </c>
      <c r="I693" s="218">
        <f>H693&amp;E693</f>
        <v/>
      </c>
      <c r="J693" s="220">
        <f>IF(VLOOKUP(F693,Rec!F:G,2,0)=G693,"OK","Check Team")</f>
        <v/>
      </c>
      <c r="K693" s="156" t="n"/>
      <c r="L693" s="156">
        <f>IFERROR(VLOOKUP(F693&amp;G693,Pass!B:C,2,0),0)</f>
        <v/>
      </c>
      <c r="M693" s="156">
        <f>IFERROR(VLOOKUP(F693&amp;G693,Rush!B:C,2,0),0)</f>
        <v/>
      </c>
      <c r="N693" s="156">
        <f>IFERROR(VLOOKUP(F693&amp;G693,Rec!B:C,2,0),K693)</f>
        <v/>
      </c>
      <c r="O693" s="156">
        <f>IFERROR(VLOOKUP(F693&amp;G693,Returns!A:B,2,0),0)</f>
        <v/>
      </c>
    </row>
    <row r="694" hidden="1" ht="14.4" customHeight="1" s="152">
      <c r="A694" s="217" t="n">
        <v>85</v>
      </c>
      <c r="B694" s="218">
        <f>VLOOKUP(G694,Matrix!R:AA,10,0)</f>
        <v/>
      </c>
      <c r="C694" s="156">
        <f>IF(K694&gt;=0.01,K694,IFERROR(VLOOKUP(F694&amp;G694,Rec!B:C,2,0),K694)+SUM(L694:O694))</f>
        <v/>
      </c>
      <c r="D694" s="218">
        <f>_xlfn.IFNA(INDEX('Injury Report'!F:F, MATCH(G694&amp;F694, 'Injury Report'!A:A, 0)), "Healthy")</f>
        <v/>
      </c>
      <c r="E694" s="219">
        <f>VLOOKUP(A694,'TE Depth'!A:G,7,0)-1</f>
        <v/>
      </c>
      <c r="F694" s="218">
        <f>VLOOKUP(A694,'TE Depth'!A:C,3,0)</f>
        <v/>
      </c>
      <c r="G694" s="218">
        <f>VLOOKUP(A694,'TE Depth'!A:B,2,0)</f>
        <v/>
      </c>
      <c r="H694" s="218">
        <f>VLOOKUP(A694,'TE Depth'!A:D,4,0)</f>
        <v/>
      </c>
      <c r="I694" s="218">
        <f>H694&amp;E694</f>
        <v/>
      </c>
      <c r="J694" s="220">
        <f>IF(VLOOKUP(F694,Rec!F:G,2,0)=G694,"OK","Check Team")</f>
        <v/>
      </c>
      <c r="K694" s="156" t="n"/>
      <c r="L694" s="156">
        <f>IFERROR(VLOOKUP(F694&amp;G694,Pass!B:C,2,0),0)</f>
        <v/>
      </c>
      <c r="M694" s="156">
        <f>IFERROR(VLOOKUP(F694&amp;G694,Rush!B:C,2,0),0)</f>
        <v/>
      </c>
      <c r="N694" s="156">
        <f>IFERROR(VLOOKUP(F694&amp;G694,Rec!B:C,2,0),K694)</f>
        <v/>
      </c>
      <c r="O694" s="156">
        <f>IFERROR(VLOOKUP(F694&amp;G694,Returns!A:B,2,0),0)</f>
        <v/>
      </c>
    </row>
    <row r="695" hidden="1" ht="14.4" customHeight="1" s="152">
      <c r="A695" s="221" t="n">
        <v>86</v>
      </c>
      <c r="B695" s="218">
        <f>VLOOKUP(G695,Matrix!R:AA,10,0)</f>
        <v/>
      </c>
      <c r="C695" s="156">
        <f>IF(K695&gt;=0.01,K695,IFERROR(VLOOKUP(F695&amp;G695,Rec!B:C,2,0),K695)+SUM(L695:O695))</f>
        <v/>
      </c>
      <c r="D695" s="218">
        <f>_xlfn.IFNA(INDEX('Injury Report'!F:F, MATCH(G695&amp;F695, 'Injury Report'!A:A, 0)), "Healthy")</f>
        <v/>
      </c>
      <c r="E695" s="219">
        <f>VLOOKUP(A695,'TE Depth'!A:G,7,0)-1</f>
        <v/>
      </c>
      <c r="F695" s="218">
        <f>VLOOKUP(A695,'TE Depth'!A:C,3,0)</f>
        <v/>
      </c>
      <c r="G695" s="218">
        <f>VLOOKUP(A695,'TE Depth'!A:B,2,0)</f>
        <v/>
      </c>
      <c r="H695" s="218">
        <f>VLOOKUP(A695,'TE Depth'!A:D,4,0)</f>
        <v/>
      </c>
      <c r="I695" s="218">
        <f>H695&amp;E695</f>
        <v/>
      </c>
      <c r="J695" s="220">
        <f>IF(VLOOKUP(F695,Rec!F:G,2,0)=G695,"OK","Check Team")</f>
        <v/>
      </c>
      <c r="K695" s="156" t="n"/>
      <c r="L695" s="156">
        <f>IFERROR(VLOOKUP(F695&amp;G695,Pass!B:C,2,0),0)</f>
        <v/>
      </c>
      <c r="M695" s="156">
        <f>IFERROR(VLOOKUP(F695&amp;G695,Rush!B:C,2,0),0)</f>
        <v/>
      </c>
      <c r="N695" s="156">
        <f>IFERROR(VLOOKUP(F695&amp;G695,Rec!B:C,2,0),K695)</f>
        <v/>
      </c>
      <c r="O695" s="156">
        <f>IFERROR(VLOOKUP(F695&amp;G695,Returns!A:B,2,0),0)</f>
        <v/>
      </c>
    </row>
    <row r="696" hidden="1" ht="14.4" customHeight="1" s="152">
      <c r="A696" s="217" t="n">
        <v>87</v>
      </c>
      <c r="B696" s="218">
        <f>VLOOKUP(G696,Matrix!R:AA,10,0)</f>
        <v/>
      </c>
      <c r="C696" s="156">
        <f>IF(K696&gt;=0.01,K696,IFERROR(VLOOKUP(F696&amp;G696,Rec!B:C,2,0),K696)+SUM(L696:O696))</f>
        <v/>
      </c>
      <c r="D696" s="218">
        <f>_xlfn.IFNA(INDEX('Injury Report'!F:F, MATCH(G696&amp;F696, 'Injury Report'!A:A, 0)), "Healthy")</f>
        <v/>
      </c>
      <c r="E696" s="219">
        <f>VLOOKUP(A696,'TE Depth'!A:G,7,0)-1</f>
        <v/>
      </c>
      <c r="F696" s="218">
        <f>VLOOKUP(A696,'TE Depth'!A:C,3,0)</f>
        <v/>
      </c>
      <c r="G696" s="218">
        <f>VLOOKUP(A696,'TE Depth'!A:B,2,0)</f>
        <v/>
      </c>
      <c r="H696" s="218">
        <f>VLOOKUP(A696,'TE Depth'!A:D,4,0)</f>
        <v/>
      </c>
      <c r="I696" s="218">
        <f>H696&amp;E696</f>
        <v/>
      </c>
      <c r="J696" s="220">
        <f>IF(VLOOKUP(F696,Rec!F:G,2,0)=G696,"OK","Check Team")</f>
        <v/>
      </c>
      <c r="K696" s="156" t="n"/>
      <c r="L696" s="156">
        <f>IFERROR(VLOOKUP(F696&amp;G696,Pass!B:C,2,0),0)</f>
        <v/>
      </c>
      <c r="M696" s="156">
        <f>IFERROR(VLOOKUP(F696&amp;G696,Rush!B:C,2,0),0)</f>
        <v/>
      </c>
      <c r="N696" s="156">
        <f>IFERROR(VLOOKUP(F696&amp;G696,Rec!B:C,2,0),K696)</f>
        <v/>
      </c>
      <c r="O696" s="156">
        <f>IFERROR(VLOOKUP(F696&amp;G696,Returns!A:B,2,0),0)</f>
        <v/>
      </c>
    </row>
    <row r="697" hidden="1" ht="14.4" customHeight="1" s="152">
      <c r="A697" s="221" t="n">
        <v>88</v>
      </c>
      <c r="B697" s="218">
        <f>VLOOKUP(G697,Matrix!R:AA,10,0)</f>
        <v/>
      </c>
      <c r="C697" s="156">
        <f>IF(K697&gt;=0.01,K697,IFERROR(VLOOKUP(F697&amp;G697,Rec!B:C,2,0),K697)+SUM(L697:O697))</f>
        <v/>
      </c>
      <c r="D697" s="218">
        <f>_xlfn.IFNA(INDEX('Injury Report'!F:F, MATCH(G697&amp;F697, 'Injury Report'!A:A, 0)), "Healthy")</f>
        <v/>
      </c>
      <c r="E697" s="219">
        <f>VLOOKUP(A697,'TE Depth'!A:G,7,0)-1</f>
        <v/>
      </c>
      <c r="F697" s="218">
        <f>VLOOKUP(A697,'TE Depth'!A:C,3,0)</f>
        <v/>
      </c>
      <c r="G697" s="218">
        <f>VLOOKUP(A697,'TE Depth'!A:B,2,0)</f>
        <v/>
      </c>
      <c r="H697" s="218">
        <f>VLOOKUP(A697,'TE Depth'!A:D,4,0)</f>
        <v/>
      </c>
      <c r="I697" s="218">
        <f>H697&amp;E697</f>
        <v/>
      </c>
      <c r="J697" s="220">
        <f>IF(VLOOKUP(F697,Rec!F:G,2,0)=G697,"OK","Check Team")</f>
        <v/>
      </c>
      <c r="K697" s="156" t="n"/>
      <c r="L697" s="156">
        <f>IFERROR(VLOOKUP(F697&amp;G697,Pass!B:C,2,0),0)</f>
        <v/>
      </c>
      <c r="M697" s="156">
        <f>IFERROR(VLOOKUP(F697&amp;G697,Rush!B:C,2,0),0)</f>
        <v/>
      </c>
      <c r="N697" s="156">
        <f>IFERROR(VLOOKUP(F697&amp;G697,Rec!B:C,2,0),K697)</f>
        <v/>
      </c>
      <c r="O697" s="156">
        <f>IFERROR(VLOOKUP(F697&amp;G697,Returns!A:B,2,0),0)</f>
        <v/>
      </c>
    </row>
    <row r="698" hidden="1" ht="14.4" customHeight="1" s="152">
      <c r="A698" s="217" t="n">
        <v>89</v>
      </c>
      <c r="B698" s="218">
        <f>VLOOKUP(G698,Matrix!R:AA,10,0)</f>
        <v/>
      </c>
      <c r="C698" s="156">
        <f>IF(K698&gt;=0.01,K698,IFERROR(VLOOKUP(F698&amp;G698,Rec!B:C,2,0),K698)+SUM(L698:O698))</f>
        <v/>
      </c>
      <c r="D698" s="218">
        <f>_xlfn.IFNA(INDEX('Injury Report'!F:F, MATCH(G698&amp;F698, 'Injury Report'!A:A, 0)), "Healthy")</f>
        <v/>
      </c>
      <c r="E698" s="219">
        <f>VLOOKUP(A698,'TE Depth'!A:G,7,0)-1</f>
        <v/>
      </c>
      <c r="F698" s="218">
        <f>VLOOKUP(A698,'TE Depth'!A:C,3,0)</f>
        <v/>
      </c>
      <c r="G698" s="218">
        <f>VLOOKUP(A698,'TE Depth'!A:B,2,0)</f>
        <v/>
      </c>
      <c r="H698" s="218">
        <f>VLOOKUP(A698,'TE Depth'!A:D,4,0)</f>
        <v/>
      </c>
      <c r="I698" s="218">
        <f>H698&amp;E698</f>
        <v/>
      </c>
      <c r="J698" s="220">
        <f>IF(VLOOKUP(F698,Rec!F:G,2,0)=G698,"OK","Check Team")</f>
        <v/>
      </c>
      <c r="K698" s="156" t="n"/>
      <c r="L698" s="156">
        <f>IFERROR(VLOOKUP(F698&amp;G698,Pass!B:C,2,0),0)</f>
        <v/>
      </c>
      <c r="M698" s="156">
        <f>IFERROR(VLOOKUP(F698&amp;G698,Rush!B:C,2,0),0)</f>
        <v/>
      </c>
      <c r="N698" s="156">
        <f>IFERROR(VLOOKUP(F698&amp;G698,Rec!B:C,2,0),K698)</f>
        <v/>
      </c>
      <c r="O698" s="156">
        <f>IFERROR(VLOOKUP(F698&amp;G698,Returns!A:B,2,0),0)</f>
        <v/>
      </c>
    </row>
    <row r="699" hidden="1" ht="14.4" customHeight="1" s="152">
      <c r="A699" s="221" t="n">
        <v>90</v>
      </c>
      <c r="B699" s="218">
        <f>VLOOKUP(G699,Matrix!R:AA,10,0)</f>
        <v/>
      </c>
      <c r="C699" s="156">
        <f>IF(K699&gt;=0.01,K699,IFERROR(VLOOKUP(F699&amp;G699,Rec!B:C,2,0),K699)+SUM(L699:O699))</f>
        <v/>
      </c>
      <c r="D699" s="218">
        <f>_xlfn.IFNA(INDEX('Injury Report'!F:F, MATCH(G699&amp;F699, 'Injury Report'!A:A, 0)), "Healthy")</f>
        <v/>
      </c>
      <c r="E699" s="219">
        <f>VLOOKUP(A699,'TE Depth'!A:G,7,0)-1</f>
        <v/>
      </c>
      <c r="F699" s="218">
        <f>VLOOKUP(A699,'TE Depth'!A:C,3,0)</f>
        <v/>
      </c>
      <c r="G699" s="218">
        <f>VLOOKUP(A699,'TE Depth'!A:B,2,0)</f>
        <v/>
      </c>
      <c r="H699" s="218">
        <f>VLOOKUP(A699,'TE Depth'!A:D,4,0)</f>
        <v/>
      </c>
      <c r="I699" s="218">
        <f>H699&amp;E699</f>
        <v/>
      </c>
      <c r="J699" s="220">
        <f>IF(VLOOKUP(F699,Rec!F:G,2,0)=G699,"OK","Check Team")</f>
        <v/>
      </c>
      <c r="K699" s="156" t="n"/>
      <c r="L699" s="156">
        <f>IFERROR(VLOOKUP(F699&amp;G699,Pass!B:C,2,0),0)</f>
        <v/>
      </c>
      <c r="M699" s="156">
        <f>IFERROR(VLOOKUP(F699&amp;G699,Rush!B:C,2,0),0)</f>
        <v/>
      </c>
      <c r="N699" s="156">
        <f>IFERROR(VLOOKUP(F699&amp;G699,Rec!B:C,2,0),K699)</f>
        <v/>
      </c>
      <c r="O699" s="156">
        <f>IFERROR(VLOOKUP(F699&amp;G699,Returns!A:B,2,0),0)</f>
        <v/>
      </c>
    </row>
    <row r="700" hidden="1" ht="14.4" customHeight="1" s="152">
      <c r="A700" s="217" t="n">
        <v>91</v>
      </c>
      <c r="B700" s="218">
        <f>VLOOKUP(G700,Matrix!R:AA,10,0)</f>
        <v/>
      </c>
      <c r="C700" s="156">
        <f>IF(K700&gt;=0.01,K700,IFERROR(VLOOKUP(F700&amp;G700,Rec!B:C,2,0),K700)+SUM(L700:O700))</f>
        <v/>
      </c>
      <c r="D700" s="218">
        <f>_xlfn.IFNA(INDEX('Injury Report'!F:F, MATCH(G700&amp;F700, 'Injury Report'!A:A, 0)), "Healthy")</f>
        <v/>
      </c>
      <c r="E700" s="219">
        <f>VLOOKUP(A700,'TE Depth'!A:G,7,0)-1</f>
        <v/>
      </c>
      <c r="F700" s="218">
        <f>VLOOKUP(A700,'TE Depth'!A:C,3,0)</f>
        <v/>
      </c>
      <c r="G700" s="218">
        <f>VLOOKUP(A700,'TE Depth'!A:B,2,0)</f>
        <v/>
      </c>
      <c r="H700" s="218">
        <f>VLOOKUP(A700,'TE Depth'!A:D,4,0)</f>
        <v/>
      </c>
      <c r="I700" s="218">
        <f>H700&amp;E700</f>
        <v/>
      </c>
      <c r="J700" s="220">
        <f>IF(VLOOKUP(F700,Rec!F:G,2,0)=G700,"OK","Check Team")</f>
        <v/>
      </c>
      <c r="K700" s="156" t="n"/>
      <c r="L700" s="156">
        <f>IFERROR(VLOOKUP(F700&amp;G700,Pass!B:C,2,0),0)</f>
        <v/>
      </c>
      <c r="M700" s="156">
        <f>IFERROR(VLOOKUP(F700&amp;G700,Rush!B:C,2,0),0)</f>
        <v/>
      </c>
      <c r="N700" s="156">
        <f>IFERROR(VLOOKUP(F700&amp;G700,Rec!B:C,2,0),K700)</f>
        <v/>
      </c>
      <c r="O700" s="156">
        <f>IFERROR(VLOOKUP(F700&amp;G700,Returns!A:B,2,0),0)</f>
        <v/>
      </c>
    </row>
    <row r="701" hidden="1" ht="14.4" customHeight="1" s="152">
      <c r="A701" s="221" t="n">
        <v>92</v>
      </c>
      <c r="B701" s="218">
        <f>VLOOKUP(G701,Matrix!R:AA,10,0)</f>
        <v/>
      </c>
      <c r="C701" s="156">
        <f>IF(K701&gt;=0.01,K701,IFERROR(VLOOKUP(F701&amp;G701,Rec!B:C,2,0),K701)+SUM(L701:O701))</f>
        <v/>
      </c>
      <c r="D701" s="218">
        <f>_xlfn.IFNA(INDEX('Injury Report'!F:F, MATCH(G701&amp;F701, 'Injury Report'!A:A, 0)), "Healthy")</f>
        <v/>
      </c>
      <c r="E701" s="219">
        <f>VLOOKUP(A701,'TE Depth'!A:G,7,0)-1</f>
        <v/>
      </c>
      <c r="F701" s="218">
        <f>VLOOKUP(A701,'TE Depth'!A:C,3,0)</f>
        <v/>
      </c>
      <c r="G701" s="218">
        <f>VLOOKUP(A701,'TE Depth'!A:B,2,0)</f>
        <v/>
      </c>
      <c r="H701" s="218">
        <f>VLOOKUP(A701,'TE Depth'!A:D,4,0)</f>
        <v/>
      </c>
      <c r="I701" s="218">
        <f>H701&amp;E701</f>
        <v/>
      </c>
      <c r="J701" s="220">
        <f>IF(VLOOKUP(F701,Rec!F:G,2,0)=G701,"OK","Check Team")</f>
        <v/>
      </c>
      <c r="K701" s="156" t="n"/>
      <c r="L701" s="156">
        <f>IFERROR(VLOOKUP(F701&amp;G701,Pass!B:C,2,0),0)</f>
        <v/>
      </c>
      <c r="M701" s="156">
        <f>IFERROR(VLOOKUP(F701&amp;G701,Rush!B:C,2,0),0)</f>
        <v/>
      </c>
      <c r="N701" s="156">
        <f>IFERROR(VLOOKUP(F701&amp;G701,Rec!B:C,2,0),K701)</f>
        <v/>
      </c>
      <c r="O701" s="156">
        <f>IFERROR(VLOOKUP(F701&amp;G701,Returns!A:B,2,0),0)</f>
        <v/>
      </c>
    </row>
    <row r="702" hidden="1" ht="14.4" customHeight="1" s="152">
      <c r="A702" s="217" t="n">
        <v>93</v>
      </c>
      <c r="B702" s="218">
        <f>VLOOKUP(G702,Matrix!R:AA,10,0)</f>
        <v/>
      </c>
      <c r="C702" s="156">
        <f>IF(K702&gt;=0.01,K702,IFERROR(VLOOKUP(F702&amp;G702,Rec!B:C,2,0),K702)+SUM(L702:O702))</f>
        <v/>
      </c>
      <c r="D702" s="218">
        <f>_xlfn.IFNA(INDEX('Injury Report'!F:F, MATCH(G702&amp;F702, 'Injury Report'!A:A, 0)), "Healthy")</f>
        <v/>
      </c>
      <c r="E702" s="219">
        <f>VLOOKUP(A702,'TE Depth'!A:G,7,0)-1</f>
        <v/>
      </c>
      <c r="F702" s="218">
        <f>VLOOKUP(A702,'TE Depth'!A:C,3,0)</f>
        <v/>
      </c>
      <c r="G702" s="218">
        <f>VLOOKUP(A702,'TE Depth'!A:B,2,0)</f>
        <v/>
      </c>
      <c r="H702" s="218">
        <f>VLOOKUP(A702,'TE Depth'!A:D,4,0)</f>
        <v/>
      </c>
      <c r="I702" s="218">
        <f>H702&amp;E702</f>
        <v/>
      </c>
      <c r="J702" s="220">
        <f>IF(VLOOKUP(F702,Rec!F:G,2,0)=G702,"OK","Check Team")</f>
        <v/>
      </c>
      <c r="K702" s="156" t="n"/>
      <c r="L702" s="156">
        <f>IFERROR(VLOOKUP(F702&amp;G702,Pass!B:C,2,0),0)</f>
        <v/>
      </c>
      <c r="M702" s="156">
        <f>IFERROR(VLOOKUP(F702&amp;G702,Rush!B:C,2,0),0)</f>
        <v/>
      </c>
      <c r="N702" s="156">
        <f>IFERROR(VLOOKUP(F702&amp;G702,Rec!B:C,2,0),K702)</f>
        <v/>
      </c>
      <c r="O702" s="156">
        <f>IFERROR(VLOOKUP(F702&amp;G702,Returns!A:B,2,0),0)</f>
        <v/>
      </c>
    </row>
    <row r="703" hidden="1" ht="14.4" customHeight="1" s="152">
      <c r="A703" s="221" t="n">
        <v>94</v>
      </c>
      <c r="B703" s="218">
        <f>VLOOKUP(G703,Matrix!R:AA,10,0)</f>
        <v/>
      </c>
      <c r="C703" s="156">
        <f>IF(K703&gt;=0.01,K703,IFERROR(VLOOKUP(F703&amp;G703,Rec!B:C,2,0),K703)+SUM(L703:O703))</f>
        <v/>
      </c>
      <c r="D703" s="218">
        <f>_xlfn.IFNA(INDEX('Injury Report'!F:F, MATCH(G703&amp;F703, 'Injury Report'!A:A, 0)), "Healthy")</f>
        <v/>
      </c>
      <c r="E703" s="219">
        <f>VLOOKUP(A703,'TE Depth'!A:G,7,0)-1</f>
        <v/>
      </c>
      <c r="F703" s="218">
        <f>VLOOKUP(A703,'TE Depth'!A:C,3,0)</f>
        <v/>
      </c>
      <c r="G703" s="218">
        <f>VLOOKUP(A703,'TE Depth'!A:B,2,0)</f>
        <v/>
      </c>
      <c r="H703" s="218">
        <f>VLOOKUP(A703,'TE Depth'!A:D,4,0)</f>
        <v/>
      </c>
      <c r="I703" s="218">
        <f>H703&amp;E703</f>
        <v/>
      </c>
      <c r="J703" s="220">
        <f>IF(VLOOKUP(F703,Rec!F:G,2,0)=G703,"OK","Check Team")</f>
        <v/>
      </c>
      <c r="K703" s="156" t="n"/>
      <c r="L703" s="156">
        <f>IFERROR(VLOOKUP(F703&amp;G703,Pass!B:C,2,0),0)</f>
        <v/>
      </c>
      <c r="M703" s="156">
        <f>IFERROR(VLOOKUP(F703&amp;G703,Rush!B:C,2,0),0)</f>
        <v/>
      </c>
      <c r="N703" s="156">
        <f>IFERROR(VLOOKUP(F703&amp;G703,Rec!B:C,2,0),K703)</f>
        <v/>
      </c>
      <c r="O703" s="156">
        <f>IFERROR(VLOOKUP(F703&amp;G703,Returns!A:B,2,0),0)</f>
        <v/>
      </c>
    </row>
    <row r="704" hidden="1" ht="14.4" customHeight="1" s="152">
      <c r="A704" s="217" t="n">
        <v>95</v>
      </c>
      <c r="B704" s="218">
        <f>VLOOKUP(G704,Matrix!R:AA,10,0)</f>
        <v/>
      </c>
      <c r="C704" s="156">
        <f>IF(K704&gt;=0.01,K704,IFERROR(VLOOKUP(F704&amp;G704,Rec!B:C,2,0),K704)+SUM(L704:O704))</f>
        <v/>
      </c>
      <c r="D704" s="218">
        <f>_xlfn.IFNA(INDEX('Injury Report'!F:F, MATCH(G704&amp;F704, 'Injury Report'!A:A, 0)), "Healthy")</f>
        <v/>
      </c>
      <c r="E704" s="219">
        <f>VLOOKUP(A704,'TE Depth'!A:G,7,0)-1</f>
        <v/>
      </c>
      <c r="F704" s="218">
        <f>VLOOKUP(A704,'TE Depth'!A:C,3,0)</f>
        <v/>
      </c>
      <c r="G704" s="218">
        <f>VLOOKUP(A704,'TE Depth'!A:B,2,0)</f>
        <v/>
      </c>
      <c r="H704" s="218">
        <f>VLOOKUP(A704,'TE Depth'!A:D,4,0)</f>
        <v/>
      </c>
      <c r="I704" s="218">
        <f>H704&amp;E704</f>
        <v/>
      </c>
      <c r="J704" s="220">
        <f>IF(VLOOKUP(F704,Rec!F:G,2,0)=G704,"OK","Check Team")</f>
        <v/>
      </c>
      <c r="K704" s="156" t="n"/>
      <c r="L704" s="156">
        <f>IFERROR(VLOOKUP(F704&amp;G704,Pass!B:C,2,0),0)</f>
        <v/>
      </c>
      <c r="M704" s="156">
        <f>IFERROR(VLOOKUP(F704&amp;G704,Rush!B:C,2,0),0)</f>
        <v/>
      </c>
      <c r="N704" s="156">
        <f>IFERROR(VLOOKUP(F704&amp;G704,Rec!B:C,2,0),K704)</f>
        <v/>
      </c>
      <c r="O704" s="156">
        <f>IFERROR(VLOOKUP(F704&amp;G704,Returns!A:B,2,0),0)</f>
        <v/>
      </c>
    </row>
    <row r="705" hidden="1" ht="14.4" customHeight="1" s="152">
      <c r="A705" s="221" t="n">
        <v>96</v>
      </c>
      <c r="B705" s="218">
        <f>VLOOKUP(G705,Matrix!R:AA,10,0)</f>
        <v/>
      </c>
      <c r="C705" s="156">
        <f>IF(K705&gt;=0.01,K705,IFERROR(VLOOKUP(F705&amp;G705,Rec!B:C,2,0),K705)+SUM(L705:O705))</f>
        <v/>
      </c>
      <c r="D705" s="218">
        <f>_xlfn.IFNA(INDEX('Injury Report'!F:F, MATCH(G705&amp;F705, 'Injury Report'!A:A, 0)), "Healthy")</f>
        <v/>
      </c>
      <c r="E705" s="219">
        <f>VLOOKUP(A705,'TE Depth'!A:G,7,0)-1</f>
        <v/>
      </c>
      <c r="F705" s="218">
        <f>VLOOKUP(A705,'TE Depth'!A:C,3,0)</f>
        <v/>
      </c>
      <c r="G705" s="218">
        <f>VLOOKUP(A705,'TE Depth'!A:B,2,0)</f>
        <v/>
      </c>
      <c r="H705" s="218">
        <f>VLOOKUP(A705,'TE Depth'!A:D,4,0)</f>
        <v/>
      </c>
      <c r="I705" s="218">
        <f>H705&amp;E705</f>
        <v/>
      </c>
      <c r="J705" s="220">
        <f>IF(VLOOKUP(F705,Rec!F:G,2,0)=G705,"OK","Check Team")</f>
        <v/>
      </c>
      <c r="K705" s="156" t="n"/>
      <c r="L705" s="156">
        <f>IFERROR(VLOOKUP(F705&amp;G705,Pass!B:C,2,0),0)</f>
        <v/>
      </c>
      <c r="M705" s="156">
        <f>IFERROR(VLOOKUP(F705&amp;G705,Rush!B:C,2,0),0)</f>
        <v/>
      </c>
      <c r="N705" s="156">
        <f>IFERROR(VLOOKUP(F705&amp;G705,Rec!B:C,2,0),K705)</f>
        <v/>
      </c>
      <c r="O705" s="156">
        <f>IFERROR(VLOOKUP(F705&amp;G705,Returns!A:B,2,0),0)</f>
        <v/>
      </c>
    </row>
    <row r="706" hidden="1" ht="14.4" customHeight="1" s="152">
      <c r="A706" s="217" t="n">
        <v>97</v>
      </c>
      <c r="B706" s="218">
        <f>VLOOKUP(G706,Matrix!R:AA,10,0)</f>
        <v/>
      </c>
      <c r="C706" s="156">
        <f>IF(K706&gt;=0.01,K706,IFERROR(VLOOKUP(F706&amp;G706,Rec!B:C,2,0),K706)+SUM(L706:O706))</f>
        <v/>
      </c>
      <c r="D706" s="218">
        <f>_xlfn.IFNA(INDEX('Injury Report'!F:F, MATCH(G706&amp;F706, 'Injury Report'!A:A, 0)), "Healthy")</f>
        <v/>
      </c>
      <c r="E706" s="219">
        <f>VLOOKUP(A706,'TE Depth'!A:G,7,0)-1</f>
        <v/>
      </c>
      <c r="F706" s="218">
        <f>VLOOKUP(A706,'TE Depth'!A:C,3,0)</f>
        <v/>
      </c>
      <c r="G706" s="218">
        <f>VLOOKUP(A706,'TE Depth'!A:B,2,0)</f>
        <v/>
      </c>
      <c r="H706" s="218">
        <f>VLOOKUP(A706,'TE Depth'!A:D,4,0)</f>
        <v/>
      </c>
      <c r="I706" s="218">
        <f>H706&amp;E706</f>
        <v/>
      </c>
      <c r="J706" s="220">
        <f>IF(VLOOKUP(F706,Rec!F:G,2,0)=G706,"OK","Check Team")</f>
        <v/>
      </c>
      <c r="K706" s="156" t="n"/>
      <c r="L706" s="156">
        <f>IFERROR(VLOOKUP(F706&amp;G706,Pass!B:C,2,0),0)</f>
        <v/>
      </c>
      <c r="M706" s="156">
        <f>IFERROR(VLOOKUP(F706&amp;G706,Rush!B:C,2,0),0)</f>
        <v/>
      </c>
      <c r="N706" s="156">
        <f>IFERROR(VLOOKUP(F706&amp;G706,Rec!B:C,2,0),K706)</f>
        <v/>
      </c>
      <c r="O706" s="156">
        <f>IFERROR(VLOOKUP(F706&amp;G706,Returns!A:B,2,0),0)</f>
        <v/>
      </c>
    </row>
    <row r="707" hidden="1" ht="14.4" customHeight="1" s="152">
      <c r="A707" s="221" t="n">
        <v>98</v>
      </c>
      <c r="B707" s="218">
        <f>VLOOKUP(G707,Matrix!R:AA,10,0)</f>
        <v/>
      </c>
      <c r="C707" s="156">
        <f>IF(K707&gt;=0.01,K707,IFERROR(VLOOKUP(F707&amp;G707,Rec!B:C,2,0),K707)+SUM(L707:O707))</f>
        <v/>
      </c>
      <c r="D707" s="218">
        <f>_xlfn.IFNA(INDEX('Injury Report'!F:F, MATCH(G707&amp;F707, 'Injury Report'!A:A, 0)), "Healthy")</f>
        <v/>
      </c>
      <c r="E707" s="219">
        <f>VLOOKUP(A707,'TE Depth'!A:G,7,0)-1</f>
        <v/>
      </c>
      <c r="F707" s="218">
        <f>VLOOKUP(A707,'TE Depth'!A:C,3,0)</f>
        <v/>
      </c>
      <c r="G707" s="218">
        <f>VLOOKUP(A707,'TE Depth'!A:B,2,0)</f>
        <v/>
      </c>
      <c r="H707" s="218">
        <f>VLOOKUP(A707,'TE Depth'!A:D,4,0)</f>
        <v/>
      </c>
      <c r="I707" s="218">
        <f>H707&amp;E707</f>
        <v/>
      </c>
      <c r="J707" s="220">
        <f>IF(VLOOKUP(F707,Rec!F:G,2,0)=G707,"OK","Check Team")</f>
        <v/>
      </c>
      <c r="K707" s="156" t="n"/>
      <c r="L707" s="156">
        <f>IFERROR(VLOOKUP(F707&amp;G707,Pass!B:C,2,0),0)</f>
        <v/>
      </c>
      <c r="M707" s="156">
        <f>IFERROR(VLOOKUP(F707&amp;G707,Rush!B:C,2,0),0)</f>
        <v/>
      </c>
      <c r="N707" s="156">
        <f>IFERROR(VLOOKUP(F707&amp;G707,Rec!B:C,2,0),K707)</f>
        <v/>
      </c>
      <c r="O707" s="156">
        <f>IFERROR(VLOOKUP(F707&amp;G707,Returns!A:B,2,0),0)</f>
        <v/>
      </c>
    </row>
    <row r="708" hidden="1" ht="14.4" customHeight="1" s="152">
      <c r="A708" s="217" t="n">
        <v>99</v>
      </c>
      <c r="B708" s="218">
        <f>VLOOKUP(G708,Matrix!R:AA,10,0)</f>
        <v/>
      </c>
      <c r="C708" s="156">
        <f>IF(K708&gt;=0.01,K708,IFERROR(VLOOKUP(F708&amp;G708,Rec!B:C,2,0),K708)+SUM(L708:O708))</f>
        <v/>
      </c>
      <c r="D708" s="218">
        <f>_xlfn.IFNA(INDEX('Injury Report'!F:F, MATCH(G708&amp;F708, 'Injury Report'!A:A, 0)), "Healthy")</f>
        <v/>
      </c>
      <c r="E708" s="219">
        <f>VLOOKUP(A708,'TE Depth'!A:G,7,0)-1</f>
        <v/>
      </c>
      <c r="F708" s="218">
        <f>VLOOKUP(A708,'TE Depth'!A:C,3,0)</f>
        <v/>
      </c>
      <c r="G708" s="218">
        <f>VLOOKUP(A708,'TE Depth'!A:B,2,0)</f>
        <v/>
      </c>
      <c r="H708" s="218">
        <f>VLOOKUP(A708,'TE Depth'!A:D,4,0)</f>
        <v/>
      </c>
      <c r="I708" s="218">
        <f>H708&amp;E708</f>
        <v/>
      </c>
      <c r="J708" s="220">
        <f>IF(VLOOKUP(F708,Rec!F:G,2,0)=G708,"OK","Check Team")</f>
        <v/>
      </c>
      <c r="K708" s="156" t="n"/>
      <c r="L708" s="156">
        <f>IFERROR(VLOOKUP(F708&amp;G708,Pass!B:C,2,0),0)</f>
        <v/>
      </c>
      <c r="M708" s="156">
        <f>IFERROR(VLOOKUP(F708&amp;G708,Rush!B:C,2,0),0)</f>
        <v/>
      </c>
      <c r="N708" s="156">
        <f>IFERROR(VLOOKUP(F708&amp;G708,Rec!B:C,2,0),K708)</f>
        <v/>
      </c>
      <c r="O708" s="156">
        <f>IFERROR(VLOOKUP(F708&amp;G708,Returns!A:B,2,0),0)</f>
        <v/>
      </c>
    </row>
    <row r="709" hidden="1" ht="14.4" customHeight="1" s="152">
      <c r="A709" s="221" t="n">
        <v>100</v>
      </c>
      <c r="B709" s="218">
        <f>VLOOKUP(G709,Matrix!R:AA,10,0)</f>
        <v/>
      </c>
      <c r="C709" s="156">
        <f>IF(K709&gt;=0.01,K709,IFERROR(VLOOKUP(F709&amp;G709,Rec!B:C,2,0),K709)+SUM(L709:O709))</f>
        <v/>
      </c>
      <c r="D709" s="218">
        <f>_xlfn.IFNA(INDEX('Injury Report'!F:F, MATCH(G709&amp;F709, 'Injury Report'!A:A, 0)), "Healthy")</f>
        <v/>
      </c>
      <c r="E709" s="219">
        <f>VLOOKUP(A709,'TE Depth'!A:G,7,0)-1</f>
        <v/>
      </c>
      <c r="F709" s="218">
        <f>VLOOKUP(A709,'TE Depth'!A:C,3,0)</f>
        <v/>
      </c>
      <c r="G709" s="218">
        <f>VLOOKUP(A709,'TE Depth'!A:B,2,0)</f>
        <v/>
      </c>
      <c r="H709" s="218">
        <f>VLOOKUP(A709,'TE Depth'!A:D,4,0)</f>
        <v/>
      </c>
      <c r="I709" s="218">
        <f>H709&amp;E709</f>
        <v/>
      </c>
      <c r="J709" s="220">
        <f>IF(VLOOKUP(F709,Rec!F:G,2,0)=G709,"OK","Check Team")</f>
        <v/>
      </c>
      <c r="K709" s="156" t="n"/>
      <c r="L709" s="156">
        <f>IFERROR(VLOOKUP(F709&amp;G709,Pass!B:C,2,0),0)</f>
        <v/>
      </c>
      <c r="M709" s="156">
        <f>IFERROR(VLOOKUP(F709&amp;G709,Rush!B:C,2,0),0)</f>
        <v/>
      </c>
      <c r="N709" s="156">
        <f>IFERROR(VLOOKUP(F709&amp;G709,Rec!B:C,2,0),K709)</f>
        <v/>
      </c>
      <c r="O709" s="156">
        <f>IFERROR(VLOOKUP(F709&amp;G709,Returns!A:B,2,0),0)</f>
        <v/>
      </c>
    </row>
    <row r="710" hidden="1" ht="14.4" customHeight="1" s="152">
      <c r="A710" s="217" t="n">
        <v>101</v>
      </c>
      <c r="B710" s="218">
        <f>VLOOKUP(G710,Matrix!R:AA,10,0)</f>
        <v/>
      </c>
      <c r="C710" s="156">
        <f>IF(K710&gt;=0.01,K710,IFERROR(VLOOKUP(F710&amp;G710,Rec!B:C,2,0),K710)+SUM(L710:O710))</f>
        <v/>
      </c>
      <c r="D710" s="218">
        <f>_xlfn.IFNA(INDEX('Injury Report'!F:F, MATCH(G710&amp;F710, 'Injury Report'!A:A, 0)), "Healthy")</f>
        <v/>
      </c>
      <c r="E710" s="219">
        <f>VLOOKUP(A710,'TE Depth'!A:G,7,0)-1</f>
        <v/>
      </c>
      <c r="F710" s="218">
        <f>VLOOKUP(A710,'TE Depth'!A:C,3,0)</f>
        <v/>
      </c>
      <c r="G710" s="218">
        <f>VLOOKUP(A710,'TE Depth'!A:B,2,0)</f>
        <v/>
      </c>
      <c r="H710" s="218">
        <f>VLOOKUP(A710,'TE Depth'!A:D,4,0)</f>
        <v/>
      </c>
      <c r="I710" s="218">
        <f>H710&amp;E710</f>
        <v/>
      </c>
      <c r="J710" s="220">
        <f>IF(VLOOKUP(F710,Rec!F:G,2,0)=G710,"OK","Check Team")</f>
        <v/>
      </c>
      <c r="K710" s="156" t="n"/>
      <c r="L710" s="156">
        <f>IFERROR(VLOOKUP(F710&amp;G710,Pass!B:C,2,0),0)</f>
        <v/>
      </c>
      <c r="M710" s="156">
        <f>IFERROR(VLOOKUP(F710&amp;G710,Rush!B:C,2,0),0)</f>
        <v/>
      </c>
      <c r="N710" s="156">
        <f>IFERROR(VLOOKUP(F710&amp;G710,Rec!B:C,2,0),K710)</f>
        <v/>
      </c>
      <c r="O710" s="156">
        <f>IFERROR(VLOOKUP(F710&amp;G710,Returns!A:B,2,0),0)</f>
        <v/>
      </c>
    </row>
    <row r="711" hidden="1" ht="14.4" customHeight="1" s="152">
      <c r="A711" s="221" t="n">
        <v>102</v>
      </c>
      <c r="B711" s="218">
        <f>VLOOKUP(G711,Matrix!R:AA,10,0)</f>
        <v/>
      </c>
      <c r="C711" s="156">
        <f>IF(K711&gt;=0.01,K711,IFERROR(VLOOKUP(F711&amp;G711,Rec!B:C,2,0),K711)+SUM(L711:O711))</f>
        <v/>
      </c>
      <c r="D711" s="218">
        <f>_xlfn.IFNA(INDEX('Injury Report'!F:F, MATCH(G711&amp;F711, 'Injury Report'!A:A, 0)), "Healthy")</f>
        <v/>
      </c>
      <c r="E711" s="219">
        <f>VLOOKUP(A711,'TE Depth'!A:G,7,0)-1</f>
        <v/>
      </c>
      <c r="F711" s="218">
        <f>VLOOKUP(A711,'TE Depth'!A:C,3,0)</f>
        <v/>
      </c>
      <c r="G711" s="218">
        <f>VLOOKUP(A711,'TE Depth'!A:B,2,0)</f>
        <v/>
      </c>
      <c r="H711" s="218">
        <f>VLOOKUP(A711,'TE Depth'!A:D,4,0)</f>
        <v/>
      </c>
      <c r="I711" s="218">
        <f>H711&amp;E711</f>
        <v/>
      </c>
      <c r="J711" s="220">
        <f>IF(VLOOKUP(F711,Rec!F:G,2,0)=G711,"OK","Check Team")</f>
        <v/>
      </c>
      <c r="K711" s="156" t="n"/>
      <c r="L711" s="156">
        <f>IFERROR(VLOOKUP(F711&amp;G711,Pass!B:C,2,0),0)</f>
        <v/>
      </c>
      <c r="M711" s="156">
        <f>IFERROR(VLOOKUP(F711&amp;G711,Rush!B:C,2,0),0)</f>
        <v/>
      </c>
      <c r="N711" s="156">
        <f>IFERROR(VLOOKUP(F711&amp;G711,Rec!B:C,2,0),K711)</f>
        <v/>
      </c>
      <c r="O711" s="156">
        <f>IFERROR(VLOOKUP(F711&amp;G711,Returns!A:B,2,0),0)</f>
        <v/>
      </c>
    </row>
    <row r="712" hidden="1" ht="14.4" customHeight="1" s="152">
      <c r="A712" s="217" t="n">
        <v>103</v>
      </c>
      <c r="B712" s="218">
        <f>VLOOKUP(G712,Matrix!R:AA,10,0)</f>
        <v/>
      </c>
      <c r="C712" s="156">
        <f>IF(K712&gt;=0.01,K712,IFERROR(VLOOKUP(F712&amp;G712,Rec!B:C,2,0),K712)+SUM(L712:O712))</f>
        <v/>
      </c>
      <c r="D712" s="218">
        <f>_xlfn.IFNA(INDEX('Injury Report'!F:F, MATCH(G712&amp;F712, 'Injury Report'!A:A, 0)), "Healthy")</f>
        <v/>
      </c>
      <c r="E712" s="219">
        <f>VLOOKUP(A712,'TE Depth'!A:G,7,0)-1</f>
        <v/>
      </c>
      <c r="F712" s="218">
        <f>VLOOKUP(A712,'TE Depth'!A:C,3,0)</f>
        <v/>
      </c>
      <c r="G712" s="218">
        <f>VLOOKUP(A712,'TE Depth'!A:B,2,0)</f>
        <v/>
      </c>
      <c r="H712" s="218">
        <f>VLOOKUP(A712,'TE Depth'!A:D,4,0)</f>
        <v/>
      </c>
      <c r="I712" s="218">
        <f>H712&amp;E712</f>
        <v/>
      </c>
      <c r="J712" s="220">
        <f>IF(VLOOKUP(F712,Rec!F:G,2,0)=G712,"OK","Check Team")</f>
        <v/>
      </c>
      <c r="K712" s="156" t="n"/>
      <c r="L712" s="156">
        <f>IFERROR(VLOOKUP(F712&amp;G712,Pass!B:C,2,0),0)</f>
        <v/>
      </c>
      <c r="M712" s="156">
        <f>IFERROR(VLOOKUP(F712&amp;G712,Rush!B:C,2,0),0)</f>
        <v/>
      </c>
      <c r="N712" s="156">
        <f>IFERROR(VLOOKUP(F712&amp;G712,Rec!B:C,2,0),K712)</f>
        <v/>
      </c>
      <c r="O712" s="156">
        <f>IFERROR(VLOOKUP(F712&amp;G712,Returns!A:B,2,0),0)</f>
        <v/>
      </c>
    </row>
    <row r="713" hidden="1" ht="14.4" customHeight="1" s="152">
      <c r="A713" s="221" t="n">
        <v>104</v>
      </c>
      <c r="B713" s="218">
        <f>VLOOKUP(G713,Matrix!R:AA,10,0)</f>
        <v/>
      </c>
      <c r="C713" s="156">
        <f>IF(K713&gt;=0.01,K713,IFERROR(VLOOKUP(F713&amp;G713,Rec!B:C,2,0),K713)+SUM(L713:O713))</f>
        <v/>
      </c>
      <c r="D713" s="218">
        <f>_xlfn.IFNA(INDEX('Injury Report'!F:F, MATCH(G713&amp;F713, 'Injury Report'!A:A, 0)), "Healthy")</f>
        <v/>
      </c>
      <c r="E713" s="219">
        <f>VLOOKUP(A713,'TE Depth'!A:G,7,0)-1</f>
        <v/>
      </c>
      <c r="F713" s="218">
        <f>VLOOKUP(A713,'TE Depth'!A:C,3,0)</f>
        <v/>
      </c>
      <c r="G713" s="218">
        <f>VLOOKUP(A713,'TE Depth'!A:B,2,0)</f>
        <v/>
      </c>
      <c r="H713" s="218">
        <f>VLOOKUP(A713,'TE Depth'!A:D,4,0)</f>
        <v/>
      </c>
      <c r="I713" s="218">
        <f>H713&amp;E713</f>
        <v/>
      </c>
      <c r="J713" s="220">
        <f>IF(VLOOKUP(F713,Rec!F:G,2,0)=G713,"OK","Check Team")</f>
        <v/>
      </c>
      <c r="K713" s="156" t="n"/>
      <c r="L713" s="156">
        <f>IFERROR(VLOOKUP(F713&amp;G713,Pass!B:C,2,0),0)</f>
        <v/>
      </c>
      <c r="M713" s="156">
        <f>IFERROR(VLOOKUP(F713&amp;G713,Rush!B:C,2,0),0)</f>
        <v/>
      </c>
      <c r="N713" s="156">
        <f>IFERROR(VLOOKUP(F713&amp;G713,Rec!B:C,2,0),K713)</f>
        <v/>
      </c>
      <c r="O713" s="156">
        <f>IFERROR(VLOOKUP(F713&amp;G713,Returns!A:B,2,0),0)</f>
        <v/>
      </c>
    </row>
    <row r="714" hidden="1" ht="14.4" customHeight="1" s="152">
      <c r="A714" s="217" t="n">
        <v>105</v>
      </c>
      <c r="B714" s="218">
        <f>VLOOKUP(G714,Matrix!R:AA,10,0)</f>
        <v/>
      </c>
      <c r="C714" s="156">
        <f>IF(K714&gt;=0.01,K714,IFERROR(VLOOKUP(F714&amp;G714,Rec!B:C,2,0),K714)+SUM(L714:O714))</f>
        <v/>
      </c>
      <c r="D714" s="218">
        <f>_xlfn.IFNA(INDEX('Injury Report'!F:F, MATCH(G714&amp;F714, 'Injury Report'!A:A, 0)), "Healthy")</f>
        <v/>
      </c>
      <c r="E714" s="219">
        <f>VLOOKUP(A714,'TE Depth'!A:G,7,0)-1</f>
        <v/>
      </c>
      <c r="F714" s="218">
        <f>VLOOKUP(A714,'TE Depth'!A:C,3,0)</f>
        <v/>
      </c>
      <c r="G714" s="218">
        <f>VLOOKUP(A714,'TE Depth'!A:B,2,0)</f>
        <v/>
      </c>
      <c r="H714" s="218">
        <f>VLOOKUP(A714,'TE Depth'!A:D,4,0)</f>
        <v/>
      </c>
      <c r="I714" s="218">
        <f>H714&amp;E714</f>
        <v/>
      </c>
      <c r="J714" s="220">
        <f>IF(VLOOKUP(F714,Rec!F:G,2,0)=G714,"OK","Check Team")</f>
        <v/>
      </c>
      <c r="K714" s="156" t="n"/>
      <c r="L714" s="156">
        <f>IFERROR(VLOOKUP(F714&amp;G714,Pass!B:C,2,0),0)</f>
        <v/>
      </c>
      <c r="M714" s="156">
        <f>IFERROR(VLOOKUP(F714&amp;G714,Rush!B:C,2,0),0)</f>
        <v/>
      </c>
      <c r="N714" s="156">
        <f>IFERROR(VLOOKUP(F714&amp;G714,Rec!B:C,2,0),K714)</f>
        <v/>
      </c>
      <c r="O714" s="156">
        <f>IFERROR(VLOOKUP(F714&amp;G714,Returns!A:B,2,0),0)</f>
        <v/>
      </c>
    </row>
    <row r="715" hidden="1" ht="14.4" customHeight="1" s="152">
      <c r="A715" s="221" t="n">
        <v>106</v>
      </c>
      <c r="B715" s="218">
        <f>VLOOKUP(G715,Matrix!R:AA,10,0)</f>
        <v/>
      </c>
      <c r="C715" s="156">
        <f>IF(K715&gt;=0.01,K715,IFERROR(VLOOKUP(F715&amp;G715,Rec!B:C,2,0),K715)+SUM(L715:O715))</f>
        <v/>
      </c>
      <c r="D715" s="218">
        <f>_xlfn.IFNA(INDEX('Injury Report'!F:F, MATCH(G715&amp;F715, 'Injury Report'!A:A, 0)), "Healthy")</f>
        <v/>
      </c>
      <c r="E715" s="219">
        <f>VLOOKUP(A715,'TE Depth'!A:G,7,0)-1</f>
        <v/>
      </c>
      <c r="F715" s="218">
        <f>VLOOKUP(A715,'TE Depth'!A:C,3,0)</f>
        <v/>
      </c>
      <c r="G715" s="218">
        <f>VLOOKUP(A715,'TE Depth'!A:B,2,0)</f>
        <v/>
      </c>
      <c r="H715" s="218">
        <f>VLOOKUP(A715,'TE Depth'!A:D,4,0)</f>
        <v/>
      </c>
      <c r="I715" s="218">
        <f>H715&amp;E715</f>
        <v/>
      </c>
      <c r="J715" s="220">
        <f>IF(VLOOKUP(F715,Rec!F:G,2,0)=G715,"OK","Check Team")</f>
        <v/>
      </c>
      <c r="K715" s="156" t="n"/>
      <c r="L715" s="156">
        <f>IFERROR(VLOOKUP(F715&amp;G715,Pass!B:C,2,0),0)</f>
        <v/>
      </c>
      <c r="M715" s="156">
        <f>IFERROR(VLOOKUP(F715&amp;G715,Rush!B:C,2,0),0)</f>
        <v/>
      </c>
      <c r="N715" s="156">
        <f>IFERROR(VLOOKUP(F715&amp;G715,Rec!B:C,2,0),K715)</f>
        <v/>
      </c>
      <c r="O715" s="156">
        <f>IFERROR(VLOOKUP(F715&amp;G715,Returns!A:B,2,0),0)</f>
        <v/>
      </c>
    </row>
    <row r="716" hidden="1" ht="14.4" customHeight="1" s="152">
      <c r="A716" s="217" t="n">
        <v>107</v>
      </c>
      <c r="B716" s="218">
        <f>VLOOKUP(G716,Matrix!R:AA,10,0)</f>
        <v/>
      </c>
      <c r="C716" s="156">
        <f>IF(K716&gt;=0.01,K716,IFERROR(VLOOKUP(F716&amp;G716,Rec!B:C,2,0),K716)+SUM(L716:O716))</f>
        <v/>
      </c>
      <c r="D716" s="218">
        <f>_xlfn.IFNA(INDEX('Injury Report'!F:F, MATCH(G716&amp;F716, 'Injury Report'!A:A, 0)), "Healthy")</f>
        <v/>
      </c>
      <c r="E716" s="219">
        <f>VLOOKUP(A716,'TE Depth'!A:G,7,0)-1</f>
        <v/>
      </c>
      <c r="F716" s="218">
        <f>VLOOKUP(A716,'TE Depth'!A:C,3,0)</f>
        <v/>
      </c>
      <c r="G716" s="218">
        <f>VLOOKUP(A716,'TE Depth'!A:B,2,0)</f>
        <v/>
      </c>
      <c r="H716" s="218">
        <f>VLOOKUP(A716,'TE Depth'!A:D,4,0)</f>
        <v/>
      </c>
      <c r="I716" s="218">
        <f>H716&amp;E716</f>
        <v/>
      </c>
      <c r="J716" s="220">
        <f>IF(VLOOKUP(F716,Rec!F:G,2,0)=G716,"OK","Check Team")</f>
        <v/>
      </c>
      <c r="K716" s="156" t="n"/>
      <c r="L716" s="156">
        <f>IFERROR(VLOOKUP(F716&amp;G716,Pass!B:C,2,0),0)</f>
        <v/>
      </c>
      <c r="M716" s="156">
        <f>IFERROR(VLOOKUP(F716&amp;G716,Rush!B:C,2,0),0)</f>
        <v/>
      </c>
      <c r="N716" s="156">
        <f>IFERROR(VLOOKUP(F716&amp;G716,Rec!B:C,2,0),K716)</f>
        <v/>
      </c>
      <c r="O716" s="156">
        <f>IFERROR(VLOOKUP(F716&amp;G716,Returns!A:B,2,0),0)</f>
        <v/>
      </c>
    </row>
    <row r="717" hidden="1" ht="14.4" customHeight="1" s="152">
      <c r="A717" s="221" t="n">
        <v>108</v>
      </c>
      <c r="B717" s="218">
        <f>VLOOKUP(G717,Matrix!R:AA,10,0)</f>
        <v/>
      </c>
      <c r="C717" s="156">
        <f>IF(K717&gt;=0.01,K717,IFERROR(VLOOKUP(F717&amp;G717,Rec!B:C,2,0),K717)+SUM(L717:O717))</f>
        <v/>
      </c>
      <c r="D717" s="218">
        <f>_xlfn.IFNA(INDEX('Injury Report'!F:F, MATCH(G717&amp;F717, 'Injury Report'!A:A, 0)), "Healthy")</f>
        <v/>
      </c>
      <c r="E717" s="219">
        <f>VLOOKUP(A717,'TE Depth'!A:G,7,0)-1</f>
        <v/>
      </c>
      <c r="F717" s="218">
        <f>VLOOKUP(A717,'TE Depth'!A:C,3,0)</f>
        <v/>
      </c>
      <c r="G717" s="218">
        <f>VLOOKUP(A717,'TE Depth'!A:B,2,0)</f>
        <v/>
      </c>
      <c r="H717" s="218">
        <f>VLOOKUP(A717,'TE Depth'!A:D,4,0)</f>
        <v/>
      </c>
      <c r="I717" s="218">
        <f>H717&amp;E717</f>
        <v/>
      </c>
      <c r="J717" s="220">
        <f>IF(VLOOKUP(F717,Rec!F:G,2,0)=G717,"OK","Check Team")</f>
        <v/>
      </c>
      <c r="K717" s="156" t="n"/>
      <c r="L717" s="156">
        <f>IFERROR(VLOOKUP(F717&amp;G717,Pass!B:C,2,0),0)</f>
        <v/>
      </c>
      <c r="M717" s="156">
        <f>IFERROR(VLOOKUP(F717&amp;G717,Rush!B:C,2,0),0)</f>
        <v/>
      </c>
      <c r="N717" s="156">
        <f>IFERROR(VLOOKUP(F717&amp;G717,Rec!B:C,2,0),K717)</f>
        <v/>
      </c>
      <c r="O717" s="156">
        <f>IFERROR(VLOOKUP(F717&amp;G717,Returns!A:B,2,0),0)</f>
        <v/>
      </c>
    </row>
    <row r="718" hidden="1" ht="14.4" customHeight="1" s="152">
      <c r="A718" s="217" t="n">
        <v>109</v>
      </c>
      <c r="B718" s="218">
        <f>VLOOKUP(G718,Matrix!R:AA,10,0)</f>
        <v/>
      </c>
      <c r="C718" s="156">
        <f>IF(K718&gt;=0.01,K718,IFERROR(VLOOKUP(F718&amp;G718,Rec!B:C,2,0),K718)+SUM(L718:O718))</f>
        <v/>
      </c>
      <c r="D718" s="218">
        <f>_xlfn.IFNA(INDEX('Injury Report'!F:F, MATCH(G718&amp;F718, 'Injury Report'!A:A, 0)), "Healthy")</f>
        <v/>
      </c>
      <c r="E718" s="219">
        <f>VLOOKUP(A718,'TE Depth'!A:G,7,0)-1</f>
        <v/>
      </c>
      <c r="F718" s="218">
        <f>VLOOKUP(A718,'TE Depth'!A:C,3,0)</f>
        <v/>
      </c>
      <c r="G718" s="218">
        <f>VLOOKUP(A718,'TE Depth'!A:B,2,0)</f>
        <v/>
      </c>
      <c r="H718" s="218">
        <f>VLOOKUP(A718,'TE Depth'!A:D,4,0)</f>
        <v/>
      </c>
      <c r="I718" s="218">
        <f>H718&amp;E718</f>
        <v/>
      </c>
      <c r="J718" s="220">
        <f>IF(VLOOKUP(F718,Rec!F:G,2,0)=G718,"OK","Check Team")</f>
        <v/>
      </c>
      <c r="K718" s="156" t="n"/>
      <c r="L718" s="156">
        <f>IFERROR(VLOOKUP(F718&amp;G718,Pass!B:C,2,0),0)</f>
        <v/>
      </c>
      <c r="M718" s="156">
        <f>IFERROR(VLOOKUP(F718&amp;G718,Rush!B:C,2,0),0)</f>
        <v/>
      </c>
      <c r="N718" s="156">
        <f>IFERROR(VLOOKUP(F718&amp;G718,Rec!B:C,2,0),K718)</f>
        <v/>
      </c>
      <c r="O718" s="156">
        <f>IFERROR(VLOOKUP(F718&amp;G718,Returns!A:B,2,0),0)</f>
        <v/>
      </c>
    </row>
    <row r="719" hidden="1" ht="14.4" customHeight="1" s="152">
      <c r="A719" s="221" t="n">
        <v>110</v>
      </c>
      <c r="B719" s="218">
        <f>VLOOKUP(G719,Matrix!R:AA,10,0)</f>
        <v/>
      </c>
      <c r="C719" s="156">
        <f>IF(K719&gt;=0.01,K719,IFERROR(VLOOKUP(F719&amp;G719,Rec!B:C,2,0),K719)+SUM(L719:O719))</f>
        <v/>
      </c>
      <c r="D719" s="218">
        <f>_xlfn.IFNA(INDEX('Injury Report'!F:F, MATCH(G719&amp;F719, 'Injury Report'!A:A, 0)), "Healthy")</f>
        <v/>
      </c>
      <c r="E719" s="219">
        <f>VLOOKUP(A719,'TE Depth'!A:G,7,0)-1</f>
        <v/>
      </c>
      <c r="F719" s="218">
        <f>VLOOKUP(A719,'TE Depth'!A:C,3,0)</f>
        <v/>
      </c>
      <c r="G719" s="218">
        <f>VLOOKUP(A719,'TE Depth'!A:B,2,0)</f>
        <v/>
      </c>
      <c r="H719" s="218">
        <f>VLOOKUP(A719,'TE Depth'!A:D,4,0)</f>
        <v/>
      </c>
      <c r="I719" s="218">
        <f>H719&amp;E719</f>
        <v/>
      </c>
      <c r="J719" s="220">
        <f>IF(VLOOKUP(F719,Rec!F:G,2,0)=G719,"OK","Check Team")</f>
        <v/>
      </c>
      <c r="K719" s="156" t="n"/>
      <c r="L719" s="156">
        <f>IFERROR(VLOOKUP(F719&amp;G719,Pass!B:C,2,0),0)</f>
        <v/>
      </c>
      <c r="M719" s="156">
        <f>IFERROR(VLOOKUP(F719&amp;G719,Rush!B:C,2,0),0)</f>
        <v/>
      </c>
      <c r="N719" s="156">
        <f>IFERROR(VLOOKUP(F719&amp;G719,Rec!B:C,2,0),K719)</f>
        <v/>
      </c>
      <c r="O719" s="156">
        <f>IFERROR(VLOOKUP(F719&amp;G719,Returns!A:B,2,0),0)</f>
        <v/>
      </c>
    </row>
    <row r="720" hidden="1" ht="14.4" customHeight="1" s="152">
      <c r="A720" s="217" t="n">
        <v>111</v>
      </c>
      <c r="B720" s="218">
        <f>VLOOKUP(G720,Matrix!R:AA,10,0)</f>
        <v/>
      </c>
      <c r="C720" s="156">
        <f>IF(K720&gt;=0.01,K720,IFERROR(VLOOKUP(F720&amp;G720,Rec!B:C,2,0),K720)+SUM(L720:O720))</f>
        <v/>
      </c>
      <c r="D720" s="218">
        <f>_xlfn.IFNA(INDEX('Injury Report'!F:F, MATCH(G720&amp;F720, 'Injury Report'!A:A, 0)), "Healthy")</f>
        <v/>
      </c>
      <c r="E720" s="219">
        <f>VLOOKUP(A720,'TE Depth'!A:G,7,0)-1</f>
        <v/>
      </c>
      <c r="F720" s="218">
        <f>VLOOKUP(A720,'TE Depth'!A:C,3,0)</f>
        <v/>
      </c>
      <c r="G720" s="218">
        <f>VLOOKUP(A720,'TE Depth'!A:B,2,0)</f>
        <v/>
      </c>
      <c r="H720" s="218">
        <f>VLOOKUP(A720,'TE Depth'!A:D,4,0)</f>
        <v/>
      </c>
      <c r="I720" s="218">
        <f>H720&amp;E720</f>
        <v/>
      </c>
      <c r="J720" s="220">
        <f>IF(VLOOKUP(F720,Rec!F:G,2,0)=G720,"OK","Check Team")</f>
        <v/>
      </c>
      <c r="K720" s="156" t="n"/>
      <c r="L720" s="156">
        <f>IFERROR(VLOOKUP(F720&amp;G720,Pass!B:C,2,0),0)</f>
        <v/>
      </c>
      <c r="M720" s="156">
        <f>IFERROR(VLOOKUP(F720&amp;G720,Rush!B:C,2,0),0)</f>
        <v/>
      </c>
      <c r="N720" s="156">
        <f>IFERROR(VLOOKUP(F720&amp;G720,Rec!B:C,2,0),K720)</f>
        <v/>
      </c>
      <c r="O720" s="156">
        <f>IFERROR(VLOOKUP(F720&amp;G720,Returns!A:B,2,0),0)</f>
        <v/>
      </c>
    </row>
    <row r="721" hidden="1" ht="14.4" customHeight="1" s="152">
      <c r="A721" s="221" t="n">
        <v>112</v>
      </c>
      <c r="B721" s="218">
        <f>VLOOKUP(G721,Matrix!R:AA,10,0)</f>
        <v/>
      </c>
      <c r="C721" s="156">
        <f>IF(K721&gt;=0.01,K721,IFERROR(VLOOKUP(F721&amp;G721,Rec!B:C,2,0),K721)+SUM(L721:O721))</f>
        <v/>
      </c>
      <c r="D721" s="218">
        <f>_xlfn.IFNA(INDEX('Injury Report'!F:F, MATCH(G721&amp;F721, 'Injury Report'!A:A, 0)), "Healthy")</f>
        <v/>
      </c>
      <c r="E721" s="219">
        <f>VLOOKUP(A721,'TE Depth'!A:G,7,0)-1</f>
        <v/>
      </c>
      <c r="F721" s="218">
        <f>VLOOKUP(A721,'TE Depth'!A:C,3,0)</f>
        <v/>
      </c>
      <c r="G721" s="218">
        <f>VLOOKUP(A721,'TE Depth'!A:B,2,0)</f>
        <v/>
      </c>
      <c r="H721" s="218">
        <f>VLOOKUP(A721,'TE Depth'!A:D,4,0)</f>
        <v/>
      </c>
      <c r="I721" s="218">
        <f>H721&amp;E721</f>
        <v/>
      </c>
      <c r="J721" s="220">
        <f>IF(VLOOKUP(F721,Rec!F:G,2,0)=G721,"OK","Check Team")</f>
        <v/>
      </c>
      <c r="K721" s="156" t="n"/>
      <c r="L721" s="156">
        <f>IFERROR(VLOOKUP(F721&amp;G721,Pass!B:C,2,0),0)</f>
        <v/>
      </c>
      <c r="M721" s="156">
        <f>IFERROR(VLOOKUP(F721&amp;G721,Rush!B:C,2,0),0)</f>
        <v/>
      </c>
      <c r="N721" s="156">
        <f>IFERROR(VLOOKUP(F721&amp;G721,Rec!B:C,2,0),K721)</f>
        <v/>
      </c>
      <c r="O721" s="156">
        <f>IFERROR(VLOOKUP(F721&amp;G721,Returns!A:B,2,0),0)</f>
        <v/>
      </c>
    </row>
    <row r="722" hidden="1" ht="14.4" customHeight="1" s="152">
      <c r="A722" s="217" t="n">
        <v>113</v>
      </c>
      <c r="B722" s="218">
        <f>VLOOKUP(G722,Matrix!R:AA,10,0)</f>
        <v/>
      </c>
      <c r="C722" s="156">
        <f>IF(K722&gt;=0.01,K722,IFERROR(VLOOKUP(F722&amp;G722,Rec!B:C,2,0),K722)+SUM(L722:O722))</f>
        <v/>
      </c>
      <c r="D722" s="218">
        <f>_xlfn.IFNA(INDEX('Injury Report'!F:F, MATCH(G722&amp;F722, 'Injury Report'!A:A, 0)), "Healthy")</f>
        <v/>
      </c>
      <c r="E722" s="219">
        <f>VLOOKUP(A722,'TE Depth'!A:G,7,0)-1</f>
        <v/>
      </c>
      <c r="F722" s="218">
        <f>VLOOKUP(A722,'TE Depth'!A:C,3,0)</f>
        <v/>
      </c>
      <c r="G722" s="218">
        <f>VLOOKUP(A722,'TE Depth'!A:B,2,0)</f>
        <v/>
      </c>
      <c r="H722" s="218">
        <f>VLOOKUP(A722,'TE Depth'!A:D,4,0)</f>
        <v/>
      </c>
      <c r="I722" s="218">
        <f>H722&amp;E722</f>
        <v/>
      </c>
      <c r="J722" s="220">
        <f>IF(VLOOKUP(F722,Rec!F:G,2,0)=G722,"OK","Check Team")</f>
        <v/>
      </c>
      <c r="K722" s="156" t="n"/>
      <c r="L722" s="156">
        <f>IFERROR(VLOOKUP(F722&amp;G722,Pass!B:C,2,0),0)</f>
        <v/>
      </c>
      <c r="M722" s="156">
        <f>IFERROR(VLOOKUP(F722&amp;G722,Rush!B:C,2,0),0)</f>
        <v/>
      </c>
      <c r="N722" s="156">
        <f>IFERROR(VLOOKUP(F722&amp;G722,Rec!B:C,2,0),K722)</f>
        <v/>
      </c>
      <c r="O722" s="156">
        <f>IFERROR(VLOOKUP(F722&amp;G722,Returns!A:B,2,0),0)</f>
        <v/>
      </c>
    </row>
    <row r="723" hidden="1" ht="14.4" customHeight="1" s="152">
      <c r="A723" s="221" t="n">
        <v>114</v>
      </c>
      <c r="B723" s="218">
        <f>VLOOKUP(G723,Matrix!R:AA,10,0)</f>
        <v/>
      </c>
      <c r="C723" s="156">
        <f>IF(K723&gt;=0.01,K723,IFERROR(VLOOKUP(F723&amp;G723,Rec!B:C,2,0),K723)+SUM(L723:O723))</f>
        <v/>
      </c>
      <c r="D723" s="218">
        <f>_xlfn.IFNA(INDEX('Injury Report'!F:F, MATCH(G723&amp;F723, 'Injury Report'!A:A, 0)), "Healthy")</f>
        <v/>
      </c>
      <c r="E723" s="219">
        <f>VLOOKUP(A723,'TE Depth'!A:G,7,0)-1</f>
        <v/>
      </c>
      <c r="F723" s="218">
        <f>VLOOKUP(A723,'TE Depth'!A:C,3,0)</f>
        <v/>
      </c>
      <c r="G723" s="218">
        <f>VLOOKUP(A723,'TE Depth'!A:B,2,0)</f>
        <v/>
      </c>
      <c r="H723" s="218">
        <f>VLOOKUP(A723,'TE Depth'!A:D,4,0)</f>
        <v/>
      </c>
      <c r="I723" s="218">
        <f>H723&amp;E723</f>
        <v/>
      </c>
      <c r="J723" s="220">
        <f>IF(VLOOKUP(F723,Rec!F:G,2,0)=G723,"OK","Check Team")</f>
        <v/>
      </c>
      <c r="K723" s="156" t="n"/>
      <c r="L723" s="156">
        <f>IFERROR(VLOOKUP(F723&amp;G723,Pass!B:C,2,0),0)</f>
        <v/>
      </c>
      <c r="M723" s="156">
        <f>IFERROR(VLOOKUP(F723&amp;G723,Rush!B:C,2,0),0)</f>
        <v/>
      </c>
      <c r="N723" s="156">
        <f>IFERROR(VLOOKUP(F723&amp;G723,Rec!B:C,2,0),K723)</f>
        <v/>
      </c>
      <c r="O723" s="156">
        <f>IFERROR(VLOOKUP(F723&amp;G723,Returns!A:B,2,0),0)</f>
        <v/>
      </c>
    </row>
    <row r="724" hidden="1" ht="14.4" customHeight="1" s="152">
      <c r="A724" s="217" t="n">
        <v>115</v>
      </c>
      <c r="B724" s="218">
        <f>VLOOKUP(G724,Matrix!R:AA,10,0)</f>
        <v/>
      </c>
      <c r="C724" s="156">
        <f>IF(K724&gt;=0.01,K724,IFERROR(VLOOKUP(F724&amp;G724,Rec!B:C,2,0),K724)+SUM(L724:O724))</f>
        <v/>
      </c>
      <c r="D724" s="218">
        <f>_xlfn.IFNA(INDEX('Injury Report'!F:F, MATCH(G724&amp;F724, 'Injury Report'!A:A, 0)), "Healthy")</f>
        <v/>
      </c>
      <c r="E724" s="219">
        <f>VLOOKUP(A724,'TE Depth'!A:G,7,0)-1</f>
        <v/>
      </c>
      <c r="F724" s="218">
        <f>VLOOKUP(A724,'TE Depth'!A:C,3,0)</f>
        <v/>
      </c>
      <c r="G724" s="218">
        <f>VLOOKUP(A724,'TE Depth'!A:B,2,0)</f>
        <v/>
      </c>
      <c r="H724" s="218">
        <f>VLOOKUP(A724,'TE Depth'!A:D,4,0)</f>
        <v/>
      </c>
      <c r="I724" s="218">
        <f>H724&amp;E724</f>
        <v/>
      </c>
      <c r="J724" s="220">
        <f>IF(VLOOKUP(F724,Rec!F:G,2,0)=G724,"OK","Check Team")</f>
        <v/>
      </c>
      <c r="K724" s="156" t="n"/>
      <c r="L724" s="156">
        <f>IFERROR(VLOOKUP(F724&amp;G724,Pass!B:C,2,0),0)</f>
        <v/>
      </c>
      <c r="M724" s="156">
        <f>IFERROR(VLOOKUP(F724&amp;G724,Rush!B:C,2,0),0)</f>
        <v/>
      </c>
      <c r="N724" s="156">
        <f>IFERROR(VLOOKUP(F724&amp;G724,Rec!B:C,2,0),K724)</f>
        <v/>
      </c>
      <c r="O724" s="156">
        <f>IFERROR(VLOOKUP(F724&amp;G724,Returns!A:B,2,0),0)</f>
        <v/>
      </c>
    </row>
    <row r="725" hidden="1" ht="14.4" customHeight="1" s="152">
      <c r="A725" s="221" t="n">
        <v>116</v>
      </c>
      <c r="B725" s="218">
        <f>VLOOKUP(G725,Matrix!R:AA,10,0)</f>
        <v/>
      </c>
      <c r="C725" s="156">
        <f>IF(K725&gt;=0.01,K725,IFERROR(VLOOKUP(F725&amp;G725,Rec!B:C,2,0),K725)+SUM(L725:O725))</f>
        <v/>
      </c>
      <c r="D725" s="218">
        <f>_xlfn.IFNA(INDEX('Injury Report'!F:F, MATCH(G725&amp;F725, 'Injury Report'!A:A, 0)), "Healthy")</f>
        <v/>
      </c>
      <c r="E725" s="219">
        <f>VLOOKUP(A725,'TE Depth'!A:G,7,0)-1</f>
        <v/>
      </c>
      <c r="F725" s="218">
        <f>VLOOKUP(A725,'TE Depth'!A:C,3,0)</f>
        <v/>
      </c>
      <c r="G725" s="218">
        <f>VLOOKUP(A725,'TE Depth'!A:B,2,0)</f>
        <v/>
      </c>
      <c r="H725" s="218">
        <f>VLOOKUP(A725,'TE Depth'!A:D,4,0)</f>
        <v/>
      </c>
      <c r="I725" s="218">
        <f>H725&amp;E725</f>
        <v/>
      </c>
      <c r="J725" s="220">
        <f>IF(VLOOKUP(F725,Rec!F:G,2,0)=G725,"OK","Check Team")</f>
        <v/>
      </c>
      <c r="K725" s="156" t="n"/>
      <c r="L725" s="156">
        <f>IFERROR(VLOOKUP(F725&amp;G725,Pass!B:C,2,0),0)</f>
        <v/>
      </c>
      <c r="M725" s="156">
        <f>IFERROR(VLOOKUP(F725&amp;G725,Rush!B:C,2,0),0)</f>
        <v/>
      </c>
      <c r="N725" s="156">
        <f>IFERROR(VLOOKUP(F725&amp;G725,Rec!B:C,2,0),K725)</f>
        <v/>
      </c>
      <c r="O725" s="156">
        <f>IFERROR(VLOOKUP(F725&amp;G725,Returns!A:B,2,0),0)</f>
        <v/>
      </c>
    </row>
    <row r="726" hidden="1" ht="14.4" customHeight="1" s="152">
      <c r="A726" s="217" t="n">
        <v>117</v>
      </c>
      <c r="B726" s="218">
        <f>VLOOKUP(G726,Matrix!R:AA,10,0)</f>
        <v/>
      </c>
      <c r="C726" s="156">
        <f>IF(K726&gt;=0.01,K726,IFERROR(VLOOKUP(F726&amp;G726,Rec!B:C,2,0),K726)+SUM(L726:O726))</f>
        <v/>
      </c>
      <c r="D726" s="218">
        <f>_xlfn.IFNA(INDEX('Injury Report'!F:F, MATCH(G726&amp;F726, 'Injury Report'!A:A, 0)), "Healthy")</f>
        <v/>
      </c>
      <c r="E726" s="219">
        <f>VLOOKUP(A726,'TE Depth'!A:G,7,0)-1</f>
        <v/>
      </c>
      <c r="F726" s="218">
        <f>VLOOKUP(A726,'TE Depth'!A:C,3,0)</f>
        <v/>
      </c>
      <c r="G726" s="218">
        <f>VLOOKUP(A726,'TE Depth'!A:B,2,0)</f>
        <v/>
      </c>
      <c r="H726" s="218">
        <f>VLOOKUP(A726,'TE Depth'!A:D,4,0)</f>
        <v/>
      </c>
      <c r="I726" s="218">
        <f>H726&amp;E726</f>
        <v/>
      </c>
      <c r="J726" s="220">
        <f>IF(VLOOKUP(F726,Rec!F:G,2,0)=G726,"OK","Check Team")</f>
        <v/>
      </c>
      <c r="K726" s="156" t="n"/>
      <c r="L726" s="156">
        <f>IFERROR(VLOOKUP(F726&amp;G726,Pass!B:C,2,0),0)</f>
        <v/>
      </c>
      <c r="M726" s="156">
        <f>IFERROR(VLOOKUP(F726&amp;G726,Rush!B:C,2,0),0)</f>
        <v/>
      </c>
      <c r="N726" s="156">
        <f>IFERROR(VLOOKUP(F726&amp;G726,Rec!B:C,2,0),K726)</f>
        <v/>
      </c>
      <c r="O726" s="156">
        <f>IFERROR(VLOOKUP(F726&amp;G726,Returns!A:B,2,0),0)</f>
        <v/>
      </c>
    </row>
    <row r="727" hidden="1" ht="14.4" customHeight="1" s="152">
      <c r="A727" s="221" t="n">
        <v>118</v>
      </c>
      <c r="B727" s="218">
        <f>VLOOKUP(G727,Matrix!R:AA,10,0)</f>
        <v/>
      </c>
      <c r="C727" s="156">
        <f>IF(K727&gt;=0.01,K727,IFERROR(VLOOKUP(F727&amp;G727,Rec!B:C,2,0),K727)+SUM(L727:O727))</f>
        <v/>
      </c>
      <c r="D727" s="218">
        <f>_xlfn.IFNA(INDEX('Injury Report'!F:F, MATCH(G727&amp;F727, 'Injury Report'!A:A, 0)), "Healthy")</f>
        <v/>
      </c>
      <c r="E727" s="219">
        <f>VLOOKUP(A727,'TE Depth'!A:G,7,0)-1</f>
        <v/>
      </c>
      <c r="F727" s="218">
        <f>VLOOKUP(A727,'TE Depth'!A:C,3,0)</f>
        <v/>
      </c>
      <c r="G727" s="218">
        <f>VLOOKUP(A727,'TE Depth'!A:B,2,0)</f>
        <v/>
      </c>
      <c r="H727" s="218">
        <f>VLOOKUP(A727,'TE Depth'!A:D,4,0)</f>
        <v/>
      </c>
      <c r="I727" s="218">
        <f>H727&amp;E727</f>
        <v/>
      </c>
      <c r="J727" s="220">
        <f>IF(VLOOKUP(F727,Rec!F:G,2,0)=G727,"OK","Check Team")</f>
        <v/>
      </c>
      <c r="K727" s="156" t="n"/>
      <c r="L727" s="156">
        <f>IFERROR(VLOOKUP(F727&amp;G727,Pass!B:C,2,0),0)</f>
        <v/>
      </c>
      <c r="M727" s="156">
        <f>IFERROR(VLOOKUP(F727&amp;G727,Rush!B:C,2,0),0)</f>
        <v/>
      </c>
      <c r="N727" s="156">
        <f>IFERROR(VLOOKUP(F727&amp;G727,Rec!B:C,2,0),K727)</f>
        <v/>
      </c>
      <c r="O727" s="156">
        <f>IFERROR(VLOOKUP(F727&amp;G727,Returns!A:B,2,0),0)</f>
        <v/>
      </c>
    </row>
    <row r="728" hidden="1" ht="14.4" customHeight="1" s="152">
      <c r="A728" s="217" t="n">
        <v>119</v>
      </c>
      <c r="B728" s="218">
        <f>VLOOKUP(G728,Matrix!R:AA,10,0)</f>
        <v/>
      </c>
      <c r="C728" s="156">
        <f>IF(K728&gt;=0.01,K728,IFERROR(VLOOKUP(F728&amp;G728,Rec!B:C,2,0),K728)+SUM(L728:O728))</f>
        <v/>
      </c>
      <c r="D728" s="218">
        <f>_xlfn.IFNA(INDEX('Injury Report'!F:F, MATCH(G728&amp;F728, 'Injury Report'!A:A, 0)), "Healthy")</f>
        <v/>
      </c>
      <c r="E728" s="219">
        <f>VLOOKUP(A728,'TE Depth'!A:G,7,0)-1</f>
        <v/>
      </c>
      <c r="F728" s="218">
        <f>VLOOKUP(A728,'TE Depth'!A:C,3,0)</f>
        <v/>
      </c>
      <c r="G728" s="218">
        <f>VLOOKUP(A728,'TE Depth'!A:B,2,0)</f>
        <v/>
      </c>
      <c r="H728" s="218">
        <f>VLOOKUP(A728,'TE Depth'!A:D,4,0)</f>
        <v/>
      </c>
      <c r="I728" s="218">
        <f>H728&amp;E728</f>
        <v/>
      </c>
      <c r="J728" s="220">
        <f>IF(VLOOKUP(F728,Rec!F:G,2,0)=G728,"OK","Check Team")</f>
        <v/>
      </c>
      <c r="K728" s="156" t="n"/>
      <c r="L728" s="156">
        <f>IFERROR(VLOOKUP(F728&amp;G728,Pass!B:C,2,0),0)</f>
        <v/>
      </c>
      <c r="M728" s="156">
        <f>IFERROR(VLOOKUP(F728&amp;G728,Rush!B:C,2,0),0)</f>
        <v/>
      </c>
      <c r="N728" s="156">
        <f>IFERROR(VLOOKUP(F728&amp;G728,Rec!B:C,2,0),K728)</f>
        <v/>
      </c>
      <c r="O728" s="156">
        <f>IFERROR(VLOOKUP(F728&amp;G728,Returns!A:B,2,0),0)</f>
        <v/>
      </c>
    </row>
    <row r="729" hidden="1" ht="14.4" customHeight="1" s="152">
      <c r="A729" s="221" t="n">
        <v>120</v>
      </c>
      <c r="B729" s="218">
        <f>VLOOKUP(G729,Matrix!R:AA,10,0)</f>
        <v/>
      </c>
      <c r="C729" s="156">
        <f>IF(K729&gt;=0.01,K729,IFERROR(VLOOKUP(F729&amp;G729,Rec!B:C,2,0),K729)+SUM(L729:O729))</f>
        <v/>
      </c>
      <c r="D729" s="218">
        <f>_xlfn.IFNA(INDEX('Injury Report'!F:F, MATCH(G729&amp;F729, 'Injury Report'!A:A, 0)), "Healthy")</f>
        <v/>
      </c>
      <c r="E729" s="219">
        <f>VLOOKUP(A729,'TE Depth'!A:G,7,0)-1</f>
        <v/>
      </c>
      <c r="F729" s="218">
        <f>VLOOKUP(A729,'TE Depth'!A:C,3,0)</f>
        <v/>
      </c>
      <c r="G729" s="218">
        <f>VLOOKUP(A729,'TE Depth'!A:B,2,0)</f>
        <v/>
      </c>
      <c r="H729" s="218">
        <f>VLOOKUP(A729,'TE Depth'!A:D,4,0)</f>
        <v/>
      </c>
      <c r="I729" s="218">
        <f>H729&amp;E729</f>
        <v/>
      </c>
      <c r="J729" s="220">
        <f>IF(VLOOKUP(F729,Rec!F:G,2,0)=G729,"OK","Check Team")</f>
        <v/>
      </c>
      <c r="K729" s="156" t="n"/>
      <c r="L729" s="156">
        <f>IFERROR(VLOOKUP(F729&amp;G729,Pass!B:C,2,0),0)</f>
        <v/>
      </c>
      <c r="M729" s="156">
        <f>IFERROR(VLOOKUP(F729&amp;G729,Rush!B:C,2,0),0)</f>
        <v/>
      </c>
      <c r="N729" s="156">
        <f>IFERROR(VLOOKUP(F729&amp;G729,Rec!B:C,2,0),K729)</f>
        <v/>
      </c>
      <c r="O729" s="156">
        <f>IFERROR(VLOOKUP(F729&amp;G729,Returns!A:B,2,0),0)</f>
        <v/>
      </c>
    </row>
    <row r="730" hidden="1" ht="14.4" customHeight="1" s="152">
      <c r="A730" s="217" t="n">
        <v>121</v>
      </c>
      <c r="B730" s="218">
        <f>VLOOKUP(G730,Matrix!R:AA,10,0)</f>
        <v/>
      </c>
      <c r="C730" s="156">
        <f>IF(K730&gt;=0.01,K730,IFERROR(VLOOKUP(F730&amp;G730,Rec!B:C,2,0),K730)+SUM(L730:O730))</f>
        <v/>
      </c>
      <c r="D730" s="218">
        <f>_xlfn.IFNA(INDEX('Injury Report'!F:F, MATCH(G730&amp;F730, 'Injury Report'!A:A, 0)), "Healthy")</f>
        <v/>
      </c>
      <c r="E730" s="219">
        <f>VLOOKUP(A730,'TE Depth'!A:G,7,0)-1</f>
        <v/>
      </c>
      <c r="F730" s="218">
        <f>VLOOKUP(A730,'TE Depth'!A:C,3,0)</f>
        <v/>
      </c>
      <c r="G730" s="218">
        <f>VLOOKUP(A730,'TE Depth'!A:B,2,0)</f>
        <v/>
      </c>
      <c r="H730" s="218">
        <f>VLOOKUP(A730,'TE Depth'!A:D,4,0)</f>
        <v/>
      </c>
      <c r="I730" s="218">
        <f>H730&amp;E730</f>
        <v/>
      </c>
      <c r="J730" s="220">
        <f>IF(VLOOKUP(F730,Rec!F:G,2,0)=G730,"OK","Check Team")</f>
        <v/>
      </c>
      <c r="K730" s="156" t="n"/>
      <c r="L730" s="156">
        <f>IFERROR(VLOOKUP(F730&amp;G730,Pass!B:C,2,0),0)</f>
        <v/>
      </c>
      <c r="M730" s="156">
        <f>IFERROR(VLOOKUP(F730&amp;G730,Rush!B:C,2,0),0)</f>
        <v/>
      </c>
      <c r="N730" s="156">
        <f>IFERROR(VLOOKUP(F730&amp;G730,Rec!B:C,2,0),K730)</f>
        <v/>
      </c>
      <c r="O730" s="156">
        <f>IFERROR(VLOOKUP(F730&amp;G730,Returns!A:B,2,0),0)</f>
        <v/>
      </c>
    </row>
    <row r="731" hidden="1" ht="14.4" customHeight="1" s="152">
      <c r="A731" s="221" t="n">
        <v>122</v>
      </c>
      <c r="B731" s="218">
        <f>VLOOKUP(G731,Matrix!R:AA,10,0)</f>
        <v/>
      </c>
      <c r="C731" s="156">
        <f>IF(K731&gt;=0.01,K731,IFERROR(VLOOKUP(F731&amp;G731,Rec!B:C,2,0),K731)+SUM(L731:O731))</f>
        <v/>
      </c>
      <c r="D731" s="218">
        <f>_xlfn.IFNA(INDEX('Injury Report'!F:F, MATCH(G731&amp;F731, 'Injury Report'!A:A, 0)), "Healthy")</f>
        <v/>
      </c>
      <c r="E731" s="219">
        <f>VLOOKUP(A731,'TE Depth'!A:G,7,0)-1</f>
        <v/>
      </c>
      <c r="F731" s="218">
        <f>VLOOKUP(A731,'TE Depth'!A:C,3,0)</f>
        <v/>
      </c>
      <c r="G731" s="218">
        <f>VLOOKUP(A731,'TE Depth'!A:B,2,0)</f>
        <v/>
      </c>
      <c r="H731" s="218">
        <f>VLOOKUP(A731,'TE Depth'!A:D,4,0)</f>
        <v/>
      </c>
      <c r="I731" s="218">
        <f>H731&amp;E731</f>
        <v/>
      </c>
      <c r="J731" s="220">
        <f>IF(VLOOKUP(F731,Rec!F:G,2,0)=G731,"OK","Check Team")</f>
        <v/>
      </c>
      <c r="K731" s="156" t="n"/>
      <c r="L731" s="156">
        <f>IFERROR(VLOOKUP(F731&amp;G731,Pass!B:C,2,0),0)</f>
        <v/>
      </c>
      <c r="M731" s="156">
        <f>IFERROR(VLOOKUP(F731&amp;G731,Rush!B:C,2,0),0)</f>
        <v/>
      </c>
      <c r="N731" s="156">
        <f>IFERROR(VLOOKUP(F731&amp;G731,Rec!B:C,2,0),K731)</f>
        <v/>
      </c>
      <c r="O731" s="156">
        <f>IFERROR(VLOOKUP(F731&amp;G731,Returns!A:B,2,0),0)</f>
        <v/>
      </c>
    </row>
    <row r="732" hidden="1" ht="14.4" customHeight="1" s="152">
      <c r="A732" s="217" t="n">
        <v>123</v>
      </c>
      <c r="B732" s="218">
        <f>VLOOKUP(G732,Matrix!R:AA,10,0)</f>
        <v/>
      </c>
      <c r="C732" s="156">
        <f>IF(K732&gt;=0.01,K732,IFERROR(VLOOKUP(F732&amp;G732,Rec!B:C,2,0),K732)+SUM(L732:O732))</f>
        <v/>
      </c>
      <c r="D732" s="218">
        <f>_xlfn.IFNA(INDEX('Injury Report'!F:F, MATCH(G732&amp;F732, 'Injury Report'!A:A, 0)), "Healthy")</f>
        <v/>
      </c>
      <c r="E732" s="219">
        <f>VLOOKUP(A732,'TE Depth'!A:G,7,0)-1</f>
        <v/>
      </c>
      <c r="F732" s="218">
        <f>VLOOKUP(A732,'TE Depth'!A:C,3,0)</f>
        <v/>
      </c>
      <c r="G732" s="218">
        <f>VLOOKUP(A732,'TE Depth'!A:B,2,0)</f>
        <v/>
      </c>
      <c r="H732" s="218">
        <f>VLOOKUP(A732,'TE Depth'!A:D,4,0)</f>
        <v/>
      </c>
      <c r="I732" s="218">
        <f>H732&amp;E732</f>
        <v/>
      </c>
      <c r="J732" s="220">
        <f>IF(VLOOKUP(F732,Rec!F:G,2,0)=G732,"OK","Check Team")</f>
        <v/>
      </c>
      <c r="K732" s="156" t="n"/>
      <c r="L732" s="156">
        <f>IFERROR(VLOOKUP(F732&amp;G732,Pass!B:C,2,0),0)</f>
        <v/>
      </c>
      <c r="M732" s="156">
        <f>IFERROR(VLOOKUP(F732&amp;G732,Rush!B:C,2,0),0)</f>
        <v/>
      </c>
      <c r="N732" s="156">
        <f>IFERROR(VLOOKUP(F732&amp;G732,Rec!B:C,2,0),K732)</f>
        <v/>
      </c>
      <c r="O732" s="156">
        <f>IFERROR(VLOOKUP(F732&amp;G732,Returns!A:B,2,0),0)</f>
        <v/>
      </c>
    </row>
    <row r="733" hidden="1" ht="14.4" customHeight="1" s="152">
      <c r="A733" s="221" t="n">
        <v>124</v>
      </c>
      <c r="B733" s="218">
        <f>VLOOKUP(G733,Matrix!R:AA,10,0)</f>
        <v/>
      </c>
      <c r="C733" s="156">
        <f>IF(K733&gt;=0.01,K733,IFERROR(VLOOKUP(F733&amp;G733,Rec!B:C,2,0),K733)+SUM(L733:O733))</f>
        <v/>
      </c>
      <c r="D733" s="218">
        <f>_xlfn.IFNA(INDEX('Injury Report'!F:F, MATCH(G733&amp;F733, 'Injury Report'!A:A, 0)), "Healthy")</f>
        <v/>
      </c>
      <c r="E733" s="219">
        <f>VLOOKUP(A733,'TE Depth'!A:G,7,0)-1</f>
        <v/>
      </c>
      <c r="F733" s="218">
        <f>VLOOKUP(A733,'TE Depth'!A:C,3,0)</f>
        <v/>
      </c>
      <c r="G733" s="218">
        <f>VLOOKUP(A733,'TE Depth'!A:B,2,0)</f>
        <v/>
      </c>
      <c r="H733" s="218">
        <f>VLOOKUP(A733,'TE Depth'!A:D,4,0)</f>
        <v/>
      </c>
      <c r="I733" s="218">
        <f>H733&amp;E733</f>
        <v/>
      </c>
      <c r="J733" s="220">
        <f>IF(VLOOKUP(F733,Rec!F:G,2,0)=G733,"OK","Check Team")</f>
        <v/>
      </c>
      <c r="K733" s="156" t="n"/>
      <c r="L733" s="156">
        <f>IFERROR(VLOOKUP(F733&amp;G733,Pass!B:C,2,0),0)</f>
        <v/>
      </c>
      <c r="M733" s="156">
        <f>IFERROR(VLOOKUP(F733&amp;G733,Rush!B:C,2,0),0)</f>
        <v/>
      </c>
      <c r="N733" s="156">
        <f>IFERROR(VLOOKUP(F733&amp;G733,Rec!B:C,2,0),K733)</f>
        <v/>
      </c>
      <c r="O733" s="156">
        <f>IFERROR(VLOOKUP(F733&amp;G733,Returns!A:B,2,0),0)</f>
        <v/>
      </c>
    </row>
    <row r="734" hidden="1" ht="14.4" customHeight="1" s="152">
      <c r="A734" s="217" t="n">
        <v>125</v>
      </c>
      <c r="B734" s="218">
        <f>VLOOKUP(G734,Matrix!R:AA,10,0)</f>
        <v/>
      </c>
      <c r="C734" s="156">
        <f>IF(K734&gt;=0.01,K734,IFERROR(VLOOKUP(F734&amp;G734,Rec!B:C,2,0),K734)+SUM(L734:O734))</f>
        <v/>
      </c>
      <c r="D734" s="218">
        <f>_xlfn.IFNA(INDEX('Injury Report'!F:F, MATCH(G734&amp;F734, 'Injury Report'!A:A, 0)), "Healthy")</f>
        <v/>
      </c>
      <c r="E734" s="219">
        <f>VLOOKUP(A734,'TE Depth'!A:G,7,0)-1</f>
        <v/>
      </c>
      <c r="F734" s="218">
        <f>VLOOKUP(A734,'TE Depth'!A:C,3,0)</f>
        <v/>
      </c>
      <c r="G734" s="218">
        <f>VLOOKUP(A734,'TE Depth'!A:B,2,0)</f>
        <v/>
      </c>
      <c r="H734" s="218">
        <f>VLOOKUP(A734,'TE Depth'!A:D,4,0)</f>
        <v/>
      </c>
      <c r="I734" s="218">
        <f>H734&amp;E734</f>
        <v/>
      </c>
      <c r="J734" s="220">
        <f>IF(VLOOKUP(F734,Rec!F:G,2,0)=G734,"OK","Check Team")</f>
        <v/>
      </c>
      <c r="K734" s="156" t="n"/>
      <c r="L734" s="156">
        <f>IFERROR(VLOOKUP(F734&amp;G734,Pass!B:C,2,0),0)</f>
        <v/>
      </c>
      <c r="M734" s="156">
        <f>IFERROR(VLOOKUP(F734&amp;G734,Rush!B:C,2,0),0)</f>
        <v/>
      </c>
      <c r="N734" s="156">
        <f>IFERROR(VLOOKUP(F734&amp;G734,Rec!B:C,2,0),K734)</f>
        <v/>
      </c>
      <c r="O734" s="156">
        <f>IFERROR(VLOOKUP(F734&amp;G734,Returns!A:B,2,0),0)</f>
        <v/>
      </c>
    </row>
    <row r="735" hidden="1" ht="14.4" customHeight="1" s="152">
      <c r="A735" s="221" t="n">
        <v>126</v>
      </c>
      <c r="B735" s="218">
        <f>VLOOKUP(G735,Matrix!R:AA,10,0)</f>
        <v/>
      </c>
      <c r="C735" s="156">
        <f>IF(K735&gt;=0.01,K735,IFERROR(VLOOKUP(F735&amp;G735,Rec!B:C,2,0),K735)+SUM(L735:O735))</f>
        <v/>
      </c>
      <c r="D735" s="218">
        <f>_xlfn.IFNA(INDEX('Injury Report'!F:F, MATCH(G735&amp;F735, 'Injury Report'!A:A, 0)), "Healthy")</f>
        <v/>
      </c>
      <c r="E735" s="219">
        <f>VLOOKUP(A735,'TE Depth'!A:G,7,0)-1</f>
        <v/>
      </c>
      <c r="F735" s="218">
        <f>VLOOKUP(A735,'TE Depth'!A:C,3,0)</f>
        <v/>
      </c>
      <c r="G735" s="218">
        <f>VLOOKUP(A735,'TE Depth'!A:B,2,0)</f>
        <v/>
      </c>
      <c r="H735" s="218">
        <f>VLOOKUP(A735,'TE Depth'!A:D,4,0)</f>
        <v/>
      </c>
      <c r="I735" s="218">
        <f>H735&amp;E735</f>
        <v/>
      </c>
      <c r="J735" s="220">
        <f>IF(VLOOKUP(F735,Rec!F:G,2,0)=G735,"OK","Check Team")</f>
        <v/>
      </c>
      <c r="K735" s="156" t="n"/>
      <c r="L735" s="156">
        <f>IFERROR(VLOOKUP(F735&amp;G735,Pass!B:C,2,0),0)</f>
        <v/>
      </c>
      <c r="M735" s="156">
        <f>IFERROR(VLOOKUP(F735&amp;G735,Rush!B:C,2,0),0)</f>
        <v/>
      </c>
      <c r="N735" s="156">
        <f>IFERROR(VLOOKUP(F735&amp;G735,Rec!B:C,2,0),K735)</f>
        <v/>
      </c>
      <c r="O735" s="156">
        <f>IFERROR(VLOOKUP(F735&amp;G735,Returns!A:B,2,0),0)</f>
        <v/>
      </c>
    </row>
    <row r="736" hidden="1" ht="14.4" customHeight="1" s="152">
      <c r="A736" s="217" t="n">
        <v>127</v>
      </c>
      <c r="B736" s="218">
        <f>VLOOKUP(G736,Matrix!R:AA,10,0)</f>
        <v/>
      </c>
      <c r="C736" s="156">
        <f>IF(K736&gt;=0.01,K736,IFERROR(VLOOKUP(F736&amp;G736,Rec!B:C,2,0),K736)+SUM(L736:O736))</f>
        <v/>
      </c>
      <c r="D736" s="218">
        <f>_xlfn.IFNA(INDEX('Injury Report'!F:F, MATCH(G736&amp;F736, 'Injury Report'!A:A, 0)), "Healthy")</f>
        <v/>
      </c>
      <c r="E736" s="219">
        <f>VLOOKUP(A736,'TE Depth'!A:G,7,0)-1</f>
        <v/>
      </c>
      <c r="F736" s="218">
        <f>VLOOKUP(A736,'TE Depth'!A:C,3,0)</f>
        <v/>
      </c>
      <c r="G736" s="218">
        <f>VLOOKUP(A736,'TE Depth'!A:B,2,0)</f>
        <v/>
      </c>
      <c r="H736" s="218">
        <f>VLOOKUP(A736,'TE Depth'!A:D,4,0)</f>
        <v/>
      </c>
      <c r="I736" s="218">
        <f>H736&amp;E736</f>
        <v/>
      </c>
      <c r="J736" s="220">
        <f>IF(VLOOKUP(F736,Rec!F:G,2,0)=G736,"OK","Check Team")</f>
        <v/>
      </c>
      <c r="K736" s="156" t="n"/>
      <c r="L736" s="156">
        <f>IFERROR(VLOOKUP(F736&amp;G736,Pass!B:C,2,0),0)</f>
        <v/>
      </c>
      <c r="M736" s="156">
        <f>IFERROR(VLOOKUP(F736&amp;G736,Rush!B:C,2,0),0)</f>
        <v/>
      </c>
      <c r="N736" s="156">
        <f>IFERROR(VLOOKUP(F736&amp;G736,Rec!B:C,2,0),K736)</f>
        <v/>
      </c>
      <c r="O736" s="156">
        <f>IFERROR(VLOOKUP(F736&amp;G736,Returns!A:B,2,0),0)</f>
        <v/>
      </c>
    </row>
    <row r="737" hidden="1" ht="14.4" customHeight="1" s="152">
      <c r="A737" s="221" t="n">
        <v>128</v>
      </c>
      <c r="B737" s="218">
        <f>VLOOKUP(G737,Matrix!R:AA,10,0)</f>
        <v/>
      </c>
      <c r="C737" s="156">
        <f>IF(K737&gt;=0.01,K737,IFERROR(VLOOKUP(F737&amp;G737,Rec!B:C,2,0),K737)+SUM(L737:O737))</f>
        <v/>
      </c>
      <c r="D737" s="218">
        <f>_xlfn.IFNA(INDEX('Injury Report'!F:F, MATCH(G737&amp;F737, 'Injury Report'!A:A, 0)), "Healthy")</f>
        <v/>
      </c>
      <c r="E737" s="219">
        <f>VLOOKUP(A737,'TE Depth'!A:G,7,0)-1</f>
        <v/>
      </c>
      <c r="F737" s="218">
        <f>VLOOKUP(A737,'TE Depth'!A:C,3,0)</f>
        <v/>
      </c>
      <c r="G737" s="218">
        <f>VLOOKUP(A737,'TE Depth'!A:B,2,0)</f>
        <v/>
      </c>
      <c r="H737" s="218">
        <f>VLOOKUP(A737,'TE Depth'!A:D,4,0)</f>
        <v/>
      </c>
      <c r="I737" s="218">
        <f>H737&amp;E737</f>
        <v/>
      </c>
      <c r="J737" s="220">
        <f>IF(VLOOKUP(F737,Rec!F:G,2,0)=G737,"OK","Check Team")</f>
        <v/>
      </c>
      <c r="K737" s="156" t="n"/>
      <c r="L737" s="156">
        <f>IFERROR(VLOOKUP(F737&amp;G737,Pass!B:C,2,0),0)</f>
        <v/>
      </c>
      <c r="M737" s="156">
        <f>IFERROR(VLOOKUP(F737&amp;G737,Rush!B:C,2,0),0)</f>
        <v/>
      </c>
      <c r="N737" s="156">
        <f>IFERROR(VLOOKUP(F737&amp;G737,Rec!B:C,2,0),K737)</f>
        <v/>
      </c>
      <c r="O737" s="156">
        <f>IFERROR(VLOOKUP(F737&amp;G737,Returns!A:B,2,0),0)</f>
        <v/>
      </c>
    </row>
    <row r="738" hidden="1" ht="14.4" customHeight="1" s="152">
      <c r="A738" s="217" t="n">
        <v>129</v>
      </c>
      <c r="B738" s="218">
        <f>VLOOKUP(G738,Matrix!R:AA,10,0)</f>
        <v/>
      </c>
      <c r="C738" s="156">
        <f>IF(K738&gt;=0.01,K738,IFERROR(VLOOKUP(F738&amp;G738,Rec!B:C,2,0),K738)+SUM(L738:O738))</f>
        <v/>
      </c>
      <c r="D738" s="218">
        <f>_xlfn.IFNA(INDEX('Injury Report'!F:F, MATCH(G738&amp;F738, 'Injury Report'!A:A, 0)), "Healthy")</f>
        <v/>
      </c>
      <c r="E738" s="219">
        <f>VLOOKUP(A738,'TE Depth'!A:G,7,0)-1</f>
        <v/>
      </c>
      <c r="F738" s="218">
        <f>VLOOKUP(A738,'TE Depth'!A:C,3,0)</f>
        <v/>
      </c>
      <c r="G738" s="218">
        <f>VLOOKUP(A738,'TE Depth'!A:B,2,0)</f>
        <v/>
      </c>
      <c r="H738" s="218">
        <f>VLOOKUP(A738,'TE Depth'!A:D,4,0)</f>
        <v/>
      </c>
      <c r="I738" s="218">
        <f>H738&amp;E738</f>
        <v/>
      </c>
      <c r="J738" s="220">
        <f>IF(VLOOKUP(F738,Rec!F:G,2,0)=G738,"OK","Check Team")</f>
        <v/>
      </c>
      <c r="K738" s="156" t="n"/>
      <c r="L738" s="156">
        <f>IFERROR(VLOOKUP(F738&amp;G738,Pass!B:C,2,0),0)</f>
        <v/>
      </c>
      <c r="M738" s="156">
        <f>IFERROR(VLOOKUP(F738&amp;G738,Rush!B:C,2,0),0)</f>
        <v/>
      </c>
      <c r="N738" s="156">
        <f>IFERROR(VLOOKUP(F738&amp;G738,Rec!B:C,2,0),K738)</f>
        <v/>
      </c>
      <c r="O738" s="156">
        <f>IFERROR(VLOOKUP(F738&amp;G738,Returns!A:B,2,0),0)</f>
        <v/>
      </c>
    </row>
    <row r="739" hidden="1" ht="14.4" customHeight="1" s="152">
      <c r="A739" s="221" t="n">
        <v>130</v>
      </c>
      <c r="B739" s="218">
        <f>VLOOKUP(G739,Matrix!R:AA,10,0)</f>
        <v/>
      </c>
      <c r="C739" s="156">
        <f>IF(K739&gt;=0.01,K739,IFERROR(VLOOKUP(F739&amp;G739,Rec!B:C,2,0),K739)+SUM(L739:O739))</f>
        <v/>
      </c>
      <c r="D739" s="218">
        <f>_xlfn.IFNA(INDEX('Injury Report'!F:F, MATCH(G739&amp;F739, 'Injury Report'!A:A, 0)), "Healthy")</f>
        <v/>
      </c>
      <c r="E739" s="219">
        <f>VLOOKUP(A739,'TE Depth'!A:G,7,0)-1</f>
        <v/>
      </c>
      <c r="F739" s="218">
        <f>VLOOKUP(A739,'TE Depth'!A:C,3,0)</f>
        <v/>
      </c>
      <c r="G739" s="218">
        <f>VLOOKUP(A739,'TE Depth'!A:B,2,0)</f>
        <v/>
      </c>
      <c r="H739" s="218">
        <f>VLOOKUP(A739,'TE Depth'!A:D,4,0)</f>
        <v/>
      </c>
      <c r="I739" s="218">
        <f>H739&amp;E739</f>
        <v/>
      </c>
      <c r="J739" s="220">
        <f>IF(VLOOKUP(F739,Rec!F:G,2,0)=G739,"OK","Check Team")</f>
        <v/>
      </c>
      <c r="K739" s="156" t="n"/>
      <c r="L739" s="156">
        <f>IFERROR(VLOOKUP(F739&amp;G739,Pass!B:C,2,0),0)</f>
        <v/>
      </c>
      <c r="M739" s="156">
        <f>IFERROR(VLOOKUP(F739&amp;G739,Rush!B:C,2,0),0)</f>
        <v/>
      </c>
      <c r="N739" s="156">
        <f>IFERROR(VLOOKUP(F739&amp;G739,Rec!B:C,2,0),K739)</f>
        <v/>
      </c>
      <c r="O739" s="156">
        <f>IFERROR(VLOOKUP(F739&amp;G739,Returns!A:B,2,0),0)</f>
        <v/>
      </c>
    </row>
    <row r="740" hidden="1" ht="14.4" customHeight="1" s="152">
      <c r="A740" s="217" t="n">
        <v>131</v>
      </c>
      <c r="B740" s="218">
        <f>VLOOKUP(G740,Matrix!R:AA,10,0)</f>
        <v/>
      </c>
      <c r="C740" s="156">
        <f>IF(K740&gt;=0.01,K740,IFERROR(VLOOKUP(F740&amp;G740,Rec!B:C,2,0),K740)+SUM(L740:O740))</f>
        <v/>
      </c>
      <c r="D740" s="218">
        <f>_xlfn.IFNA(INDEX('Injury Report'!F:F, MATCH(G740&amp;F740, 'Injury Report'!A:A, 0)), "Healthy")</f>
        <v/>
      </c>
      <c r="E740" s="219">
        <f>VLOOKUP(A740,'TE Depth'!A:G,7,0)-1</f>
        <v/>
      </c>
      <c r="F740" s="218">
        <f>VLOOKUP(A740,'TE Depth'!A:C,3,0)</f>
        <v/>
      </c>
      <c r="G740" s="218">
        <f>VLOOKUP(A740,'TE Depth'!A:B,2,0)</f>
        <v/>
      </c>
      <c r="H740" s="218">
        <f>VLOOKUP(A740,'TE Depth'!A:D,4,0)</f>
        <v/>
      </c>
      <c r="I740" s="218">
        <f>H740&amp;E740</f>
        <v/>
      </c>
      <c r="J740" s="220">
        <f>IF(VLOOKUP(F740,Rec!F:G,2,0)=G740,"OK","Check Team")</f>
        <v/>
      </c>
      <c r="K740" s="156" t="n"/>
      <c r="L740" s="156">
        <f>IFERROR(VLOOKUP(F740&amp;G740,Pass!B:C,2,0),0)</f>
        <v/>
      </c>
      <c r="M740" s="156">
        <f>IFERROR(VLOOKUP(F740&amp;G740,Rush!B:C,2,0),0)</f>
        <v/>
      </c>
      <c r="N740" s="156">
        <f>IFERROR(VLOOKUP(F740&amp;G740,Rec!B:C,2,0),K740)</f>
        <v/>
      </c>
      <c r="O740" s="156">
        <f>IFERROR(VLOOKUP(F740&amp;G740,Returns!A:B,2,0),0)</f>
        <v/>
      </c>
    </row>
    <row r="741" hidden="1" ht="14.4" customHeight="1" s="152">
      <c r="A741" s="221" t="n">
        <v>132</v>
      </c>
      <c r="B741" s="218">
        <f>VLOOKUP(G741,Matrix!R:AA,10,0)</f>
        <v/>
      </c>
      <c r="C741" s="156">
        <f>IF(K741&gt;=0.01,K741,IFERROR(VLOOKUP(F741&amp;G741,Rec!B:C,2,0),K741)+SUM(L741:O741))</f>
        <v/>
      </c>
      <c r="D741" s="218">
        <f>_xlfn.IFNA(INDEX('Injury Report'!F:F, MATCH(G741&amp;F741, 'Injury Report'!A:A, 0)), "Healthy")</f>
        <v/>
      </c>
      <c r="E741" s="219">
        <f>VLOOKUP(A741,'TE Depth'!A:G,7,0)-1</f>
        <v/>
      </c>
      <c r="F741" s="218">
        <f>VLOOKUP(A741,'TE Depth'!A:C,3,0)</f>
        <v/>
      </c>
      <c r="G741" s="218">
        <f>VLOOKUP(A741,'TE Depth'!A:B,2,0)</f>
        <v/>
      </c>
      <c r="H741" s="218">
        <f>VLOOKUP(A741,'TE Depth'!A:D,4,0)</f>
        <v/>
      </c>
      <c r="I741" s="218">
        <f>H741&amp;E741</f>
        <v/>
      </c>
      <c r="J741" s="220">
        <f>IF(VLOOKUP(F741,Rec!F:G,2,0)=G741,"OK","Check Team")</f>
        <v/>
      </c>
      <c r="K741" s="156" t="n"/>
      <c r="L741" s="156">
        <f>IFERROR(VLOOKUP(F741&amp;G741,Pass!B:C,2,0),0)</f>
        <v/>
      </c>
      <c r="M741" s="156">
        <f>IFERROR(VLOOKUP(F741&amp;G741,Rush!B:C,2,0),0)</f>
        <v/>
      </c>
      <c r="N741" s="156">
        <f>IFERROR(VLOOKUP(F741&amp;G741,Rec!B:C,2,0),K741)</f>
        <v/>
      </c>
      <c r="O741" s="156">
        <f>IFERROR(VLOOKUP(F741&amp;G741,Returns!A:B,2,0),0)</f>
        <v/>
      </c>
    </row>
    <row r="742" hidden="1" ht="14.4" customHeight="1" s="152">
      <c r="A742" s="217" t="n">
        <v>133</v>
      </c>
      <c r="B742" s="218">
        <f>VLOOKUP(G742,Matrix!R:AA,10,0)</f>
        <v/>
      </c>
      <c r="C742" s="156">
        <f>IF(K742&gt;=0.01,K742,IFERROR(VLOOKUP(F742&amp;G742,Rec!B:C,2,0),K742)+SUM(L742:O742))</f>
        <v/>
      </c>
      <c r="D742" s="218">
        <f>_xlfn.IFNA(INDEX('Injury Report'!F:F, MATCH(G742&amp;F742, 'Injury Report'!A:A, 0)), "Healthy")</f>
        <v/>
      </c>
      <c r="E742" s="219">
        <f>VLOOKUP(A742,'TE Depth'!A:G,7,0)-1</f>
        <v/>
      </c>
      <c r="F742" s="218">
        <f>VLOOKUP(A742,'TE Depth'!A:C,3,0)</f>
        <v/>
      </c>
      <c r="G742" s="218">
        <f>VLOOKUP(A742,'TE Depth'!A:B,2,0)</f>
        <v/>
      </c>
      <c r="H742" s="218">
        <f>VLOOKUP(A742,'TE Depth'!A:D,4,0)</f>
        <v/>
      </c>
      <c r="I742" s="218">
        <f>H742&amp;E742</f>
        <v/>
      </c>
      <c r="J742" s="220">
        <f>IF(VLOOKUP(F742,Rec!F:G,2,0)=G742,"OK","Check Team")</f>
        <v/>
      </c>
      <c r="K742" s="156" t="n"/>
      <c r="L742" s="156">
        <f>IFERROR(VLOOKUP(F742&amp;G742,Pass!B:C,2,0),0)</f>
        <v/>
      </c>
      <c r="M742" s="156">
        <f>IFERROR(VLOOKUP(F742&amp;G742,Rush!B:C,2,0),0)</f>
        <v/>
      </c>
      <c r="N742" s="156">
        <f>IFERROR(VLOOKUP(F742&amp;G742,Rec!B:C,2,0),K742)</f>
        <v/>
      </c>
      <c r="O742" s="156">
        <f>IFERROR(VLOOKUP(F742&amp;G742,Returns!A:B,2,0),0)</f>
        <v/>
      </c>
    </row>
    <row r="743" hidden="1" ht="14.4" customHeight="1" s="152">
      <c r="A743" s="221" t="n">
        <v>134</v>
      </c>
      <c r="B743" s="218">
        <f>VLOOKUP(G743,Matrix!R:AA,10,0)</f>
        <v/>
      </c>
      <c r="C743" s="156">
        <f>IF(K743&gt;=0.01,K743,IFERROR(VLOOKUP(F743&amp;G743,Rec!B:C,2,0),K743)+SUM(L743:O743))</f>
        <v/>
      </c>
      <c r="D743" s="218">
        <f>_xlfn.IFNA(INDEX('Injury Report'!F:F, MATCH(G743&amp;F743, 'Injury Report'!A:A, 0)), "Healthy")</f>
        <v/>
      </c>
      <c r="E743" s="219">
        <f>VLOOKUP(A743,'TE Depth'!A:G,7,0)-1</f>
        <v/>
      </c>
      <c r="F743" s="218">
        <f>VLOOKUP(A743,'TE Depth'!A:C,3,0)</f>
        <v/>
      </c>
      <c r="G743" s="218">
        <f>VLOOKUP(A743,'TE Depth'!A:B,2,0)</f>
        <v/>
      </c>
      <c r="H743" s="218">
        <f>VLOOKUP(A743,'TE Depth'!A:D,4,0)</f>
        <v/>
      </c>
      <c r="I743" s="218">
        <f>H743&amp;E743</f>
        <v/>
      </c>
      <c r="J743" s="220">
        <f>IF(VLOOKUP(F743,Rec!F:G,2,0)=G743,"OK","Check Team")</f>
        <v/>
      </c>
      <c r="K743" s="156" t="n"/>
      <c r="L743" s="156">
        <f>IFERROR(VLOOKUP(F743&amp;G743,Pass!B:C,2,0),0)</f>
        <v/>
      </c>
      <c r="M743" s="156">
        <f>IFERROR(VLOOKUP(F743&amp;G743,Rush!B:C,2,0),0)</f>
        <v/>
      </c>
      <c r="N743" s="156">
        <f>IFERROR(VLOOKUP(F743&amp;G743,Rec!B:C,2,0),K743)</f>
        <v/>
      </c>
      <c r="O743" s="156">
        <f>IFERROR(VLOOKUP(F743&amp;G743,Returns!A:B,2,0),0)</f>
        <v/>
      </c>
    </row>
    <row r="744" hidden="1" ht="14.4" customHeight="1" s="152">
      <c r="A744" s="217" t="n">
        <v>135</v>
      </c>
      <c r="B744" s="218">
        <f>VLOOKUP(G744,Matrix!R:AA,10,0)</f>
        <v/>
      </c>
      <c r="C744" s="156">
        <f>IF(K744&gt;=0.01,K744,IFERROR(VLOOKUP(F744&amp;G744,Rec!B:C,2,0),K744)+SUM(L744:O744))</f>
        <v/>
      </c>
      <c r="D744" s="218">
        <f>_xlfn.IFNA(INDEX('Injury Report'!F:F, MATCH(G744&amp;F744, 'Injury Report'!A:A, 0)), "Healthy")</f>
        <v/>
      </c>
      <c r="E744" s="219">
        <f>VLOOKUP(A744,'TE Depth'!A:G,7,0)-1</f>
        <v/>
      </c>
      <c r="F744" s="218">
        <f>VLOOKUP(A744,'TE Depth'!A:C,3,0)</f>
        <v/>
      </c>
      <c r="G744" s="218">
        <f>VLOOKUP(A744,'TE Depth'!A:B,2,0)</f>
        <v/>
      </c>
      <c r="H744" s="218">
        <f>VLOOKUP(A744,'TE Depth'!A:D,4,0)</f>
        <v/>
      </c>
      <c r="I744" s="218">
        <f>H744&amp;E744</f>
        <v/>
      </c>
      <c r="J744" s="220">
        <f>IF(VLOOKUP(F744,Rec!F:G,2,0)=G744,"OK","Check Team")</f>
        <v/>
      </c>
      <c r="K744" s="156" t="n"/>
      <c r="L744" s="156">
        <f>IFERROR(VLOOKUP(F744&amp;G744,Pass!B:C,2,0),0)</f>
        <v/>
      </c>
      <c r="M744" s="156">
        <f>IFERROR(VLOOKUP(F744&amp;G744,Rush!B:C,2,0),0)</f>
        <v/>
      </c>
      <c r="N744" s="156">
        <f>IFERROR(VLOOKUP(F744&amp;G744,Rec!B:C,2,0),K744)</f>
        <v/>
      </c>
      <c r="O744" s="156">
        <f>IFERROR(VLOOKUP(F744&amp;G744,Returns!A:B,2,0),0)</f>
        <v/>
      </c>
    </row>
    <row r="745" hidden="1" ht="14.4" customHeight="1" s="152">
      <c r="A745" s="221" t="n">
        <v>136</v>
      </c>
      <c r="B745" s="218">
        <f>VLOOKUP(G745,Matrix!R:AA,10,0)</f>
        <v/>
      </c>
      <c r="C745" s="156">
        <f>IF(K745&gt;=0.01,K745,IFERROR(VLOOKUP(F745&amp;G745,Rec!B:C,2,0),K745)+SUM(L745:O745))</f>
        <v/>
      </c>
      <c r="D745" s="218">
        <f>_xlfn.IFNA(INDEX('Injury Report'!F:F, MATCH(G745&amp;F745, 'Injury Report'!A:A, 0)), "Healthy")</f>
        <v/>
      </c>
      <c r="E745" s="219">
        <f>VLOOKUP(A745,'TE Depth'!A:G,7,0)-1</f>
        <v/>
      </c>
      <c r="F745" s="218">
        <f>VLOOKUP(A745,'TE Depth'!A:C,3,0)</f>
        <v/>
      </c>
      <c r="G745" s="218">
        <f>VLOOKUP(A745,'TE Depth'!A:B,2,0)</f>
        <v/>
      </c>
      <c r="H745" s="218">
        <f>VLOOKUP(A745,'TE Depth'!A:D,4,0)</f>
        <v/>
      </c>
      <c r="I745" s="218">
        <f>H745&amp;E745</f>
        <v/>
      </c>
      <c r="J745" s="220">
        <f>IF(VLOOKUP(F745,Rec!F:G,2,0)=G745,"OK","Check Team")</f>
        <v/>
      </c>
      <c r="K745" s="156" t="n"/>
      <c r="L745" s="156">
        <f>IFERROR(VLOOKUP(F745&amp;G745,Pass!B:C,2,0),0)</f>
        <v/>
      </c>
      <c r="M745" s="156">
        <f>IFERROR(VLOOKUP(F745&amp;G745,Rush!B:C,2,0),0)</f>
        <v/>
      </c>
      <c r="N745" s="156">
        <f>IFERROR(VLOOKUP(F745&amp;G745,Rec!B:C,2,0),K745)</f>
        <v/>
      </c>
      <c r="O745" s="156">
        <f>IFERROR(VLOOKUP(F745&amp;G745,Returns!A:B,2,0),0)</f>
        <v/>
      </c>
    </row>
    <row r="746" hidden="1" ht="14.4" customHeight="1" s="152">
      <c r="A746" s="217" t="n">
        <v>137</v>
      </c>
      <c r="B746" s="218">
        <f>VLOOKUP(G746,Matrix!R:AA,10,0)</f>
        <v/>
      </c>
      <c r="C746" s="156">
        <f>IF(K746&gt;=0.01,K746,IFERROR(VLOOKUP(F746&amp;G746,Rec!B:C,2,0),K746)+SUM(L746:O746))</f>
        <v/>
      </c>
      <c r="D746" s="218">
        <f>_xlfn.IFNA(INDEX('Injury Report'!F:F, MATCH(G746&amp;F746, 'Injury Report'!A:A, 0)), "Healthy")</f>
        <v/>
      </c>
      <c r="E746" s="219">
        <f>VLOOKUP(A746,'TE Depth'!A:G,7,0)-1</f>
        <v/>
      </c>
      <c r="F746" s="218">
        <f>VLOOKUP(A746,'TE Depth'!A:C,3,0)</f>
        <v/>
      </c>
      <c r="G746" s="218">
        <f>VLOOKUP(A746,'TE Depth'!A:B,2,0)</f>
        <v/>
      </c>
      <c r="H746" s="218">
        <f>VLOOKUP(A746,'TE Depth'!A:D,4,0)</f>
        <v/>
      </c>
      <c r="I746" s="218">
        <f>H746&amp;E746</f>
        <v/>
      </c>
      <c r="J746" s="220">
        <f>IF(VLOOKUP(F746,Rec!F:G,2,0)=G746,"OK","Check Team")</f>
        <v/>
      </c>
      <c r="K746" s="156" t="n"/>
      <c r="L746" s="156">
        <f>IFERROR(VLOOKUP(F746&amp;G746,Pass!B:C,2,0),0)</f>
        <v/>
      </c>
      <c r="M746" s="156">
        <f>IFERROR(VLOOKUP(F746&amp;G746,Rush!B:C,2,0),0)</f>
        <v/>
      </c>
      <c r="N746" s="156">
        <f>IFERROR(VLOOKUP(F746&amp;G746,Rec!B:C,2,0),K746)</f>
        <v/>
      </c>
      <c r="O746" s="156">
        <f>IFERROR(VLOOKUP(F746&amp;G746,Returns!A:B,2,0),0)</f>
        <v/>
      </c>
    </row>
    <row r="747" hidden="1" ht="14.4" customHeight="1" s="152">
      <c r="A747" s="221" t="n">
        <v>138</v>
      </c>
      <c r="B747" s="218">
        <f>VLOOKUP(G747,Matrix!R:AA,10,0)</f>
        <v/>
      </c>
      <c r="C747" s="156">
        <f>IF(K747&gt;=0.01,K747,IFERROR(VLOOKUP(F747&amp;G747,Rec!B:C,2,0),K747)+SUM(L747:O747))</f>
        <v/>
      </c>
      <c r="D747" s="218">
        <f>_xlfn.IFNA(INDEX('Injury Report'!F:F, MATCH(G747&amp;F747, 'Injury Report'!A:A, 0)), "Healthy")</f>
        <v/>
      </c>
      <c r="E747" s="219">
        <f>VLOOKUP(A747,'TE Depth'!A:G,7,0)-1</f>
        <v/>
      </c>
      <c r="F747" s="218">
        <f>VLOOKUP(A747,'TE Depth'!A:C,3,0)</f>
        <v/>
      </c>
      <c r="G747" s="218">
        <f>VLOOKUP(A747,'TE Depth'!A:B,2,0)</f>
        <v/>
      </c>
      <c r="H747" s="218">
        <f>VLOOKUP(A747,'TE Depth'!A:D,4,0)</f>
        <v/>
      </c>
      <c r="I747" s="218">
        <f>H747&amp;E747</f>
        <v/>
      </c>
      <c r="J747" s="220">
        <f>IF(VLOOKUP(F747,Rec!F:G,2,0)=G747,"OK","Check Team")</f>
        <v/>
      </c>
      <c r="K747" s="156" t="n"/>
      <c r="L747" s="156">
        <f>IFERROR(VLOOKUP(F747&amp;G747,Pass!B:C,2,0),0)</f>
        <v/>
      </c>
      <c r="M747" s="156">
        <f>IFERROR(VLOOKUP(F747&amp;G747,Rush!B:C,2,0),0)</f>
        <v/>
      </c>
      <c r="N747" s="156">
        <f>IFERROR(VLOOKUP(F747&amp;G747,Rec!B:C,2,0),K747)</f>
        <v/>
      </c>
      <c r="O747" s="156">
        <f>IFERROR(VLOOKUP(F747&amp;G747,Returns!A:B,2,0),0)</f>
        <v/>
      </c>
    </row>
    <row r="748" hidden="1" ht="14.4" customHeight="1" s="152">
      <c r="A748" s="217" t="n">
        <v>139</v>
      </c>
      <c r="B748" s="218">
        <f>VLOOKUP(G748,Matrix!R:AA,10,0)</f>
        <v/>
      </c>
      <c r="C748" s="156">
        <f>IF(K748&gt;=0.01,K748,IFERROR(VLOOKUP(F748&amp;G748,Rec!B:C,2,0),K748)+SUM(L748:O748))</f>
        <v/>
      </c>
      <c r="D748" s="218">
        <f>_xlfn.IFNA(INDEX('Injury Report'!F:F, MATCH(G748&amp;F748, 'Injury Report'!A:A, 0)), "Healthy")</f>
        <v/>
      </c>
      <c r="E748" s="219">
        <f>VLOOKUP(A748,'TE Depth'!A:G,7,0)-1</f>
        <v/>
      </c>
      <c r="F748" s="218">
        <f>VLOOKUP(A748,'TE Depth'!A:C,3,0)</f>
        <v/>
      </c>
      <c r="G748" s="218">
        <f>VLOOKUP(A748,'TE Depth'!A:B,2,0)</f>
        <v/>
      </c>
      <c r="H748" s="218">
        <f>VLOOKUP(A748,'TE Depth'!A:D,4,0)</f>
        <v/>
      </c>
      <c r="I748" s="218">
        <f>H748&amp;E748</f>
        <v/>
      </c>
      <c r="J748" s="220">
        <f>IF(VLOOKUP(F748,Rec!F:G,2,0)=G748,"OK","Check Team")</f>
        <v/>
      </c>
      <c r="K748" s="156" t="n"/>
      <c r="L748" s="156">
        <f>IFERROR(VLOOKUP(F748&amp;G748,Pass!B:C,2,0),0)</f>
        <v/>
      </c>
      <c r="M748" s="156">
        <f>IFERROR(VLOOKUP(F748&amp;G748,Rush!B:C,2,0),0)</f>
        <v/>
      </c>
      <c r="N748" s="156">
        <f>IFERROR(VLOOKUP(F748&amp;G748,Rec!B:C,2,0),K748)</f>
        <v/>
      </c>
      <c r="O748" s="156">
        <f>IFERROR(VLOOKUP(F748&amp;G748,Returns!A:B,2,0),0)</f>
        <v/>
      </c>
    </row>
    <row r="749" hidden="1" ht="14.4" customHeight="1" s="152">
      <c r="A749" s="221" t="n">
        <v>140</v>
      </c>
      <c r="B749" s="218">
        <f>VLOOKUP(G749,Matrix!R:AA,10,0)</f>
        <v/>
      </c>
      <c r="C749" s="156">
        <f>IF(K749&gt;=0.01,K749,IFERROR(VLOOKUP(F749&amp;G749,Rec!B:C,2,0),K749)+SUM(L749:O749))</f>
        <v/>
      </c>
      <c r="D749" s="218">
        <f>_xlfn.IFNA(INDEX('Injury Report'!F:F, MATCH(G749&amp;F749, 'Injury Report'!A:A, 0)), "Healthy")</f>
        <v/>
      </c>
      <c r="E749" s="219">
        <f>VLOOKUP(A749,'TE Depth'!A:G,7,0)-1</f>
        <v/>
      </c>
      <c r="F749" s="218">
        <f>VLOOKUP(A749,'TE Depth'!A:C,3,0)</f>
        <v/>
      </c>
      <c r="G749" s="218">
        <f>VLOOKUP(A749,'TE Depth'!A:B,2,0)</f>
        <v/>
      </c>
      <c r="H749" s="218">
        <f>VLOOKUP(A749,'TE Depth'!A:D,4,0)</f>
        <v/>
      </c>
      <c r="I749" s="218">
        <f>H749&amp;E749</f>
        <v/>
      </c>
      <c r="J749" s="220">
        <f>IF(VLOOKUP(F749,Rec!F:G,2,0)=G749,"OK","Check Team")</f>
        <v/>
      </c>
      <c r="K749" s="156" t="n"/>
      <c r="L749" s="156">
        <f>IFERROR(VLOOKUP(F749&amp;G749,Pass!B:C,2,0),0)</f>
        <v/>
      </c>
      <c r="M749" s="156">
        <f>IFERROR(VLOOKUP(F749&amp;G749,Rush!B:C,2,0),0)</f>
        <v/>
      </c>
      <c r="N749" s="156">
        <f>IFERROR(VLOOKUP(F749&amp;G749,Rec!B:C,2,0),K749)</f>
        <v/>
      </c>
      <c r="O749" s="156">
        <f>IFERROR(VLOOKUP(F749&amp;G749,Returns!A:B,2,0),0)</f>
        <v/>
      </c>
    </row>
    <row r="750" hidden="1" ht="14.4" customHeight="1" s="152">
      <c r="A750" s="217" t="n">
        <v>141</v>
      </c>
      <c r="B750" s="218">
        <f>VLOOKUP(G750,Matrix!R:AA,10,0)</f>
        <v/>
      </c>
      <c r="C750" s="156">
        <f>IF(K750&gt;=0.01,K750,IFERROR(VLOOKUP(F750&amp;G750,Rec!B:C,2,0),K750)+SUM(L750:O750))</f>
        <v/>
      </c>
      <c r="D750" s="218">
        <f>_xlfn.IFNA(INDEX('Injury Report'!F:F, MATCH(G750&amp;F750, 'Injury Report'!A:A, 0)), "Healthy")</f>
        <v/>
      </c>
      <c r="E750" s="219">
        <f>VLOOKUP(A750,'TE Depth'!A:G,7,0)-1</f>
        <v/>
      </c>
      <c r="F750" s="218">
        <f>VLOOKUP(A750,'TE Depth'!A:C,3,0)</f>
        <v/>
      </c>
      <c r="G750" s="218">
        <f>VLOOKUP(A750,'TE Depth'!A:B,2,0)</f>
        <v/>
      </c>
      <c r="H750" s="218">
        <f>VLOOKUP(A750,'TE Depth'!A:D,4,0)</f>
        <v/>
      </c>
      <c r="I750" s="218">
        <f>H750&amp;E750</f>
        <v/>
      </c>
      <c r="J750" s="220">
        <f>IF(VLOOKUP(F750,Rec!F:G,2,0)=G750,"OK","Check Team")</f>
        <v/>
      </c>
      <c r="K750" s="156" t="n"/>
      <c r="L750" s="156">
        <f>IFERROR(VLOOKUP(F750&amp;G750,Pass!B:C,2,0),0)</f>
        <v/>
      </c>
      <c r="M750" s="156">
        <f>IFERROR(VLOOKUP(F750&amp;G750,Rush!B:C,2,0),0)</f>
        <v/>
      </c>
      <c r="N750" s="156">
        <f>IFERROR(VLOOKUP(F750&amp;G750,Rec!B:C,2,0),K750)</f>
        <v/>
      </c>
      <c r="O750" s="156">
        <f>IFERROR(VLOOKUP(F750&amp;G750,Returns!A:B,2,0),0)</f>
        <v/>
      </c>
    </row>
    <row r="751" hidden="1" ht="14.4" customHeight="1" s="152">
      <c r="A751" s="221" t="n">
        <v>142</v>
      </c>
      <c r="B751" s="218">
        <f>VLOOKUP(G751,Matrix!R:AA,10,0)</f>
        <v/>
      </c>
      <c r="C751" s="156">
        <f>IF(K751&gt;=0.01,K751,IFERROR(VLOOKUP(F751&amp;G751,Rec!B:C,2,0),K751)+SUM(L751:O751))</f>
        <v/>
      </c>
      <c r="D751" s="218">
        <f>_xlfn.IFNA(INDEX('Injury Report'!F:F, MATCH(G751&amp;F751, 'Injury Report'!A:A, 0)), "Healthy")</f>
        <v/>
      </c>
      <c r="E751" s="219">
        <f>VLOOKUP(A751,'TE Depth'!A:G,7,0)-1</f>
        <v/>
      </c>
      <c r="F751" s="218">
        <f>VLOOKUP(A751,'TE Depth'!A:C,3,0)</f>
        <v/>
      </c>
      <c r="G751" s="218">
        <f>VLOOKUP(A751,'TE Depth'!A:B,2,0)</f>
        <v/>
      </c>
      <c r="H751" s="218">
        <f>VLOOKUP(A751,'TE Depth'!A:D,4,0)</f>
        <v/>
      </c>
      <c r="I751" s="218">
        <f>H751&amp;E751</f>
        <v/>
      </c>
      <c r="J751" s="220">
        <f>IF(VLOOKUP(F751,Rec!F:G,2,0)=G751,"OK","Check Team")</f>
        <v/>
      </c>
      <c r="K751" s="156" t="n"/>
      <c r="L751" s="156">
        <f>IFERROR(VLOOKUP(F751&amp;G751,Pass!B:C,2,0),0)</f>
        <v/>
      </c>
      <c r="M751" s="156">
        <f>IFERROR(VLOOKUP(F751&amp;G751,Rush!B:C,2,0),0)</f>
        <v/>
      </c>
      <c r="N751" s="156">
        <f>IFERROR(VLOOKUP(F751&amp;G751,Rec!B:C,2,0),K751)</f>
        <v/>
      </c>
      <c r="O751" s="156">
        <f>IFERROR(VLOOKUP(F751&amp;G751,Returns!A:B,2,0),0)</f>
        <v/>
      </c>
    </row>
    <row r="752" hidden="1" ht="14.4" customHeight="1" s="152">
      <c r="A752" s="217" t="n">
        <v>143</v>
      </c>
      <c r="B752" s="218">
        <f>VLOOKUP(G752,Matrix!R:AA,10,0)</f>
        <v/>
      </c>
      <c r="C752" s="156">
        <f>IF(K752&gt;=0.01,K752,IFERROR(VLOOKUP(F752&amp;G752,Rec!B:C,2,0),K752)+SUM(L752:O752))</f>
        <v/>
      </c>
      <c r="D752" s="218">
        <f>_xlfn.IFNA(INDEX('Injury Report'!F:F, MATCH(G752&amp;F752, 'Injury Report'!A:A, 0)), "Healthy")</f>
        <v/>
      </c>
      <c r="E752" s="219">
        <f>VLOOKUP(A752,'TE Depth'!A:G,7,0)-1</f>
        <v/>
      </c>
      <c r="F752" s="218">
        <f>VLOOKUP(A752,'TE Depth'!A:C,3,0)</f>
        <v/>
      </c>
      <c r="G752" s="218">
        <f>VLOOKUP(A752,'TE Depth'!A:B,2,0)</f>
        <v/>
      </c>
      <c r="H752" s="218">
        <f>VLOOKUP(A752,'TE Depth'!A:D,4,0)</f>
        <v/>
      </c>
      <c r="I752" s="218">
        <f>H752&amp;E752</f>
        <v/>
      </c>
      <c r="J752" s="220">
        <f>IF(VLOOKUP(F752,Rec!F:G,2,0)=G752,"OK","Check Team")</f>
        <v/>
      </c>
      <c r="K752" s="156" t="n"/>
      <c r="L752" s="156">
        <f>IFERROR(VLOOKUP(F752&amp;G752,Pass!B:C,2,0),0)</f>
        <v/>
      </c>
      <c r="M752" s="156">
        <f>IFERROR(VLOOKUP(F752&amp;G752,Rush!B:C,2,0),0)</f>
        <v/>
      </c>
      <c r="N752" s="156">
        <f>IFERROR(VLOOKUP(F752&amp;G752,Rec!B:C,2,0),K752)</f>
        <v/>
      </c>
      <c r="O752" s="156">
        <f>IFERROR(VLOOKUP(F752&amp;G752,Returns!A:B,2,0),0)</f>
        <v/>
      </c>
    </row>
    <row r="753" hidden="1" ht="14.4" customHeight="1" s="152">
      <c r="A753" s="221" t="n">
        <v>144</v>
      </c>
      <c r="B753" s="218">
        <f>VLOOKUP(G753,Matrix!R:AA,10,0)</f>
        <v/>
      </c>
      <c r="C753" s="156">
        <f>IF(K753&gt;=0.01,K753,IFERROR(VLOOKUP(F753&amp;G753,Rec!B:C,2,0),K753)+SUM(L753:O753))</f>
        <v/>
      </c>
      <c r="D753" s="218">
        <f>_xlfn.IFNA(INDEX('Injury Report'!F:F, MATCH(G753&amp;F753, 'Injury Report'!A:A, 0)), "Healthy")</f>
        <v/>
      </c>
      <c r="E753" s="219">
        <f>VLOOKUP(A753,'TE Depth'!A:G,7,0)-1</f>
        <v/>
      </c>
      <c r="F753" s="218">
        <f>VLOOKUP(A753,'TE Depth'!A:C,3,0)</f>
        <v/>
      </c>
      <c r="G753" s="218">
        <f>VLOOKUP(A753,'TE Depth'!A:B,2,0)</f>
        <v/>
      </c>
      <c r="H753" s="218">
        <f>VLOOKUP(A753,'TE Depth'!A:D,4,0)</f>
        <v/>
      </c>
      <c r="I753" s="218">
        <f>H753&amp;E753</f>
        <v/>
      </c>
      <c r="J753" s="220">
        <f>IF(VLOOKUP(F753,Rec!F:G,2,0)=G753,"OK","Check Team")</f>
        <v/>
      </c>
      <c r="K753" s="156" t="n"/>
      <c r="L753" s="156">
        <f>IFERROR(VLOOKUP(F753&amp;G753,Pass!B:C,2,0),0)</f>
        <v/>
      </c>
      <c r="M753" s="156">
        <f>IFERROR(VLOOKUP(F753&amp;G753,Rush!B:C,2,0),0)</f>
        <v/>
      </c>
      <c r="N753" s="156">
        <f>IFERROR(VLOOKUP(F753&amp;G753,Rec!B:C,2,0),K753)</f>
        <v/>
      </c>
      <c r="O753" s="156">
        <f>IFERROR(VLOOKUP(F753&amp;G753,Returns!A:B,2,0),0)</f>
        <v/>
      </c>
    </row>
    <row r="754" hidden="1" ht="14.4" customHeight="1" s="152">
      <c r="A754" s="217" t="n">
        <v>145</v>
      </c>
      <c r="B754" s="218">
        <f>VLOOKUP(G754,Matrix!R:AA,10,0)</f>
        <v/>
      </c>
      <c r="C754" s="156">
        <f>IF(K754&gt;=0.01,K754,IFERROR(VLOOKUP(F754&amp;G754,Rec!B:C,2,0),K754)+SUM(L754:O754))</f>
        <v/>
      </c>
      <c r="D754" s="218">
        <f>_xlfn.IFNA(INDEX('Injury Report'!F:F, MATCH(G754&amp;F754, 'Injury Report'!A:A, 0)), "Healthy")</f>
        <v/>
      </c>
      <c r="E754" s="219">
        <f>VLOOKUP(A754,'TE Depth'!A:G,7,0)-1</f>
        <v/>
      </c>
      <c r="F754" s="218">
        <f>VLOOKUP(A754,'TE Depth'!A:C,3,0)</f>
        <v/>
      </c>
      <c r="G754" s="218">
        <f>VLOOKUP(A754,'TE Depth'!A:B,2,0)</f>
        <v/>
      </c>
      <c r="H754" s="218">
        <f>VLOOKUP(A754,'TE Depth'!A:D,4,0)</f>
        <v/>
      </c>
      <c r="I754" s="218">
        <f>H754&amp;E754</f>
        <v/>
      </c>
      <c r="J754" s="220">
        <f>IF(VLOOKUP(F754,Rec!F:G,2,0)=G754,"OK","Check Team")</f>
        <v/>
      </c>
      <c r="K754" s="156" t="n"/>
      <c r="L754" s="156">
        <f>IFERROR(VLOOKUP(F754&amp;G754,Pass!B:C,2,0),0)</f>
        <v/>
      </c>
      <c r="M754" s="156">
        <f>IFERROR(VLOOKUP(F754&amp;G754,Rush!B:C,2,0),0)</f>
        <v/>
      </c>
      <c r="N754" s="156">
        <f>IFERROR(VLOOKUP(F754&amp;G754,Rec!B:C,2,0),K754)</f>
        <v/>
      </c>
      <c r="O754" s="156">
        <f>IFERROR(VLOOKUP(F754&amp;G754,Returns!A:B,2,0),0)</f>
        <v/>
      </c>
    </row>
    <row r="755" hidden="1" ht="14.4" customHeight="1" s="152">
      <c r="A755" s="221" t="n">
        <v>146</v>
      </c>
      <c r="B755" s="218">
        <f>VLOOKUP(G755,Matrix!R:AA,10,0)</f>
        <v/>
      </c>
      <c r="C755" s="156">
        <f>IF(K755&gt;=0.01,K755,IFERROR(VLOOKUP(F755&amp;G755,Rec!B:C,2,0),K755)+SUM(L755:O755))</f>
        <v/>
      </c>
      <c r="D755" s="218">
        <f>_xlfn.IFNA(INDEX('Injury Report'!F:F, MATCH(G755&amp;F755, 'Injury Report'!A:A, 0)), "Healthy")</f>
        <v/>
      </c>
      <c r="E755" s="219">
        <f>VLOOKUP(A755,'TE Depth'!A:G,7,0)-1</f>
        <v/>
      </c>
      <c r="F755" s="218">
        <f>VLOOKUP(A755,'TE Depth'!A:C,3,0)</f>
        <v/>
      </c>
      <c r="G755" s="218">
        <f>VLOOKUP(A755,'TE Depth'!A:B,2,0)</f>
        <v/>
      </c>
      <c r="H755" s="218">
        <f>VLOOKUP(A755,'TE Depth'!A:D,4,0)</f>
        <v/>
      </c>
      <c r="I755" s="218">
        <f>H755&amp;E755</f>
        <v/>
      </c>
      <c r="J755" s="220">
        <f>IF(VLOOKUP(F755,Rec!F:G,2,0)=G755,"OK","Check Team")</f>
        <v/>
      </c>
      <c r="K755" s="156" t="n"/>
      <c r="L755" s="156">
        <f>IFERROR(VLOOKUP(F755&amp;G755,Pass!B:C,2,0),0)</f>
        <v/>
      </c>
      <c r="M755" s="156">
        <f>IFERROR(VLOOKUP(F755&amp;G755,Rush!B:C,2,0),0)</f>
        <v/>
      </c>
      <c r="N755" s="156">
        <f>IFERROR(VLOOKUP(F755&amp;G755,Rec!B:C,2,0),K755)</f>
        <v/>
      </c>
      <c r="O755" s="156">
        <f>IFERROR(VLOOKUP(F755&amp;G755,Returns!A:B,2,0),0)</f>
        <v/>
      </c>
    </row>
    <row r="756" hidden="1" ht="14.4" customHeight="1" s="152">
      <c r="A756" s="217" t="n">
        <v>147</v>
      </c>
      <c r="B756" s="218">
        <f>VLOOKUP(G756,Matrix!R:AA,10,0)</f>
        <v/>
      </c>
      <c r="C756" s="156">
        <f>IF(K756&gt;=0.01,K756,IFERROR(VLOOKUP(F756&amp;G756,Rec!B:C,2,0),K756)+SUM(L756:O756))</f>
        <v/>
      </c>
      <c r="D756" s="218">
        <f>_xlfn.IFNA(INDEX('Injury Report'!F:F, MATCH(G756&amp;F756, 'Injury Report'!A:A, 0)), "Healthy")</f>
        <v/>
      </c>
      <c r="E756" s="219">
        <f>VLOOKUP(A756,'TE Depth'!A:G,7,0)-1</f>
        <v/>
      </c>
      <c r="F756" s="218">
        <f>VLOOKUP(A756,'TE Depth'!A:C,3,0)</f>
        <v/>
      </c>
      <c r="G756" s="218">
        <f>VLOOKUP(A756,'TE Depth'!A:B,2,0)</f>
        <v/>
      </c>
      <c r="H756" s="218">
        <f>VLOOKUP(A756,'TE Depth'!A:D,4,0)</f>
        <v/>
      </c>
      <c r="I756" s="218">
        <f>H756&amp;E756</f>
        <v/>
      </c>
      <c r="J756" s="220">
        <f>IF(VLOOKUP(F756,Rec!F:G,2,0)=G756,"OK","Check Team")</f>
        <v/>
      </c>
      <c r="K756" s="156" t="n"/>
      <c r="L756" s="156">
        <f>IFERROR(VLOOKUP(F756&amp;G756,Pass!B:C,2,0),0)</f>
        <v/>
      </c>
      <c r="M756" s="156">
        <f>IFERROR(VLOOKUP(F756&amp;G756,Rush!B:C,2,0),0)</f>
        <v/>
      </c>
      <c r="N756" s="156">
        <f>IFERROR(VLOOKUP(F756&amp;G756,Rec!B:C,2,0),K756)</f>
        <v/>
      </c>
      <c r="O756" s="156">
        <f>IFERROR(VLOOKUP(F756&amp;G756,Returns!A:B,2,0),0)</f>
        <v/>
      </c>
    </row>
    <row r="757" hidden="1" ht="14.4" customHeight="1" s="152">
      <c r="A757" s="221" t="n">
        <v>148</v>
      </c>
      <c r="B757" s="218">
        <f>VLOOKUP(G757,Matrix!R:AA,10,0)</f>
        <v/>
      </c>
      <c r="C757" s="156">
        <f>IF(K757&gt;=0.01,K757,IFERROR(VLOOKUP(F757&amp;G757,Rec!B:C,2,0),K757)+SUM(L757:O757))</f>
        <v/>
      </c>
      <c r="D757" s="218">
        <f>_xlfn.IFNA(INDEX('Injury Report'!F:F, MATCH(G757&amp;F757, 'Injury Report'!A:A, 0)), "Healthy")</f>
        <v/>
      </c>
      <c r="E757" s="219">
        <f>VLOOKUP(A757,'TE Depth'!A:G,7,0)-1</f>
        <v/>
      </c>
      <c r="F757" s="218">
        <f>VLOOKUP(A757,'TE Depth'!A:C,3,0)</f>
        <v/>
      </c>
      <c r="G757" s="218">
        <f>VLOOKUP(A757,'TE Depth'!A:B,2,0)</f>
        <v/>
      </c>
      <c r="H757" s="218">
        <f>VLOOKUP(A757,'TE Depth'!A:D,4,0)</f>
        <v/>
      </c>
      <c r="I757" s="218">
        <f>H757&amp;E757</f>
        <v/>
      </c>
      <c r="J757" s="220">
        <f>IF(VLOOKUP(F757,Rec!F:G,2,0)=G757,"OK","Check Team")</f>
        <v/>
      </c>
      <c r="K757" s="156" t="n"/>
      <c r="L757" s="156">
        <f>IFERROR(VLOOKUP(F757&amp;G757,Pass!B:C,2,0),0)</f>
        <v/>
      </c>
      <c r="M757" s="156">
        <f>IFERROR(VLOOKUP(F757&amp;G757,Rush!B:C,2,0),0)</f>
        <v/>
      </c>
      <c r="N757" s="156">
        <f>IFERROR(VLOOKUP(F757&amp;G757,Rec!B:C,2,0),K757)</f>
        <v/>
      </c>
      <c r="O757" s="156">
        <f>IFERROR(VLOOKUP(F757&amp;G757,Returns!A:B,2,0),0)</f>
        <v/>
      </c>
    </row>
    <row r="758" hidden="1" ht="14.4" customHeight="1" s="152">
      <c r="A758" s="217" t="n">
        <v>149</v>
      </c>
      <c r="B758" s="218">
        <f>VLOOKUP(G758,Matrix!R:AA,10,0)</f>
        <v/>
      </c>
      <c r="C758" s="156">
        <f>IF(K758&gt;=0.01,K758,IFERROR(VLOOKUP(F758&amp;G758,Rec!B:C,2,0),K758)+SUM(L758:O758))</f>
        <v/>
      </c>
      <c r="D758" s="218">
        <f>_xlfn.IFNA(INDEX('Injury Report'!F:F, MATCH(G758&amp;F758, 'Injury Report'!A:A, 0)), "Healthy")</f>
        <v/>
      </c>
      <c r="E758" s="219">
        <f>VLOOKUP(A758,'TE Depth'!A:G,7,0)-1</f>
        <v/>
      </c>
      <c r="F758" s="218">
        <f>VLOOKUP(A758,'TE Depth'!A:C,3,0)</f>
        <v/>
      </c>
      <c r="G758" s="218">
        <f>VLOOKUP(A758,'TE Depth'!A:B,2,0)</f>
        <v/>
      </c>
      <c r="H758" s="218">
        <f>VLOOKUP(A758,'TE Depth'!A:D,4,0)</f>
        <v/>
      </c>
      <c r="I758" s="218">
        <f>H758&amp;E758</f>
        <v/>
      </c>
      <c r="J758" s="220">
        <f>IF(VLOOKUP(F758,Rec!F:G,2,0)=G758,"OK","Check Team")</f>
        <v/>
      </c>
      <c r="K758" s="156" t="n"/>
      <c r="L758" s="156">
        <f>IFERROR(VLOOKUP(F758&amp;G758,Pass!B:C,2,0),0)</f>
        <v/>
      </c>
      <c r="M758" s="156">
        <f>IFERROR(VLOOKUP(F758&amp;G758,Rush!B:C,2,0),0)</f>
        <v/>
      </c>
      <c r="N758" s="156">
        <f>IFERROR(VLOOKUP(F758&amp;G758,Rec!B:C,2,0),K758)</f>
        <v/>
      </c>
      <c r="O758" s="156">
        <f>IFERROR(VLOOKUP(F758&amp;G758,Returns!A:B,2,0),0)</f>
        <v/>
      </c>
    </row>
    <row r="759" hidden="1" ht="14.4" customHeight="1" s="152">
      <c r="A759" s="221" t="n">
        <v>150</v>
      </c>
      <c r="B759" s="218">
        <f>VLOOKUP(G759,Matrix!R:AA,10,0)</f>
        <v/>
      </c>
      <c r="C759" s="156">
        <f>IF(K759&gt;=0.01,K759,IFERROR(VLOOKUP(F759&amp;G759,Rec!B:C,2,0),K759)+SUM(L759:O759))</f>
        <v/>
      </c>
      <c r="D759" s="218">
        <f>_xlfn.IFNA(INDEX('Injury Report'!F:F, MATCH(G759&amp;F759, 'Injury Report'!A:A, 0)), "Healthy")</f>
        <v/>
      </c>
      <c r="E759" s="219">
        <f>VLOOKUP(A759,'TE Depth'!A:G,7,0)-1</f>
        <v/>
      </c>
      <c r="F759" s="218">
        <f>VLOOKUP(A759,'TE Depth'!A:C,3,0)</f>
        <v/>
      </c>
      <c r="G759" s="218">
        <f>VLOOKUP(A759,'TE Depth'!A:B,2,0)</f>
        <v/>
      </c>
      <c r="H759" s="218">
        <f>VLOOKUP(A759,'TE Depth'!A:D,4,0)</f>
        <v/>
      </c>
      <c r="I759" s="218">
        <f>H759&amp;E759</f>
        <v/>
      </c>
      <c r="J759" s="220">
        <f>IF(VLOOKUP(F759,Rec!F:G,2,0)=G759,"OK","Check Team")</f>
        <v/>
      </c>
      <c r="K759" s="156" t="n"/>
      <c r="L759" s="156">
        <f>IFERROR(VLOOKUP(F759&amp;G759,Pass!B:C,2,0),0)</f>
        <v/>
      </c>
      <c r="M759" s="156">
        <f>IFERROR(VLOOKUP(F759&amp;G759,Rush!B:C,2,0),0)</f>
        <v/>
      </c>
      <c r="N759" s="156">
        <f>IFERROR(VLOOKUP(F759&amp;G759,Rec!B:C,2,0),K759)</f>
        <v/>
      </c>
      <c r="O759" s="156">
        <f>IFERROR(VLOOKUP(F759&amp;G759,Returns!A:B,2,0),0)</f>
        <v/>
      </c>
    </row>
    <row r="760" hidden="1" ht="14.4" customHeight="1" s="152">
      <c r="A760" s="217" t="n">
        <v>151</v>
      </c>
      <c r="B760" s="218">
        <f>VLOOKUP(G760,Matrix!R:AA,10,0)</f>
        <v/>
      </c>
      <c r="C760" s="156">
        <f>IF(K760&gt;=0.01,K760,IFERROR(VLOOKUP(F760&amp;G760,Rec!B:C,2,0),K760)+SUM(L760:O760))</f>
        <v/>
      </c>
      <c r="D760" s="218">
        <f>_xlfn.IFNA(INDEX('Injury Report'!F:F, MATCH(G760&amp;F760, 'Injury Report'!A:A, 0)), "Healthy")</f>
        <v/>
      </c>
      <c r="E760" s="219">
        <f>VLOOKUP(A760,'TE Depth'!A:G,7,0)-1</f>
        <v/>
      </c>
      <c r="F760" s="218">
        <f>VLOOKUP(A760,'TE Depth'!A:C,3,0)</f>
        <v/>
      </c>
      <c r="G760" s="218">
        <f>VLOOKUP(A760,'TE Depth'!A:B,2,0)</f>
        <v/>
      </c>
      <c r="H760" s="218">
        <f>VLOOKUP(A760,'TE Depth'!A:D,4,0)</f>
        <v/>
      </c>
      <c r="I760" s="218">
        <f>H760&amp;E760</f>
        <v/>
      </c>
      <c r="J760" s="220">
        <f>IF(VLOOKUP(F760,Rec!F:G,2,0)=G760,"OK","Check Team")</f>
        <v/>
      </c>
      <c r="K760" s="156" t="n"/>
      <c r="L760" s="156">
        <f>IFERROR(VLOOKUP(F760&amp;G760,Pass!B:C,2,0),0)</f>
        <v/>
      </c>
      <c r="M760" s="156">
        <f>IFERROR(VLOOKUP(F760&amp;G760,Rush!B:C,2,0),0)</f>
        <v/>
      </c>
      <c r="N760" s="156">
        <f>IFERROR(VLOOKUP(F760&amp;G760,Rec!B:C,2,0),K760)</f>
        <v/>
      </c>
      <c r="O760" s="156">
        <f>IFERROR(VLOOKUP(F760&amp;G760,Returns!A:B,2,0),0)</f>
        <v/>
      </c>
    </row>
    <row r="761" hidden="1" ht="14.4" customHeight="1" s="152">
      <c r="A761" s="221" t="n">
        <v>152</v>
      </c>
      <c r="B761" s="218">
        <f>VLOOKUP(G761,Matrix!R:AA,10,0)</f>
        <v/>
      </c>
      <c r="C761" s="156">
        <f>IF(K761&gt;=0.01,K761,IFERROR(VLOOKUP(F761&amp;G761,Rec!B:C,2,0),K761)+SUM(L761:O761))</f>
        <v/>
      </c>
      <c r="D761" s="218">
        <f>_xlfn.IFNA(INDEX('Injury Report'!F:F, MATCH(G761&amp;F761, 'Injury Report'!A:A, 0)), "Healthy")</f>
        <v/>
      </c>
      <c r="E761" s="219">
        <f>VLOOKUP(A761,'TE Depth'!A:G,7,0)-1</f>
        <v/>
      </c>
      <c r="F761" s="218">
        <f>VLOOKUP(A761,'TE Depth'!A:C,3,0)</f>
        <v/>
      </c>
      <c r="G761" s="218">
        <f>VLOOKUP(A761,'TE Depth'!A:B,2,0)</f>
        <v/>
      </c>
      <c r="H761" s="218">
        <f>VLOOKUP(A761,'TE Depth'!A:D,4,0)</f>
        <v/>
      </c>
      <c r="I761" s="218">
        <f>H761&amp;E761</f>
        <v/>
      </c>
      <c r="J761" s="220">
        <f>IF(VLOOKUP(F761,Rec!F:G,2,0)=G761,"OK","Check Team")</f>
        <v/>
      </c>
      <c r="K761" s="156" t="n"/>
      <c r="L761" s="156">
        <f>IFERROR(VLOOKUP(F761&amp;G761,Pass!B:C,2,0),0)</f>
        <v/>
      </c>
      <c r="M761" s="156">
        <f>IFERROR(VLOOKUP(F761&amp;G761,Rush!B:C,2,0),0)</f>
        <v/>
      </c>
      <c r="N761" s="156">
        <f>IFERROR(VLOOKUP(F761&amp;G761,Rec!B:C,2,0),K761)</f>
        <v/>
      </c>
      <c r="O761" s="156">
        <f>IFERROR(VLOOKUP(F761&amp;G761,Returns!A:B,2,0),0)</f>
        <v/>
      </c>
    </row>
    <row r="762" hidden="1" ht="14.4" customHeight="1" s="152">
      <c r="A762" s="217" t="n">
        <v>153</v>
      </c>
      <c r="B762" s="218">
        <f>VLOOKUP(G762,Matrix!R:AA,10,0)</f>
        <v/>
      </c>
      <c r="C762" s="156">
        <f>IF(K762&gt;=0.01,K762,IFERROR(VLOOKUP(F762&amp;G762,Rec!B:C,2,0),K762)+SUM(L762:O762))</f>
        <v/>
      </c>
      <c r="D762" s="218">
        <f>_xlfn.IFNA(INDEX('Injury Report'!F:F, MATCH(G762&amp;F762, 'Injury Report'!A:A, 0)), "Healthy")</f>
        <v/>
      </c>
      <c r="E762" s="219">
        <f>VLOOKUP(A762,'TE Depth'!A:G,7,0)-1</f>
        <v/>
      </c>
      <c r="F762" s="218">
        <f>VLOOKUP(A762,'TE Depth'!A:C,3,0)</f>
        <v/>
      </c>
      <c r="G762" s="218">
        <f>VLOOKUP(A762,'TE Depth'!A:B,2,0)</f>
        <v/>
      </c>
      <c r="H762" s="218">
        <f>VLOOKUP(A762,'TE Depth'!A:D,4,0)</f>
        <v/>
      </c>
      <c r="I762" s="218">
        <f>H762&amp;E762</f>
        <v/>
      </c>
      <c r="J762" s="220">
        <f>IF(VLOOKUP(F762,Rec!F:G,2,0)=G762,"OK","Check Team")</f>
        <v/>
      </c>
      <c r="K762" s="156" t="n"/>
      <c r="L762" s="156">
        <f>IFERROR(VLOOKUP(F762&amp;G762,Pass!B:C,2,0),0)</f>
        <v/>
      </c>
      <c r="M762" s="156">
        <f>IFERROR(VLOOKUP(F762&amp;G762,Rush!B:C,2,0),0)</f>
        <v/>
      </c>
      <c r="N762" s="156">
        <f>IFERROR(VLOOKUP(F762&amp;G762,Rec!B:C,2,0),K762)</f>
        <v/>
      </c>
      <c r="O762" s="156">
        <f>IFERROR(VLOOKUP(F762&amp;G762,Returns!A:B,2,0),0)</f>
        <v/>
      </c>
    </row>
    <row r="763" hidden="1" ht="14.4" customHeight="1" s="152">
      <c r="A763" s="221" t="n">
        <v>154</v>
      </c>
      <c r="B763" s="218">
        <f>VLOOKUP(G763,Matrix!R:AA,10,0)</f>
        <v/>
      </c>
      <c r="C763" s="156">
        <f>IF(K763&gt;=0.01,K763,IFERROR(VLOOKUP(F763&amp;G763,Rec!B:C,2,0),K763)+SUM(L763:O763))</f>
        <v/>
      </c>
      <c r="D763" s="218">
        <f>_xlfn.IFNA(INDEX('Injury Report'!F:F, MATCH(G763&amp;F763, 'Injury Report'!A:A, 0)), "Healthy")</f>
        <v/>
      </c>
      <c r="E763" s="219">
        <f>VLOOKUP(A763,'TE Depth'!A:G,7,0)-1</f>
        <v/>
      </c>
      <c r="F763" s="218">
        <f>VLOOKUP(A763,'TE Depth'!A:C,3,0)</f>
        <v/>
      </c>
      <c r="G763" s="218">
        <f>VLOOKUP(A763,'TE Depth'!A:B,2,0)</f>
        <v/>
      </c>
      <c r="H763" s="218">
        <f>VLOOKUP(A763,'TE Depth'!A:D,4,0)</f>
        <v/>
      </c>
      <c r="I763" s="218">
        <f>H763&amp;E763</f>
        <v/>
      </c>
      <c r="J763" s="220">
        <f>IF(VLOOKUP(F763,Rec!F:G,2,0)=G763,"OK","Check Team")</f>
        <v/>
      </c>
      <c r="K763" s="156" t="n"/>
      <c r="L763" s="156">
        <f>IFERROR(VLOOKUP(F763&amp;G763,Pass!B:C,2,0),0)</f>
        <v/>
      </c>
      <c r="M763" s="156">
        <f>IFERROR(VLOOKUP(F763&amp;G763,Rush!B:C,2,0),0)</f>
        <v/>
      </c>
      <c r="N763" s="156">
        <f>IFERROR(VLOOKUP(F763&amp;G763,Rec!B:C,2,0),K763)</f>
        <v/>
      </c>
      <c r="O763" s="156">
        <f>IFERROR(VLOOKUP(F763&amp;G763,Returns!A:B,2,0),0)</f>
        <v/>
      </c>
    </row>
    <row r="764" hidden="1" ht="14.4" customHeight="1" s="152">
      <c r="A764" s="217" t="n">
        <v>155</v>
      </c>
      <c r="B764" s="218">
        <f>VLOOKUP(G764,Matrix!R:AA,10,0)</f>
        <v/>
      </c>
      <c r="C764" s="156">
        <f>IF(K764&gt;=0.01,K764,IFERROR(VLOOKUP(F764&amp;G764,Rec!B:C,2,0),K764)+SUM(L764:O764))</f>
        <v/>
      </c>
      <c r="D764" s="218">
        <f>_xlfn.IFNA(INDEX('Injury Report'!F:F, MATCH(G764&amp;F764, 'Injury Report'!A:A, 0)), "Healthy")</f>
        <v/>
      </c>
      <c r="E764" s="219">
        <f>VLOOKUP(A764,'TE Depth'!A:G,7,0)-1</f>
        <v/>
      </c>
      <c r="F764" s="218">
        <f>VLOOKUP(A764,'TE Depth'!A:C,3,0)</f>
        <v/>
      </c>
      <c r="G764" s="218">
        <f>VLOOKUP(A764,'TE Depth'!A:B,2,0)</f>
        <v/>
      </c>
      <c r="H764" s="218">
        <f>VLOOKUP(A764,'TE Depth'!A:D,4,0)</f>
        <v/>
      </c>
      <c r="I764" s="218">
        <f>H764&amp;E764</f>
        <v/>
      </c>
      <c r="J764" s="220">
        <f>IF(VLOOKUP(F764,Rec!F:G,2,0)=G764,"OK","Check Team")</f>
        <v/>
      </c>
      <c r="K764" s="156" t="n"/>
      <c r="L764" s="156">
        <f>IFERROR(VLOOKUP(F764&amp;G764,Pass!B:C,2,0),0)</f>
        <v/>
      </c>
      <c r="M764" s="156">
        <f>IFERROR(VLOOKUP(F764&amp;G764,Rush!B:C,2,0),0)</f>
        <v/>
      </c>
      <c r="N764" s="156">
        <f>IFERROR(VLOOKUP(F764&amp;G764,Rec!B:C,2,0),K764)</f>
        <v/>
      </c>
      <c r="O764" s="156">
        <f>IFERROR(VLOOKUP(F764&amp;G764,Returns!A:B,2,0),0)</f>
        <v/>
      </c>
    </row>
    <row r="765" hidden="1" ht="14.4" customHeight="1" s="152">
      <c r="A765" s="221" t="n">
        <v>156</v>
      </c>
      <c r="B765" s="218">
        <f>VLOOKUP(G765,Matrix!R:AA,10,0)</f>
        <v/>
      </c>
      <c r="C765" s="156">
        <f>IF(K765&gt;=0.01,K765,IFERROR(VLOOKUP(F765&amp;G765,Rec!B:C,2,0),K765)+SUM(L765:O765))</f>
        <v/>
      </c>
      <c r="D765" s="218">
        <f>_xlfn.IFNA(INDEX('Injury Report'!F:F, MATCH(G765&amp;F765, 'Injury Report'!A:A, 0)), "Healthy")</f>
        <v/>
      </c>
      <c r="E765" s="219">
        <f>VLOOKUP(A765,'TE Depth'!A:G,7,0)-1</f>
        <v/>
      </c>
      <c r="F765" s="218">
        <f>VLOOKUP(A765,'TE Depth'!A:C,3,0)</f>
        <v/>
      </c>
      <c r="G765" s="218">
        <f>VLOOKUP(A765,'TE Depth'!A:B,2,0)</f>
        <v/>
      </c>
      <c r="H765" s="218">
        <f>VLOOKUP(A765,'TE Depth'!A:D,4,0)</f>
        <v/>
      </c>
      <c r="I765" s="218">
        <f>H765&amp;E765</f>
        <v/>
      </c>
      <c r="J765" s="220">
        <f>IF(VLOOKUP(F765,Rec!F:G,2,0)=G765,"OK","Check Team")</f>
        <v/>
      </c>
      <c r="K765" s="156" t="n"/>
      <c r="L765" s="156">
        <f>IFERROR(VLOOKUP(F765&amp;G765,Pass!B:C,2,0),0)</f>
        <v/>
      </c>
      <c r="M765" s="156">
        <f>IFERROR(VLOOKUP(F765&amp;G765,Rush!B:C,2,0),0)</f>
        <v/>
      </c>
      <c r="N765" s="156">
        <f>IFERROR(VLOOKUP(F765&amp;G765,Rec!B:C,2,0),K765)</f>
        <v/>
      </c>
      <c r="O765" s="156">
        <f>IFERROR(VLOOKUP(F765&amp;G765,Returns!A:B,2,0),0)</f>
        <v/>
      </c>
    </row>
    <row r="766" hidden="1" ht="14.4" customHeight="1" s="152">
      <c r="A766" s="217" t="n">
        <v>157</v>
      </c>
      <c r="B766" s="218">
        <f>VLOOKUP(G766,Matrix!R:AA,10,0)</f>
        <v/>
      </c>
      <c r="C766" s="156">
        <f>IF(K766&gt;=0.01,K766,IFERROR(VLOOKUP(F766&amp;G766,Rec!B:C,2,0),K766)+SUM(L766:O766))</f>
        <v/>
      </c>
      <c r="D766" s="218">
        <f>_xlfn.IFNA(INDEX('Injury Report'!F:F, MATCH(G766&amp;F766, 'Injury Report'!A:A, 0)), "Healthy")</f>
        <v/>
      </c>
      <c r="E766" s="219">
        <f>VLOOKUP(A766,'TE Depth'!A:G,7,0)-1</f>
        <v/>
      </c>
      <c r="F766" s="218">
        <f>VLOOKUP(A766,'TE Depth'!A:C,3,0)</f>
        <v/>
      </c>
      <c r="G766" s="218">
        <f>VLOOKUP(A766,'TE Depth'!A:B,2,0)</f>
        <v/>
      </c>
      <c r="H766" s="218">
        <f>VLOOKUP(A766,'TE Depth'!A:D,4,0)</f>
        <v/>
      </c>
      <c r="I766" s="218">
        <f>H766&amp;E766</f>
        <v/>
      </c>
      <c r="J766" s="220">
        <f>IF(VLOOKUP(F766,Rec!F:G,2,0)=G766,"OK","Check Team")</f>
        <v/>
      </c>
      <c r="K766" s="156" t="n"/>
      <c r="L766" s="156">
        <f>IFERROR(VLOOKUP(F766&amp;G766,Pass!B:C,2,0),0)</f>
        <v/>
      </c>
      <c r="M766" s="156">
        <f>IFERROR(VLOOKUP(F766&amp;G766,Rush!B:C,2,0),0)</f>
        <v/>
      </c>
      <c r="N766" s="156">
        <f>IFERROR(VLOOKUP(F766&amp;G766,Rec!B:C,2,0),K766)</f>
        <v/>
      </c>
      <c r="O766" s="156">
        <f>IFERROR(VLOOKUP(F766&amp;G766,Returns!A:B,2,0),0)</f>
        <v/>
      </c>
    </row>
    <row r="767" hidden="1" ht="14.4" customHeight="1" s="152">
      <c r="A767" s="221" t="n">
        <v>158</v>
      </c>
      <c r="B767" s="218">
        <f>VLOOKUP(G767,Matrix!R:AA,10,0)</f>
        <v/>
      </c>
      <c r="C767" s="156">
        <f>IF(K767&gt;=0.01,K767,IFERROR(VLOOKUP(F767&amp;G767,Rec!B:C,2,0),K767)+SUM(L767:O767))</f>
        <v/>
      </c>
      <c r="D767" s="218">
        <f>_xlfn.IFNA(INDEX('Injury Report'!F:F, MATCH(G767&amp;F767, 'Injury Report'!A:A, 0)), "Healthy")</f>
        <v/>
      </c>
      <c r="E767" s="219">
        <f>VLOOKUP(A767,'TE Depth'!A:G,7,0)-1</f>
        <v/>
      </c>
      <c r="F767" s="218">
        <f>VLOOKUP(A767,'TE Depth'!A:C,3,0)</f>
        <v/>
      </c>
      <c r="G767" s="218">
        <f>VLOOKUP(A767,'TE Depth'!A:B,2,0)</f>
        <v/>
      </c>
      <c r="H767" s="218">
        <f>VLOOKUP(A767,'TE Depth'!A:D,4,0)</f>
        <v/>
      </c>
      <c r="I767" s="218">
        <f>H767&amp;E767</f>
        <v/>
      </c>
      <c r="J767" s="220">
        <f>IF(VLOOKUP(F767,Rec!F:G,2,0)=G767,"OK","Check Team")</f>
        <v/>
      </c>
      <c r="K767" s="156" t="n"/>
      <c r="L767" s="156">
        <f>IFERROR(VLOOKUP(F767&amp;G767,Pass!B:C,2,0),0)</f>
        <v/>
      </c>
      <c r="M767" s="156">
        <f>IFERROR(VLOOKUP(F767&amp;G767,Rush!B:C,2,0),0)</f>
        <v/>
      </c>
      <c r="N767" s="156">
        <f>IFERROR(VLOOKUP(F767&amp;G767,Rec!B:C,2,0),K767)</f>
        <v/>
      </c>
      <c r="O767" s="156">
        <f>IFERROR(VLOOKUP(F767&amp;G767,Returns!A:B,2,0),0)</f>
        <v/>
      </c>
    </row>
    <row r="768" hidden="1" ht="14.4" customHeight="1" s="152">
      <c r="A768" s="217" t="n">
        <v>159</v>
      </c>
      <c r="B768" s="218">
        <f>VLOOKUP(G768,Matrix!R:AA,10,0)</f>
        <v/>
      </c>
      <c r="C768" s="156">
        <f>IF(K768&gt;=0.01,K768,IFERROR(VLOOKUP(F768&amp;G768,Rec!B:C,2,0),K768)+SUM(L768:O768))</f>
        <v/>
      </c>
      <c r="D768" s="218">
        <f>_xlfn.IFNA(INDEX('Injury Report'!F:F, MATCH(G768&amp;F768, 'Injury Report'!A:A, 0)), "Healthy")</f>
        <v/>
      </c>
      <c r="E768" s="219">
        <f>VLOOKUP(A768,'TE Depth'!A:G,7,0)-1</f>
        <v/>
      </c>
      <c r="F768" s="218">
        <f>VLOOKUP(A768,'TE Depth'!A:C,3,0)</f>
        <v/>
      </c>
      <c r="G768" s="218">
        <f>VLOOKUP(A768,'TE Depth'!A:B,2,0)</f>
        <v/>
      </c>
      <c r="H768" s="218">
        <f>VLOOKUP(A768,'TE Depth'!A:D,4,0)</f>
        <v/>
      </c>
      <c r="I768" s="218">
        <f>H768&amp;E768</f>
        <v/>
      </c>
      <c r="J768" s="220">
        <f>IF(VLOOKUP(F768,Rec!F:G,2,0)=G768,"OK","Check Team")</f>
        <v/>
      </c>
      <c r="K768" s="156" t="n"/>
      <c r="L768" s="156">
        <f>IFERROR(VLOOKUP(F768&amp;G768,Pass!B:C,2,0),0)</f>
        <v/>
      </c>
      <c r="M768" s="156">
        <f>IFERROR(VLOOKUP(F768&amp;G768,Rush!B:C,2,0),0)</f>
        <v/>
      </c>
      <c r="N768" s="156">
        <f>IFERROR(VLOOKUP(F768&amp;G768,Rec!B:C,2,0),K768)</f>
        <v/>
      </c>
      <c r="O768" s="156">
        <f>IFERROR(VLOOKUP(F768&amp;G768,Returns!A:B,2,0),0)</f>
        <v/>
      </c>
    </row>
    <row r="769" hidden="1" ht="14.4" customHeight="1" s="152">
      <c r="A769" s="221" t="n">
        <v>160</v>
      </c>
      <c r="B769" s="218">
        <f>VLOOKUP(G769,Matrix!R:AA,10,0)</f>
        <v/>
      </c>
      <c r="C769" s="156">
        <f>IF(K769&gt;=0.01,K769,IFERROR(VLOOKUP(F769&amp;G769,Rec!B:C,2,0),K769)+SUM(L769:O769))</f>
        <v/>
      </c>
      <c r="D769" s="218">
        <f>_xlfn.IFNA(INDEX('Injury Report'!F:F, MATCH(G769&amp;F769, 'Injury Report'!A:A, 0)), "Healthy")</f>
        <v/>
      </c>
      <c r="E769" s="219">
        <f>VLOOKUP(A769,'TE Depth'!A:G,7,0)-1</f>
        <v/>
      </c>
      <c r="F769" s="218">
        <f>VLOOKUP(A769,'TE Depth'!A:C,3,0)</f>
        <v/>
      </c>
      <c r="G769" s="218">
        <f>VLOOKUP(A769,'TE Depth'!A:B,2,0)</f>
        <v/>
      </c>
      <c r="H769" s="218">
        <f>VLOOKUP(A769,'TE Depth'!A:D,4,0)</f>
        <v/>
      </c>
      <c r="I769" s="218">
        <f>H769&amp;E769</f>
        <v/>
      </c>
      <c r="J769" s="220">
        <f>IF(VLOOKUP(F769,Rec!F:G,2,0)=G769,"OK","Check Team")</f>
        <v/>
      </c>
      <c r="K769" s="156" t="n"/>
      <c r="L769" s="156">
        <f>IFERROR(VLOOKUP(F769&amp;G769,Pass!B:C,2,0),0)</f>
        <v/>
      </c>
      <c r="M769" s="156">
        <f>IFERROR(VLOOKUP(F769&amp;G769,Rush!B:C,2,0),0)</f>
        <v/>
      </c>
      <c r="N769" s="156">
        <f>IFERROR(VLOOKUP(F769&amp;G769,Rec!B:C,2,0),K769)</f>
        <v/>
      </c>
      <c r="O769" s="156">
        <f>IFERROR(VLOOKUP(F769&amp;G769,Returns!A:B,2,0),0)</f>
        <v/>
      </c>
    </row>
    <row r="770" hidden="1" ht="14.4" customHeight="1" s="152">
      <c r="A770" s="221" t="n">
        <v>1</v>
      </c>
      <c r="B770" s="218">
        <f>VLOOKUP(G770,Matrix!R:AA,10,0)</f>
        <v/>
      </c>
      <c r="C770" s="156">
        <f>IF(K770&gt;=0.01,K770,IFERROR(VLOOKUP(F770&amp;G770,K!B:C,2,0),K770)+SUM(L770:N770))</f>
        <v/>
      </c>
      <c r="D770" s="218">
        <f>_xlfn.IFNA(INDEX('Injury Report'!F:F, MATCH(G770&amp;F770, 'Injury Report'!A:A, 0)), "Healthy")</f>
        <v/>
      </c>
      <c r="E770" s="219">
        <f>VLOOKUP(A770,'K Depth'!A:G,7,0)-1</f>
        <v/>
      </c>
      <c r="F770" s="218">
        <f>VLOOKUP(A770,'K Depth'!A:C,3,0)</f>
        <v/>
      </c>
      <c r="G770" s="218">
        <f>VLOOKUP(A770,'K Depth'!A:B,2,0)</f>
        <v/>
      </c>
      <c r="H770" s="218">
        <f>VLOOKUP(A770,'K Depth'!A:D,4,0)</f>
        <v/>
      </c>
      <c r="I770" s="218">
        <f>H770&amp;E770</f>
        <v/>
      </c>
      <c r="J770" s="220">
        <f>IF(VLOOKUP(F770,Rec!F:G,2,0)=G770,"OK","Check Team")</f>
        <v/>
      </c>
      <c r="K770" s="156" t="n"/>
      <c r="L770" s="156">
        <f>IFERROR(VLOOKUP(F770&amp;G770,Pass!B:C,2,0),0)</f>
        <v/>
      </c>
      <c r="M770" s="156">
        <f>IFERROR(VLOOKUP(F770&amp;G770,Rush!B:C,2,0),0)</f>
        <v/>
      </c>
      <c r="N770" s="156">
        <f>IFERROR(VLOOKUP(F770&amp;G770,Rec!B:C,2,0),K770)</f>
        <v/>
      </c>
      <c r="O770" s="156">
        <f>IFERROR(VLOOKUP(F770&amp;G770,Returns!A:B,2,0),0)</f>
        <v/>
      </c>
    </row>
    <row r="771" hidden="1" ht="14.4" customHeight="1" s="152">
      <c r="A771" s="221" t="n">
        <v>2</v>
      </c>
      <c r="B771" s="218">
        <f>VLOOKUP(G771,Matrix!R:AA,10,0)</f>
        <v/>
      </c>
      <c r="C771" s="156">
        <f>IF(K771&gt;=0.01,K771,IFERROR(VLOOKUP(F771&amp;G771,K!B:C,2,0),K771)+SUM(L771:N771))</f>
        <v/>
      </c>
      <c r="D771" s="218">
        <f>_xlfn.IFNA(INDEX('Injury Report'!F:F, MATCH(G771&amp;F771, 'Injury Report'!A:A, 0)), "Healthy")</f>
        <v/>
      </c>
      <c r="E771" s="219">
        <f>VLOOKUP(A771,'K Depth'!A:G,7,0)-1</f>
        <v/>
      </c>
      <c r="F771" s="218">
        <f>VLOOKUP(A771,'K Depth'!A:C,3,0)</f>
        <v/>
      </c>
      <c r="G771" s="218">
        <f>VLOOKUP(A771,'K Depth'!A:B,2,0)</f>
        <v/>
      </c>
      <c r="H771" s="218">
        <f>VLOOKUP(A771,'K Depth'!A:D,4,0)</f>
        <v/>
      </c>
      <c r="I771" s="218">
        <f>H771&amp;E771</f>
        <v/>
      </c>
      <c r="J771" s="220">
        <f>IF(VLOOKUP(F771,Rec!F:G,2,0)=G771,"OK","Check Team")</f>
        <v/>
      </c>
      <c r="K771" s="156" t="n"/>
      <c r="L771" s="156">
        <f>IFERROR(VLOOKUP(F771&amp;G771,Pass!B:C,2,0),0)</f>
        <v/>
      </c>
      <c r="M771" s="156">
        <f>IFERROR(VLOOKUP(F771&amp;G771,Rush!B:C,2,0),0)</f>
        <v/>
      </c>
      <c r="N771" s="156">
        <f>IFERROR(VLOOKUP(F771&amp;G771,Rec!B:C,2,0),K771)</f>
        <v/>
      </c>
      <c r="O771" s="156">
        <f>IFERROR(VLOOKUP(F771&amp;G771,Returns!A:B,2,0),0)</f>
        <v/>
      </c>
    </row>
    <row r="772" hidden="1" ht="14.4" customHeight="1" s="152">
      <c r="A772" s="221" t="n">
        <v>3</v>
      </c>
      <c r="B772" s="218">
        <f>VLOOKUP(G772,Matrix!R:AA,10,0)</f>
        <v/>
      </c>
      <c r="C772" s="156">
        <f>IF(K772&gt;=0.01,K772,IFERROR(VLOOKUP(F772&amp;G772,K!B:C,2,0),K772)+SUM(L772:N772))</f>
        <v/>
      </c>
      <c r="D772" s="218">
        <f>_xlfn.IFNA(INDEX('Injury Report'!F:F, MATCH(G772&amp;F772, 'Injury Report'!A:A, 0)), "Healthy")</f>
        <v/>
      </c>
      <c r="E772" s="219">
        <f>VLOOKUP(A772,'K Depth'!A:G,7,0)-1</f>
        <v/>
      </c>
      <c r="F772" s="218">
        <f>VLOOKUP(A772,'K Depth'!A:C,3,0)</f>
        <v/>
      </c>
      <c r="G772" s="218">
        <f>VLOOKUP(A772,'K Depth'!A:B,2,0)</f>
        <v/>
      </c>
      <c r="H772" s="218">
        <f>VLOOKUP(A772,'K Depth'!A:D,4,0)</f>
        <v/>
      </c>
      <c r="I772" s="218">
        <f>H772&amp;E772</f>
        <v/>
      </c>
      <c r="J772" s="220">
        <f>IF(VLOOKUP(F772,Rec!F:G,2,0)=G772,"OK","Check Team")</f>
        <v/>
      </c>
      <c r="K772" s="156" t="n"/>
      <c r="L772" s="156">
        <f>IFERROR(VLOOKUP(F772&amp;G772,Pass!B:C,2,0),0)</f>
        <v/>
      </c>
      <c r="M772" s="156">
        <f>IFERROR(VLOOKUP(F772&amp;G772,Rush!B:C,2,0),0)</f>
        <v/>
      </c>
      <c r="N772" s="156">
        <f>IFERROR(VLOOKUP(F772&amp;G772,Rec!B:C,2,0),K772)</f>
        <v/>
      </c>
      <c r="O772" s="156">
        <f>IFERROR(VLOOKUP(F772&amp;G772,Returns!A:B,2,0),0)</f>
        <v/>
      </c>
    </row>
    <row r="773" hidden="1" ht="14.4" customHeight="1" s="152">
      <c r="A773" s="221" t="n">
        <v>4</v>
      </c>
      <c r="B773" s="218">
        <f>VLOOKUP(G773,Matrix!R:AA,10,0)</f>
        <v/>
      </c>
      <c r="C773" s="156">
        <f>IF(K773&gt;=0.01,K773,IFERROR(VLOOKUP(F773&amp;G773,K!B:C,2,0),K773)+SUM(L773:N773))</f>
        <v/>
      </c>
      <c r="D773" s="218">
        <f>_xlfn.IFNA(INDEX('Injury Report'!F:F, MATCH(G773&amp;F773, 'Injury Report'!A:A, 0)), "Healthy")</f>
        <v/>
      </c>
      <c r="E773" s="219">
        <f>VLOOKUP(A773,'K Depth'!A:G,7,0)-1</f>
        <v/>
      </c>
      <c r="F773" s="218">
        <f>VLOOKUP(A773,'K Depth'!A:C,3,0)</f>
        <v/>
      </c>
      <c r="G773" s="218">
        <f>VLOOKUP(A773,'K Depth'!A:B,2,0)</f>
        <v/>
      </c>
      <c r="H773" s="218">
        <f>VLOOKUP(A773,'K Depth'!A:D,4,0)</f>
        <v/>
      </c>
      <c r="I773" s="218">
        <f>H773&amp;E773</f>
        <v/>
      </c>
      <c r="J773" s="220">
        <f>IF(VLOOKUP(F773,Rec!F:G,2,0)=G773,"OK","Check Team")</f>
        <v/>
      </c>
      <c r="K773" s="156" t="n"/>
      <c r="L773" s="156">
        <f>IFERROR(VLOOKUP(F773&amp;G773,Pass!B:C,2,0),0)</f>
        <v/>
      </c>
      <c r="M773" s="156">
        <f>IFERROR(VLOOKUP(F773&amp;G773,Rush!B:C,2,0),0)</f>
        <v/>
      </c>
      <c r="N773" s="156">
        <f>IFERROR(VLOOKUP(F773&amp;G773,Rec!B:C,2,0),K773)</f>
        <v/>
      </c>
      <c r="O773" s="156">
        <f>IFERROR(VLOOKUP(F773&amp;G773,Returns!A:B,2,0),0)</f>
        <v/>
      </c>
    </row>
    <row r="774" hidden="1" ht="14.4" customHeight="1" s="152">
      <c r="A774" s="221" t="n">
        <v>5</v>
      </c>
      <c r="B774" s="218">
        <f>VLOOKUP(G774,Matrix!R:AA,10,0)</f>
        <v/>
      </c>
      <c r="C774" s="156">
        <f>IF(K774&gt;=0.01,K774,IFERROR(VLOOKUP(F774&amp;G774,K!B:C,2,0),K774)+SUM(L774:N774))</f>
        <v/>
      </c>
      <c r="D774" s="218">
        <f>_xlfn.IFNA(INDEX('Injury Report'!F:F, MATCH(G774&amp;F774, 'Injury Report'!A:A, 0)), "Healthy")</f>
        <v/>
      </c>
      <c r="E774" s="219">
        <f>VLOOKUP(A774,'K Depth'!A:G,7,0)-1</f>
        <v/>
      </c>
      <c r="F774" s="218">
        <f>VLOOKUP(A774,'K Depth'!A:C,3,0)</f>
        <v/>
      </c>
      <c r="G774" s="218">
        <f>VLOOKUP(A774,'K Depth'!A:B,2,0)</f>
        <v/>
      </c>
      <c r="H774" s="218">
        <f>VLOOKUP(A774,'K Depth'!A:D,4,0)</f>
        <v/>
      </c>
      <c r="I774" s="218">
        <f>H774&amp;E774</f>
        <v/>
      </c>
      <c r="J774" s="220">
        <f>IF(VLOOKUP(F774,Rec!F:G,2,0)=G774,"OK","Check Team")</f>
        <v/>
      </c>
      <c r="K774" s="156" t="n"/>
      <c r="L774" s="156">
        <f>IFERROR(VLOOKUP(F774&amp;G774,Pass!B:C,2,0),0)</f>
        <v/>
      </c>
      <c r="M774" s="156">
        <f>IFERROR(VLOOKUP(F774&amp;G774,Rush!B:C,2,0),0)</f>
        <v/>
      </c>
      <c r="N774" s="156">
        <f>IFERROR(VLOOKUP(F774&amp;G774,Rec!B:C,2,0),K774)</f>
        <v/>
      </c>
      <c r="O774" s="156">
        <f>IFERROR(VLOOKUP(F774&amp;G774,Returns!A:B,2,0),0)</f>
        <v/>
      </c>
    </row>
    <row r="775" hidden="1" ht="14.4" customHeight="1" s="152">
      <c r="A775" s="221" t="n">
        <v>6</v>
      </c>
      <c r="B775" s="218">
        <f>VLOOKUP(G775,Matrix!R:AA,10,0)</f>
        <v/>
      </c>
      <c r="C775" s="156">
        <f>IF(K775&gt;=0.01,K775,IFERROR(VLOOKUP(F775&amp;G775,K!B:C,2,0),K775)+SUM(L775:N775))</f>
        <v/>
      </c>
      <c r="D775" s="218">
        <f>_xlfn.IFNA(INDEX('Injury Report'!F:F, MATCH(G775&amp;F775, 'Injury Report'!A:A, 0)), "Healthy")</f>
        <v/>
      </c>
      <c r="E775" s="219">
        <f>VLOOKUP(A775,'K Depth'!A:G,7,0)-1</f>
        <v/>
      </c>
      <c r="F775" s="218">
        <f>VLOOKUP(A775,'K Depth'!A:C,3,0)</f>
        <v/>
      </c>
      <c r="G775" s="218">
        <f>VLOOKUP(A775,'K Depth'!A:B,2,0)</f>
        <v/>
      </c>
      <c r="H775" s="218">
        <f>VLOOKUP(A775,'K Depth'!A:D,4,0)</f>
        <v/>
      </c>
      <c r="I775" s="218">
        <f>H775&amp;E775</f>
        <v/>
      </c>
      <c r="J775" s="220">
        <f>IF(VLOOKUP(F775,Rec!F:G,2,0)=G775,"OK","Check Team")</f>
        <v/>
      </c>
      <c r="K775" s="156" t="n"/>
      <c r="L775" s="156">
        <f>IFERROR(VLOOKUP(F775&amp;G775,Pass!B:C,2,0),0)</f>
        <v/>
      </c>
      <c r="M775" s="156">
        <f>IFERROR(VLOOKUP(F775&amp;G775,Rush!B:C,2,0),0)</f>
        <v/>
      </c>
      <c r="N775" s="156">
        <f>IFERROR(VLOOKUP(F775&amp;G775,Rec!B:C,2,0),K775)</f>
        <v/>
      </c>
      <c r="O775" s="156">
        <f>IFERROR(VLOOKUP(F775&amp;G775,Returns!A:B,2,0),0)</f>
        <v/>
      </c>
    </row>
    <row r="776" hidden="1" ht="14.4" customHeight="1" s="152">
      <c r="A776" s="221" t="n">
        <v>7</v>
      </c>
      <c r="B776" s="218">
        <f>VLOOKUP(G776,Matrix!R:AA,10,0)</f>
        <v/>
      </c>
      <c r="C776" s="156">
        <f>IF(K776&gt;=0.01,K776,IFERROR(VLOOKUP(F776&amp;G776,K!B:C,2,0),K776)+SUM(L776:N776))</f>
        <v/>
      </c>
      <c r="D776" s="218">
        <f>_xlfn.IFNA(INDEX('Injury Report'!F:F, MATCH(G776&amp;F776, 'Injury Report'!A:A, 0)), "Healthy")</f>
        <v/>
      </c>
      <c r="E776" s="219">
        <f>VLOOKUP(A776,'K Depth'!A:G,7,0)-1</f>
        <v/>
      </c>
      <c r="F776" s="218">
        <f>VLOOKUP(A776,'K Depth'!A:C,3,0)</f>
        <v/>
      </c>
      <c r="G776" s="218">
        <f>VLOOKUP(A776,'K Depth'!A:B,2,0)</f>
        <v/>
      </c>
      <c r="H776" s="218">
        <f>VLOOKUP(A776,'K Depth'!A:D,4,0)</f>
        <v/>
      </c>
      <c r="I776" s="218">
        <f>H776&amp;E776</f>
        <v/>
      </c>
      <c r="J776" s="220">
        <f>IF(VLOOKUP(F776,Rec!F:G,2,0)=G776,"OK","Check Team")</f>
        <v/>
      </c>
      <c r="K776" s="156" t="n"/>
      <c r="L776" s="156">
        <f>IFERROR(VLOOKUP(F776&amp;G776,Pass!B:C,2,0),0)</f>
        <v/>
      </c>
      <c r="M776" s="156">
        <f>IFERROR(VLOOKUP(F776&amp;G776,Rush!B:C,2,0),0)</f>
        <v/>
      </c>
      <c r="N776" s="156">
        <f>IFERROR(VLOOKUP(F776&amp;G776,Rec!B:C,2,0),K776)</f>
        <v/>
      </c>
      <c r="O776" s="156">
        <f>IFERROR(VLOOKUP(F776&amp;G776,Returns!A:B,2,0),0)</f>
        <v/>
      </c>
    </row>
    <row r="777" hidden="1" ht="14.4" customHeight="1" s="152">
      <c r="A777" s="221" t="n">
        <v>8</v>
      </c>
      <c r="B777" s="218">
        <f>VLOOKUP(G777,Matrix!R:AA,10,0)</f>
        <v/>
      </c>
      <c r="C777" s="156">
        <f>IF(K777&gt;=0.01,K777,IFERROR(VLOOKUP(F777&amp;G777,K!B:C,2,0),K777)+SUM(L777:N777))</f>
        <v/>
      </c>
      <c r="D777" s="218">
        <f>_xlfn.IFNA(INDEX('Injury Report'!F:F, MATCH(G777&amp;F777, 'Injury Report'!A:A, 0)), "Healthy")</f>
        <v/>
      </c>
      <c r="E777" s="219">
        <f>VLOOKUP(A777,'K Depth'!A:G,7,0)-1</f>
        <v/>
      </c>
      <c r="F777" s="218">
        <f>VLOOKUP(A777,'K Depth'!A:C,3,0)</f>
        <v/>
      </c>
      <c r="G777" s="218">
        <f>VLOOKUP(A777,'K Depth'!A:B,2,0)</f>
        <v/>
      </c>
      <c r="H777" s="218">
        <f>VLOOKUP(A777,'K Depth'!A:D,4,0)</f>
        <v/>
      </c>
      <c r="I777" s="218">
        <f>H777&amp;E777</f>
        <v/>
      </c>
      <c r="J777" s="220">
        <f>IF(VLOOKUP(F777,Rec!F:G,2,0)=G777,"OK","Check Team")</f>
        <v/>
      </c>
      <c r="K777" s="156" t="n"/>
      <c r="L777" s="156">
        <f>IFERROR(VLOOKUP(F777&amp;G777,Pass!B:C,2,0),0)</f>
        <v/>
      </c>
      <c r="M777" s="156">
        <f>IFERROR(VLOOKUP(F777&amp;G777,Rush!B:C,2,0),0)</f>
        <v/>
      </c>
      <c r="N777" s="156">
        <f>IFERROR(VLOOKUP(F777&amp;G777,Rec!B:C,2,0),K777)</f>
        <v/>
      </c>
      <c r="O777" s="156">
        <f>IFERROR(VLOOKUP(F777&amp;G777,Returns!A:B,2,0),0)</f>
        <v/>
      </c>
    </row>
    <row r="778" hidden="1" ht="14.4" customHeight="1" s="152">
      <c r="A778" s="221" t="n">
        <v>9</v>
      </c>
      <c r="B778" s="218">
        <f>VLOOKUP(G778,Matrix!R:AA,10,0)</f>
        <v/>
      </c>
      <c r="C778" s="156">
        <f>IF(K778&gt;=0.01,K778,IFERROR(VLOOKUP(F778&amp;G778,K!B:C,2,0),K778)+SUM(L778:N778))</f>
        <v/>
      </c>
      <c r="D778" s="218">
        <f>_xlfn.IFNA(INDEX('Injury Report'!F:F, MATCH(G778&amp;F778, 'Injury Report'!A:A, 0)), "Healthy")</f>
        <v/>
      </c>
      <c r="E778" s="219">
        <f>VLOOKUP(A778,'K Depth'!A:G,7,0)-1</f>
        <v/>
      </c>
      <c r="F778" s="218">
        <f>VLOOKUP(A778,'K Depth'!A:C,3,0)</f>
        <v/>
      </c>
      <c r="G778" s="218">
        <f>VLOOKUP(A778,'K Depth'!A:B,2,0)</f>
        <v/>
      </c>
      <c r="H778" s="218">
        <f>VLOOKUP(A778,'K Depth'!A:D,4,0)</f>
        <v/>
      </c>
      <c r="I778" s="218">
        <f>H778&amp;E778</f>
        <v/>
      </c>
      <c r="J778" s="220">
        <f>IF(VLOOKUP(F778,Rec!F:G,2,0)=G778,"OK","Check Team")</f>
        <v/>
      </c>
      <c r="K778" s="156" t="n"/>
      <c r="L778" s="156">
        <f>IFERROR(VLOOKUP(F778&amp;G778,Pass!B:C,2,0),0)</f>
        <v/>
      </c>
      <c r="M778" s="156">
        <f>IFERROR(VLOOKUP(F778&amp;G778,Rush!B:C,2,0),0)</f>
        <v/>
      </c>
      <c r="N778" s="156">
        <f>IFERROR(VLOOKUP(F778&amp;G778,Rec!B:C,2,0),K778)</f>
        <v/>
      </c>
      <c r="O778" s="156">
        <f>IFERROR(VLOOKUP(F778&amp;G778,Returns!A:B,2,0),0)</f>
        <v/>
      </c>
    </row>
    <row r="779" hidden="1" ht="14.4" customHeight="1" s="152">
      <c r="A779" s="221" t="n">
        <v>10</v>
      </c>
      <c r="B779" s="218">
        <f>VLOOKUP(G779,Matrix!R:AA,10,0)</f>
        <v/>
      </c>
      <c r="C779" s="156">
        <f>IF(K779&gt;=0.01,K779,IFERROR(VLOOKUP(F779&amp;G779,K!B:C,2,0),K779)+SUM(L779:N779))</f>
        <v/>
      </c>
      <c r="D779" s="218">
        <f>_xlfn.IFNA(INDEX('Injury Report'!F:F, MATCH(G779&amp;F779, 'Injury Report'!A:A, 0)), "Healthy")</f>
        <v/>
      </c>
      <c r="E779" s="219">
        <f>VLOOKUP(A779,'K Depth'!A:G,7,0)-1</f>
        <v/>
      </c>
      <c r="F779" s="218">
        <f>VLOOKUP(A779,'K Depth'!A:C,3,0)</f>
        <v/>
      </c>
      <c r="G779" s="218">
        <f>VLOOKUP(A779,'K Depth'!A:B,2,0)</f>
        <v/>
      </c>
      <c r="H779" s="218">
        <f>VLOOKUP(A779,'K Depth'!A:D,4,0)</f>
        <v/>
      </c>
      <c r="I779" s="218">
        <f>H779&amp;E779</f>
        <v/>
      </c>
      <c r="J779" s="220">
        <f>IF(VLOOKUP(F779,Rec!F:G,2,0)=G779,"OK","Check Team")</f>
        <v/>
      </c>
      <c r="K779" s="156" t="n"/>
      <c r="L779" s="156">
        <f>IFERROR(VLOOKUP(F779&amp;G779,Pass!B:C,2,0),0)</f>
        <v/>
      </c>
      <c r="M779" s="156">
        <f>IFERROR(VLOOKUP(F779&amp;G779,Rush!B:C,2,0),0)</f>
        <v/>
      </c>
      <c r="N779" s="156">
        <f>IFERROR(VLOOKUP(F779&amp;G779,Rec!B:C,2,0),K779)</f>
        <v/>
      </c>
      <c r="O779" s="156">
        <f>IFERROR(VLOOKUP(F779&amp;G779,Returns!A:B,2,0),0)</f>
        <v/>
      </c>
    </row>
    <row r="780" hidden="1" ht="14.4" customHeight="1" s="152">
      <c r="A780" s="221" t="n">
        <v>11</v>
      </c>
      <c r="B780" s="218">
        <f>VLOOKUP(G780,Matrix!R:AA,10,0)</f>
        <v/>
      </c>
      <c r="C780" s="156">
        <f>IF(K780&gt;=0.01,K780,IFERROR(VLOOKUP(F780&amp;G780,K!B:C,2,0),K780)+SUM(L780:N780))</f>
        <v/>
      </c>
      <c r="D780" s="218">
        <f>_xlfn.IFNA(INDEX('Injury Report'!F:F, MATCH(G780&amp;F780, 'Injury Report'!A:A, 0)), "Healthy")</f>
        <v/>
      </c>
      <c r="E780" s="219">
        <f>VLOOKUP(A780,'K Depth'!A:G,7,0)-1</f>
        <v/>
      </c>
      <c r="F780" s="218">
        <f>VLOOKUP(A780,'K Depth'!A:C,3,0)</f>
        <v/>
      </c>
      <c r="G780" s="218">
        <f>VLOOKUP(A780,'K Depth'!A:B,2,0)</f>
        <v/>
      </c>
      <c r="H780" s="218">
        <f>VLOOKUP(A780,'K Depth'!A:D,4,0)</f>
        <v/>
      </c>
      <c r="I780" s="218">
        <f>H780&amp;E780</f>
        <v/>
      </c>
      <c r="J780" s="220">
        <f>IF(VLOOKUP(F780,Rec!F:G,2,0)=G780,"OK","Check Team")</f>
        <v/>
      </c>
      <c r="K780" s="156" t="n"/>
      <c r="L780" s="156">
        <f>IFERROR(VLOOKUP(F780&amp;G780,Pass!B:C,2,0),0)</f>
        <v/>
      </c>
      <c r="M780" s="156">
        <f>IFERROR(VLOOKUP(F780&amp;G780,Rush!B:C,2,0),0)</f>
        <v/>
      </c>
      <c r="N780" s="156">
        <f>IFERROR(VLOOKUP(F780&amp;G780,Rec!B:C,2,0),K780)</f>
        <v/>
      </c>
      <c r="O780" s="156">
        <f>IFERROR(VLOOKUP(F780&amp;G780,Returns!A:B,2,0),0)</f>
        <v/>
      </c>
    </row>
    <row r="781" hidden="1" ht="14.4" customHeight="1" s="152">
      <c r="A781" s="221" t="n">
        <v>12</v>
      </c>
      <c r="B781" s="218">
        <f>VLOOKUP(G781,Matrix!R:AA,10,0)</f>
        <v/>
      </c>
      <c r="C781" s="156">
        <f>IF(K781&gt;=0.01,K781,IFERROR(VLOOKUP(F781&amp;G781,K!B:C,2,0),K781)+SUM(L781:N781))</f>
        <v/>
      </c>
      <c r="D781" s="218">
        <f>_xlfn.IFNA(INDEX('Injury Report'!F:F, MATCH(G781&amp;F781, 'Injury Report'!A:A, 0)), "Healthy")</f>
        <v/>
      </c>
      <c r="E781" s="219">
        <f>VLOOKUP(A781,'K Depth'!A:G,7,0)-1</f>
        <v/>
      </c>
      <c r="F781" s="218">
        <f>VLOOKUP(A781,'K Depth'!A:C,3,0)</f>
        <v/>
      </c>
      <c r="G781" s="218">
        <f>VLOOKUP(A781,'K Depth'!A:B,2,0)</f>
        <v/>
      </c>
      <c r="H781" s="218">
        <f>VLOOKUP(A781,'K Depth'!A:D,4,0)</f>
        <v/>
      </c>
      <c r="I781" s="218">
        <f>H781&amp;E781</f>
        <v/>
      </c>
      <c r="J781" s="220">
        <f>IF(VLOOKUP(F781,Rec!F:G,2,0)=G781,"OK","Check Team")</f>
        <v/>
      </c>
      <c r="K781" s="156" t="n"/>
      <c r="L781" s="156">
        <f>IFERROR(VLOOKUP(F781&amp;G781,Pass!B:C,2,0),0)</f>
        <v/>
      </c>
      <c r="M781" s="156">
        <f>IFERROR(VLOOKUP(F781&amp;G781,Rush!B:C,2,0),0)</f>
        <v/>
      </c>
      <c r="N781" s="156">
        <f>IFERROR(VLOOKUP(F781&amp;G781,Rec!B:C,2,0),K781)</f>
        <v/>
      </c>
      <c r="O781" s="156">
        <f>IFERROR(VLOOKUP(F781&amp;G781,Returns!A:B,2,0),0)</f>
        <v/>
      </c>
    </row>
    <row r="782" hidden="1" ht="14.4" customHeight="1" s="152">
      <c r="A782" s="221" t="n">
        <v>13</v>
      </c>
      <c r="B782" s="218">
        <f>VLOOKUP(G782,Matrix!R:AA,10,0)</f>
        <v/>
      </c>
      <c r="C782" s="156">
        <f>IF(K782&gt;=0.01,K782,IFERROR(VLOOKUP(F782&amp;G782,K!B:C,2,0),K782)+SUM(L782:N782))</f>
        <v/>
      </c>
      <c r="D782" s="218">
        <f>_xlfn.IFNA(INDEX('Injury Report'!F:F, MATCH(G782&amp;F782, 'Injury Report'!A:A, 0)), "Healthy")</f>
        <v/>
      </c>
      <c r="E782" s="219">
        <f>VLOOKUP(A782,'K Depth'!A:G,7,0)-1</f>
        <v/>
      </c>
      <c r="F782" s="218">
        <f>VLOOKUP(A782,'K Depth'!A:C,3,0)</f>
        <v/>
      </c>
      <c r="G782" s="218">
        <f>VLOOKUP(A782,'K Depth'!A:B,2,0)</f>
        <v/>
      </c>
      <c r="H782" s="218">
        <f>VLOOKUP(A782,'K Depth'!A:D,4,0)</f>
        <v/>
      </c>
      <c r="I782" s="218">
        <f>H782&amp;E782</f>
        <v/>
      </c>
      <c r="J782" s="220">
        <f>IF(VLOOKUP(F782,Rec!F:G,2,0)=G782,"OK","Check Team")</f>
        <v/>
      </c>
      <c r="K782" s="156" t="n"/>
      <c r="L782" s="156">
        <f>IFERROR(VLOOKUP(F782&amp;G782,Pass!B:C,2,0),0)</f>
        <v/>
      </c>
      <c r="M782" s="156">
        <f>IFERROR(VLOOKUP(F782&amp;G782,Rush!B:C,2,0),0)</f>
        <v/>
      </c>
      <c r="N782" s="156">
        <f>IFERROR(VLOOKUP(F782&amp;G782,Rec!B:C,2,0),K782)</f>
        <v/>
      </c>
      <c r="O782" s="156">
        <f>IFERROR(VLOOKUP(F782&amp;G782,Returns!A:B,2,0),0)</f>
        <v/>
      </c>
    </row>
    <row r="783" hidden="1" ht="14.4" customHeight="1" s="152">
      <c r="A783" s="221" t="n">
        <v>14</v>
      </c>
      <c r="B783" s="218">
        <f>VLOOKUP(G783,Matrix!R:AA,10,0)</f>
        <v/>
      </c>
      <c r="C783" s="156">
        <f>IF(K783&gt;=0.01,K783,IFERROR(VLOOKUP(F783&amp;G783,K!B:C,2,0),K783)+SUM(L783:N783))</f>
        <v/>
      </c>
      <c r="D783" s="218">
        <f>_xlfn.IFNA(INDEX('Injury Report'!F:F, MATCH(G783&amp;F783, 'Injury Report'!A:A, 0)), "Healthy")</f>
        <v/>
      </c>
      <c r="E783" s="219">
        <f>VLOOKUP(A783,'K Depth'!A:G,7,0)-1</f>
        <v/>
      </c>
      <c r="F783" s="218">
        <f>VLOOKUP(A783,'K Depth'!A:C,3,0)</f>
        <v/>
      </c>
      <c r="G783" s="218">
        <f>VLOOKUP(A783,'K Depth'!A:B,2,0)</f>
        <v/>
      </c>
      <c r="H783" s="218">
        <f>VLOOKUP(A783,'K Depth'!A:D,4,0)</f>
        <v/>
      </c>
      <c r="I783" s="218">
        <f>H783&amp;E783</f>
        <v/>
      </c>
      <c r="J783" s="220">
        <f>IF(VLOOKUP(F783,Rec!F:G,2,0)=G783,"OK","Check Team")</f>
        <v/>
      </c>
      <c r="K783" s="156" t="n"/>
      <c r="L783" s="156">
        <f>IFERROR(VLOOKUP(F783&amp;G783,Pass!B:C,2,0),0)</f>
        <v/>
      </c>
      <c r="M783" s="156">
        <f>IFERROR(VLOOKUP(F783&amp;G783,Rush!B:C,2,0),0)</f>
        <v/>
      </c>
      <c r="N783" s="156">
        <f>IFERROR(VLOOKUP(F783&amp;G783,Rec!B:C,2,0),K783)</f>
        <v/>
      </c>
      <c r="O783" s="156">
        <f>IFERROR(VLOOKUP(F783&amp;G783,Returns!A:B,2,0),0)</f>
        <v/>
      </c>
    </row>
    <row r="784" hidden="1" ht="14.4" customHeight="1" s="152">
      <c r="A784" s="221" t="n">
        <v>15</v>
      </c>
      <c r="B784" s="218">
        <f>VLOOKUP(G784,Matrix!R:AA,10,0)</f>
        <v/>
      </c>
      <c r="C784" s="156">
        <f>IF(K784&gt;=0.01,K784,IFERROR(VLOOKUP(F784&amp;G784,K!B:C,2,0),K784)+SUM(L784:N784))</f>
        <v/>
      </c>
      <c r="D784" s="218">
        <f>_xlfn.IFNA(INDEX('Injury Report'!F:F, MATCH(G784&amp;F784, 'Injury Report'!A:A, 0)), "Healthy")</f>
        <v/>
      </c>
      <c r="E784" s="219">
        <f>VLOOKUP(A784,'K Depth'!A:G,7,0)-1</f>
        <v/>
      </c>
      <c r="F784" s="218">
        <f>VLOOKUP(A784,'K Depth'!A:C,3,0)</f>
        <v/>
      </c>
      <c r="G784" s="218">
        <f>VLOOKUP(A784,'K Depth'!A:B,2,0)</f>
        <v/>
      </c>
      <c r="H784" s="218">
        <f>VLOOKUP(A784,'K Depth'!A:D,4,0)</f>
        <v/>
      </c>
      <c r="I784" s="218">
        <f>H784&amp;E784</f>
        <v/>
      </c>
      <c r="J784" s="220">
        <f>IF(VLOOKUP(F784,Rec!F:G,2,0)=G784,"OK","Check Team")</f>
        <v/>
      </c>
      <c r="K784" s="156" t="n"/>
      <c r="L784" s="156">
        <f>IFERROR(VLOOKUP(F784&amp;G784,Pass!B:C,2,0),0)</f>
        <v/>
      </c>
      <c r="M784" s="156">
        <f>IFERROR(VLOOKUP(F784&amp;G784,Rush!B:C,2,0),0)</f>
        <v/>
      </c>
      <c r="N784" s="156">
        <f>IFERROR(VLOOKUP(F784&amp;G784,Rec!B:C,2,0),K784)</f>
        <v/>
      </c>
      <c r="O784" s="156">
        <f>IFERROR(VLOOKUP(F784&amp;G784,Returns!A:B,2,0),0)</f>
        <v/>
      </c>
    </row>
    <row r="785" hidden="1" ht="14.4" customHeight="1" s="152">
      <c r="A785" s="221" t="n">
        <v>16</v>
      </c>
      <c r="B785" s="218">
        <f>VLOOKUP(G785,Matrix!R:AA,10,0)</f>
        <v/>
      </c>
      <c r="C785" s="156">
        <f>IF(K785&gt;=0.01,K785,IFERROR(VLOOKUP(F785&amp;G785,K!B:C,2,0),K785)+SUM(L785:N785))</f>
        <v/>
      </c>
      <c r="D785" s="218">
        <f>_xlfn.IFNA(INDEX('Injury Report'!F:F, MATCH(G785&amp;F785, 'Injury Report'!A:A, 0)), "Healthy")</f>
        <v/>
      </c>
      <c r="E785" s="219">
        <f>VLOOKUP(A785,'K Depth'!A:G,7,0)-1</f>
        <v/>
      </c>
      <c r="F785" s="218">
        <f>VLOOKUP(A785,'K Depth'!A:C,3,0)</f>
        <v/>
      </c>
      <c r="G785" s="218">
        <f>VLOOKUP(A785,'K Depth'!A:B,2,0)</f>
        <v/>
      </c>
      <c r="H785" s="218">
        <f>VLOOKUP(A785,'K Depth'!A:D,4,0)</f>
        <v/>
      </c>
      <c r="I785" s="218">
        <f>H785&amp;E785</f>
        <v/>
      </c>
      <c r="J785" s="220">
        <f>IF(VLOOKUP(F785,Rec!F:G,2,0)=G785,"OK","Check Team")</f>
        <v/>
      </c>
      <c r="K785" s="156" t="n"/>
      <c r="L785" s="156">
        <f>IFERROR(VLOOKUP(F785&amp;G785,Pass!B:C,2,0),0)</f>
        <v/>
      </c>
      <c r="M785" s="156">
        <f>IFERROR(VLOOKUP(F785&amp;G785,Rush!B:C,2,0),0)</f>
        <v/>
      </c>
      <c r="N785" s="156">
        <f>IFERROR(VLOOKUP(F785&amp;G785,Rec!B:C,2,0),K785)</f>
        <v/>
      </c>
      <c r="O785" s="156">
        <f>IFERROR(VLOOKUP(F785&amp;G785,Returns!A:B,2,0),0)</f>
        <v/>
      </c>
    </row>
    <row r="786" hidden="1" ht="14.4" customHeight="1" s="152">
      <c r="A786" s="221" t="n">
        <v>17</v>
      </c>
      <c r="B786" s="218">
        <f>VLOOKUP(G786,Matrix!R:AA,10,0)</f>
        <v/>
      </c>
      <c r="C786" s="156">
        <f>IF(K786&gt;=0.01,K786,IFERROR(VLOOKUP(F786&amp;G786,K!B:C,2,0),K786)+SUM(L786:N786))</f>
        <v/>
      </c>
      <c r="D786" s="218">
        <f>_xlfn.IFNA(INDEX('Injury Report'!F:F, MATCH(G786&amp;F786, 'Injury Report'!A:A, 0)), "Healthy")</f>
        <v/>
      </c>
      <c r="E786" s="219">
        <f>VLOOKUP(A786,'K Depth'!A:G,7,0)-1</f>
        <v/>
      </c>
      <c r="F786" s="218">
        <f>VLOOKUP(A786,'K Depth'!A:C,3,0)</f>
        <v/>
      </c>
      <c r="G786" s="218">
        <f>VLOOKUP(A786,'K Depth'!A:B,2,0)</f>
        <v/>
      </c>
      <c r="H786" s="218">
        <f>VLOOKUP(A786,'K Depth'!A:D,4,0)</f>
        <v/>
      </c>
      <c r="I786" s="218">
        <f>H786&amp;E786</f>
        <v/>
      </c>
      <c r="J786" s="220">
        <f>IF(VLOOKUP(F786,Rec!F:G,2,0)=G786,"OK","Check Team")</f>
        <v/>
      </c>
      <c r="K786" s="156" t="n"/>
      <c r="L786" s="156">
        <f>IFERROR(VLOOKUP(F786&amp;G786,Pass!B:C,2,0),0)</f>
        <v/>
      </c>
      <c r="M786" s="156">
        <f>IFERROR(VLOOKUP(F786&amp;G786,Rush!B:C,2,0),0)</f>
        <v/>
      </c>
      <c r="N786" s="156">
        <f>IFERROR(VLOOKUP(F786&amp;G786,Rec!B:C,2,0),K786)</f>
        <v/>
      </c>
      <c r="O786" s="156">
        <f>IFERROR(VLOOKUP(F786&amp;G786,Returns!A:B,2,0),0)</f>
        <v/>
      </c>
    </row>
    <row r="787" hidden="1" ht="14.4" customHeight="1" s="152">
      <c r="A787" s="221" t="n">
        <v>18</v>
      </c>
      <c r="B787" s="218">
        <f>VLOOKUP(G787,Matrix!R:AA,10,0)</f>
        <v/>
      </c>
      <c r="C787" s="156">
        <f>IF(K787&gt;=0.01,K787,IFERROR(VLOOKUP(F787&amp;G787,K!B:C,2,0),K787)+SUM(L787:N787))</f>
        <v/>
      </c>
      <c r="D787" s="218">
        <f>_xlfn.IFNA(INDEX('Injury Report'!F:F, MATCH(G787&amp;F787, 'Injury Report'!A:A, 0)), "Healthy")</f>
        <v/>
      </c>
      <c r="E787" s="219">
        <f>VLOOKUP(A787,'K Depth'!A:G,7,0)-1</f>
        <v/>
      </c>
      <c r="F787" s="218">
        <f>VLOOKUP(A787,'K Depth'!A:C,3,0)</f>
        <v/>
      </c>
      <c r="G787" s="218">
        <f>VLOOKUP(A787,'K Depth'!A:B,2,0)</f>
        <v/>
      </c>
      <c r="H787" s="218">
        <f>VLOOKUP(A787,'K Depth'!A:D,4,0)</f>
        <v/>
      </c>
      <c r="I787" s="218">
        <f>H787&amp;E787</f>
        <v/>
      </c>
      <c r="J787" s="220">
        <f>IF(VLOOKUP(F787,Rec!F:G,2,0)=G787,"OK","Check Team")</f>
        <v/>
      </c>
      <c r="K787" s="156" t="n"/>
      <c r="L787" s="156">
        <f>IFERROR(VLOOKUP(F787&amp;G787,Pass!B:C,2,0),0)</f>
        <v/>
      </c>
      <c r="M787" s="156">
        <f>IFERROR(VLOOKUP(F787&amp;G787,Rush!B:C,2,0),0)</f>
        <v/>
      </c>
      <c r="N787" s="156">
        <f>IFERROR(VLOOKUP(F787&amp;G787,Rec!B:C,2,0),K787)</f>
        <v/>
      </c>
      <c r="O787" s="156">
        <f>IFERROR(VLOOKUP(F787&amp;G787,Returns!A:B,2,0),0)</f>
        <v/>
      </c>
    </row>
    <row r="788" hidden="1" ht="14.4" customHeight="1" s="152">
      <c r="A788" s="221" t="n">
        <v>19</v>
      </c>
      <c r="B788" s="218">
        <f>VLOOKUP(G788,Matrix!R:AA,10,0)</f>
        <v/>
      </c>
      <c r="C788" s="156">
        <f>IF(K788&gt;=0.01,K788,IFERROR(VLOOKUP(F788&amp;G788,K!B:C,2,0),K788)+SUM(L788:N788))</f>
        <v/>
      </c>
      <c r="D788" s="218">
        <f>_xlfn.IFNA(INDEX('Injury Report'!F:F, MATCH(G788&amp;F788, 'Injury Report'!A:A, 0)), "Healthy")</f>
        <v/>
      </c>
      <c r="E788" s="219">
        <f>VLOOKUP(A788,'K Depth'!A:G,7,0)-1</f>
        <v/>
      </c>
      <c r="F788" s="218">
        <f>VLOOKUP(A788,'K Depth'!A:C,3,0)</f>
        <v/>
      </c>
      <c r="G788" s="218">
        <f>VLOOKUP(A788,'K Depth'!A:B,2,0)</f>
        <v/>
      </c>
      <c r="H788" s="218">
        <f>VLOOKUP(A788,'K Depth'!A:D,4,0)</f>
        <v/>
      </c>
      <c r="I788" s="218">
        <f>H788&amp;E788</f>
        <v/>
      </c>
      <c r="J788" s="220">
        <f>IF(VLOOKUP(F788,Rec!F:G,2,0)=G788,"OK","Check Team")</f>
        <v/>
      </c>
      <c r="K788" s="156" t="n"/>
      <c r="L788" s="156">
        <f>IFERROR(VLOOKUP(F788&amp;G788,Pass!B:C,2,0),0)</f>
        <v/>
      </c>
      <c r="M788" s="156">
        <f>IFERROR(VLOOKUP(F788&amp;G788,Rush!B:C,2,0),0)</f>
        <v/>
      </c>
      <c r="N788" s="156">
        <f>IFERROR(VLOOKUP(F788&amp;G788,Rec!B:C,2,0),K788)</f>
        <v/>
      </c>
      <c r="O788" s="156">
        <f>IFERROR(VLOOKUP(F788&amp;G788,Returns!A:B,2,0),0)</f>
        <v/>
      </c>
    </row>
    <row r="789" hidden="1" ht="14.4" customHeight="1" s="152">
      <c r="A789" s="221" t="n">
        <v>20</v>
      </c>
      <c r="B789" s="218">
        <f>VLOOKUP(G789,Matrix!R:AA,10,0)</f>
        <v/>
      </c>
      <c r="C789" s="156">
        <f>IF(K789&gt;=0.01,K789,IFERROR(VLOOKUP(F789&amp;G789,K!B:C,2,0),K789)+SUM(L789:N789))</f>
        <v/>
      </c>
      <c r="D789" s="218">
        <f>_xlfn.IFNA(INDEX('Injury Report'!F:F, MATCH(G789&amp;F789, 'Injury Report'!A:A, 0)), "Healthy")</f>
        <v/>
      </c>
      <c r="E789" s="219">
        <f>VLOOKUP(A789,'K Depth'!A:G,7,0)-1</f>
        <v/>
      </c>
      <c r="F789" s="218">
        <f>VLOOKUP(A789,'K Depth'!A:C,3,0)</f>
        <v/>
      </c>
      <c r="G789" s="218">
        <f>VLOOKUP(A789,'K Depth'!A:B,2,0)</f>
        <v/>
      </c>
      <c r="H789" s="218">
        <f>VLOOKUP(A789,'K Depth'!A:D,4,0)</f>
        <v/>
      </c>
      <c r="I789" s="218">
        <f>H789&amp;E789</f>
        <v/>
      </c>
      <c r="J789" s="220">
        <f>IF(VLOOKUP(F789,Rec!F:G,2,0)=G789,"OK","Check Team")</f>
        <v/>
      </c>
      <c r="K789" s="156" t="n"/>
      <c r="L789" s="156">
        <f>IFERROR(VLOOKUP(F789&amp;G789,Pass!B:C,2,0),0)</f>
        <v/>
      </c>
      <c r="M789" s="156">
        <f>IFERROR(VLOOKUP(F789&amp;G789,Rush!B:C,2,0),0)</f>
        <v/>
      </c>
      <c r="N789" s="156">
        <f>IFERROR(VLOOKUP(F789&amp;G789,Rec!B:C,2,0),K789)</f>
        <v/>
      </c>
      <c r="O789" s="156">
        <f>IFERROR(VLOOKUP(F789&amp;G789,Returns!A:B,2,0),0)</f>
        <v/>
      </c>
    </row>
    <row r="790" hidden="1" ht="14.4" customHeight="1" s="152">
      <c r="A790" s="221" t="n">
        <v>21</v>
      </c>
      <c r="B790" s="218">
        <f>VLOOKUP(G790,Matrix!R:AA,10,0)</f>
        <v/>
      </c>
      <c r="C790" s="156">
        <f>IF(K790&gt;=0.01,K790,IFERROR(VLOOKUP(F790&amp;G790,K!B:C,2,0),K790)+SUM(L790:N790))</f>
        <v/>
      </c>
      <c r="D790" s="218">
        <f>_xlfn.IFNA(INDEX('Injury Report'!F:F, MATCH(G790&amp;F790, 'Injury Report'!A:A, 0)), "Healthy")</f>
        <v/>
      </c>
      <c r="E790" s="219">
        <f>VLOOKUP(A790,'K Depth'!A:G,7,0)-1</f>
        <v/>
      </c>
      <c r="F790" s="218">
        <f>VLOOKUP(A790,'K Depth'!A:C,3,0)</f>
        <v/>
      </c>
      <c r="G790" s="218">
        <f>VLOOKUP(A790,'K Depth'!A:B,2,0)</f>
        <v/>
      </c>
      <c r="H790" s="218">
        <f>VLOOKUP(A790,'K Depth'!A:D,4,0)</f>
        <v/>
      </c>
      <c r="I790" s="218">
        <f>H790&amp;E790</f>
        <v/>
      </c>
      <c r="J790" s="220">
        <f>IF(VLOOKUP(F790,Rec!F:G,2,0)=G790,"OK","Check Team")</f>
        <v/>
      </c>
      <c r="K790" s="156" t="n"/>
      <c r="L790" s="156">
        <f>IFERROR(VLOOKUP(F790&amp;G790,Pass!B:C,2,0),0)</f>
        <v/>
      </c>
      <c r="M790" s="156">
        <f>IFERROR(VLOOKUP(F790&amp;G790,Rush!B:C,2,0),0)</f>
        <v/>
      </c>
      <c r="N790" s="156">
        <f>IFERROR(VLOOKUP(F790&amp;G790,Rec!B:C,2,0),K790)</f>
        <v/>
      </c>
      <c r="O790" s="156">
        <f>IFERROR(VLOOKUP(F790&amp;G790,Returns!A:B,2,0),0)</f>
        <v/>
      </c>
    </row>
    <row r="791" hidden="1" ht="14.4" customHeight="1" s="152">
      <c r="A791" s="221" t="n">
        <v>22</v>
      </c>
      <c r="B791" s="218">
        <f>VLOOKUP(G791,Matrix!R:AA,10,0)</f>
        <v/>
      </c>
      <c r="C791" s="156">
        <f>IF(K791&gt;=0.01,K791,IFERROR(VLOOKUP(F791&amp;G791,K!B:C,2,0),K791)+SUM(L791:N791))</f>
        <v/>
      </c>
      <c r="D791" s="218">
        <f>_xlfn.IFNA(INDEX('Injury Report'!F:F, MATCH(G791&amp;F791, 'Injury Report'!A:A, 0)), "Healthy")</f>
        <v/>
      </c>
      <c r="E791" s="219">
        <f>VLOOKUP(A791,'K Depth'!A:G,7,0)-1</f>
        <v/>
      </c>
      <c r="F791" s="218">
        <f>VLOOKUP(A791,'K Depth'!A:C,3,0)</f>
        <v/>
      </c>
      <c r="G791" s="218">
        <f>VLOOKUP(A791,'K Depth'!A:B,2,0)</f>
        <v/>
      </c>
      <c r="H791" s="218">
        <f>VLOOKUP(A791,'K Depth'!A:D,4,0)</f>
        <v/>
      </c>
      <c r="I791" s="218">
        <f>H791&amp;E791</f>
        <v/>
      </c>
      <c r="J791" s="220">
        <f>IF(VLOOKUP(F791,Rec!F:G,2,0)=G791,"OK","Check Team")</f>
        <v/>
      </c>
      <c r="K791" s="156" t="n"/>
      <c r="L791" s="156">
        <f>IFERROR(VLOOKUP(F791&amp;G791,Pass!B:C,2,0),0)</f>
        <v/>
      </c>
      <c r="M791" s="156">
        <f>IFERROR(VLOOKUP(F791&amp;G791,Rush!B:C,2,0),0)</f>
        <v/>
      </c>
      <c r="N791" s="156">
        <f>IFERROR(VLOOKUP(F791&amp;G791,Rec!B:C,2,0),K791)</f>
        <v/>
      </c>
      <c r="O791" s="156">
        <f>IFERROR(VLOOKUP(F791&amp;G791,Returns!A:B,2,0),0)</f>
        <v/>
      </c>
    </row>
    <row r="792" hidden="1" ht="14.4" customHeight="1" s="152">
      <c r="A792" s="221" t="n">
        <v>23</v>
      </c>
      <c r="B792" s="218">
        <f>VLOOKUP(G792,Matrix!R:AA,10,0)</f>
        <v/>
      </c>
      <c r="C792" s="156">
        <f>IF(K792&gt;=0.01,K792,IFERROR(VLOOKUP(F792&amp;G792,K!B:C,2,0),K792)+SUM(L792:N792))</f>
        <v/>
      </c>
      <c r="D792" s="218">
        <f>_xlfn.IFNA(INDEX('Injury Report'!F:F, MATCH(G792&amp;F792, 'Injury Report'!A:A, 0)), "Healthy")</f>
        <v/>
      </c>
      <c r="E792" s="219">
        <f>VLOOKUP(A792,'K Depth'!A:G,7,0)-1</f>
        <v/>
      </c>
      <c r="F792" s="218">
        <f>VLOOKUP(A792,'K Depth'!A:C,3,0)</f>
        <v/>
      </c>
      <c r="G792" s="218">
        <f>VLOOKUP(A792,'K Depth'!A:B,2,0)</f>
        <v/>
      </c>
      <c r="H792" s="218">
        <f>VLOOKUP(A792,'K Depth'!A:D,4,0)</f>
        <v/>
      </c>
      <c r="I792" s="218">
        <f>H792&amp;E792</f>
        <v/>
      </c>
      <c r="J792" s="220">
        <f>IF(VLOOKUP(F792,Rec!F:G,2,0)=G792,"OK","Check Team")</f>
        <v/>
      </c>
      <c r="K792" s="156" t="n"/>
      <c r="L792" s="156">
        <f>IFERROR(VLOOKUP(F792&amp;G792,Pass!B:C,2,0),0)</f>
        <v/>
      </c>
      <c r="M792" s="156">
        <f>IFERROR(VLOOKUP(F792&amp;G792,Rush!B:C,2,0),0)</f>
        <v/>
      </c>
      <c r="N792" s="156">
        <f>IFERROR(VLOOKUP(F792&amp;G792,Rec!B:C,2,0),K792)</f>
        <v/>
      </c>
      <c r="O792" s="156">
        <f>IFERROR(VLOOKUP(F792&amp;G792,Returns!A:B,2,0),0)</f>
        <v/>
      </c>
    </row>
    <row r="793" hidden="1" ht="14.4" customHeight="1" s="152">
      <c r="A793" s="221" t="n">
        <v>24</v>
      </c>
      <c r="B793" s="218">
        <f>VLOOKUP(G793,Matrix!R:AA,10,0)</f>
        <v/>
      </c>
      <c r="C793" s="156">
        <f>IF(K793&gt;=0.01,K793,IFERROR(VLOOKUP(F793&amp;G793,K!B:C,2,0),K793)+SUM(L793:N793))</f>
        <v/>
      </c>
      <c r="D793" s="218">
        <f>_xlfn.IFNA(INDEX('Injury Report'!F:F, MATCH(G793&amp;F793, 'Injury Report'!A:A, 0)), "Healthy")</f>
        <v/>
      </c>
      <c r="E793" s="219">
        <f>VLOOKUP(A793,'K Depth'!A:G,7,0)-1</f>
        <v/>
      </c>
      <c r="F793" s="218">
        <f>VLOOKUP(A793,'K Depth'!A:C,3,0)</f>
        <v/>
      </c>
      <c r="G793" s="218">
        <f>VLOOKUP(A793,'K Depth'!A:B,2,0)</f>
        <v/>
      </c>
      <c r="H793" s="218">
        <f>VLOOKUP(A793,'K Depth'!A:D,4,0)</f>
        <v/>
      </c>
      <c r="I793" s="218">
        <f>H793&amp;E793</f>
        <v/>
      </c>
      <c r="J793" s="220">
        <f>IF(VLOOKUP(F793,Rec!F:G,2,0)=G793,"OK","Check Team")</f>
        <v/>
      </c>
      <c r="K793" s="156" t="n"/>
      <c r="L793" s="156">
        <f>IFERROR(VLOOKUP(F793&amp;G793,Pass!B:C,2,0),0)</f>
        <v/>
      </c>
      <c r="M793" s="156">
        <f>IFERROR(VLOOKUP(F793&amp;G793,Rush!B:C,2,0),0)</f>
        <v/>
      </c>
      <c r="N793" s="156">
        <f>IFERROR(VLOOKUP(F793&amp;G793,Rec!B:C,2,0),K793)</f>
        <v/>
      </c>
      <c r="O793" s="156">
        <f>IFERROR(VLOOKUP(F793&amp;G793,Returns!A:B,2,0),0)</f>
        <v/>
      </c>
    </row>
    <row r="794" hidden="1" ht="14.4" customHeight="1" s="152">
      <c r="A794" s="221" t="n">
        <v>25</v>
      </c>
      <c r="B794" s="218">
        <f>VLOOKUP(G794,Matrix!R:AA,10,0)</f>
        <v/>
      </c>
      <c r="C794" s="156">
        <f>IF(K794&gt;=0.01,K794,IFERROR(VLOOKUP(F794&amp;G794,K!B:C,2,0),K794)+SUM(L794:N794))</f>
        <v/>
      </c>
      <c r="D794" s="218">
        <f>_xlfn.IFNA(INDEX('Injury Report'!F:F, MATCH(G794&amp;F794, 'Injury Report'!A:A, 0)), "Healthy")</f>
        <v/>
      </c>
      <c r="E794" s="219">
        <f>VLOOKUP(A794,'K Depth'!A:G,7,0)-1</f>
        <v/>
      </c>
      <c r="F794" s="218">
        <f>VLOOKUP(A794,'K Depth'!A:C,3,0)</f>
        <v/>
      </c>
      <c r="G794" s="218">
        <f>VLOOKUP(A794,'K Depth'!A:B,2,0)</f>
        <v/>
      </c>
      <c r="H794" s="218">
        <f>VLOOKUP(A794,'K Depth'!A:D,4,0)</f>
        <v/>
      </c>
      <c r="I794" s="218">
        <f>H794&amp;E794</f>
        <v/>
      </c>
      <c r="J794" s="220">
        <f>IF(VLOOKUP(F794,Rec!F:G,2,0)=G794,"OK","Check Team")</f>
        <v/>
      </c>
      <c r="K794" s="156" t="n"/>
      <c r="L794" s="156">
        <f>IFERROR(VLOOKUP(F794&amp;G794,Pass!B:C,2,0),0)</f>
        <v/>
      </c>
      <c r="M794" s="156">
        <f>IFERROR(VLOOKUP(F794&amp;G794,Rush!B:C,2,0),0)</f>
        <v/>
      </c>
      <c r="N794" s="156">
        <f>IFERROR(VLOOKUP(F794&amp;G794,Rec!B:C,2,0),K794)</f>
        <v/>
      </c>
      <c r="O794" s="156">
        <f>IFERROR(VLOOKUP(F794&amp;G794,Returns!A:B,2,0),0)</f>
        <v/>
      </c>
    </row>
    <row r="795" hidden="1" ht="14.4" customHeight="1" s="152">
      <c r="A795" s="221" t="n">
        <v>26</v>
      </c>
      <c r="B795" s="218">
        <f>VLOOKUP(G795,Matrix!R:AA,10,0)</f>
        <v/>
      </c>
      <c r="C795" s="156">
        <f>IF(K795&gt;=0.01,K795,IFERROR(VLOOKUP(F795&amp;G795,K!B:C,2,0),K795)+SUM(L795:N795))</f>
        <v/>
      </c>
      <c r="D795" s="218">
        <f>_xlfn.IFNA(INDEX('Injury Report'!F:F, MATCH(G795&amp;F795, 'Injury Report'!A:A, 0)), "Healthy")</f>
        <v/>
      </c>
      <c r="E795" s="219">
        <f>VLOOKUP(A795,'K Depth'!A:G,7,0)-1</f>
        <v/>
      </c>
      <c r="F795" s="218">
        <f>VLOOKUP(A795,'K Depth'!A:C,3,0)</f>
        <v/>
      </c>
      <c r="G795" s="218">
        <f>VLOOKUP(A795,'K Depth'!A:B,2,0)</f>
        <v/>
      </c>
      <c r="H795" s="218">
        <f>VLOOKUP(A795,'K Depth'!A:D,4,0)</f>
        <v/>
      </c>
      <c r="I795" s="218">
        <f>H795&amp;E795</f>
        <v/>
      </c>
      <c r="J795" s="220">
        <f>IF(VLOOKUP(F795,Rec!F:G,2,0)=G795,"OK","Check Team")</f>
        <v/>
      </c>
      <c r="K795" s="156" t="n"/>
      <c r="L795" s="156">
        <f>IFERROR(VLOOKUP(F795&amp;G795,Pass!B:C,2,0),0)</f>
        <v/>
      </c>
      <c r="M795" s="156">
        <f>IFERROR(VLOOKUP(F795&amp;G795,Rush!B:C,2,0),0)</f>
        <v/>
      </c>
      <c r="N795" s="156">
        <f>IFERROR(VLOOKUP(F795&amp;G795,Rec!B:C,2,0),K795)</f>
        <v/>
      </c>
      <c r="O795" s="156">
        <f>IFERROR(VLOOKUP(F795&amp;G795,Returns!A:B,2,0),0)</f>
        <v/>
      </c>
    </row>
    <row r="796" hidden="1" ht="14.4" customHeight="1" s="152">
      <c r="A796" s="221" t="n">
        <v>27</v>
      </c>
      <c r="B796" s="218">
        <f>VLOOKUP(G796,Matrix!R:AA,10,0)</f>
        <v/>
      </c>
      <c r="C796" s="156">
        <f>IF(K796&gt;=0.01,K796,IFERROR(VLOOKUP(F796&amp;G796,K!B:C,2,0),K796)+SUM(L796:N796))</f>
        <v/>
      </c>
      <c r="D796" s="218">
        <f>_xlfn.IFNA(INDEX('Injury Report'!F:F, MATCH(G796&amp;F796, 'Injury Report'!A:A, 0)), "Healthy")</f>
        <v/>
      </c>
      <c r="E796" s="219">
        <f>VLOOKUP(A796,'K Depth'!A:G,7,0)-1</f>
        <v/>
      </c>
      <c r="F796" s="218">
        <f>VLOOKUP(A796,'K Depth'!A:C,3,0)</f>
        <v/>
      </c>
      <c r="G796" s="218">
        <f>VLOOKUP(A796,'K Depth'!A:B,2,0)</f>
        <v/>
      </c>
      <c r="H796" s="218">
        <f>VLOOKUP(A796,'K Depth'!A:D,4,0)</f>
        <v/>
      </c>
      <c r="I796" s="218">
        <f>H796&amp;E796</f>
        <v/>
      </c>
      <c r="J796" s="220">
        <f>IF(VLOOKUP(F796,Rec!F:G,2,0)=G796,"OK","Check Team")</f>
        <v/>
      </c>
      <c r="K796" s="156" t="n"/>
      <c r="L796" s="156">
        <f>IFERROR(VLOOKUP(F796&amp;G796,Pass!B:C,2,0),0)</f>
        <v/>
      </c>
      <c r="M796" s="156">
        <f>IFERROR(VLOOKUP(F796&amp;G796,Rush!B:C,2,0),0)</f>
        <v/>
      </c>
      <c r="N796" s="156">
        <f>IFERROR(VLOOKUP(F796&amp;G796,Rec!B:C,2,0),K796)</f>
        <v/>
      </c>
      <c r="O796" s="156">
        <f>IFERROR(VLOOKUP(F796&amp;G796,Returns!A:B,2,0),0)</f>
        <v/>
      </c>
    </row>
    <row r="797" hidden="1" ht="14.4" customHeight="1" s="152">
      <c r="A797" s="221" t="n">
        <v>28</v>
      </c>
      <c r="B797" s="218">
        <f>VLOOKUP(G797,Matrix!R:AA,10,0)</f>
        <v/>
      </c>
      <c r="C797" s="156">
        <f>IF(K797&gt;=0.01,K797,IFERROR(VLOOKUP(F797&amp;G797,K!B:C,2,0),K797)+SUM(L797:N797))</f>
        <v/>
      </c>
      <c r="D797" s="218">
        <f>_xlfn.IFNA(INDEX('Injury Report'!F:F, MATCH(G797&amp;F797, 'Injury Report'!A:A, 0)), "Healthy")</f>
        <v/>
      </c>
      <c r="E797" s="219">
        <f>VLOOKUP(A797,'K Depth'!A:G,7,0)-1</f>
        <v/>
      </c>
      <c r="F797" s="218">
        <f>VLOOKUP(A797,'K Depth'!A:C,3,0)</f>
        <v/>
      </c>
      <c r="G797" s="218">
        <f>VLOOKUP(A797,'K Depth'!A:B,2,0)</f>
        <v/>
      </c>
      <c r="H797" s="218">
        <f>VLOOKUP(A797,'K Depth'!A:D,4,0)</f>
        <v/>
      </c>
      <c r="I797" s="218">
        <f>H797&amp;E797</f>
        <v/>
      </c>
      <c r="J797" s="220">
        <f>IF(VLOOKUP(F797,Rec!F:G,2,0)=G797,"OK","Check Team")</f>
        <v/>
      </c>
      <c r="K797" s="156" t="n"/>
      <c r="L797" s="156">
        <f>IFERROR(VLOOKUP(F797&amp;G797,Pass!B:C,2,0),0)</f>
        <v/>
      </c>
      <c r="M797" s="156">
        <f>IFERROR(VLOOKUP(F797&amp;G797,Rush!B:C,2,0),0)</f>
        <v/>
      </c>
      <c r="N797" s="156">
        <f>IFERROR(VLOOKUP(F797&amp;G797,Rec!B:C,2,0),K797)</f>
        <v/>
      </c>
      <c r="O797" s="156">
        <f>IFERROR(VLOOKUP(F797&amp;G797,Returns!A:B,2,0),0)</f>
        <v/>
      </c>
    </row>
    <row r="798" hidden="1" ht="14.4" customHeight="1" s="152">
      <c r="A798" s="221" t="n">
        <v>29</v>
      </c>
      <c r="B798" s="218">
        <f>VLOOKUP(G798,Matrix!R:AA,10,0)</f>
        <v/>
      </c>
      <c r="C798" s="156">
        <f>IF(K798&gt;=0.01,K798,IFERROR(VLOOKUP(F798&amp;G798,K!B:C,2,0),K798)+SUM(L798:N798))</f>
        <v/>
      </c>
      <c r="D798" s="218">
        <f>_xlfn.IFNA(INDEX('Injury Report'!F:F, MATCH(G798&amp;F798, 'Injury Report'!A:A, 0)), "Healthy")</f>
        <v/>
      </c>
      <c r="E798" s="219">
        <f>VLOOKUP(A798,'K Depth'!A:G,7,0)-1</f>
        <v/>
      </c>
      <c r="F798" s="218">
        <f>VLOOKUP(A798,'K Depth'!A:C,3,0)</f>
        <v/>
      </c>
      <c r="G798" s="218">
        <f>VLOOKUP(A798,'K Depth'!A:B,2,0)</f>
        <v/>
      </c>
      <c r="H798" s="218">
        <f>VLOOKUP(A798,'K Depth'!A:D,4,0)</f>
        <v/>
      </c>
      <c r="I798" s="218">
        <f>H798&amp;E798</f>
        <v/>
      </c>
      <c r="J798" s="220">
        <f>IF(VLOOKUP(F798,Rec!F:G,2,0)=G798,"OK","Check Team")</f>
        <v/>
      </c>
      <c r="K798" s="156" t="n"/>
      <c r="L798" s="156">
        <f>IFERROR(VLOOKUP(F798&amp;G798,Pass!B:C,2,0),0)</f>
        <v/>
      </c>
      <c r="M798" s="156">
        <f>IFERROR(VLOOKUP(F798&amp;G798,Rush!B:C,2,0),0)</f>
        <v/>
      </c>
      <c r="N798" s="156">
        <f>IFERROR(VLOOKUP(F798&amp;G798,Rec!B:C,2,0),K798)</f>
        <v/>
      </c>
      <c r="O798" s="156">
        <f>IFERROR(VLOOKUP(F798&amp;G798,Returns!A:B,2,0),0)</f>
        <v/>
      </c>
    </row>
    <row r="799" hidden="1" ht="14.4" customHeight="1" s="152">
      <c r="A799" s="221" t="n">
        <v>30</v>
      </c>
      <c r="B799" s="218">
        <f>VLOOKUP(G799,Matrix!R:AA,10,0)</f>
        <v/>
      </c>
      <c r="C799" s="156">
        <f>IF(K799&gt;=0.01,K799,IFERROR(VLOOKUP(F799&amp;G799,K!B:C,2,0),K799)+SUM(L799:N799))</f>
        <v/>
      </c>
      <c r="D799" s="218">
        <f>_xlfn.IFNA(INDEX('Injury Report'!F:F, MATCH(G799&amp;F799, 'Injury Report'!A:A, 0)), "Healthy")</f>
        <v/>
      </c>
      <c r="E799" s="219">
        <f>VLOOKUP(A799,'K Depth'!A:G,7,0)-1</f>
        <v/>
      </c>
      <c r="F799" s="218">
        <f>VLOOKUP(A799,'K Depth'!A:C,3,0)</f>
        <v/>
      </c>
      <c r="G799" s="218">
        <f>VLOOKUP(A799,'K Depth'!A:B,2,0)</f>
        <v/>
      </c>
      <c r="H799" s="218">
        <f>VLOOKUP(A799,'K Depth'!A:D,4,0)</f>
        <v/>
      </c>
      <c r="I799" s="218">
        <f>H799&amp;E799</f>
        <v/>
      </c>
      <c r="J799" s="220">
        <f>IF(VLOOKUP(F799,Rec!F:G,2,0)=G799,"OK","Check Team")</f>
        <v/>
      </c>
      <c r="K799" s="156" t="n"/>
      <c r="L799" s="156">
        <f>IFERROR(VLOOKUP(F799&amp;G799,Pass!B:C,2,0),0)</f>
        <v/>
      </c>
      <c r="M799" s="156">
        <f>IFERROR(VLOOKUP(F799&amp;G799,Rush!B:C,2,0),0)</f>
        <v/>
      </c>
      <c r="N799" s="156">
        <f>IFERROR(VLOOKUP(F799&amp;G799,Rec!B:C,2,0),K799)</f>
        <v/>
      </c>
      <c r="O799" s="156">
        <f>IFERROR(VLOOKUP(F799&amp;G799,Returns!A:B,2,0),0)</f>
        <v/>
      </c>
    </row>
    <row r="800" hidden="1" ht="14.4" customHeight="1" s="152">
      <c r="A800" s="221" t="n">
        <v>31</v>
      </c>
      <c r="B800" s="218">
        <f>VLOOKUP(G800,Matrix!R:AA,10,0)</f>
        <v/>
      </c>
      <c r="C800" s="156">
        <f>IF(K800&gt;=0.01,K800,IFERROR(VLOOKUP(F800&amp;G800,K!B:C,2,0),K800)+SUM(L800:N800))</f>
        <v/>
      </c>
      <c r="D800" s="218">
        <f>_xlfn.IFNA(INDEX('Injury Report'!F:F, MATCH(G800&amp;F800, 'Injury Report'!A:A, 0)), "Healthy")</f>
        <v/>
      </c>
      <c r="E800" s="219">
        <f>VLOOKUP(A800,'K Depth'!A:G,7,0)-1</f>
        <v/>
      </c>
      <c r="F800" s="218">
        <f>VLOOKUP(A800,'K Depth'!A:C,3,0)</f>
        <v/>
      </c>
      <c r="G800" s="218">
        <f>VLOOKUP(A800,'K Depth'!A:B,2,0)</f>
        <v/>
      </c>
      <c r="H800" s="218">
        <f>VLOOKUP(A800,'K Depth'!A:D,4,0)</f>
        <v/>
      </c>
      <c r="I800" s="218">
        <f>H800&amp;E800</f>
        <v/>
      </c>
      <c r="J800" s="220">
        <f>IF(VLOOKUP(F800,Rec!F:G,2,0)=G800,"OK","Check Team")</f>
        <v/>
      </c>
      <c r="K800" s="156" t="n"/>
      <c r="L800" s="156">
        <f>IFERROR(VLOOKUP(F800&amp;G800,Pass!B:C,2,0),0)</f>
        <v/>
      </c>
      <c r="M800" s="156">
        <f>IFERROR(VLOOKUP(F800&amp;G800,Rush!B:C,2,0),0)</f>
        <v/>
      </c>
      <c r="N800" s="156">
        <f>IFERROR(VLOOKUP(F800&amp;G800,Rec!B:C,2,0),K800)</f>
        <v/>
      </c>
      <c r="O800" s="156">
        <f>IFERROR(VLOOKUP(F800&amp;G800,Returns!A:B,2,0),0)</f>
        <v/>
      </c>
    </row>
    <row r="801" hidden="1" ht="14.4" customHeight="1" s="152">
      <c r="A801" s="221" t="n">
        <v>32</v>
      </c>
      <c r="B801" s="218">
        <f>VLOOKUP(G801,Matrix!R:AA,10,0)</f>
        <v/>
      </c>
      <c r="C801" s="156">
        <f>IF(K801&gt;=0.01,K801,IFERROR(VLOOKUP(F801&amp;G801,K!B:C,2,0),K801)+SUM(L801:N801))</f>
        <v/>
      </c>
      <c r="D801" s="218">
        <f>_xlfn.IFNA(INDEX('Injury Report'!F:F, MATCH(G801&amp;F801, 'Injury Report'!A:A, 0)), "Healthy")</f>
        <v/>
      </c>
      <c r="E801" s="219">
        <f>VLOOKUP(A801,'K Depth'!A:G,7,0)-1</f>
        <v/>
      </c>
      <c r="F801" s="218">
        <f>VLOOKUP(A801,'K Depth'!A:C,3,0)</f>
        <v/>
      </c>
      <c r="G801" s="218">
        <f>VLOOKUP(A801,'K Depth'!A:B,2,0)</f>
        <v/>
      </c>
      <c r="H801" s="218">
        <f>VLOOKUP(A801,'K Depth'!A:D,4,0)</f>
        <v/>
      </c>
      <c r="I801" s="218">
        <f>H801&amp;E801</f>
        <v/>
      </c>
      <c r="J801" s="220">
        <f>IF(VLOOKUP(F801,Rec!F:G,2,0)=G801,"OK","Check Team")</f>
        <v/>
      </c>
      <c r="K801" s="156" t="n"/>
      <c r="L801" s="156">
        <f>IFERROR(VLOOKUP(F801&amp;G801,Pass!B:C,2,0),0)</f>
        <v/>
      </c>
      <c r="M801" s="156">
        <f>IFERROR(VLOOKUP(F801&amp;G801,Rush!B:C,2,0),0)</f>
        <v/>
      </c>
      <c r="N801" s="156">
        <f>IFERROR(VLOOKUP(F801&amp;G801,Rec!B:C,2,0),K801)</f>
        <v/>
      </c>
      <c r="O801" s="156">
        <f>IFERROR(VLOOKUP(F801&amp;G801,Returns!A:B,2,0),0)</f>
        <v/>
      </c>
    </row>
    <row r="802" hidden="1" ht="14.4" customHeight="1" s="152">
      <c r="A802" s="221" t="n">
        <v>33</v>
      </c>
      <c r="B802" s="218">
        <f>VLOOKUP(G802,Matrix!R:AA,10,0)</f>
        <v/>
      </c>
      <c r="C802" s="156">
        <f>IF(K802&gt;=0.01,K802,IFERROR(VLOOKUP(F802&amp;G802,K!B:C,2,0),K802)+SUM(L802:N802))</f>
        <v/>
      </c>
      <c r="D802" s="218">
        <f>_xlfn.IFNA(INDEX('Injury Report'!F:F, MATCH(G802&amp;F802, 'Injury Report'!A:A, 0)), "Healthy")</f>
        <v/>
      </c>
      <c r="E802" s="219">
        <f>VLOOKUP(A802,'K Depth'!A:G,7,0)-1</f>
        <v/>
      </c>
      <c r="F802" s="218">
        <f>VLOOKUP(A802,'K Depth'!A:C,3,0)</f>
        <v/>
      </c>
      <c r="G802" s="218">
        <f>VLOOKUP(A802,'K Depth'!A:B,2,0)</f>
        <v/>
      </c>
      <c r="H802" s="218">
        <f>VLOOKUP(A802,'K Depth'!A:D,4,0)</f>
        <v/>
      </c>
      <c r="I802" s="218">
        <f>H802&amp;E802</f>
        <v/>
      </c>
      <c r="J802" s="220">
        <f>IF(VLOOKUP(F802,Rec!F:G,2,0)=G802,"OK","Check Team")</f>
        <v/>
      </c>
      <c r="K802" s="156" t="n"/>
      <c r="L802" s="156">
        <f>IFERROR(VLOOKUP(F802&amp;G802,Pass!B:C,2,0),0)</f>
        <v/>
      </c>
      <c r="M802" s="156">
        <f>IFERROR(VLOOKUP(F802&amp;G802,Rush!B:C,2,0),0)</f>
        <v/>
      </c>
      <c r="N802" s="156">
        <f>IFERROR(VLOOKUP(F802&amp;G802,Rec!B:C,2,0),K802)</f>
        <v/>
      </c>
      <c r="O802" s="156">
        <f>IFERROR(VLOOKUP(F802&amp;G802,Returns!A:B,2,0),0)</f>
        <v/>
      </c>
    </row>
    <row r="803" hidden="1" ht="14.4" customHeight="1" s="152">
      <c r="A803" s="221" t="n">
        <v>34</v>
      </c>
      <c r="B803" s="218">
        <f>VLOOKUP(G803,Matrix!R:AA,10,0)</f>
        <v/>
      </c>
      <c r="C803" s="156">
        <f>IF(K803&gt;=0.01,K803,IFERROR(VLOOKUP(F803&amp;G803,K!B:C,2,0),K803)+SUM(L803:N803))</f>
        <v/>
      </c>
      <c r="D803" s="218">
        <f>_xlfn.IFNA(INDEX('Injury Report'!F:F, MATCH(G803&amp;F803, 'Injury Report'!A:A, 0)), "Healthy")</f>
        <v/>
      </c>
      <c r="E803" s="219">
        <f>VLOOKUP(A803,'K Depth'!A:G,7,0)-1</f>
        <v/>
      </c>
      <c r="F803" s="218">
        <f>VLOOKUP(A803,'K Depth'!A:C,3,0)</f>
        <v/>
      </c>
      <c r="G803" s="218">
        <f>VLOOKUP(A803,'K Depth'!A:B,2,0)</f>
        <v/>
      </c>
      <c r="H803" s="218">
        <f>VLOOKUP(A803,'K Depth'!A:D,4,0)</f>
        <v/>
      </c>
      <c r="I803" s="218">
        <f>H803&amp;E803</f>
        <v/>
      </c>
      <c r="J803" s="220">
        <f>IF(VLOOKUP(F803,Rec!F:G,2,0)=G803,"OK","Check Team")</f>
        <v/>
      </c>
      <c r="K803" s="156" t="n"/>
      <c r="L803" s="156">
        <f>IFERROR(VLOOKUP(F803&amp;G803,Pass!B:C,2,0),0)</f>
        <v/>
      </c>
      <c r="M803" s="156">
        <f>IFERROR(VLOOKUP(F803&amp;G803,Rush!B:C,2,0),0)</f>
        <v/>
      </c>
      <c r="N803" s="156">
        <f>IFERROR(VLOOKUP(F803&amp;G803,Rec!B:C,2,0),K803)</f>
        <v/>
      </c>
      <c r="O803" s="156">
        <f>IFERROR(VLOOKUP(F803&amp;G803,Returns!A:B,2,0),0)</f>
        <v/>
      </c>
    </row>
    <row r="804" hidden="1" ht="14.4" customHeight="1" s="152">
      <c r="A804" s="221" t="n">
        <v>35</v>
      </c>
      <c r="B804" s="218">
        <f>VLOOKUP(G804,Matrix!R:AA,10,0)</f>
        <v/>
      </c>
      <c r="C804" s="156">
        <f>IF(K804&gt;=0.01,K804,IFERROR(VLOOKUP(F804&amp;G804,K!B:C,2,0),K804)+SUM(L804:N804))</f>
        <v/>
      </c>
      <c r="D804" s="218">
        <f>_xlfn.IFNA(INDEX('Injury Report'!F:F, MATCH(G804&amp;F804, 'Injury Report'!A:A, 0)), "Healthy")</f>
        <v/>
      </c>
      <c r="E804" s="219">
        <f>VLOOKUP(A804,'K Depth'!A:G,7,0)-1</f>
        <v/>
      </c>
      <c r="F804" s="218">
        <f>VLOOKUP(A804,'K Depth'!A:C,3,0)</f>
        <v/>
      </c>
      <c r="G804" s="218">
        <f>VLOOKUP(A804,'K Depth'!A:B,2,0)</f>
        <v/>
      </c>
      <c r="H804" s="218">
        <f>VLOOKUP(A804,'K Depth'!A:D,4,0)</f>
        <v/>
      </c>
      <c r="I804" s="218">
        <f>H804&amp;E804</f>
        <v/>
      </c>
      <c r="J804" s="220">
        <f>IF(VLOOKUP(F804,Rec!F:G,2,0)=G804,"OK","Check Team")</f>
        <v/>
      </c>
      <c r="K804" s="156" t="n"/>
      <c r="L804" s="156">
        <f>IFERROR(VLOOKUP(F804&amp;G804,Pass!B:C,2,0),0)</f>
        <v/>
      </c>
      <c r="M804" s="156">
        <f>IFERROR(VLOOKUP(F804&amp;G804,Rush!B:C,2,0),0)</f>
        <v/>
      </c>
      <c r="N804" s="156">
        <f>IFERROR(VLOOKUP(F804&amp;G804,Rec!B:C,2,0),K804)</f>
        <v/>
      </c>
      <c r="O804" s="156">
        <f>IFERROR(VLOOKUP(F804&amp;G804,Returns!A:B,2,0),0)</f>
        <v/>
      </c>
    </row>
    <row r="805" hidden="1" ht="14.4" customHeight="1" s="152">
      <c r="A805" s="221" t="n">
        <v>36</v>
      </c>
      <c r="B805" s="218">
        <f>VLOOKUP(G805,Matrix!R:AA,10,0)</f>
        <v/>
      </c>
      <c r="C805" s="156">
        <f>IF(K805&gt;=0.01,K805,IFERROR(VLOOKUP(F805&amp;G805,K!B:C,2,0),K805)+SUM(L805:N805))</f>
        <v/>
      </c>
      <c r="D805" s="218">
        <f>_xlfn.IFNA(INDEX('Injury Report'!F:F, MATCH(G805&amp;F805, 'Injury Report'!A:A, 0)), "Healthy")</f>
        <v/>
      </c>
      <c r="E805" s="219">
        <f>VLOOKUP(A805,'K Depth'!A:G,7,0)-1</f>
        <v/>
      </c>
      <c r="F805" s="218">
        <f>VLOOKUP(A805,'K Depth'!A:C,3,0)</f>
        <v/>
      </c>
      <c r="G805" s="218">
        <f>VLOOKUP(A805,'K Depth'!A:B,2,0)</f>
        <v/>
      </c>
      <c r="H805" s="218">
        <f>VLOOKUP(A805,'K Depth'!A:D,4,0)</f>
        <v/>
      </c>
      <c r="I805" s="218">
        <f>H805&amp;E805</f>
        <v/>
      </c>
      <c r="J805" s="220">
        <f>IF(VLOOKUP(F805,Rec!F:G,2,0)=G805,"OK","Check Team")</f>
        <v/>
      </c>
      <c r="K805" s="156" t="n"/>
      <c r="L805" s="156">
        <f>IFERROR(VLOOKUP(F805&amp;G805,Pass!B:C,2,0),0)</f>
        <v/>
      </c>
      <c r="M805" s="156">
        <f>IFERROR(VLOOKUP(F805&amp;G805,Rush!B:C,2,0),0)</f>
        <v/>
      </c>
      <c r="N805" s="156">
        <f>IFERROR(VLOOKUP(F805&amp;G805,Rec!B:C,2,0),K805)</f>
        <v/>
      </c>
      <c r="O805" s="156">
        <f>IFERROR(VLOOKUP(F805&amp;G805,Returns!A:B,2,0),0)</f>
        <v/>
      </c>
    </row>
    <row r="806" hidden="1" ht="14.4" customHeight="1" s="152">
      <c r="A806" s="221" t="n">
        <v>37</v>
      </c>
      <c r="B806" s="218">
        <f>VLOOKUP(G806,Matrix!R:AA,10,0)</f>
        <v/>
      </c>
      <c r="C806" s="156">
        <f>IF(K806&gt;=0.01,K806,IFERROR(VLOOKUP(F806&amp;G806,K!B:C,2,0),K806)+SUM(L806:N806))</f>
        <v/>
      </c>
      <c r="D806" s="218">
        <f>_xlfn.IFNA(INDEX('Injury Report'!F:F, MATCH(G806&amp;F806, 'Injury Report'!A:A, 0)), "Healthy")</f>
        <v/>
      </c>
      <c r="E806" s="219">
        <f>VLOOKUP(A806,'K Depth'!A:G,7,0)-1</f>
        <v/>
      </c>
      <c r="F806" s="218">
        <f>VLOOKUP(A806,'K Depth'!A:C,3,0)</f>
        <v/>
      </c>
      <c r="G806" s="218">
        <f>VLOOKUP(A806,'K Depth'!A:B,2,0)</f>
        <v/>
      </c>
      <c r="H806" s="218">
        <f>VLOOKUP(A806,'K Depth'!A:D,4,0)</f>
        <v/>
      </c>
      <c r="I806" s="218">
        <f>H806&amp;E806</f>
        <v/>
      </c>
      <c r="J806" s="220">
        <f>IF(VLOOKUP(F806,Rec!F:G,2,0)=G806,"OK","Check Team")</f>
        <v/>
      </c>
      <c r="K806" s="156" t="n"/>
      <c r="L806" s="156">
        <f>IFERROR(VLOOKUP(F806&amp;G806,Pass!B:C,2,0),0)</f>
        <v/>
      </c>
      <c r="M806" s="156">
        <f>IFERROR(VLOOKUP(F806&amp;G806,Rush!B:C,2,0),0)</f>
        <v/>
      </c>
      <c r="N806" s="156">
        <f>IFERROR(VLOOKUP(F806&amp;G806,Rec!B:C,2,0),K806)</f>
        <v/>
      </c>
      <c r="O806" s="156">
        <f>IFERROR(VLOOKUP(F806&amp;G806,Returns!A:B,2,0),0)</f>
        <v/>
      </c>
    </row>
    <row r="807" hidden="1" ht="14.4" customHeight="1" s="152">
      <c r="A807" s="221" t="n">
        <v>38</v>
      </c>
      <c r="B807" s="218">
        <f>VLOOKUP(G807,Matrix!R:AA,10,0)</f>
        <v/>
      </c>
      <c r="C807" s="156">
        <f>IF(K807&gt;=0.01,K807,IFERROR(VLOOKUP(F807&amp;G807,K!B:C,2,0),K807)+SUM(L807:N807))</f>
        <v/>
      </c>
      <c r="D807" s="218">
        <f>_xlfn.IFNA(INDEX('Injury Report'!F:F, MATCH(G807&amp;F807, 'Injury Report'!A:A, 0)), "Healthy")</f>
        <v/>
      </c>
      <c r="E807" s="219">
        <f>VLOOKUP(A807,'K Depth'!A:G,7,0)-1</f>
        <v/>
      </c>
      <c r="F807" s="218">
        <f>VLOOKUP(A807,'K Depth'!A:C,3,0)</f>
        <v/>
      </c>
      <c r="G807" s="218">
        <f>VLOOKUP(A807,'K Depth'!A:B,2,0)</f>
        <v/>
      </c>
      <c r="H807" s="218">
        <f>VLOOKUP(A807,'K Depth'!A:D,4,0)</f>
        <v/>
      </c>
      <c r="I807" s="218">
        <f>H807&amp;E807</f>
        <v/>
      </c>
      <c r="J807" s="220">
        <f>IF(VLOOKUP(F807,Rec!F:G,2,0)=G807,"OK","Check Team")</f>
        <v/>
      </c>
      <c r="K807" s="156" t="n"/>
      <c r="L807" s="156">
        <f>IFERROR(VLOOKUP(F807&amp;G807,Pass!B:C,2,0),0)</f>
        <v/>
      </c>
      <c r="M807" s="156">
        <f>IFERROR(VLOOKUP(F807&amp;G807,Rush!B:C,2,0),0)</f>
        <v/>
      </c>
      <c r="N807" s="156">
        <f>IFERROR(VLOOKUP(F807&amp;G807,Rec!B:C,2,0),K807)</f>
        <v/>
      </c>
      <c r="O807" s="156">
        <f>IFERROR(VLOOKUP(F807&amp;G807,Returns!A:B,2,0),0)</f>
        <v/>
      </c>
    </row>
    <row r="808" hidden="1" ht="14.4" customHeight="1" s="152">
      <c r="A808" s="221" t="n">
        <v>39</v>
      </c>
      <c r="B808" s="218">
        <f>VLOOKUP(G808,Matrix!R:AA,10,0)</f>
        <v/>
      </c>
      <c r="C808" s="156">
        <f>IF(K808&gt;=0.01,K808,IFERROR(VLOOKUP(F808&amp;G808,K!B:C,2,0),K808)+SUM(L808:N808))</f>
        <v/>
      </c>
      <c r="D808" s="218">
        <f>_xlfn.IFNA(INDEX('Injury Report'!F:F, MATCH(G808&amp;F808, 'Injury Report'!A:A, 0)), "Healthy")</f>
        <v/>
      </c>
      <c r="E808" s="219">
        <f>VLOOKUP(A808,'K Depth'!A:G,7,0)-1</f>
        <v/>
      </c>
      <c r="F808" s="218">
        <f>VLOOKUP(A808,'K Depth'!A:C,3,0)</f>
        <v/>
      </c>
      <c r="G808" s="218">
        <f>VLOOKUP(A808,'K Depth'!A:B,2,0)</f>
        <v/>
      </c>
      <c r="H808" s="218">
        <f>VLOOKUP(A808,'K Depth'!A:D,4,0)</f>
        <v/>
      </c>
      <c r="I808" s="218">
        <f>H808&amp;E808</f>
        <v/>
      </c>
      <c r="J808" s="220">
        <f>IF(VLOOKUP(F808,Rec!F:G,2,0)=G808,"OK","Check Team")</f>
        <v/>
      </c>
      <c r="K808" s="156" t="n"/>
      <c r="L808" s="156">
        <f>IFERROR(VLOOKUP(F808&amp;G808,Pass!B:C,2,0),0)</f>
        <v/>
      </c>
      <c r="M808" s="156">
        <f>IFERROR(VLOOKUP(F808&amp;G808,Rush!B:C,2,0),0)</f>
        <v/>
      </c>
      <c r="N808" s="156">
        <f>IFERROR(VLOOKUP(F808&amp;G808,Rec!B:C,2,0),K808)</f>
        <v/>
      </c>
      <c r="O808" s="156">
        <f>IFERROR(VLOOKUP(F808&amp;G808,Returns!A:B,2,0),0)</f>
        <v/>
      </c>
    </row>
    <row r="809" hidden="1" ht="14.4" customHeight="1" s="152">
      <c r="A809" s="221" t="n">
        <v>40</v>
      </c>
      <c r="B809" s="218">
        <f>VLOOKUP(G809,Matrix!R:AA,10,0)</f>
        <v/>
      </c>
      <c r="C809" s="156">
        <f>IF(K809&gt;=0.01,K809,IFERROR(VLOOKUP(F809&amp;G809,K!B:C,2,0),K809)+SUM(L809:N809))</f>
        <v/>
      </c>
      <c r="D809" s="218">
        <f>_xlfn.IFNA(INDEX('Injury Report'!F:F, MATCH(G809&amp;F809, 'Injury Report'!A:A, 0)), "Healthy")</f>
        <v/>
      </c>
      <c r="E809" s="219">
        <f>VLOOKUP(A809,'K Depth'!A:G,7,0)-1</f>
        <v/>
      </c>
      <c r="F809" s="218">
        <f>VLOOKUP(A809,'K Depth'!A:C,3,0)</f>
        <v/>
      </c>
      <c r="G809" s="218">
        <f>VLOOKUP(A809,'K Depth'!A:B,2,0)</f>
        <v/>
      </c>
      <c r="H809" s="218">
        <f>VLOOKUP(A809,'K Depth'!A:D,4,0)</f>
        <v/>
      </c>
      <c r="I809" s="218">
        <f>H809&amp;E809</f>
        <v/>
      </c>
      <c r="J809" s="220">
        <f>IF(VLOOKUP(F809,Rec!F:G,2,0)=G809,"OK","Check Team")</f>
        <v/>
      </c>
      <c r="K809" s="156" t="n"/>
      <c r="L809" s="156">
        <f>IFERROR(VLOOKUP(F809&amp;G809,Pass!B:C,2,0),0)</f>
        <v/>
      </c>
      <c r="M809" s="156">
        <f>IFERROR(VLOOKUP(F809&amp;G809,Rush!B:C,2,0),0)</f>
        <v/>
      </c>
      <c r="N809" s="156">
        <f>IFERROR(VLOOKUP(F809&amp;G809,Rec!B:C,2,0),K809)</f>
        <v/>
      </c>
      <c r="O809" s="156">
        <f>IFERROR(VLOOKUP(F809&amp;G809,Returns!A:B,2,0),0)</f>
        <v/>
      </c>
    </row>
    <row r="810" hidden="1" ht="14.4" customHeight="1" s="152">
      <c r="A810" s="221" t="n">
        <v>41</v>
      </c>
      <c r="B810" s="218">
        <f>VLOOKUP(G810,Matrix!R:AA,10,0)</f>
        <v/>
      </c>
      <c r="C810" s="156">
        <f>IF(K810&gt;=0.01,K810,IFERROR(VLOOKUP(F810&amp;G810,K!B:C,2,0),K810)+SUM(L810:N810))</f>
        <v/>
      </c>
      <c r="D810" s="218">
        <f>_xlfn.IFNA(INDEX('Injury Report'!F:F, MATCH(G810&amp;F810, 'Injury Report'!A:A, 0)), "Healthy")</f>
        <v/>
      </c>
      <c r="E810" s="219">
        <f>VLOOKUP(A810,'K Depth'!A:G,7,0)-1</f>
        <v/>
      </c>
      <c r="F810" s="218">
        <f>VLOOKUP(A810,'K Depth'!A:C,3,0)</f>
        <v/>
      </c>
      <c r="G810" s="218">
        <f>VLOOKUP(A810,'K Depth'!A:B,2,0)</f>
        <v/>
      </c>
      <c r="H810" s="218">
        <f>VLOOKUP(A810,'K Depth'!A:D,4,0)</f>
        <v/>
      </c>
      <c r="I810" s="218">
        <f>H810&amp;E810</f>
        <v/>
      </c>
      <c r="J810" s="220">
        <f>IF(VLOOKUP(F810,Rec!F:G,2,0)=G810,"OK","Check Team")</f>
        <v/>
      </c>
      <c r="K810" s="156" t="n"/>
      <c r="L810" s="156">
        <f>IFERROR(VLOOKUP(F810&amp;G810,Pass!B:C,2,0),0)</f>
        <v/>
      </c>
      <c r="M810" s="156">
        <f>IFERROR(VLOOKUP(F810&amp;G810,Rush!B:C,2,0),0)</f>
        <v/>
      </c>
      <c r="N810" s="156">
        <f>IFERROR(VLOOKUP(F810&amp;G810,Rec!B:C,2,0),K810)</f>
        <v/>
      </c>
      <c r="O810" s="156">
        <f>IFERROR(VLOOKUP(F810&amp;G810,Returns!A:B,2,0),0)</f>
        <v/>
      </c>
    </row>
    <row r="811" hidden="1" ht="14.4" customHeight="1" s="152">
      <c r="A811" s="221" t="n">
        <v>42</v>
      </c>
      <c r="B811" s="218">
        <f>VLOOKUP(G811,Matrix!R:AA,10,0)</f>
        <v/>
      </c>
      <c r="C811" s="156">
        <f>IF(K811&gt;=0.01,K811,IFERROR(VLOOKUP(F811&amp;G811,K!B:C,2,0),K811)+SUM(L811:N811))</f>
        <v/>
      </c>
      <c r="D811" s="218">
        <f>_xlfn.IFNA(INDEX('Injury Report'!F:F, MATCH(G811&amp;F811, 'Injury Report'!A:A, 0)), "Healthy")</f>
        <v/>
      </c>
      <c r="E811" s="219">
        <f>VLOOKUP(A811,'K Depth'!A:G,7,0)-1</f>
        <v/>
      </c>
      <c r="F811" s="218">
        <f>VLOOKUP(A811,'K Depth'!A:C,3,0)</f>
        <v/>
      </c>
      <c r="G811" s="218">
        <f>VLOOKUP(A811,'K Depth'!A:B,2,0)</f>
        <v/>
      </c>
      <c r="H811" s="218">
        <f>VLOOKUP(A811,'K Depth'!A:D,4,0)</f>
        <v/>
      </c>
      <c r="I811" s="218">
        <f>H811&amp;E811</f>
        <v/>
      </c>
      <c r="J811" s="220">
        <f>IF(VLOOKUP(F811,Rec!F:G,2,0)=G811,"OK","Check Team")</f>
        <v/>
      </c>
      <c r="K811" s="156" t="n"/>
      <c r="L811" s="156">
        <f>IFERROR(VLOOKUP(F811&amp;G811,Pass!B:C,2,0),0)</f>
        <v/>
      </c>
      <c r="M811" s="156">
        <f>IFERROR(VLOOKUP(F811&amp;G811,Rush!B:C,2,0),0)</f>
        <v/>
      </c>
      <c r="N811" s="156">
        <f>IFERROR(VLOOKUP(F811&amp;G811,Rec!B:C,2,0),K811)</f>
        <v/>
      </c>
      <c r="O811" s="156">
        <f>IFERROR(VLOOKUP(F811&amp;G811,Returns!A:B,2,0),0)</f>
        <v/>
      </c>
    </row>
    <row r="812" hidden="1" ht="14.4" customHeight="1" s="152">
      <c r="A812" s="221" t="n">
        <v>43</v>
      </c>
      <c r="B812" s="218">
        <f>VLOOKUP(G812,Matrix!R:AA,10,0)</f>
        <v/>
      </c>
      <c r="C812" s="156">
        <f>IF(K812&gt;=0.01,K812,IFERROR(VLOOKUP(F812&amp;G812,K!B:C,2,0),K812)+SUM(L812:N812))</f>
        <v/>
      </c>
      <c r="D812" s="218">
        <f>_xlfn.IFNA(INDEX('Injury Report'!F:F, MATCH(G812&amp;F812, 'Injury Report'!A:A, 0)), "Healthy")</f>
        <v/>
      </c>
      <c r="E812" s="219">
        <f>VLOOKUP(A812,'K Depth'!A:G,7,0)-1</f>
        <v/>
      </c>
      <c r="F812" s="218">
        <f>VLOOKUP(A812,'K Depth'!A:C,3,0)</f>
        <v/>
      </c>
      <c r="G812" s="218">
        <f>VLOOKUP(A812,'K Depth'!A:B,2,0)</f>
        <v/>
      </c>
      <c r="H812" s="218">
        <f>VLOOKUP(A812,'K Depth'!A:D,4,0)</f>
        <v/>
      </c>
      <c r="I812" s="218">
        <f>H812&amp;E812</f>
        <v/>
      </c>
      <c r="J812" s="220">
        <f>IF(VLOOKUP(F812,Rec!F:G,2,0)=G812,"OK","Check Team")</f>
        <v/>
      </c>
      <c r="K812" s="156" t="n"/>
      <c r="L812" s="156">
        <f>IFERROR(VLOOKUP(F812&amp;G812,Pass!B:C,2,0),0)</f>
        <v/>
      </c>
      <c r="M812" s="156">
        <f>IFERROR(VLOOKUP(F812&amp;G812,Rush!B:C,2,0),0)</f>
        <v/>
      </c>
      <c r="N812" s="156">
        <f>IFERROR(VLOOKUP(F812&amp;G812,Rec!B:C,2,0),K812)</f>
        <v/>
      </c>
      <c r="O812" s="156">
        <f>IFERROR(VLOOKUP(F812&amp;G812,Returns!A:B,2,0),0)</f>
        <v/>
      </c>
    </row>
    <row r="813" hidden="1" ht="14.4" customHeight="1" s="152">
      <c r="A813" s="221" t="n">
        <v>44</v>
      </c>
      <c r="B813" s="218">
        <f>VLOOKUP(G813,Matrix!R:AA,10,0)</f>
        <v/>
      </c>
      <c r="C813" s="156">
        <f>IF(K813&gt;=0.01,K813,IFERROR(VLOOKUP(F813&amp;G813,K!B:C,2,0),K813)+SUM(L813:N813))</f>
        <v/>
      </c>
      <c r="D813" s="218">
        <f>_xlfn.IFNA(INDEX('Injury Report'!F:F, MATCH(G813&amp;F813, 'Injury Report'!A:A, 0)), "Healthy")</f>
        <v/>
      </c>
      <c r="E813" s="219">
        <f>VLOOKUP(A813,'K Depth'!A:G,7,0)-1</f>
        <v/>
      </c>
      <c r="F813" s="218">
        <f>VLOOKUP(A813,'K Depth'!A:C,3,0)</f>
        <v/>
      </c>
      <c r="G813" s="218">
        <f>VLOOKUP(A813,'K Depth'!A:B,2,0)</f>
        <v/>
      </c>
      <c r="H813" s="218">
        <f>VLOOKUP(A813,'K Depth'!A:D,4,0)</f>
        <v/>
      </c>
      <c r="I813" s="218">
        <f>H813&amp;E813</f>
        <v/>
      </c>
      <c r="J813" s="220">
        <f>IF(VLOOKUP(F813,Rec!F:G,2,0)=G813,"OK","Check Team")</f>
        <v/>
      </c>
      <c r="K813" s="156" t="n"/>
      <c r="L813" s="156">
        <f>IFERROR(VLOOKUP(F813&amp;G813,Pass!B:C,2,0),0)</f>
        <v/>
      </c>
      <c r="M813" s="156">
        <f>IFERROR(VLOOKUP(F813&amp;G813,Rush!B:C,2,0),0)</f>
        <v/>
      </c>
      <c r="N813" s="156">
        <f>IFERROR(VLOOKUP(F813&amp;G813,Rec!B:C,2,0),K813)</f>
        <v/>
      </c>
      <c r="O813" s="156">
        <f>IFERROR(VLOOKUP(F813&amp;G813,Returns!A:B,2,0),0)</f>
        <v/>
      </c>
    </row>
    <row r="814" hidden="1" ht="14.4" customHeight="1" s="152">
      <c r="A814" s="221" t="n">
        <v>45</v>
      </c>
      <c r="B814" s="218">
        <f>VLOOKUP(G814,Matrix!R:AA,10,0)</f>
        <v/>
      </c>
      <c r="C814" s="156">
        <f>IF(K814&gt;=0.01,K814,IFERROR(VLOOKUP(F814&amp;G814,K!B:C,2,0),K814)+SUM(L814:N814))</f>
        <v/>
      </c>
      <c r="D814" s="218">
        <f>_xlfn.IFNA(INDEX('Injury Report'!F:F, MATCH(G814&amp;F814, 'Injury Report'!A:A, 0)), "Healthy")</f>
        <v/>
      </c>
      <c r="E814" s="219">
        <f>VLOOKUP(A814,'K Depth'!A:G,7,0)-1</f>
        <v/>
      </c>
      <c r="F814" s="218">
        <f>VLOOKUP(A814,'K Depth'!A:C,3,0)</f>
        <v/>
      </c>
      <c r="G814" s="218">
        <f>VLOOKUP(A814,'K Depth'!A:B,2,0)</f>
        <v/>
      </c>
      <c r="H814" s="218">
        <f>VLOOKUP(A814,'K Depth'!A:D,4,0)</f>
        <v/>
      </c>
      <c r="I814" s="218">
        <f>H814&amp;E814</f>
        <v/>
      </c>
      <c r="J814" s="220">
        <f>IF(VLOOKUP(F814,Rec!F:G,2,0)=G814,"OK","Check Team")</f>
        <v/>
      </c>
      <c r="K814" s="156" t="n"/>
      <c r="L814" s="156">
        <f>IFERROR(VLOOKUP(F814&amp;G814,Pass!B:C,2,0),0)</f>
        <v/>
      </c>
      <c r="M814" s="156">
        <f>IFERROR(VLOOKUP(F814&amp;G814,Rush!B:C,2,0),0)</f>
        <v/>
      </c>
      <c r="N814" s="156">
        <f>IFERROR(VLOOKUP(F814&amp;G814,Rec!B:C,2,0),K814)</f>
        <v/>
      </c>
      <c r="O814" s="156">
        <f>IFERROR(VLOOKUP(F814&amp;G814,Returns!A:B,2,0),0)</f>
        <v/>
      </c>
    </row>
    <row r="815" hidden="1" ht="14.4" customHeight="1" s="152">
      <c r="A815" s="221" t="n">
        <v>46</v>
      </c>
      <c r="B815" s="218">
        <f>VLOOKUP(G815,Matrix!R:AA,10,0)</f>
        <v/>
      </c>
      <c r="C815" s="156">
        <f>IF(K815&gt;=0.01,K815,IFERROR(VLOOKUP(F815&amp;G815,K!B:C,2,0),K815)+SUM(L815:N815))</f>
        <v/>
      </c>
      <c r="D815" s="218">
        <f>_xlfn.IFNA(INDEX('Injury Report'!F:F, MATCH(G815&amp;F815, 'Injury Report'!A:A, 0)), "Healthy")</f>
        <v/>
      </c>
      <c r="E815" s="219">
        <f>VLOOKUP(A815,'K Depth'!A:G,7,0)-1</f>
        <v/>
      </c>
      <c r="F815" s="218">
        <f>VLOOKUP(A815,'K Depth'!A:C,3,0)</f>
        <v/>
      </c>
      <c r="G815" s="218">
        <f>VLOOKUP(A815,'K Depth'!A:B,2,0)</f>
        <v/>
      </c>
      <c r="H815" s="218">
        <f>VLOOKUP(A815,'K Depth'!A:D,4,0)</f>
        <v/>
      </c>
      <c r="I815" s="218">
        <f>H815&amp;E815</f>
        <v/>
      </c>
      <c r="J815" s="220">
        <f>IF(VLOOKUP(F815,Rec!F:G,2,0)=G815,"OK","Check Team")</f>
        <v/>
      </c>
      <c r="K815" s="156" t="n"/>
      <c r="L815" s="156">
        <f>IFERROR(VLOOKUP(F815&amp;G815,Pass!B:C,2,0),0)</f>
        <v/>
      </c>
      <c r="M815" s="156">
        <f>IFERROR(VLOOKUP(F815&amp;G815,Rush!B:C,2,0),0)</f>
        <v/>
      </c>
      <c r="N815" s="156">
        <f>IFERROR(VLOOKUP(F815&amp;G815,Rec!B:C,2,0),K815)</f>
        <v/>
      </c>
      <c r="O815" s="156">
        <f>IFERROR(VLOOKUP(F815&amp;G815,Returns!A:B,2,0),0)</f>
        <v/>
      </c>
    </row>
    <row r="816" hidden="1" ht="14.4" customHeight="1" s="152">
      <c r="A816" s="221" t="n">
        <v>47</v>
      </c>
      <c r="B816" s="218">
        <f>VLOOKUP(G816,Matrix!R:AA,10,0)</f>
        <v/>
      </c>
      <c r="C816" s="156">
        <f>IF(K816&gt;=0.01,K816,IFERROR(VLOOKUP(F816&amp;G816,K!B:C,2,0),K816)+SUM(L816:N816))</f>
        <v/>
      </c>
      <c r="D816" s="218">
        <f>_xlfn.IFNA(INDEX('Injury Report'!F:F, MATCH(G816&amp;F816, 'Injury Report'!A:A, 0)), "Healthy")</f>
        <v/>
      </c>
      <c r="E816" s="219">
        <f>VLOOKUP(A816,'K Depth'!A:G,7,0)-1</f>
        <v/>
      </c>
      <c r="F816" s="218">
        <f>VLOOKUP(A816,'K Depth'!A:C,3,0)</f>
        <v/>
      </c>
      <c r="G816" s="218">
        <f>VLOOKUP(A816,'K Depth'!A:B,2,0)</f>
        <v/>
      </c>
      <c r="H816" s="218">
        <f>VLOOKUP(A816,'K Depth'!A:D,4,0)</f>
        <v/>
      </c>
      <c r="I816" s="218">
        <f>H816&amp;E816</f>
        <v/>
      </c>
      <c r="J816" s="220">
        <f>IF(VLOOKUP(F816,Rec!F:G,2,0)=G816,"OK","Check Team")</f>
        <v/>
      </c>
      <c r="K816" s="156" t="n"/>
      <c r="L816" s="156">
        <f>IFERROR(VLOOKUP(F816&amp;G816,Pass!B:C,2,0),0)</f>
        <v/>
      </c>
      <c r="M816" s="156">
        <f>IFERROR(VLOOKUP(F816&amp;G816,Rush!B:C,2,0),0)</f>
        <v/>
      </c>
      <c r="N816" s="156">
        <f>IFERROR(VLOOKUP(F816&amp;G816,Rec!B:C,2,0),K816)</f>
        <v/>
      </c>
      <c r="O816" s="156">
        <f>IFERROR(VLOOKUP(F816&amp;G816,Returns!A:B,2,0),0)</f>
        <v/>
      </c>
    </row>
    <row r="817" hidden="1" ht="14.4" customHeight="1" s="152">
      <c r="A817" s="221" t="n">
        <v>48</v>
      </c>
      <c r="B817" s="218">
        <f>VLOOKUP(G817,Matrix!R:AA,10,0)</f>
        <v/>
      </c>
      <c r="C817" s="156">
        <f>IF(K817&gt;=0.01,K817,IFERROR(VLOOKUP(F817&amp;G817,K!B:C,2,0),K817)+SUM(L817:N817))</f>
        <v/>
      </c>
      <c r="D817" s="218">
        <f>_xlfn.IFNA(INDEX('Injury Report'!F:F, MATCH(G817&amp;F817, 'Injury Report'!A:A, 0)), "Healthy")</f>
        <v/>
      </c>
      <c r="E817" s="219">
        <f>VLOOKUP(A817,'K Depth'!A:G,7,0)-1</f>
        <v/>
      </c>
      <c r="F817" s="218">
        <f>VLOOKUP(A817,'K Depth'!A:C,3,0)</f>
        <v/>
      </c>
      <c r="G817" s="218">
        <f>VLOOKUP(A817,'K Depth'!A:B,2,0)</f>
        <v/>
      </c>
      <c r="H817" s="218">
        <f>VLOOKUP(A817,'K Depth'!A:D,4,0)</f>
        <v/>
      </c>
      <c r="I817" s="218">
        <f>H817&amp;E817</f>
        <v/>
      </c>
      <c r="J817" s="220">
        <f>IF(VLOOKUP(F817,Rec!F:G,2,0)=G817,"OK","Check Team")</f>
        <v/>
      </c>
      <c r="K817" s="156" t="n"/>
      <c r="L817" s="156">
        <f>IFERROR(VLOOKUP(F817&amp;G817,Pass!B:C,2,0),0)</f>
        <v/>
      </c>
      <c r="M817" s="156">
        <f>IFERROR(VLOOKUP(F817&amp;G817,Rush!B:C,2,0),0)</f>
        <v/>
      </c>
      <c r="N817" s="156">
        <f>IFERROR(VLOOKUP(F817&amp;G817,Rec!B:C,2,0),K817)</f>
        <v/>
      </c>
      <c r="O817" s="156">
        <f>IFERROR(VLOOKUP(F817&amp;G817,Returns!A:B,2,0),0)</f>
        <v/>
      </c>
    </row>
    <row r="818" hidden="1" ht="14.4" customHeight="1" s="152">
      <c r="A818" s="221" t="n">
        <v>49</v>
      </c>
      <c r="B818" s="218">
        <f>VLOOKUP(G818,Matrix!R:AA,10,0)</f>
        <v/>
      </c>
      <c r="C818" s="156">
        <f>IF(K818&gt;=0.01,K818,IFERROR(VLOOKUP(F818&amp;G818,K!B:C,2,0),K818)+SUM(L818:N818))</f>
        <v/>
      </c>
      <c r="D818" s="218">
        <f>_xlfn.IFNA(INDEX('Injury Report'!F:F, MATCH(G818&amp;F818, 'Injury Report'!A:A, 0)), "Healthy")</f>
        <v/>
      </c>
      <c r="E818" s="219">
        <f>VLOOKUP(A818,'K Depth'!A:G,7,0)-1</f>
        <v/>
      </c>
      <c r="F818" s="218">
        <f>VLOOKUP(A818,'K Depth'!A:C,3,0)</f>
        <v/>
      </c>
      <c r="G818" s="218">
        <f>VLOOKUP(A818,'K Depth'!A:B,2,0)</f>
        <v/>
      </c>
      <c r="H818" s="218">
        <f>VLOOKUP(A818,'K Depth'!A:D,4,0)</f>
        <v/>
      </c>
      <c r="I818" s="218">
        <f>H818&amp;E818</f>
        <v/>
      </c>
      <c r="J818" s="220">
        <f>IF(VLOOKUP(F818,Rec!F:G,2,0)=G818,"OK","Check Team")</f>
        <v/>
      </c>
      <c r="K818" s="156" t="n"/>
      <c r="L818" s="156">
        <f>IFERROR(VLOOKUP(F818&amp;G818,Pass!B:C,2,0),0)</f>
        <v/>
      </c>
      <c r="M818" s="156">
        <f>IFERROR(VLOOKUP(F818&amp;G818,Rush!B:C,2,0),0)</f>
        <v/>
      </c>
      <c r="N818" s="156">
        <f>IFERROR(VLOOKUP(F818&amp;G818,Rec!B:C,2,0),K818)</f>
        <v/>
      </c>
      <c r="O818" s="156">
        <f>IFERROR(VLOOKUP(F818&amp;G818,Returns!A:B,2,0),0)</f>
        <v/>
      </c>
    </row>
    <row r="819" hidden="1" ht="14.4" customHeight="1" s="152">
      <c r="A819" s="221" t="n">
        <v>50</v>
      </c>
      <c r="B819" s="218">
        <f>VLOOKUP(G819,Matrix!R:AA,10,0)</f>
        <v/>
      </c>
      <c r="C819" s="156">
        <f>IF(K819&gt;=0.01,K819,IFERROR(VLOOKUP(F819&amp;G819,K!B:C,2,0),K819)+SUM(L819:N819))</f>
        <v/>
      </c>
      <c r="D819" s="218">
        <f>_xlfn.IFNA(INDEX('Injury Report'!F:F, MATCH(G819&amp;F819, 'Injury Report'!A:A, 0)), "Healthy")</f>
        <v/>
      </c>
      <c r="E819" s="219">
        <f>VLOOKUP(A819,'K Depth'!A:G,7,0)-1</f>
        <v/>
      </c>
      <c r="F819" s="218">
        <f>VLOOKUP(A819,'K Depth'!A:C,3,0)</f>
        <v/>
      </c>
      <c r="G819" s="218">
        <f>VLOOKUP(A819,'K Depth'!A:B,2,0)</f>
        <v/>
      </c>
      <c r="H819" s="218">
        <f>VLOOKUP(A819,'K Depth'!A:D,4,0)</f>
        <v/>
      </c>
      <c r="I819" s="218">
        <f>H819&amp;E819</f>
        <v/>
      </c>
      <c r="J819" s="220">
        <f>IF(VLOOKUP(F819,Rec!F:G,2,0)=G819,"OK","Check Team")</f>
        <v/>
      </c>
      <c r="K819" s="156" t="n"/>
      <c r="L819" s="156">
        <f>IFERROR(VLOOKUP(F819&amp;G819,Pass!B:C,2,0),0)</f>
        <v/>
      </c>
      <c r="M819" s="156">
        <f>IFERROR(VLOOKUP(F819&amp;G819,Rush!B:C,2,0),0)</f>
        <v/>
      </c>
      <c r="N819" s="156">
        <f>IFERROR(VLOOKUP(F819&amp;G819,Rec!B:C,2,0),K819)</f>
        <v/>
      </c>
      <c r="O819" s="156">
        <f>IFERROR(VLOOKUP(F819&amp;G819,Returns!A:B,2,0),0)</f>
        <v/>
      </c>
    </row>
    <row r="820" hidden="1" ht="14.4" customHeight="1" s="152">
      <c r="A820" s="221" t="n">
        <v>51</v>
      </c>
      <c r="B820" s="218">
        <f>VLOOKUP(G820,Matrix!R:AA,10,0)</f>
        <v/>
      </c>
      <c r="C820" s="156">
        <f>IF(K820&gt;=0.01,K820,IFERROR(VLOOKUP(F820&amp;G820,K!B:C,2,0),K820)+SUM(L820:N820))</f>
        <v/>
      </c>
      <c r="D820" s="218">
        <f>_xlfn.IFNA(INDEX('Injury Report'!F:F, MATCH(G820&amp;F820, 'Injury Report'!A:A, 0)), "Healthy")</f>
        <v/>
      </c>
      <c r="E820" s="219">
        <f>VLOOKUP(A820,'K Depth'!A:G,7,0)-1</f>
        <v/>
      </c>
      <c r="F820" s="218">
        <f>VLOOKUP(A820,'K Depth'!A:C,3,0)</f>
        <v/>
      </c>
      <c r="G820" s="218">
        <f>VLOOKUP(A820,'K Depth'!A:B,2,0)</f>
        <v/>
      </c>
      <c r="H820" s="218">
        <f>VLOOKUP(A820,'K Depth'!A:D,4,0)</f>
        <v/>
      </c>
      <c r="I820" s="218">
        <f>H820&amp;E820</f>
        <v/>
      </c>
      <c r="J820" s="220">
        <f>IF(VLOOKUP(F820,Rec!F:G,2,0)=G820,"OK","Check Team")</f>
        <v/>
      </c>
      <c r="K820" s="156" t="n"/>
      <c r="L820" s="156">
        <f>IFERROR(VLOOKUP(F820&amp;G820,Pass!B:C,2,0),0)</f>
        <v/>
      </c>
      <c r="M820" s="156">
        <f>IFERROR(VLOOKUP(F820&amp;G820,Rush!B:C,2,0),0)</f>
        <v/>
      </c>
      <c r="N820" s="156">
        <f>IFERROR(VLOOKUP(F820&amp;G820,Rec!B:C,2,0),K820)</f>
        <v/>
      </c>
      <c r="O820" s="156">
        <f>IFERROR(VLOOKUP(F820&amp;G820,Returns!A:B,2,0),0)</f>
        <v/>
      </c>
    </row>
    <row r="821" hidden="1" ht="14.4" customHeight="1" s="152">
      <c r="A821" s="221" t="n">
        <v>52</v>
      </c>
      <c r="B821" s="218">
        <f>VLOOKUP(G821,Matrix!R:AA,10,0)</f>
        <v/>
      </c>
      <c r="C821" s="156">
        <f>IF(K821&gt;=0.01,K821,IFERROR(VLOOKUP(F821&amp;G821,K!B:C,2,0),K821)+SUM(L821:N821))</f>
        <v/>
      </c>
      <c r="D821" s="218">
        <f>_xlfn.IFNA(INDEX('Injury Report'!F:F, MATCH(G821&amp;F821, 'Injury Report'!A:A, 0)), "Healthy")</f>
        <v/>
      </c>
      <c r="E821" s="219">
        <f>VLOOKUP(A821,'K Depth'!A:G,7,0)-1</f>
        <v/>
      </c>
      <c r="F821" s="218">
        <f>VLOOKUP(A821,'K Depth'!A:C,3,0)</f>
        <v/>
      </c>
      <c r="G821" s="218">
        <f>VLOOKUP(A821,'K Depth'!A:B,2,0)</f>
        <v/>
      </c>
      <c r="H821" s="218">
        <f>VLOOKUP(A821,'K Depth'!A:D,4,0)</f>
        <v/>
      </c>
      <c r="I821" s="218">
        <f>H821&amp;E821</f>
        <v/>
      </c>
      <c r="J821" s="220">
        <f>IF(VLOOKUP(F821,Rec!F:G,2,0)=G821,"OK","Check Team")</f>
        <v/>
      </c>
      <c r="K821" s="156" t="n"/>
      <c r="L821" s="156">
        <f>IFERROR(VLOOKUP(F821&amp;G821,Pass!B:C,2,0),0)</f>
        <v/>
      </c>
      <c r="M821" s="156">
        <f>IFERROR(VLOOKUP(F821&amp;G821,Rush!B:C,2,0),0)</f>
        <v/>
      </c>
      <c r="N821" s="156">
        <f>IFERROR(VLOOKUP(F821&amp;G821,Rec!B:C,2,0),K821)</f>
        <v/>
      </c>
      <c r="O821" s="156">
        <f>IFERROR(VLOOKUP(F821&amp;G821,Returns!A:B,2,0),0)</f>
        <v/>
      </c>
    </row>
    <row r="822" hidden="1" ht="14.4" customHeight="1" s="152">
      <c r="A822" s="221" t="n">
        <v>53</v>
      </c>
      <c r="B822" s="218">
        <f>VLOOKUP(G822,Matrix!R:AA,10,0)</f>
        <v/>
      </c>
      <c r="C822" s="156">
        <f>IF(K822&gt;=0.01,K822,IFERROR(VLOOKUP(F822&amp;G822,K!B:C,2,0),K822)+SUM(L822:N822))</f>
        <v/>
      </c>
      <c r="D822" s="218">
        <f>_xlfn.IFNA(INDEX('Injury Report'!F:F, MATCH(G822&amp;F822, 'Injury Report'!A:A, 0)), "Healthy")</f>
        <v/>
      </c>
      <c r="E822" s="219">
        <f>VLOOKUP(A822,'K Depth'!A:G,7,0)-1</f>
        <v/>
      </c>
      <c r="F822" s="218">
        <f>VLOOKUP(A822,'K Depth'!A:C,3,0)</f>
        <v/>
      </c>
      <c r="G822" s="218">
        <f>VLOOKUP(A822,'K Depth'!A:B,2,0)</f>
        <v/>
      </c>
      <c r="H822" s="218">
        <f>VLOOKUP(A822,'K Depth'!A:D,4,0)</f>
        <v/>
      </c>
      <c r="I822" s="218">
        <f>H822&amp;E822</f>
        <v/>
      </c>
      <c r="J822" s="220">
        <f>IF(VLOOKUP(F822,Rec!F:G,2,0)=G822,"OK","Check Team")</f>
        <v/>
      </c>
      <c r="K822" s="156" t="n"/>
      <c r="L822" s="156">
        <f>IFERROR(VLOOKUP(F822&amp;G822,Pass!B:C,2,0),0)</f>
        <v/>
      </c>
      <c r="M822" s="156">
        <f>IFERROR(VLOOKUP(F822&amp;G822,Rush!B:C,2,0),0)</f>
        <v/>
      </c>
      <c r="N822" s="156">
        <f>IFERROR(VLOOKUP(F822&amp;G822,Rec!B:C,2,0),K822)</f>
        <v/>
      </c>
      <c r="O822" s="156">
        <f>IFERROR(VLOOKUP(F822&amp;G822,Returns!A:B,2,0),0)</f>
        <v/>
      </c>
    </row>
    <row r="823" hidden="1" ht="14.4" customHeight="1" s="152">
      <c r="A823" s="221" t="n">
        <v>54</v>
      </c>
      <c r="B823" s="218">
        <f>VLOOKUP(G823,Matrix!R:AA,10,0)</f>
        <v/>
      </c>
      <c r="C823" s="156">
        <f>IF(K823&gt;=0.01,K823,IFERROR(VLOOKUP(F823&amp;G823,K!B:C,2,0),K823)+SUM(L823:N823))</f>
        <v/>
      </c>
      <c r="D823" s="218">
        <f>_xlfn.IFNA(INDEX('Injury Report'!F:F, MATCH(G823&amp;F823, 'Injury Report'!A:A, 0)), "Healthy")</f>
        <v/>
      </c>
      <c r="E823" s="219">
        <f>VLOOKUP(A823,'K Depth'!A:G,7,0)-1</f>
        <v/>
      </c>
      <c r="F823" s="218">
        <f>VLOOKUP(A823,'K Depth'!A:C,3,0)</f>
        <v/>
      </c>
      <c r="G823" s="218">
        <f>VLOOKUP(A823,'K Depth'!A:B,2,0)</f>
        <v/>
      </c>
      <c r="H823" s="218">
        <f>VLOOKUP(A823,'K Depth'!A:D,4,0)</f>
        <v/>
      </c>
      <c r="I823" s="218">
        <f>H823&amp;E823</f>
        <v/>
      </c>
      <c r="J823" s="220">
        <f>IF(VLOOKUP(F823,Rec!F:G,2,0)=G823,"OK","Check Team")</f>
        <v/>
      </c>
      <c r="K823" s="156" t="n"/>
      <c r="L823" s="156">
        <f>IFERROR(VLOOKUP(F823&amp;G823,Pass!B:C,2,0),0)</f>
        <v/>
      </c>
      <c r="M823" s="156">
        <f>IFERROR(VLOOKUP(F823&amp;G823,Rush!B:C,2,0),0)</f>
        <v/>
      </c>
      <c r="N823" s="156">
        <f>IFERROR(VLOOKUP(F823&amp;G823,Rec!B:C,2,0),K823)</f>
        <v/>
      </c>
      <c r="O823" s="156">
        <f>IFERROR(VLOOKUP(F823&amp;G823,Returns!A:B,2,0),0)</f>
        <v/>
      </c>
    </row>
    <row r="824" hidden="1" ht="14.4" customHeight="1" s="152">
      <c r="A824" s="221" t="n">
        <v>55</v>
      </c>
      <c r="B824" s="218">
        <f>VLOOKUP(G824,Matrix!R:AA,10,0)</f>
        <v/>
      </c>
      <c r="C824" s="156">
        <f>IF(K824&gt;=0.01,K824,IFERROR(VLOOKUP(F824&amp;G824,K!B:C,2,0),K824)+SUM(L824:N824))</f>
        <v/>
      </c>
      <c r="D824" s="218">
        <f>_xlfn.IFNA(INDEX('Injury Report'!F:F, MATCH(G824&amp;F824, 'Injury Report'!A:A, 0)), "Healthy")</f>
        <v/>
      </c>
      <c r="E824" s="219">
        <f>VLOOKUP(A824,'K Depth'!A:G,7,0)-1</f>
        <v/>
      </c>
      <c r="F824" s="218">
        <f>VLOOKUP(A824,'K Depth'!A:C,3,0)</f>
        <v/>
      </c>
      <c r="G824" s="218">
        <f>VLOOKUP(A824,'K Depth'!A:B,2,0)</f>
        <v/>
      </c>
      <c r="H824" s="218">
        <f>VLOOKUP(A824,'K Depth'!A:D,4,0)</f>
        <v/>
      </c>
      <c r="I824" s="218">
        <f>H824&amp;E824</f>
        <v/>
      </c>
      <c r="J824" s="220">
        <f>IF(VLOOKUP(F824,Rec!F:G,2,0)=G824,"OK","Check Team")</f>
        <v/>
      </c>
      <c r="K824" s="156" t="n"/>
      <c r="L824" s="156">
        <f>IFERROR(VLOOKUP(F824&amp;G824,Pass!B:C,2,0),0)</f>
        <v/>
      </c>
      <c r="M824" s="156">
        <f>IFERROR(VLOOKUP(F824&amp;G824,Rush!B:C,2,0),0)</f>
        <v/>
      </c>
      <c r="N824" s="156">
        <f>IFERROR(VLOOKUP(F824&amp;G824,Rec!B:C,2,0),K824)</f>
        <v/>
      </c>
      <c r="O824" s="156">
        <f>IFERROR(VLOOKUP(F824&amp;G824,Returns!A:B,2,0),0)</f>
        <v/>
      </c>
    </row>
    <row r="825" hidden="1" ht="14.4" customHeight="1" s="152">
      <c r="A825" s="221" t="n">
        <v>56</v>
      </c>
      <c r="B825" s="218">
        <f>VLOOKUP(G825,Matrix!R:AA,10,0)</f>
        <v/>
      </c>
      <c r="C825" s="156">
        <f>IF(K825&gt;=0.01,K825,IFERROR(VLOOKUP(F825&amp;G825,K!B:C,2,0),K825)+SUM(L825:N825))</f>
        <v/>
      </c>
      <c r="D825" s="218">
        <f>_xlfn.IFNA(INDEX('Injury Report'!F:F, MATCH(G825&amp;F825, 'Injury Report'!A:A, 0)), "Healthy")</f>
        <v/>
      </c>
      <c r="E825" s="219">
        <f>VLOOKUP(A825,'K Depth'!A:G,7,0)-1</f>
        <v/>
      </c>
      <c r="F825" s="218">
        <f>VLOOKUP(A825,'K Depth'!A:C,3,0)</f>
        <v/>
      </c>
      <c r="G825" s="218">
        <f>VLOOKUP(A825,'K Depth'!A:B,2,0)</f>
        <v/>
      </c>
      <c r="H825" s="218">
        <f>VLOOKUP(A825,'K Depth'!A:D,4,0)</f>
        <v/>
      </c>
      <c r="I825" s="218">
        <f>H825&amp;E825</f>
        <v/>
      </c>
      <c r="J825" s="220">
        <f>IF(VLOOKUP(F825,Rec!F:G,2,0)=G825,"OK","Check Team")</f>
        <v/>
      </c>
      <c r="K825" s="156" t="n"/>
      <c r="L825" s="156">
        <f>IFERROR(VLOOKUP(F825&amp;G825,Pass!B:C,2,0),0)</f>
        <v/>
      </c>
      <c r="M825" s="156">
        <f>IFERROR(VLOOKUP(F825&amp;G825,Rush!B:C,2,0),0)</f>
        <v/>
      </c>
      <c r="N825" s="156">
        <f>IFERROR(VLOOKUP(F825&amp;G825,Rec!B:C,2,0),K825)</f>
        <v/>
      </c>
      <c r="O825" s="156">
        <f>IFERROR(VLOOKUP(F825&amp;G825,Returns!A:B,2,0),0)</f>
        <v/>
      </c>
    </row>
    <row r="826" hidden="1" ht="14.4" customHeight="1" s="152">
      <c r="A826" s="221" t="n">
        <v>57</v>
      </c>
      <c r="B826" s="218">
        <f>VLOOKUP(G826,Matrix!R:AA,10,0)</f>
        <v/>
      </c>
      <c r="C826" s="156">
        <f>IF(K826&gt;=0.01,K826,IFERROR(VLOOKUP(F826&amp;G826,K!B:C,2,0),K826)+SUM(L826:N826))</f>
        <v/>
      </c>
      <c r="D826" s="218">
        <f>_xlfn.IFNA(INDEX('Injury Report'!F:F, MATCH(G826&amp;F826, 'Injury Report'!A:A, 0)), "Healthy")</f>
        <v/>
      </c>
      <c r="E826" s="219">
        <f>VLOOKUP(A826,'K Depth'!A:G,7,0)-1</f>
        <v/>
      </c>
      <c r="F826" s="218">
        <f>VLOOKUP(A826,'K Depth'!A:C,3,0)</f>
        <v/>
      </c>
      <c r="G826" s="218">
        <f>VLOOKUP(A826,'K Depth'!A:B,2,0)</f>
        <v/>
      </c>
      <c r="H826" s="218">
        <f>VLOOKUP(A826,'K Depth'!A:D,4,0)</f>
        <v/>
      </c>
      <c r="I826" s="218">
        <f>H826&amp;E826</f>
        <v/>
      </c>
      <c r="J826" s="220">
        <f>IF(VLOOKUP(F826,Rec!F:G,2,0)=G826,"OK","Check Team")</f>
        <v/>
      </c>
      <c r="K826" s="156" t="n"/>
      <c r="L826" s="156">
        <f>IFERROR(VLOOKUP(F826&amp;G826,Pass!B:C,2,0),0)</f>
        <v/>
      </c>
      <c r="M826" s="156">
        <f>IFERROR(VLOOKUP(F826&amp;G826,Rush!B:C,2,0),0)</f>
        <v/>
      </c>
      <c r="N826" s="156">
        <f>IFERROR(VLOOKUP(F826&amp;G826,Rec!B:C,2,0),K826)</f>
        <v/>
      </c>
      <c r="O826" s="156">
        <f>IFERROR(VLOOKUP(F826&amp;G826,Returns!A:B,2,0),0)</f>
        <v/>
      </c>
    </row>
    <row r="827" hidden="1" ht="14.4" customHeight="1" s="152">
      <c r="A827" s="221" t="n">
        <v>58</v>
      </c>
      <c r="B827" s="218">
        <f>VLOOKUP(G827,Matrix!R:AA,10,0)</f>
        <v/>
      </c>
      <c r="C827" s="156">
        <f>IF(K827&gt;=0.01,K827,IFERROR(VLOOKUP(F827&amp;G827,K!B:C,2,0),K827)+SUM(L827:N827))</f>
        <v/>
      </c>
      <c r="D827" s="218">
        <f>_xlfn.IFNA(INDEX('Injury Report'!F:F, MATCH(G827&amp;F827, 'Injury Report'!A:A, 0)), "Healthy")</f>
        <v/>
      </c>
      <c r="E827" s="219">
        <f>VLOOKUP(A827,'K Depth'!A:G,7,0)-1</f>
        <v/>
      </c>
      <c r="F827" s="218">
        <f>VLOOKUP(A827,'K Depth'!A:C,3,0)</f>
        <v/>
      </c>
      <c r="G827" s="218">
        <f>VLOOKUP(A827,'K Depth'!A:B,2,0)</f>
        <v/>
      </c>
      <c r="H827" s="218">
        <f>VLOOKUP(A827,'K Depth'!A:D,4,0)</f>
        <v/>
      </c>
      <c r="I827" s="218">
        <f>H827&amp;E827</f>
        <v/>
      </c>
      <c r="J827" s="220">
        <f>IF(VLOOKUP(F827,Rec!F:G,2,0)=G827,"OK","Check Team")</f>
        <v/>
      </c>
      <c r="K827" s="156" t="n"/>
      <c r="L827" s="156">
        <f>IFERROR(VLOOKUP(F827&amp;G827,Pass!B:C,2,0),0)</f>
        <v/>
      </c>
      <c r="M827" s="156">
        <f>IFERROR(VLOOKUP(F827&amp;G827,Rush!B:C,2,0),0)</f>
        <v/>
      </c>
      <c r="N827" s="156">
        <f>IFERROR(VLOOKUP(F827&amp;G827,Rec!B:C,2,0),K827)</f>
        <v/>
      </c>
      <c r="O827" s="156">
        <f>IFERROR(VLOOKUP(F827&amp;G827,Returns!A:B,2,0),0)</f>
        <v/>
      </c>
    </row>
    <row r="828" hidden="1" ht="14.4" customHeight="1" s="152">
      <c r="A828" s="221" t="n">
        <v>59</v>
      </c>
      <c r="B828" s="218">
        <f>VLOOKUP(G828,Matrix!R:AA,10,0)</f>
        <v/>
      </c>
      <c r="C828" s="156">
        <f>IF(K828&gt;=0.01,K828,IFERROR(VLOOKUP(F828&amp;G828,K!B:C,2,0),K828)+SUM(L828:N828))</f>
        <v/>
      </c>
      <c r="D828" s="218">
        <f>_xlfn.IFNA(INDEX('Injury Report'!F:F, MATCH(G828&amp;F828, 'Injury Report'!A:A, 0)), "Healthy")</f>
        <v/>
      </c>
      <c r="E828" s="219">
        <f>VLOOKUP(A828,'K Depth'!A:G,7,0)-1</f>
        <v/>
      </c>
      <c r="F828" s="218">
        <f>VLOOKUP(A828,'K Depth'!A:C,3,0)</f>
        <v/>
      </c>
      <c r="G828" s="218">
        <f>VLOOKUP(A828,'K Depth'!A:B,2,0)</f>
        <v/>
      </c>
      <c r="H828" s="218">
        <f>VLOOKUP(A828,'K Depth'!A:D,4,0)</f>
        <v/>
      </c>
      <c r="I828" s="218">
        <f>H828&amp;E828</f>
        <v/>
      </c>
      <c r="J828" s="220">
        <f>IF(VLOOKUP(F828,Rec!F:G,2,0)=G828,"OK","Check Team")</f>
        <v/>
      </c>
      <c r="K828" s="156" t="n"/>
      <c r="L828" s="156">
        <f>IFERROR(VLOOKUP(F828&amp;G828,Pass!B:C,2,0),0)</f>
        <v/>
      </c>
      <c r="M828" s="156">
        <f>IFERROR(VLOOKUP(F828&amp;G828,Rush!B:C,2,0),0)</f>
        <v/>
      </c>
      <c r="N828" s="156">
        <f>IFERROR(VLOOKUP(F828&amp;G828,Rec!B:C,2,0),K828)</f>
        <v/>
      </c>
      <c r="O828" s="156">
        <f>IFERROR(VLOOKUP(F828&amp;G828,Returns!A:B,2,0),0)</f>
        <v/>
      </c>
    </row>
    <row r="829" hidden="1" ht="14.4" customHeight="1" s="152">
      <c r="A829" s="221" t="n">
        <v>60</v>
      </c>
      <c r="B829" s="218">
        <f>VLOOKUP(G829,Matrix!R:AA,10,0)</f>
        <v/>
      </c>
      <c r="C829" s="156">
        <f>IF(K829&gt;=0.01,K829,IFERROR(VLOOKUP(F829&amp;G829,K!B:C,2,0),K829)+SUM(L829:N829))</f>
        <v/>
      </c>
      <c r="D829" s="218">
        <f>_xlfn.IFNA(INDEX('Injury Report'!F:F, MATCH(G829&amp;F829, 'Injury Report'!A:A, 0)), "Healthy")</f>
        <v/>
      </c>
      <c r="E829" s="219">
        <f>VLOOKUP(A829,'K Depth'!A:G,7,0)-1</f>
        <v/>
      </c>
      <c r="F829" s="218">
        <f>VLOOKUP(A829,'K Depth'!A:C,3,0)</f>
        <v/>
      </c>
      <c r="G829" s="218">
        <f>VLOOKUP(A829,'K Depth'!A:B,2,0)</f>
        <v/>
      </c>
      <c r="H829" s="218">
        <f>VLOOKUP(A829,'K Depth'!A:D,4,0)</f>
        <v/>
      </c>
      <c r="I829" s="218">
        <f>H829&amp;E829</f>
        <v/>
      </c>
      <c r="J829" s="220">
        <f>IF(VLOOKUP(F829,Rec!F:G,2,0)=G829,"OK","Check Team")</f>
        <v/>
      </c>
      <c r="K829" s="156" t="n"/>
      <c r="L829" s="156">
        <f>IFERROR(VLOOKUP(F829&amp;G829,Pass!B:C,2,0),0)</f>
        <v/>
      </c>
      <c r="M829" s="156">
        <f>IFERROR(VLOOKUP(F829&amp;G829,Rush!B:C,2,0),0)</f>
        <v/>
      </c>
      <c r="N829" s="156">
        <f>IFERROR(VLOOKUP(F829&amp;G829,Rec!B:C,2,0),K829)</f>
        <v/>
      </c>
      <c r="O829" s="156">
        <f>IFERROR(VLOOKUP(F829&amp;G829,Returns!A:B,2,0),0)</f>
        <v/>
      </c>
    </row>
    <row r="830" hidden="1" ht="14.4" customHeight="1" s="152">
      <c r="A830" s="221" t="n">
        <v>61</v>
      </c>
      <c r="B830" s="218">
        <f>VLOOKUP(G830,Matrix!R:AA,10,0)</f>
        <v/>
      </c>
      <c r="C830" s="156">
        <f>IF(K830&gt;=0.01,K830,IFERROR(VLOOKUP(F830&amp;G830,K!B:C,2,0),K830)+SUM(L830:N830))</f>
        <v/>
      </c>
      <c r="D830" s="218">
        <f>_xlfn.IFNA(INDEX('Injury Report'!F:F, MATCH(G830&amp;F830, 'Injury Report'!A:A, 0)), "Healthy")</f>
        <v/>
      </c>
      <c r="E830" s="219">
        <f>VLOOKUP(A830,'K Depth'!A:G,7,0)-1</f>
        <v/>
      </c>
      <c r="F830" s="218">
        <f>VLOOKUP(A830,'K Depth'!A:C,3,0)</f>
        <v/>
      </c>
      <c r="G830" s="218">
        <f>VLOOKUP(A830,'K Depth'!A:B,2,0)</f>
        <v/>
      </c>
      <c r="H830" s="218">
        <f>VLOOKUP(A830,'K Depth'!A:D,4,0)</f>
        <v/>
      </c>
      <c r="I830" s="218">
        <f>H830&amp;E830</f>
        <v/>
      </c>
      <c r="J830" s="220">
        <f>IF(VLOOKUP(F830,Rec!F:G,2,0)=G830,"OK","Check Team")</f>
        <v/>
      </c>
      <c r="K830" s="156" t="n"/>
      <c r="L830" s="156">
        <f>IFERROR(VLOOKUP(F830&amp;G830,Pass!B:C,2,0),0)</f>
        <v/>
      </c>
      <c r="M830" s="156">
        <f>IFERROR(VLOOKUP(F830&amp;G830,Rush!B:C,2,0),0)</f>
        <v/>
      </c>
      <c r="N830" s="156">
        <f>IFERROR(VLOOKUP(F830&amp;G830,Rec!B:C,2,0),K830)</f>
        <v/>
      </c>
      <c r="O830" s="156">
        <f>IFERROR(VLOOKUP(F830&amp;G830,Returns!A:B,2,0),0)</f>
        <v/>
      </c>
    </row>
    <row r="831" hidden="1" ht="14.4" customHeight="1" s="152">
      <c r="A831" s="221" t="n">
        <v>62</v>
      </c>
      <c r="B831" s="218">
        <f>VLOOKUP(G831,Matrix!R:AA,10,0)</f>
        <v/>
      </c>
      <c r="C831" s="156">
        <f>IF(K831&gt;=0.01,K831,IFERROR(VLOOKUP(F831&amp;G831,K!B:C,2,0),K831)+SUM(L831:N831))</f>
        <v/>
      </c>
      <c r="D831" s="218">
        <f>_xlfn.IFNA(INDEX('Injury Report'!F:F, MATCH(G831&amp;F831, 'Injury Report'!A:A, 0)), "Healthy")</f>
        <v/>
      </c>
      <c r="E831" s="219">
        <f>VLOOKUP(A831,'K Depth'!A:G,7,0)-1</f>
        <v/>
      </c>
      <c r="F831" s="218">
        <f>VLOOKUP(A831,'K Depth'!A:C,3,0)</f>
        <v/>
      </c>
      <c r="G831" s="218">
        <f>VLOOKUP(A831,'K Depth'!A:B,2,0)</f>
        <v/>
      </c>
      <c r="H831" s="218">
        <f>VLOOKUP(A831,'K Depth'!A:D,4,0)</f>
        <v/>
      </c>
      <c r="I831" s="218">
        <f>H831&amp;E831</f>
        <v/>
      </c>
      <c r="J831" s="220">
        <f>IF(VLOOKUP(F831,Rec!F:G,2,0)=G831,"OK","Check Team")</f>
        <v/>
      </c>
      <c r="K831" s="156" t="n"/>
      <c r="L831" s="156">
        <f>IFERROR(VLOOKUP(F831&amp;G831,Pass!B:C,2,0),0)</f>
        <v/>
      </c>
      <c r="M831" s="156">
        <f>IFERROR(VLOOKUP(F831&amp;G831,Rush!B:C,2,0),0)</f>
        <v/>
      </c>
      <c r="N831" s="156">
        <f>IFERROR(VLOOKUP(F831&amp;G831,Rec!B:C,2,0),K831)</f>
        <v/>
      </c>
      <c r="O831" s="156">
        <f>IFERROR(VLOOKUP(F831&amp;G831,Returns!A:B,2,0),0)</f>
        <v/>
      </c>
    </row>
    <row r="832" hidden="1" ht="14.4" customHeight="1" s="152">
      <c r="A832" s="221" t="n">
        <v>63</v>
      </c>
      <c r="B832" s="218">
        <f>VLOOKUP(G832,Matrix!R:AA,10,0)</f>
        <v/>
      </c>
      <c r="C832" s="156">
        <f>IF(K832&gt;=0.01,K832,IFERROR(VLOOKUP(F832&amp;G832,K!B:C,2,0),K832)+SUM(L832:N832))</f>
        <v/>
      </c>
      <c r="D832" s="218">
        <f>_xlfn.IFNA(INDEX('Injury Report'!F:F, MATCH(G832&amp;F832, 'Injury Report'!A:A, 0)), "Healthy")</f>
        <v/>
      </c>
      <c r="E832" s="219">
        <f>VLOOKUP(A832,'K Depth'!A:G,7,0)-1</f>
        <v/>
      </c>
      <c r="F832" s="218">
        <f>VLOOKUP(A832,'K Depth'!A:C,3,0)</f>
        <v/>
      </c>
      <c r="G832" s="218">
        <f>VLOOKUP(A832,'K Depth'!A:B,2,0)</f>
        <v/>
      </c>
      <c r="H832" s="218">
        <f>VLOOKUP(A832,'K Depth'!A:D,4,0)</f>
        <v/>
      </c>
      <c r="I832" s="218">
        <f>H832&amp;E832</f>
        <v/>
      </c>
      <c r="J832" s="220">
        <f>IF(VLOOKUP(F832,Rec!F:G,2,0)=G832,"OK","Check Team")</f>
        <v/>
      </c>
      <c r="K832" s="156" t="n"/>
      <c r="L832" s="156">
        <f>IFERROR(VLOOKUP(F832&amp;G832,Pass!B:C,2,0),0)</f>
        <v/>
      </c>
      <c r="M832" s="156">
        <f>IFERROR(VLOOKUP(F832&amp;G832,Rush!B:C,2,0),0)</f>
        <v/>
      </c>
      <c r="N832" s="156">
        <f>IFERROR(VLOOKUP(F832&amp;G832,Rec!B:C,2,0),K832)</f>
        <v/>
      </c>
      <c r="O832" s="156">
        <f>IFERROR(VLOOKUP(F832&amp;G832,Returns!A:B,2,0),0)</f>
        <v/>
      </c>
    </row>
    <row r="833" hidden="1" ht="14.4" customHeight="1" s="152">
      <c r="A833" s="221" t="n">
        <v>64</v>
      </c>
      <c r="B833" s="218">
        <f>VLOOKUP(G833,Matrix!R:AA,10,0)</f>
        <v/>
      </c>
      <c r="C833" s="156">
        <f>IF(K833&gt;=0.01,K833,IFERROR(VLOOKUP(F833&amp;G833,K!B:C,2,0),K833)+SUM(L833:N833))</f>
        <v/>
      </c>
      <c r="D833" s="218">
        <f>_xlfn.IFNA(INDEX('Injury Report'!F:F, MATCH(G833&amp;F833, 'Injury Report'!A:A, 0)), "Healthy")</f>
        <v/>
      </c>
      <c r="E833" s="219">
        <f>VLOOKUP(A833,'K Depth'!A:G,7,0)-1</f>
        <v/>
      </c>
      <c r="F833" s="218">
        <f>VLOOKUP(A833,'K Depth'!A:C,3,0)</f>
        <v/>
      </c>
      <c r="G833" s="218">
        <f>VLOOKUP(A833,'K Depth'!A:B,2,0)</f>
        <v/>
      </c>
      <c r="H833" s="218">
        <f>VLOOKUP(A833,'K Depth'!A:D,4,0)</f>
        <v/>
      </c>
      <c r="I833" s="218">
        <f>H833&amp;E833</f>
        <v/>
      </c>
      <c r="J833" s="220">
        <f>IF(VLOOKUP(F833,Rec!F:G,2,0)=G833,"OK","Check Team")</f>
        <v/>
      </c>
      <c r="K833" s="156" t="n"/>
      <c r="L833" s="156">
        <f>IFERROR(VLOOKUP(F833&amp;G833,Pass!B:C,2,0),0)</f>
        <v/>
      </c>
      <c r="M833" s="156">
        <f>IFERROR(VLOOKUP(F833&amp;G833,Rush!B:C,2,0),0)</f>
        <v/>
      </c>
      <c r="N833" s="156">
        <f>IFERROR(VLOOKUP(F833&amp;G833,Rec!B:C,2,0),K833)</f>
        <v/>
      </c>
      <c r="O833" s="156">
        <f>IFERROR(VLOOKUP(F833&amp;G833,Returns!A:B,2,0),0)</f>
        <v/>
      </c>
    </row>
    <row r="836" ht="13.8" customHeight="1" s="152"/>
  </sheetData>
  <autoFilter ref="A1:O833">
    <filterColumn colId="8" hiddenButton="0" showButton="1">
      <customFilters and="1">
        <customFilter val="RB1" operator="equal"/>
      </customFilters>
    </filterColumn>
  </autoFilter>
  <conditionalFormatting sqref="A1:A1048576">
    <cfRule type="colorScale" priority="2">
      <colorScale>
        <cfvo type="min" val="0"/>
        <cfvo type="percentile" val="50"/>
        <cfvo type="max" val="0"/>
        <color rgb="FFF8696B"/>
        <color rgb="FFFFEB84"/>
        <color rgb="FF63BE7B"/>
      </colorScale>
    </cfRule>
  </conditionalFormatting>
  <conditionalFormatting sqref="K1:K1048576">
    <cfRule type="colorScale" priority="3">
      <colorScale>
        <cfvo type="min" val="0"/>
        <cfvo type="percentile" val="50"/>
        <cfvo type="max" val="0"/>
        <color rgb="FFF8696B"/>
        <color rgb="FFFFEB84"/>
        <color rgb="FF63BE7B"/>
      </colorScale>
    </cfRule>
  </conditionalFormatting>
  <conditionalFormatting sqref="J1:J1048576 K1:O1">
    <cfRule type="containsText" rank="0" priority="4" equalAverage="0" operator="containsText" aboveAverage="0" dxfId="1" text="check te" percent="0" bottom="0">
      <formula>NOT(ISERROR(SEARCH("check te",J1)))</formula>
    </cfRule>
  </conditionalFormatting>
  <conditionalFormatting sqref="L1:N1048576">
    <cfRule type="colorScale" priority="5">
      <colorScale>
        <cfvo type="min" val="0"/>
        <cfvo type="percentile" val="50"/>
        <cfvo type="max" val="0"/>
        <color rgb="FFF8696B"/>
        <color rgb="FFFFEB84"/>
        <color rgb="FF63BE7B"/>
      </colorScale>
    </cfRule>
  </conditionalFormatting>
  <conditionalFormatting sqref="O1">
    <cfRule type="colorScale" priority="6">
      <colorScale>
        <cfvo type="min" val="0"/>
        <cfvo type="percentile" val="50"/>
        <cfvo type="max" val="0"/>
        <color rgb="FFF8696B"/>
        <color rgb="FFFFEB84"/>
        <color rgb="FF63BE7B"/>
      </colorScale>
    </cfRule>
  </conditionalFormatting>
  <conditionalFormatting sqref="O1:O1048576">
    <cfRule type="colorScale" priority="7">
      <colorScale>
        <cfvo type="min" val="0"/>
        <cfvo type="percentile" val="50"/>
        <cfvo type="max" val="0"/>
        <color rgb="FFF8696B"/>
        <color rgb="FFFFEB84"/>
        <color rgb="FF63BE7B"/>
      </colorScale>
    </cfRule>
  </conditionalFormatting>
  <conditionalFormatting sqref="Q661">
    <cfRule type="duplicateValues" rank="0" priority="8" equalAverage="0" aboveAverage="0" dxfId="1" text="" percent="0" bottom="0"/>
  </conditionalFormatting>
  <conditionalFormatting sqref="Q669">
    <cfRule type="duplicateValues" rank="0" priority="9" equalAverage="0" aboveAverage="0" dxfId="1" text="" percent="0" bottom="0"/>
  </conditionalFormatting>
  <conditionalFormatting sqref="Q676">
    <cfRule type="duplicateValues" rank="0" priority="10" equalAverage="0" aboveAverage="0" dxfId="1" text="" percent="0" bottom="0"/>
  </conditionalFormatting>
  <conditionalFormatting sqref="Q689">
    <cfRule type="duplicateValues" rank="0" priority="11" equalAverage="0" aboveAverage="0" dxfId="1" text="" percent="0" bottom="0"/>
  </conditionalFormatting>
  <conditionalFormatting sqref="Q690">
    <cfRule type="duplicateValues" rank="0" priority="12" equalAverage="0" aboveAverage="0" dxfId="1" text="" percent="0" bottom="0"/>
  </conditionalFormatting>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tabColor rgb="FFFFFF00"/>
    <outlinePr summaryBelow="1" summaryRight="1"/>
    <pageSetUpPr fitToPage="0"/>
  </sheetPr>
  <dimension ref="A1:S1030"/>
  <sheetViews>
    <sheetView showFormulas="0" showGridLines="0"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A2" activeCellId="0" sqref="A2"/>
    </sheetView>
  </sheetViews>
  <sheetFormatPr baseColWidth="8" defaultColWidth="8.796875" defaultRowHeight="13.8" zeroHeight="0" outlineLevelRow="0"/>
  <cols>
    <col width="5.33" customWidth="1" style="157" min="1" max="1"/>
    <col width="26.66" customWidth="1" style="157" min="2" max="2"/>
    <col width="22.43" customWidth="1" style="156" min="3" max="3"/>
    <col width="11.33" customWidth="1" style="157" min="4" max="4"/>
    <col width="11.99" customWidth="1" style="157" min="5" max="6"/>
    <col width="10.12" customWidth="1" style="157" min="7" max="7"/>
    <col width="7.11" customWidth="1" style="157" min="8" max="8"/>
    <col width="13.33" customWidth="1" style="156" min="9" max="9"/>
    <col width="22.01" customWidth="1" style="156" min="10" max="11"/>
    <col width="21.44" customWidth="1" style="222" min="12" max="12"/>
    <col width="13.33" customWidth="1" style="156" min="13" max="13"/>
    <col width="10.89" customWidth="1" style="156" min="17" max="17"/>
    <col width="9.130000000000001" customWidth="1" style="156" min="18" max="19"/>
  </cols>
  <sheetData>
    <row r="1" ht="14.4" customFormat="1" customHeight="1" s="150">
      <c r="A1" s="184" t="inlineStr">
        <is>
          <t>Week</t>
        </is>
      </c>
      <c r="B1" s="223" t="inlineStr">
        <is>
          <t>Team</t>
        </is>
      </c>
      <c r="C1" s="224" t="inlineStr">
        <is>
          <t>Time</t>
        </is>
      </c>
      <c r="D1" s="223" t="inlineStr">
        <is>
          <t>Money Line</t>
        </is>
      </c>
      <c r="E1" s="223" t="inlineStr">
        <is>
          <t>Spread</t>
        </is>
      </c>
      <c r="F1" s="223" t="inlineStr">
        <is>
          <t>Over / Under</t>
        </is>
      </c>
      <c r="G1" s="223" t="inlineStr">
        <is>
          <t>Score</t>
        </is>
      </c>
      <c r="H1" s="223" t="inlineStr">
        <is>
          <t>Result</t>
        </is>
      </c>
      <c r="I1" s="150" t="inlineStr">
        <is>
          <t>WEEK</t>
        </is>
      </c>
      <c r="J1" s="150" t="inlineStr">
        <is>
          <t>Lookup</t>
        </is>
      </c>
      <c r="K1" s="225" t="inlineStr">
        <is>
          <t>Team</t>
        </is>
      </c>
      <c r="L1" s="225" t="inlineStr">
        <is>
          <t>Date</t>
        </is>
      </c>
      <c r="M1" s="225" t="inlineStr">
        <is>
          <t>Moneyline</t>
        </is>
      </c>
      <c r="N1" s="225" t="inlineStr">
        <is>
          <t>$20 Bet</t>
        </is>
      </c>
      <c r="O1" s="225" t="inlineStr">
        <is>
          <t>Spread</t>
        </is>
      </c>
      <c r="P1" s="225" t="inlineStr">
        <is>
          <t>$20 Bet</t>
        </is>
      </c>
      <c r="Q1" s="225" t="inlineStr">
        <is>
          <t>Over-Under</t>
        </is>
      </c>
      <c r="R1" s="151" t="n"/>
      <c r="S1" s="151" t="n"/>
    </row>
    <row r="2" ht="14.4" customHeight="1" s="152">
      <c r="A2" s="226">
        <f>$I$2</f>
        <v/>
      </c>
      <c r="B2" s="227">
        <f>A2&amp;VLOOKUP(K2,Matrix!AB:AC,2,0)</f>
        <v/>
      </c>
      <c r="C2" s="228">
        <f>L2</f>
        <v/>
      </c>
      <c r="D2" s="229">
        <f>M2</f>
        <v/>
      </c>
      <c r="E2" s="157">
        <f>O2</f>
        <v/>
      </c>
      <c r="F2" s="229">
        <f>Q2</f>
        <v/>
      </c>
      <c r="G2" s="230" t="n"/>
      <c r="H2" s="231" t="n"/>
      <c r="I2" s="212" t="n">
        <v>1</v>
      </c>
      <c r="J2" s="156">
        <f>_xlfn.CONCAT(I2,B2)</f>
        <v/>
      </c>
      <c r="K2" s="195" t="inlineStr">
        <is>
          <t>Cowboys</t>
        </is>
      </c>
      <c r="L2" s="232" t="inlineStr">
        <is>
          <t>Thu Sep 4 8:20pm</t>
        </is>
      </c>
      <c r="M2" s="195" t="n">
        <v>260</v>
      </c>
      <c r="N2" s="195" t="n"/>
      <c r="O2" s="195" t="n">
        <v>-7</v>
      </c>
      <c r="P2" s="195" t="n"/>
      <c r="Q2" s="195" t="n">
        <v>46</v>
      </c>
    </row>
    <row r="3" ht="14.4" customHeight="1" s="152">
      <c r="A3" s="226">
        <f>$I$2</f>
        <v/>
      </c>
      <c r="B3" s="233">
        <f>A3&amp;VLOOKUP(K3,Matrix!AB:AC,2,0)</f>
        <v/>
      </c>
      <c r="C3" s="234">
        <f>L3</f>
        <v/>
      </c>
      <c r="D3" s="229">
        <f>M3</f>
        <v/>
      </c>
      <c r="E3" s="157">
        <f>O3</f>
        <v/>
      </c>
      <c r="F3" s="229">
        <f>Q3</f>
        <v/>
      </c>
      <c r="G3" s="235" t="n"/>
      <c r="H3" s="236" t="n"/>
      <c r="J3" s="156">
        <f>_xlfn.CONCAT(I3,B3)</f>
        <v/>
      </c>
      <c r="K3" s="195" t="inlineStr">
        <is>
          <t>Eagles</t>
        </is>
      </c>
      <c r="L3" s="232" t="inlineStr">
        <is>
          <t>Thu Sep 4 8:20pm</t>
        </is>
      </c>
      <c r="M3" s="195" t="n">
        <v>-300</v>
      </c>
      <c r="N3" s="195" t="n"/>
      <c r="O3" s="195" t="n">
        <v>6.5</v>
      </c>
      <c r="P3" s="195" t="n"/>
      <c r="Q3" s="195" t="n">
        <v>46</v>
      </c>
    </row>
    <row r="4" ht="14.4" customHeight="1" s="152">
      <c r="A4" s="226">
        <f>$I$2</f>
        <v/>
      </c>
      <c r="B4" s="227">
        <f>A4&amp;VLOOKUP(K4,Matrix!AB:AC,2,0)</f>
        <v/>
      </c>
      <c r="C4" s="228">
        <f>L4</f>
        <v/>
      </c>
      <c r="D4" s="229">
        <f>M4</f>
        <v/>
      </c>
      <c r="E4" s="157">
        <f>O4</f>
        <v/>
      </c>
      <c r="F4" s="229">
        <f>Q4</f>
        <v/>
      </c>
      <c r="G4" s="230" t="n"/>
      <c r="H4" s="231" t="n"/>
      <c r="J4" s="156">
        <f>_xlfn.CONCAT(I4,B4)</f>
        <v/>
      </c>
      <c r="K4" s="195" t="inlineStr">
        <is>
          <t>Chiefs</t>
        </is>
      </c>
      <c r="L4" s="232" t="inlineStr">
        <is>
          <t>Fri Sep 5 8:20pm</t>
        </is>
      </c>
      <c r="M4" s="195" t="n">
        <v>-156</v>
      </c>
      <c r="N4" s="195" t="n"/>
      <c r="O4" s="195" t="n">
        <v>-3</v>
      </c>
      <c r="P4" s="195" t="n"/>
      <c r="Q4" s="195" t="n">
        <v>50.5</v>
      </c>
    </row>
    <row r="5" ht="15.75" customHeight="1" s="152">
      <c r="A5" s="226">
        <f>$I$2</f>
        <v/>
      </c>
      <c r="B5" s="233">
        <f>A5&amp;VLOOKUP(K5,Matrix!AB:AC,2,0)</f>
        <v/>
      </c>
      <c r="C5" s="234">
        <f>L5</f>
        <v/>
      </c>
      <c r="D5" s="229">
        <f>M5</f>
        <v/>
      </c>
      <c r="E5" s="157">
        <f>O5</f>
        <v/>
      </c>
      <c r="F5" s="229">
        <f>Q5</f>
        <v/>
      </c>
      <c r="G5" s="235" t="n"/>
      <c r="H5" s="236" t="n"/>
      <c r="J5" s="156">
        <f>_xlfn.CONCAT(I5,B5)</f>
        <v/>
      </c>
      <c r="K5" s="195" t="inlineStr">
        <is>
          <t>Chargers</t>
        </is>
      </c>
      <c r="L5" s="232" t="inlineStr">
        <is>
          <t>Fri Sep 5 8:20pm</t>
        </is>
      </c>
      <c r="M5" s="195" t="n">
        <v>130</v>
      </c>
      <c r="N5" s="195" t="n"/>
      <c r="O5" s="195" t="n">
        <v>3</v>
      </c>
      <c r="P5" s="195" t="n"/>
      <c r="Q5" s="195" t="n">
        <v>50.5</v>
      </c>
    </row>
    <row r="6" ht="15.75" customHeight="1" s="152">
      <c r="A6" s="226">
        <f>$I$2</f>
        <v/>
      </c>
      <c r="B6" s="227">
        <f>A6&amp;VLOOKUP(K6,Matrix!AB:AC,2,0)</f>
        <v/>
      </c>
      <c r="C6" s="228">
        <f>L6</f>
        <v/>
      </c>
      <c r="D6" s="229">
        <f>M6</f>
        <v/>
      </c>
      <c r="E6" s="157">
        <f>O6</f>
        <v/>
      </c>
      <c r="F6" s="229">
        <f>Q6</f>
        <v/>
      </c>
      <c r="G6" s="230" t="n"/>
      <c r="H6" s="231" t="n"/>
      <c r="J6" s="156">
        <f>_xlfn.CONCAT(I6,B6)</f>
        <v/>
      </c>
      <c r="K6" s="195" t="inlineStr">
        <is>
          <t>Raiders</t>
        </is>
      </c>
      <c r="L6" s="232" t="inlineStr">
        <is>
          <t>Sun Sep 7 1:00pm</t>
        </is>
      </c>
      <c r="M6" s="195" t="n">
        <v>140</v>
      </c>
      <c r="N6" s="195" t="n"/>
      <c r="O6" s="195" t="n">
        <v>3</v>
      </c>
      <c r="P6" s="195" t="n"/>
      <c r="Q6" s="195" t="n">
        <v>42.5</v>
      </c>
    </row>
    <row r="7" ht="14.4" customHeight="1" s="152">
      <c r="A7" s="226">
        <f>$I$2</f>
        <v/>
      </c>
      <c r="B7" s="233">
        <f>A7&amp;VLOOKUP(K7,Matrix!AB:AC,2,0)</f>
        <v/>
      </c>
      <c r="C7" s="234">
        <f>L7</f>
        <v/>
      </c>
      <c r="D7" s="229">
        <f>M7</f>
        <v/>
      </c>
      <c r="E7" s="157">
        <f>O7</f>
        <v/>
      </c>
      <c r="F7" s="229">
        <f>Q7</f>
        <v/>
      </c>
      <c r="G7" s="235" t="n"/>
      <c r="H7" s="236" t="n"/>
      <c r="J7" s="156">
        <f>_xlfn.CONCAT(I7,B7)</f>
        <v/>
      </c>
      <c r="K7" s="195" t="inlineStr">
        <is>
          <t>Patriots</t>
        </is>
      </c>
      <c r="L7" s="232" t="inlineStr">
        <is>
          <t>Sun Sep 7 1:00pm</t>
        </is>
      </c>
      <c r="M7" s="195" t="n">
        <v>-166</v>
      </c>
      <c r="N7" s="195" t="n"/>
      <c r="O7" s="195" t="n">
        <v>-3</v>
      </c>
      <c r="P7" s="195" t="n"/>
      <c r="Q7" s="195" t="n">
        <v>42.5</v>
      </c>
    </row>
    <row r="8" ht="14.4" customHeight="1" s="152">
      <c r="A8" s="226">
        <f>$I$2</f>
        <v/>
      </c>
      <c r="B8" s="227">
        <f>A8&amp;VLOOKUP(K8,Matrix!AB:AC,2,0)</f>
        <v/>
      </c>
      <c r="C8" s="228">
        <f>L8</f>
        <v/>
      </c>
      <c r="D8" s="229">
        <f>M8</f>
        <v/>
      </c>
      <c r="E8" s="157">
        <f>O8</f>
        <v/>
      </c>
      <c r="F8" s="229">
        <f>Q8</f>
        <v/>
      </c>
      <c r="G8" s="230" t="n"/>
      <c r="H8" s="231" t="n"/>
      <c r="J8" s="156">
        <f>_xlfn.CONCAT(I8,B8)</f>
        <v/>
      </c>
      <c r="K8" s="195" t="inlineStr">
        <is>
          <t>Steelers</t>
        </is>
      </c>
      <c r="L8" s="232" t="inlineStr">
        <is>
          <t>Sun Sep 7 1:00pm</t>
        </is>
      </c>
      <c r="M8" s="195" t="n">
        <v>-143</v>
      </c>
      <c r="N8" s="195" t="n"/>
      <c r="O8" s="195" t="n">
        <v>-3</v>
      </c>
      <c r="P8" s="195" t="n"/>
      <c r="Q8" s="195" t="n">
        <v>37.5</v>
      </c>
    </row>
    <row r="9" ht="14.4" customHeight="1" s="152">
      <c r="A9" s="226">
        <f>$I$2</f>
        <v/>
      </c>
      <c r="B9" s="233">
        <f>A9&amp;VLOOKUP(K9,Matrix!AB:AC,2,0)</f>
        <v/>
      </c>
      <c r="C9" s="234">
        <f>L9</f>
        <v/>
      </c>
      <c r="D9" s="229">
        <f>M9</f>
        <v/>
      </c>
      <c r="E9" s="157">
        <f>O9</f>
        <v/>
      </c>
      <c r="F9" s="229">
        <f>Q9</f>
        <v/>
      </c>
      <c r="G9" s="235" t="n"/>
      <c r="H9" s="236" t="n"/>
      <c r="J9" s="156">
        <f>_xlfn.CONCAT(I9,B9)</f>
        <v/>
      </c>
      <c r="K9" s="195" t="inlineStr">
        <is>
          <t>Jets</t>
        </is>
      </c>
      <c r="L9" s="232" t="inlineStr">
        <is>
          <t>Sun Sep 7 1:00pm</t>
        </is>
      </c>
      <c r="M9" s="195" t="n">
        <v>130</v>
      </c>
      <c r="N9" s="195" t="n"/>
      <c r="O9" s="195" t="n">
        <v>3</v>
      </c>
      <c r="P9" s="195" t="n"/>
      <c r="Q9" s="195" t="n">
        <v>38.5</v>
      </c>
    </row>
    <row r="10" ht="14.4" customHeight="1" s="152">
      <c r="A10" s="226">
        <f>$I$2</f>
        <v/>
      </c>
      <c r="B10" s="227">
        <f>A10&amp;VLOOKUP(K10,Matrix!AB:AC,2,0)</f>
        <v/>
      </c>
      <c r="C10" s="228">
        <f>L10</f>
        <v/>
      </c>
      <c r="D10" s="229">
        <f>M10</f>
        <v/>
      </c>
      <c r="E10" s="157">
        <f>O10</f>
        <v/>
      </c>
      <c r="F10" s="229">
        <f>Q10</f>
        <v/>
      </c>
      <c r="G10" s="230" t="n"/>
      <c r="H10" s="231" t="n"/>
      <c r="J10" s="156">
        <f>_xlfn.CONCAT(I10,B10)</f>
        <v/>
      </c>
      <c r="K10" s="195" t="inlineStr">
        <is>
          <t>Buccaneers</t>
        </is>
      </c>
      <c r="L10" s="232" t="inlineStr">
        <is>
          <t>Sun Sep 7 1:00pm</t>
        </is>
      </c>
      <c r="M10" s="195" t="n">
        <v>-126</v>
      </c>
      <c r="N10" s="195" t="n"/>
      <c r="O10" s="195" t="n">
        <v>-1.5</v>
      </c>
      <c r="P10" s="195" t="n"/>
      <c r="Q10" s="195" t="n">
        <v>47.5</v>
      </c>
    </row>
    <row r="11" ht="14.4" customHeight="1" s="152">
      <c r="A11" s="226">
        <f>$I$2</f>
        <v/>
      </c>
      <c r="B11" s="233">
        <f>A11&amp;VLOOKUP(K11,Matrix!AB:AC,2,0)</f>
        <v/>
      </c>
      <c r="C11" s="234">
        <f>L11</f>
        <v/>
      </c>
      <c r="D11" s="229">
        <f>M11</f>
        <v/>
      </c>
      <c r="E11" s="157">
        <f>O11</f>
        <v/>
      </c>
      <c r="F11" s="229">
        <f>Q11</f>
        <v/>
      </c>
      <c r="G11" s="235" t="n"/>
      <c r="H11" s="236" t="n"/>
      <c r="J11" s="156">
        <f>_xlfn.CONCAT(I11,B11)</f>
        <v/>
      </c>
      <c r="K11" s="195" t="inlineStr">
        <is>
          <t>Falcons</t>
        </is>
      </c>
      <c r="L11" s="232" t="inlineStr">
        <is>
          <t>Sun Sep 7 1:00pm</t>
        </is>
      </c>
      <c r="M11" s="195" t="n">
        <v>115</v>
      </c>
      <c r="N11" s="195" t="n"/>
      <c r="O11" s="195" t="n">
        <v>2</v>
      </c>
      <c r="P11" s="195" t="n"/>
      <c r="Q11" s="195" t="n">
        <v>47.5</v>
      </c>
    </row>
    <row r="12" ht="14.4" customHeight="1" s="152">
      <c r="A12" s="226">
        <f>$I$2</f>
        <v/>
      </c>
      <c r="B12" s="227">
        <f>A12&amp;VLOOKUP(K12,Matrix!AB:AC,2,0)</f>
        <v/>
      </c>
      <c r="C12" s="228">
        <f>L12</f>
        <v/>
      </c>
      <c r="D12" s="229">
        <f>M12</f>
        <v/>
      </c>
      <c r="E12" s="157">
        <f>O12</f>
        <v/>
      </c>
      <c r="F12" s="229">
        <f>Q12</f>
        <v/>
      </c>
      <c r="G12" s="230" t="n"/>
      <c r="H12" s="231" t="n"/>
      <c r="J12" s="156">
        <f>_xlfn.CONCAT(I12,B12)</f>
        <v/>
      </c>
      <c r="K12" s="195" t="inlineStr">
        <is>
          <t>Dolphins</t>
        </is>
      </c>
      <c r="L12" s="232" t="inlineStr">
        <is>
          <t>Sun Sep 7 1:00pm</t>
        </is>
      </c>
      <c r="M12" s="195" t="n">
        <v>105</v>
      </c>
      <c r="N12" s="195" t="n"/>
      <c r="O12" s="195" t="n">
        <v>2</v>
      </c>
      <c r="P12" s="195" t="n"/>
      <c r="Q12" s="195" t="n">
        <v>48.5</v>
      </c>
    </row>
    <row r="13" ht="14.4" customHeight="1" s="152">
      <c r="A13" s="226">
        <f>$I$2</f>
        <v/>
      </c>
      <c r="B13" s="233">
        <f>A13&amp;VLOOKUP(K13,Matrix!AB:AC,2,0)</f>
        <v/>
      </c>
      <c r="C13" s="234">
        <f>L13</f>
        <v/>
      </c>
      <c r="D13" s="229">
        <f>M13</f>
        <v/>
      </c>
      <c r="E13" s="157">
        <f>O13</f>
        <v/>
      </c>
      <c r="F13" s="229">
        <f>Q13</f>
        <v/>
      </c>
      <c r="G13" s="235" t="n"/>
      <c r="H13" s="236" t="n"/>
      <c r="J13" s="156">
        <f>_xlfn.CONCAT(I13,B13)</f>
        <v/>
      </c>
      <c r="K13" s="195" t="inlineStr">
        <is>
          <t>Colts</t>
        </is>
      </c>
      <c r="L13" s="232" t="inlineStr">
        <is>
          <t>Sun Sep 7 1:00pm</t>
        </is>
      </c>
      <c r="M13" s="195" t="n">
        <v>-125</v>
      </c>
      <c r="N13" s="195" t="n"/>
      <c r="O13" s="195" t="n">
        <v>-2</v>
      </c>
      <c r="P13" s="195" t="n"/>
      <c r="Q13" s="195" t="n">
        <v>48.5</v>
      </c>
    </row>
    <row r="14" ht="14.4" customHeight="1" s="152">
      <c r="A14" s="226">
        <f>$I$2</f>
        <v/>
      </c>
      <c r="B14" s="227">
        <f>A14&amp;VLOOKUP(K14,Matrix!AB:AC,2,0)</f>
        <v/>
      </c>
      <c r="C14" s="228">
        <f>L14</f>
        <v/>
      </c>
      <c r="D14" s="229">
        <f>M14</f>
        <v/>
      </c>
      <c r="E14" s="157">
        <f>O14</f>
        <v/>
      </c>
      <c r="F14" s="229">
        <f>Q14</f>
        <v/>
      </c>
      <c r="G14" s="230" t="n"/>
      <c r="H14" s="231" t="n"/>
      <c r="J14" s="156">
        <f>_xlfn.CONCAT(I14,B14)</f>
        <v/>
      </c>
      <c r="K14" s="195" t="inlineStr">
        <is>
          <t>Cardinals</t>
        </is>
      </c>
      <c r="L14" s="232" t="inlineStr">
        <is>
          <t>Sun Sep 7 1:00pm</t>
        </is>
      </c>
      <c r="M14" s="195" t="n">
        <v>270</v>
      </c>
      <c r="N14" s="195" t="n"/>
      <c r="O14" s="195" t="n">
        <v>6.5</v>
      </c>
      <c r="P14" s="195" t="n"/>
      <c r="Q14" s="195" t="n">
        <v>42</v>
      </c>
    </row>
    <row r="15" ht="14.4" customHeight="1" s="152">
      <c r="A15" s="226">
        <f>$I$2</f>
        <v/>
      </c>
      <c r="B15" s="233">
        <f>A15&amp;VLOOKUP(K15,Matrix!AB:AC,2,0)</f>
        <v/>
      </c>
      <c r="C15" s="234">
        <f>L15</f>
        <v/>
      </c>
      <c r="D15" s="229">
        <f>M15</f>
        <v/>
      </c>
      <c r="E15" s="157">
        <f>O15</f>
        <v/>
      </c>
      <c r="F15" s="229">
        <f>Q15</f>
        <v/>
      </c>
      <c r="G15" s="235" t="n"/>
      <c r="H15" s="236" t="n"/>
      <c r="J15" s="156">
        <f>_xlfn.CONCAT(I15,B15)</f>
        <v/>
      </c>
      <c r="K15" s="195" t="inlineStr">
        <is>
          <t>Saints</t>
        </is>
      </c>
      <c r="L15" s="232" t="inlineStr">
        <is>
          <t>Sun Sep 7 1:00pm</t>
        </is>
      </c>
      <c r="M15" s="195" t="n">
        <v>-350</v>
      </c>
      <c r="N15" s="195" t="n"/>
      <c r="O15" s="195" t="n">
        <v>-6.5</v>
      </c>
      <c r="P15" s="195" t="n"/>
      <c r="Q15" s="195" t="n">
        <v>42</v>
      </c>
    </row>
    <row r="16" ht="14.4" customHeight="1" s="152">
      <c r="A16" s="226">
        <f>$I$2</f>
        <v/>
      </c>
      <c r="B16" s="227">
        <f>A16&amp;VLOOKUP(K16,Matrix!AB:AC,2,0)</f>
        <v/>
      </c>
      <c r="C16" s="228">
        <f>L16</f>
        <v/>
      </c>
      <c r="D16" s="229">
        <f>M16</f>
        <v/>
      </c>
      <c r="E16" s="157">
        <f>O16</f>
        <v/>
      </c>
      <c r="F16" s="229">
        <f>Q16</f>
        <v/>
      </c>
      <c r="G16" s="230" t="n"/>
      <c r="H16" s="231" t="n"/>
      <c r="J16" s="156">
        <f>_xlfn.CONCAT(I16,B16)</f>
        <v/>
      </c>
      <c r="K16" s="195" t="inlineStr">
        <is>
          <t>Giants</t>
        </is>
      </c>
      <c r="L16" s="232" t="inlineStr">
        <is>
          <t>Sun Sep 7 1:00pm</t>
        </is>
      </c>
      <c r="M16" s="195" t="n">
        <v>225</v>
      </c>
      <c r="N16" s="195" t="n"/>
      <c r="O16" s="195" t="n">
        <v>6</v>
      </c>
      <c r="P16" s="195" t="n"/>
      <c r="Q16" s="195" t="n">
        <v>44.5</v>
      </c>
    </row>
    <row r="17" ht="14.4" customHeight="1" s="152">
      <c r="A17" s="226">
        <f>$I$2</f>
        <v/>
      </c>
      <c r="B17" s="233">
        <f>A17&amp;VLOOKUP(K17,Matrix!AB:AC,2,0)</f>
        <v/>
      </c>
      <c r="C17" s="234">
        <f>L17</f>
        <v/>
      </c>
      <c r="D17" s="229">
        <f>M17</f>
        <v/>
      </c>
      <c r="E17" s="157">
        <f>O17</f>
        <v/>
      </c>
      <c r="F17" s="229">
        <f>Q17</f>
        <v/>
      </c>
      <c r="G17" s="235" t="n"/>
      <c r="H17" s="236" t="n"/>
      <c r="J17" s="156">
        <f>_xlfn.CONCAT(I17,B17)</f>
        <v/>
      </c>
      <c r="K17" s="195" t="inlineStr">
        <is>
          <t>Commanders</t>
        </is>
      </c>
      <c r="L17" s="232" t="inlineStr">
        <is>
          <t>Sun Sep 7 1:00pm</t>
        </is>
      </c>
      <c r="M17" s="195" t="n">
        <v>-280</v>
      </c>
      <c r="N17" s="195" t="n"/>
      <c r="O17" s="195" t="n">
        <v>-6</v>
      </c>
      <c r="P17" s="195" t="n"/>
      <c r="Q17" s="195" t="n">
        <v>44.5</v>
      </c>
    </row>
    <row r="18" ht="14.4" customHeight="1" s="152">
      <c r="A18" s="226">
        <f>$I$2</f>
        <v/>
      </c>
      <c r="B18" s="227">
        <f>A18&amp;VLOOKUP(K18,Matrix!AB:AC,2,0)</f>
        <v/>
      </c>
      <c r="C18" s="228">
        <f>L18</f>
        <v/>
      </c>
      <c r="D18" s="229">
        <f>M18</f>
        <v/>
      </c>
      <c r="E18" s="157">
        <f>O18</f>
        <v/>
      </c>
      <c r="F18" s="229">
        <f>Q18</f>
        <v/>
      </c>
      <c r="G18" s="230" t="n"/>
      <c r="H18" s="231" t="n"/>
      <c r="J18" s="156">
        <f>_xlfn.CONCAT(I18,B18)</f>
        <v/>
      </c>
      <c r="K18" s="195" t="inlineStr">
        <is>
          <t>Panthers</t>
        </is>
      </c>
      <c r="L18" s="232" t="inlineStr">
        <is>
          <t>Sun Sep 7 1:00pm</t>
        </is>
      </c>
      <c r="M18" s="195" t="n">
        <v>140</v>
      </c>
      <c r="N18" s="195" t="n"/>
      <c r="O18" s="195" t="n">
        <v>3</v>
      </c>
      <c r="P18" s="195" t="n"/>
      <c r="Q18" s="195" t="n">
        <v>43</v>
      </c>
    </row>
    <row r="19" ht="14.4" customHeight="1" s="152">
      <c r="A19" s="226">
        <f>$I$2</f>
        <v/>
      </c>
      <c r="B19" s="233">
        <f>A19&amp;VLOOKUP(K19,Matrix!AB:AC,2,0)</f>
        <v/>
      </c>
      <c r="C19" s="234">
        <f>L19</f>
        <v/>
      </c>
      <c r="D19" s="229">
        <f>M19</f>
        <v/>
      </c>
      <c r="E19" s="157">
        <f>O19</f>
        <v/>
      </c>
      <c r="F19" s="229">
        <f>Q19</f>
        <v/>
      </c>
      <c r="G19" s="235" t="n"/>
      <c r="H19" s="236" t="n"/>
      <c r="J19" s="156">
        <f>_xlfn.CONCAT(I19,B19)</f>
        <v/>
      </c>
      <c r="K19" s="195" t="inlineStr">
        <is>
          <t>Jaguars</t>
        </is>
      </c>
      <c r="L19" s="232" t="inlineStr">
        <is>
          <t>Sun Sep 7 1:00pm</t>
        </is>
      </c>
      <c r="M19" s="195" t="n">
        <v>-166</v>
      </c>
      <c r="N19" s="195" t="n"/>
      <c r="O19" s="195" t="n">
        <v>-3</v>
      </c>
      <c r="P19" s="195" t="n"/>
      <c r="Q19" s="195" t="n">
        <v>43</v>
      </c>
    </row>
    <row r="20" ht="14.4" customHeight="1" s="152">
      <c r="A20" s="226">
        <f>$I$2</f>
        <v/>
      </c>
      <c r="B20" s="227">
        <f>A20&amp;VLOOKUP(K20,Matrix!AB:AC,2,0)</f>
        <v/>
      </c>
      <c r="C20" s="228">
        <f>L20</f>
        <v/>
      </c>
      <c r="D20" s="229">
        <f>M20</f>
        <v/>
      </c>
      <c r="E20" s="157">
        <f>O20</f>
        <v/>
      </c>
      <c r="F20" s="229">
        <f>Q20</f>
        <v/>
      </c>
      <c r="G20" s="230" t="n"/>
      <c r="H20" s="231" t="n"/>
      <c r="J20" s="156">
        <f>_xlfn.CONCAT(I20,B20)</f>
        <v/>
      </c>
      <c r="K20" s="195" t="inlineStr">
        <is>
          <t>Bengals</t>
        </is>
      </c>
      <c r="L20" s="232" t="inlineStr">
        <is>
          <t>Sun Sep 7 4:05pm</t>
        </is>
      </c>
      <c r="M20" s="195" t="n">
        <v>-260</v>
      </c>
      <c r="N20" s="195" t="n"/>
      <c r="O20" s="195" t="n">
        <v>-5.5</v>
      </c>
      <c r="P20" s="195" t="n"/>
      <c r="Q20" s="195" t="n">
        <v>47</v>
      </c>
    </row>
    <row r="21" ht="14.4" customHeight="1" s="152">
      <c r="A21" s="226">
        <f>$I$2</f>
        <v/>
      </c>
      <c r="B21" s="233">
        <f>A21&amp;VLOOKUP(K21,Matrix!AB:AC,2,0)</f>
        <v/>
      </c>
      <c r="C21" s="234">
        <f>L21</f>
        <v/>
      </c>
      <c r="D21" s="229">
        <f>M21</f>
        <v/>
      </c>
      <c r="E21" s="157">
        <f>O21</f>
        <v/>
      </c>
      <c r="F21" s="229">
        <f>Q21</f>
        <v/>
      </c>
      <c r="G21" s="235" t="n"/>
      <c r="H21" s="236" t="n"/>
      <c r="J21" s="156">
        <f>_xlfn.CONCAT(I21,B21)</f>
        <v/>
      </c>
      <c r="K21" s="195" t="inlineStr">
        <is>
          <t>Browns</t>
        </is>
      </c>
      <c r="L21" s="232" t="inlineStr">
        <is>
          <t>Sun Sep 7 4:05pm</t>
        </is>
      </c>
      <c r="M21" s="195" t="n">
        <v>220</v>
      </c>
      <c r="N21" s="195" t="n"/>
      <c r="O21" s="195" t="n">
        <v>5.5</v>
      </c>
      <c r="P21" s="195" t="n"/>
      <c r="Q21" s="195" t="n">
        <v>47</v>
      </c>
    </row>
    <row r="22" ht="14.4" customHeight="1" s="152">
      <c r="A22" s="226">
        <f>$I$2</f>
        <v/>
      </c>
      <c r="B22" s="227">
        <f>A22&amp;VLOOKUP(K22,Matrix!AB:AC,2,0)</f>
        <v/>
      </c>
      <c r="C22" s="228">
        <f>L22</f>
        <v/>
      </c>
      <c r="D22" s="229">
        <f>M22</f>
        <v/>
      </c>
      <c r="E22" s="157">
        <f>O22</f>
        <v/>
      </c>
      <c r="F22" s="229">
        <f>Q22</f>
        <v/>
      </c>
      <c r="G22" s="230" t="n"/>
      <c r="H22" s="231" t="n"/>
      <c r="J22" s="156">
        <f>_xlfn.CONCAT(I22,B22)</f>
        <v/>
      </c>
      <c r="K22" s="195" t="inlineStr">
        <is>
          <t>Titans</t>
        </is>
      </c>
      <c r="L22" s="232" t="inlineStr">
        <is>
          <t>Sun Sep 7 4:05pm</t>
        </is>
      </c>
      <c r="M22" s="195" t="n">
        <v>320</v>
      </c>
      <c r="N22" s="195" t="n"/>
      <c r="O22" s="195" t="n">
        <v>7.5</v>
      </c>
      <c r="P22" s="195" t="n"/>
      <c r="Q22" s="195" t="n">
        <v>41.5</v>
      </c>
    </row>
    <row r="23" ht="14.4" customHeight="1" s="152">
      <c r="A23" s="226">
        <f>$I$2</f>
        <v/>
      </c>
      <c r="B23" s="233">
        <f>A23&amp;VLOOKUP(K23,Matrix!AB:AC,2,0)</f>
        <v/>
      </c>
      <c r="C23" s="234">
        <f>L23</f>
        <v/>
      </c>
      <c r="D23" s="229">
        <f>M23</f>
        <v/>
      </c>
      <c r="E23" s="157">
        <f>O23</f>
        <v/>
      </c>
      <c r="F23" s="229">
        <f>Q23</f>
        <v/>
      </c>
      <c r="G23" s="235" t="n"/>
      <c r="H23" s="236" t="n"/>
      <c r="J23" s="156">
        <f>_xlfn.CONCAT(I23,B23)</f>
        <v/>
      </c>
      <c r="K23" s="195" t="inlineStr">
        <is>
          <t>Broncos</t>
        </is>
      </c>
      <c r="L23" s="232" t="inlineStr">
        <is>
          <t>Sun Sep 7 4:05pm</t>
        </is>
      </c>
      <c r="M23" s="195" t="n">
        <v>-400</v>
      </c>
      <c r="N23" s="195" t="n"/>
      <c r="O23" s="195" t="n">
        <v>-7.5</v>
      </c>
      <c r="P23" s="195" t="n"/>
      <c r="Q23" s="195" t="n">
        <v>41.5</v>
      </c>
    </row>
    <row r="24" ht="14.4" customHeight="1" s="152">
      <c r="A24" s="226">
        <f>$I$2</f>
        <v/>
      </c>
      <c r="B24" s="227">
        <f>A24&amp;VLOOKUP(K24,Matrix!AB:AC,2,0)</f>
        <v/>
      </c>
      <c r="C24" s="228">
        <f>L24</f>
        <v/>
      </c>
      <c r="D24" s="229">
        <f>M24</f>
        <v/>
      </c>
      <c r="E24" s="157">
        <f>O24</f>
        <v/>
      </c>
      <c r="F24" s="229">
        <f>Q24</f>
        <v/>
      </c>
      <c r="G24" s="230" t="n"/>
      <c r="H24" s="231" t="n"/>
      <c r="J24" s="156">
        <f>_xlfn.CONCAT(I24,B24)</f>
        <v/>
      </c>
      <c r="K24" s="195" t="inlineStr">
        <is>
          <t>49ers</t>
        </is>
      </c>
      <c r="L24" s="232" t="inlineStr">
        <is>
          <t>Sun Sep 7 4:25pm</t>
        </is>
      </c>
      <c r="M24" s="195" t="n">
        <v>-135</v>
      </c>
      <c r="N24" s="195" t="n"/>
      <c r="O24" s="195" t="n">
        <v>-2.5</v>
      </c>
      <c r="P24" s="195" t="n"/>
      <c r="Q24" s="195" t="n">
        <v>44.5</v>
      </c>
    </row>
    <row r="25" ht="14.4" customHeight="1" s="152">
      <c r="A25" s="226">
        <f>$I$2</f>
        <v/>
      </c>
      <c r="B25" s="233">
        <f>A25&amp;VLOOKUP(K25,Matrix!AB:AC,2,0)</f>
        <v/>
      </c>
      <c r="C25" s="234">
        <f>L25</f>
        <v/>
      </c>
      <c r="D25" s="229">
        <f>M25</f>
        <v/>
      </c>
      <c r="E25" s="157">
        <f>O25</f>
        <v/>
      </c>
      <c r="F25" s="229">
        <f>Q25</f>
        <v/>
      </c>
      <c r="G25" s="235" t="n"/>
      <c r="H25" s="236" t="n"/>
      <c r="J25" s="156">
        <f>_xlfn.CONCAT(I25,B25)</f>
        <v/>
      </c>
      <c r="K25" s="195" t="inlineStr">
        <is>
          <t>Seahawks</t>
        </is>
      </c>
      <c r="L25" s="232" t="inlineStr">
        <is>
          <t>Sun Sep 7 4:25pm</t>
        </is>
      </c>
      <c r="M25" s="195" t="n">
        <v>115</v>
      </c>
      <c r="N25" s="195" t="n"/>
      <c r="O25" s="195" t="n">
        <v>2.5</v>
      </c>
      <c r="P25" s="195" t="n"/>
      <c r="Q25" s="195" t="n">
        <v>44.5</v>
      </c>
    </row>
    <row r="26" ht="14.4" customHeight="1" s="152">
      <c r="A26" s="226">
        <f>$I$2</f>
        <v/>
      </c>
      <c r="B26" s="227">
        <f>A26&amp;VLOOKUP(K26,Matrix!AB:AC,2,0)</f>
        <v/>
      </c>
      <c r="C26" s="228">
        <f>L26</f>
        <v/>
      </c>
      <c r="D26" s="229">
        <f>M26</f>
        <v/>
      </c>
      <c r="E26" s="157">
        <f>O26</f>
        <v/>
      </c>
      <c r="F26" s="229">
        <f>Q26</f>
        <v/>
      </c>
      <c r="G26" s="230" t="n"/>
      <c r="H26" s="231" t="n"/>
      <c r="J26" s="156">
        <f>_xlfn.CONCAT(I26,B26)</f>
        <v/>
      </c>
      <c r="K26" s="195" t="inlineStr">
        <is>
          <t>Lions</t>
        </is>
      </c>
      <c r="L26" s="232" t="inlineStr">
        <is>
          <t>Sun Sep 7 4:25pm</t>
        </is>
      </c>
      <c r="M26" s="195" t="n">
        <v>-110</v>
      </c>
      <c r="N26" s="195" t="n"/>
      <c r="O26" s="195" t="n">
        <v>-3</v>
      </c>
      <c r="P26" s="195" t="n"/>
      <c r="Q26" s="195" t="n">
        <v>48.5</v>
      </c>
    </row>
    <row r="27" ht="14.4" customHeight="1" s="152">
      <c r="A27" s="226">
        <f>$I$2</f>
        <v/>
      </c>
      <c r="B27" s="233">
        <f>A27&amp;VLOOKUP(K27,Matrix!AB:AC,2,0)</f>
        <v/>
      </c>
      <c r="C27" s="234">
        <f>L27</f>
        <v/>
      </c>
      <c r="D27" s="229">
        <f>M27</f>
        <v/>
      </c>
      <c r="E27" s="157">
        <f>O27</f>
        <v/>
      </c>
      <c r="F27" s="229">
        <f>Q27</f>
        <v/>
      </c>
      <c r="G27" s="235" t="n"/>
      <c r="H27" s="236" t="n"/>
      <c r="J27" s="156">
        <f>_xlfn.CONCAT(I27,B27)</f>
        <v/>
      </c>
      <c r="K27" s="195" t="inlineStr">
        <is>
          <t>Packers</t>
        </is>
      </c>
      <c r="L27" s="232" t="inlineStr">
        <is>
          <t>Sun Sep 7 4:25pm</t>
        </is>
      </c>
      <c r="M27" s="195" t="n">
        <v>-110</v>
      </c>
      <c r="N27" s="195" t="n"/>
      <c r="O27" s="195" t="n">
        <v>3</v>
      </c>
      <c r="P27" s="195" t="n"/>
      <c r="Q27" s="195" t="n">
        <v>48.5</v>
      </c>
    </row>
    <row r="28" ht="14.4" customHeight="1" s="152">
      <c r="A28" s="226">
        <f>$I$2</f>
        <v/>
      </c>
      <c r="B28" s="227">
        <f>A28&amp;VLOOKUP(K28,Matrix!AB:AC,2,0)</f>
        <v/>
      </c>
      <c r="C28" s="228">
        <f>L28</f>
        <v/>
      </c>
      <c r="D28" s="229">
        <f>M28</f>
        <v/>
      </c>
      <c r="E28" s="157">
        <f>O28</f>
        <v/>
      </c>
      <c r="F28" s="229">
        <f>Q28</f>
        <v/>
      </c>
      <c r="G28" s="230" t="n"/>
      <c r="H28" s="231" t="n"/>
      <c r="J28" s="156">
        <f>_xlfn.CONCAT(I28,B28)</f>
        <v/>
      </c>
      <c r="K28" s="195" t="inlineStr">
        <is>
          <t>Texans</t>
        </is>
      </c>
      <c r="L28" s="232" t="inlineStr">
        <is>
          <t>Sun Sep 7 4:25pm</t>
        </is>
      </c>
      <c r="M28" s="195" t="n">
        <v>245</v>
      </c>
      <c r="N28" s="195" t="n"/>
      <c r="O28" s="195" t="n">
        <v>7</v>
      </c>
      <c r="P28" s="195" t="n"/>
      <c r="Q28" s="195" t="n">
        <v>44</v>
      </c>
    </row>
    <row r="29" ht="14.4" customHeight="1" s="152">
      <c r="A29" s="226">
        <f>$I$2</f>
        <v/>
      </c>
      <c r="B29" s="233">
        <f>A29&amp;VLOOKUP(K29,Matrix!AB:AC,2,0)</f>
        <v/>
      </c>
      <c r="C29" s="234">
        <f>L29</f>
        <v/>
      </c>
      <c r="D29" s="229">
        <f>M29</f>
        <v/>
      </c>
      <c r="E29" s="157">
        <f>O29</f>
        <v/>
      </c>
      <c r="F29" s="229">
        <f>Q29</f>
        <v/>
      </c>
      <c r="G29" s="235" t="n"/>
      <c r="H29" s="236" t="n"/>
      <c r="J29" s="156">
        <f>_xlfn.CONCAT(I29,B29)</f>
        <v/>
      </c>
      <c r="K29" s="195" t="inlineStr">
        <is>
          <t>Rams</t>
        </is>
      </c>
      <c r="L29" s="232" t="inlineStr">
        <is>
          <t>Sun Sep 7 4:25pm</t>
        </is>
      </c>
      <c r="M29" s="195" t="n">
        <v>-300</v>
      </c>
      <c r="N29" s="195" t="n"/>
      <c r="O29" s="195" t="n">
        <v>-7</v>
      </c>
      <c r="P29" s="195" t="n"/>
      <c r="Q29" s="195" t="n">
        <v>44</v>
      </c>
    </row>
    <row r="30" ht="14.4" customHeight="1" s="152">
      <c r="A30" s="226">
        <f>$I$2</f>
        <v/>
      </c>
      <c r="B30" s="227">
        <f>A30&amp;VLOOKUP(K30,Matrix!AB:AC,2,0)</f>
        <v/>
      </c>
      <c r="C30" s="228">
        <f>L30</f>
        <v/>
      </c>
      <c r="D30" s="229">
        <f>M30</f>
        <v/>
      </c>
      <c r="E30" s="157">
        <f>O30</f>
        <v/>
      </c>
      <c r="F30" s="229">
        <f>Q30</f>
        <v/>
      </c>
      <c r="G30" s="230" t="n"/>
      <c r="H30" s="231" t="n"/>
      <c r="J30" s="156">
        <f>_xlfn.CONCAT(I30,B30)</f>
        <v/>
      </c>
      <c r="K30" s="195" t="inlineStr">
        <is>
          <t>Ravens</t>
        </is>
      </c>
      <c r="L30" s="232" t="inlineStr">
        <is>
          <t>Sun Sep 7 8:20pm</t>
        </is>
      </c>
      <c r="M30" s="195" t="n">
        <v>-105</v>
      </c>
      <c r="N30" s="195" t="n"/>
      <c r="O30" s="195" t="n">
        <v>-1.5</v>
      </c>
      <c r="P30" s="195" t="n"/>
      <c r="Q30" s="195" t="n">
        <v>51.5</v>
      </c>
    </row>
    <row r="31" ht="14.4" customHeight="1" s="152">
      <c r="A31" s="226">
        <f>$I$2</f>
        <v/>
      </c>
      <c r="B31" s="233">
        <f>A31&amp;VLOOKUP(K31,Matrix!AB:AC,2,0)</f>
        <v/>
      </c>
      <c r="C31" s="234">
        <f>L31</f>
        <v/>
      </c>
      <c r="D31" s="229">
        <f>M31</f>
        <v/>
      </c>
      <c r="E31" s="157">
        <f>O31</f>
        <v/>
      </c>
      <c r="F31" s="229">
        <f>Q31</f>
        <v/>
      </c>
      <c r="G31" s="235" t="n"/>
      <c r="H31" s="236" t="n"/>
      <c r="J31" s="156">
        <f>_xlfn.CONCAT(I31,B31)</f>
        <v/>
      </c>
      <c r="K31" s="195" t="inlineStr">
        <is>
          <t>Bills</t>
        </is>
      </c>
      <c r="L31" s="232" t="inlineStr">
        <is>
          <t>Sun Sep 7 8:20pm</t>
        </is>
      </c>
      <c r="M31" s="195" t="n">
        <v>-115</v>
      </c>
      <c r="N31" s="195" t="n"/>
      <c r="O31" s="195" t="n">
        <v>1.5</v>
      </c>
      <c r="P31" s="195" t="n"/>
      <c r="Q31" s="195" t="n">
        <v>51.5</v>
      </c>
    </row>
    <row r="32" ht="14.4" customHeight="1" s="152">
      <c r="A32" s="226">
        <f>$I$2</f>
        <v/>
      </c>
      <c r="B32" s="227">
        <f>A32&amp;VLOOKUP(K32,Matrix!AB:AC,2,0)</f>
        <v/>
      </c>
      <c r="C32" s="228">
        <f>L32</f>
        <v/>
      </c>
      <c r="D32" s="229">
        <f>M32</f>
        <v/>
      </c>
      <c r="E32" s="157">
        <f>O32</f>
        <v/>
      </c>
      <c r="F32" s="229">
        <f>Q32</f>
        <v/>
      </c>
      <c r="G32" s="230" t="n"/>
      <c r="H32" s="231" t="n"/>
      <c r="J32" s="156">
        <f>_xlfn.CONCAT(I32,B32)</f>
        <v/>
      </c>
      <c r="K32" s="195" t="inlineStr">
        <is>
          <t>Vikings</t>
        </is>
      </c>
      <c r="L32" s="232" t="inlineStr">
        <is>
          <t>Mon Sep 8 8:15pm</t>
        </is>
      </c>
      <c r="M32" s="195" t="n">
        <v>-120</v>
      </c>
      <c r="N32" s="195" t="n"/>
      <c r="O32" s="195" t="n">
        <v>-1.5</v>
      </c>
      <c r="P32" s="195" t="n"/>
      <c r="Q32" s="195" t="n">
        <v>42.5</v>
      </c>
    </row>
    <row r="33" ht="14.4" customHeight="1" s="152">
      <c r="A33" s="226">
        <f>$I$2</f>
        <v/>
      </c>
      <c r="B33" s="233">
        <f>A33&amp;VLOOKUP(K33,Matrix!AB:AC,2,0)</f>
        <v/>
      </c>
      <c r="C33" s="234">
        <f>L33</f>
        <v/>
      </c>
      <c r="D33" s="229">
        <f>M33</f>
        <v/>
      </c>
      <c r="E33" s="157">
        <f>O33</f>
        <v/>
      </c>
      <c r="F33" s="229">
        <f>Q33</f>
        <v/>
      </c>
      <c r="G33" s="235" t="n"/>
      <c r="H33" s="236" t="n"/>
      <c r="J33" s="156">
        <f>_xlfn.CONCAT(I33,B33)</f>
        <v/>
      </c>
      <c r="K33" s="195" t="inlineStr">
        <is>
          <t>Bears</t>
        </is>
      </c>
      <c r="L33" s="232" t="inlineStr">
        <is>
          <t>Mon Sep 8 8:15pm</t>
        </is>
      </c>
      <c r="M33" s="195" t="n">
        <v>112</v>
      </c>
      <c r="N33" s="195" t="n"/>
      <c r="O33" s="195" t="n">
        <v>1.5</v>
      </c>
      <c r="P33" s="195" t="n"/>
      <c r="Q33" s="195" t="n">
        <v>43.5</v>
      </c>
    </row>
    <row r="34" ht="14.4" customHeight="1" s="152">
      <c r="L34" s="237" t="n"/>
    </row>
    <row r="36" ht="13.8" customHeight="1" s="152">
      <c r="L36" s="156" t="n"/>
    </row>
    <row r="37" ht="13.8" customHeight="1" s="152">
      <c r="L37" s="156" t="n"/>
    </row>
    <row r="38" ht="13.8" customHeight="1" s="152">
      <c r="L38" s="156" t="n"/>
    </row>
    <row r="39" ht="13.8" customHeight="1" s="152">
      <c r="L39" s="156" t="n"/>
    </row>
    <row r="40" ht="13.8" customHeight="1" s="152">
      <c r="L40" s="156" t="n"/>
    </row>
    <row r="41" ht="14.4" customHeight="1" s="152">
      <c r="L41" s="156" t="n"/>
    </row>
    <row r="42" ht="14.4" customHeight="1" s="152">
      <c r="L42" s="156" t="n"/>
    </row>
    <row r="43" ht="13.8" customHeight="1" s="152">
      <c r="L43" s="156" t="n"/>
    </row>
    <row r="44" ht="13.8" customHeight="1" s="152">
      <c r="L44" s="156" t="n"/>
    </row>
    <row r="45" ht="14.4" customHeight="1" s="152">
      <c r="L45" s="156" t="n"/>
    </row>
    <row r="46" ht="14.4" customHeight="1" s="152">
      <c r="L46" s="156" t="n"/>
    </row>
    <row r="47" ht="14.4" customHeight="1" s="152">
      <c r="L47" s="156" t="n"/>
    </row>
    <row r="48" ht="14.4" customHeight="1" s="152">
      <c r="L48" s="156" t="n"/>
    </row>
    <row r="49" ht="14.4" customHeight="1" s="152">
      <c r="L49" s="156" t="n"/>
    </row>
    <row r="50" ht="14.4" customHeight="1" s="152">
      <c r="L50" s="156" t="n"/>
    </row>
    <row r="51" ht="13.8" customHeight="1" s="152">
      <c r="L51" s="156" t="n"/>
    </row>
    <row r="52" ht="13.8" customHeight="1" s="152">
      <c r="L52" s="156" t="n"/>
    </row>
    <row r="53" ht="14.4" customHeight="1" s="152">
      <c r="L53" s="156" t="n"/>
    </row>
    <row r="54" ht="14.4" customHeight="1" s="152">
      <c r="L54" s="156" t="n"/>
    </row>
    <row r="55" ht="14.4" customHeight="1" s="152">
      <c r="L55" s="156" t="n"/>
    </row>
    <row r="56" ht="14.4" customHeight="1" s="152">
      <c r="L56" s="156" t="n"/>
    </row>
    <row r="57" ht="14.4" customHeight="1" s="152">
      <c r="L57" s="156" t="n"/>
    </row>
    <row r="58" ht="14.4" customHeight="1" s="152">
      <c r="L58" s="156" t="n"/>
    </row>
    <row r="59" ht="14.4" customHeight="1" s="152">
      <c r="L59" s="156" t="n"/>
    </row>
    <row r="60" ht="14.4" customHeight="1" s="152">
      <c r="L60" s="156" t="n"/>
    </row>
    <row r="61" ht="14.4" customHeight="1" s="152">
      <c r="L61" s="156" t="n"/>
    </row>
    <row r="62" ht="14.4" customHeight="1" s="152">
      <c r="L62" s="156" t="n"/>
    </row>
    <row r="63" ht="14.4" customHeight="1" s="152">
      <c r="L63" s="156" t="n"/>
    </row>
    <row r="64" ht="14.4" customHeight="1" s="152">
      <c r="L64" s="156" t="n"/>
    </row>
    <row r="65" ht="14.4" customHeight="1" s="152">
      <c r="L65" s="156" t="n"/>
    </row>
    <row r="66" ht="14.4" customHeight="1" s="152">
      <c r="L66" s="156" t="n"/>
    </row>
    <row r="67" ht="14.4" customHeight="1" s="152">
      <c r="L67" s="156" t="n"/>
    </row>
    <row r="68" ht="14.4" customHeight="1" s="152">
      <c r="L68" s="238" t="n"/>
    </row>
    <row r="69" ht="14.4" customHeight="1" s="152">
      <c r="L69" s="238" t="n"/>
    </row>
    <row r="70" ht="14.4" customHeight="1" s="152">
      <c r="L70" s="239" t="n"/>
    </row>
    <row r="71" ht="14.4" customHeight="1" s="152">
      <c r="L71" s="238" t="n"/>
    </row>
    <row r="72" ht="14.4" customHeight="1" s="152">
      <c r="L72" s="238" t="n"/>
    </row>
    <row r="73" ht="14.4" customHeight="1" s="152">
      <c r="L73" s="238" t="n"/>
    </row>
    <row r="74" ht="14.4" customHeight="1" s="152">
      <c r="L74" s="239" t="n"/>
    </row>
    <row r="75" ht="14.4" customHeight="1" s="152">
      <c r="L75" s="238" t="n"/>
    </row>
    <row r="76" ht="14.4" customHeight="1" s="152">
      <c r="L76" s="238" t="n"/>
    </row>
    <row r="77" ht="14.4" customHeight="1" s="152">
      <c r="L77" s="238" t="n"/>
    </row>
    <row r="78" ht="14.4" customHeight="1" s="152">
      <c r="L78" s="238" t="n"/>
    </row>
    <row r="79" ht="14.4" customHeight="1" s="152">
      <c r="L79" s="238" t="n"/>
    </row>
    <row r="80" ht="14.4" customHeight="1" s="152">
      <c r="L80" s="238" t="n"/>
    </row>
    <row r="81" ht="14.4" customHeight="1" s="152">
      <c r="L81" s="238" t="n"/>
    </row>
    <row r="82" ht="14.4" customHeight="1" s="152">
      <c r="L82" s="238" t="n"/>
    </row>
    <row r="83" ht="14.4" customHeight="1" s="152">
      <c r="L83" s="238" t="n"/>
    </row>
    <row r="84" ht="14.4" customHeight="1" s="152">
      <c r="L84" s="238" t="n"/>
    </row>
    <row r="85" ht="14.4" customHeight="1" s="152">
      <c r="L85" s="238" t="n"/>
    </row>
    <row r="86" ht="14.4" customHeight="1" s="152">
      <c r="L86" s="238" t="n"/>
    </row>
    <row r="87" ht="14.4" customHeight="1" s="152">
      <c r="L87" s="238" t="n"/>
    </row>
    <row r="88" ht="14.4" customHeight="1" s="152">
      <c r="L88" s="238" t="n"/>
    </row>
    <row r="89" ht="14.4" customHeight="1" s="152">
      <c r="L89" s="238" t="n"/>
    </row>
    <row r="90" ht="14.4" customHeight="1" s="152">
      <c r="L90" s="239" t="n"/>
    </row>
    <row r="91" ht="14.4" customHeight="1" s="152">
      <c r="L91" s="238" t="n"/>
    </row>
    <row r="92" ht="14.4" customHeight="1" s="152">
      <c r="L92" s="238" t="n"/>
    </row>
    <row r="93" ht="14.4" customHeight="1" s="152">
      <c r="L93" s="238" t="n"/>
    </row>
    <row r="94" ht="14.4" customHeight="1" s="152">
      <c r="L94" s="238" t="n"/>
    </row>
    <row r="95" ht="14.4" customHeight="1" s="152">
      <c r="L95" s="238" t="n"/>
    </row>
    <row r="96" ht="14.4" customHeight="1" s="152">
      <c r="L96" s="238" t="n"/>
    </row>
    <row r="97" ht="14.4" customHeight="1" s="152">
      <c r="L97" s="238" t="n"/>
    </row>
    <row r="98" ht="14.4" customHeight="1" s="152">
      <c r="L98" s="238" t="n"/>
    </row>
    <row r="99" ht="14.4" customHeight="1" s="152">
      <c r="L99" s="238" t="n"/>
    </row>
    <row r="100" ht="14.4" customHeight="1" s="152">
      <c r="L100" s="238" t="n"/>
    </row>
    <row r="101" ht="14.4" customHeight="1" s="152">
      <c r="L101" s="238" t="n"/>
    </row>
    <row r="102" ht="14.4" customHeight="1" s="152">
      <c r="L102" s="238" t="n"/>
    </row>
    <row r="103" ht="14.4" customHeight="1" s="152">
      <c r="L103" s="238" t="n"/>
    </row>
    <row r="104" ht="14.4" customHeight="1" s="152">
      <c r="L104" s="238" t="n"/>
    </row>
    <row r="105" ht="14.4" customHeight="1" s="152">
      <c r="L105" s="238" t="n"/>
    </row>
    <row r="106" ht="14.4" customHeight="1" s="152">
      <c r="L106" s="238" t="n"/>
    </row>
    <row r="107" ht="14.4" customHeight="1" s="152">
      <c r="L107" s="238" t="n"/>
    </row>
    <row r="108" ht="14.4" customHeight="1" s="152">
      <c r="L108" s="238" t="n"/>
    </row>
    <row r="109" ht="14.4" customHeight="1" s="152">
      <c r="L109" s="238" t="n"/>
    </row>
    <row r="110" ht="14.4" customHeight="1" s="152">
      <c r="L110" s="238" t="n"/>
    </row>
    <row r="111" ht="14.4" customHeight="1" s="152">
      <c r="L111" s="238" t="n"/>
    </row>
    <row r="112" ht="14.4" customHeight="1" s="152">
      <c r="L112" s="238" t="n"/>
    </row>
    <row r="113" ht="14.4" customHeight="1" s="152">
      <c r="L113" s="238" t="n"/>
    </row>
    <row r="114" ht="14.4" customHeight="1" s="152">
      <c r="L114" s="240" t="n"/>
    </row>
    <row r="115" ht="14.4" customHeight="1" s="152">
      <c r="L115" s="238" t="n"/>
    </row>
    <row r="116" ht="14.4" customHeight="1" s="152">
      <c r="L116" s="238" t="n"/>
    </row>
    <row r="117" ht="14.4" customHeight="1" s="152">
      <c r="L117" s="238" t="n"/>
    </row>
    <row r="118" ht="14.4" customHeight="1" s="152">
      <c r="L118" s="238" t="n"/>
    </row>
    <row r="119" ht="14.4" customHeight="1" s="152">
      <c r="L119" s="238" t="n"/>
    </row>
    <row r="120" ht="14.4" customHeight="1" s="152">
      <c r="L120" s="238" t="n"/>
    </row>
    <row r="121" ht="14.4" customHeight="1" s="152">
      <c r="L121" s="238" t="n"/>
    </row>
    <row r="122" ht="14.4" customHeight="1" s="152">
      <c r="L122" s="238" t="n"/>
    </row>
    <row r="123" ht="14.4" customHeight="1" s="152">
      <c r="L123" s="238" t="n"/>
    </row>
    <row r="124" ht="14.4" customHeight="1" s="152">
      <c r="L124" s="238" t="n"/>
    </row>
    <row r="125" ht="14.4" customHeight="1" s="152">
      <c r="L125" s="238" t="n"/>
    </row>
    <row r="126" ht="14.4" customHeight="1" s="152">
      <c r="L126" s="238" t="n"/>
    </row>
    <row r="127" ht="14.4" customHeight="1" s="152">
      <c r="L127" s="238" t="n"/>
    </row>
    <row r="128" ht="14.4" customHeight="1" s="152">
      <c r="L128" s="238" t="n"/>
    </row>
    <row r="129" ht="14.4" customHeight="1" s="152">
      <c r="L129" s="238" t="n"/>
    </row>
    <row r="130" ht="14.4" customHeight="1" s="152">
      <c r="L130" s="238" t="n"/>
    </row>
    <row r="131" ht="14.4" customHeight="1" s="152">
      <c r="L131" s="238" t="n"/>
    </row>
    <row r="132" ht="14.4" customHeight="1" s="152">
      <c r="L132" s="238" t="n"/>
    </row>
    <row r="133" ht="14.4" customHeight="1" s="152">
      <c r="L133" s="238" t="n"/>
    </row>
    <row r="134" ht="14.4" customHeight="1" s="152">
      <c r="L134" s="238" t="n"/>
    </row>
    <row r="135" ht="14.4" customHeight="1" s="152">
      <c r="L135" s="238" t="n"/>
    </row>
    <row r="136" ht="14.4" customHeight="1" s="152">
      <c r="L136" s="238" t="n"/>
    </row>
    <row r="137" ht="14.4" customHeight="1" s="152">
      <c r="L137" s="238" t="n"/>
    </row>
    <row r="138" ht="14.4" customHeight="1" s="152">
      <c r="L138" s="238" t="n"/>
    </row>
    <row r="139" ht="14.4" customHeight="1" s="152">
      <c r="L139" s="238" t="n"/>
    </row>
    <row r="140" ht="14.4" customHeight="1" s="152">
      <c r="L140" s="238" t="n"/>
    </row>
    <row r="141" ht="14.4" customHeight="1" s="152">
      <c r="L141" s="238" t="n"/>
    </row>
    <row r="142" ht="14.4" customHeight="1" s="152">
      <c r="L142" s="238" t="n"/>
    </row>
    <row r="143" ht="14.4" customHeight="1" s="152">
      <c r="L143" s="238" t="n"/>
    </row>
    <row r="144" ht="14.4" customHeight="1" s="152">
      <c r="L144" s="238" t="n"/>
    </row>
    <row r="145" ht="14.4" customHeight="1" s="152">
      <c r="L145" s="238" t="n"/>
    </row>
    <row r="146" ht="14.4" customHeight="1" s="152">
      <c r="L146" s="238" t="n"/>
    </row>
    <row r="147" ht="14.4" customHeight="1" s="152">
      <c r="L147" s="238" t="n"/>
    </row>
    <row r="148" ht="14.4" customHeight="1" s="152">
      <c r="L148" s="238" t="n"/>
    </row>
    <row r="149" ht="14.4" customHeight="1" s="152">
      <c r="L149" s="238" t="n"/>
    </row>
    <row r="150" ht="14.4" customHeight="1" s="152">
      <c r="L150" s="238" t="n"/>
    </row>
    <row r="151" ht="14.4" customHeight="1" s="152">
      <c r="L151" s="238" t="n"/>
    </row>
    <row r="152" ht="14.4" customHeight="1" s="152">
      <c r="L152" s="238" t="n"/>
    </row>
    <row r="153" ht="14.4" customHeight="1" s="152">
      <c r="L153" s="238" t="n"/>
    </row>
    <row r="154" ht="14.4" customHeight="1" s="152">
      <c r="L154" s="238" t="n"/>
    </row>
    <row r="155" ht="14.4" customHeight="1" s="152">
      <c r="L155" s="238" t="n"/>
    </row>
    <row r="156" ht="14.4" customHeight="1" s="152">
      <c r="L156" s="238" t="n"/>
    </row>
    <row r="157" ht="14.4" customHeight="1" s="152">
      <c r="L157" s="238" t="n"/>
    </row>
    <row r="158" ht="14.4" customHeight="1" s="152">
      <c r="L158" s="238" t="n"/>
    </row>
    <row r="159" ht="14.4" customHeight="1" s="152">
      <c r="L159" s="238" t="n"/>
    </row>
    <row r="160" ht="14.4" customHeight="1" s="152">
      <c r="L160" s="238" t="n"/>
    </row>
    <row r="161" ht="14.4" customHeight="1" s="152">
      <c r="L161" s="238" t="n"/>
    </row>
    <row r="162" ht="14.4" customHeight="1" s="152">
      <c r="L162" s="238" t="n"/>
    </row>
    <row r="163" ht="14.4" customHeight="1" s="152">
      <c r="L163" s="238" t="n"/>
    </row>
    <row r="164" ht="14.4" customHeight="1" s="152">
      <c r="L164" s="238" t="n"/>
    </row>
    <row r="165" ht="14.4" customHeight="1" s="152">
      <c r="L165" s="238" t="n"/>
    </row>
    <row r="166" ht="14.4" customHeight="1" s="152">
      <c r="L166" s="238" t="n"/>
    </row>
    <row r="167" ht="14.4" customHeight="1" s="152">
      <c r="L167" s="238" t="n"/>
    </row>
    <row r="168" ht="14.4" customHeight="1" s="152">
      <c r="L168" s="238" t="n"/>
    </row>
    <row r="169" ht="14.4" customHeight="1" s="152">
      <c r="L169" s="238" t="n"/>
    </row>
    <row r="170" ht="14.4" customHeight="1" s="152">
      <c r="L170" s="238" t="n"/>
    </row>
    <row r="171" ht="14.4" customHeight="1" s="152">
      <c r="L171" s="238" t="n"/>
    </row>
    <row r="172" ht="14.4" customHeight="1" s="152">
      <c r="L172" s="238" t="n"/>
    </row>
    <row r="173" ht="14.4" customHeight="1" s="152">
      <c r="L173" s="238" t="n"/>
    </row>
    <row r="174" ht="14.4" customHeight="1" s="152">
      <c r="L174" s="238" t="n"/>
    </row>
    <row r="175" ht="14.4" customHeight="1" s="152">
      <c r="L175" s="238" t="n"/>
    </row>
    <row r="176" ht="14.4" customHeight="1" s="152">
      <c r="L176" s="238" t="n"/>
    </row>
    <row r="177" ht="14.4" customHeight="1" s="152">
      <c r="L177" s="238" t="n"/>
    </row>
    <row r="178" ht="14.4" customHeight="1" s="152">
      <c r="L178" s="238" t="n"/>
    </row>
    <row r="179" ht="14.4" customHeight="1" s="152">
      <c r="L179" s="238" t="n"/>
    </row>
    <row r="180" ht="14.4" customHeight="1" s="152">
      <c r="L180" s="238" t="n"/>
    </row>
    <row r="181" ht="14.4" customHeight="1" s="152">
      <c r="L181" s="238" t="n"/>
    </row>
    <row r="182" ht="14.4" customHeight="1" s="152">
      <c r="L182" s="238" t="n"/>
    </row>
    <row r="183" ht="14.4" customHeight="1" s="152">
      <c r="L183" s="238" t="n"/>
    </row>
    <row r="184" ht="14.4" customHeight="1" s="152">
      <c r="L184" s="238" t="n"/>
    </row>
    <row r="185" ht="14.4" customHeight="1" s="152">
      <c r="L185" s="238" t="n"/>
    </row>
    <row r="186" ht="14.4" customHeight="1" s="152">
      <c r="L186" s="238" t="n"/>
    </row>
    <row r="187" ht="14.4" customHeight="1" s="152">
      <c r="L187" s="238" t="n"/>
    </row>
    <row r="188" ht="14.4" customHeight="1" s="152">
      <c r="L188" s="238" t="n"/>
    </row>
    <row r="189" ht="14.4" customHeight="1" s="152">
      <c r="L189" s="238" t="n"/>
    </row>
    <row r="190" ht="14.4" customHeight="1" s="152">
      <c r="L190" s="238" t="n"/>
    </row>
    <row r="191" ht="14.4" customHeight="1" s="152">
      <c r="L191" s="238" t="n"/>
    </row>
    <row r="192" ht="14.4" customHeight="1" s="152">
      <c r="L192" s="238" t="n"/>
    </row>
    <row r="193" ht="14.4" customHeight="1" s="152">
      <c r="L193" s="238" t="n"/>
    </row>
    <row r="194" ht="14.4" customHeight="1" s="152">
      <c r="L194" s="238" t="n"/>
    </row>
    <row r="195" ht="14.4" customHeight="1" s="152">
      <c r="L195" s="238" t="n"/>
    </row>
    <row r="196" ht="14.4" customHeight="1" s="152">
      <c r="L196" s="238" t="n"/>
    </row>
    <row r="197" ht="14.4" customHeight="1" s="152">
      <c r="L197" s="238" t="n"/>
    </row>
    <row r="198" ht="14.4" customHeight="1" s="152">
      <c r="L198" s="238" t="n"/>
    </row>
    <row r="199" ht="14.4" customHeight="1" s="152">
      <c r="L199" s="238" t="n"/>
    </row>
    <row r="200" ht="14.4" customHeight="1" s="152">
      <c r="L200" s="238" t="n"/>
    </row>
    <row r="201" ht="14.4" customHeight="1" s="152">
      <c r="L201" s="238" t="n"/>
    </row>
    <row r="202" ht="14.4" customHeight="1" s="152">
      <c r="L202" s="238" t="n"/>
    </row>
    <row r="203" ht="14.4" customHeight="1" s="152">
      <c r="L203" s="238" t="n"/>
    </row>
    <row r="204" ht="14.4" customHeight="1" s="152">
      <c r="L204" s="238" t="n"/>
    </row>
    <row r="205" ht="14.4" customHeight="1" s="152">
      <c r="L205" s="238" t="n"/>
    </row>
    <row r="206" ht="14.4" customHeight="1" s="152">
      <c r="L206" s="238" t="n"/>
    </row>
    <row r="207" ht="14.4" customHeight="1" s="152">
      <c r="L207" s="238" t="n"/>
    </row>
    <row r="208" ht="14.4" customHeight="1" s="152">
      <c r="L208" s="238" t="n"/>
    </row>
    <row r="209" ht="14.4" customHeight="1" s="152">
      <c r="L209" s="238" t="n"/>
    </row>
    <row r="210" ht="14.4" customHeight="1" s="152">
      <c r="L210" s="238" t="n"/>
    </row>
    <row r="211" ht="14.4" customHeight="1" s="152">
      <c r="L211" s="238" t="n"/>
    </row>
    <row r="212" ht="14.4" customHeight="1" s="152">
      <c r="L212" s="238" t="n"/>
    </row>
    <row r="213" ht="14.4" customHeight="1" s="152">
      <c r="L213" s="238" t="n"/>
    </row>
    <row r="214" ht="14.4" customHeight="1" s="152">
      <c r="L214" s="238" t="n"/>
    </row>
    <row r="215" ht="14.4" customHeight="1" s="152">
      <c r="L215" s="238" t="n"/>
    </row>
    <row r="216" ht="14.4" customHeight="1" s="152">
      <c r="L216" s="238" t="n"/>
    </row>
    <row r="217" ht="14.4" customHeight="1" s="152">
      <c r="L217" s="238" t="n"/>
    </row>
    <row r="218" ht="14.4" customHeight="1" s="152">
      <c r="L218" s="238" t="n"/>
    </row>
    <row r="219" ht="14.4" customHeight="1" s="152">
      <c r="L219" s="238" t="n"/>
    </row>
    <row r="220" ht="14.4" customHeight="1" s="152">
      <c r="L220" s="238" t="n"/>
    </row>
    <row r="221" ht="14.4" customHeight="1" s="152">
      <c r="L221" s="238" t="n"/>
    </row>
    <row r="222" ht="14.4" customHeight="1" s="152">
      <c r="L222" s="238" t="n"/>
    </row>
    <row r="223" ht="14.4" customHeight="1" s="152">
      <c r="L223" s="238" t="n"/>
    </row>
    <row r="224" ht="14.4" customHeight="1" s="152">
      <c r="L224" s="238" t="n"/>
    </row>
    <row r="225" ht="14.4" customHeight="1" s="152">
      <c r="L225" s="238" t="n"/>
    </row>
    <row r="226" ht="14.4" customHeight="1" s="152">
      <c r="L226" s="238" t="n"/>
    </row>
    <row r="227" ht="14.4" customHeight="1" s="152">
      <c r="L227" s="238" t="n"/>
    </row>
    <row r="228" ht="14.4" customHeight="1" s="152">
      <c r="L228" s="238" t="n"/>
    </row>
    <row r="229" ht="14.4" customHeight="1" s="152">
      <c r="L229" s="238" t="n"/>
    </row>
    <row r="230" ht="14.4" customHeight="1" s="152">
      <c r="L230" s="238" t="n"/>
    </row>
    <row r="231" ht="14.4" customHeight="1" s="152">
      <c r="L231" s="238" t="n"/>
    </row>
    <row r="232" ht="14.4" customHeight="1" s="152">
      <c r="L232" s="238" t="n"/>
    </row>
    <row r="233" ht="14.4" customHeight="1" s="152">
      <c r="L233" s="238" t="n"/>
    </row>
    <row r="234" ht="14.4" customHeight="1" s="152">
      <c r="L234" s="238" t="n"/>
    </row>
    <row r="235" ht="14.4" customHeight="1" s="152">
      <c r="L235" s="238" t="n"/>
    </row>
    <row r="236" ht="14.4" customHeight="1" s="152">
      <c r="L236" s="238" t="n"/>
    </row>
    <row r="237" ht="14.4" customHeight="1" s="152">
      <c r="L237" s="238" t="n"/>
    </row>
    <row r="238" ht="14.4" customHeight="1" s="152">
      <c r="L238" s="238" t="n"/>
    </row>
    <row r="239" ht="14.4" customHeight="1" s="152">
      <c r="L239" s="238" t="n"/>
    </row>
    <row r="240" ht="14.4" customHeight="1" s="152">
      <c r="L240" s="238" t="n"/>
    </row>
    <row r="241" ht="14.4" customHeight="1" s="152">
      <c r="L241" s="238" t="n"/>
    </row>
    <row r="242" ht="14.4" customHeight="1" s="152">
      <c r="L242" s="238" t="n"/>
    </row>
    <row r="243" ht="14.4" customHeight="1" s="152">
      <c r="L243" s="238" t="n"/>
    </row>
    <row r="244" ht="14.4" customHeight="1" s="152">
      <c r="L244" s="238" t="n"/>
    </row>
    <row r="245" ht="14.4" customHeight="1" s="152">
      <c r="L245" s="238" t="n"/>
    </row>
    <row r="246" ht="14.4" customHeight="1" s="152">
      <c r="L246" s="238" t="n"/>
    </row>
    <row r="247" ht="14.4" customHeight="1" s="152">
      <c r="L247" s="238" t="n"/>
    </row>
    <row r="248" ht="14.4" customHeight="1" s="152">
      <c r="L248" s="238" t="n"/>
    </row>
    <row r="249" ht="14.4" customHeight="1" s="152">
      <c r="L249" s="238" t="n"/>
    </row>
    <row r="250" ht="14.4" customHeight="1" s="152">
      <c r="L250" s="238" t="n"/>
    </row>
    <row r="251" ht="14.4" customHeight="1" s="152">
      <c r="L251" s="238" t="n"/>
    </row>
    <row r="252" ht="14.4" customHeight="1" s="152">
      <c r="L252" s="238" t="n"/>
    </row>
    <row r="253" ht="14.4" customHeight="1" s="152">
      <c r="L253" s="238" t="n"/>
    </row>
    <row r="254" ht="14.4" customHeight="1" s="152">
      <c r="L254" s="238" t="n"/>
    </row>
    <row r="255" ht="14.4" customHeight="1" s="152">
      <c r="L255" s="238" t="n"/>
    </row>
    <row r="256" ht="14.4" customHeight="1" s="152">
      <c r="L256" s="238" t="n"/>
    </row>
    <row r="257" ht="14.4" customHeight="1" s="152">
      <c r="L257" s="238" t="n"/>
    </row>
    <row r="258" ht="14.4" customHeight="1" s="152">
      <c r="L258" s="238" t="n"/>
    </row>
    <row r="259" ht="14.4" customHeight="1" s="152">
      <c r="L259" s="238" t="n"/>
    </row>
    <row r="260" ht="14.4" customHeight="1" s="152">
      <c r="L260" s="238" t="n"/>
    </row>
    <row r="261" ht="14.4" customHeight="1" s="152">
      <c r="L261" s="238" t="n"/>
    </row>
    <row r="262" ht="14.4" customHeight="1" s="152">
      <c r="L262" s="238" t="n"/>
    </row>
    <row r="263" ht="14.4" customHeight="1" s="152">
      <c r="L263" s="238" t="n"/>
    </row>
    <row r="264" ht="14.4" customHeight="1" s="152">
      <c r="L264" s="238" t="n"/>
    </row>
    <row r="265" ht="14.4" customHeight="1" s="152">
      <c r="L265" s="238" t="n"/>
    </row>
    <row r="266" ht="14.4" customHeight="1" s="152">
      <c r="L266" s="238" t="n"/>
    </row>
    <row r="267" ht="14.4" customHeight="1" s="152">
      <c r="L267" s="238" t="n"/>
    </row>
    <row r="268" ht="14.4" customHeight="1" s="152">
      <c r="L268" s="238" t="n"/>
    </row>
    <row r="269" ht="14.4" customHeight="1" s="152">
      <c r="L269" s="238" t="n"/>
    </row>
    <row r="270" ht="14.4" customHeight="1" s="152">
      <c r="L270" s="238" t="n"/>
    </row>
    <row r="271" ht="14.4" customHeight="1" s="152">
      <c r="L271" s="238" t="n"/>
    </row>
    <row r="272" ht="14.4" customHeight="1" s="152">
      <c r="L272" s="238" t="n"/>
    </row>
    <row r="273" ht="14.4" customHeight="1" s="152">
      <c r="L273" s="238" t="n"/>
    </row>
    <row r="274" ht="14.4" customHeight="1" s="152">
      <c r="L274" s="238" t="n"/>
    </row>
    <row r="275" ht="14.4" customHeight="1" s="152">
      <c r="L275" s="238" t="n"/>
    </row>
    <row r="276" ht="14.4" customHeight="1" s="152">
      <c r="L276" s="238" t="n"/>
    </row>
    <row r="277" ht="14.4" customHeight="1" s="152">
      <c r="L277" s="238" t="n"/>
    </row>
    <row r="278" ht="14.4" customHeight="1" s="152">
      <c r="L278" s="238" t="n"/>
    </row>
    <row r="279" ht="14.4" customHeight="1" s="152">
      <c r="L279" s="238" t="n"/>
    </row>
    <row r="280" ht="14.4" customHeight="1" s="152">
      <c r="L280" s="238" t="n"/>
    </row>
    <row r="281" ht="14.4" customHeight="1" s="152">
      <c r="L281" s="238" t="n"/>
    </row>
    <row r="282" ht="14.4" customHeight="1" s="152">
      <c r="L282" s="238" t="n"/>
    </row>
    <row r="283" ht="14.4" customHeight="1" s="152">
      <c r="L283" s="238" t="n"/>
    </row>
    <row r="284" ht="14.4" customHeight="1" s="152">
      <c r="L284" s="238" t="n"/>
    </row>
    <row r="285" ht="14.4" customHeight="1" s="152">
      <c r="L285" s="238" t="n"/>
    </row>
    <row r="286" ht="14.4" customHeight="1" s="152">
      <c r="L286" s="238" t="n"/>
    </row>
    <row r="287" ht="14.4" customHeight="1" s="152">
      <c r="L287" s="238" t="n"/>
    </row>
    <row r="288" ht="14.4" customHeight="1" s="152">
      <c r="L288" s="238" t="n"/>
    </row>
    <row r="289" ht="14.4" customHeight="1" s="152">
      <c r="L289" s="238" t="n"/>
    </row>
    <row r="290" ht="14.4" customHeight="1" s="152">
      <c r="K290" s="167" t="n"/>
      <c r="L290" s="238" t="n"/>
    </row>
    <row r="291" ht="14.4" customHeight="1" s="152">
      <c r="K291" s="167" t="n"/>
      <c r="L291" s="238" t="n"/>
    </row>
    <row r="292" ht="14.4" customHeight="1" s="152">
      <c r="K292" s="167" t="n"/>
      <c r="L292" s="238" t="n"/>
    </row>
    <row r="293" ht="14.4" customHeight="1" s="152">
      <c r="K293" s="167" t="n"/>
      <c r="L293" s="238" t="n"/>
    </row>
    <row r="294" ht="14.4" customHeight="1" s="152">
      <c r="K294" s="167" t="n"/>
      <c r="L294" s="238" t="n"/>
    </row>
    <row r="295" ht="14.4" customHeight="1" s="152">
      <c r="K295" s="167" t="n"/>
      <c r="L295" s="238" t="n"/>
    </row>
    <row r="296" ht="14.4" customHeight="1" s="152">
      <c r="K296" s="167" t="n"/>
      <c r="L296" s="238" t="n"/>
    </row>
    <row r="297" ht="14.4" customHeight="1" s="152">
      <c r="K297" s="167" t="n"/>
      <c r="L297" s="238" t="n"/>
    </row>
    <row r="298" ht="14.4" customHeight="1" s="152">
      <c r="K298" s="167" t="n"/>
      <c r="L298" s="238" t="n"/>
    </row>
    <row r="299" ht="14.4" customHeight="1" s="152">
      <c r="K299" s="167" t="n"/>
      <c r="L299" s="238" t="n"/>
    </row>
    <row r="300" ht="14.4" customHeight="1" s="152">
      <c r="K300" s="167" t="n"/>
      <c r="L300" s="238" t="n"/>
    </row>
    <row r="301" ht="14.4" customHeight="1" s="152">
      <c r="K301" s="167" t="n"/>
      <c r="L301" s="238" t="n"/>
    </row>
    <row r="302" ht="14.4" customHeight="1" s="152">
      <c r="K302" s="167" t="n"/>
      <c r="L302" s="238" t="n"/>
    </row>
    <row r="303" ht="14.4" customHeight="1" s="152">
      <c r="K303" s="167" t="n"/>
      <c r="L303" s="238" t="n"/>
    </row>
    <row r="304" ht="14.4" customHeight="1" s="152">
      <c r="K304" s="167" t="n"/>
      <c r="L304" s="238" t="n"/>
    </row>
    <row r="305" ht="14.4" customHeight="1" s="152">
      <c r="K305" s="167" t="n"/>
      <c r="L305" s="238" t="n"/>
    </row>
    <row r="306" ht="14.4" customHeight="1" s="152">
      <c r="K306" s="167" t="n"/>
      <c r="L306" s="239" t="n"/>
    </row>
    <row r="307" ht="14.4" customHeight="1" s="152">
      <c r="K307" s="167" t="n"/>
      <c r="L307" s="238" t="n"/>
    </row>
    <row r="308" ht="14.4" customHeight="1" s="152">
      <c r="K308" s="167" t="n"/>
      <c r="L308" s="238" t="n"/>
    </row>
    <row r="309" ht="14.4" customHeight="1" s="152">
      <c r="K309" s="167" t="n"/>
      <c r="L309" s="238" t="n"/>
    </row>
    <row r="310" ht="14.4" customHeight="1" s="152">
      <c r="K310" s="167" t="n"/>
      <c r="L310" s="239" t="n"/>
    </row>
    <row r="311" ht="14.4" customHeight="1" s="152">
      <c r="K311" s="167" t="n"/>
      <c r="L311" s="238" t="n"/>
    </row>
    <row r="312" ht="14.4" customHeight="1" s="152">
      <c r="K312" s="167" t="n"/>
      <c r="L312" s="238" t="n"/>
    </row>
    <row r="313" ht="14.4" customHeight="1" s="152">
      <c r="K313" s="167" t="n"/>
      <c r="L313" s="238" t="n"/>
    </row>
    <row r="314" ht="14.4" customHeight="1" s="152">
      <c r="K314" s="167" t="n"/>
      <c r="L314" s="239" t="n"/>
    </row>
    <row r="315" ht="14.4" customHeight="1" s="152">
      <c r="K315" s="167" t="n"/>
      <c r="L315" s="238" t="n"/>
    </row>
    <row r="316" ht="14.4" customHeight="1" s="152">
      <c r="K316" s="167" t="n"/>
      <c r="L316" s="238" t="n"/>
    </row>
    <row r="317" ht="14.4" customHeight="1" s="152">
      <c r="K317" s="167" t="n"/>
      <c r="L317" s="238" t="n"/>
    </row>
    <row r="318" ht="14.4" customHeight="1" s="152">
      <c r="K318" s="167" t="n"/>
      <c r="L318" s="238" t="n"/>
    </row>
    <row r="319" ht="14.4" customHeight="1" s="152">
      <c r="K319" s="167" t="n"/>
      <c r="L319" s="238" t="n"/>
    </row>
    <row r="320" ht="14.4" customHeight="1" s="152">
      <c r="K320" s="167" t="n"/>
      <c r="L320" s="238" t="n"/>
    </row>
    <row r="321" ht="14.4" customHeight="1" s="152">
      <c r="K321" s="167" t="n"/>
      <c r="L321" s="239" t="n"/>
    </row>
    <row r="322" ht="14.4" customHeight="1" s="152">
      <c r="L322" s="238" t="n"/>
    </row>
    <row r="323" ht="14.4" customHeight="1" s="152">
      <c r="L323" s="238" t="n"/>
    </row>
    <row r="324" ht="14.4" customHeight="1" s="152">
      <c r="L324" s="238" t="n"/>
    </row>
    <row r="325" ht="14.4" customHeight="1" s="152">
      <c r="L325" s="238" t="n"/>
    </row>
    <row r="326" ht="14.4" customHeight="1" s="152">
      <c r="L326" s="238" t="n"/>
    </row>
    <row r="327" ht="14.4" customHeight="1" s="152">
      <c r="L327" s="238" t="n"/>
    </row>
    <row r="328" ht="14.4" customHeight="1" s="152">
      <c r="L328" s="238" t="n"/>
    </row>
    <row r="329" ht="14.4" customHeight="1" s="152">
      <c r="L329" s="238" t="n"/>
    </row>
    <row r="330" ht="14.4" customHeight="1" s="152">
      <c r="L330" s="238" t="n"/>
    </row>
    <row r="331" ht="14.4" customHeight="1" s="152">
      <c r="L331" s="238" t="n"/>
    </row>
    <row r="332" ht="14.4" customHeight="1" s="152">
      <c r="L332" s="238" t="n"/>
    </row>
    <row r="333" ht="14.4" customHeight="1" s="152">
      <c r="L333" s="238" t="n"/>
    </row>
    <row r="334" ht="14.4" customHeight="1" s="152">
      <c r="L334" s="238" t="n"/>
    </row>
    <row r="335" ht="14.4" customHeight="1" s="152">
      <c r="L335" s="238" t="n"/>
    </row>
    <row r="336" ht="14.4" customHeight="1" s="152">
      <c r="L336" s="238" t="n"/>
    </row>
    <row r="337" ht="14.4" customHeight="1" s="152">
      <c r="L337" s="238" t="n"/>
    </row>
    <row r="338" ht="14.4" customHeight="1" s="152">
      <c r="L338" s="238" t="n"/>
    </row>
    <row r="339" ht="14.4" customHeight="1" s="152">
      <c r="L339" s="238" t="n"/>
    </row>
    <row r="340" ht="14.4" customHeight="1" s="152">
      <c r="L340" s="238" t="n"/>
    </row>
    <row r="341" ht="14.4" customHeight="1" s="152">
      <c r="L341" s="238" t="n"/>
    </row>
    <row r="349" ht="14.4" customHeight="1" s="152">
      <c r="L349" s="240" t="n"/>
    </row>
    <row r="356" ht="14.4" customHeight="1" s="152">
      <c r="L356" s="238" t="n"/>
    </row>
    <row r="357" ht="14.4" customHeight="1" s="152">
      <c r="L357" s="238" t="n"/>
    </row>
    <row r="358" ht="14.4" customHeight="1" s="152">
      <c r="L358" s="238" t="n"/>
    </row>
    <row r="359" ht="14.4" customHeight="1" s="152">
      <c r="L359" s="238" t="n"/>
    </row>
    <row r="360" ht="14.4" customHeight="1" s="152">
      <c r="L360" s="238" t="n"/>
    </row>
    <row r="361" ht="14.4" customHeight="1" s="152">
      <c r="L361" s="238" t="n"/>
    </row>
    <row r="362" ht="14.4" customHeight="1" s="152">
      <c r="L362" s="238" t="n"/>
    </row>
    <row r="363" ht="14.4" customHeight="1" s="152">
      <c r="L363" s="238" t="n"/>
    </row>
    <row r="364" ht="14.4" customHeight="1" s="152">
      <c r="L364" s="238" t="n"/>
    </row>
    <row r="365" ht="14.4" customHeight="1" s="152">
      <c r="L365" s="238" t="n"/>
    </row>
    <row r="366" ht="14.4" customHeight="1" s="152">
      <c r="L366" s="238" t="n"/>
    </row>
    <row r="367" ht="14.4" customHeight="1" s="152">
      <c r="L367" s="238" t="n"/>
    </row>
    <row r="368" ht="14.4" customHeight="1" s="152">
      <c r="L368" s="238" t="n"/>
    </row>
    <row r="369" ht="14.4" customHeight="1" s="152">
      <c r="L369" s="238" t="n"/>
    </row>
    <row r="370" ht="14.4" customHeight="1" s="152">
      <c r="L370" s="238" t="n"/>
    </row>
    <row r="371" ht="14.4" customHeight="1" s="152">
      <c r="L371" s="238" t="n"/>
    </row>
    <row r="372" ht="14.4" customHeight="1" s="152">
      <c r="L372" s="238" t="n"/>
    </row>
    <row r="373" ht="14.4" customHeight="1" s="152">
      <c r="L373" s="238" t="n"/>
    </row>
    <row r="374" ht="14.4" customHeight="1" s="152">
      <c r="L374" s="238" t="n"/>
    </row>
    <row r="375" ht="14.4" customHeight="1" s="152">
      <c r="L375" s="238" t="n"/>
    </row>
    <row r="376" ht="14.4" customHeight="1" s="152">
      <c r="L376" s="238" t="n"/>
    </row>
    <row r="377" ht="14.4" customHeight="1" s="152">
      <c r="L377" s="238" t="n"/>
    </row>
    <row r="378" ht="14.4" customHeight="1" s="152">
      <c r="L378" s="238" t="n"/>
    </row>
    <row r="379" ht="14.4" customHeight="1" s="152">
      <c r="L379" s="238" t="n"/>
    </row>
    <row r="380" ht="14.4" customHeight="1" s="152">
      <c r="L380" s="238" t="n"/>
    </row>
    <row r="381" ht="14.4" customHeight="1" s="152">
      <c r="L381" s="238" t="n"/>
    </row>
    <row r="382" ht="14.4" customHeight="1" s="152">
      <c r="L382" s="238" t="n"/>
    </row>
    <row r="383" ht="14.4" customHeight="1" s="152">
      <c r="L383" s="238" t="n"/>
    </row>
    <row r="384" ht="14.4" customHeight="1" s="152">
      <c r="L384" s="238" t="n"/>
    </row>
    <row r="385" ht="14.4" customHeight="1" s="152">
      <c r="L385" s="238" t="n"/>
    </row>
    <row r="386" ht="14.4" customHeight="1" s="152">
      <c r="L386" s="238" t="n"/>
    </row>
    <row r="387" ht="14.4" customHeight="1" s="152">
      <c r="L387" s="238" t="n"/>
    </row>
    <row r="388" ht="14.4" customHeight="1" s="152">
      <c r="L388" s="238" t="n"/>
    </row>
    <row r="389" ht="14.4" customHeight="1" s="152">
      <c r="L389" s="238" t="n"/>
    </row>
    <row r="390" ht="14.4" customHeight="1" s="152">
      <c r="L390" s="239" t="n"/>
    </row>
    <row r="391" ht="14.4" customHeight="1" s="152">
      <c r="L391" s="238" t="n"/>
    </row>
    <row r="392" ht="14.4" customHeight="1" s="152">
      <c r="L392" s="238" t="n"/>
    </row>
    <row r="393" ht="14.4" customHeight="1" s="152">
      <c r="L393" s="238" t="n"/>
    </row>
    <row r="394" ht="14.4" customHeight="1" s="152">
      <c r="L394" s="238" t="n"/>
    </row>
    <row r="395" ht="14.4" customHeight="1" s="152">
      <c r="L395" s="238" t="n"/>
    </row>
    <row r="396" ht="14.4" customHeight="1" s="152">
      <c r="L396" s="238" t="n"/>
    </row>
    <row r="397" ht="14.4" customHeight="1" s="152">
      <c r="L397" s="238" t="n"/>
    </row>
    <row r="398" ht="14.4" customHeight="1" s="152">
      <c r="L398" s="238" t="n"/>
    </row>
    <row r="399" ht="14.4" customHeight="1" s="152">
      <c r="L399" s="238" t="n"/>
    </row>
    <row r="400" ht="14.4" customHeight="1" s="152">
      <c r="L400" s="238" t="n"/>
    </row>
    <row r="401" ht="14.4" customHeight="1" s="152">
      <c r="L401" s="238" t="n"/>
    </row>
    <row r="402" ht="14.4" customHeight="1" s="152">
      <c r="L402" s="238" t="n"/>
    </row>
    <row r="403" ht="14.4" customHeight="1" s="152">
      <c r="L403" s="238" t="n"/>
    </row>
    <row r="404" ht="14.4" customHeight="1" s="152">
      <c r="L404" s="238" t="n"/>
    </row>
    <row r="405" ht="14.4" customHeight="1" s="152">
      <c r="L405" s="238" t="n"/>
    </row>
    <row r="406" ht="14.4" customHeight="1" s="152">
      <c r="L406" s="238" t="n"/>
    </row>
    <row r="407" ht="14.4" customHeight="1" s="152">
      <c r="L407" s="238" t="n"/>
    </row>
    <row r="408" ht="14.4" customHeight="1" s="152">
      <c r="L408" s="240" t="n"/>
    </row>
    <row r="409" ht="14.4" customHeight="1" s="152">
      <c r="L409" s="238" t="n"/>
    </row>
    <row r="417" ht="14.4" customHeight="1" s="152">
      <c r="L417" s="238" t="n"/>
    </row>
    <row r="418" ht="14.4" customHeight="1" s="152">
      <c r="L418" s="238" t="n"/>
    </row>
    <row r="419" ht="14.4" customHeight="1" s="152">
      <c r="L419" s="238" t="n"/>
    </row>
    <row r="420" ht="14.4" customHeight="1" s="152">
      <c r="L420" s="238" t="n"/>
    </row>
    <row r="421" ht="14.4" customHeight="1" s="152">
      <c r="L421" s="238" t="n"/>
    </row>
    <row r="422" ht="14.4" customHeight="1" s="152">
      <c r="L422" s="238" t="n"/>
    </row>
    <row r="423" ht="14.4" customHeight="1" s="152">
      <c r="L423" s="238" t="n"/>
    </row>
    <row r="424" ht="14.4" customHeight="1" s="152">
      <c r="L424" s="238" t="n"/>
    </row>
    <row r="425" ht="14.4" customHeight="1" s="152">
      <c r="L425" s="238" t="n"/>
    </row>
    <row r="426" ht="14.4" customHeight="1" s="152">
      <c r="L426" s="238" t="n"/>
    </row>
    <row r="427" ht="14.4" customHeight="1" s="152">
      <c r="L427" s="238" t="n"/>
    </row>
    <row r="428" ht="14.4" customHeight="1" s="152">
      <c r="L428" s="238" t="n"/>
    </row>
    <row r="429" ht="14.4" customHeight="1" s="152">
      <c r="L429" s="238" t="n"/>
    </row>
    <row r="430" ht="14.4" customHeight="1" s="152">
      <c r="L430" s="238" t="n"/>
    </row>
    <row r="431" ht="14.4" customHeight="1" s="152">
      <c r="L431" s="238" t="n"/>
    </row>
    <row r="432" ht="14.4" customHeight="1" s="152">
      <c r="L432" s="238" t="n"/>
    </row>
    <row r="433" ht="14.4" customHeight="1" s="152">
      <c r="L433" s="238" t="n"/>
    </row>
    <row r="434" ht="14.4" customHeight="1" s="152">
      <c r="L434" s="238" t="n"/>
    </row>
    <row r="435" ht="14.4" customHeight="1" s="152">
      <c r="L435" s="238" t="n"/>
    </row>
    <row r="436" ht="14.4" customHeight="1" s="152">
      <c r="L436" s="238" t="n"/>
    </row>
    <row r="437" ht="14.4" customHeight="1" s="152">
      <c r="L437" s="238" t="n"/>
    </row>
    <row r="438" ht="14.4" customHeight="1" s="152">
      <c r="L438" s="238" t="n"/>
    </row>
    <row r="439" ht="14.4" customHeight="1" s="152">
      <c r="L439" s="238" t="n"/>
    </row>
    <row r="440" ht="14.4" customHeight="1" s="152">
      <c r="L440" s="238" t="n"/>
    </row>
    <row r="441" ht="14.4" customHeight="1" s="152">
      <c r="L441" s="238" t="n"/>
    </row>
    <row r="442" ht="14.4" customHeight="1" s="152">
      <c r="L442" s="238" t="n"/>
    </row>
    <row r="443" ht="14.4" customHeight="1" s="152">
      <c r="L443" s="238" t="n"/>
    </row>
    <row r="444" ht="14.4" customHeight="1" s="152">
      <c r="L444" s="238" t="n"/>
    </row>
    <row r="445" ht="14.4" customHeight="1" s="152">
      <c r="L445" s="238" t="n"/>
    </row>
    <row r="446" ht="14.4" customHeight="1" s="152">
      <c r="L446" s="238" t="n"/>
    </row>
    <row r="447" ht="14.4" customHeight="1" s="152">
      <c r="L447" s="238" t="n"/>
    </row>
    <row r="448" ht="14.4" customHeight="1" s="152">
      <c r="L448" s="238" t="n"/>
    </row>
    <row r="449" ht="14.4" customHeight="1" s="152">
      <c r="L449" s="238" t="n"/>
    </row>
    <row r="450" ht="14.4" customHeight="1" s="152">
      <c r="L450" s="238" t="n"/>
    </row>
    <row r="451" ht="14.4" customHeight="1" s="152">
      <c r="L451" s="238" t="n"/>
    </row>
    <row r="452" ht="14.4" customHeight="1" s="152">
      <c r="L452" s="238" t="n"/>
    </row>
    <row r="453" ht="14.4" customHeight="1" s="152">
      <c r="L453" s="238" t="n"/>
    </row>
    <row r="454" ht="14.4" customHeight="1" s="152">
      <c r="L454" s="238" t="n"/>
    </row>
    <row r="455" ht="14.4" customHeight="1" s="152">
      <c r="L455" s="238" t="n"/>
    </row>
    <row r="456" ht="14.4" customHeight="1" s="152">
      <c r="L456" s="240" t="n"/>
    </row>
    <row r="457" ht="14.4" customHeight="1" s="152">
      <c r="L457" s="238" t="n"/>
    </row>
    <row r="458" ht="14.4" customHeight="1" s="152">
      <c r="L458" s="238" t="n"/>
    </row>
    <row r="459" ht="14.4" customHeight="1" s="152">
      <c r="L459" s="238" t="n"/>
    </row>
    <row r="460" ht="14.4" customHeight="1" s="152">
      <c r="L460" s="238" t="n"/>
    </row>
    <row r="461" ht="14.4" customHeight="1" s="152">
      <c r="L461" s="238" t="n"/>
    </row>
    <row r="462" ht="14.4" customHeight="1" s="152">
      <c r="L462" s="238" t="n"/>
    </row>
    <row r="463" ht="14.4" customHeight="1" s="152">
      <c r="L463" s="238" t="n"/>
    </row>
    <row r="464" ht="14.4" customHeight="1" s="152">
      <c r="L464" s="238" t="n"/>
    </row>
    <row r="465" ht="14.4" customHeight="1" s="152">
      <c r="L465" s="238" t="n"/>
    </row>
    <row r="466" ht="14.4" customHeight="1" s="152">
      <c r="L466" s="238" t="n"/>
    </row>
    <row r="467" ht="14.4" customHeight="1" s="152">
      <c r="L467" s="238" t="n"/>
    </row>
    <row r="468" ht="14.4" customHeight="1" s="152">
      <c r="L468" s="238" t="n"/>
    </row>
    <row r="469" ht="14.4" customHeight="1" s="152">
      <c r="L469" s="238" t="n"/>
    </row>
    <row r="470" ht="14.4" customHeight="1" s="152">
      <c r="L470" s="238" t="n"/>
    </row>
    <row r="471" ht="14.4" customHeight="1" s="152">
      <c r="L471" s="238" t="n"/>
    </row>
    <row r="472" ht="14.4" customHeight="1" s="152">
      <c r="L472" s="238" t="n"/>
    </row>
    <row r="473" ht="14.4" customHeight="1" s="152">
      <c r="L473" s="238" t="n"/>
    </row>
    <row r="474" ht="14.4" customHeight="1" s="152">
      <c r="L474" s="238" t="n"/>
    </row>
    <row r="475" ht="14.4" customHeight="1" s="152">
      <c r="L475" s="238" t="n"/>
    </row>
    <row r="476" ht="14.4" customHeight="1" s="152">
      <c r="L476" s="238" t="n"/>
    </row>
    <row r="477" ht="14.4" customHeight="1" s="152">
      <c r="L477" s="238" t="n"/>
    </row>
    <row r="478" ht="14.4" customHeight="1" s="152">
      <c r="L478" s="238" t="n"/>
    </row>
    <row r="479" ht="14.4" customHeight="1" s="152">
      <c r="L479" s="238" t="n"/>
    </row>
    <row r="480" ht="14.4" customHeight="1" s="152">
      <c r="L480" s="238" t="n"/>
    </row>
    <row r="481" ht="14.4" customHeight="1" s="152">
      <c r="L481" s="238" t="n"/>
    </row>
    <row r="482" ht="14.4" customHeight="1" s="152">
      <c r="L482" s="238" t="n"/>
    </row>
    <row r="483" ht="14.4" customHeight="1" s="152">
      <c r="L483" s="238" t="n"/>
    </row>
    <row r="484" ht="14.4" customHeight="1" s="152">
      <c r="L484" s="238" t="n"/>
    </row>
    <row r="485" ht="14.4" customHeight="1" s="152">
      <c r="L485" s="238" t="n"/>
    </row>
    <row r="486" ht="14.4" customHeight="1" s="152">
      <c r="L486" s="238" t="n"/>
    </row>
    <row r="487" ht="14.4" customHeight="1" s="152">
      <c r="L487" s="238" t="n"/>
    </row>
    <row r="488" ht="14.4" customHeight="1" s="152">
      <c r="L488" s="238" t="n"/>
    </row>
    <row r="489" ht="14.4" customHeight="1" s="152">
      <c r="L489" s="238" t="n"/>
    </row>
    <row r="490" ht="14.4" customHeight="1" s="152">
      <c r="L490" s="238" t="n"/>
    </row>
    <row r="491" ht="14.4" customHeight="1" s="152">
      <c r="L491" s="238" t="n"/>
    </row>
    <row r="492" ht="14.4" customHeight="1" s="152">
      <c r="L492" s="238" t="n"/>
    </row>
    <row r="493" ht="14.4" customHeight="1" s="152">
      <c r="L493" s="238" t="n"/>
    </row>
    <row r="494" ht="14.4" customHeight="1" s="152">
      <c r="L494" s="238" t="n"/>
    </row>
    <row r="495" ht="14.4" customHeight="1" s="152">
      <c r="L495" s="238" t="n"/>
    </row>
    <row r="496" ht="14.4" customHeight="1" s="152">
      <c r="L496" s="238" t="n"/>
    </row>
    <row r="497" ht="14.4" customHeight="1" s="152">
      <c r="L497" s="238" t="n"/>
    </row>
    <row r="498" ht="14.4" customHeight="1" s="152">
      <c r="L498" s="238" t="n"/>
    </row>
    <row r="499" ht="14.4" customHeight="1" s="152">
      <c r="L499" s="238" t="n"/>
    </row>
    <row r="500" ht="14.4" customHeight="1" s="152">
      <c r="L500" s="238" t="n"/>
    </row>
    <row r="501" ht="14.4" customHeight="1" s="152">
      <c r="L501" s="238" t="n"/>
    </row>
    <row r="502" ht="14.4" customHeight="1" s="152">
      <c r="L502" s="238" t="n"/>
    </row>
    <row r="503" ht="14.4" customHeight="1" s="152">
      <c r="L503" s="238" t="n"/>
    </row>
    <row r="504" ht="14.4" customHeight="1" s="152">
      <c r="L504" s="238" t="n"/>
    </row>
    <row r="505" ht="14.4" customHeight="1" s="152">
      <c r="L505" s="238" t="n"/>
    </row>
    <row r="506" ht="14.4" customHeight="1" s="152">
      <c r="L506" s="238" t="n"/>
    </row>
    <row r="507" ht="14.4" customHeight="1" s="152">
      <c r="L507" s="238" t="n"/>
    </row>
    <row r="508" ht="14.4" customHeight="1" s="152">
      <c r="L508" s="238" t="n"/>
    </row>
    <row r="509" ht="14.4" customHeight="1" s="152">
      <c r="L509" s="238" t="n"/>
    </row>
    <row r="510" ht="14.4" customHeight="1" s="152">
      <c r="L510" s="238" t="n"/>
    </row>
    <row r="511" ht="14.4" customHeight="1" s="152">
      <c r="L511" s="238" t="n"/>
    </row>
    <row r="512" ht="14.4" customHeight="1" s="152">
      <c r="L512" s="238" t="n"/>
    </row>
    <row r="513" ht="14.4" customHeight="1" s="152">
      <c r="L513" s="238" t="n"/>
    </row>
    <row r="514" ht="14.4" customHeight="1" s="152">
      <c r="L514" s="238" t="n"/>
    </row>
    <row r="515" ht="14.4" customHeight="1" s="152">
      <c r="L515" s="238" t="n"/>
    </row>
    <row r="516" ht="14.4" customHeight="1" s="152">
      <c r="L516" s="238" t="n"/>
    </row>
    <row r="517" ht="14.4" customHeight="1" s="152">
      <c r="L517" s="238" t="n"/>
    </row>
    <row r="518" ht="14.4" customHeight="1" s="152">
      <c r="L518" s="238" t="n"/>
    </row>
    <row r="519" ht="14.4" customHeight="1" s="152">
      <c r="L519" s="238" t="n"/>
    </row>
    <row r="521" ht="14.4" customHeight="1" s="152">
      <c r="L521" s="238" t="n"/>
    </row>
    <row r="522" ht="14.4" customHeight="1" s="152">
      <c r="L522" s="238" t="n"/>
    </row>
    <row r="523" ht="14.4" customHeight="1" s="152">
      <c r="L523" s="238" t="n"/>
    </row>
    <row r="524" ht="14.4" customHeight="1" s="152">
      <c r="L524" s="238" t="n"/>
    </row>
    <row r="525" ht="14.4" customHeight="1" s="152">
      <c r="L525" s="238" t="n"/>
    </row>
    <row r="526" ht="14.4" customHeight="1" s="152">
      <c r="L526" s="238" t="n"/>
    </row>
    <row r="527" ht="14.4" customHeight="1" s="152">
      <c r="L527" s="238" t="n"/>
    </row>
    <row r="528" ht="14.4" customHeight="1" s="152">
      <c r="L528" s="238" t="n"/>
    </row>
    <row r="529" ht="14.4" customHeight="1" s="152">
      <c r="L529" s="238" t="n"/>
    </row>
    <row r="530" ht="14.4" customHeight="1" s="152">
      <c r="L530" s="238" t="n"/>
    </row>
    <row r="531" ht="14.4" customHeight="1" s="152">
      <c r="L531" s="238" t="n"/>
    </row>
    <row r="532" ht="14.4" customHeight="1" s="152">
      <c r="L532" s="238" t="n"/>
    </row>
    <row r="533" ht="14.4" customHeight="1" s="152">
      <c r="L533" s="238" t="n"/>
    </row>
    <row r="534" ht="14.4" customHeight="1" s="152">
      <c r="L534" s="238" t="n"/>
    </row>
    <row r="535" ht="14.4" customHeight="1" s="152">
      <c r="L535" s="238" t="n"/>
    </row>
    <row r="536" ht="14.4" customHeight="1" s="152">
      <c r="L536" s="238" t="n"/>
    </row>
    <row r="537" ht="14.4" customHeight="1" s="152">
      <c r="L537" s="238" t="n"/>
    </row>
    <row r="538" ht="14.4" customHeight="1" s="152">
      <c r="L538" s="238" t="n"/>
    </row>
    <row r="539" ht="14.4" customHeight="1" s="152">
      <c r="L539" s="238" t="n"/>
    </row>
    <row r="540" ht="14.4" customHeight="1" s="152">
      <c r="L540" s="238" t="n"/>
    </row>
    <row r="541" ht="14.4" customHeight="1" s="152">
      <c r="L541" s="238" t="n"/>
    </row>
    <row r="542" ht="14.4" customHeight="1" s="152">
      <c r="L542" s="238" t="n"/>
    </row>
    <row r="543" ht="14.4" customHeight="1" s="152">
      <c r="L543" s="238" t="n"/>
    </row>
    <row r="544" ht="14.4" customHeight="1" s="152">
      <c r="L544" s="238" t="n"/>
    </row>
    <row r="545" ht="14.4" customHeight="1" s="152">
      <c r="L545" s="238" t="n"/>
    </row>
    <row r="546" ht="14.4" customHeight="1" s="152">
      <c r="L546" s="238" t="n"/>
    </row>
    <row r="547" ht="14.4" customHeight="1" s="152">
      <c r="L547" s="238" t="n"/>
    </row>
    <row r="548" ht="14.4" customHeight="1" s="152">
      <c r="L548" s="238" t="n"/>
    </row>
    <row r="549" ht="14.4" customHeight="1" s="152">
      <c r="L549" s="238" t="n"/>
    </row>
    <row r="550" ht="14.4" customHeight="1" s="152">
      <c r="L550" s="238" t="n"/>
    </row>
    <row r="551" ht="14.4" customHeight="1" s="152">
      <c r="L551" s="238" t="n"/>
    </row>
    <row r="552" ht="14.4" customHeight="1" s="152">
      <c r="L552" s="238" t="n"/>
    </row>
    <row r="553" ht="14.4" customHeight="1" s="152">
      <c r="L553" s="238" t="n"/>
    </row>
    <row r="554" ht="14.4" customHeight="1" s="152">
      <c r="L554" s="238" t="n"/>
    </row>
    <row r="555" ht="14.4" customHeight="1" s="152">
      <c r="L555" s="238" t="n"/>
    </row>
    <row r="556" ht="14.4" customHeight="1" s="152">
      <c r="L556" s="238" t="n"/>
    </row>
    <row r="557" ht="14.4" customHeight="1" s="152">
      <c r="L557" s="238" t="n"/>
    </row>
    <row r="558" ht="14.4" customHeight="1" s="152">
      <c r="L558" s="238" t="n"/>
    </row>
    <row r="559" ht="14.4" customHeight="1" s="152">
      <c r="L559" s="238" t="n"/>
    </row>
    <row r="560" ht="14.4" customHeight="1" s="152">
      <c r="L560" s="238" t="n"/>
    </row>
    <row r="561" ht="14.4" customHeight="1" s="152">
      <c r="L561" s="238" t="n"/>
    </row>
    <row r="562" ht="14.4" customHeight="1" s="152">
      <c r="L562" s="238" t="n"/>
    </row>
    <row r="563" ht="14.4" customHeight="1" s="152">
      <c r="L563" s="238" t="n"/>
    </row>
    <row r="564" ht="14.4" customHeight="1" s="152">
      <c r="L564" s="238" t="n"/>
    </row>
    <row r="565" ht="14.4" customHeight="1" s="152">
      <c r="L565" s="238" t="n"/>
    </row>
    <row r="566" ht="14.4" customHeight="1" s="152">
      <c r="L566" s="238" t="n"/>
    </row>
    <row r="567" ht="14.4" customHeight="1" s="152">
      <c r="L567" s="238" t="n"/>
    </row>
    <row r="568" ht="14.4" customHeight="1" s="152">
      <c r="L568" s="238" t="n"/>
    </row>
    <row r="569" ht="14.4" customHeight="1" s="152">
      <c r="L569" s="238" t="n"/>
    </row>
    <row r="570" ht="14.4" customHeight="1" s="152">
      <c r="L570" s="238" t="n"/>
    </row>
    <row r="571" ht="14.4" customHeight="1" s="152">
      <c r="L571" s="238" t="n"/>
    </row>
    <row r="572" ht="14.4" customHeight="1" s="152">
      <c r="L572" s="238" t="n"/>
    </row>
    <row r="573" ht="14.4" customHeight="1" s="152">
      <c r="L573" s="238" t="n"/>
    </row>
    <row r="574" ht="14.4" customHeight="1" s="152">
      <c r="L574" s="238" t="n"/>
    </row>
    <row r="575" ht="14.4" customHeight="1" s="152">
      <c r="L575" s="238" t="n"/>
    </row>
    <row r="576" ht="14.4" customHeight="1" s="152">
      <c r="L576" s="238" t="n"/>
    </row>
    <row r="577" ht="14.4" customHeight="1" s="152">
      <c r="L577" s="238" t="n"/>
    </row>
    <row r="578" ht="14.4" customHeight="1" s="152">
      <c r="L578" s="238" t="n"/>
    </row>
    <row r="579" ht="14.4" customHeight="1" s="152">
      <c r="L579" s="238" t="n"/>
    </row>
    <row r="580" ht="14.4" customHeight="1" s="152">
      <c r="L580" s="238" t="n"/>
    </row>
    <row r="581" ht="14.4" customHeight="1" s="152">
      <c r="L581" s="238" t="n"/>
    </row>
    <row r="582" ht="14.4" customHeight="1" s="152">
      <c r="L582" s="238" t="n"/>
    </row>
    <row r="583" ht="14.4" customHeight="1" s="152">
      <c r="L583" s="238" t="n"/>
    </row>
    <row r="584" ht="14.4" customHeight="1" s="152">
      <c r="L584" s="240" t="n"/>
    </row>
    <row r="589" ht="14.4" customHeight="1" s="152">
      <c r="L589" s="238" t="n"/>
    </row>
    <row r="591" ht="14.4" customHeight="1" s="152">
      <c r="L591" s="238" t="n"/>
    </row>
    <row r="592" ht="14.4" customHeight="1" s="152">
      <c r="L592" s="238" t="n"/>
    </row>
    <row r="593" ht="14.4" customHeight="1" s="152">
      <c r="L593" s="238" t="n"/>
    </row>
    <row r="594" ht="14.4" customHeight="1" s="152">
      <c r="L594" s="238" t="n"/>
    </row>
    <row r="595" ht="14.4" customHeight="1" s="152">
      <c r="L595" s="238" t="n"/>
    </row>
    <row r="596" ht="14.4" customHeight="1" s="152">
      <c r="L596" s="238" t="n"/>
    </row>
    <row r="597" ht="14.4" customHeight="1" s="152">
      <c r="L597" s="238" t="n"/>
    </row>
    <row r="598" ht="14.4" customHeight="1" s="152">
      <c r="L598" s="238" t="n"/>
    </row>
    <row r="599" ht="14.4" customHeight="1" s="152">
      <c r="L599" s="238" t="n"/>
    </row>
    <row r="600" ht="14.4" customHeight="1" s="152">
      <c r="L600" s="238" t="n"/>
    </row>
    <row r="601" ht="14.4" customHeight="1" s="152">
      <c r="L601" s="238" t="n"/>
    </row>
    <row r="602" ht="14.4" customHeight="1" s="152">
      <c r="L602" s="238" t="n"/>
    </row>
    <row r="603" ht="14.4" customHeight="1" s="152">
      <c r="L603" s="238" t="n"/>
    </row>
    <row r="604" ht="14.4" customHeight="1" s="152">
      <c r="L604" s="238" t="n"/>
    </row>
    <row r="605" ht="14.4" customHeight="1" s="152">
      <c r="L605" s="238" t="n"/>
    </row>
    <row r="606" ht="14.4" customHeight="1" s="152">
      <c r="L606" s="238" t="n"/>
    </row>
    <row r="607" ht="14.4" customHeight="1" s="152">
      <c r="L607" s="238" t="n"/>
    </row>
    <row r="608" ht="14.4" customHeight="1" s="152">
      <c r="L608" s="238" t="n"/>
    </row>
    <row r="609" ht="14.4" customHeight="1" s="152">
      <c r="L609" s="238" t="n"/>
    </row>
    <row r="610" ht="14.4" customHeight="1" s="152">
      <c r="L610" s="238" t="n"/>
    </row>
    <row r="611" ht="14.4" customHeight="1" s="152">
      <c r="L611" s="238" t="n"/>
    </row>
    <row r="612" ht="14.4" customHeight="1" s="152">
      <c r="L612" s="238" t="n"/>
    </row>
    <row r="613" ht="14.4" customHeight="1" s="152">
      <c r="L613" s="238" t="n"/>
    </row>
    <row r="614" ht="14.4" customHeight="1" s="152">
      <c r="L614" s="238" t="n"/>
    </row>
    <row r="615" ht="14.4" customHeight="1" s="152">
      <c r="L615" s="238" t="n"/>
    </row>
    <row r="616" ht="14.4" customHeight="1" s="152">
      <c r="L616" s="238" t="n"/>
    </row>
    <row r="618" ht="14.4" customHeight="1" s="152">
      <c r="L618" s="239" t="n"/>
    </row>
    <row r="622" ht="14.4" customHeight="1" s="152">
      <c r="L622" s="239" t="n"/>
    </row>
    <row r="623" ht="14.4" customHeight="1" s="152">
      <c r="L623" s="238" t="n"/>
    </row>
    <row r="626" ht="14.4" customHeight="1" s="152">
      <c r="L626" s="239" t="n"/>
    </row>
    <row r="627" ht="14.4" customHeight="1" s="152">
      <c r="L627" s="238" t="n"/>
    </row>
    <row r="629" ht="14.4" customHeight="1" s="152">
      <c r="L629" s="238" t="n"/>
    </row>
    <row r="633" ht="14.4" customHeight="1" s="152">
      <c r="L633" s="238" t="n"/>
    </row>
    <row r="637" ht="14.4" customHeight="1" s="152">
      <c r="L637" s="239" t="n"/>
    </row>
    <row r="638" ht="14.4" customHeight="1" s="152">
      <c r="L638" s="238" t="n"/>
    </row>
    <row r="639" ht="14.4" customHeight="1" s="152">
      <c r="L639" s="238" t="n"/>
    </row>
    <row r="640" ht="14.4" customHeight="1" s="152">
      <c r="L640" s="238" t="n"/>
    </row>
    <row r="641" ht="14.4" customHeight="1" s="152">
      <c r="L641" s="239" t="n"/>
    </row>
    <row r="642" ht="14.4" customHeight="1" s="152">
      <c r="L642" s="238" t="n"/>
    </row>
    <row r="643" ht="14.4" customHeight="1" s="152">
      <c r="L643" s="238" t="n"/>
    </row>
    <row r="644" ht="14.4" customHeight="1" s="152">
      <c r="L644" s="238" t="n"/>
    </row>
    <row r="645" ht="14.4" customHeight="1" s="152">
      <c r="L645" s="239" t="n"/>
    </row>
    <row r="646" ht="14.4" customHeight="1" s="152">
      <c r="L646" s="238" t="n"/>
    </row>
    <row r="647" ht="14.4" customHeight="1" s="152">
      <c r="L647" s="238" t="n"/>
    </row>
    <row r="648" ht="14.4" customHeight="1" s="152">
      <c r="L648" s="238" t="n"/>
    </row>
    <row r="649" ht="14.4" customHeight="1" s="152">
      <c r="L649" s="238" t="n"/>
    </row>
    <row r="650" ht="14.4" customHeight="1" s="152">
      <c r="L650" s="238" t="n"/>
    </row>
    <row r="651" ht="14.4" customHeight="1" s="152">
      <c r="L651" s="238" t="n"/>
    </row>
    <row r="652" ht="14.4" customHeight="1" s="152">
      <c r="L652" s="238" t="n"/>
    </row>
    <row r="653" ht="14.4" customHeight="1" s="152">
      <c r="L653" s="238" t="n"/>
    </row>
    <row r="654" ht="14.4" customHeight="1" s="152">
      <c r="L654" s="238" t="n"/>
    </row>
    <row r="655" ht="14.4" customHeight="1" s="152">
      <c r="L655" s="238" t="n"/>
    </row>
    <row r="656" ht="14.4" customHeight="1" s="152">
      <c r="L656" s="238" t="n"/>
    </row>
    <row r="657" ht="14.4" customHeight="1" s="152">
      <c r="L657" s="238" t="n"/>
    </row>
    <row r="658" ht="14.4" customHeight="1" s="152">
      <c r="L658" s="238" t="n"/>
    </row>
    <row r="659" ht="14.4" customHeight="1" s="152">
      <c r="L659" s="238" t="n"/>
    </row>
    <row r="660" ht="14.4" customHeight="1" s="152">
      <c r="L660" s="238" t="n"/>
    </row>
    <row r="661" ht="14.4" customHeight="1" s="152">
      <c r="L661" s="238" t="n"/>
    </row>
    <row r="662" ht="14.4" customHeight="1" s="152">
      <c r="L662" s="238" t="n"/>
    </row>
    <row r="663" ht="14.4" customHeight="1" s="152">
      <c r="L663" s="238" t="n"/>
    </row>
    <row r="664" ht="14.4" customHeight="1" s="152">
      <c r="L664" s="238" t="n"/>
    </row>
    <row r="665" ht="14.4" customHeight="1" s="152">
      <c r="L665" s="238" t="n"/>
    </row>
    <row r="666" ht="14.4" customHeight="1" s="152">
      <c r="L666" s="238" t="n"/>
    </row>
    <row r="667" ht="14.4" customHeight="1" s="152">
      <c r="L667" s="238" t="n"/>
    </row>
    <row r="668" ht="14.4" customHeight="1" s="152">
      <c r="L668" s="238" t="n"/>
    </row>
    <row r="669" ht="14.4" customHeight="1" s="152">
      <c r="L669" s="238" t="n"/>
    </row>
    <row r="670" ht="14.4" customHeight="1" s="152">
      <c r="L670" s="238" t="n"/>
    </row>
    <row r="671" ht="14.4" customHeight="1" s="152">
      <c r="L671" s="238" t="n"/>
    </row>
    <row r="672" ht="14.4" customHeight="1" s="152">
      <c r="L672" s="238" t="n"/>
    </row>
    <row r="673" ht="14.4" customHeight="1" s="152">
      <c r="L673" s="238" t="n"/>
    </row>
    <row r="674" ht="14.4" customHeight="1" s="152">
      <c r="L674" s="238" t="n"/>
    </row>
    <row r="676" ht="14.4" customHeight="1" s="152">
      <c r="L676" s="238" t="n"/>
    </row>
    <row r="677" ht="14.4" customHeight="1" s="152">
      <c r="L677" s="238" t="n"/>
    </row>
    <row r="678" ht="14.4" customHeight="1" s="152">
      <c r="L678" s="238" t="n"/>
    </row>
    <row r="679" ht="14.4" customHeight="1" s="152">
      <c r="L679" s="238" t="n"/>
    </row>
    <row r="680" ht="14.4" customHeight="1" s="152">
      <c r="L680" s="238" t="n"/>
    </row>
    <row r="681" ht="14.4" customHeight="1" s="152">
      <c r="L681" s="238" t="n"/>
    </row>
    <row r="682" ht="14.4" customHeight="1" s="152">
      <c r="L682" s="238" t="n"/>
    </row>
    <row r="683" ht="14.4" customHeight="1" s="152">
      <c r="L683" s="238" t="n"/>
    </row>
    <row r="684" ht="14.4" customHeight="1" s="152">
      <c r="L684" s="238" t="n"/>
    </row>
    <row r="685" ht="14.4" customHeight="1" s="152">
      <c r="L685" s="238" t="n"/>
    </row>
    <row r="686" ht="14.4" customHeight="1" s="152">
      <c r="L686" s="238" t="n"/>
    </row>
    <row r="687" ht="14.4" customHeight="1" s="152">
      <c r="L687" s="238" t="n"/>
    </row>
    <row r="688" ht="14.4" customHeight="1" s="152">
      <c r="L688" s="238" t="n"/>
    </row>
    <row r="689" ht="14.4" customHeight="1" s="152">
      <c r="L689" s="238" t="n"/>
    </row>
    <row r="690" ht="14.4" customHeight="1" s="152">
      <c r="L690" s="238" t="n"/>
    </row>
    <row r="691" ht="14.4" customHeight="1" s="152">
      <c r="L691" s="238" t="n"/>
    </row>
    <row r="692" ht="14.4" customHeight="1" s="152">
      <c r="L692" s="238" t="n"/>
    </row>
    <row r="693" ht="14.4" customHeight="1" s="152">
      <c r="L693" s="238" t="n"/>
    </row>
    <row r="694" ht="14.4" customHeight="1" s="152">
      <c r="L694" s="238" t="n"/>
    </row>
    <row r="695" ht="14.4" customHeight="1" s="152">
      <c r="L695" s="238" t="n"/>
    </row>
    <row r="696" ht="14.4" customHeight="1" s="152">
      <c r="L696" s="238" t="n"/>
    </row>
    <row r="697" ht="14.4" customHeight="1" s="152">
      <c r="L697" s="238" t="n"/>
    </row>
    <row r="698" ht="14.4" customHeight="1" s="152">
      <c r="L698" s="238" t="n"/>
    </row>
    <row r="699" ht="14.4" customHeight="1" s="152">
      <c r="L699" s="238" t="n"/>
    </row>
    <row r="700" ht="14.4" customHeight="1" s="152">
      <c r="L700" s="238" t="n"/>
    </row>
    <row r="701" ht="14.4" customHeight="1" s="152">
      <c r="L701" s="238" t="n"/>
    </row>
    <row r="702" ht="14.4" customHeight="1" s="152">
      <c r="L702" s="238" t="n"/>
    </row>
    <row r="703" ht="14.4" customHeight="1" s="152">
      <c r="L703" s="238" t="n"/>
    </row>
    <row r="704" ht="14.4" customHeight="1" s="152">
      <c r="L704" s="238" t="n"/>
    </row>
    <row r="705" ht="14.4" customHeight="1" s="152">
      <c r="L705" s="238" t="n"/>
    </row>
    <row r="706" ht="14.4" customHeight="1" s="152">
      <c r="L706" s="238" t="n"/>
    </row>
    <row r="707" ht="14.4" customHeight="1" s="152">
      <c r="L707" s="238" t="n"/>
    </row>
    <row r="708" ht="14.4" customHeight="1" s="152">
      <c r="L708" s="238" t="n"/>
    </row>
    <row r="709" ht="14.4" customHeight="1" s="152">
      <c r="L709" s="238" t="n"/>
    </row>
    <row r="710" ht="14.4" customHeight="1" s="152">
      <c r="L710" s="238" t="n"/>
    </row>
    <row r="711" ht="14.4" customHeight="1" s="152">
      <c r="L711" s="238" t="n"/>
    </row>
    <row r="712" ht="14.4" customHeight="1" s="152">
      <c r="L712" s="238" t="n"/>
    </row>
    <row r="713" ht="14.4" customHeight="1" s="152">
      <c r="L713" s="238" t="n"/>
    </row>
    <row r="714" ht="14.4" customHeight="1" s="152">
      <c r="L714" s="238" t="n"/>
    </row>
    <row r="715" ht="14.4" customHeight="1" s="152">
      <c r="L715" s="238" t="n"/>
    </row>
    <row r="716" ht="14.4" customHeight="1" s="152">
      <c r="L716" s="238" t="n"/>
    </row>
    <row r="717" ht="14.4" customHeight="1" s="152">
      <c r="L717" s="238" t="n"/>
    </row>
    <row r="718" ht="14.4" customHeight="1" s="152">
      <c r="L718" s="238" t="n"/>
    </row>
    <row r="732" ht="14.4" customHeight="1" s="152">
      <c r="L732" s="238" t="n"/>
    </row>
    <row r="733" ht="14.4" customHeight="1" s="152">
      <c r="L733" s="238" t="n"/>
    </row>
    <row r="734" ht="14.4" customHeight="1" s="152">
      <c r="L734" s="238" t="n"/>
    </row>
    <row r="735" ht="14.4" customHeight="1" s="152">
      <c r="L735" s="238" t="n"/>
    </row>
    <row r="736" ht="14.4" customHeight="1" s="152">
      <c r="L736" s="238" t="n"/>
    </row>
    <row r="737" ht="14.4" customHeight="1" s="152">
      <c r="L737" s="238" t="n"/>
    </row>
    <row r="738" ht="14.4" customHeight="1" s="152">
      <c r="L738" s="238" t="n"/>
    </row>
    <row r="739" ht="14.4" customHeight="1" s="152">
      <c r="L739" s="238" t="n"/>
    </row>
    <row r="740" ht="14.4" customHeight="1" s="152">
      <c r="L740" s="238" t="n"/>
    </row>
    <row r="741" ht="14.4" customHeight="1" s="152">
      <c r="L741" s="238" t="n"/>
    </row>
    <row r="742" ht="14.4" customHeight="1" s="152">
      <c r="L742" s="238" t="n"/>
    </row>
    <row r="743" ht="14.4" customHeight="1" s="152">
      <c r="L743" s="238" t="n"/>
    </row>
    <row r="744" ht="14.4" customHeight="1" s="152">
      <c r="L744" s="238" t="n"/>
    </row>
    <row r="745" ht="14.4" customHeight="1" s="152">
      <c r="L745" s="238" t="n"/>
    </row>
    <row r="746" ht="14.4" customHeight="1" s="152">
      <c r="L746" s="238" t="n"/>
    </row>
    <row r="747" ht="14.4" customHeight="1" s="152">
      <c r="L747" s="238" t="n"/>
    </row>
    <row r="748" ht="14.4" customHeight="1" s="152">
      <c r="L748" s="238" t="n"/>
    </row>
    <row r="749" ht="14.4" customHeight="1" s="152">
      <c r="L749" s="238" t="n"/>
    </row>
    <row r="750" ht="14.4" customHeight="1" s="152">
      <c r="L750" s="238" t="n"/>
    </row>
    <row r="751" ht="14.4" customHeight="1" s="152">
      <c r="L751" s="238" t="n"/>
    </row>
    <row r="752" ht="14.4" customHeight="1" s="152">
      <c r="L752" s="238" t="n"/>
    </row>
    <row r="753" ht="14.4" customHeight="1" s="152">
      <c r="L753" s="238" t="n"/>
    </row>
    <row r="754" ht="14.4" customHeight="1" s="152">
      <c r="L754" s="238" t="n"/>
    </row>
    <row r="755" ht="14.4" customHeight="1" s="152">
      <c r="L755" s="238" t="n"/>
    </row>
    <row r="756" ht="14.4" customHeight="1" s="152">
      <c r="L756" s="238" t="n"/>
    </row>
    <row r="757" ht="14.4" customHeight="1" s="152">
      <c r="L757" s="238" t="n"/>
    </row>
    <row r="758" ht="14.4" customHeight="1" s="152">
      <c r="L758" s="238" t="n"/>
    </row>
    <row r="759" ht="14.4" customHeight="1" s="152">
      <c r="L759" s="238" t="n"/>
    </row>
    <row r="760" ht="14.4" customHeight="1" s="152">
      <c r="L760" s="238" t="n"/>
    </row>
    <row r="761" ht="14.4" customHeight="1" s="152">
      <c r="L761" s="238" t="n"/>
    </row>
    <row r="762" ht="14.4" customHeight="1" s="152">
      <c r="L762" s="238" t="n"/>
    </row>
    <row r="788" ht="14.4" customHeight="1" s="152">
      <c r="L788" s="238" t="n"/>
    </row>
    <row r="789" ht="14.4" customHeight="1" s="152">
      <c r="L789" s="238" t="n"/>
    </row>
    <row r="790" ht="14.4" customHeight="1" s="152">
      <c r="L790" s="238" t="n"/>
    </row>
    <row r="791" ht="14.4" customHeight="1" s="152">
      <c r="L791" s="238" t="n"/>
    </row>
    <row r="792" ht="14.4" customHeight="1" s="152">
      <c r="L792" s="238" t="n"/>
    </row>
    <row r="793" ht="14.4" customHeight="1" s="152">
      <c r="L793" s="238" t="n"/>
    </row>
    <row r="794" ht="14.4" customHeight="1" s="152">
      <c r="L794" s="238" t="n"/>
    </row>
    <row r="795" ht="14.4" customHeight="1" s="152">
      <c r="L795" s="238" t="n"/>
    </row>
    <row r="796" ht="14.4" customHeight="1" s="152">
      <c r="L796" s="238" t="n"/>
    </row>
    <row r="797" ht="14.4" customHeight="1" s="152">
      <c r="L797" s="238" t="n"/>
    </row>
    <row r="798" ht="14.4" customHeight="1" s="152">
      <c r="L798" s="238" t="n"/>
    </row>
    <row r="799" ht="14.4" customHeight="1" s="152">
      <c r="L799" s="238" t="n"/>
    </row>
    <row r="800" ht="14.4" customHeight="1" s="152">
      <c r="L800" s="238" t="n"/>
    </row>
    <row r="801" ht="14.4" customHeight="1" s="152">
      <c r="L801" s="238" t="n"/>
    </row>
    <row r="802" ht="14.4" customHeight="1" s="152">
      <c r="L802" s="238" t="n"/>
    </row>
    <row r="803" ht="14.4" customHeight="1" s="152">
      <c r="L803" s="238" t="n"/>
    </row>
    <row r="804" ht="14.4" customHeight="1" s="152">
      <c r="L804" s="238" t="n"/>
    </row>
    <row r="805" ht="14.4" customHeight="1" s="152">
      <c r="L805" s="238" t="n"/>
    </row>
    <row r="806" ht="14.4" customHeight="1" s="152">
      <c r="L806" s="238" t="n"/>
    </row>
    <row r="807" ht="14.4" customHeight="1" s="152">
      <c r="L807" s="238" t="n"/>
    </row>
    <row r="808" ht="14.4" customHeight="1" s="152">
      <c r="L808" s="238" t="n"/>
    </row>
    <row r="809" ht="14.4" customHeight="1" s="152">
      <c r="L809" s="238" t="n"/>
    </row>
    <row r="810" ht="14.4" customHeight="1" s="152">
      <c r="L810" s="238" t="n"/>
    </row>
    <row r="811" ht="14.4" customHeight="1" s="152">
      <c r="L811" s="238" t="n"/>
    </row>
    <row r="812" ht="14.4" customHeight="1" s="152">
      <c r="L812" s="238" t="n"/>
    </row>
    <row r="813" ht="14.4" customHeight="1" s="152">
      <c r="L813" s="238" t="n"/>
    </row>
    <row r="814" ht="14.4" customHeight="1" s="152">
      <c r="L814" s="238" t="n"/>
    </row>
    <row r="815" ht="14.4" customHeight="1" s="152">
      <c r="L815" s="238" t="n"/>
    </row>
    <row r="816" ht="14.4" customHeight="1" s="152">
      <c r="L816" s="238" t="n"/>
    </row>
    <row r="817" ht="14.4" customHeight="1" s="152">
      <c r="L817" s="238" t="n"/>
    </row>
    <row r="818" ht="14.4" customHeight="1" s="152">
      <c r="L818" s="239" t="n"/>
    </row>
    <row r="819" ht="14.4" customHeight="1" s="152">
      <c r="L819" s="238" t="n"/>
    </row>
    <row r="820" ht="14.4" customHeight="1" s="152">
      <c r="L820" s="238" t="n"/>
    </row>
    <row r="821" ht="14.4" customHeight="1" s="152">
      <c r="L821" s="238" t="n"/>
    </row>
    <row r="822" ht="14.4" customHeight="1" s="152">
      <c r="L822" s="239" t="n"/>
    </row>
    <row r="823" ht="14.4" customHeight="1" s="152">
      <c r="L823" s="238" t="n"/>
    </row>
    <row r="826" ht="14.4" customHeight="1" s="152">
      <c r="L826" s="239" t="n"/>
    </row>
    <row r="852" ht="14.4" customHeight="1" s="152">
      <c r="L852" s="238" t="n"/>
    </row>
    <row r="853" ht="14.4" customHeight="1" s="152">
      <c r="L853" s="238" t="n"/>
    </row>
    <row r="854" ht="14.4" customHeight="1" s="152">
      <c r="L854" s="238" t="n"/>
    </row>
    <row r="855" ht="14.4" customHeight="1" s="152">
      <c r="L855" s="238" t="n"/>
    </row>
    <row r="856" ht="14.4" customHeight="1" s="152">
      <c r="L856" s="238" t="n"/>
    </row>
    <row r="857" ht="14.4" customHeight="1" s="152">
      <c r="L857" s="238" t="n"/>
    </row>
    <row r="858" ht="14.4" customHeight="1" s="152">
      <c r="L858" s="238" t="n"/>
    </row>
    <row r="859" ht="14.4" customHeight="1" s="152">
      <c r="L859" s="238" t="n"/>
    </row>
    <row r="860" ht="14.4" customHeight="1" s="152">
      <c r="L860" s="238" t="n"/>
    </row>
    <row r="861" ht="14.4" customHeight="1" s="152">
      <c r="L861" s="238" t="n"/>
    </row>
    <row r="862" ht="14.4" customHeight="1" s="152">
      <c r="L862" s="238" t="n"/>
    </row>
    <row r="863" ht="14.4" customHeight="1" s="152">
      <c r="L863" s="238" t="n"/>
    </row>
    <row r="864" ht="14.4" customHeight="1" s="152">
      <c r="L864" s="238" t="n"/>
    </row>
    <row r="865" ht="14.4" customHeight="1" s="152">
      <c r="L865" s="238" t="n"/>
    </row>
    <row r="866" ht="14.4" customHeight="1" s="152">
      <c r="L866" s="238" t="n"/>
    </row>
    <row r="867" ht="14.4" customHeight="1" s="152">
      <c r="L867" s="238" t="n"/>
    </row>
    <row r="868" ht="14.4" customHeight="1" s="152">
      <c r="L868" s="238" t="n"/>
    </row>
    <row r="869" ht="14.4" customHeight="1" s="152">
      <c r="L869" s="238" t="n"/>
    </row>
    <row r="870" ht="14.4" customHeight="1" s="152">
      <c r="L870" s="238" t="n"/>
    </row>
    <row r="871" ht="14.4" customHeight="1" s="152">
      <c r="L871" s="238" t="n"/>
    </row>
    <row r="872" ht="14.4" customHeight="1" s="152">
      <c r="L872" s="238" t="n"/>
    </row>
    <row r="873" ht="14.4" customHeight="1" s="152">
      <c r="L873" s="238" t="n"/>
    </row>
    <row r="874" ht="14.4" customHeight="1" s="152">
      <c r="L874" s="238" t="n"/>
    </row>
    <row r="875" ht="14.4" customHeight="1" s="152">
      <c r="L875" s="238" t="n"/>
    </row>
    <row r="876" ht="14.4" customHeight="1" s="152">
      <c r="L876" s="238" t="n"/>
    </row>
    <row r="877" ht="14.4" customHeight="1" s="152">
      <c r="L877" s="238" t="n"/>
    </row>
    <row r="878" ht="14.4" customHeight="1" s="152">
      <c r="L878" s="238" t="n"/>
    </row>
    <row r="879" ht="14.4" customHeight="1" s="152">
      <c r="L879" s="238" t="n"/>
    </row>
    <row r="908" ht="14.4" customHeight="1" s="152">
      <c r="L908" s="238" t="n"/>
    </row>
    <row r="909" ht="14.4" customHeight="1" s="152">
      <c r="L909" s="238" t="n"/>
    </row>
    <row r="910" ht="14.4" customHeight="1" s="152">
      <c r="L910" s="238" t="n"/>
    </row>
    <row r="911" ht="14.4" customHeight="1" s="152">
      <c r="L911" s="238" t="n"/>
    </row>
    <row r="912" ht="14.4" customHeight="1" s="152">
      <c r="L912" s="238" t="n"/>
    </row>
    <row r="913" ht="14.4" customHeight="1" s="152">
      <c r="L913" s="238" t="n"/>
    </row>
    <row r="914" ht="14.4" customHeight="1" s="152">
      <c r="L914" s="238" t="n"/>
    </row>
    <row r="915" ht="14.4" customHeight="1" s="152">
      <c r="L915" s="238" t="n"/>
    </row>
    <row r="916" ht="14.4" customHeight="1" s="152">
      <c r="L916" s="238" t="n"/>
    </row>
    <row r="917" ht="14.4" customHeight="1" s="152">
      <c r="L917" s="238" t="n"/>
    </row>
    <row r="918" ht="14.4" customHeight="1" s="152">
      <c r="L918" s="238" t="n"/>
    </row>
    <row r="919" ht="14.4" customHeight="1" s="152">
      <c r="L919" s="238" t="n"/>
    </row>
    <row r="920" ht="14.4" customHeight="1" s="152">
      <c r="L920" s="238" t="n"/>
    </row>
    <row r="921" ht="14.4" customHeight="1" s="152">
      <c r="L921" s="238" t="n"/>
    </row>
    <row r="922" ht="14.4" customHeight="1" s="152">
      <c r="L922" s="238" t="n"/>
    </row>
    <row r="923" ht="14.4" customHeight="1" s="152">
      <c r="L923" s="238" t="n"/>
    </row>
    <row r="924" ht="14.4" customHeight="1" s="152">
      <c r="L924" s="238" t="n"/>
    </row>
    <row r="925" ht="14.4" customHeight="1" s="152">
      <c r="L925" s="238" t="n"/>
    </row>
    <row r="926" ht="14.4" customHeight="1" s="152">
      <c r="L926" s="238" t="n"/>
    </row>
    <row r="927" ht="14.4" customHeight="1" s="152">
      <c r="L927" s="238" t="n"/>
    </row>
    <row r="928" ht="14.4" customHeight="1" s="152">
      <c r="L928" s="238" t="n"/>
    </row>
    <row r="929" ht="14.4" customHeight="1" s="152">
      <c r="L929" s="238" t="n"/>
    </row>
    <row r="930" ht="14.4" customHeight="1" s="152">
      <c r="L930" s="238" t="n"/>
    </row>
    <row r="931" ht="14.4" customHeight="1" s="152">
      <c r="L931" s="238" t="n"/>
    </row>
    <row r="932" ht="14.4" customHeight="1" s="152">
      <c r="L932" s="238" t="n"/>
    </row>
    <row r="933" ht="14.4" customHeight="1" s="152">
      <c r="L933" s="238" t="n"/>
    </row>
    <row r="934" ht="14.4" customHeight="1" s="152">
      <c r="L934" s="238" t="n"/>
    </row>
    <row r="935" ht="14.4" customHeight="1" s="152">
      <c r="L935" s="238" t="n"/>
    </row>
    <row r="939" ht="14.4" customHeight="1" s="152">
      <c r="L939" s="240" t="n"/>
    </row>
    <row r="1010" ht="14.4" customHeight="1" s="152">
      <c r="L1010" s="238" t="n"/>
    </row>
    <row r="1011" ht="14.4" customHeight="1" s="152">
      <c r="L1011" s="238" t="n"/>
    </row>
    <row r="1012" ht="14.4" customHeight="1" s="152">
      <c r="L1012" s="238" t="n"/>
    </row>
    <row r="1013" ht="14.4" customHeight="1" s="152">
      <c r="L1013" s="238" t="n"/>
    </row>
    <row r="1014" ht="14.4" customHeight="1" s="152">
      <c r="L1014" s="238" t="n"/>
    </row>
    <row r="1015" ht="14.4" customHeight="1" s="152">
      <c r="L1015" s="238" t="n"/>
    </row>
    <row r="1016" ht="14.4" customHeight="1" s="152">
      <c r="L1016" s="238" t="n"/>
    </row>
    <row r="1017" ht="14.4" customHeight="1" s="152">
      <c r="L1017" s="238" t="n"/>
    </row>
    <row r="1018" ht="14.4" customHeight="1" s="152">
      <c r="L1018" s="238" t="n"/>
    </row>
    <row r="1019" ht="14.4" customHeight="1" s="152">
      <c r="L1019" s="238" t="n"/>
    </row>
    <row r="1020" ht="14.4" customHeight="1" s="152">
      <c r="L1020" s="238" t="n"/>
    </row>
    <row r="1021" ht="14.4" customHeight="1" s="152">
      <c r="L1021" s="238" t="n"/>
    </row>
    <row r="1022" ht="14.4" customHeight="1" s="152">
      <c r="L1022" s="238" t="n"/>
    </row>
    <row r="1023" ht="14.4" customHeight="1" s="152">
      <c r="L1023" s="238" t="n"/>
    </row>
    <row r="1024" ht="14.4" customHeight="1" s="152">
      <c r="L1024" s="238" t="n"/>
    </row>
    <row r="1025" ht="14.4" customHeight="1" s="152">
      <c r="L1025" s="238" t="n"/>
    </row>
    <row r="1026" ht="14.4" customHeight="1" s="152">
      <c r="L1026" s="238" t="n"/>
    </row>
    <row r="1027" ht="14.4" customHeight="1" s="152">
      <c r="L1027" s="238" t="n"/>
    </row>
    <row r="1028" ht="14.4" customHeight="1" s="152">
      <c r="L1028" s="238" t="n"/>
    </row>
    <row r="1029" ht="14.4" customHeight="1" s="152">
      <c r="L1029" s="238" t="n"/>
    </row>
    <row r="1030" ht="14.4" customHeight="1" s="152">
      <c r="L1030" s="238" t="n"/>
    </row>
  </sheetData>
  <conditionalFormatting sqref="F1 F34:F1048576">
    <cfRule type="colorScale" priority="2">
      <colorScale>
        <cfvo type="min" val="0"/>
        <cfvo type="percentile" val="50"/>
        <cfvo type="max" val="0"/>
        <color rgb="FFF8696B"/>
        <color rgb="FFFFEB84"/>
        <color rgb="FF63BE7B"/>
      </colorScale>
    </cfRule>
  </conditionalFormatting>
  <conditionalFormatting sqref="D2:D33">
    <cfRule type="colorScale" priority="3">
      <colorScale>
        <cfvo type="min" val="0"/>
        <cfvo type="percentile" val="50"/>
        <cfvo type="max" val="0"/>
        <color rgb="FFF8696B"/>
        <color rgb="FFFFEB84"/>
        <color rgb="FF63BE7B"/>
      </colorScale>
    </cfRule>
  </conditionalFormatting>
  <conditionalFormatting sqref="E2:E33">
    <cfRule type="colorScale" priority="4">
      <colorScale>
        <cfvo type="min" val="0"/>
        <cfvo type="percentile" val="50"/>
        <cfvo type="max" val="0"/>
        <color rgb="FFF8696B"/>
        <color rgb="FFFFEB84"/>
        <color rgb="FF63BE7B"/>
      </colorScale>
    </cfRule>
  </conditionalFormatting>
  <conditionalFormatting sqref="F2:F33">
    <cfRule type="colorScale" priority="5">
      <colorScale>
        <cfvo type="min" val="0"/>
        <cfvo type="percentile" val="50"/>
        <cfvo type="max" val="0"/>
        <color rgb="FFF8696B"/>
        <color rgb="FFFFEB84"/>
        <color rgb="FF63BE7B"/>
      </colorScale>
    </cfRule>
  </conditionalFormatting>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tabColor rgb="FFB4C7E7"/>
    <outlinePr summaryBelow="1" summaryRight="1"/>
    <pageSetUpPr fitToPage="0"/>
  </sheetPr>
  <dimension ref="A1:V648"/>
  <sheetViews>
    <sheetView showFormulas="0" showGridLines="0" showRowColHeaders="1" showZeros="1" rightToLeft="0" tabSelected="0" showOutlineSymbols="1" defaultGridColor="1" view="normal" topLeftCell="A1" colorId="64" zoomScale="95" zoomScaleNormal="95" zoomScalePageLayoutView="100" workbookViewId="0">
      <pane xSplit="0" ySplit="5" topLeftCell="A6" activePane="bottomLeft" state="frozen"/>
      <selection pane="topLeft" activeCell="A1" activeCellId="0" sqref="A1"/>
      <selection pane="bottomLeft" activeCell="O6" activeCellId="0" sqref="O6"/>
    </sheetView>
  </sheetViews>
  <sheetFormatPr baseColWidth="8" defaultColWidth="9.13671875" defaultRowHeight="14.4" zeroHeight="0" outlineLevelRow="0"/>
  <cols>
    <col width="15.88" customWidth="1" style="241" min="1" max="1"/>
    <col width="12.89" customWidth="1" style="241" min="2" max="2"/>
    <col width="4.56" customWidth="1" style="241" min="3" max="3"/>
    <col width="6.66" customWidth="1" style="242" min="4" max="4"/>
    <col width="9.130000000000001" customWidth="1" style="157" min="5" max="5"/>
    <col width="13.1" customWidth="1" style="156" min="6" max="6"/>
    <col width="10.65" customWidth="1" style="243" min="7" max="7"/>
    <col width="27.58" customWidth="1" style="156" min="8" max="8"/>
    <col width="10.58" customWidth="1" style="156" min="9" max="9"/>
    <col width="27" customWidth="1" style="156" min="10" max="10"/>
    <col width="7.34" customWidth="1" style="156" min="11" max="11"/>
    <col width="18" customWidth="1" style="156" min="12" max="12"/>
    <col width="10.89" customWidth="1" style="158" min="13" max="13"/>
    <col width="14.11" customWidth="1" style="156" min="14" max="14"/>
    <col width="17" customWidth="1" style="156" min="15" max="15"/>
    <col width="12.89" customWidth="1" style="156" min="16" max="16"/>
    <col width="13.33" customWidth="1" style="156" min="17" max="17"/>
    <col width="11.89" customWidth="1" style="156" min="18" max="18"/>
    <col width="19.12" customWidth="1" style="156" min="19" max="19"/>
    <col width="6.42" customWidth="1" style="156" min="20" max="20"/>
    <col width="22.11" customWidth="1" style="182" min="21" max="21"/>
    <col width="7.44" customWidth="1" style="156" min="22" max="22"/>
    <col width="9.130000000000001" customWidth="1" style="156" min="23" max="1024"/>
  </cols>
  <sheetData>
    <row r="1" ht="15" customHeight="1" s="152">
      <c r="E1" s="244" t="inlineStr">
        <is>
          <t>Yes</t>
        </is>
      </c>
      <c r="F1" s="245">
        <f>COUNTIF(E:E,E1)-1</f>
        <v/>
      </c>
      <c r="G1" s="243">
        <f>F1/(F1+F2)</f>
        <v/>
      </c>
      <c r="H1" s="243" t="n"/>
      <c r="M1" s="246" t="n"/>
    </row>
    <row r="2" ht="15" customHeight="1" s="152">
      <c r="E2" s="247" t="inlineStr">
        <is>
          <t>No</t>
        </is>
      </c>
      <c r="F2" s="200">
        <f>COUNTIF(E:E,E2)-1</f>
        <v/>
      </c>
      <c r="G2" s="243">
        <f>F2/(F1+F2)</f>
        <v/>
      </c>
      <c r="M2" s="173" t="n"/>
    </row>
    <row r="3" ht="33" customHeight="1" s="152">
      <c r="E3" s="248" t="inlineStr">
        <is>
          <t>Total</t>
        </is>
      </c>
      <c r="F3" s="249">
        <f>(F1+F2)&amp;" Games"</f>
        <v/>
      </c>
      <c r="G3" s="250">
        <f>G2+G1</f>
        <v/>
      </c>
      <c r="M3" s="173" t="n"/>
      <c r="N3" s="251" t="inlineStr">
        <is>
          <t>Weights applied to Win Strength</t>
        </is>
      </c>
      <c r="O3" s="252" t="n"/>
      <c r="P3" s="252" t="n"/>
      <c r="Q3" s="252" t="n"/>
      <c r="R3" s="252" t="n"/>
      <c r="S3" s="253" t="inlineStr">
        <is>
          <t>Total Weights</t>
        </is>
      </c>
    </row>
    <row r="4" ht="36" customHeight="1" s="152">
      <c r="M4" s="173" t="n"/>
      <c r="N4" s="243" t="n">
        <v>0.1</v>
      </c>
      <c r="O4" s="243" t="n">
        <v>0.5</v>
      </c>
      <c r="P4" s="243" t="n">
        <v>0.15</v>
      </c>
      <c r="Q4" s="243" t="n">
        <v>0.1</v>
      </c>
      <c r="R4" s="243" t="n">
        <v>0.15</v>
      </c>
      <c r="S4" s="254">
        <f>SUM(N4:R4)</f>
        <v/>
      </c>
    </row>
    <row r="5" ht="28.8" customFormat="1" customHeight="1" s="163">
      <c r="A5" s="255" t="inlineStr">
        <is>
          <t>Tor Combo</t>
        </is>
      </c>
      <c r="B5" s="255" t="inlineStr">
        <is>
          <t>OPP Combo</t>
        </is>
      </c>
      <c r="C5" s="255" t="inlineStr">
        <is>
          <t>Opp</t>
        </is>
      </c>
      <c r="D5" s="256" t="n"/>
      <c r="E5" s="257" t="inlineStr">
        <is>
          <t>Correct Pick?</t>
        </is>
      </c>
      <c r="F5" s="258" t="inlineStr">
        <is>
          <t>Win Strength %</t>
        </is>
      </c>
      <c r="G5" s="156" t="inlineStr">
        <is>
          <t>Week</t>
        </is>
      </c>
      <c r="H5" s="156" t="inlineStr">
        <is>
          <t>Team</t>
        </is>
      </c>
      <c r="I5" s="156" t="inlineStr">
        <is>
          <t>Home or Away</t>
        </is>
      </c>
      <c r="J5" s="156" t="inlineStr">
        <is>
          <t>Opposing Team</t>
        </is>
      </c>
      <c r="K5" s="156" t="inlineStr">
        <is>
          <t>Day</t>
        </is>
      </c>
      <c r="L5" s="156" t="inlineStr">
        <is>
          <t>Date</t>
        </is>
      </c>
      <c r="M5" s="156" t="inlineStr">
        <is>
          <t>Time</t>
        </is>
      </c>
      <c r="N5" s="156" t="inlineStr">
        <is>
          <t>(empty)</t>
        </is>
      </c>
      <c r="O5" s="259" t="inlineStr">
        <is>
          <t>Home vs Away Win % ▲</t>
        </is>
      </c>
      <c r="P5" s="259" t="inlineStr">
        <is>
          <t xml:space="preserve">Points Per Game Δ </t>
        </is>
      </c>
      <c r="Q5" s="260" t="inlineStr">
        <is>
          <t>Offensive Rating ▲</t>
        </is>
      </c>
      <c r="R5" s="260" t="inlineStr">
        <is>
          <t>Defensive Rating ▲</t>
        </is>
      </c>
      <c r="S5" s="261" t="inlineStr">
        <is>
          <t>Results</t>
        </is>
      </c>
      <c r="T5" s="261" t="n"/>
      <c r="U5" s="262" t="n"/>
      <c r="V5" s="261" t="n"/>
    </row>
    <row r="6" ht="14.4" customHeight="1" s="152">
      <c r="A6" s="241">
        <f>H6&amp;I6</f>
        <v/>
      </c>
      <c r="B6" s="241">
        <f>J6&amp;C6</f>
        <v/>
      </c>
      <c r="C6" s="241">
        <f>IFERROR(IF(I6="Home","Away",IF(I6="Away","Home","")),"")</f>
        <v/>
      </c>
      <c r="D6" s="242">
        <f>H6</f>
        <v/>
      </c>
      <c r="E6" s="157">
        <f>IFERROR(IF(AND(F6&gt;0,T6&gt;V6),"Yes",IF(AND(F6&gt;0,T6&lt;V6),"No",IF(AND(F6&lt;0,T6&lt;V6),"Yes",IF(AND(F6&lt;0,T6&gt;V6),"No",0)))),"")</f>
        <v/>
      </c>
      <c r="F6" s="263">
        <f>IFERROR((N6/MAX(N:N)*_MOVw)+(O6/MAX(O:O)*_WINw)+(P6/MAX(P:P)*_PPGw)+(Q6/MAX(Q:Q)*_ORw)+(R6/MAX(R:R)*_DRw),"")</f>
        <v/>
      </c>
      <c r="G6" s="204">
        <f>2025Schedule!$L$1</f>
        <v/>
      </c>
      <c r="H6" s="204">
        <f>VLOOKUP(G6,2025Schedule!B2:$E$272,4,0)</f>
        <v/>
      </c>
      <c r="I6" s="204" t="inlineStr">
        <is>
          <t>Away</t>
        </is>
      </c>
      <c r="J6" s="204">
        <f>VLOOKUP(G6,2025Schedule!B2:$H$272,7,0)</f>
        <v/>
      </c>
      <c r="K6" s="204" t="inlineStr">
        <is>
          <t>Sun</t>
        </is>
      </c>
      <c r="L6" s="204" t="n">
        <v>45655</v>
      </c>
      <c r="M6" s="204" t="n">
        <v>0.541666666666667</v>
      </c>
      <c r="O6" s="182">
        <f>IFERROR(AVERAGEIFS(2025Schedule!O:O,2025Schedule!E:E,H6,2025Schedule!N:N,A6)-AVERAGEIFS(2025Schedule!O:O,2025Schedule!E:E,J6,2025Schedule!N:N,B6),0)</f>
        <v/>
      </c>
      <c r="P6" s="156">
        <f>IFERROR(VLOOKUP(H6,Matrix!A:D,2,0)-VLOOKUP(J6,Matrix!A:D,2,0),"")</f>
        <v/>
      </c>
      <c r="Q6" s="156">
        <f>IFERROR(VLOOKUP(H6,Matrix!A:AC,15,0)-VLOOKUP(J6,Matrix!A:AC,15,0),"")</f>
        <v/>
      </c>
      <c r="R6" s="156">
        <f>IFERROR(VLOOKUP(H6,Matrix!A:AC,16,0)-VLOOKUP(J6,Matrix!A:AC,16,0),"")</f>
        <v/>
      </c>
      <c r="S6" s="195">
        <f>H6</f>
        <v/>
      </c>
      <c r="T6" s="195">
        <f>IFERROR(VLOOKUP(G6&amp;H6,2025Schedule!A:F,6,0),"")</f>
        <v/>
      </c>
      <c r="U6" s="264">
        <f>J6</f>
        <v/>
      </c>
      <c r="V6" s="195">
        <f>IFERROR(VLOOKUP(G6&amp;J6,2025Schedule!A:F,6,0),"")</f>
        <v/>
      </c>
    </row>
    <row r="7" ht="14.4" customHeight="1" s="152">
      <c r="A7" s="241">
        <f>H7&amp;I7</f>
        <v/>
      </c>
      <c r="B7" s="241">
        <f>J7&amp;C7</f>
        <v/>
      </c>
      <c r="C7" s="241">
        <f>IFERROR(IF(I7="Home","Away",IF(I7="Away","Home","")),"")</f>
        <v/>
      </c>
      <c r="D7" s="242">
        <f>H7</f>
        <v/>
      </c>
      <c r="E7" s="157">
        <f>IFERROR(IF(AND(F7&gt;0,T7&gt;V7),"Yes",IF(AND(F7&gt;0,T7&lt;V7),"No",IF(AND(F7&lt;0,T7&lt;V7),"Yes",IF(AND(F7&lt;0,T7&gt;V7),"No",0)))),"")</f>
        <v/>
      </c>
      <c r="F7" s="263">
        <f>IFERROR((N7/MAX(N:N)*_MOVw)+(O7/MAX(O:O)*_WINw)+(P7/MAX(P:P)*_PPGw)+(Q7/MAX(Q:Q)*_ORw)+(R7/MAX(R:R)*_DRw),"")</f>
        <v/>
      </c>
      <c r="G7" s="204">
        <f>2025Schedule!$L$1</f>
        <v/>
      </c>
      <c r="H7" s="204">
        <f>VLOOKUP(G7,2025Schedule!B3:$E$272,4,0)</f>
        <v/>
      </c>
      <c r="I7" s="204" t="inlineStr">
        <is>
          <t>Away</t>
        </is>
      </c>
      <c r="J7" s="204">
        <f>VLOOKUP(G7,2025Schedule!B3:$H$272,7,0)</f>
        <v/>
      </c>
      <c r="K7" s="204" t="inlineStr">
        <is>
          <t>Sun</t>
        </is>
      </c>
      <c r="L7" s="204" t="n">
        <v>45655</v>
      </c>
      <c r="M7" s="204" t="n">
        <v>0.541666666666667</v>
      </c>
      <c r="O7" s="182">
        <f>IFERROR(AVERAGEIFS(2025Schedule!O:O,2025Schedule!E:E,H7,2025Schedule!N:N,A7)-AVERAGEIFS(2025Schedule!O:O,2025Schedule!E:E,J7,2025Schedule!N:N,B7),0)</f>
        <v/>
      </c>
      <c r="P7" s="156">
        <f>IFERROR(VLOOKUP(H7,Matrix!A:D,2,0)-VLOOKUP(J7,Matrix!A:D,2,0),"")</f>
        <v/>
      </c>
      <c r="Q7" s="156">
        <f>IFERROR(VLOOKUP(H7,Matrix!A:AC,15,0)-VLOOKUP(J7,Matrix!A:AC,15,0),"")</f>
        <v/>
      </c>
      <c r="R7" s="156">
        <f>IFERROR(VLOOKUP(H7,Matrix!A:AC,16,0)-VLOOKUP(J7,Matrix!A:AC,16,0),"")</f>
        <v/>
      </c>
      <c r="S7" s="195">
        <f>H7</f>
        <v/>
      </c>
      <c r="T7" s="195">
        <f>IFERROR(VLOOKUP(G7&amp;H7,2025Schedule!A:F,6,0),"")</f>
        <v/>
      </c>
      <c r="U7" s="264">
        <f>J7</f>
        <v/>
      </c>
      <c r="V7" s="195">
        <f>IFERROR(VLOOKUP(G7&amp;J7,2025Schedule!A:F,6,0),"")</f>
        <v/>
      </c>
    </row>
    <row r="8" ht="14.4" customHeight="1" s="152">
      <c r="A8" s="241">
        <f>H8&amp;I8</f>
        <v/>
      </c>
      <c r="B8" s="241">
        <f>J8&amp;C8</f>
        <v/>
      </c>
      <c r="C8" s="241">
        <f>IFERROR(IF(I8="Home","Away",IF(I8="Away","Home","")),"")</f>
        <v/>
      </c>
      <c r="D8" s="242">
        <f>H8</f>
        <v/>
      </c>
      <c r="E8" s="157">
        <f>IFERROR(IF(AND(F8&gt;0,T8&gt;V8),"Yes",IF(AND(F8&gt;0,T8&lt;V8),"No",IF(AND(F8&lt;0,T8&lt;V8),"Yes",IF(AND(F8&lt;0,T8&gt;V8),"No",0)))),"")</f>
        <v/>
      </c>
      <c r="F8" s="263">
        <f>IFERROR((N8/MAX(N:N)*_MOVw)+(O8/MAX(O:O)*_WINw)+(P8/MAX(P:P)*_PPGw)+(Q8/MAX(Q:Q)*_ORw)+(R8/MAX(R:R)*_DRw),"")</f>
        <v/>
      </c>
      <c r="G8" s="204">
        <f>2025Schedule!$L$1</f>
        <v/>
      </c>
      <c r="H8" s="204">
        <f>VLOOKUP(G8,2025Schedule!B4:$E$272,4,0)</f>
        <v/>
      </c>
      <c r="I8" s="204" t="inlineStr">
        <is>
          <t>Away</t>
        </is>
      </c>
      <c r="J8" s="204">
        <f>VLOOKUP(G8,2025Schedule!B4:$H$272,7,0)</f>
        <v/>
      </c>
      <c r="K8" s="204" t="inlineStr">
        <is>
          <t>Wed</t>
        </is>
      </c>
      <c r="L8" s="204" t="n">
        <v>45651</v>
      </c>
      <c r="M8" s="204" t="n">
        <v>0.6875</v>
      </c>
      <c r="O8" s="182">
        <f>IFERROR(AVERAGEIFS(2025Schedule!O:O,2025Schedule!E:E,H8,2025Schedule!N:N,A8)-AVERAGEIFS(2025Schedule!O:O,2025Schedule!E:E,J8,2025Schedule!N:N,B8),0)</f>
        <v/>
      </c>
      <c r="P8" s="156">
        <f>IFERROR(VLOOKUP(H8,Matrix!A:D,2,0)-VLOOKUP(J8,Matrix!A:D,2,0),"")</f>
        <v/>
      </c>
      <c r="Q8" s="156">
        <f>IFERROR(VLOOKUP(H8,Matrix!A:AC,15,0)-VLOOKUP(J8,Matrix!A:AC,15,0),"")</f>
        <v/>
      </c>
      <c r="R8" s="156">
        <f>IFERROR(VLOOKUP(H8,Matrix!A:AC,16,0)-VLOOKUP(J8,Matrix!A:AC,16,0),"")</f>
        <v/>
      </c>
      <c r="S8" s="195">
        <f>H8</f>
        <v/>
      </c>
      <c r="T8" s="195">
        <f>IFERROR(VLOOKUP(G8&amp;H8,2025Schedule!A:F,6,0),"")</f>
        <v/>
      </c>
      <c r="U8" s="264">
        <f>J8</f>
        <v/>
      </c>
      <c r="V8" s="195">
        <f>IFERROR(VLOOKUP(G8&amp;J8,2025Schedule!A:F,6,0),"")</f>
        <v/>
      </c>
    </row>
    <row r="9" ht="14.4" customHeight="1" s="152">
      <c r="A9" s="241">
        <f>H9&amp;I9</f>
        <v/>
      </c>
      <c r="B9" s="241">
        <f>J9&amp;C9</f>
        <v/>
      </c>
      <c r="C9" s="241">
        <f>IFERROR(IF(I9="Home","Away",IF(I9="Away","Home","")),"")</f>
        <v/>
      </c>
      <c r="D9" s="242">
        <f>H9</f>
        <v/>
      </c>
      <c r="E9" s="157">
        <f>IFERROR(IF(AND(F9&gt;0,T9&gt;V9),"Yes",IF(AND(F9&gt;0,T9&lt;V9),"No",IF(AND(F9&lt;0,T9&lt;V9),"Yes",IF(AND(F9&lt;0,T9&gt;V9),"No",0)))),"")</f>
        <v/>
      </c>
      <c r="F9" s="263">
        <f>IFERROR((N9/MAX(N:N)*_MOVw)+(O9/MAX(O:O)*_WINw)+(P9/MAX(P:P)*_PPGw)+(Q9/MAX(Q:Q)*_ORw)+(R9/MAX(R:R)*_DRw),"")</f>
        <v/>
      </c>
      <c r="G9" s="204">
        <f>2025Schedule!$L$1</f>
        <v/>
      </c>
      <c r="H9" s="204">
        <f>VLOOKUP(G9,2025Schedule!B5:$E$272,4,0)</f>
        <v/>
      </c>
      <c r="I9" s="204" t="inlineStr">
        <is>
          <t>Away</t>
        </is>
      </c>
      <c r="J9" s="204">
        <f>VLOOKUP(G9,2025Schedule!B5:$H$272,7,0)</f>
        <v/>
      </c>
      <c r="K9" s="204" t="inlineStr">
        <is>
          <t>Sun</t>
        </is>
      </c>
      <c r="L9" s="204" t="n">
        <v>45655</v>
      </c>
      <c r="M9" s="204" t="n">
        <v>0.541666666666667</v>
      </c>
      <c r="O9" s="182">
        <f>IFERROR(AVERAGEIFS(2025Schedule!O:O,2025Schedule!E:E,H9,2025Schedule!N:N,A9)-AVERAGEIFS(2025Schedule!O:O,2025Schedule!E:E,J9,2025Schedule!N:N,B9),0)</f>
        <v/>
      </c>
      <c r="P9" s="156">
        <f>IFERROR(VLOOKUP(H9,Matrix!A:D,2,0)-VLOOKUP(J9,Matrix!A:D,2,0),"")</f>
        <v/>
      </c>
      <c r="Q9" s="156">
        <f>IFERROR(VLOOKUP(H9,Matrix!A:AC,15,0)-VLOOKUP(J9,Matrix!A:AC,15,0),"")</f>
        <v/>
      </c>
      <c r="R9" s="156">
        <f>IFERROR(VLOOKUP(H9,Matrix!A:AC,16,0)-VLOOKUP(J9,Matrix!A:AC,16,0),"")</f>
        <v/>
      </c>
      <c r="S9" s="195">
        <f>H9</f>
        <v/>
      </c>
      <c r="T9" s="195">
        <f>IFERROR(VLOOKUP(G9&amp;H9,2025Schedule!A:F,6,0),"")</f>
        <v/>
      </c>
      <c r="U9" s="264">
        <f>J9</f>
        <v/>
      </c>
      <c r="V9" s="195">
        <f>IFERROR(VLOOKUP(G9&amp;J9,2025Schedule!A:F,6,0),"")</f>
        <v/>
      </c>
    </row>
    <row r="10" ht="14.4" customHeight="1" s="152">
      <c r="A10" s="241">
        <f>H10&amp;I10</f>
        <v/>
      </c>
      <c r="B10" s="241">
        <f>J10&amp;C10</f>
        <v/>
      </c>
      <c r="C10" s="241">
        <f>IFERROR(IF(I10="Home","Away",IF(I10="Away","Home","")),"")</f>
        <v/>
      </c>
      <c r="D10" s="242">
        <f>H10</f>
        <v/>
      </c>
      <c r="E10" s="157">
        <f>IFERROR(IF(AND(F10&gt;0,T10&gt;V10),"Yes",IF(AND(F10&gt;0,T10&lt;V10),"No",IF(AND(F10&lt;0,T10&lt;V10),"Yes",IF(AND(F10&lt;0,T10&gt;V10),"No",0)))),"")</f>
        <v/>
      </c>
      <c r="F10" s="263">
        <f>IFERROR((N10/MAX(N:N)*_MOVw)+(O10/MAX(O:O)*_WINw)+(P10/MAX(P:P)*_PPGw)+(Q10/MAX(Q:Q)*_ORw)+(R10/MAX(R:R)*_DRw),"")</f>
        <v/>
      </c>
      <c r="G10" s="204">
        <f>2025Schedule!$L$1</f>
        <v/>
      </c>
      <c r="H10" s="204">
        <f>VLOOKUP(G10,2025Schedule!B6:$E$272,4,0)</f>
        <v/>
      </c>
      <c r="I10" s="204" t="inlineStr">
        <is>
          <t>Away</t>
        </is>
      </c>
      <c r="J10" s="204">
        <f>VLOOKUP(G10,2025Schedule!B6:$H$272,7,0)</f>
        <v/>
      </c>
      <c r="K10" s="204" t="inlineStr">
        <is>
          <t>Sun</t>
        </is>
      </c>
      <c r="L10" s="204" t="n">
        <v>45655</v>
      </c>
      <c r="M10" s="204" t="n">
        <v>0.541666666666667</v>
      </c>
      <c r="O10" s="182">
        <f>IFERROR(AVERAGEIFS(2025Schedule!O:O,2025Schedule!E:E,H10,2025Schedule!N:N,A10)-AVERAGEIFS(2025Schedule!O:O,2025Schedule!E:E,J10,2025Schedule!N:N,B10),0)</f>
        <v/>
      </c>
      <c r="P10" s="156">
        <f>IFERROR(VLOOKUP(H10,Matrix!A:D,2,0)-VLOOKUP(J10,Matrix!A:D,2,0),"")</f>
        <v/>
      </c>
      <c r="Q10" s="156">
        <f>IFERROR(VLOOKUP(H10,Matrix!A:AC,15,0)-VLOOKUP(J10,Matrix!A:AC,15,0),"")</f>
        <v/>
      </c>
      <c r="R10" s="156">
        <f>IFERROR(VLOOKUP(H10,Matrix!A:AC,16,0)-VLOOKUP(J10,Matrix!A:AC,16,0),"")</f>
        <v/>
      </c>
      <c r="S10" s="195">
        <f>H10</f>
        <v/>
      </c>
      <c r="T10" s="195">
        <f>IFERROR(VLOOKUP(G10&amp;H10,2025Schedule!A:F,6,0),"")</f>
        <v/>
      </c>
      <c r="U10" s="264">
        <f>J10</f>
        <v/>
      </c>
      <c r="V10" s="195">
        <f>IFERROR(VLOOKUP(G10&amp;J10,2025Schedule!A:F,6,0),"")</f>
        <v/>
      </c>
    </row>
    <row r="11" ht="14.4" customHeight="1" s="152">
      <c r="A11" s="241">
        <f>H11&amp;I11</f>
        <v/>
      </c>
      <c r="B11" s="241">
        <f>J11&amp;C11</f>
        <v/>
      </c>
      <c r="C11" s="241">
        <f>IFERROR(IF(I11="Home","Away",IF(I11="Away","Home","")),"")</f>
        <v/>
      </c>
      <c r="D11" s="242">
        <f>H11</f>
        <v/>
      </c>
      <c r="E11" s="157">
        <f>IFERROR(IF(AND(F11&gt;0,T11&gt;V11),"Yes",IF(AND(F11&gt;0,T11&lt;V11),"No",IF(AND(F11&lt;0,T11&lt;V11),"Yes",IF(AND(F11&lt;0,T11&gt;V11),"No",0)))),"")</f>
        <v/>
      </c>
      <c r="F11" s="263">
        <f>IFERROR((N11/MAX(N:N)*_MOVw)+(O11/MAX(O:O)*_WINw)+(P11/MAX(P:P)*_PPGw)+(Q11/MAX(Q:Q)*_ORw)+(R11/MAX(R:R)*_DRw),"")</f>
        <v/>
      </c>
      <c r="G11" s="204">
        <f>2025Schedule!$L$1</f>
        <v/>
      </c>
      <c r="H11" s="204">
        <f>VLOOKUP(G11,2025Schedule!B7:$E$272,4,0)</f>
        <v/>
      </c>
      <c r="I11" s="204" t="inlineStr">
        <is>
          <t>Away</t>
        </is>
      </c>
      <c r="J11" s="204">
        <f>VLOOKUP(G11,2025Schedule!B7:$H$272,7,0)</f>
        <v/>
      </c>
      <c r="K11" s="204" t="inlineStr">
        <is>
          <t>Thu</t>
        </is>
      </c>
      <c r="L11" s="204" t="n">
        <v>45652</v>
      </c>
      <c r="M11" s="204" t="n">
        <v>0.84375</v>
      </c>
      <c r="O11" s="182">
        <f>IFERROR(AVERAGEIFS(2025Schedule!O:O,2025Schedule!E:E,H11,2025Schedule!N:N,A11)-AVERAGEIFS(2025Schedule!O:O,2025Schedule!E:E,J11,2025Schedule!N:N,B11),0)</f>
        <v/>
      </c>
      <c r="P11" s="156">
        <f>IFERROR(VLOOKUP(H11,Matrix!A:D,2,0)-VLOOKUP(J11,Matrix!A:D,2,0),"")</f>
        <v/>
      </c>
      <c r="Q11" s="156">
        <f>IFERROR(VLOOKUP(H11,Matrix!A:AC,15,0)-VLOOKUP(J11,Matrix!A:AC,15,0),"")</f>
        <v/>
      </c>
      <c r="R11" s="156">
        <f>IFERROR(VLOOKUP(H11,Matrix!A:AC,16,0)-VLOOKUP(J11,Matrix!A:AC,16,0),"")</f>
        <v/>
      </c>
      <c r="S11" s="195">
        <f>H11</f>
        <v/>
      </c>
      <c r="T11" s="195">
        <f>IFERROR(VLOOKUP(G11&amp;H11,2025Schedule!A:F,6,0),"")</f>
        <v/>
      </c>
      <c r="U11" s="264">
        <f>J11</f>
        <v/>
      </c>
      <c r="V11" s="195">
        <f>IFERROR(VLOOKUP(G11&amp;J11,2025Schedule!A:F,6,0),"")</f>
        <v/>
      </c>
    </row>
    <row r="12" ht="14.4" customHeight="1" s="152">
      <c r="A12" s="241">
        <f>H12&amp;I12</f>
        <v/>
      </c>
      <c r="B12" s="241">
        <f>J12&amp;C12</f>
        <v/>
      </c>
      <c r="C12" s="241">
        <f>IFERROR(IF(I12="Home","Away",IF(I12="Away","Home","")),"")</f>
        <v/>
      </c>
      <c r="D12" s="242">
        <f>H12</f>
        <v/>
      </c>
      <c r="E12" s="157">
        <f>IFERROR(IF(AND(F12&gt;0,T12&gt;V12),"Yes",IF(AND(F12&gt;0,T12&lt;V12),"No",IF(AND(F12&lt;0,T12&lt;V12),"Yes",IF(AND(F12&lt;0,T12&gt;V12),"No",0)))),"")</f>
        <v/>
      </c>
      <c r="F12" s="263">
        <f>IFERROR((N12/MAX(N:N)*_MOVw)+(O12/MAX(O:O)*_WINw)+(P12/MAX(P:P)*_PPGw)+(Q12/MAX(Q:Q)*_ORw)+(R12/MAX(R:R)*_DRw),"")</f>
        <v/>
      </c>
      <c r="G12" s="204">
        <f>2025Schedule!$L$1</f>
        <v/>
      </c>
      <c r="H12" s="204">
        <f>VLOOKUP(G12,2025Schedule!B8:$E$272,4,0)</f>
        <v/>
      </c>
      <c r="I12" s="204" t="inlineStr">
        <is>
          <t>Away</t>
        </is>
      </c>
      <c r="J12" s="204">
        <f>VLOOKUP(G12,2025Schedule!B8:$H$272,7,0)</f>
        <v/>
      </c>
      <c r="K12" s="204" t="inlineStr">
        <is>
          <t>Sun</t>
        </is>
      </c>
      <c r="L12" s="204" t="n">
        <v>45655</v>
      </c>
      <c r="M12" s="204" t="n">
        <v>0.541666666666667</v>
      </c>
      <c r="O12" s="182">
        <f>IFERROR(AVERAGEIFS(2025Schedule!O:O,2025Schedule!E:E,H12,2025Schedule!N:N,A12)-AVERAGEIFS(2025Schedule!O:O,2025Schedule!E:E,J12,2025Schedule!N:N,B12),0)</f>
        <v/>
      </c>
      <c r="P12" s="156">
        <f>IFERROR(VLOOKUP(H12,Matrix!A:D,2,0)-VLOOKUP(J12,Matrix!A:D,2,0),"")</f>
        <v/>
      </c>
      <c r="Q12" s="156">
        <f>IFERROR(VLOOKUP(H12,Matrix!A:AC,15,0)-VLOOKUP(J12,Matrix!A:AC,15,0),"")</f>
        <v/>
      </c>
      <c r="R12" s="156">
        <f>IFERROR(VLOOKUP(H12,Matrix!A:AC,16,0)-VLOOKUP(J12,Matrix!A:AC,16,0),"")</f>
        <v/>
      </c>
      <c r="S12" s="195">
        <f>H12</f>
        <v/>
      </c>
      <c r="T12" s="195">
        <f>IFERROR(VLOOKUP(G12&amp;H12,2025Schedule!A:F,6,0),"")</f>
        <v/>
      </c>
      <c r="U12" s="264">
        <f>J12</f>
        <v/>
      </c>
      <c r="V12" s="195">
        <f>IFERROR(VLOOKUP(G12&amp;J12,2025Schedule!A:F,6,0),"")</f>
        <v/>
      </c>
    </row>
    <row r="13" ht="14.4" customHeight="1" s="152">
      <c r="A13" s="241">
        <f>H13&amp;I13</f>
        <v/>
      </c>
      <c r="B13" s="241">
        <f>J13&amp;C13</f>
        <v/>
      </c>
      <c r="C13" s="241">
        <f>IFERROR(IF(I13="Home","Away",IF(I13="Away","Home","")),"")</f>
        <v/>
      </c>
      <c r="D13" s="242">
        <f>H13</f>
        <v/>
      </c>
      <c r="E13" s="157">
        <f>IFERROR(IF(AND(F13&gt;0,T13&gt;V13),"Yes",IF(AND(F13&gt;0,T13&lt;V13),"No",IF(AND(F13&lt;0,T13&lt;V13),"Yes",IF(AND(F13&lt;0,T13&gt;V13),"No",0)))),"")</f>
        <v/>
      </c>
      <c r="F13" s="263">
        <f>IFERROR((N13/MAX(N:N)*_MOVw)+(O13/MAX(O:O)*_WINw)+(P13/MAX(P:P)*_PPGw)+(Q13/MAX(Q:Q)*_ORw)+(R13/MAX(R:R)*_DRw),"")</f>
        <v/>
      </c>
      <c r="G13" s="204">
        <f>2025Schedule!$L$1</f>
        <v/>
      </c>
      <c r="H13" s="204">
        <f>VLOOKUP(G13,2025Schedule!B9:$E$272,4,0)</f>
        <v/>
      </c>
      <c r="I13" s="204" t="inlineStr">
        <is>
          <t>Away</t>
        </is>
      </c>
      <c r="J13" s="204">
        <f>VLOOKUP(G13,2025Schedule!B9:$H$272,7,0)</f>
        <v/>
      </c>
      <c r="K13" s="204" t="inlineStr">
        <is>
          <t>Sun</t>
        </is>
      </c>
      <c r="L13" s="204" t="n">
        <v>45655</v>
      </c>
      <c r="M13" s="204" t="n">
        <v>0.847222222222222</v>
      </c>
      <c r="O13" s="182">
        <f>IFERROR(AVERAGEIFS(2025Schedule!O:O,2025Schedule!E:E,H13,2025Schedule!N:N,A13)-AVERAGEIFS(2025Schedule!O:O,2025Schedule!E:E,J13,2025Schedule!N:N,B13),0)</f>
        <v/>
      </c>
      <c r="P13" s="156">
        <f>IFERROR(VLOOKUP(H13,Matrix!A:D,2,0)-VLOOKUP(J13,Matrix!A:D,2,0),"")</f>
        <v/>
      </c>
      <c r="Q13" s="156">
        <f>IFERROR(VLOOKUP(H13,Matrix!A:AC,15,0)-VLOOKUP(J13,Matrix!A:AC,15,0),"")</f>
        <v/>
      </c>
      <c r="R13" s="156">
        <f>IFERROR(VLOOKUP(H13,Matrix!A:AC,16,0)-VLOOKUP(J13,Matrix!A:AC,16,0),"")</f>
        <v/>
      </c>
      <c r="S13" s="195">
        <f>H13</f>
        <v/>
      </c>
      <c r="T13" s="195">
        <f>IFERROR(VLOOKUP(G13&amp;H13,2025Schedule!A:F,6,0),"")</f>
        <v/>
      </c>
      <c r="U13" s="264">
        <f>J13</f>
        <v/>
      </c>
      <c r="V13" s="195">
        <f>IFERROR(VLOOKUP(G13&amp;J13,2025Schedule!A:F,6,0),"")</f>
        <v/>
      </c>
    </row>
    <row r="14" ht="14.4" customHeight="1" s="152">
      <c r="A14" s="241">
        <f>H14&amp;I14</f>
        <v/>
      </c>
      <c r="B14" s="241">
        <f>J14&amp;C14</f>
        <v/>
      </c>
      <c r="C14" s="241">
        <f>IFERROR(IF(I14="Home","Away",IF(I14="Away","Home","")),"")</f>
        <v/>
      </c>
      <c r="D14" s="242">
        <f>H14</f>
        <v/>
      </c>
      <c r="E14" s="157">
        <f>IFERROR(IF(AND(F14&gt;0,T14&gt;V14),"Yes",IF(AND(F14&gt;0,T14&lt;V14),"No",IF(AND(F14&lt;0,T14&lt;V14),"Yes",IF(AND(F14&lt;0,T14&gt;V14),"No",0)))),"")</f>
        <v/>
      </c>
      <c r="F14" s="263">
        <f>IFERROR((N14/MAX(N:N)*_MOVw)+(O14/MAX(O:O)*_WINw)+(P14/MAX(P:P)*_PPGw)+(Q14/MAX(Q:Q)*_ORw)+(R14/MAX(R:R)*_DRw),"")</f>
        <v/>
      </c>
      <c r="G14" s="204">
        <f>2025Schedule!$L$1</f>
        <v/>
      </c>
      <c r="H14" s="204">
        <f>VLOOKUP(G14,2025Schedule!B10:$E$272,4,0)</f>
        <v/>
      </c>
      <c r="I14" s="204" t="inlineStr">
        <is>
          <t>Away</t>
        </is>
      </c>
      <c r="J14" s="204">
        <f>VLOOKUP(G14,2025Schedule!B10:$H$272,7,0)</f>
        <v/>
      </c>
      <c r="K14" s="204" t="inlineStr">
        <is>
          <t>Sun</t>
        </is>
      </c>
      <c r="L14" s="204" t="n">
        <v>45655</v>
      </c>
      <c r="M14" s="204" t="n">
        <v>0.684027777777778</v>
      </c>
      <c r="O14" s="182">
        <f>IFERROR(AVERAGEIFS(2025Schedule!O:O,2025Schedule!E:E,H14,2025Schedule!N:N,A14)-AVERAGEIFS(2025Schedule!O:O,2025Schedule!E:E,J14,2025Schedule!N:N,B14),0)</f>
        <v/>
      </c>
      <c r="P14" s="156">
        <f>IFERROR(VLOOKUP(H14,Matrix!A:D,2,0)-VLOOKUP(J14,Matrix!A:D,2,0),"")</f>
        <v/>
      </c>
      <c r="Q14" s="156">
        <f>IFERROR(VLOOKUP(H14,Matrix!A:AC,15,0)-VLOOKUP(J14,Matrix!A:AC,15,0),"")</f>
        <v/>
      </c>
      <c r="R14" s="156">
        <f>IFERROR(VLOOKUP(H14,Matrix!A:AC,16,0)-VLOOKUP(J14,Matrix!A:AC,16,0),"")</f>
        <v/>
      </c>
      <c r="S14" s="195">
        <f>H14</f>
        <v/>
      </c>
      <c r="T14" s="195">
        <f>IFERROR(VLOOKUP(G14&amp;H14,2025Schedule!A:F,6,0),"")</f>
        <v/>
      </c>
      <c r="U14" s="264">
        <f>J14</f>
        <v/>
      </c>
      <c r="V14" s="195">
        <f>IFERROR(VLOOKUP(G14&amp;J14,2025Schedule!A:F,6,0),"")</f>
        <v/>
      </c>
    </row>
    <row r="15" ht="14.4" customHeight="1" s="152">
      <c r="A15" s="241">
        <f>H15&amp;I15</f>
        <v/>
      </c>
      <c r="B15" s="241">
        <f>J15&amp;C15</f>
        <v/>
      </c>
      <c r="C15" s="241">
        <f>IFERROR(IF(I15="Home","Away",IF(I15="Away","Home","")),"")</f>
        <v/>
      </c>
      <c r="D15" s="242">
        <f>H15</f>
        <v/>
      </c>
      <c r="E15" s="157">
        <f>IFERROR(IF(AND(F15&gt;0,T15&gt;V15),"Yes",IF(AND(F15&gt;0,T15&lt;V15),"No",IF(AND(F15&lt;0,T15&lt;V15),"Yes",IF(AND(F15&lt;0,T15&gt;V15),"No",0)))),"")</f>
        <v/>
      </c>
      <c r="F15" s="263">
        <f>IFERROR((N15/MAX(N:N)*_MOVw)+(O15/MAX(O:O)*_WINw)+(P15/MAX(P:P)*_PPGw)+(Q15/MAX(Q:Q)*_ORw)+(R15/MAX(R:R)*_DRw),"")</f>
        <v/>
      </c>
      <c r="G15" s="204">
        <f>2025Schedule!$L$1</f>
        <v/>
      </c>
      <c r="H15" s="204">
        <f>VLOOKUP(G15,2025Schedule!B11:$E$272,4,0)</f>
        <v/>
      </c>
      <c r="I15" s="204" t="inlineStr">
        <is>
          <t>Away</t>
        </is>
      </c>
      <c r="J15" s="204">
        <f>VLOOKUP(G15,2025Schedule!B11:$H$272,7,0)</f>
        <v/>
      </c>
      <c r="K15" s="204" t="inlineStr">
        <is>
          <t>Sun</t>
        </is>
      </c>
      <c r="L15" s="204" t="n">
        <v>45655</v>
      </c>
      <c r="M15" s="204" t="n">
        <v>0.541666666666667</v>
      </c>
      <c r="O15" s="182">
        <f>IFERROR(AVERAGEIFS(2025Schedule!O:O,2025Schedule!E:E,H15,2025Schedule!N:N,A15)-AVERAGEIFS(2025Schedule!O:O,2025Schedule!E:E,J15,2025Schedule!N:N,B15),0)</f>
        <v/>
      </c>
      <c r="P15" s="156">
        <f>IFERROR(VLOOKUP(H15,Matrix!A:D,2,0)-VLOOKUP(J15,Matrix!A:D,2,0),"")</f>
        <v/>
      </c>
      <c r="Q15" s="156">
        <f>IFERROR(VLOOKUP(H15,Matrix!A:AC,15,0)-VLOOKUP(J15,Matrix!A:AC,15,0),"")</f>
        <v/>
      </c>
      <c r="R15" s="156">
        <f>IFERROR(VLOOKUP(H15,Matrix!A:AC,16,0)-VLOOKUP(J15,Matrix!A:AC,16,0),"")</f>
        <v/>
      </c>
      <c r="S15" s="195">
        <f>H15</f>
        <v/>
      </c>
      <c r="T15" s="195">
        <f>IFERROR(VLOOKUP(G15&amp;H15,2025Schedule!A:F,6,0),"")</f>
        <v/>
      </c>
      <c r="U15" s="264">
        <f>J15</f>
        <v/>
      </c>
      <c r="V15" s="195">
        <f>IFERROR(VLOOKUP(G15&amp;J15,2025Schedule!A:F,6,0),"")</f>
        <v/>
      </c>
    </row>
    <row r="16" ht="14.4" customHeight="1" s="152">
      <c r="A16" s="241">
        <f>H16&amp;I16</f>
        <v/>
      </c>
      <c r="B16" s="241">
        <f>J16&amp;C16</f>
        <v/>
      </c>
      <c r="C16" s="241">
        <f>IFERROR(IF(I16="Home","Away",IF(I16="Away","Home","")),"")</f>
        <v/>
      </c>
      <c r="D16" s="242">
        <f>H16</f>
        <v/>
      </c>
      <c r="E16" s="157">
        <f>IFERROR(IF(AND(F16&gt;0,T16&gt;V16),"Yes",IF(AND(F16&gt;0,T16&lt;V16),"No",IF(AND(F16&lt;0,T16&lt;V16),"Yes",IF(AND(F16&lt;0,T16&gt;V16),"No",0)))),"")</f>
        <v/>
      </c>
      <c r="F16" s="263">
        <f>IFERROR((N16/MAX(N:N)*_MOVw)+(O16/MAX(O:O)*_WINw)+(P16/MAX(P:P)*_PPGw)+(Q16/MAX(Q:Q)*_ORw)+(R16/MAX(R:R)*_DRw),"")</f>
        <v/>
      </c>
      <c r="G16" s="204">
        <f>2025Schedule!$L$1</f>
        <v/>
      </c>
      <c r="H16" s="204">
        <f>VLOOKUP(G16,2025Schedule!B12:$E$272,4,0)</f>
        <v/>
      </c>
      <c r="I16" s="204" t="inlineStr">
        <is>
          <t>Away</t>
        </is>
      </c>
      <c r="J16" s="204">
        <f>VLOOKUP(G16,2025Schedule!B12:$H$272,7,0)</f>
        <v/>
      </c>
      <c r="K16" s="204" t="inlineStr">
        <is>
          <t>Mon</t>
        </is>
      </c>
      <c r="L16" s="204" t="n">
        <v>45656</v>
      </c>
      <c r="M16" s="204" t="n">
        <v>0.84375</v>
      </c>
      <c r="O16" s="182">
        <f>IFERROR(AVERAGEIFS(2025Schedule!O:O,2025Schedule!E:E,H16,2025Schedule!N:N,A16)-AVERAGEIFS(2025Schedule!O:O,2025Schedule!E:E,J16,2025Schedule!N:N,B16),0)</f>
        <v/>
      </c>
      <c r="P16" s="156">
        <f>IFERROR(VLOOKUP(H16,Matrix!A:D,2,0)-VLOOKUP(J16,Matrix!A:D,2,0),"")</f>
        <v/>
      </c>
      <c r="Q16" s="156">
        <f>IFERROR(VLOOKUP(H16,Matrix!A:AC,15,0)-VLOOKUP(J16,Matrix!A:AC,15,0),"")</f>
        <v/>
      </c>
      <c r="R16" s="156">
        <f>IFERROR(VLOOKUP(H16,Matrix!A:AC,16,0)-VLOOKUP(J16,Matrix!A:AC,16,0),"")</f>
        <v/>
      </c>
      <c r="S16" s="195">
        <f>H16</f>
        <v/>
      </c>
      <c r="T16" s="195">
        <f>IFERROR(VLOOKUP(G16&amp;H16,2025Schedule!A:F,6,0),"")</f>
        <v/>
      </c>
      <c r="U16" s="264">
        <f>J16</f>
        <v/>
      </c>
      <c r="V16" s="195">
        <f>IFERROR(VLOOKUP(G16&amp;J16,2025Schedule!A:F,6,0),"")</f>
        <v/>
      </c>
    </row>
    <row r="17" ht="14.4" customHeight="1" s="152">
      <c r="A17" s="241">
        <f>H17&amp;I17</f>
        <v/>
      </c>
      <c r="B17" s="241">
        <f>J17&amp;C17</f>
        <v/>
      </c>
      <c r="C17" s="241">
        <f>IFERROR(IF(I17="Home","Away",IF(I17="Away","Home","")),"")</f>
        <v/>
      </c>
      <c r="D17" s="242">
        <f>H17</f>
        <v/>
      </c>
      <c r="E17" s="157">
        <f>IFERROR(IF(AND(F17&gt;0,T17&gt;V17),"Yes",IF(AND(F17&gt;0,T17&lt;V17),"No",IF(AND(F17&lt;0,T17&lt;V17),"Yes",IF(AND(F17&lt;0,T17&gt;V17),"No",0)))),"")</f>
        <v/>
      </c>
      <c r="F17" s="263">
        <f>IFERROR((N17/MAX(N:N)*_MOVw)+(O17/MAX(O:O)*_WINw)+(P17/MAX(P:P)*_PPGw)+(Q17/MAX(Q:Q)*_ORw)+(R17/MAX(R:R)*_DRw),"")</f>
        <v/>
      </c>
      <c r="G17" s="204">
        <f>2025Schedule!$L$1</f>
        <v/>
      </c>
      <c r="H17" s="204">
        <f>VLOOKUP(G17,2025Schedule!B13:$E$272,4,0)</f>
        <v/>
      </c>
      <c r="I17" s="204" t="inlineStr">
        <is>
          <t>Away</t>
        </is>
      </c>
      <c r="J17" s="204">
        <f>VLOOKUP(G17,2025Schedule!B13:$H$272,7,0)</f>
        <v/>
      </c>
      <c r="K17" s="204" t="inlineStr">
        <is>
          <t>Sun</t>
        </is>
      </c>
      <c r="L17" s="204" t="n">
        <v>45655</v>
      </c>
      <c r="M17" s="204" t="n">
        <v>0.541666666666667</v>
      </c>
      <c r="O17" s="182">
        <f>IFERROR(AVERAGEIFS(2025Schedule!O:O,2025Schedule!E:E,H17,2025Schedule!N:N,A17)-AVERAGEIFS(2025Schedule!O:O,2025Schedule!E:E,J17,2025Schedule!N:N,B17),0)</f>
        <v/>
      </c>
      <c r="P17" s="156">
        <f>IFERROR(VLOOKUP(H17,Matrix!A:D,2,0)-VLOOKUP(J17,Matrix!A:D,2,0),"")</f>
        <v/>
      </c>
      <c r="Q17" s="156">
        <f>IFERROR(VLOOKUP(H17,Matrix!A:AC,15,0)-VLOOKUP(J17,Matrix!A:AC,15,0),"")</f>
        <v/>
      </c>
      <c r="R17" s="156">
        <f>IFERROR(VLOOKUP(H17,Matrix!A:AC,16,0)-VLOOKUP(J17,Matrix!A:AC,16,0),"")</f>
        <v/>
      </c>
      <c r="S17" s="195">
        <f>H17</f>
        <v/>
      </c>
      <c r="T17" s="195">
        <f>IFERROR(VLOOKUP(G17&amp;H17,2025Schedule!A:F,6,0),"")</f>
        <v/>
      </c>
      <c r="U17" s="264">
        <f>J17</f>
        <v/>
      </c>
      <c r="V17" s="195">
        <f>IFERROR(VLOOKUP(G17&amp;J17,2025Schedule!A:F,6,0),"")</f>
        <v/>
      </c>
    </row>
    <row r="18" ht="14.4" customHeight="1" s="152">
      <c r="A18" s="241">
        <f>H18&amp;I18</f>
        <v/>
      </c>
      <c r="B18" s="241">
        <f>J18&amp;C18</f>
        <v/>
      </c>
      <c r="C18" s="241">
        <f>IFERROR(IF(I18="Home","Away",IF(I18="Away","Home","")),"")</f>
        <v/>
      </c>
      <c r="D18" s="242">
        <f>H18</f>
        <v/>
      </c>
      <c r="E18" s="157">
        <f>IFERROR(IF(AND(F18&gt;0,T18&gt;V18),"Yes",IF(AND(F18&gt;0,T18&lt;V18),"No",IF(AND(F18&lt;0,T18&lt;V18),"Yes",IF(AND(F18&lt;0,T18&gt;V18),"No",0)))),"")</f>
        <v/>
      </c>
      <c r="F18" s="263">
        <f>IFERROR((N18/MAX(N:N)*_MOVw)+(O18/MAX(O:O)*_WINw)+(P18/MAX(P:P)*_PPGw)+(Q18/MAX(Q:Q)*_ORw)+(R18/MAX(R:R)*_DRw),"")</f>
        <v/>
      </c>
      <c r="G18" s="204">
        <f>2025Schedule!$L$1</f>
        <v/>
      </c>
      <c r="H18" s="204">
        <f>VLOOKUP(G18,2025Schedule!B14:$E$272,4,0)</f>
        <v/>
      </c>
      <c r="I18" s="204" t="inlineStr">
        <is>
          <t>Away</t>
        </is>
      </c>
      <c r="J18" s="204">
        <f>VLOOKUP(G18,2025Schedule!B14:$H$272,7,0)</f>
        <v/>
      </c>
      <c r="K18" s="204" t="inlineStr">
        <is>
          <t>Wed</t>
        </is>
      </c>
      <c r="L18" s="204" t="n">
        <v>45651</v>
      </c>
      <c r="M18" s="204" t="n">
        <v>0.6875</v>
      </c>
      <c r="O18" s="182">
        <f>IFERROR(AVERAGEIFS(2025Schedule!O:O,2025Schedule!E:E,H18,2025Schedule!N:N,A18)-AVERAGEIFS(2025Schedule!O:O,2025Schedule!E:E,J18,2025Schedule!N:N,B18),0)</f>
        <v/>
      </c>
      <c r="P18" s="156">
        <f>IFERROR(VLOOKUP(H18,Matrix!A:D,2,0)-VLOOKUP(J18,Matrix!A:D,2,0),"")</f>
        <v/>
      </c>
      <c r="Q18" s="156">
        <f>IFERROR(VLOOKUP(H18,Matrix!A:AC,15,0)-VLOOKUP(J18,Matrix!A:AC,15,0),"")</f>
        <v/>
      </c>
      <c r="R18" s="156">
        <f>IFERROR(VLOOKUP(H18,Matrix!A:AC,16,0)-VLOOKUP(J18,Matrix!A:AC,16,0),"")</f>
        <v/>
      </c>
      <c r="S18" s="195">
        <f>H18</f>
        <v/>
      </c>
      <c r="T18" s="195">
        <f>IFERROR(VLOOKUP(G18&amp;H18,2025Schedule!A:F,6,0),"")</f>
        <v/>
      </c>
      <c r="U18" s="264">
        <f>J18</f>
        <v/>
      </c>
      <c r="V18" s="195">
        <f>IFERROR(VLOOKUP(G18&amp;J18,2025Schedule!A:F,6,0),"")</f>
        <v/>
      </c>
    </row>
    <row r="19" ht="14.4" customHeight="1" s="152">
      <c r="A19" s="241">
        <f>H19&amp;I19</f>
        <v/>
      </c>
      <c r="B19" s="241">
        <f>J19&amp;C19</f>
        <v/>
      </c>
      <c r="C19" s="241">
        <f>IFERROR(IF(I19="Home","Away",IF(I19="Away","Home","")),"")</f>
        <v/>
      </c>
      <c r="D19" s="242">
        <f>H19</f>
        <v/>
      </c>
      <c r="E19" s="157">
        <f>IFERROR(IF(AND(F19&gt;0,T19&gt;V19),"Yes",IF(AND(F19&gt;0,T19&lt;V19),"No",IF(AND(F19&lt;0,T19&lt;V19),"Yes",IF(AND(F19&lt;0,T19&gt;V19),"No",0)))),"")</f>
        <v/>
      </c>
      <c r="F19" s="263">
        <f>IFERROR((N19/MAX(N:N)*_MOVw)+(O19/MAX(O:O)*_WINw)+(P19/MAX(P:P)*_PPGw)+(Q19/MAX(Q:Q)*_ORw)+(R19/MAX(R:R)*_DRw),"")</f>
        <v/>
      </c>
      <c r="G19" s="204">
        <f>2025Schedule!$L$1</f>
        <v/>
      </c>
      <c r="H19" s="204">
        <f>VLOOKUP(G19,2025Schedule!B15:$E$272,4,0)</f>
        <v/>
      </c>
      <c r="I19" s="204" t="inlineStr">
        <is>
          <t>Away</t>
        </is>
      </c>
      <c r="J19" s="204">
        <f>VLOOKUP(G19,2025Schedule!B15:$H$272,7,0)</f>
        <v/>
      </c>
      <c r="K19" s="204" t="inlineStr">
        <is>
          <t>Sun</t>
        </is>
      </c>
      <c r="L19" s="204" t="n">
        <v>45655</v>
      </c>
      <c r="M19" s="204" t="n">
        <v>0.541666666666667</v>
      </c>
      <c r="O19" s="182">
        <f>IFERROR(AVERAGEIFS(2025Schedule!O:O,2025Schedule!E:E,H19,2025Schedule!N:N,A19)-AVERAGEIFS(2025Schedule!O:O,2025Schedule!E:E,J19,2025Schedule!N:N,B19),0)</f>
        <v/>
      </c>
      <c r="P19" s="156">
        <f>IFERROR(VLOOKUP(H19,Matrix!A:D,2,0)-VLOOKUP(J19,Matrix!A:D,2,0),"")</f>
        <v/>
      </c>
      <c r="Q19" s="156">
        <f>IFERROR(VLOOKUP(H19,Matrix!A:AC,15,0)-VLOOKUP(J19,Matrix!A:AC,15,0),"")</f>
        <v/>
      </c>
      <c r="R19" s="156">
        <f>IFERROR(VLOOKUP(H19,Matrix!A:AC,16,0)-VLOOKUP(J19,Matrix!A:AC,16,0),"")</f>
        <v/>
      </c>
      <c r="S19" s="195">
        <f>H19</f>
        <v/>
      </c>
      <c r="T19" s="195">
        <f>IFERROR(VLOOKUP(G19&amp;H19,2025Schedule!A:F,6,0),"")</f>
        <v/>
      </c>
      <c r="U19" s="264">
        <f>J19</f>
        <v/>
      </c>
      <c r="V19" s="195">
        <f>IFERROR(VLOOKUP(G19&amp;J19,2025Schedule!A:F,6,0),"")</f>
        <v/>
      </c>
    </row>
    <row r="20" ht="14.4" customHeight="1" s="152">
      <c r="A20" s="241">
        <f>H20&amp;I20</f>
        <v/>
      </c>
      <c r="B20" s="241">
        <f>J20&amp;C20</f>
        <v/>
      </c>
      <c r="C20" s="241">
        <f>IFERROR(IF(I20="Home","Away",IF(I20="Away","Home","")),"")</f>
        <v/>
      </c>
      <c r="D20" s="242">
        <f>H20</f>
        <v/>
      </c>
      <c r="E20" s="157">
        <f>IFERROR(IF(AND(F20&gt;0,T20&gt;V20),"Yes",IF(AND(F20&gt;0,T20&lt;V20),"No",IF(AND(F20&lt;0,T20&lt;V20),"Yes",IF(AND(F20&lt;0,T20&gt;V20),"No",0)))),"")</f>
        <v/>
      </c>
      <c r="F20" s="263">
        <f>IFERROR((N20/MAX(N:N)*_MOVw)+(O20/MAX(O:O)*_WINw)+(P20/MAX(P:P)*_PPGw)+(Q20/MAX(Q:Q)*_ORw)+(R20/MAX(R:R)*_DRw),"")</f>
        <v/>
      </c>
      <c r="G20" s="204">
        <f>2025Schedule!$L$1</f>
        <v/>
      </c>
      <c r="H20" s="204">
        <f>VLOOKUP(G20,2025Schedule!B16:$E$272,4,0)</f>
        <v/>
      </c>
      <c r="I20" s="204" t="inlineStr">
        <is>
          <t>Away</t>
        </is>
      </c>
      <c r="J20" s="204">
        <f>VLOOKUP(G20,2025Schedule!B16:$H$272,7,0)</f>
        <v/>
      </c>
      <c r="K20" s="204" t="inlineStr">
        <is>
          <t>Sun</t>
        </is>
      </c>
      <c r="L20" s="204" t="n">
        <v>45655</v>
      </c>
      <c r="M20" s="204" t="n">
        <v>0.541666666666667</v>
      </c>
      <c r="O20" s="182">
        <f>IFERROR(AVERAGEIFS(2025Schedule!O:O,2025Schedule!E:E,H20,2025Schedule!N:N,A20)-AVERAGEIFS(2025Schedule!O:O,2025Schedule!E:E,J20,2025Schedule!N:N,B20),0)</f>
        <v/>
      </c>
      <c r="P20" s="156">
        <f>IFERROR(VLOOKUP(H20,Matrix!A:D,2,0)-VLOOKUP(J20,Matrix!A:D,2,0),"")</f>
        <v/>
      </c>
      <c r="Q20" s="156">
        <f>IFERROR(VLOOKUP(H20,Matrix!A:AC,15,0)-VLOOKUP(J20,Matrix!A:AC,15,0),"")</f>
        <v/>
      </c>
      <c r="R20" s="156">
        <f>IFERROR(VLOOKUP(H20,Matrix!A:AC,16,0)-VLOOKUP(J20,Matrix!A:AC,16,0),"")</f>
        <v/>
      </c>
      <c r="S20" s="195">
        <f>H20</f>
        <v/>
      </c>
      <c r="T20" s="195">
        <f>IFERROR(VLOOKUP(G20&amp;H20,2025Schedule!A:F,6,0),"")</f>
        <v/>
      </c>
      <c r="U20" s="264">
        <f>J20</f>
        <v/>
      </c>
      <c r="V20" s="195">
        <f>IFERROR(VLOOKUP(G20&amp;J20,2025Schedule!A:F,6,0),"")</f>
        <v/>
      </c>
    </row>
    <row r="21" ht="14.4" customHeight="1" s="152">
      <c r="A21" s="241">
        <f>H21&amp;I21</f>
        <v/>
      </c>
      <c r="B21" s="241">
        <f>J21&amp;C21</f>
        <v/>
      </c>
      <c r="C21" s="241">
        <f>IFERROR(IF(I21="Home","Away",IF(I21="Away","Home","")),"")</f>
        <v/>
      </c>
      <c r="D21" s="242">
        <f>H21</f>
        <v/>
      </c>
      <c r="E21" s="157">
        <f>IFERROR(IF(AND(F21&gt;0,T21&gt;V21),"Yes",IF(AND(F21&gt;0,T21&lt;V21),"No",IF(AND(F21&lt;0,T21&lt;V21),"Yes",IF(AND(F21&lt;0,T21&gt;V21),"No",0)))),"")</f>
        <v/>
      </c>
      <c r="F21" s="263">
        <f>IFERROR((N21/MAX(N:N)*_MOVw)+(O21/MAX(O:O)*_WINw)+(P21/MAX(P:P)*_PPGw)+(Q21/MAX(Q:Q)*_ORw)+(R21/MAX(R:R)*_DRw),"")</f>
        <v/>
      </c>
      <c r="G21" s="204">
        <f>2025Schedule!$L$1</f>
        <v/>
      </c>
      <c r="H21" s="204">
        <f>VLOOKUP(G21,2025Schedule!B17:$E$272,4,0)</f>
        <v/>
      </c>
      <c r="I21" s="204" t="inlineStr">
        <is>
          <t>Away</t>
        </is>
      </c>
      <c r="J21" s="204">
        <f>VLOOKUP(G21,2025Schedule!B17:$H$272,7,0)</f>
        <v/>
      </c>
      <c r="K21" s="204" t="inlineStr">
        <is>
          <t>Wed</t>
        </is>
      </c>
      <c r="L21" s="204" t="n">
        <v>45651</v>
      </c>
      <c r="M21" s="204" t="n">
        <v>0.541666666666667</v>
      </c>
      <c r="O21" s="182">
        <f>IFERROR(AVERAGEIFS(2025Schedule!O:O,2025Schedule!E:E,H21,2025Schedule!N:N,A21)-AVERAGEIFS(2025Schedule!O:O,2025Schedule!E:E,J21,2025Schedule!N:N,B21),0)</f>
        <v/>
      </c>
      <c r="P21" s="156">
        <f>IFERROR(VLOOKUP(H21,Matrix!A:D,2,0)-VLOOKUP(J21,Matrix!A:D,2,0),"")</f>
        <v/>
      </c>
      <c r="Q21" s="156">
        <f>IFERROR(VLOOKUP(H21,Matrix!A:AC,15,0)-VLOOKUP(J21,Matrix!A:AC,15,0),"")</f>
        <v/>
      </c>
      <c r="R21" s="156">
        <f>IFERROR(VLOOKUP(H21,Matrix!A:AC,16,0)-VLOOKUP(J21,Matrix!A:AC,16,0),"")</f>
        <v/>
      </c>
      <c r="S21" s="195">
        <f>H21</f>
        <v/>
      </c>
      <c r="T21" s="195">
        <f>IFERROR(VLOOKUP(G21&amp;H21,2025Schedule!A:F,6,0),"")</f>
        <v/>
      </c>
      <c r="U21" s="264">
        <f>J21</f>
        <v/>
      </c>
      <c r="V21" s="195">
        <f>IFERROR(VLOOKUP(G21&amp;J21,2025Schedule!A:F,6,0),"")</f>
        <v/>
      </c>
    </row>
    <row r="22" ht="14.4" customHeight="1" s="152">
      <c r="A22" s="241">
        <f>H22&amp;I22</f>
        <v/>
      </c>
      <c r="B22" s="241">
        <f>J22&amp;C22</f>
        <v/>
      </c>
      <c r="C22" s="241">
        <f>IFERROR(IF(I22="Home","Away",IF(I22="Away","Home","")),"")</f>
        <v/>
      </c>
      <c r="D22" s="242">
        <f>H22</f>
        <v/>
      </c>
      <c r="E22" s="157">
        <f>IFERROR(IF(AND(F22&gt;0,T22&gt;V22),"Yes",IF(AND(F22&gt;0,T22&lt;V22),"No",IF(AND(F22&lt;0,T22&lt;V22),"Yes",IF(AND(F22&lt;0,T22&gt;V22),"No",0)))),"")</f>
        <v/>
      </c>
      <c r="F22" s="263">
        <f>IFERROR((N22/MAX(N:N)*_MOVw)+(O22/MAX(O:O)*_WINw)+(P22/MAX(P:P)*_PPGw)+(Q22/MAX(Q:Q)*_ORw)+(R22/MAX(R:R)*_DRw),"")</f>
        <v/>
      </c>
      <c r="G22" s="204">
        <f>2025Schedule!$L$1</f>
        <v/>
      </c>
      <c r="H22" s="204">
        <f>VLOOKUP(G22,2025Schedule!B18:$E$272,4,0)</f>
        <v/>
      </c>
      <c r="I22" s="204" t="inlineStr">
        <is>
          <t>Away</t>
        </is>
      </c>
      <c r="J22" s="204">
        <f>VLOOKUP(G22,2025Schedule!B18:$H$272,7,0)</f>
        <v/>
      </c>
      <c r="K22" s="204" t="inlineStr">
        <is>
          <t>Sun</t>
        </is>
      </c>
      <c r="L22" s="204" t="n">
        <v>45655</v>
      </c>
      <c r="M22" s="204" t="n">
        <v>0.847222222222222</v>
      </c>
      <c r="O22" s="182">
        <f>IFERROR(AVERAGEIFS(2025Schedule!O:O,2025Schedule!E:E,H22,2025Schedule!N:N,A22)-AVERAGEIFS(2025Schedule!O:O,2025Schedule!E:E,J22,2025Schedule!N:N,B22),0)</f>
        <v/>
      </c>
      <c r="P22" s="156">
        <f>IFERROR(VLOOKUP(H22,Matrix!A:D,2,0)-VLOOKUP(J22,Matrix!A:D,2,0),"")</f>
        <v/>
      </c>
      <c r="Q22" s="156">
        <f>IFERROR(VLOOKUP(H22,Matrix!A:AC,15,0)-VLOOKUP(J22,Matrix!A:AC,15,0),"")</f>
        <v/>
      </c>
      <c r="R22" s="156">
        <f>IFERROR(VLOOKUP(H22,Matrix!A:AC,16,0)-VLOOKUP(J22,Matrix!A:AC,16,0),"")</f>
        <v/>
      </c>
      <c r="S22" s="195">
        <f>H22</f>
        <v/>
      </c>
      <c r="T22" s="195">
        <f>IFERROR(VLOOKUP(G22&amp;H22,2025Schedule!A:F,6,0),"")</f>
        <v/>
      </c>
      <c r="U22" s="264">
        <f>J22</f>
        <v/>
      </c>
      <c r="V22" s="195">
        <f>IFERROR(VLOOKUP(G22&amp;J22,2025Schedule!A:F,6,0),"")</f>
        <v/>
      </c>
    </row>
    <row r="23" ht="14.4" customHeight="1" s="152">
      <c r="A23" s="241">
        <f>H23&amp;I23</f>
        <v/>
      </c>
      <c r="B23" s="241">
        <f>J23&amp;C23</f>
        <v/>
      </c>
      <c r="C23" s="241">
        <f>IFERROR(IF(I23="Home","Away",IF(I23="Away","Home","")),"")</f>
        <v/>
      </c>
      <c r="D23" s="242">
        <f>H23</f>
        <v/>
      </c>
      <c r="E23" s="157">
        <f>IFERROR(IF(AND(F23&gt;0,T23&gt;V23),"Yes",IF(AND(F23&gt;0,T23&lt;V23),"No",IF(AND(F23&lt;0,T23&lt;V23),"Yes",IF(AND(F23&lt;0,T23&gt;V23),"No",0)))),"")</f>
        <v/>
      </c>
      <c r="F23" s="263">
        <f>IFERROR((N23/MAX(N:N)*_MOVw)+(O23/MAX(O:O)*_WINw)+(P23/MAX(P:P)*_PPGw)+(Q23/MAX(Q:Q)*_ORw)+(R23/MAX(R:R)*_DRw),"")</f>
        <v/>
      </c>
      <c r="G23" s="204">
        <f>2025Schedule!$L$1</f>
        <v/>
      </c>
      <c r="H23" s="204">
        <f>VLOOKUP(G23,2025Schedule!B19:$E$272,4,0)</f>
        <v/>
      </c>
      <c r="I23" s="204" t="inlineStr">
        <is>
          <t>Away</t>
        </is>
      </c>
      <c r="J23" s="204">
        <f>VLOOKUP(G23,2025Schedule!B19:$H$272,7,0)</f>
        <v/>
      </c>
      <c r="K23" s="204" t="inlineStr">
        <is>
          <t>Sun</t>
        </is>
      </c>
      <c r="L23" s="204" t="n">
        <v>45655</v>
      </c>
      <c r="M23" s="204" t="n">
        <v>0.541666666666667</v>
      </c>
      <c r="O23" s="182">
        <f>IFERROR(AVERAGEIFS(2025Schedule!O:O,2025Schedule!E:E,H23,2025Schedule!N:N,A23)-AVERAGEIFS(2025Schedule!O:O,2025Schedule!E:E,J23,2025Schedule!N:N,B23),0)</f>
        <v/>
      </c>
      <c r="P23" s="156">
        <f>IFERROR(VLOOKUP(H23,Matrix!A:D,2,0)-VLOOKUP(J23,Matrix!A:D,2,0),"")</f>
        <v/>
      </c>
      <c r="Q23" s="156">
        <f>IFERROR(VLOOKUP(H23,Matrix!A:AC,15,0)-VLOOKUP(J23,Matrix!A:AC,15,0),"")</f>
        <v/>
      </c>
      <c r="R23" s="156">
        <f>IFERROR(VLOOKUP(H23,Matrix!A:AC,16,0)-VLOOKUP(J23,Matrix!A:AC,16,0),"")</f>
        <v/>
      </c>
      <c r="S23" s="195">
        <f>H23</f>
        <v/>
      </c>
      <c r="T23" s="195">
        <f>IFERROR(VLOOKUP(G23&amp;H23,2025Schedule!A:F,6,0),"")</f>
        <v/>
      </c>
      <c r="U23" s="264">
        <f>J23</f>
        <v/>
      </c>
      <c r="V23" s="195">
        <f>IFERROR(VLOOKUP(G23&amp;J23,2025Schedule!A:F,6,0),"")</f>
        <v/>
      </c>
    </row>
    <row r="24" ht="14.4" customHeight="1" s="152">
      <c r="A24" s="241">
        <f>H24&amp;I24</f>
        <v/>
      </c>
      <c r="B24" s="241">
        <f>J24&amp;C24</f>
        <v/>
      </c>
      <c r="C24" s="241">
        <f>IFERROR(IF(I24="Home","Away",IF(I24="Away","Home","")),"")</f>
        <v/>
      </c>
      <c r="D24" s="242">
        <f>H24</f>
        <v/>
      </c>
      <c r="E24" s="157">
        <f>IFERROR(IF(AND(F24&gt;0,T24&gt;V24),"Yes",IF(AND(F24&gt;0,T24&lt;V24),"No",IF(AND(F24&lt;0,T24&lt;V24),"Yes",IF(AND(F24&lt;0,T24&gt;V24),"No",0)))),"")</f>
        <v/>
      </c>
      <c r="F24" s="263">
        <f>IFERROR((N24/MAX(N:N)*_MOVw)+(O24/MAX(O:O)*_WINw)+(P24/MAX(P:P)*_PPGw)+(Q24/MAX(Q:Q)*_ORw)+(R24/MAX(R:R)*_DRw),"")</f>
        <v/>
      </c>
      <c r="G24" s="204">
        <f>2025Schedule!$L$1</f>
        <v/>
      </c>
      <c r="H24" s="204">
        <f>VLOOKUP(G24,2025Schedule!B20:$E$272,4,0)</f>
        <v/>
      </c>
      <c r="I24" s="204" t="inlineStr">
        <is>
          <t>Away</t>
        </is>
      </c>
      <c r="J24" s="204">
        <f>VLOOKUP(G24,2025Schedule!B20:$H$272,7,0)</f>
        <v/>
      </c>
      <c r="K24" s="204" t="inlineStr">
        <is>
          <t>Sun</t>
        </is>
      </c>
      <c r="L24" s="204" t="n">
        <v>45655</v>
      </c>
      <c r="M24" s="204" t="n">
        <v>0.541666666666667</v>
      </c>
      <c r="O24" s="182">
        <f>IFERROR(AVERAGEIFS(2025Schedule!O:O,2025Schedule!E:E,H24,2025Schedule!N:N,A24)-AVERAGEIFS(2025Schedule!O:O,2025Schedule!E:E,J24,2025Schedule!N:N,B24),0)</f>
        <v/>
      </c>
      <c r="P24" s="156">
        <f>IFERROR(VLOOKUP(H24,Matrix!A:D,2,0)-VLOOKUP(J24,Matrix!A:D,2,0),"")</f>
        <v/>
      </c>
      <c r="Q24" s="156">
        <f>IFERROR(VLOOKUP(H24,Matrix!A:AC,15,0)-VLOOKUP(J24,Matrix!A:AC,15,0),"")</f>
        <v/>
      </c>
      <c r="R24" s="156">
        <f>IFERROR(VLOOKUP(H24,Matrix!A:AC,16,0)-VLOOKUP(J24,Matrix!A:AC,16,0),"")</f>
        <v/>
      </c>
      <c r="S24" s="195">
        <f>H24</f>
        <v/>
      </c>
      <c r="T24" s="195">
        <f>IFERROR(VLOOKUP(G24&amp;H24,2025Schedule!A:F,6,0),"")</f>
        <v/>
      </c>
      <c r="U24" s="264">
        <f>J24</f>
        <v/>
      </c>
      <c r="V24" s="195">
        <f>IFERROR(VLOOKUP(G24&amp;J24,2025Schedule!A:F,6,0),"")</f>
        <v/>
      </c>
    </row>
    <row r="25" ht="14.4" customHeight="1" s="152">
      <c r="A25" s="241">
        <f>H25&amp;I25</f>
        <v/>
      </c>
      <c r="B25" s="241">
        <f>J25&amp;C25</f>
        <v/>
      </c>
      <c r="C25" s="241">
        <f>IFERROR(IF(I25="Home","Away",IF(I25="Away","Home","")),"")</f>
        <v/>
      </c>
      <c r="D25" s="242">
        <f>H25</f>
        <v/>
      </c>
      <c r="E25" s="157">
        <f>IFERROR(IF(AND(F25&gt;0,T25&gt;V25),"Yes",IF(AND(F25&gt;0,T25&lt;V25),"No",IF(AND(F25&lt;0,T25&lt;V25),"Yes",IF(AND(F25&lt;0,T25&gt;V25),"No",0)))),"")</f>
        <v/>
      </c>
      <c r="F25" s="263">
        <f>IFERROR((N25/MAX(N:N)*_MOVw)+(O25/MAX(O:O)*_WINw)+(P25/MAX(P:P)*_PPGw)+(Q25/MAX(Q:Q)*_ORw)+(R25/MAX(R:R)*_DRw),"")</f>
        <v/>
      </c>
      <c r="G25" s="204">
        <f>2025Schedule!$L$1</f>
        <v/>
      </c>
      <c r="H25" s="204">
        <f>VLOOKUP(G25,2025Schedule!B21:$E$272,4,0)</f>
        <v/>
      </c>
      <c r="I25" s="204" t="inlineStr">
        <is>
          <t>Away</t>
        </is>
      </c>
      <c r="J25" s="204">
        <f>VLOOKUP(G25,2025Schedule!B21:$H$272,7,0)</f>
        <v/>
      </c>
      <c r="K25" s="204" t="inlineStr">
        <is>
          <t>Sun</t>
        </is>
      </c>
      <c r="L25" s="204" t="n">
        <v>45655</v>
      </c>
      <c r="M25" s="204" t="n">
        <v>0.541666666666667</v>
      </c>
      <c r="O25" s="182">
        <f>IFERROR(AVERAGEIFS(2025Schedule!O:O,2025Schedule!E:E,H25,2025Schedule!N:N,A25)-AVERAGEIFS(2025Schedule!O:O,2025Schedule!E:E,J25,2025Schedule!N:N,B25),0)</f>
        <v/>
      </c>
      <c r="P25" s="156">
        <f>IFERROR(VLOOKUP(H25,Matrix!A:D,2,0)-VLOOKUP(J25,Matrix!A:D,2,0),"")</f>
        <v/>
      </c>
      <c r="Q25" s="156">
        <f>IFERROR(VLOOKUP(H25,Matrix!A:AC,15,0)-VLOOKUP(J25,Matrix!A:AC,15,0),"")</f>
        <v/>
      </c>
      <c r="R25" s="156">
        <f>IFERROR(VLOOKUP(H25,Matrix!A:AC,16,0)-VLOOKUP(J25,Matrix!A:AC,16,0),"")</f>
        <v/>
      </c>
      <c r="S25" s="195">
        <f>H25</f>
        <v/>
      </c>
      <c r="T25" s="195">
        <f>IFERROR(VLOOKUP(G25&amp;H25,2025Schedule!A:F,6,0),"")</f>
        <v/>
      </c>
      <c r="U25" s="264">
        <f>J25</f>
        <v/>
      </c>
      <c r="V25" s="195">
        <f>IFERROR(VLOOKUP(G25&amp;J25,2025Schedule!A:F,6,0),"")</f>
        <v/>
      </c>
    </row>
    <row r="26" ht="14.4" customHeight="1" s="152">
      <c r="A26" s="241">
        <f>H26&amp;I26</f>
        <v/>
      </c>
      <c r="B26" s="241">
        <f>J26&amp;C26</f>
        <v/>
      </c>
      <c r="C26" s="241">
        <f>IFERROR(IF(I26="Home","Away",IF(I26="Away","Home","")),"")</f>
        <v/>
      </c>
      <c r="D26" s="242">
        <f>H26</f>
        <v/>
      </c>
      <c r="E26" s="157">
        <f>IFERROR(IF(AND(F26&gt;0,T26&gt;V26),"Yes",IF(AND(F26&gt;0,T26&lt;V26),"No",IF(AND(F26&lt;0,T26&lt;V26),"Yes",IF(AND(F26&lt;0,T26&gt;V26),"No",0)))),"")</f>
        <v/>
      </c>
      <c r="F26" s="263">
        <f>IFERROR((N26/MAX(N:N)*_MOVw)+(O26/MAX(O:O)*_WINw)+(P26/MAX(P:P)*_PPGw)+(Q26/MAX(Q:Q)*_ORw)+(R26/MAX(R:R)*_DRw),"")</f>
        <v/>
      </c>
      <c r="G26" s="204">
        <f>2025Schedule!$L$1</f>
        <v/>
      </c>
      <c r="H26" s="204">
        <f>VLOOKUP(G26,2025Schedule!B22:$E$272,4,0)</f>
        <v/>
      </c>
      <c r="I26" s="204" t="inlineStr">
        <is>
          <t>Away</t>
        </is>
      </c>
      <c r="J26" s="204">
        <f>VLOOKUP(G26,2025Schedule!B22:$H$272,7,0)</f>
        <v/>
      </c>
      <c r="K26" s="204" t="inlineStr">
        <is>
          <t>Sun</t>
        </is>
      </c>
      <c r="L26" s="204" t="n">
        <v>45655</v>
      </c>
      <c r="M26" s="204" t="n">
        <v>0.541666666666667</v>
      </c>
      <c r="O26" s="182">
        <f>IFERROR(AVERAGEIFS(2025Schedule!O:O,2025Schedule!E:E,H26,2025Schedule!N:N,A26)-AVERAGEIFS(2025Schedule!O:O,2025Schedule!E:E,J26,2025Schedule!N:N,B26),0)</f>
        <v/>
      </c>
      <c r="P26" s="156">
        <f>IFERROR(VLOOKUP(H26,Matrix!A:D,2,0)-VLOOKUP(J26,Matrix!A:D,2,0),"")</f>
        <v/>
      </c>
      <c r="Q26" s="156">
        <f>IFERROR(VLOOKUP(H26,Matrix!A:AC,15,0)-VLOOKUP(J26,Matrix!A:AC,15,0),"")</f>
        <v/>
      </c>
      <c r="R26" s="156">
        <f>IFERROR(VLOOKUP(H26,Matrix!A:AC,16,0)-VLOOKUP(J26,Matrix!A:AC,16,0),"")</f>
        <v/>
      </c>
      <c r="S26" s="195">
        <f>H26</f>
        <v/>
      </c>
      <c r="T26" s="195">
        <f>IFERROR(VLOOKUP(G26&amp;H26,2025Schedule!A:F,6,0),"")</f>
        <v/>
      </c>
      <c r="U26" s="264">
        <f>J26</f>
        <v/>
      </c>
      <c r="V26" s="195">
        <f>IFERROR(VLOOKUP(G26&amp;J26,2025Schedule!A:F,6,0),"")</f>
        <v/>
      </c>
    </row>
    <row r="27" ht="14.4" customHeight="1" s="152">
      <c r="A27" s="241">
        <f>H27&amp;I27</f>
        <v/>
      </c>
      <c r="B27" s="241">
        <f>J27&amp;C27</f>
        <v/>
      </c>
      <c r="C27" s="241">
        <f>IFERROR(IF(I27="Home","Away",IF(I27="Away","Home","")),"")</f>
        <v/>
      </c>
      <c r="D27" s="242">
        <f>H27</f>
        <v/>
      </c>
      <c r="E27" s="157">
        <f>IFERROR(IF(AND(F27&gt;0,T27&gt;V27),"Yes",IF(AND(F27&gt;0,T27&lt;V27),"No",IF(AND(F27&lt;0,T27&lt;V27),"Yes",IF(AND(F27&lt;0,T27&gt;V27),"No",0)))),"")</f>
        <v/>
      </c>
      <c r="F27" s="263">
        <f>IFERROR((N27/MAX(N:N)*_MOVw)+(O27/MAX(O:O)*_WINw)+(P27/MAX(P:P)*_PPGw)+(Q27/MAX(Q:Q)*_ORw)+(R27/MAX(R:R)*_DRw),"")</f>
        <v/>
      </c>
      <c r="G27" s="204">
        <f>2025Schedule!$L$1</f>
        <v/>
      </c>
      <c r="H27" s="204">
        <f>VLOOKUP(G27,2025Schedule!B23:$E$272,4,0)</f>
        <v/>
      </c>
      <c r="I27" s="204" t="inlineStr">
        <is>
          <t>Away</t>
        </is>
      </c>
      <c r="J27" s="204">
        <f>VLOOKUP(G27,2025Schedule!B23:$H$272,7,0)</f>
        <v/>
      </c>
      <c r="K27" s="204" t="inlineStr">
        <is>
          <t>Sun</t>
        </is>
      </c>
      <c r="L27" s="204" t="n">
        <v>45655</v>
      </c>
      <c r="M27" s="204" t="n">
        <v>0.541666666666667</v>
      </c>
      <c r="O27" s="182">
        <f>IFERROR(AVERAGEIFS(2025Schedule!O:O,2025Schedule!E:E,H27,2025Schedule!N:N,A27)-AVERAGEIFS(2025Schedule!O:O,2025Schedule!E:E,J27,2025Schedule!N:N,B27),0)</f>
        <v/>
      </c>
      <c r="P27" s="156">
        <f>IFERROR(VLOOKUP(H27,Matrix!A:D,2,0)-VLOOKUP(J27,Matrix!A:D,2,0),"")</f>
        <v/>
      </c>
      <c r="Q27" s="156">
        <f>IFERROR(VLOOKUP(H27,Matrix!A:AC,15,0)-VLOOKUP(J27,Matrix!A:AC,15,0),"")</f>
        <v/>
      </c>
      <c r="R27" s="156">
        <f>IFERROR(VLOOKUP(H27,Matrix!A:AC,16,0)-VLOOKUP(J27,Matrix!A:AC,16,0),"")</f>
        <v/>
      </c>
      <c r="S27" s="195">
        <f>H27</f>
        <v/>
      </c>
      <c r="T27" s="195">
        <f>IFERROR(VLOOKUP(G27&amp;H27,2025Schedule!A:F,6,0),"")</f>
        <v/>
      </c>
      <c r="U27" s="264">
        <f>J27</f>
        <v/>
      </c>
      <c r="V27" s="195">
        <f>IFERROR(VLOOKUP(G27&amp;J27,2025Schedule!A:F,6,0),"")</f>
        <v/>
      </c>
    </row>
    <row r="28" ht="14.4" customHeight="1" s="152">
      <c r="A28" s="241">
        <f>H28&amp;I28</f>
        <v/>
      </c>
      <c r="B28" s="241">
        <f>J28&amp;C28</f>
        <v/>
      </c>
      <c r="C28" s="241">
        <f>IFERROR(IF(I28="Home","Away",IF(I28="Away","Home","")),"")</f>
        <v/>
      </c>
      <c r="D28" s="242">
        <f>H28</f>
        <v/>
      </c>
      <c r="E28" s="157">
        <f>IFERROR(IF(AND(F28&gt;0,T28&gt;V28),"Yes",IF(AND(F28&gt;0,T28&lt;V28),"No",IF(AND(F28&lt;0,T28&lt;V28),"Yes",IF(AND(F28&lt;0,T28&gt;V28),"No",0)))),"")</f>
        <v/>
      </c>
      <c r="F28" s="263">
        <f>IFERROR((N28/MAX(N:N)*_MOVw)+(O28/MAX(O:O)*_WINw)+(P28/MAX(P:P)*_PPGw)+(Q28/MAX(Q:Q)*_ORw)+(R28/MAX(R:R)*_DRw),"")</f>
        <v/>
      </c>
      <c r="G28" s="204">
        <f>2025Schedule!$L$1</f>
        <v/>
      </c>
      <c r="H28" s="204">
        <f>VLOOKUP(G28,2025Schedule!B24:$E$272,4,0)</f>
        <v/>
      </c>
      <c r="I28" s="204" t="inlineStr">
        <is>
          <t>Away</t>
        </is>
      </c>
      <c r="J28" s="204">
        <f>VLOOKUP(G28,2025Schedule!B24:$H$272,7,0)</f>
        <v/>
      </c>
      <c r="K28" s="204" t="inlineStr">
        <is>
          <t>Sun</t>
        </is>
      </c>
      <c r="L28" s="204" t="n">
        <v>45655</v>
      </c>
      <c r="M28" s="204" t="n">
        <v>0.684027777777778</v>
      </c>
      <c r="O28" s="182">
        <f>IFERROR(AVERAGEIFS(2025Schedule!O:O,2025Schedule!E:E,H28,2025Schedule!N:N,A28)-AVERAGEIFS(2025Schedule!O:O,2025Schedule!E:E,J28,2025Schedule!N:N,B28),0)</f>
        <v/>
      </c>
      <c r="P28" s="156">
        <f>IFERROR(VLOOKUP(H28,Matrix!A:D,2,0)-VLOOKUP(J28,Matrix!A:D,2,0),"")</f>
        <v/>
      </c>
      <c r="Q28" s="156">
        <f>IFERROR(VLOOKUP(H28,Matrix!A:AC,15,0)-VLOOKUP(J28,Matrix!A:AC,15,0),"")</f>
        <v/>
      </c>
      <c r="R28" s="156">
        <f>IFERROR(VLOOKUP(H28,Matrix!A:AC,16,0)-VLOOKUP(J28,Matrix!A:AC,16,0),"")</f>
        <v/>
      </c>
      <c r="S28" s="195">
        <f>H28</f>
        <v/>
      </c>
      <c r="T28" s="195">
        <f>IFERROR(VLOOKUP(G28&amp;H28,2025Schedule!A:F,6,0),"")</f>
        <v/>
      </c>
      <c r="U28" s="264">
        <f>J28</f>
        <v/>
      </c>
      <c r="V28" s="195">
        <f>IFERROR(VLOOKUP(G28&amp;J28,2025Schedule!A:F,6,0),"")</f>
        <v/>
      </c>
    </row>
    <row r="29" ht="14.4" customHeight="1" s="152">
      <c r="A29" s="241">
        <f>H29&amp;I29</f>
        <v/>
      </c>
      <c r="B29" s="241">
        <f>J29&amp;C29</f>
        <v/>
      </c>
      <c r="C29" s="241">
        <f>IFERROR(IF(I29="Home","Away",IF(I29="Away","Home","")),"")</f>
        <v/>
      </c>
      <c r="D29" s="242">
        <f>H29</f>
        <v/>
      </c>
      <c r="E29" s="157">
        <f>IFERROR(IF(AND(F29&gt;0,T29&gt;V29),"Yes",IF(AND(F29&gt;0,T29&lt;V29),"No",IF(AND(F29&lt;0,T29&lt;V29),"Yes",IF(AND(F29&lt;0,T29&gt;V29),"No",0)))),"")</f>
        <v/>
      </c>
      <c r="F29" s="263">
        <f>IFERROR((N29/MAX(N:N)*_MOVw)+(O29/MAX(O:O)*_WINw)+(P29/MAX(P:P)*_PPGw)+(Q29/MAX(Q:Q)*_ORw)+(R29/MAX(R:R)*_DRw),"")</f>
        <v/>
      </c>
      <c r="G29" s="204">
        <f>2025Schedule!$L$1</f>
        <v/>
      </c>
      <c r="H29" s="204">
        <f>VLOOKUP(G29,2025Schedule!B25:$E$272,4,0)</f>
        <v/>
      </c>
      <c r="I29" s="204" t="inlineStr">
        <is>
          <t>Away</t>
        </is>
      </c>
      <c r="J29" s="204">
        <f>VLOOKUP(G29,2025Schedule!B25:$H$272,7,0)</f>
        <v/>
      </c>
      <c r="K29" s="204" t="inlineStr">
        <is>
          <t>Wed</t>
        </is>
      </c>
      <c r="L29" s="204" t="n">
        <v>45651</v>
      </c>
      <c r="M29" s="204" t="n">
        <v>0.541666666666667</v>
      </c>
      <c r="O29" s="182">
        <f>IFERROR(AVERAGEIFS(2025Schedule!O:O,2025Schedule!E:E,H29,2025Schedule!N:N,A29)-AVERAGEIFS(2025Schedule!O:O,2025Schedule!E:E,J29,2025Schedule!N:N,B29),0)</f>
        <v/>
      </c>
      <c r="P29" s="156">
        <f>IFERROR(VLOOKUP(H29,Matrix!A:D,2,0)-VLOOKUP(J29,Matrix!A:D,2,0),"")</f>
        <v/>
      </c>
      <c r="Q29" s="156">
        <f>IFERROR(VLOOKUP(H29,Matrix!A:AC,15,0)-VLOOKUP(J29,Matrix!A:AC,15,0),"")</f>
        <v/>
      </c>
      <c r="R29" s="156">
        <f>IFERROR(VLOOKUP(H29,Matrix!A:AC,16,0)-VLOOKUP(J29,Matrix!A:AC,16,0),"")</f>
        <v/>
      </c>
      <c r="S29" s="195">
        <f>H29</f>
        <v/>
      </c>
      <c r="T29" s="195">
        <f>IFERROR(VLOOKUP(G29&amp;H29,2025Schedule!A:F,6,0),"")</f>
        <v/>
      </c>
      <c r="U29" s="264">
        <f>J29</f>
        <v/>
      </c>
      <c r="V29" s="195">
        <f>IFERROR(VLOOKUP(G29&amp;J29,2025Schedule!A:F,6,0),"")</f>
        <v/>
      </c>
    </row>
    <row r="30" ht="14.4" customHeight="1" s="152">
      <c r="A30" s="241">
        <f>H30&amp;I30</f>
        <v/>
      </c>
      <c r="B30" s="241">
        <f>J30&amp;C30</f>
        <v/>
      </c>
      <c r="C30" s="241">
        <f>IFERROR(IF(I30="Home","Away",IF(I30="Away","Home","")),"")</f>
        <v/>
      </c>
      <c r="D30" s="242">
        <f>H30</f>
        <v/>
      </c>
      <c r="E30" s="157">
        <f>IFERROR(IF(AND(F30&gt;0,T30&gt;V30),"Yes",IF(AND(F30&gt;0,T30&lt;V30),"No",IF(AND(F30&lt;0,T30&lt;V30),"Yes",IF(AND(F30&lt;0,T30&gt;V30),"No",0)))),"")</f>
        <v/>
      </c>
      <c r="F30" s="263">
        <f>IFERROR((N30/MAX(N:N)*_MOVw)+(O30/MAX(O:O)*_WINw)+(P30/MAX(P:P)*_PPGw)+(Q30/MAX(Q:Q)*_ORw)+(R30/MAX(R:R)*_DRw),"")</f>
        <v/>
      </c>
      <c r="G30" s="204">
        <f>2025Schedule!$L$1</f>
        <v/>
      </c>
      <c r="H30" s="204">
        <f>VLOOKUP(G30,2025Schedule!B26:$E$272,4,0)</f>
        <v/>
      </c>
      <c r="I30" s="204" t="inlineStr">
        <is>
          <t>Away</t>
        </is>
      </c>
      <c r="J30" s="204">
        <f>VLOOKUP(G30,2025Schedule!B26:$H$272,7,0)</f>
        <v/>
      </c>
      <c r="K30" s="204" t="inlineStr">
        <is>
          <t>Mon</t>
        </is>
      </c>
      <c r="L30" s="204" t="n">
        <v>45656</v>
      </c>
      <c r="M30" s="204" t="n">
        <v>0.84375</v>
      </c>
      <c r="O30" s="182">
        <f>IFERROR(AVERAGEIFS(2025Schedule!O:O,2025Schedule!E:E,H30,2025Schedule!N:N,A30)-AVERAGEIFS(2025Schedule!O:O,2025Schedule!E:E,J30,2025Schedule!N:N,B30),0)</f>
        <v/>
      </c>
      <c r="P30" s="156">
        <f>IFERROR(VLOOKUP(H30,Matrix!A:D,2,0)-VLOOKUP(J30,Matrix!A:D,2,0),"")</f>
        <v/>
      </c>
      <c r="Q30" s="156">
        <f>IFERROR(VLOOKUP(H30,Matrix!A:AC,15,0)-VLOOKUP(J30,Matrix!A:AC,15,0),"")</f>
        <v/>
      </c>
      <c r="R30" s="156">
        <f>IFERROR(VLOOKUP(H30,Matrix!A:AC,16,0)-VLOOKUP(J30,Matrix!A:AC,16,0),"")</f>
        <v/>
      </c>
      <c r="S30" s="195">
        <f>H30</f>
        <v/>
      </c>
      <c r="T30" s="195">
        <f>IFERROR(VLOOKUP(G30&amp;H30,2025Schedule!A:F,6,0),"")</f>
        <v/>
      </c>
      <c r="U30" s="264">
        <f>J30</f>
        <v/>
      </c>
      <c r="V30" s="195">
        <f>IFERROR(VLOOKUP(G30&amp;J30,2025Schedule!A:F,6,0),"")</f>
        <v/>
      </c>
    </row>
    <row r="31" ht="14.4" customHeight="1" s="152">
      <c r="A31" s="241">
        <f>H31&amp;I31</f>
        <v/>
      </c>
      <c r="B31" s="241">
        <f>J31&amp;C31</f>
        <v/>
      </c>
      <c r="C31" s="241">
        <f>IFERROR(IF(I31="Home","Away",IF(I31="Away","Home","")),"")</f>
        <v/>
      </c>
      <c r="D31" s="242">
        <f>H31</f>
        <v/>
      </c>
      <c r="E31" s="157">
        <f>IFERROR(IF(AND(F31&gt;0,T31&gt;V31),"Yes",IF(AND(F31&gt;0,T31&lt;V31),"No",IF(AND(F31&lt;0,T31&lt;V31),"Yes",IF(AND(F31&lt;0,T31&gt;V31),"No",0)))),"")</f>
        <v/>
      </c>
      <c r="F31" s="263">
        <f>IFERROR((N31/MAX(N:N)*_MOVw)+(O31/MAX(O:O)*_WINw)+(P31/MAX(P:P)*_PPGw)+(Q31/MAX(Q:Q)*_ORw)+(R31/MAX(R:R)*_DRw),"")</f>
        <v/>
      </c>
      <c r="G31" s="204">
        <f>2025Schedule!$L$1</f>
        <v/>
      </c>
      <c r="H31" s="204">
        <f>VLOOKUP(G31,2025Schedule!B27:$E$272,4,0)</f>
        <v/>
      </c>
      <c r="I31" s="204" t="inlineStr">
        <is>
          <t>Away</t>
        </is>
      </c>
      <c r="J31" s="204">
        <f>VLOOKUP(G31,2025Schedule!B27:$H$272,7,0)</f>
        <v/>
      </c>
      <c r="K31" s="204" t="inlineStr">
        <is>
          <t>Thu</t>
        </is>
      </c>
      <c r="L31" s="204" t="n">
        <v>45652</v>
      </c>
      <c r="M31" s="204" t="n">
        <v>0.84375</v>
      </c>
      <c r="O31" s="182">
        <f>IFERROR(AVERAGEIFS(2025Schedule!O:O,2025Schedule!E:E,H31,2025Schedule!N:N,A31)-AVERAGEIFS(2025Schedule!O:O,2025Schedule!E:E,J31,2025Schedule!N:N,B31),0)</f>
        <v/>
      </c>
      <c r="P31" s="156">
        <f>IFERROR(VLOOKUP(H31,Matrix!A:D,2,0)-VLOOKUP(J31,Matrix!A:D,2,0),"")</f>
        <v/>
      </c>
      <c r="Q31" s="156">
        <f>IFERROR(VLOOKUP(H31,Matrix!A:AC,15,0)-VLOOKUP(J31,Matrix!A:AC,15,0),"")</f>
        <v/>
      </c>
      <c r="R31" s="156">
        <f>IFERROR(VLOOKUP(H31,Matrix!A:AC,16,0)-VLOOKUP(J31,Matrix!A:AC,16,0),"")</f>
        <v/>
      </c>
      <c r="S31" s="195">
        <f>H31</f>
        <v/>
      </c>
      <c r="T31" s="195">
        <f>IFERROR(VLOOKUP(G31&amp;H31,2025Schedule!A:F,6,0),"")</f>
        <v/>
      </c>
      <c r="U31" s="264">
        <f>J31</f>
        <v/>
      </c>
      <c r="V31" s="195">
        <f>IFERROR(VLOOKUP(G31&amp;J31,2025Schedule!A:F,6,0),"")</f>
        <v/>
      </c>
    </row>
    <row r="32" ht="14.4" customHeight="1" s="152">
      <c r="A32" s="241">
        <f>H32&amp;I32</f>
        <v/>
      </c>
      <c r="B32" s="241">
        <f>J32&amp;C32</f>
        <v/>
      </c>
      <c r="C32" s="241">
        <f>IFERROR(IF(I32="Home","Away",IF(I32="Away","Home","")),"")</f>
        <v/>
      </c>
      <c r="D32" s="242">
        <f>H32</f>
        <v/>
      </c>
      <c r="E32" s="157">
        <f>IFERROR(IF(AND(F32&gt;0,T32&gt;V32),"Yes",IF(AND(F32&gt;0,T32&lt;V32),"No",IF(AND(F32&lt;0,T32&lt;V32),"Yes",IF(AND(F32&lt;0,T32&gt;V32),"No",0)))),"")</f>
        <v/>
      </c>
      <c r="F32" s="263">
        <f>IFERROR((N32/MAX(N:N)*_MOVw)+(O32/MAX(O:O)*_WINw)+(P32/MAX(P:P)*_PPGw)+(Q32/MAX(Q:Q)*_ORw)+(R32/MAX(R:R)*_DRw),"")</f>
        <v/>
      </c>
      <c r="G32" s="204">
        <f>2025Schedule!$L$1</f>
        <v/>
      </c>
      <c r="H32" s="204">
        <f>VLOOKUP(G32,2025Schedule!B28:$E$272,4,0)</f>
        <v/>
      </c>
      <c r="I32" s="204" t="inlineStr">
        <is>
          <t>Away</t>
        </is>
      </c>
      <c r="J32" s="204">
        <f>VLOOKUP(G32,2025Schedule!B28:$H$272,7,0)</f>
        <v/>
      </c>
      <c r="K32" s="204" t="inlineStr">
        <is>
          <t>Sun</t>
        </is>
      </c>
      <c r="L32" s="204" t="n">
        <v>45655</v>
      </c>
      <c r="M32" s="204" t="n">
        <v>0.541666666666667</v>
      </c>
      <c r="O32" s="182">
        <f>IFERROR(AVERAGEIFS(2025Schedule!O:O,2025Schedule!E:E,H32,2025Schedule!N:N,A32)-AVERAGEIFS(2025Schedule!O:O,2025Schedule!E:E,J32,2025Schedule!N:N,B32),0)</f>
        <v/>
      </c>
      <c r="P32" s="156">
        <f>IFERROR(VLOOKUP(H32,Matrix!A:D,2,0)-VLOOKUP(J32,Matrix!A:D,2,0),"")</f>
        <v/>
      </c>
      <c r="Q32" s="156">
        <f>IFERROR(VLOOKUP(H32,Matrix!A:AC,15,0)-VLOOKUP(J32,Matrix!A:AC,15,0),"")</f>
        <v/>
      </c>
      <c r="R32" s="156">
        <f>IFERROR(VLOOKUP(H32,Matrix!A:AC,16,0)-VLOOKUP(J32,Matrix!A:AC,16,0),"")</f>
        <v/>
      </c>
      <c r="S32" s="195">
        <f>H32</f>
        <v/>
      </c>
      <c r="T32" s="195">
        <f>IFERROR(VLOOKUP(G32&amp;H32,2025Schedule!A:F,6,0),"")</f>
        <v/>
      </c>
      <c r="U32" s="264">
        <f>J32</f>
        <v/>
      </c>
      <c r="V32" s="195">
        <f>IFERROR(VLOOKUP(G32&amp;J32,2025Schedule!A:F,6,0),"")</f>
        <v/>
      </c>
    </row>
    <row r="33" ht="14.4" customHeight="1" s="152">
      <c r="A33" s="241">
        <f>H33&amp;I33</f>
        <v/>
      </c>
      <c r="B33" s="241">
        <f>J33&amp;C33</f>
        <v/>
      </c>
      <c r="C33" s="241">
        <f>IFERROR(IF(I33="Home","Away",IF(I33="Away","Home","")),"")</f>
        <v/>
      </c>
      <c r="D33" s="242">
        <f>H33</f>
        <v/>
      </c>
      <c r="E33" s="157">
        <f>IFERROR(IF(AND(F33&gt;0,T33&gt;V33),"Yes",IF(AND(F33&gt;0,T33&lt;V33),"No",IF(AND(F33&lt;0,T33&lt;V33),"Yes",IF(AND(F33&lt;0,T33&gt;V33),"No",0)))),"")</f>
        <v/>
      </c>
      <c r="F33" s="263">
        <f>IFERROR((N33/MAX(N:N)*_MOVw)+(O33/MAX(O:O)*_WINw)+(P33/MAX(P:P)*_PPGw)+(Q33/MAX(Q:Q)*_ORw)+(R33/MAX(R:R)*_DRw),"")</f>
        <v/>
      </c>
      <c r="G33" s="204">
        <f>2025Schedule!$L$1</f>
        <v/>
      </c>
      <c r="H33" s="204">
        <f>VLOOKUP(G33,2025Schedule!B29:$E$272,4,0)</f>
        <v/>
      </c>
      <c r="I33" s="204" t="inlineStr">
        <is>
          <t>Away</t>
        </is>
      </c>
      <c r="J33" s="204">
        <f>VLOOKUP(G33,2025Schedule!B29:$H$272,7,0)</f>
        <v/>
      </c>
      <c r="K33" s="204" t="inlineStr">
        <is>
          <t>Sun</t>
        </is>
      </c>
      <c r="L33" s="204" t="n">
        <v>45655</v>
      </c>
      <c r="M33" s="204" t="n">
        <v>0.541666666666667</v>
      </c>
      <c r="O33" s="182">
        <f>IFERROR(AVERAGEIFS(2025Schedule!O:O,2025Schedule!E:E,H33,2025Schedule!N:N,A33)-AVERAGEIFS(2025Schedule!O:O,2025Schedule!E:E,J33,2025Schedule!N:N,B33),0)</f>
        <v/>
      </c>
      <c r="P33" s="156">
        <f>IFERROR(VLOOKUP(H33,Matrix!A:D,2,0)-VLOOKUP(J33,Matrix!A:D,2,0),"")</f>
        <v/>
      </c>
      <c r="Q33" s="156">
        <f>IFERROR(VLOOKUP(H33,Matrix!A:AC,15,0)-VLOOKUP(J33,Matrix!A:AC,15,0),"")</f>
        <v/>
      </c>
      <c r="R33" s="156">
        <f>IFERROR(VLOOKUP(H33,Matrix!A:AC,16,0)-VLOOKUP(J33,Matrix!A:AC,16,0),"")</f>
        <v/>
      </c>
      <c r="S33" s="195">
        <f>H33</f>
        <v/>
      </c>
      <c r="T33" s="195">
        <f>IFERROR(VLOOKUP(G33&amp;H33,2025Schedule!A:F,6,0),"")</f>
        <v/>
      </c>
      <c r="U33" s="264">
        <f>J33</f>
        <v/>
      </c>
      <c r="V33" s="195">
        <f>IFERROR(VLOOKUP(G33&amp;J33,2025Schedule!A:F,6,0),"")</f>
        <v/>
      </c>
    </row>
    <row r="34" ht="14.4" customHeight="1" s="152">
      <c r="A34" s="241">
        <f>H34&amp;I34</f>
        <v/>
      </c>
      <c r="B34" s="241">
        <f>J34&amp;C34</f>
        <v/>
      </c>
      <c r="C34" s="241">
        <f>IFERROR(IF(I34="Home","Away",IF(I34="Away","Home","")),"")</f>
        <v/>
      </c>
      <c r="D34" s="242">
        <f>H34</f>
        <v/>
      </c>
      <c r="E34" s="157">
        <f>IFERROR(IF(AND(F34&gt;0,T34&gt;V34),"Yes",IF(AND(F34&gt;0,T34&lt;V34),"No",IF(AND(F34&lt;0,T34&lt;V34),"Yes",IF(AND(F34&lt;0,T34&gt;V34),"No",0)))),"")</f>
        <v/>
      </c>
      <c r="F34" s="263">
        <f>IFERROR((N34/MAX(N:N)*_MOVw)+(O34/MAX(O:O)*_WINw)+(P34/MAX(P:P)*_PPGw)+(Q34/MAX(Q:Q)*_ORw)+(R34/MAX(R:R)*_DRw),"")</f>
        <v/>
      </c>
      <c r="G34" s="204">
        <f>2025Schedule!$L$1</f>
        <v/>
      </c>
      <c r="H34" s="204">
        <f>VLOOKUP(G34,2025Schedule!B30:$E$272,4,0)</f>
        <v/>
      </c>
      <c r="I34" s="204" t="inlineStr">
        <is>
          <t>Away</t>
        </is>
      </c>
      <c r="J34" s="204">
        <f>VLOOKUP(G34,2025Schedule!B30:$H$272,7,0)</f>
        <v/>
      </c>
      <c r="K34" s="204" t="inlineStr">
        <is>
          <t>Sun</t>
        </is>
      </c>
      <c r="L34" s="204" t="n">
        <v>45655</v>
      </c>
      <c r="M34" s="204" t="n">
        <v>0.541666666666667</v>
      </c>
      <c r="O34" s="182">
        <f>IFERROR(AVERAGEIFS(2025Schedule!O:O,2025Schedule!E:E,H34,2025Schedule!N:N,A34)-AVERAGEIFS(2025Schedule!O:O,2025Schedule!E:E,J34,2025Schedule!N:N,B34),0)</f>
        <v/>
      </c>
      <c r="P34" s="156">
        <f>IFERROR(VLOOKUP(H34,Matrix!A:D,2,0)-VLOOKUP(J34,Matrix!A:D,2,0),"")</f>
        <v/>
      </c>
      <c r="Q34" s="156">
        <f>IFERROR(VLOOKUP(H34,Matrix!A:AC,15,0)-VLOOKUP(J34,Matrix!A:AC,15,0),"")</f>
        <v/>
      </c>
      <c r="R34" s="156">
        <f>IFERROR(VLOOKUP(H34,Matrix!A:AC,16,0)-VLOOKUP(J34,Matrix!A:AC,16,0),"")</f>
        <v/>
      </c>
      <c r="S34" s="195">
        <f>H34</f>
        <v/>
      </c>
      <c r="T34" s="195">
        <f>IFERROR(VLOOKUP(G34&amp;H34,2025Schedule!A:F,6,0),"")</f>
        <v/>
      </c>
      <c r="U34" s="264">
        <f>J34</f>
        <v/>
      </c>
      <c r="V34" s="195">
        <f>IFERROR(VLOOKUP(G34&amp;J34,2025Schedule!A:F,6,0),"")</f>
        <v/>
      </c>
    </row>
    <row r="35" ht="14.4" customHeight="1" s="152">
      <c r="A35" s="241">
        <f>H35&amp;I35</f>
        <v/>
      </c>
      <c r="B35" s="241">
        <f>J35&amp;C35</f>
        <v/>
      </c>
      <c r="C35" s="241">
        <f>IFERROR(IF(I35="Home","Away",IF(I35="Away","Home","")),"")</f>
        <v/>
      </c>
      <c r="D35" s="242">
        <f>H35</f>
        <v/>
      </c>
      <c r="E35" s="157">
        <f>IFERROR(IF(AND(F35&gt;0,T35&gt;V35),"Yes",IF(AND(F35&gt;0,T35&lt;V35),"No",IF(AND(F35&lt;0,T35&lt;V35),"Yes",IF(AND(F35&lt;0,T35&gt;V35),"No",0)))),"")</f>
        <v/>
      </c>
      <c r="F35" s="263">
        <f>IFERROR((N35/MAX(N:N)*_MOVw)+(O35/MAX(O:O)*_WINw)+(P35/MAX(P:P)*_PPGw)+(Q35/MAX(Q:Q)*_ORw)+(R35/MAX(R:R)*_DRw),"")</f>
        <v/>
      </c>
      <c r="G35" s="204">
        <f>2025Schedule!$L$1</f>
        <v/>
      </c>
      <c r="H35" s="204">
        <f>VLOOKUP(G35,2025Schedule!B31:$E$272,4,0)</f>
        <v/>
      </c>
      <c r="I35" s="204" t="inlineStr">
        <is>
          <t>Away</t>
        </is>
      </c>
      <c r="J35" s="204">
        <f>VLOOKUP(G35,2025Schedule!B31:$H$272,7,0)</f>
        <v/>
      </c>
      <c r="K35" s="204" t="inlineStr">
        <is>
          <t>Sun</t>
        </is>
      </c>
      <c r="L35" s="204" t="n">
        <v>45655</v>
      </c>
      <c r="M35" s="204" t="n">
        <v>0.541666666666667</v>
      </c>
      <c r="O35" s="182">
        <f>IFERROR(AVERAGEIFS(2025Schedule!O:O,2025Schedule!E:E,H35,2025Schedule!N:N,A35)-AVERAGEIFS(2025Schedule!O:O,2025Schedule!E:E,J35,2025Schedule!N:N,B35),0)</f>
        <v/>
      </c>
      <c r="P35" s="156">
        <f>IFERROR(VLOOKUP(H35,Matrix!A:D,2,0)-VLOOKUP(J35,Matrix!A:D,2,0),"")</f>
        <v/>
      </c>
      <c r="Q35" s="156">
        <f>IFERROR(VLOOKUP(H35,Matrix!A:AC,15,0)-VLOOKUP(J35,Matrix!A:AC,15,0),"")</f>
        <v/>
      </c>
      <c r="R35" s="156">
        <f>IFERROR(VLOOKUP(H35,Matrix!A:AC,16,0)-VLOOKUP(J35,Matrix!A:AC,16,0),"")</f>
        <v/>
      </c>
      <c r="S35" s="195">
        <f>H35</f>
        <v/>
      </c>
      <c r="T35" s="195">
        <f>IFERROR(VLOOKUP(G35&amp;H35,2025Schedule!A:F,6,0),"")</f>
        <v/>
      </c>
      <c r="U35" s="264">
        <f>J35</f>
        <v/>
      </c>
      <c r="V35" s="195">
        <f>IFERROR(VLOOKUP(G35&amp;J35,2025Schedule!A:F,6,0),"")</f>
        <v/>
      </c>
    </row>
    <row r="36" ht="14.4" customHeight="1" s="152">
      <c r="A36" s="241">
        <f>H36&amp;I36</f>
        <v/>
      </c>
      <c r="B36" s="241">
        <f>J36&amp;C36</f>
        <v/>
      </c>
      <c r="C36" s="241">
        <f>IFERROR(IF(I36="Home","Away",IF(I36="Away","Home","")),"")</f>
        <v/>
      </c>
      <c r="D36" s="242">
        <f>H36</f>
        <v/>
      </c>
      <c r="E36" s="157">
        <f>IFERROR(IF(AND(F36&gt;0,T36&gt;V36),"Yes",IF(AND(F36&gt;0,T36&lt;V36),"No",IF(AND(F36&lt;0,T36&lt;V36),"Yes",IF(AND(F36&lt;0,T36&gt;V36),"No",0)))),"")</f>
        <v/>
      </c>
      <c r="F36" s="263">
        <f>IFERROR((N36/MAX(N:N)*_MOVw)+(O36/MAX(O:O)*_WINw)+(P36/MAX(P:P)*_PPGw)+(Q36/MAX(Q:Q)*_ORw)+(R36/MAX(R:R)*_DRw),"")</f>
        <v/>
      </c>
      <c r="G36" s="204">
        <f>2025Schedule!$L$1</f>
        <v/>
      </c>
      <c r="H36" s="204">
        <f>VLOOKUP(G36,2025Schedule!B32:$E$272,4,0)</f>
        <v/>
      </c>
      <c r="I36" s="204" t="inlineStr">
        <is>
          <t>Away</t>
        </is>
      </c>
      <c r="J36" s="204">
        <f>VLOOKUP(G36,2025Schedule!B32:$H$272,7,0)</f>
        <v/>
      </c>
      <c r="K36" s="204" t="inlineStr">
        <is>
          <t>Sun</t>
        </is>
      </c>
      <c r="L36" s="204" t="n">
        <v>45655</v>
      </c>
      <c r="M36" s="204" t="n">
        <v>0.541666666666667</v>
      </c>
      <c r="O36" s="182">
        <f>IFERROR(AVERAGEIFS(2025Schedule!O:O,2025Schedule!E:E,H36,2025Schedule!N:N,A36)-AVERAGEIFS(2025Schedule!O:O,2025Schedule!E:E,J36,2025Schedule!N:N,B36),0)</f>
        <v/>
      </c>
      <c r="P36" s="156">
        <f>IFERROR(VLOOKUP(H36,Matrix!A:D,2,0)-VLOOKUP(J36,Matrix!A:D,2,0),"")</f>
        <v/>
      </c>
      <c r="Q36" s="156">
        <f>IFERROR(VLOOKUP(H36,Matrix!A:AC,15,0)-VLOOKUP(J36,Matrix!A:AC,15,0),"")</f>
        <v/>
      </c>
      <c r="R36" s="156">
        <f>IFERROR(VLOOKUP(H36,Matrix!A:AC,16,0)-VLOOKUP(J36,Matrix!A:AC,16,0),"")</f>
        <v/>
      </c>
      <c r="S36" s="195">
        <f>H36</f>
        <v/>
      </c>
      <c r="T36" s="195">
        <f>IFERROR(VLOOKUP(G36&amp;H36,2025Schedule!A:F,6,0),"")</f>
        <v/>
      </c>
      <c r="U36" s="264">
        <f>J36</f>
        <v/>
      </c>
      <c r="V36" s="195">
        <f>IFERROR(VLOOKUP(G36&amp;J36,2025Schedule!A:F,6,0),"")</f>
        <v/>
      </c>
    </row>
    <row r="37" ht="14.4" customHeight="1" s="152">
      <c r="A37" s="241">
        <f>H37&amp;I37</f>
        <v/>
      </c>
      <c r="B37" s="241">
        <f>J37&amp;C37</f>
        <v/>
      </c>
      <c r="C37" s="241">
        <f>IFERROR(IF(I37="Home","Away",IF(I37="Away","Home","")),"")</f>
        <v/>
      </c>
      <c r="D37" s="242">
        <f>H37</f>
        <v/>
      </c>
      <c r="E37" s="157">
        <f>IFERROR(IF(AND(F37&gt;0,T37&gt;V37),"Yes",IF(AND(F37&gt;0,T37&lt;V37),"No",IF(AND(F37&lt;0,T37&lt;V37),"Yes",IF(AND(F37&lt;0,T37&gt;V37),"No",0)))),"")</f>
        <v/>
      </c>
      <c r="F37" s="263">
        <f>IFERROR((N37/MAX(N:N)*_MOVw)+(O37/MAX(O:O)*_WINw)+(P37/MAX(P:P)*_PPGw)+(Q37/MAX(Q:Q)*_ORw)+(R37/MAX(R:R)*_DRw),"")</f>
        <v/>
      </c>
      <c r="G37" s="204">
        <f>2025Schedule!$L$1</f>
        <v/>
      </c>
      <c r="H37" s="204">
        <f>VLOOKUP(G37,2025Schedule!B33:$E$272,4,0)</f>
        <v/>
      </c>
      <c r="I37" s="204" t="inlineStr">
        <is>
          <t>Away</t>
        </is>
      </c>
      <c r="J37" s="204">
        <f>VLOOKUP(G37,2025Schedule!B33:$H$272,7,0)</f>
        <v/>
      </c>
      <c r="K37" s="204" t="inlineStr">
        <is>
          <t>Sun</t>
        </is>
      </c>
      <c r="L37" s="204" t="n">
        <v>45655</v>
      </c>
      <c r="M37" s="204" t="n">
        <v>0.541666666666667</v>
      </c>
      <c r="O37" s="182">
        <f>IFERROR(AVERAGEIFS(2025Schedule!O:O,2025Schedule!E:E,H37,2025Schedule!N:N,A37)-AVERAGEIFS(2025Schedule!O:O,2025Schedule!E:E,J37,2025Schedule!N:N,B37),0)</f>
        <v/>
      </c>
      <c r="P37" s="156">
        <f>IFERROR(VLOOKUP(H37,Matrix!A:D,2,0)-VLOOKUP(J37,Matrix!A:D,2,0),"")</f>
        <v/>
      </c>
      <c r="Q37" s="156">
        <f>IFERROR(VLOOKUP(H37,Matrix!A:AC,15,0)-VLOOKUP(J37,Matrix!A:AC,15,0),"")</f>
        <v/>
      </c>
      <c r="R37" s="156">
        <f>IFERROR(VLOOKUP(H37,Matrix!A:AC,16,0)-VLOOKUP(J37,Matrix!A:AC,16,0),"")</f>
        <v/>
      </c>
      <c r="S37" s="195">
        <f>H37</f>
        <v/>
      </c>
      <c r="T37" s="195">
        <f>IFERROR(VLOOKUP(G37&amp;H37,2025Schedule!A:F,6,0),"")</f>
        <v/>
      </c>
      <c r="U37" s="264">
        <f>J37</f>
        <v/>
      </c>
      <c r="V37" s="195">
        <f>IFERROR(VLOOKUP(G37&amp;J37,2025Schedule!A:F,6,0),"")</f>
        <v/>
      </c>
    </row>
    <row r="38" ht="14.4" customHeight="1" s="152">
      <c r="A38" s="241">
        <f>H38&amp;I38</f>
        <v/>
      </c>
      <c r="B38" s="241">
        <f>J38&amp;C38</f>
        <v/>
      </c>
      <c r="C38" s="241">
        <f>IFERROR(IF(I38="Home","Away",IF(I38="Away","Home","")),"")</f>
        <v/>
      </c>
      <c r="D38" s="242">
        <f>H38</f>
        <v/>
      </c>
      <c r="E38" s="157">
        <f>IFERROR(IF(AND(F38&gt;0,T38&gt;V38),"Yes",IF(AND(F38&gt;0,T38&lt;V38),"No",IF(AND(F38&lt;0,T38&lt;V38),"Yes",IF(AND(F38&lt;0,T38&gt;V38),"No",0)))),"")</f>
        <v/>
      </c>
      <c r="F38" s="263">
        <f>IFERROR((N38/MAX(N:N)*_MOVw)+(O38/MAX(O:O)*_WINw)+(P38/MAX(P:P)*_PPGw)+(Q38/MAX(Q:Q)*_ORw)+(R38/MAX(R:R)*_DRw),"")</f>
        <v/>
      </c>
      <c r="G38" s="204" t="inlineStr">
        <is>
          <t>Conf</t>
        </is>
      </c>
      <c r="H38" s="204" t="inlineStr">
        <is>
          <t>(empty)</t>
        </is>
      </c>
      <c r="I38" s="204" t="inlineStr">
        <is>
          <t>Away</t>
        </is>
      </c>
      <c r="J38" s="204" t="inlineStr">
        <is>
          <t>(empty)</t>
        </is>
      </c>
      <c r="K38" s="204" t="inlineStr">
        <is>
          <t>Sun</t>
        </is>
      </c>
      <c r="L38" s="204" t="n">
        <v>45319</v>
      </c>
      <c r="M38" s="204" t="n">
        <v>0.625</v>
      </c>
      <c r="O38" s="182">
        <f>IFERROR(AVERAGEIFS(2025Schedule!O:O,2025Schedule!E:E,H38,2025Schedule!N:N,A38)-AVERAGEIFS(2025Schedule!O:O,2025Schedule!E:E,J38,2025Schedule!N:N,B38),0)</f>
        <v/>
      </c>
      <c r="P38" s="156">
        <f>IFERROR(VLOOKUP(H38,Matrix!A:D,2,0)-VLOOKUP(J38,Matrix!A:D,2,0),"")</f>
        <v/>
      </c>
      <c r="Q38" s="156">
        <f>IFERROR(VLOOKUP(H38,Matrix!A:AC,15,0)-VLOOKUP(J38,Matrix!A:AC,15,0),"")</f>
        <v/>
      </c>
      <c r="R38" s="156">
        <f>IFERROR(VLOOKUP(H38,Matrix!A:AC,16,0)-VLOOKUP(J38,Matrix!A:AC,16,0),"")</f>
        <v/>
      </c>
      <c r="S38" s="195">
        <f>H38</f>
        <v/>
      </c>
      <c r="T38" s="195">
        <f>IFERROR(VLOOKUP(G38&amp;H38,2025Schedule!A:F,6,0),"")</f>
        <v/>
      </c>
      <c r="U38" s="264">
        <f>J38</f>
        <v/>
      </c>
      <c r="V38" s="195">
        <f>IFERROR(VLOOKUP(G38&amp;J38,2025Schedule!A:F,6,0),"")</f>
        <v/>
      </c>
    </row>
    <row r="39" ht="14.4" customHeight="1" s="152">
      <c r="A39" s="241">
        <f>H39&amp;I39</f>
        <v/>
      </c>
      <c r="B39" s="241">
        <f>J39&amp;C39</f>
        <v/>
      </c>
      <c r="C39" s="241">
        <f>IFERROR(IF(I39="Home","Away",IF(I39="Away","Home","")),"")</f>
        <v/>
      </c>
      <c r="D39" s="242">
        <f>H39</f>
        <v/>
      </c>
      <c r="E39" s="157">
        <f>IFERROR(IF(AND(F39&gt;0,T39&gt;V39),"Yes",IF(AND(F39&gt;0,T39&lt;V39),"No",IF(AND(F39&lt;0,T39&lt;V39),"Yes",IF(AND(F39&lt;0,T39&gt;V39),"No",0)))),"")</f>
        <v/>
      </c>
      <c r="F39" s="263">
        <f>IFERROR((N39/MAX(N:N)*_MOVw)+(O39/MAX(O:O)*_WINw)+(P39/MAX(P:P)*_PPGw)+(Q39/MAX(Q:Q)*_ORw)+(R39/MAX(R:R)*_DRw),"")</f>
        <v/>
      </c>
      <c r="G39" s="204" t="n"/>
      <c r="H39" s="204" t="n"/>
      <c r="I39" s="204" t="n"/>
      <c r="J39" s="204" t="n"/>
      <c r="K39" s="204" t="n"/>
      <c r="L39" s="204" t="n"/>
      <c r="M39" s="204" t="n">
        <v>0.770833333333333</v>
      </c>
      <c r="O39" s="182">
        <f>IFERROR(AVERAGEIFS(2025Schedule!O:O,2025Schedule!E:E,H39,2025Schedule!N:N,A39)-AVERAGEIFS(2025Schedule!O:O,2025Schedule!E:E,J39,2025Schedule!N:N,B39),0)</f>
        <v/>
      </c>
      <c r="P39" s="156">
        <f>IFERROR(VLOOKUP(H39,Matrix!A:D,2,0)-VLOOKUP(J39,Matrix!A:D,2,0),"")</f>
        <v/>
      </c>
      <c r="Q39" s="156">
        <f>IFERROR(VLOOKUP(H39,Matrix!A:AC,15,0)-VLOOKUP(J39,Matrix!A:AC,15,0),"")</f>
        <v/>
      </c>
      <c r="R39" s="156">
        <f>IFERROR(VLOOKUP(H39,Matrix!A:AC,16,0)-VLOOKUP(J39,Matrix!A:AC,16,0),"")</f>
        <v/>
      </c>
      <c r="S39" s="195">
        <f>H39</f>
        <v/>
      </c>
      <c r="T39" s="195">
        <f>IFERROR(VLOOKUP(G39&amp;H39,2025Schedule!A:F,6,0),"")</f>
        <v/>
      </c>
      <c r="U39" s="264">
        <f>J39</f>
        <v/>
      </c>
      <c r="V39" s="195">
        <f>IFERROR(VLOOKUP(G39&amp;J39,2025Schedule!A:F,6,0),"")</f>
        <v/>
      </c>
    </row>
    <row r="40" ht="14.4" customHeight="1" s="152">
      <c r="A40" s="241">
        <f>H40&amp;I40</f>
        <v/>
      </c>
      <c r="B40" s="241">
        <f>J40&amp;C40</f>
        <v/>
      </c>
      <c r="C40" s="241">
        <f>IFERROR(IF(I40="Home","Away",IF(I40="Away","Home","")),"")</f>
        <v/>
      </c>
      <c r="D40" s="242">
        <f>H40</f>
        <v/>
      </c>
      <c r="E40" s="157">
        <f>IFERROR(IF(AND(F40&gt;0,T40&gt;V40),"Yes",IF(AND(F40&gt;0,T40&lt;V40),"No",IF(AND(F40&lt;0,T40&lt;V40),"Yes",IF(AND(F40&lt;0,T40&gt;V40),"No",0)))),"")</f>
        <v/>
      </c>
      <c r="F40" s="263">
        <f>IFERROR((N40/MAX(N:N)*_MOVw)+(O40/MAX(O:O)*_WINw)+(P40/MAX(P:P)*_PPGw)+(Q40/MAX(Q:Q)*_ORw)+(R40/MAX(R:R)*_DRw),"")</f>
        <v/>
      </c>
      <c r="G40" s="204" t="inlineStr">
        <is>
          <t>Div</t>
        </is>
      </c>
      <c r="H40" s="204" t="inlineStr">
        <is>
          <t>(empty)</t>
        </is>
      </c>
      <c r="I40" s="204" t="inlineStr">
        <is>
          <t>Away</t>
        </is>
      </c>
      <c r="J40" s="204" t="inlineStr">
        <is>
          <t>(empty)</t>
        </is>
      </c>
      <c r="K40" s="204" t="inlineStr">
        <is>
          <t>Sat</t>
        </is>
      </c>
      <c r="L40" s="204" t="n">
        <v>45311</v>
      </c>
      <c r="M40" s="204" t="n">
        <v>0.6875</v>
      </c>
      <c r="O40" s="182">
        <f>IFERROR(AVERAGEIFS(2025Schedule!O:O,2025Schedule!E:E,H40,2025Schedule!N:N,A40)-AVERAGEIFS(2025Schedule!O:O,2025Schedule!E:E,J40,2025Schedule!N:N,B40),0)</f>
        <v/>
      </c>
      <c r="P40" s="156">
        <f>IFERROR(VLOOKUP(H40,Matrix!A:D,2,0)-VLOOKUP(J40,Matrix!A:D,2,0),"")</f>
        <v/>
      </c>
      <c r="Q40" s="156">
        <f>IFERROR(VLOOKUP(H40,Matrix!A:AC,15,0)-VLOOKUP(J40,Matrix!A:AC,15,0),"")</f>
        <v/>
      </c>
      <c r="R40" s="156">
        <f>IFERROR(VLOOKUP(H40,Matrix!A:AC,16,0)-VLOOKUP(J40,Matrix!A:AC,16,0),"")</f>
        <v/>
      </c>
      <c r="S40" s="195">
        <f>H40</f>
        <v/>
      </c>
      <c r="T40" s="195">
        <f>IFERROR(VLOOKUP(G40&amp;H40,2025Schedule!A:F,6,0),"")</f>
        <v/>
      </c>
      <c r="U40" s="264">
        <f>J40</f>
        <v/>
      </c>
      <c r="V40" s="195">
        <f>IFERROR(VLOOKUP(G40&amp;J40,2025Schedule!A:F,6,0),"")</f>
        <v/>
      </c>
    </row>
    <row r="41" ht="14.4" customHeight="1" s="152">
      <c r="A41" s="241">
        <f>H41&amp;I41</f>
        <v/>
      </c>
      <c r="B41" s="241">
        <f>J41&amp;C41</f>
        <v/>
      </c>
      <c r="C41" s="241">
        <f>IFERROR(IF(I41="Home","Away",IF(I41="Away","Home","")),"")</f>
        <v/>
      </c>
      <c r="D41" s="242">
        <f>H41</f>
        <v/>
      </c>
      <c r="E41" s="157">
        <f>IFERROR(IF(AND(F41&gt;0,T41&gt;V41),"Yes",IF(AND(F41&gt;0,T41&lt;V41),"No",IF(AND(F41&lt;0,T41&lt;V41),"Yes",IF(AND(F41&lt;0,T41&gt;V41),"No",0)))),"")</f>
        <v/>
      </c>
      <c r="F41" s="263">
        <f>IFERROR((N41/MAX(N:N)*_MOVw)+(O41/MAX(O:O)*_WINw)+(P41/MAX(P:P)*_PPGw)+(Q41/MAX(Q:Q)*_ORw)+(R41/MAX(R:R)*_DRw),"")</f>
        <v/>
      </c>
      <c r="G41" s="204" t="n"/>
      <c r="H41" s="204" t="n"/>
      <c r="I41" s="204" t="n"/>
      <c r="J41" s="204" t="n"/>
      <c r="K41" s="204" t="n"/>
      <c r="L41" s="204" t="n"/>
      <c r="M41" s="204" t="n">
        <v>0.84375</v>
      </c>
      <c r="O41" s="182">
        <f>IFERROR(AVERAGEIFS(2025Schedule!O:O,2025Schedule!E:E,H41,2025Schedule!N:N,A41)-AVERAGEIFS(2025Schedule!O:O,2025Schedule!E:E,J41,2025Schedule!N:N,B41),0)</f>
        <v/>
      </c>
      <c r="P41" s="156">
        <f>IFERROR(VLOOKUP(H41,Matrix!A:D,2,0)-VLOOKUP(J41,Matrix!A:D,2,0),"")</f>
        <v/>
      </c>
      <c r="Q41" s="156">
        <f>IFERROR(VLOOKUP(H41,Matrix!A:AC,15,0)-VLOOKUP(J41,Matrix!A:AC,15,0),"")</f>
        <v/>
      </c>
      <c r="R41" s="156">
        <f>IFERROR(VLOOKUP(H41,Matrix!A:AC,16,0)-VLOOKUP(J41,Matrix!A:AC,16,0),"")</f>
        <v/>
      </c>
      <c r="S41" s="195">
        <f>H41</f>
        <v/>
      </c>
      <c r="T41" s="195">
        <f>IFERROR(VLOOKUP(G41&amp;H41,2025Schedule!A:F,6,0),"")</f>
        <v/>
      </c>
      <c r="U41" s="264">
        <f>J41</f>
        <v/>
      </c>
      <c r="V41" s="195">
        <f>IFERROR(VLOOKUP(G41&amp;J41,2025Schedule!A:F,6,0),"")</f>
        <v/>
      </c>
    </row>
    <row r="42" ht="14.4" customHeight="1" s="152">
      <c r="A42" s="241">
        <f>H42&amp;I42</f>
        <v/>
      </c>
      <c r="B42" s="241">
        <f>J42&amp;C42</f>
        <v/>
      </c>
      <c r="C42" s="241">
        <f>IFERROR(IF(I42="Home","Away",IF(I42="Away","Home","")),"")</f>
        <v/>
      </c>
      <c r="D42" s="242">
        <f>H42</f>
        <v/>
      </c>
      <c r="E42" s="157">
        <f>IFERROR(IF(AND(F42&gt;0,T42&gt;V42),"Yes",IF(AND(F42&gt;0,T42&lt;V42),"No",IF(AND(F42&lt;0,T42&lt;V42),"Yes",IF(AND(F42&lt;0,T42&gt;V42),"No",0)))),"")</f>
        <v/>
      </c>
      <c r="F42" s="263">
        <f>IFERROR((N42/MAX(N:N)*_MOVw)+(O42/MAX(O:O)*_WINw)+(P42/MAX(P:P)*_PPGw)+(Q42/MAX(Q:Q)*_ORw)+(R42/MAX(R:R)*_DRw),"")</f>
        <v/>
      </c>
      <c r="G42" s="204" t="n"/>
      <c r="H42" s="204" t="n"/>
      <c r="I42" s="204" t="n"/>
      <c r="J42" s="204" t="n"/>
      <c r="K42" s="204" t="inlineStr">
        <is>
          <t>Sun</t>
        </is>
      </c>
      <c r="L42" s="204" t="n">
        <v>45312</v>
      </c>
      <c r="M42" s="204" t="n">
        <v>0.625</v>
      </c>
      <c r="O42" s="182">
        <f>IFERROR(AVERAGEIFS(2025Schedule!O:O,2025Schedule!E:E,H42,2025Schedule!N:N,A42)-AVERAGEIFS(2025Schedule!O:O,2025Schedule!E:E,J42,2025Schedule!N:N,B42),0)</f>
        <v/>
      </c>
      <c r="P42" s="156">
        <f>IFERROR(VLOOKUP(H42,Matrix!A:D,2,0)-VLOOKUP(J42,Matrix!A:D,2,0),"")</f>
        <v/>
      </c>
      <c r="Q42" s="156">
        <f>IFERROR(VLOOKUP(H42,Matrix!A:AC,15,0)-VLOOKUP(J42,Matrix!A:AC,15,0),"")</f>
        <v/>
      </c>
      <c r="R42" s="156">
        <f>IFERROR(VLOOKUP(H42,Matrix!A:AC,16,0)-VLOOKUP(J42,Matrix!A:AC,16,0),"")</f>
        <v/>
      </c>
      <c r="S42" s="195">
        <f>H42</f>
        <v/>
      </c>
      <c r="T42" s="195">
        <f>IFERROR(VLOOKUP(G42&amp;H42,2025Schedule!A:F,6,0),"")</f>
        <v/>
      </c>
      <c r="U42" s="264">
        <f>J42</f>
        <v/>
      </c>
      <c r="V42" s="195">
        <f>IFERROR(VLOOKUP(G42&amp;J42,2025Schedule!A:F,6,0),"")</f>
        <v/>
      </c>
    </row>
    <row r="43" ht="14.4" customHeight="1" s="152">
      <c r="A43" s="241">
        <f>H43&amp;I43</f>
        <v/>
      </c>
      <c r="B43" s="241">
        <f>J43&amp;C43</f>
        <v/>
      </c>
      <c r="C43" s="241">
        <f>IFERROR(IF(I43="Home","Away",IF(I43="Away","Home","")),"")</f>
        <v/>
      </c>
      <c r="D43" s="242">
        <f>H43</f>
        <v/>
      </c>
      <c r="E43" s="157">
        <f>IFERROR(IF(AND(F43&gt;0,T43&gt;V43),"Yes",IF(AND(F43&gt;0,T43&lt;V43),"No",IF(AND(F43&lt;0,T43&lt;V43),"Yes",IF(AND(F43&lt;0,T43&gt;V43),"No",0)))),"")</f>
        <v/>
      </c>
      <c r="F43" s="263">
        <f>IFERROR((N43/MAX(N:N)*_MOVw)+(O43/MAX(O:O)*_WINw)+(P43/MAX(P:P)*_PPGw)+(Q43/MAX(Q:Q)*_ORw)+(R43/MAX(R:R)*_DRw),"")</f>
        <v/>
      </c>
      <c r="G43" s="204" t="n"/>
      <c r="H43" s="204" t="n"/>
      <c r="I43" s="204" t="n"/>
      <c r="J43" s="204" t="n"/>
      <c r="K43" s="204" t="n"/>
      <c r="L43" s="204" t="n"/>
      <c r="M43" s="204" t="n">
        <v>0.770833333333333</v>
      </c>
      <c r="O43" s="182">
        <f>IFERROR(AVERAGEIFS(2025Schedule!O:O,2025Schedule!E:E,H43,2025Schedule!N:N,A43)-AVERAGEIFS(2025Schedule!O:O,2025Schedule!E:E,J43,2025Schedule!N:N,B43),0)</f>
        <v/>
      </c>
      <c r="P43" s="156">
        <f>IFERROR(VLOOKUP(H43,Matrix!A:D,2,0)-VLOOKUP(J43,Matrix!A:D,2,0),"")</f>
        <v/>
      </c>
      <c r="Q43" s="156">
        <f>IFERROR(VLOOKUP(H43,Matrix!A:AC,15,0)-VLOOKUP(J43,Matrix!A:AC,15,0),"")</f>
        <v/>
      </c>
      <c r="R43" s="156">
        <f>IFERROR(VLOOKUP(H43,Matrix!A:AC,16,0)-VLOOKUP(J43,Matrix!A:AC,16,0),"")</f>
        <v/>
      </c>
      <c r="S43" s="195">
        <f>H43</f>
        <v/>
      </c>
      <c r="T43" s="195">
        <f>IFERROR(VLOOKUP(G43&amp;H43,2025Schedule!A:F,6,0),"")</f>
        <v/>
      </c>
      <c r="U43" s="264">
        <f>J43</f>
        <v/>
      </c>
      <c r="V43" s="195">
        <f>IFERROR(VLOOKUP(G43&amp;J43,2025Schedule!A:F,6,0),"")</f>
        <v/>
      </c>
    </row>
    <row r="44" ht="14.4" customHeight="1" s="152">
      <c r="A44" s="241">
        <f>H44&amp;I44</f>
        <v/>
      </c>
      <c r="B44" s="241">
        <f>J44&amp;C44</f>
        <v/>
      </c>
      <c r="C44" s="241">
        <f>IFERROR(IF(I44="Home","Away",IF(I44="Away","Home","")),"")</f>
        <v/>
      </c>
      <c r="D44" s="242">
        <f>H44</f>
        <v/>
      </c>
      <c r="E44" s="157">
        <f>IFERROR(IF(AND(F44&gt;0,T44&gt;V44),"Yes",IF(AND(F44&gt;0,T44&lt;V44),"No",IF(AND(F44&lt;0,T44&lt;V44),"Yes",IF(AND(F44&lt;0,T44&gt;V44),"No",0)))),"")</f>
        <v/>
      </c>
      <c r="F44" s="263">
        <f>IFERROR((N44/MAX(N:N)*_MOVw)+(O44/MAX(O:O)*_WINw)+(P44/MAX(P:P)*_PPGw)+(Q44/MAX(Q:Q)*_ORw)+(R44/MAX(R:R)*_DRw),"")</f>
        <v/>
      </c>
      <c r="G44" s="204" t="inlineStr">
        <is>
          <t>SB</t>
        </is>
      </c>
      <c r="H44" s="204" t="inlineStr">
        <is>
          <t>(empty)</t>
        </is>
      </c>
      <c r="I44" s="204" t="inlineStr">
        <is>
          <t>Away</t>
        </is>
      </c>
      <c r="J44" s="204" t="inlineStr">
        <is>
          <t>(empty)</t>
        </is>
      </c>
      <c r="K44" s="204" t="inlineStr">
        <is>
          <t>Sun</t>
        </is>
      </c>
      <c r="L44" s="204" t="n">
        <v>45333</v>
      </c>
      <c r="M44" s="204" t="n">
        <v>0.770833333333333</v>
      </c>
      <c r="O44" s="182">
        <f>IFERROR(AVERAGEIFS(2025Schedule!O:O,2025Schedule!E:E,H44,2025Schedule!N:N,A44)-AVERAGEIFS(2025Schedule!O:O,2025Schedule!E:E,J44,2025Schedule!N:N,B44),0)</f>
        <v/>
      </c>
      <c r="P44" s="156">
        <f>IFERROR(VLOOKUP(H44,Matrix!A:D,2,0)-VLOOKUP(J44,Matrix!A:D,2,0),"")</f>
        <v/>
      </c>
      <c r="Q44" s="156">
        <f>IFERROR(VLOOKUP(H44,Matrix!A:AC,15,0)-VLOOKUP(J44,Matrix!A:AC,15,0),"")</f>
        <v/>
      </c>
      <c r="R44" s="156">
        <f>IFERROR(VLOOKUP(H44,Matrix!A:AC,16,0)-VLOOKUP(J44,Matrix!A:AC,16,0),"")</f>
        <v/>
      </c>
      <c r="S44" s="195">
        <f>H44</f>
        <v/>
      </c>
      <c r="T44" s="195">
        <f>IFERROR(VLOOKUP(G44&amp;H44,2025Schedule!A:F,6,0),"")</f>
        <v/>
      </c>
      <c r="U44" s="264">
        <f>J44</f>
        <v/>
      </c>
      <c r="V44" s="195">
        <f>IFERROR(VLOOKUP(G44&amp;J44,2025Schedule!A:F,6,0),"")</f>
        <v/>
      </c>
    </row>
    <row r="45" ht="14.4" customHeight="1" s="152">
      <c r="A45" s="241">
        <f>H45&amp;I45</f>
        <v/>
      </c>
      <c r="B45" s="241">
        <f>J45&amp;C45</f>
        <v/>
      </c>
      <c r="C45" s="241">
        <f>IFERROR(IF(I45="Home","Away",IF(I45="Away","Home","")),"")</f>
        <v/>
      </c>
      <c r="D45" s="242">
        <f>H45</f>
        <v/>
      </c>
      <c r="E45" s="157">
        <f>IFERROR(IF(AND(F45&gt;0,T45&gt;V45),"Yes",IF(AND(F45&gt;0,T45&lt;V45),"No",IF(AND(F45&lt;0,T45&lt;V45),"Yes",IF(AND(F45&lt;0,T45&gt;V45),"No",0)))),"")</f>
        <v/>
      </c>
      <c r="F45" s="263">
        <f>IFERROR((N45/MAX(N:N)*_MOVw)+(O45/MAX(O:O)*_WINw)+(P45/MAX(P:P)*_PPGw)+(Q45/MAX(Q:Q)*_ORw)+(R45/MAX(R:R)*_DRw),"")</f>
        <v/>
      </c>
      <c r="G45" s="204" t="inlineStr">
        <is>
          <t>WC</t>
        </is>
      </c>
      <c r="H45" s="204" t="inlineStr">
        <is>
          <t>Denver Broncos</t>
        </is>
      </c>
      <c r="I45" s="204" t="inlineStr">
        <is>
          <t>Away</t>
        </is>
      </c>
      <c r="J45" s="204" t="inlineStr">
        <is>
          <t>Buffalo Bills</t>
        </is>
      </c>
      <c r="K45" s="204" t="inlineStr">
        <is>
          <t>Sun</t>
        </is>
      </c>
      <c r="L45" s="204" t="n">
        <v>45303</v>
      </c>
      <c r="M45" s="204" t="n">
        <v>0.541666666666667</v>
      </c>
      <c r="O45" s="182">
        <f>IFERROR(AVERAGEIFS(2025Schedule!O:O,2025Schedule!E:E,H45,2025Schedule!N:N,A45)-AVERAGEIFS(2025Schedule!O:O,2025Schedule!E:E,J45,2025Schedule!N:N,B45),0)</f>
        <v/>
      </c>
      <c r="P45" s="156">
        <f>IFERROR(VLOOKUP(H45,Matrix!A:D,2,0)-VLOOKUP(J45,Matrix!A:D,2,0),"")</f>
        <v/>
      </c>
      <c r="Q45" s="156">
        <f>IFERROR(VLOOKUP(H45,Matrix!A:AC,15,0)-VLOOKUP(J45,Matrix!A:AC,15,0),"")</f>
        <v/>
      </c>
      <c r="R45" s="156">
        <f>IFERROR(VLOOKUP(H45,Matrix!A:AC,16,0)-VLOOKUP(J45,Matrix!A:AC,16,0),"")</f>
        <v/>
      </c>
      <c r="S45" s="195">
        <f>H45</f>
        <v/>
      </c>
      <c r="T45" s="195">
        <f>IFERROR(VLOOKUP(G45&amp;H45,2025Schedule!A:F,6,0),"")</f>
        <v/>
      </c>
      <c r="U45" s="264">
        <f>J45</f>
        <v/>
      </c>
      <c r="V45" s="195">
        <f>IFERROR(VLOOKUP(G45&amp;J45,2025Schedule!A:F,6,0),"")</f>
        <v/>
      </c>
    </row>
    <row r="46" ht="14.4" customHeight="1" s="152">
      <c r="A46" s="241">
        <f>H46&amp;I46</f>
        <v/>
      </c>
      <c r="B46" s="241">
        <f>J46&amp;C46</f>
        <v/>
      </c>
      <c r="C46" s="241">
        <f>IFERROR(IF(I46="Home","Away",IF(I46="Away","Home","")),"")</f>
        <v/>
      </c>
      <c r="D46" s="242">
        <f>H46</f>
        <v/>
      </c>
      <c r="E46" s="157">
        <f>IFERROR(IF(AND(F46&gt;0,T46&gt;V46),"Yes",IF(AND(F46&gt;0,T46&lt;V46),"No",IF(AND(F46&lt;0,T46&lt;V46),"Yes",IF(AND(F46&lt;0,T46&gt;V46),"No",0)))),"")</f>
        <v/>
      </c>
      <c r="F46" s="263">
        <f>IFERROR((N46/MAX(N:N)*_MOVw)+(O46/MAX(O:O)*_WINw)+(P46/MAX(P:P)*_PPGw)+(Q46/MAX(Q:Q)*_ORw)+(R46/MAX(R:R)*_DRw),"")</f>
        <v/>
      </c>
      <c r="G46" s="204" t="n"/>
      <c r="H46" s="204" t="inlineStr">
        <is>
          <t>Green Bay Packers</t>
        </is>
      </c>
      <c r="I46" s="204" t="inlineStr">
        <is>
          <t>Away</t>
        </is>
      </c>
      <c r="J46" s="204" t="inlineStr">
        <is>
          <t>Philadelphia Eagles</t>
        </is>
      </c>
      <c r="K46" s="204" t="inlineStr">
        <is>
          <t>Sun</t>
        </is>
      </c>
      <c r="L46" s="204" t="n">
        <v>45303</v>
      </c>
      <c r="M46" s="204" t="n">
        <v>0.684027777777778</v>
      </c>
      <c r="O46" s="182">
        <f>IFERROR(AVERAGEIFS(2025Schedule!O:O,2025Schedule!E:E,H46,2025Schedule!N:N,A46)-AVERAGEIFS(2025Schedule!O:O,2025Schedule!E:E,J46,2025Schedule!N:N,B46),0)</f>
        <v/>
      </c>
      <c r="P46" s="156">
        <f>IFERROR(VLOOKUP(H46,Matrix!A:D,2,0)-VLOOKUP(J46,Matrix!A:D,2,0),"")</f>
        <v/>
      </c>
      <c r="Q46" s="156">
        <f>IFERROR(VLOOKUP(H46,Matrix!A:AC,15,0)-VLOOKUP(J46,Matrix!A:AC,15,0),"")</f>
        <v/>
      </c>
      <c r="R46" s="156">
        <f>IFERROR(VLOOKUP(H46,Matrix!A:AC,16,0)-VLOOKUP(J46,Matrix!A:AC,16,0),"")</f>
        <v/>
      </c>
      <c r="S46" s="195">
        <f>H46</f>
        <v/>
      </c>
      <c r="T46" s="195">
        <f>IFERROR(VLOOKUP(G46&amp;H46,2025Schedule!A:F,6,0),"")</f>
        <v/>
      </c>
      <c r="U46" s="264">
        <f>J46</f>
        <v/>
      </c>
      <c r="V46" s="195">
        <f>IFERROR(VLOOKUP(G46&amp;J46,2025Schedule!A:F,6,0),"")</f>
        <v/>
      </c>
    </row>
    <row r="47" ht="14.4" customHeight="1" s="152">
      <c r="A47" s="241">
        <f>H47&amp;I47</f>
        <v/>
      </c>
      <c r="B47" s="241">
        <f>J47&amp;C47</f>
        <v/>
      </c>
      <c r="C47" s="241">
        <f>IFERROR(IF(I47="Home","Away",IF(I47="Away","Home","")),"")</f>
        <v/>
      </c>
      <c r="D47" s="242">
        <f>H47</f>
        <v/>
      </c>
      <c r="E47" s="157">
        <f>IFERROR(IF(AND(F47&gt;0,T47&gt;V47),"Yes",IF(AND(F47&gt;0,T47&lt;V47),"No",IF(AND(F47&lt;0,T47&lt;V47),"Yes",IF(AND(F47&lt;0,T47&gt;V47),"No",0)))),"")</f>
        <v/>
      </c>
      <c r="F47" s="263">
        <f>IFERROR((N47/MAX(N:N)*_MOVw)+(O47/MAX(O:O)*_WINw)+(P47/MAX(P:P)*_PPGw)+(Q47/MAX(Q:Q)*_ORw)+(R47/MAX(R:R)*_DRw),"")</f>
        <v/>
      </c>
      <c r="G47" s="204" t="n"/>
      <c r="H47" s="204" t="inlineStr">
        <is>
          <t>Minnesota Vikings</t>
        </is>
      </c>
      <c r="I47" s="204" t="inlineStr">
        <is>
          <t>Away</t>
        </is>
      </c>
      <c r="J47" s="204" t="inlineStr">
        <is>
          <t>Los Angeles Rams</t>
        </is>
      </c>
      <c r="K47" s="204" t="inlineStr">
        <is>
          <t>Mon</t>
        </is>
      </c>
      <c r="L47" s="204" t="n">
        <v>45304</v>
      </c>
      <c r="M47" s="204" t="n">
        <v>0.833333333333333</v>
      </c>
      <c r="O47" s="182">
        <f>IFERROR(AVERAGEIFS(2025Schedule!O:O,2025Schedule!E:E,H47,2025Schedule!N:N,A47)-AVERAGEIFS(2025Schedule!O:O,2025Schedule!E:E,J47,2025Schedule!N:N,B47),0)</f>
        <v/>
      </c>
      <c r="P47" s="156">
        <f>IFERROR(VLOOKUP(H47,Matrix!A:D,2,0)-VLOOKUP(J47,Matrix!A:D,2,0),"")</f>
        <v/>
      </c>
      <c r="Q47" s="156">
        <f>IFERROR(VLOOKUP(H47,Matrix!A:AC,15,0)-VLOOKUP(J47,Matrix!A:AC,15,0),"")</f>
        <v/>
      </c>
      <c r="R47" s="156">
        <f>IFERROR(VLOOKUP(H47,Matrix!A:AC,16,0)-VLOOKUP(J47,Matrix!A:AC,16,0),"")</f>
        <v/>
      </c>
      <c r="S47" s="195">
        <f>H47</f>
        <v/>
      </c>
      <c r="T47" s="195">
        <f>IFERROR(VLOOKUP(G47&amp;H47,2025Schedule!A:F,6,0),"")</f>
        <v/>
      </c>
      <c r="U47" s="264">
        <f>J47</f>
        <v/>
      </c>
      <c r="V47" s="195">
        <f>IFERROR(VLOOKUP(G47&amp;J47,2025Schedule!A:F,6,0),"")</f>
        <v/>
      </c>
    </row>
    <row r="48" ht="14.4" customHeight="1" s="152">
      <c r="A48" s="241">
        <f>H48&amp;I48</f>
        <v/>
      </c>
      <c r="B48" s="241">
        <f>J48&amp;C48</f>
        <v/>
      </c>
      <c r="C48" s="241">
        <f>IFERROR(IF(I48="Home","Away",IF(I48="Away","Home","")),"")</f>
        <v/>
      </c>
      <c r="D48" s="242">
        <f>H48</f>
        <v/>
      </c>
      <c r="E48" s="157">
        <f>IFERROR(IF(AND(F48&gt;0,T48&gt;V48),"Yes",IF(AND(F48&gt;0,T48&lt;V48),"No",IF(AND(F48&lt;0,T48&lt;V48),"Yes",IF(AND(F48&lt;0,T48&gt;V48),"No",0)))),"")</f>
        <v/>
      </c>
      <c r="F48" s="263">
        <f>IFERROR((N48/MAX(N:N)*_MOVw)+(O48/MAX(O:O)*_WINw)+(P48/MAX(P:P)*_PPGw)+(Q48/MAX(Q:Q)*_ORw)+(R48/MAX(R:R)*_DRw),"")</f>
        <v/>
      </c>
      <c r="G48" s="204" t="n"/>
      <c r="H48" s="204" t="inlineStr">
        <is>
          <t>Pittsburgh Steelers</t>
        </is>
      </c>
      <c r="I48" s="204" t="inlineStr">
        <is>
          <t>Away</t>
        </is>
      </c>
      <c r="J48" s="204" t="inlineStr">
        <is>
          <t>Baltimore Ravens</t>
        </is>
      </c>
      <c r="K48" s="204" t="inlineStr">
        <is>
          <t>Sat</t>
        </is>
      </c>
      <c r="L48" s="204" t="n">
        <v>45668</v>
      </c>
      <c r="M48" s="204" t="n">
        <v>0.833333333333333</v>
      </c>
      <c r="O48" s="182">
        <f>IFERROR(AVERAGEIFS(2025Schedule!O:O,2025Schedule!E:E,H48,2025Schedule!N:N,A48)-AVERAGEIFS(2025Schedule!O:O,2025Schedule!E:E,J48,2025Schedule!N:N,B48),0)</f>
        <v/>
      </c>
      <c r="P48" s="156">
        <f>IFERROR(VLOOKUP(H48,Matrix!A:D,2,0)-VLOOKUP(J48,Matrix!A:D,2,0),"")</f>
        <v/>
      </c>
      <c r="Q48" s="156">
        <f>IFERROR(VLOOKUP(H48,Matrix!A:AC,15,0)-VLOOKUP(J48,Matrix!A:AC,15,0),"")</f>
        <v/>
      </c>
      <c r="R48" s="156">
        <f>IFERROR(VLOOKUP(H48,Matrix!A:AC,16,0)-VLOOKUP(J48,Matrix!A:AC,16,0),"")</f>
        <v/>
      </c>
      <c r="S48" s="195">
        <f>H48</f>
        <v/>
      </c>
      <c r="T48" s="195">
        <f>IFERROR(VLOOKUP(G48&amp;H48,2025Schedule!A:F,6,0),"")</f>
        <v/>
      </c>
      <c r="U48" s="264">
        <f>J48</f>
        <v/>
      </c>
      <c r="V48" s="195">
        <f>IFERROR(VLOOKUP(G48&amp;J48,2025Schedule!A:F,6,0),"")</f>
        <v/>
      </c>
    </row>
    <row r="49" ht="14.4" customHeight="1" s="152">
      <c r="A49" s="241">
        <f>H49&amp;I49</f>
        <v/>
      </c>
      <c r="B49" s="241">
        <f>J49&amp;C49</f>
        <v/>
      </c>
      <c r="C49" s="241">
        <f>IFERROR(IF(I49="Home","Away",IF(I49="Away","Home","")),"")</f>
        <v/>
      </c>
      <c r="D49" s="242">
        <f>H49</f>
        <v/>
      </c>
      <c r="E49" s="157">
        <f>IFERROR(IF(AND(F49&gt;0,T49&gt;V49),"Yes",IF(AND(F49&gt;0,T49&lt;V49),"No",IF(AND(F49&lt;0,T49&lt;V49),"Yes",IF(AND(F49&lt;0,T49&gt;V49),"No",0)))),"")</f>
        <v/>
      </c>
      <c r="F49" s="263">
        <f>IFERROR((N49/MAX(N:N)*_MOVw)+(O49/MAX(O:O)*_WINw)+(P49/MAX(P:P)*_PPGw)+(Q49/MAX(Q:Q)*_ORw)+(R49/MAX(R:R)*_DRw),"")</f>
        <v/>
      </c>
      <c r="G49" s="204" t="n"/>
      <c r="H49" s="204" t="inlineStr">
        <is>
          <t>Los Angeles Chargers</t>
        </is>
      </c>
      <c r="I49" s="204" t="inlineStr">
        <is>
          <t>Away</t>
        </is>
      </c>
      <c r="J49" s="204" t="inlineStr">
        <is>
          <t>Houston Texans</t>
        </is>
      </c>
      <c r="K49" s="204" t="inlineStr">
        <is>
          <t>Sat</t>
        </is>
      </c>
      <c r="L49" s="204" t="n">
        <v>45668</v>
      </c>
      <c r="M49" s="204" t="n">
        <v>0.684027777777778</v>
      </c>
      <c r="O49" s="182">
        <f>IFERROR(AVERAGEIFS(2025Schedule!O:O,2025Schedule!E:E,H49,2025Schedule!N:N,A49)-AVERAGEIFS(2025Schedule!O:O,2025Schedule!E:E,J49,2025Schedule!N:N,B49),0)</f>
        <v/>
      </c>
      <c r="P49" s="156">
        <f>IFERROR(VLOOKUP(H49,Matrix!A:D,2,0)-VLOOKUP(J49,Matrix!A:D,2,0),"")</f>
        <v/>
      </c>
      <c r="Q49" s="156">
        <f>IFERROR(VLOOKUP(H49,Matrix!A:AC,15,0)-VLOOKUP(J49,Matrix!A:AC,15,0),"")</f>
        <v/>
      </c>
      <c r="R49" s="156">
        <f>IFERROR(VLOOKUP(H49,Matrix!A:AC,16,0)-VLOOKUP(J49,Matrix!A:AC,16,0),"")</f>
        <v/>
      </c>
      <c r="S49" s="195">
        <f>H49</f>
        <v/>
      </c>
      <c r="T49" s="195">
        <f>IFERROR(VLOOKUP(G49&amp;H49,2025Schedule!A:F,6,0),"")</f>
        <v/>
      </c>
      <c r="U49" s="264">
        <f>J49</f>
        <v/>
      </c>
      <c r="V49" s="195">
        <f>IFERROR(VLOOKUP(G49&amp;J49,2025Schedule!A:F,6,0),"")</f>
        <v/>
      </c>
    </row>
    <row r="50" ht="14.4" customHeight="1" s="152">
      <c r="A50" s="241">
        <f>H50&amp;I50</f>
        <v/>
      </c>
      <c r="B50" s="241">
        <f>J50&amp;C50</f>
        <v/>
      </c>
      <c r="C50" s="241">
        <f>IFERROR(IF(I50="Home","Away",IF(I50="Away","Home","")),"")</f>
        <v/>
      </c>
      <c r="D50" s="242">
        <f>H50</f>
        <v/>
      </c>
      <c r="E50" s="157">
        <f>IFERROR(IF(AND(F50&gt;0,T50&gt;V50),"Yes",IF(AND(F50&gt;0,T50&lt;V50),"No",IF(AND(F50&lt;0,T50&lt;V50),"Yes",IF(AND(F50&lt;0,T50&gt;V50),"No",0)))),"")</f>
        <v/>
      </c>
      <c r="F50" s="263">
        <f>IFERROR((N50/MAX(N:N)*_MOVw)+(O50/MAX(O:O)*_WINw)+(P50/MAX(P:P)*_PPGw)+(Q50/MAX(Q:Q)*_ORw)+(R50/MAX(R:R)*_DRw),"")</f>
        <v/>
      </c>
      <c r="G50" s="204" t="n"/>
      <c r="H50" s="204" t="inlineStr">
        <is>
          <t>Washington Commanders</t>
        </is>
      </c>
      <c r="I50" s="204" t="inlineStr">
        <is>
          <t>Away</t>
        </is>
      </c>
      <c r="J50" s="204" t="inlineStr">
        <is>
          <t>Tampa Bay Buccaneers</t>
        </is>
      </c>
      <c r="K50" s="204" t="inlineStr">
        <is>
          <t>Sun</t>
        </is>
      </c>
      <c r="L50" s="204" t="n">
        <v>45303</v>
      </c>
      <c r="M50" s="204" t="n">
        <v>0.833333333333333</v>
      </c>
      <c r="O50" s="182">
        <f>IFERROR(AVERAGEIFS(2025Schedule!O:O,2025Schedule!E:E,H50,2025Schedule!N:N,A50)-AVERAGEIFS(2025Schedule!O:O,2025Schedule!E:E,J50,2025Schedule!N:N,B50),0)</f>
        <v/>
      </c>
      <c r="P50" s="156">
        <f>IFERROR(VLOOKUP(H50,Matrix!A:D,2,0)-VLOOKUP(J50,Matrix!A:D,2,0),"")</f>
        <v/>
      </c>
      <c r="Q50" s="156">
        <f>IFERROR(VLOOKUP(H50,Matrix!A:AC,15,0)-VLOOKUP(J50,Matrix!A:AC,15,0),"")</f>
        <v/>
      </c>
      <c r="R50" s="156">
        <f>IFERROR(VLOOKUP(H50,Matrix!A:AC,16,0)-VLOOKUP(J50,Matrix!A:AC,16,0),"")</f>
        <v/>
      </c>
      <c r="S50" s="195">
        <f>H50</f>
        <v/>
      </c>
      <c r="T50" s="195">
        <f>IFERROR(VLOOKUP(G50&amp;H50,2025Schedule!A:F,6,0),"")</f>
        <v/>
      </c>
      <c r="U50" s="264">
        <f>J50</f>
        <v/>
      </c>
      <c r="V50" s="195">
        <f>IFERROR(VLOOKUP(G50&amp;J50,2025Schedule!A:F,6,0),"")</f>
        <v/>
      </c>
    </row>
    <row r="51" ht="14.4" customHeight="1" s="152">
      <c r="A51" s="241">
        <f>H51&amp;I51</f>
        <v/>
      </c>
      <c r="B51" s="241">
        <f>J51&amp;C51</f>
        <v/>
      </c>
      <c r="C51" s="241">
        <f>IFERROR(IF(I51="Home","Away",IF(I51="Away","Home","")),"")</f>
        <v/>
      </c>
      <c r="D51" s="242">
        <f>H51</f>
        <v/>
      </c>
      <c r="E51" s="157">
        <f>IFERROR(IF(AND(F51&gt;0,T51&gt;V51),"Yes",IF(AND(F51&gt;0,T51&lt;V51),"No",IF(AND(F51&lt;0,T51&lt;V51),"Yes",IF(AND(F51&lt;0,T51&gt;V51),"No",0)))),"")</f>
        <v/>
      </c>
      <c r="F51" s="263">
        <f>IFERROR((N51/MAX(N:N)*_MOVw)+(O51/MAX(O:O)*_WINw)+(P51/MAX(P:P)*_PPGw)+(Q51/MAX(Q:Q)*_ORw)+(R51/MAX(R:R)*_DRw),"")</f>
        <v/>
      </c>
      <c r="N51" s="156">
        <f>IFERROR(VLOOKUP(H51,Matrix!A:AC,12,0)-VLOOKUP(J51,Matrix!A:AC,12,0),"")</f>
        <v/>
      </c>
      <c r="O51" s="182">
        <f>IFERROR(AVERAGEIFS(2025Schedule!O:O,2025Schedule!E:E,H51,2025Schedule!N:N,A51)-AVERAGEIFS(2025Schedule!O:O,2025Schedule!E:E,J51,2025Schedule!N:N,B51),0)</f>
        <v/>
      </c>
      <c r="P51" s="156">
        <f>IFERROR(VLOOKUP(H51,Matrix!A:D,2,0)-VLOOKUP(J51,Matrix!A:D,2,0),"")</f>
        <v/>
      </c>
      <c r="Q51" s="156">
        <f>IFERROR(VLOOKUP(H51,Matrix!A:AC,15,0)-VLOOKUP(J51,Matrix!A:AC,15,0),"")</f>
        <v/>
      </c>
      <c r="R51" s="156">
        <f>IFERROR(VLOOKUP(H51,Matrix!A:AC,16,0)-VLOOKUP(J51,Matrix!A:AC,16,0),"")</f>
        <v/>
      </c>
      <c r="S51" s="195">
        <f>H51</f>
        <v/>
      </c>
      <c r="T51" s="195">
        <f>IFERROR(VLOOKUP(G51&amp;H51,2025Schedule!A:F,6,0),"")</f>
        <v/>
      </c>
      <c r="U51" s="264">
        <f>J51</f>
        <v/>
      </c>
      <c r="V51" s="195">
        <f>IFERROR(VLOOKUP(G51&amp;J51,2025Schedule!A:F,6,0),"")</f>
        <v/>
      </c>
    </row>
    <row r="52" ht="14.4" customHeight="1" s="152">
      <c r="A52" s="241">
        <f>H52&amp;I52</f>
        <v/>
      </c>
      <c r="B52" s="241">
        <f>J52&amp;C52</f>
        <v/>
      </c>
      <c r="C52" s="241">
        <f>IFERROR(IF(I52="Home","Away",IF(I52="Away","Home","")),"")</f>
        <v/>
      </c>
      <c r="D52" s="242">
        <f>H52</f>
        <v/>
      </c>
      <c r="E52" s="157">
        <f>IFERROR(IF(AND(F52&gt;0,T52&gt;V52),"Yes",IF(AND(F52&gt;0,T52&lt;V52),"No",IF(AND(F52&lt;0,T52&lt;V52),"Yes",IF(AND(F52&lt;0,T52&gt;V52),"No",0)))),"")</f>
        <v/>
      </c>
      <c r="F52" s="263">
        <f>IFERROR((N52/MAX(N:N)*_MOVw)+(O52/MAX(O:O)*_WINw)+(P52/MAX(P:P)*_PPGw)+(Q52/MAX(Q:Q)*_ORw)+(R52/MAX(R:R)*_DRw),"")</f>
        <v/>
      </c>
      <c r="N52" s="156">
        <f>IFERROR(VLOOKUP(H52,Matrix!A:AC,12,0)-VLOOKUP(J52,Matrix!A:AC,12,0),"")</f>
        <v/>
      </c>
      <c r="O52" s="182">
        <f>IFERROR(AVERAGEIFS(2025Schedule!O:O,2025Schedule!E:E,H52,2025Schedule!N:N,A52)-AVERAGEIFS(2025Schedule!O:O,2025Schedule!E:E,J52,2025Schedule!N:N,B52),0)</f>
        <v/>
      </c>
      <c r="P52" s="156">
        <f>IFERROR(VLOOKUP(H52,Matrix!A:D,2,0)-VLOOKUP(J52,Matrix!A:D,2,0),"")</f>
        <v/>
      </c>
      <c r="Q52" s="156">
        <f>IFERROR(VLOOKUP(H52,Matrix!A:AC,15,0)-VLOOKUP(J52,Matrix!A:AC,15,0),"")</f>
        <v/>
      </c>
      <c r="R52" s="156">
        <f>IFERROR(VLOOKUP(H52,Matrix!A:AC,16,0)-VLOOKUP(J52,Matrix!A:AC,16,0),"")</f>
        <v/>
      </c>
      <c r="S52" s="195">
        <f>H52</f>
        <v/>
      </c>
      <c r="T52" s="195">
        <f>IFERROR(VLOOKUP(G52&amp;H52,2025Schedule!A:F,6,0),"")</f>
        <v/>
      </c>
      <c r="U52" s="264">
        <f>J52</f>
        <v/>
      </c>
      <c r="V52" s="195">
        <f>IFERROR(VLOOKUP(G52&amp;J52,2025Schedule!A:F,6,0),"")</f>
        <v/>
      </c>
    </row>
    <row r="53" ht="14.4" customHeight="1" s="152">
      <c r="A53" s="241">
        <f>H53&amp;I53</f>
        <v/>
      </c>
      <c r="B53" s="241">
        <f>J53&amp;C53</f>
        <v/>
      </c>
      <c r="C53" s="241">
        <f>IFERROR(IF(I53="Home","Away",IF(I53="Away","Home","")),"")</f>
        <v/>
      </c>
      <c r="D53" s="242">
        <f>H53</f>
        <v/>
      </c>
      <c r="E53" s="157">
        <f>IFERROR(IF(AND(F53&gt;0,T53&gt;V53),"Yes",IF(AND(F53&gt;0,T53&lt;V53),"No",IF(AND(F53&lt;0,T53&lt;V53),"Yes",IF(AND(F53&lt;0,T53&gt;V53),"No",0)))),"")</f>
        <v/>
      </c>
      <c r="F53" s="263">
        <f>IFERROR((N53/MAX(N:N)*_MOVw)+(O53/MAX(O:O)*_WINw)+(P53/MAX(P:P)*_PPGw)+(Q53/MAX(Q:Q)*_ORw)+(R53/MAX(R:R)*_DRw),"")</f>
        <v/>
      </c>
      <c r="N53" s="156">
        <f>IFERROR(VLOOKUP(H53,Matrix!A:AC,12,0)-VLOOKUP(J53,Matrix!A:AC,12,0),"")</f>
        <v/>
      </c>
      <c r="O53" s="182">
        <f>IFERROR(AVERAGEIFS(2025Schedule!O:O,2025Schedule!E:E,H53,2025Schedule!N:N,A53)-AVERAGEIFS(2025Schedule!O:O,2025Schedule!E:E,J53,2025Schedule!N:N,B53),0)</f>
        <v/>
      </c>
      <c r="P53" s="156">
        <f>IFERROR(VLOOKUP(H53,Matrix!A:D,2,0)-VLOOKUP(J53,Matrix!A:D,2,0),"")</f>
        <v/>
      </c>
      <c r="Q53" s="156">
        <f>IFERROR(VLOOKUP(H53,Matrix!A:AC,15,0)-VLOOKUP(J53,Matrix!A:AC,15,0),"")</f>
        <v/>
      </c>
      <c r="R53" s="156">
        <f>IFERROR(VLOOKUP(H53,Matrix!A:AC,16,0)-VLOOKUP(J53,Matrix!A:AC,16,0),"")</f>
        <v/>
      </c>
      <c r="S53" s="195">
        <f>H53</f>
        <v/>
      </c>
      <c r="T53" s="195">
        <f>IFERROR(VLOOKUP(G53&amp;H53,2025Schedule!A:F,6,0),"")</f>
        <v/>
      </c>
      <c r="U53" s="264">
        <f>J53</f>
        <v/>
      </c>
      <c r="V53" s="195">
        <f>IFERROR(VLOOKUP(G53&amp;J53,2025Schedule!A:F,6,0),"")</f>
        <v/>
      </c>
    </row>
    <row r="54" ht="14.4" customHeight="1" s="152">
      <c r="A54" s="241">
        <f>H54&amp;I54</f>
        <v/>
      </c>
      <c r="B54" s="241">
        <f>J54&amp;C54</f>
        <v/>
      </c>
      <c r="C54" s="241">
        <f>IFERROR(IF(I54="Home","Away",IF(I54="Away","Home","")),"")</f>
        <v/>
      </c>
      <c r="D54" s="242">
        <f>H54</f>
        <v/>
      </c>
      <c r="E54" s="157">
        <f>IFERROR(IF(AND(F54&gt;0,T54&gt;V54),"Yes",IF(AND(F54&gt;0,T54&lt;V54),"No",IF(AND(F54&lt;0,T54&lt;V54),"Yes",IF(AND(F54&lt;0,T54&gt;V54),"No",0)))),"")</f>
        <v/>
      </c>
      <c r="F54" s="263">
        <f>IFERROR((N54/MAX(N:N)*_MOVw)+(O54/MAX(O:O)*_WINw)+(P54/MAX(P:P)*_PPGw)+(Q54/MAX(Q:Q)*_ORw)+(R54/MAX(R:R)*_DRw),"")</f>
        <v/>
      </c>
      <c r="N54" s="156">
        <f>IFERROR(VLOOKUP(H54,Matrix!A:AC,12,0)-VLOOKUP(J54,Matrix!A:AC,12,0),"")</f>
        <v/>
      </c>
      <c r="O54" s="182">
        <f>IFERROR(AVERAGEIFS(2025Schedule!O:O,2025Schedule!E:E,H54,2025Schedule!N:N,A54)-AVERAGEIFS(2025Schedule!O:O,2025Schedule!E:E,J54,2025Schedule!N:N,B54),0)</f>
        <v/>
      </c>
      <c r="P54" s="156">
        <f>IFERROR(VLOOKUP(H54,Matrix!A:D,2,0)-VLOOKUP(J54,Matrix!A:D,2,0),"")</f>
        <v/>
      </c>
      <c r="Q54" s="156">
        <f>IFERROR(VLOOKUP(H54,Matrix!A:AC,15,0)-VLOOKUP(J54,Matrix!A:AC,15,0),"")</f>
        <v/>
      </c>
      <c r="R54" s="156">
        <f>IFERROR(VLOOKUP(H54,Matrix!A:AC,16,0)-VLOOKUP(J54,Matrix!A:AC,16,0),"")</f>
        <v/>
      </c>
      <c r="S54" s="195">
        <f>H54</f>
        <v/>
      </c>
      <c r="T54" s="195">
        <f>IFERROR(VLOOKUP(G54&amp;H54,2025Schedule!A:F,6,0),"")</f>
        <v/>
      </c>
      <c r="U54" s="264">
        <f>J54</f>
        <v/>
      </c>
      <c r="V54" s="195">
        <f>IFERROR(VLOOKUP(G54&amp;J54,2025Schedule!A:F,6,0),"")</f>
        <v/>
      </c>
    </row>
    <row r="55" ht="14.4" customHeight="1" s="152">
      <c r="A55" s="241">
        <f>H55&amp;I55</f>
        <v/>
      </c>
      <c r="B55" s="241">
        <f>J55&amp;C55</f>
        <v/>
      </c>
      <c r="C55" s="241">
        <f>IFERROR(IF(I55="Home","Away",IF(I55="Away","Home","")),"")</f>
        <v/>
      </c>
      <c r="D55" s="242">
        <f>H55</f>
        <v/>
      </c>
      <c r="E55" s="157">
        <f>IFERROR(IF(AND(F55&gt;0,T55&gt;V55),"Yes",IF(AND(F55&gt;0,T55&lt;V55),"No",IF(AND(F55&lt;0,T55&lt;V55),"Yes",IF(AND(F55&lt;0,T55&gt;V55),"No",0)))),"")</f>
        <v/>
      </c>
      <c r="F55" s="263">
        <f>IFERROR((N55/MAX(N:N)*_MOVw)+(O55/MAX(O:O)*_WINw)+(P55/MAX(P:P)*_PPGw)+(Q55/MAX(Q:Q)*_ORw)+(R55/MAX(R:R)*_DRw),"")</f>
        <v/>
      </c>
      <c r="N55" s="156">
        <f>IFERROR(VLOOKUP(H55,Matrix!A:AC,12,0)-VLOOKUP(J55,Matrix!A:AC,12,0),"")</f>
        <v/>
      </c>
      <c r="O55" s="182">
        <f>IFERROR(AVERAGEIFS(2025Schedule!O:O,2025Schedule!E:E,H55,2025Schedule!N:N,A55)-AVERAGEIFS(2025Schedule!O:O,2025Schedule!E:E,J55,2025Schedule!N:N,B55),0)</f>
        <v/>
      </c>
      <c r="P55" s="156">
        <f>IFERROR(VLOOKUP(H55,Matrix!A:D,2,0)-VLOOKUP(J55,Matrix!A:D,2,0),"")</f>
        <v/>
      </c>
      <c r="Q55" s="156">
        <f>IFERROR(VLOOKUP(H55,Matrix!A:AC,15,0)-VLOOKUP(J55,Matrix!A:AC,15,0),"")</f>
        <v/>
      </c>
      <c r="R55" s="156">
        <f>IFERROR(VLOOKUP(H55,Matrix!A:AC,16,0)-VLOOKUP(J55,Matrix!A:AC,16,0),"")</f>
        <v/>
      </c>
      <c r="S55" s="195">
        <f>H55</f>
        <v/>
      </c>
      <c r="T55" s="195">
        <f>IFERROR(VLOOKUP(G55&amp;H55,2025Schedule!A:F,6,0),"")</f>
        <v/>
      </c>
      <c r="U55" s="264">
        <f>J55</f>
        <v/>
      </c>
      <c r="V55" s="195">
        <f>IFERROR(VLOOKUP(G55&amp;J55,2025Schedule!A:F,6,0),"")</f>
        <v/>
      </c>
    </row>
    <row r="56" ht="14.4" customHeight="1" s="152">
      <c r="A56" s="241">
        <f>H56&amp;I56</f>
        <v/>
      </c>
      <c r="B56" s="241">
        <f>J56&amp;C56</f>
        <v/>
      </c>
      <c r="C56" s="241">
        <f>IFERROR(IF(I56="Home","Away",IF(I56="Away","Home","")),"")</f>
        <v/>
      </c>
      <c r="D56" s="242">
        <f>H56</f>
        <v/>
      </c>
      <c r="E56" s="157">
        <f>IFERROR(IF(AND(F56&gt;0,T56&gt;V56),"Yes",IF(AND(F56&gt;0,T56&lt;V56),"No",IF(AND(F56&lt;0,T56&lt;V56),"Yes",IF(AND(F56&lt;0,T56&gt;V56),"No",0)))),"")</f>
        <v/>
      </c>
      <c r="F56" s="263">
        <f>IFERROR((N56/MAX(N:N)*_MOVw)+(O56/MAX(O:O)*_WINw)+(P56/MAX(P:P)*_PPGw)+(Q56/MAX(Q:Q)*_ORw)+(R56/MAX(R:R)*_DRw),"")</f>
        <v/>
      </c>
      <c r="N56" s="156">
        <f>IFERROR(VLOOKUP(H56,Matrix!A:AC,12,0)-VLOOKUP(J56,Matrix!A:AC,12,0),"")</f>
        <v/>
      </c>
      <c r="O56" s="182">
        <f>IFERROR(AVERAGEIFS(2025Schedule!O:O,2025Schedule!E:E,H56,2025Schedule!N:N,A56)-AVERAGEIFS(2025Schedule!O:O,2025Schedule!E:E,J56,2025Schedule!N:N,B56),0)</f>
        <v/>
      </c>
      <c r="P56" s="156">
        <f>IFERROR(VLOOKUP(H56,Matrix!A:D,2,0)-VLOOKUP(J56,Matrix!A:D,2,0),"")</f>
        <v/>
      </c>
      <c r="Q56" s="156">
        <f>IFERROR(VLOOKUP(H56,Matrix!A:AC,15,0)-VLOOKUP(J56,Matrix!A:AC,15,0),"")</f>
        <v/>
      </c>
      <c r="R56" s="156">
        <f>IFERROR(VLOOKUP(H56,Matrix!A:AC,16,0)-VLOOKUP(J56,Matrix!A:AC,16,0),"")</f>
        <v/>
      </c>
      <c r="S56" s="195">
        <f>H56</f>
        <v/>
      </c>
      <c r="T56" s="195">
        <f>IFERROR(VLOOKUP(G56&amp;H56,2025Schedule!A:F,6,0),"")</f>
        <v/>
      </c>
      <c r="U56" s="264">
        <f>J56</f>
        <v/>
      </c>
      <c r="V56" s="195">
        <f>IFERROR(VLOOKUP(G56&amp;J56,2025Schedule!A:F,6,0),"")</f>
        <v/>
      </c>
    </row>
    <row r="57" ht="14.4" customHeight="1" s="152">
      <c r="A57" s="241">
        <f>H57&amp;I57</f>
        <v/>
      </c>
      <c r="B57" s="241">
        <f>J57&amp;C57</f>
        <v/>
      </c>
      <c r="C57" s="241">
        <f>IFERROR(IF(I57="Home","Away",IF(I57="Away","Home","")),"")</f>
        <v/>
      </c>
      <c r="D57" s="242">
        <f>H57</f>
        <v/>
      </c>
      <c r="E57" s="157">
        <f>IFERROR(IF(AND(F57&gt;0,T57&gt;V57),"Yes",IF(AND(F57&gt;0,T57&lt;V57),"No",IF(AND(F57&lt;0,T57&lt;V57),"Yes",IF(AND(F57&lt;0,T57&gt;V57),"No",0)))),"")</f>
        <v/>
      </c>
      <c r="F57" s="263">
        <f>IFERROR((N57/MAX(N:N)*_MOVw)+(O57/MAX(O:O)*_WINw)+(P57/MAX(P:P)*_PPGw)+(Q57/MAX(Q:Q)*_ORw)+(R57/MAX(R:R)*_DRw),"")</f>
        <v/>
      </c>
      <c r="N57" s="156">
        <f>IFERROR(VLOOKUP(H57,Matrix!A:AC,12,0)-VLOOKUP(J57,Matrix!A:AC,12,0),"")</f>
        <v/>
      </c>
      <c r="O57" s="182">
        <f>IFERROR(AVERAGEIFS(2025Schedule!O:O,2025Schedule!E:E,H57,2025Schedule!N:N,A57)-AVERAGEIFS(2025Schedule!O:O,2025Schedule!E:E,J57,2025Schedule!N:N,B57),0)</f>
        <v/>
      </c>
      <c r="P57" s="156">
        <f>IFERROR(VLOOKUP(H57,Matrix!A:D,2,0)-VLOOKUP(J57,Matrix!A:D,2,0),"")</f>
        <v/>
      </c>
      <c r="Q57" s="156">
        <f>IFERROR(VLOOKUP(H57,Matrix!A:AC,15,0)-VLOOKUP(J57,Matrix!A:AC,15,0),"")</f>
        <v/>
      </c>
      <c r="R57" s="156">
        <f>IFERROR(VLOOKUP(H57,Matrix!A:AC,16,0)-VLOOKUP(J57,Matrix!A:AC,16,0),"")</f>
        <v/>
      </c>
      <c r="S57" s="195">
        <f>H57</f>
        <v/>
      </c>
      <c r="T57" s="195">
        <f>IFERROR(VLOOKUP(G57&amp;H57,2025Schedule!A:F,6,0),"")</f>
        <v/>
      </c>
      <c r="U57" s="264">
        <f>J57</f>
        <v/>
      </c>
      <c r="V57" s="195">
        <f>IFERROR(VLOOKUP(G57&amp;J57,2025Schedule!A:F,6,0),"")</f>
        <v/>
      </c>
    </row>
    <row r="58" ht="14.4" customHeight="1" s="152">
      <c r="A58" s="241">
        <f>H58&amp;I58</f>
        <v/>
      </c>
      <c r="B58" s="241">
        <f>J58&amp;C58</f>
        <v/>
      </c>
      <c r="C58" s="241">
        <f>IFERROR(IF(I58="Home","Away",IF(I58="Away","Home","")),"")</f>
        <v/>
      </c>
      <c r="D58" s="242">
        <f>H58</f>
        <v/>
      </c>
      <c r="E58" s="157">
        <f>IFERROR(IF(AND(F58&gt;0,T58&gt;V58),"Yes",IF(AND(F58&gt;0,T58&lt;V58),"No",IF(AND(F58&lt;0,T58&lt;V58),"Yes",IF(AND(F58&lt;0,T58&gt;V58),"No",0)))),"")</f>
        <v/>
      </c>
      <c r="F58" s="263">
        <f>IFERROR((N58/MAX(N:N)*_MOVw)+(O58/MAX(O:O)*_WINw)+(P58/MAX(P:P)*_PPGw)+(Q58/MAX(Q:Q)*_ORw)+(R58/MAX(R:R)*_DRw),"")</f>
        <v/>
      </c>
      <c r="N58" s="156">
        <f>IFERROR(VLOOKUP(H58,Matrix!A:AC,12,0)-VLOOKUP(J58,Matrix!A:AC,12,0),"")</f>
        <v/>
      </c>
      <c r="O58" s="182">
        <f>IFERROR(AVERAGEIFS(2025Schedule!O:O,2025Schedule!E:E,H58,2025Schedule!N:N,A58)-AVERAGEIFS(2025Schedule!O:O,2025Schedule!E:E,J58,2025Schedule!N:N,B58),0)</f>
        <v/>
      </c>
      <c r="P58" s="156">
        <f>IFERROR(VLOOKUP(H58,Matrix!A:D,2,0)-VLOOKUP(J58,Matrix!A:D,2,0),"")</f>
        <v/>
      </c>
      <c r="Q58" s="156">
        <f>IFERROR(VLOOKUP(H58,Matrix!A:AC,15,0)-VLOOKUP(J58,Matrix!A:AC,15,0),"")</f>
        <v/>
      </c>
      <c r="R58" s="156">
        <f>IFERROR(VLOOKUP(H58,Matrix!A:AC,16,0)-VLOOKUP(J58,Matrix!A:AC,16,0),"")</f>
        <v/>
      </c>
      <c r="S58" s="195">
        <f>H58</f>
        <v/>
      </c>
      <c r="T58" s="195">
        <f>IFERROR(VLOOKUP(G58&amp;H58,2025Schedule!A:F,6,0),"")</f>
        <v/>
      </c>
      <c r="U58" s="264">
        <f>J58</f>
        <v/>
      </c>
      <c r="V58" s="195">
        <f>IFERROR(VLOOKUP(G58&amp;J58,2025Schedule!A:F,6,0),"")</f>
        <v/>
      </c>
    </row>
    <row r="59" ht="14.4" customHeight="1" s="152">
      <c r="A59" s="241">
        <f>H59&amp;I59</f>
        <v/>
      </c>
      <c r="B59" s="241">
        <f>J59&amp;C59</f>
        <v/>
      </c>
      <c r="C59" s="241">
        <f>IFERROR(IF(I59="Home","Away",IF(I59="Away","Home","")),"")</f>
        <v/>
      </c>
      <c r="D59" s="242">
        <f>H59</f>
        <v/>
      </c>
      <c r="E59" s="157">
        <f>IFERROR(IF(AND(F59&gt;0,T59&gt;V59),"Yes",IF(AND(F59&gt;0,T59&lt;V59),"No",IF(AND(F59&lt;0,T59&lt;V59),"Yes",IF(AND(F59&lt;0,T59&gt;V59),"No",0)))),"")</f>
        <v/>
      </c>
      <c r="F59" s="263">
        <f>IFERROR((N59/MAX(N:N)*_MOVw)+(O59/MAX(O:O)*_WINw)+(P59/MAX(P:P)*_PPGw)+(Q59/MAX(Q:Q)*_ORw)+(R59/MAX(R:R)*_DRw),"")</f>
        <v/>
      </c>
      <c r="N59" s="156">
        <f>IFERROR(VLOOKUP(H59,Matrix!A:AC,12,0)-VLOOKUP(J59,Matrix!A:AC,12,0),"")</f>
        <v/>
      </c>
      <c r="O59" s="182">
        <f>IFERROR(AVERAGEIFS(2025Schedule!O:O,2025Schedule!E:E,H59,2025Schedule!N:N,A59)-AVERAGEIFS(2025Schedule!O:O,2025Schedule!E:E,J59,2025Schedule!N:N,B59),0)</f>
        <v/>
      </c>
      <c r="P59" s="156">
        <f>IFERROR(VLOOKUP(H59,Matrix!A:D,2,0)-VLOOKUP(J59,Matrix!A:D,2,0),"")</f>
        <v/>
      </c>
      <c r="Q59" s="156">
        <f>IFERROR(VLOOKUP(H59,Matrix!A:AC,15,0)-VLOOKUP(J59,Matrix!A:AC,15,0),"")</f>
        <v/>
      </c>
      <c r="R59" s="156">
        <f>IFERROR(VLOOKUP(H59,Matrix!A:AC,16,0)-VLOOKUP(J59,Matrix!A:AC,16,0),"")</f>
        <v/>
      </c>
      <c r="S59" s="195">
        <f>H59</f>
        <v/>
      </c>
      <c r="T59" s="195">
        <f>IFERROR(VLOOKUP(G59&amp;H59,2025Schedule!A:F,6,0),"")</f>
        <v/>
      </c>
      <c r="U59" s="264">
        <f>J59</f>
        <v/>
      </c>
      <c r="V59" s="195">
        <f>IFERROR(VLOOKUP(G59&amp;J59,2025Schedule!A:F,6,0),"")</f>
        <v/>
      </c>
    </row>
    <row r="60" ht="14.4" customHeight="1" s="152">
      <c r="A60" s="241">
        <f>H60&amp;I60</f>
        <v/>
      </c>
      <c r="B60" s="241">
        <f>J60&amp;C60</f>
        <v/>
      </c>
      <c r="C60" s="241">
        <f>IFERROR(IF(I60="Home","Away",IF(I60="Away","Home","")),"")</f>
        <v/>
      </c>
      <c r="D60" s="242">
        <f>H60</f>
        <v/>
      </c>
      <c r="E60" s="157">
        <f>IFERROR(IF(AND(F60&gt;0,T60&gt;V60),"Yes",IF(AND(F60&gt;0,T60&lt;V60),"No",IF(AND(F60&lt;0,T60&lt;V60),"Yes",IF(AND(F60&lt;0,T60&gt;V60),"No",0)))),"")</f>
        <v/>
      </c>
      <c r="F60" s="263">
        <f>IFERROR((N60/MAX(N:N)*_MOVw)+(O60/MAX(O:O)*_WINw)+(P60/MAX(P:P)*_PPGw)+(Q60/MAX(Q:Q)*_ORw)+(R60/MAX(R:R)*_DRw),"")</f>
        <v/>
      </c>
      <c r="N60" s="156">
        <f>IFERROR(VLOOKUP(H60,Matrix!A:AC,12,0)-VLOOKUP(J60,Matrix!A:AC,12,0),"")</f>
        <v/>
      </c>
      <c r="O60" s="182">
        <f>IFERROR(AVERAGEIFS(2025Schedule!O:O,2025Schedule!E:E,H60,2025Schedule!N:N,A60)-AVERAGEIFS(2025Schedule!O:O,2025Schedule!E:E,J60,2025Schedule!N:N,B60),0)</f>
        <v/>
      </c>
      <c r="P60" s="156">
        <f>IFERROR(VLOOKUP(H60,Matrix!A:D,2,0)-VLOOKUP(J60,Matrix!A:D,2,0),"")</f>
        <v/>
      </c>
      <c r="Q60" s="156">
        <f>IFERROR(VLOOKUP(H60,Matrix!A:AC,15,0)-VLOOKUP(J60,Matrix!A:AC,15,0),"")</f>
        <v/>
      </c>
      <c r="R60" s="156">
        <f>IFERROR(VLOOKUP(H60,Matrix!A:AC,16,0)-VLOOKUP(J60,Matrix!A:AC,16,0),"")</f>
        <v/>
      </c>
      <c r="S60" s="195">
        <f>H60</f>
        <v/>
      </c>
      <c r="T60" s="195">
        <f>IFERROR(VLOOKUP(G60&amp;H60,2025Schedule!A:F,6,0),"")</f>
        <v/>
      </c>
      <c r="U60" s="264">
        <f>J60</f>
        <v/>
      </c>
      <c r="V60" s="195">
        <f>IFERROR(VLOOKUP(G60&amp;J60,2025Schedule!A:F,6,0),"")</f>
        <v/>
      </c>
    </row>
    <row r="61" ht="14.4" customHeight="1" s="152">
      <c r="A61" s="241">
        <f>H61&amp;I61</f>
        <v/>
      </c>
      <c r="B61" s="241">
        <f>J61&amp;C61</f>
        <v/>
      </c>
      <c r="C61" s="241">
        <f>IFERROR(IF(I61="Home","Away",IF(I61="Away","Home","")),"")</f>
        <v/>
      </c>
      <c r="D61" s="242">
        <f>H61</f>
        <v/>
      </c>
      <c r="E61" s="157">
        <f>IFERROR(IF(AND(F61&gt;0,T61&gt;V61),"Yes",IF(AND(F61&gt;0,T61&lt;V61),"No",IF(AND(F61&lt;0,T61&lt;V61),"Yes",IF(AND(F61&lt;0,T61&gt;V61),"No",0)))),"")</f>
        <v/>
      </c>
      <c r="F61" s="263">
        <f>IFERROR((N61/MAX(N:N)*_MOVw)+(O61/MAX(O:O)*_WINw)+(P61/MAX(P:P)*_PPGw)+(Q61/MAX(Q:Q)*_ORw)+(R61/MAX(R:R)*_DRw),"")</f>
        <v/>
      </c>
      <c r="N61" s="156">
        <f>IFERROR(VLOOKUP(H61,Matrix!A:AC,12,0)-VLOOKUP(J61,Matrix!A:AC,12,0),"")</f>
        <v/>
      </c>
      <c r="O61" s="182">
        <f>IFERROR(AVERAGEIFS(2025Schedule!O:O,2025Schedule!E:E,H61,2025Schedule!N:N,A61)-AVERAGEIFS(2025Schedule!O:O,2025Schedule!E:E,J61,2025Schedule!N:N,B61),0)</f>
        <v/>
      </c>
      <c r="P61" s="156">
        <f>IFERROR(VLOOKUP(H61,Matrix!A:D,2,0)-VLOOKUP(J61,Matrix!A:D,2,0),"")</f>
        <v/>
      </c>
      <c r="Q61" s="156">
        <f>IFERROR(VLOOKUP(H61,Matrix!A:AC,15,0)-VLOOKUP(J61,Matrix!A:AC,15,0),"")</f>
        <v/>
      </c>
      <c r="R61" s="156">
        <f>IFERROR(VLOOKUP(H61,Matrix!A:AC,16,0)-VLOOKUP(J61,Matrix!A:AC,16,0),"")</f>
        <v/>
      </c>
      <c r="S61" s="195">
        <f>H61</f>
        <v/>
      </c>
      <c r="T61" s="195">
        <f>IFERROR(VLOOKUP(G61&amp;H61,2025Schedule!A:F,6,0),"")</f>
        <v/>
      </c>
      <c r="U61" s="264">
        <f>J61</f>
        <v/>
      </c>
      <c r="V61" s="195">
        <f>IFERROR(VLOOKUP(G61&amp;J61,2025Schedule!A:F,6,0),"")</f>
        <v/>
      </c>
    </row>
    <row r="62" ht="14.4" customHeight="1" s="152">
      <c r="A62" s="241">
        <f>H62&amp;I62</f>
        <v/>
      </c>
      <c r="B62" s="241">
        <f>J62&amp;C62</f>
        <v/>
      </c>
      <c r="C62" s="241">
        <f>IFERROR(IF(I62="Home","Away",IF(I62="Away","Home","")),"")</f>
        <v/>
      </c>
      <c r="D62" s="242">
        <f>H62</f>
        <v/>
      </c>
      <c r="E62" s="157">
        <f>IFERROR(IF(AND(F62&gt;0,T62&gt;V62),"Yes",IF(AND(F62&gt;0,T62&lt;V62),"No",IF(AND(F62&lt;0,T62&lt;V62),"Yes",IF(AND(F62&lt;0,T62&gt;V62),"No",0)))),"")</f>
        <v/>
      </c>
      <c r="F62" s="263">
        <f>IFERROR((N62/MAX(N:N)*_MOVw)+(O62/MAX(O:O)*_WINw)+(P62/MAX(P:P)*_PPGw)+(Q62/MAX(Q:Q)*_ORw)+(R62/MAX(R:R)*_DRw),"")</f>
        <v/>
      </c>
      <c r="N62" s="156">
        <f>IFERROR(VLOOKUP(H62,Matrix!A:AC,12,0)-VLOOKUP(J62,Matrix!A:AC,12,0),"")</f>
        <v/>
      </c>
      <c r="O62" s="182">
        <f>IFERROR(AVERAGEIFS(2025Schedule!O:O,2025Schedule!E:E,H62,2025Schedule!N:N,A62)-AVERAGEIFS(2025Schedule!O:O,2025Schedule!E:E,J62,2025Schedule!N:N,B62),0)</f>
        <v/>
      </c>
      <c r="P62" s="156">
        <f>IFERROR(VLOOKUP(H62,Matrix!A:D,2,0)-VLOOKUP(J62,Matrix!A:D,2,0),"")</f>
        <v/>
      </c>
      <c r="Q62" s="156">
        <f>IFERROR(VLOOKUP(H62,Matrix!A:AC,15,0)-VLOOKUP(J62,Matrix!A:AC,15,0),"")</f>
        <v/>
      </c>
      <c r="R62" s="156">
        <f>IFERROR(VLOOKUP(H62,Matrix!A:AC,16,0)-VLOOKUP(J62,Matrix!A:AC,16,0),"")</f>
        <v/>
      </c>
      <c r="S62" s="195">
        <f>H62</f>
        <v/>
      </c>
      <c r="T62" s="195">
        <f>IFERROR(VLOOKUP(G62&amp;H62,2025Schedule!A:F,6,0),"")</f>
        <v/>
      </c>
      <c r="U62" s="264">
        <f>J62</f>
        <v/>
      </c>
      <c r="V62" s="195">
        <f>IFERROR(VLOOKUP(G62&amp;J62,2025Schedule!A:F,6,0),"")</f>
        <v/>
      </c>
    </row>
    <row r="63" ht="14.4" customHeight="1" s="152">
      <c r="A63" s="241">
        <f>H63&amp;I63</f>
        <v/>
      </c>
      <c r="B63" s="241">
        <f>J63&amp;C63</f>
        <v/>
      </c>
      <c r="C63" s="241">
        <f>IFERROR(IF(I63="Home","Away",IF(I63="Away","Home","")),"")</f>
        <v/>
      </c>
      <c r="D63" s="242">
        <f>H63</f>
        <v/>
      </c>
      <c r="E63" s="157">
        <f>IFERROR(IF(AND(F63&gt;0,T63&gt;V63),"Yes",IF(AND(F63&gt;0,T63&lt;V63),"No",IF(AND(F63&lt;0,T63&lt;V63),"Yes",IF(AND(F63&lt;0,T63&gt;V63),"No",0)))),"")</f>
        <v/>
      </c>
      <c r="F63" s="263">
        <f>IFERROR((N63/MAX(N:N)*_MOVw)+(O63/MAX(O:O)*_WINw)+(P63/MAX(P:P)*_PPGw)+(Q63/MAX(Q:Q)*_ORw)+(R63/MAX(R:R)*_DRw),"")</f>
        <v/>
      </c>
      <c r="N63" s="156">
        <f>IFERROR(VLOOKUP(H63,Matrix!A:AC,12,0)-VLOOKUP(J63,Matrix!A:AC,12,0),"")</f>
        <v/>
      </c>
      <c r="O63" s="182">
        <f>IFERROR(AVERAGEIFS(2025Schedule!O:O,2025Schedule!E:E,H63,2025Schedule!N:N,A63)-AVERAGEIFS(2025Schedule!O:O,2025Schedule!E:E,J63,2025Schedule!N:N,B63),0)</f>
        <v/>
      </c>
      <c r="P63" s="156">
        <f>IFERROR(VLOOKUP(H63,Matrix!A:D,2,0)-VLOOKUP(J63,Matrix!A:D,2,0),"")</f>
        <v/>
      </c>
      <c r="Q63" s="156">
        <f>IFERROR(VLOOKUP(H63,Matrix!A:AC,15,0)-VLOOKUP(J63,Matrix!A:AC,15,0),"")</f>
        <v/>
      </c>
      <c r="R63" s="156">
        <f>IFERROR(VLOOKUP(H63,Matrix!A:AC,16,0)-VLOOKUP(J63,Matrix!A:AC,16,0),"")</f>
        <v/>
      </c>
      <c r="S63" s="195">
        <f>H63</f>
        <v/>
      </c>
      <c r="T63" s="195">
        <f>IFERROR(VLOOKUP(G63&amp;H63,2025Schedule!A:F,6,0),"")</f>
        <v/>
      </c>
      <c r="U63" s="264">
        <f>J63</f>
        <v/>
      </c>
      <c r="V63" s="195">
        <f>IFERROR(VLOOKUP(G63&amp;J63,2025Schedule!A:F,6,0),"")</f>
        <v/>
      </c>
    </row>
    <row r="64" ht="14.4" customHeight="1" s="152">
      <c r="A64" s="241">
        <f>H64&amp;I64</f>
        <v/>
      </c>
      <c r="B64" s="241">
        <f>J64&amp;C64</f>
        <v/>
      </c>
      <c r="C64" s="241">
        <f>IFERROR(IF(I64="Home","Away",IF(I64="Away","Home","")),"")</f>
        <v/>
      </c>
      <c r="D64" s="242">
        <f>H64</f>
        <v/>
      </c>
      <c r="E64" s="157">
        <f>IFERROR(IF(AND(F64&gt;0,T64&gt;V64),"Yes",IF(AND(F64&gt;0,T64&lt;V64),"No",IF(AND(F64&lt;0,T64&lt;V64),"Yes",IF(AND(F64&lt;0,T64&gt;V64),"No",0)))),"")</f>
        <v/>
      </c>
      <c r="F64" s="263">
        <f>IFERROR((N64/MAX(N:N)*_MOVw)+(O64/MAX(O:O)*_WINw)+(P64/MAX(P:P)*_PPGw)+(Q64/MAX(Q:Q)*_ORw)+(R64/MAX(R:R)*_DRw),"")</f>
        <v/>
      </c>
      <c r="N64" s="156">
        <f>IFERROR(VLOOKUP(H64,Matrix!A:AC,12,0)-VLOOKUP(J64,Matrix!A:AC,12,0),"")</f>
        <v/>
      </c>
      <c r="O64" s="182">
        <f>IFERROR(AVERAGEIFS(2025Schedule!O:O,2025Schedule!E:E,H64,2025Schedule!N:N,A64)-AVERAGEIFS(2025Schedule!O:O,2025Schedule!E:E,J64,2025Schedule!N:N,B64),0)</f>
        <v/>
      </c>
      <c r="P64" s="156">
        <f>IFERROR(VLOOKUP(H64,Matrix!A:D,2,0)-VLOOKUP(J64,Matrix!A:D,2,0),"")</f>
        <v/>
      </c>
      <c r="Q64" s="156">
        <f>IFERROR(VLOOKUP(H64,Matrix!A:AC,15,0)-VLOOKUP(J64,Matrix!A:AC,15,0),"")</f>
        <v/>
      </c>
      <c r="R64" s="156">
        <f>IFERROR(VLOOKUP(H64,Matrix!A:AC,16,0)-VLOOKUP(J64,Matrix!A:AC,16,0),"")</f>
        <v/>
      </c>
      <c r="S64" s="195">
        <f>H64</f>
        <v/>
      </c>
      <c r="T64" s="195">
        <f>IFERROR(VLOOKUP(G64&amp;H64,2025Schedule!A:F,6,0),"")</f>
        <v/>
      </c>
      <c r="U64" s="264">
        <f>J64</f>
        <v/>
      </c>
      <c r="V64" s="195">
        <f>IFERROR(VLOOKUP(G64&amp;J64,2025Schedule!A:F,6,0),"")</f>
        <v/>
      </c>
    </row>
    <row r="65" ht="14.4" customHeight="1" s="152">
      <c r="A65" s="241">
        <f>H65&amp;I65</f>
        <v/>
      </c>
      <c r="B65" s="241">
        <f>J65&amp;C65</f>
        <v/>
      </c>
      <c r="C65" s="241">
        <f>IFERROR(IF(I65="Home","Away",IF(I65="Away","Home","")),"")</f>
        <v/>
      </c>
      <c r="D65" s="242">
        <f>H65</f>
        <v/>
      </c>
      <c r="E65" s="157">
        <f>IFERROR(IF(AND(F65&gt;0,T65&gt;V65),"Yes",IF(AND(F65&gt;0,T65&lt;V65),"No",IF(AND(F65&lt;0,T65&lt;V65),"Yes",IF(AND(F65&lt;0,T65&gt;V65),"No",0)))),"")</f>
        <v/>
      </c>
      <c r="F65" s="263">
        <f>IFERROR((N65/MAX(N:N)*_MOVw)+(O65/MAX(O:O)*_WINw)+(P65/MAX(P:P)*_PPGw)+(Q65/MAX(Q:Q)*_ORw)+(R65/MAX(R:R)*_DRw),"")</f>
        <v/>
      </c>
      <c r="N65" s="156">
        <f>IFERROR(VLOOKUP(H65,Matrix!A:AC,12,0)-VLOOKUP(J65,Matrix!A:AC,12,0),"")</f>
        <v/>
      </c>
      <c r="O65" s="182">
        <f>IFERROR(AVERAGEIFS(2025Schedule!O:O,2025Schedule!E:E,H65,2025Schedule!N:N,A65)-AVERAGEIFS(2025Schedule!O:O,2025Schedule!E:E,J65,2025Schedule!N:N,B65),0)</f>
        <v/>
      </c>
      <c r="P65" s="156">
        <f>IFERROR(VLOOKUP(H65,Matrix!A:D,2,0)-VLOOKUP(J65,Matrix!A:D,2,0),"")</f>
        <v/>
      </c>
      <c r="Q65" s="156">
        <f>IFERROR(VLOOKUP(H65,Matrix!A:AC,15,0)-VLOOKUP(J65,Matrix!A:AC,15,0),"")</f>
        <v/>
      </c>
      <c r="R65" s="156">
        <f>IFERROR(VLOOKUP(H65,Matrix!A:AC,16,0)-VLOOKUP(J65,Matrix!A:AC,16,0),"")</f>
        <v/>
      </c>
      <c r="S65" s="195">
        <f>H65</f>
        <v/>
      </c>
      <c r="T65" s="195">
        <f>IFERROR(VLOOKUP(G65&amp;H65,2025Schedule!A:F,6,0),"")</f>
        <v/>
      </c>
      <c r="U65" s="264">
        <f>J65</f>
        <v/>
      </c>
      <c r="V65" s="195">
        <f>IFERROR(VLOOKUP(G65&amp;J65,2025Schedule!A:F,6,0),"")</f>
        <v/>
      </c>
    </row>
    <row r="66" ht="14.4" customHeight="1" s="152">
      <c r="A66" s="241">
        <f>H66&amp;I66</f>
        <v/>
      </c>
      <c r="B66" s="241">
        <f>J66&amp;C66</f>
        <v/>
      </c>
      <c r="C66" s="241">
        <f>IFERROR(IF(I66="Home","Away",IF(I66="Away","Home","")),"")</f>
        <v/>
      </c>
      <c r="D66" s="242">
        <f>H66</f>
        <v/>
      </c>
      <c r="E66" s="157">
        <f>IFERROR(IF(AND(F66&gt;0,T66&gt;V66),"Yes",IF(AND(F66&gt;0,T66&lt;V66),"No",IF(AND(F66&lt;0,T66&lt;V66),"Yes",IF(AND(F66&lt;0,T66&gt;V66),"No",0)))),"")</f>
        <v/>
      </c>
      <c r="F66" s="263">
        <f>IFERROR((N66/MAX(N:N)*_MOVw)+(O66/MAX(O:O)*_WINw)+(P66/MAX(P:P)*_PPGw)+(Q66/MAX(Q:Q)*_ORw)+(R66/MAX(R:R)*_DRw),"")</f>
        <v/>
      </c>
      <c r="N66" s="156">
        <f>IFERROR(VLOOKUP(H66,Matrix!A:AC,12,0)-VLOOKUP(J66,Matrix!A:AC,12,0),"")</f>
        <v/>
      </c>
      <c r="O66" s="182">
        <f>IFERROR(AVERAGEIFS(2025Schedule!O:O,2025Schedule!E:E,H66,2025Schedule!N:N,A66)-AVERAGEIFS(2025Schedule!O:O,2025Schedule!E:E,J66,2025Schedule!N:N,B66),0)</f>
        <v/>
      </c>
      <c r="P66" s="156">
        <f>IFERROR(VLOOKUP(H66,Matrix!A:D,2,0)-VLOOKUP(J66,Matrix!A:D,2,0),"")</f>
        <v/>
      </c>
      <c r="Q66" s="156">
        <f>IFERROR(VLOOKUP(H66,Matrix!A:AC,15,0)-VLOOKUP(J66,Matrix!A:AC,15,0),"")</f>
        <v/>
      </c>
      <c r="R66" s="156">
        <f>IFERROR(VLOOKUP(H66,Matrix!A:AC,16,0)-VLOOKUP(J66,Matrix!A:AC,16,0),"")</f>
        <v/>
      </c>
      <c r="S66" s="195">
        <f>H66</f>
        <v/>
      </c>
      <c r="T66" s="195">
        <f>IFERROR(VLOOKUP(G66&amp;H66,2025Schedule!A:F,6,0),"")</f>
        <v/>
      </c>
      <c r="U66" s="264">
        <f>J66</f>
        <v/>
      </c>
      <c r="V66" s="195">
        <f>IFERROR(VLOOKUP(G66&amp;J66,2025Schedule!A:F,6,0),"")</f>
        <v/>
      </c>
    </row>
    <row r="67" ht="14.4" customHeight="1" s="152">
      <c r="A67" s="241">
        <f>H67&amp;I67</f>
        <v/>
      </c>
      <c r="B67" s="241">
        <f>J67&amp;C67</f>
        <v/>
      </c>
      <c r="C67" s="241">
        <f>IFERROR(IF(I67="Home","Away",IF(I67="Away","Home","")),"")</f>
        <v/>
      </c>
      <c r="D67" s="242">
        <f>H67</f>
        <v/>
      </c>
      <c r="E67" s="157">
        <f>IFERROR(IF(AND(F67&gt;0,T67&gt;V67),"Yes",IF(AND(F67&gt;0,T67&lt;V67),"No",IF(AND(F67&lt;0,T67&lt;V67),"Yes",IF(AND(F67&lt;0,T67&gt;V67),"No",0)))),"")</f>
        <v/>
      </c>
      <c r="F67" s="263">
        <f>IFERROR((N67/MAX(N:N)*_MOVw)+(O67/MAX(O:O)*_WINw)+(P67/MAX(P:P)*_PPGw)+(Q67/MAX(Q:Q)*_ORw)+(R67/MAX(R:R)*_DRw),"")</f>
        <v/>
      </c>
      <c r="N67" s="156">
        <f>IFERROR(VLOOKUP(H67,Matrix!A:AC,12,0)-VLOOKUP(J67,Matrix!A:AC,12,0),"")</f>
        <v/>
      </c>
      <c r="O67" s="182">
        <f>IFERROR(AVERAGEIFS(2025Schedule!O:O,2025Schedule!E:E,H67,2025Schedule!N:N,A67)-AVERAGEIFS(2025Schedule!O:O,2025Schedule!E:E,J67,2025Schedule!N:N,B67),0)</f>
        <v/>
      </c>
      <c r="P67" s="156">
        <f>IFERROR(VLOOKUP(H67,Matrix!A:D,2,0)-VLOOKUP(J67,Matrix!A:D,2,0),"")</f>
        <v/>
      </c>
      <c r="Q67" s="156">
        <f>IFERROR(VLOOKUP(H67,Matrix!A:AC,15,0)-VLOOKUP(J67,Matrix!A:AC,15,0),"")</f>
        <v/>
      </c>
      <c r="R67" s="156">
        <f>IFERROR(VLOOKUP(H67,Matrix!A:AC,16,0)-VLOOKUP(J67,Matrix!A:AC,16,0),"")</f>
        <v/>
      </c>
      <c r="S67" s="195">
        <f>H67</f>
        <v/>
      </c>
      <c r="T67" s="195">
        <f>IFERROR(VLOOKUP(G67&amp;H67,2025Schedule!A:F,6,0),"")</f>
        <v/>
      </c>
      <c r="U67" s="264">
        <f>J67</f>
        <v/>
      </c>
      <c r="V67" s="195">
        <f>IFERROR(VLOOKUP(G67&amp;J67,2025Schedule!A:F,6,0),"")</f>
        <v/>
      </c>
    </row>
    <row r="68" ht="14.4" customHeight="1" s="152">
      <c r="A68" s="241">
        <f>H68&amp;I68</f>
        <v/>
      </c>
      <c r="B68" s="241">
        <f>J68&amp;C68</f>
        <v/>
      </c>
      <c r="C68" s="241">
        <f>IFERROR(IF(I68="Home","Away",IF(I68="Away","Home","")),"")</f>
        <v/>
      </c>
      <c r="D68" s="242">
        <f>H68</f>
        <v/>
      </c>
      <c r="E68" s="157">
        <f>IFERROR(IF(AND(F68&gt;0,T68&gt;V68),"Yes",IF(AND(F68&gt;0,T68&lt;V68),"No",IF(AND(F68&lt;0,T68&lt;V68),"Yes",IF(AND(F68&lt;0,T68&gt;V68),"No",0)))),"")</f>
        <v/>
      </c>
      <c r="F68" s="263">
        <f>IFERROR((N68/MAX(N:N)*_MOVw)+(O68/MAX(O:O)*_WINw)+(P68/MAX(P:P)*_PPGw)+(Q68/MAX(Q:Q)*_ORw)+(R68/MAX(R:R)*_DRw),"")</f>
        <v/>
      </c>
      <c r="N68" s="156">
        <f>IFERROR(VLOOKUP(H68,Matrix!A:AC,12,0)-VLOOKUP(J68,Matrix!A:AC,12,0),"")</f>
        <v/>
      </c>
      <c r="O68" s="182">
        <f>IFERROR(AVERAGEIFS(2025Schedule!O:O,2025Schedule!E:E,H68,2025Schedule!N:N,A68)-AVERAGEIFS(2025Schedule!O:O,2025Schedule!E:E,J68,2025Schedule!N:N,B68),0)</f>
        <v/>
      </c>
      <c r="P68" s="156">
        <f>IFERROR(VLOOKUP(H68,Matrix!A:D,2,0)-VLOOKUP(J68,Matrix!A:D,2,0),"")</f>
        <v/>
      </c>
      <c r="Q68" s="156">
        <f>IFERROR(VLOOKUP(H68,Matrix!A:AC,15,0)-VLOOKUP(J68,Matrix!A:AC,15,0),"")</f>
        <v/>
      </c>
      <c r="R68" s="156">
        <f>IFERROR(VLOOKUP(H68,Matrix!A:AC,16,0)-VLOOKUP(J68,Matrix!A:AC,16,0),"")</f>
        <v/>
      </c>
      <c r="S68" s="195">
        <f>H68</f>
        <v/>
      </c>
      <c r="T68" s="195">
        <f>IFERROR(VLOOKUP(G68&amp;H68,2025Schedule!A:F,6,0),"")</f>
        <v/>
      </c>
      <c r="U68" s="264">
        <f>J68</f>
        <v/>
      </c>
      <c r="V68" s="195">
        <f>IFERROR(VLOOKUP(G68&amp;J68,2025Schedule!A:F,6,0),"")</f>
        <v/>
      </c>
    </row>
    <row r="69" ht="14.4" customHeight="1" s="152">
      <c r="A69" s="241">
        <f>H69&amp;I69</f>
        <v/>
      </c>
      <c r="B69" s="241">
        <f>J69&amp;C69</f>
        <v/>
      </c>
      <c r="C69" s="241">
        <f>IFERROR(IF(I69="Home","Away",IF(I69="Away","Home","")),"")</f>
        <v/>
      </c>
      <c r="D69" s="242">
        <f>H69</f>
        <v/>
      </c>
      <c r="E69" s="157">
        <f>IFERROR(IF(AND(F69&gt;0,T69&gt;V69),"Yes",IF(AND(F69&gt;0,T69&lt;V69),"No",IF(AND(F69&lt;0,T69&lt;V69),"Yes",IF(AND(F69&lt;0,T69&gt;V69),"No",0)))),"")</f>
        <v/>
      </c>
      <c r="F69" s="263">
        <f>IFERROR((N69/MAX(N:N)*_MOVw)+(O69/MAX(O:O)*_WINw)+(P69/MAX(P:P)*_PPGw)+(Q69/MAX(Q:Q)*_ORw)+(R69/MAX(R:R)*_DRw),"")</f>
        <v/>
      </c>
      <c r="N69" s="156">
        <f>IFERROR(VLOOKUP(H69,Matrix!A:AC,12,0)-VLOOKUP(J69,Matrix!A:AC,12,0),"")</f>
        <v/>
      </c>
      <c r="O69" s="182">
        <f>IFERROR(AVERAGEIFS(2025Schedule!O:O,2025Schedule!E:E,H69,2025Schedule!N:N,A69)-AVERAGEIFS(2025Schedule!O:O,2025Schedule!E:E,J69,2025Schedule!N:N,B69),0)</f>
        <v/>
      </c>
      <c r="P69" s="156">
        <f>IFERROR(VLOOKUP(H69,Matrix!A:D,2,0)-VLOOKUP(J69,Matrix!A:D,2,0),"")</f>
        <v/>
      </c>
      <c r="Q69" s="156">
        <f>IFERROR(VLOOKUP(H69,Matrix!A:AC,15,0)-VLOOKUP(J69,Matrix!A:AC,15,0),"")</f>
        <v/>
      </c>
      <c r="R69" s="156">
        <f>IFERROR(VLOOKUP(H69,Matrix!A:AC,16,0)-VLOOKUP(J69,Matrix!A:AC,16,0),"")</f>
        <v/>
      </c>
      <c r="S69" s="195">
        <f>H69</f>
        <v/>
      </c>
      <c r="T69" s="195">
        <f>IFERROR(VLOOKUP(G69&amp;H69,2025Schedule!A:F,6,0),"")</f>
        <v/>
      </c>
      <c r="U69" s="264">
        <f>J69</f>
        <v/>
      </c>
      <c r="V69" s="195">
        <f>IFERROR(VLOOKUP(G69&amp;J69,2025Schedule!A:F,6,0),"")</f>
        <v/>
      </c>
    </row>
    <row r="70" ht="14.4" customHeight="1" s="152">
      <c r="A70" s="241">
        <f>H70&amp;I70</f>
        <v/>
      </c>
      <c r="B70" s="241">
        <f>J70&amp;C70</f>
        <v/>
      </c>
      <c r="C70" s="241">
        <f>IFERROR(IF(I70="Home","Away",IF(I70="Away","Home","")),"")</f>
        <v/>
      </c>
      <c r="D70" s="242">
        <f>H70</f>
        <v/>
      </c>
      <c r="E70" s="157">
        <f>IFERROR(IF(AND(F70&gt;0,T70&gt;V70),"Yes",IF(AND(F70&gt;0,T70&lt;V70),"No",IF(AND(F70&lt;0,T70&lt;V70),"Yes",IF(AND(F70&lt;0,T70&gt;V70),"No",0)))),"")</f>
        <v/>
      </c>
      <c r="F70" s="263">
        <f>IFERROR((N70/MAX(N:N)*_MOVw)+(O70/MAX(O:O)*_WINw)+(P70/MAX(P:P)*_PPGw)+(Q70/MAX(Q:Q)*_ORw)+(R70/MAX(R:R)*_DRw),"")</f>
        <v/>
      </c>
      <c r="N70" s="156">
        <f>IFERROR(VLOOKUP(H70,Matrix!A:AC,12,0)-VLOOKUP(J70,Matrix!A:AC,12,0),"")</f>
        <v/>
      </c>
      <c r="O70" s="182">
        <f>IFERROR(AVERAGEIFS(2025Schedule!O:O,2025Schedule!E:E,H70,2025Schedule!N:N,A70)-AVERAGEIFS(2025Schedule!O:O,2025Schedule!E:E,J70,2025Schedule!N:N,B70),0)</f>
        <v/>
      </c>
      <c r="P70" s="156">
        <f>IFERROR(VLOOKUP(H70,Matrix!A:D,2,0)-VLOOKUP(J70,Matrix!A:D,2,0),"")</f>
        <v/>
      </c>
      <c r="Q70" s="156">
        <f>IFERROR(VLOOKUP(H70,Matrix!A:AC,15,0)-VLOOKUP(J70,Matrix!A:AC,15,0),"")</f>
        <v/>
      </c>
      <c r="R70" s="156">
        <f>IFERROR(VLOOKUP(H70,Matrix!A:AC,16,0)-VLOOKUP(J70,Matrix!A:AC,16,0),"")</f>
        <v/>
      </c>
      <c r="S70" s="195">
        <f>H70</f>
        <v/>
      </c>
      <c r="T70" s="195">
        <f>IFERROR(VLOOKUP(G70&amp;H70,2025Schedule!A:F,6,0),"")</f>
        <v/>
      </c>
      <c r="U70" s="264">
        <f>J70</f>
        <v/>
      </c>
      <c r="V70" s="195">
        <f>IFERROR(VLOOKUP(G70&amp;J70,2025Schedule!A:F,6,0),"")</f>
        <v/>
      </c>
    </row>
    <row r="71" ht="14.4" customHeight="1" s="152">
      <c r="A71" s="241">
        <f>H71&amp;I71</f>
        <v/>
      </c>
      <c r="B71" s="241">
        <f>J71&amp;C71</f>
        <v/>
      </c>
      <c r="C71" s="241">
        <f>IFERROR(IF(I71="Home","Away",IF(I71="Away","Home","")),"")</f>
        <v/>
      </c>
      <c r="D71" s="242">
        <f>H71</f>
        <v/>
      </c>
      <c r="E71" s="157">
        <f>IFERROR(IF(AND(F71&gt;0,T71&gt;V71),"Yes",IF(AND(F71&gt;0,T71&lt;V71),"No",IF(AND(F71&lt;0,T71&lt;V71),"Yes",IF(AND(F71&lt;0,T71&gt;V71),"No",0)))),"")</f>
        <v/>
      </c>
      <c r="F71" s="263">
        <f>IFERROR((N71/MAX(N:N)*_MOVw)+(O71/MAX(O:O)*_WINw)+(P71/MAX(P:P)*_PPGw)+(Q71/MAX(Q:Q)*_ORw)+(R71/MAX(R:R)*_DRw),"")</f>
        <v/>
      </c>
      <c r="N71" s="156">
        <f>IFERROR(VLOOKUP(H71,Matrix!A:AC,12,0)-VLOOKUP(J71,Matrix!A:AC,12,0),"")</f>
        <v/>
      </c>
      <c r="O71" s="182">
        <f>IFERROR(AVERAGEIFS(2025Schedule!O:O,2025Schedule!E:E,H71,2025Schedule!N:N,A71)-AVERAGEIFS(2025Schedule!O:O,2025Schedule!E:E,J71,2025Schedule!N:N,B71),0)</f>
        <v/>
      </c>
      <c r="P71" s="156">
        <f>IFERROR(VLOOKUP(H71,Matrix!A:D,2,0)-VLOOKUP(J71,Matrix!A:D,2,0),"")</f>
        <v/>
      </c>
      <c r="Q71" s="156">
        <f>IFERROR(VLOOKUP(H71,Matrix!A:AC,15,0)-VLOOKUP(J71,Matrix!A:AC,15,0),"")</f>
        <v/>
      </c>
      <c r="R71" s="156">
        <f>IFERROR(VLOOKUP(H71,Matrix!A:AC,16,0)-VLOOKUP(J71,Matrix!A:AC,16,0),"")</f>
        <v/>
      </c>
      <c r="S71" s="195">
        <f>H71</f>
        <v/>
      </c>
      <c r="T71" s="195">
        <f>IFERROR(VLOOKUP(G71&amp;H71,2025Schedule!A:F,6,0),"")</f>
        <v/>
      </c>
      <c r="U71" s="264">
        <f>J71</f>
        <v/>
      </c>
      <c r="V71" s="195">
        <f>IFERROR(VLOOKUP(G71&amp;J71,2025Schedule!A:F,6,0),"")</f>
        <v/>
      </c>
    </row>
    <row r="72" ht="14.4" customHeight="1" s="152">
      <c r="A72" s="241">
        <f>H72&amp;I72</f>
        <v/>
      </c>
      <c r="B72" s="241">
        <f>J72&amp;C72</f>
        <v/>
      </c>
      <c r="C72" s="241">
        <f>IFERROR(IF(I72="Home","Away",IF(I72="Away","Home","")),"")</f>
        <v/>
      </c>
      <c r="D72" s="242">
        <f>H72</f>
        <v/>
      </c>
      <c r="E72" s="157">
        <f>IFERROR(IF(AND(F72&gt;0,T72&gt;V72),"Yes",IF(AND(F72&gt;0,T72&lt;V72),"No",IF(AND(F72&lt;0,T72&lt;V72),"Yes",IF(AND(F72&lt;0,T72&gt;V72),"No",0)))),"")</f>
        <v/>
      </c>
      <c r="F72" s="263">
        <f>IFERROR((N72/MAX(N:N)*_MOVw)+(O72/MAX(O:O)*_WINw)+(P72/MAX(P:P)*_PPGw)+(Q72/MAX(Q:Q)*_ORw)+(R72/MAX(R:R)*_DRw),"")</f>
        <v/>
      </c>
      <c r="N72" s="156">
        <f>IFERROR(VLOOKUP(H72,Matrix!A:AC,12,0)-VLOOKUP(J72,Matrix!A:AC,12,0),"")</f>
        <v/>
      </c>
      <c r="O72" s="182">
        <f>IFERROR(AVERAGEIFS(2025Schedule!O:O,2025Schedule!E:E,H72,2025Schedule!N:N,A72)-AVERAGEIFS(2025Schedule!O:O,2025Schedule!E:E,J72,2025Schedule!N:N,B72),0)</f>
        <v/>
      </c>
      <c r="P72" s="156">
        <f>IFERROR(VLOOKUP(H72,Matrix!A:D,2,0)-VLOOKUP(J72,Matrix!A:D,2,0),"")</f>
        <v/>
      </c>
      <c r="Q72" s="156">
        <f>IFERROR(VLOOKUP(H72,Matrix!A:AC,15,0)-VLOOKUP(J72,Matrix!A:AC,15,0),"")</f>
        <v/>
      </c>
      <c r="R72" s="156">
        <f>IFERROR(VLOOKUP(H72,Matrix!A:AC,16,0)-VLOOKUP(J72,Matrix!A:AC,16,0),"")</f>
        <v/>
      </c>
      <c r="S72" s="195">
        <f>H72</f>
        <v/>
      </c>
      <c r="T72" s="195">
        <f>IFERROR(VLOOKUP(G72&amp;H72,2025Schedule!A:F,6,0),"")</f>
        <v/>
      </c>
      <c r="U72" s="264">
        <f>J72</f>
        <v/>
      </c>
      <c r="V72" s="195">
        <f>IFERROR(VLOOKUP(G72&amp;J72,2025Schedule!A:F,6,0),"")</f>
        <v/>
      </c>
    </row>
    <row r="73" ht="14.4" customHeight="1" s="152">
      <c r="A73" s="241">
        <f>H73&amp;I73</f>
        <v/>
      </c>
      <c r="B73" s="241">
        <f>J73&amp;C73</f>
        <v/>
      </c>
      <c r="C73" s="241">
        <f>IFERROR(IF(I73="Home","Away",IF(I73="Away","Home","")),"")</f>
        <v/>
      </c>
      <c r="D73" s="242">
        <f>H73</f>
        <v/>
      </c>
      <c r="E73" s="157">
        <f>IFERROR(IF(AND(F73&gt;0,T73&gt;V73),"Yes",IF(AND(F73&gt;0,T73&lt;V73),"No",IF(AND(F73&lt;0,T73&lt;V73),"Yes",IF(AND(F73&lt;0,T73&gt;V73),"No",0)))),"")</f>
        <v/>
      </c>
      <c r="F73" s="263">
        <f>IFERROR((N73/MAX(N:N)*_MOVw)+(O73/MAX(O:O)*_WINw)+(P73/MAX(P:P)*_PPGw)+(Q73/MAX(Q:Q)*_ORw)+(R73/MAX(R:R)*_DRw),"")</f>
        <v/>
      </c>
      <c r="N73" s="156">
        <f>IFERROR(VLOOKUP(H73,Matrix!A:AC,12,0)-VLOOKUP(J73,Matrix!A:AC,12,0),"")</f>
        <v/>
      </c>
      <c r="O73" s="182">
        <f>IFERROR(AVERAGEIFS(2025Schedule!O:O,2025Schedule!E:E,H73,2025Schedule!N:N,A73)-AVERAGEIFS(2025Schedule!O:O,2025Schedule!E:E,J73,2025Schedule!N:N,B73),0)</f>
        <v/>
      </c>
      <c r="P73" s="156">
        <f>IFERROR(VLOOKUP(H73,Matrix!A:D,2,0)-VLOOKUP(J73,Matrix!A:D,2,0),"")</f>
        <v/>
      </c>
      <c r="Q73" s="156">
        <f>IFERROR(VLOOKUP(H73,Matrix!A:AC,15,0)-VLOOKUP(J73,Matrix!A:AC,15,0),"")</f>
        <v/>
      </c>
      <c r="R73" s="156">
        <f>IFERROR(VLOOKUP(H73,Matrix!A:AC,16,0)-VLOOKUP(J73,Matrix!A:AC,16,0),"")</f>
        <v/>
      </c>
      <c r="S73" s="195">
        <f>H73</f>
        <v/>
      </c>
      <c r="T73" s="195">
        <f>IFERROR(VLOOKUP(G73&amp;H73,2025Schedule!A:F,6,0),"")</f>
        <v/>
      </c>
      <c r="U73" s="264">
        <f>J73</f>
        <v/>
      </c>
      <c r="V73" s="195">
        <f>IFERROR(VLOOKUP(G73&amp;J73,2025Schedule!A:F,6,0),"")</f>
        <v/>
      </c>
    </row>
    <row r="74" ht="14.4" customHeight="1" s="152">
      <c r="A74" s="241">
        <f>H74&amp;I74</f>
        <v/>
      </c>
      <c r="B74" s="241">
        <f>J74&amp;C74</f>
        <v/>
      </c>
      <c r="C74" s="241">
        <f>IFERROR(IF(I74="Home","Away",IF(I74="Away","Home","")),"")</f>
        <v/>
      </c>
      <c r="D74" s="242">
        <f>H74</f>
        <v/>
      </c>
      <c r="E74" s="157">
        <f>IFERROR(IF(AND(F74&gt;0,T74&gt;V74),"Yes",IF(AND(F74&gt;0,T74&lt;V74),"No",IF(AND(F74&lt;0,T74&lt;V74),"Yes",IF(AND(F74&lt;0,T74&gt;V74),"No",0)))),"")</f>
        <v/>
      </c>
      <c r="F74" s="263">
        <f>IFERROR((N74/MAX(N:N)*_MOVw)+(O74/MAX(O:O)*_WINw)+(P74/MAX(P:P)*_PPGw)+(Q74/MAX(Q:Q)*_ORw)+(R74/MAX(R:R)*_DRw),"")</f>
        <v/>
      </c>
      <c r="N74" s="156">
        <f>IFERROR(VLOOKUP(H74,Matrix!A:AC,12,0)-VLOOKUP(J74,Matrix!A:AC,12,0),"")</f>
        <v/>
      </c>
      <c r="O74" s="182">
        <f>IFERROR(AVERAGEIFS(2025Schedule!O:O,2025Schedule!E:E,H74,2025Schedule!N:N,A74)-AVERAGEIFS(2025Schedule!O:O,2025Schedule!E:E,J74,2025Schedule!N:N,B74),0)</f>
        <v/>
      </c>
      <c r="P74" s="156">
        <f>IFERROR(VLOOKUP(H74,Matrix!A:D,2,0)-VLOOKUP(J74,Matrix!A:D,2,0),"")</f>
        <v/>
      </c>
      <c r="Q74" s="156">
        <f>IFERROR(VLOOKUP(H74,Matrix!A:AC,15,0)-VLOOKUP(J74,Matrix!A:AC,15,0),"")</f>
        <v/>
      </c>
      <c r="R74" s="156">
        <f>IFERROR(VLOOKUP(H74,Matrix!A:AC,16,0)-VLOOKUP(J74,Matrix!A:AC,16,0),"")</f>
        <v/>
      </c>
      <c r="S74" s="195">
        <f>H74</f>
        <v/>
      </c>
      <c r="T74" s="195">
        <f>IFERROR(VLOOKUP(G74&amp;H74,2025Schedule!A:F,6,0),"")</f>
        <v/>
      </c>
      <c r="U74" s="264">
        <f>J74</f>
        <v/>
      </c>
      <c r="V74" s="195">
        <f>IFERROR(VLOOKUP(G74&amp;J74,2025Schedule!A:F,6,0),"")</f>
        <v/>
      </c>
    </row>
    <row r="75" ht="14.4" customHeight="1" s="152">
      <c r="A75" s="241">
        <f>H75&amp;I75</f>
        <v/>
      </c>
      <c r="B75" s="241">
        <f>J75&amp;C75</f>
        <v/>
      </c>
      <c r="C75" s="241">
        <f>IFERROR(IF(I75="Home","Away",IF(I75="Away","Home","")),"")</f>
        <v/>
      </c>
      <c r="D75" s="242">
        <f>H75</f>
        <v/>
      </c>
      <c r="E75" s="157">
        <f>IFERROR(IF(AND(F75&gt;0,T75&gt;V75),"Yes",IF(AND(F75&gt;0,T75&lt;V75),"No",IF(AND(F75&lt;0,T75&lt;V75),"Yes",IF(AND(F75&lt;0,T75&gt;V75),"No",0)))),"")</f>
        <v/>
      </c>
      <c r="F75" s="263">
        <f>IFERROR((N75/MAX(N:N)*_MOVw)+(O75/MAX(O:O)*_WINw)+(P75/MAX(P:P)*_PPGw)+(Q75/MAX(Q:Q)*_ORw)+(R75/MAX(R:R)*_DRw),"")</f>
        <v/>
      </c>
      <c r="N75" s="156">
        <f>IFERROR(VLOOKUP(H75,Matrix!A:AC,12,0)-VLOOKUP(J75,Matrix!A:AC,12,0),"")</f>
        <v/>
      </c>
      <c r="O75" s="182">
        <f>IFERROR(AVERAGEIFS(2025Schedule!O:O,2025Schedule!E:E,H75,2025Schedule!N:N,A75)-AVERAGEIFS(2025Schedule!O:O,2025Schedule!E:E,J75,2025Schedule!N:N,B75),0)</f>
        <v/>
      </c>
      <c r="P75" s="156">
        <f>IFERROR(VLOOKUP(H75,Matrix!A:D,2,0)-VLOOKUP(J75,Matrix!A:D,2,0),"")</f>
        <v/>
      </c>
      <c r="Q75" s="156">
        <f>IFERROR(VLOOKUP(H75,Matrix!A:AC,15,0)-VLOOKUP(J75,Matrix!A:AC,15,0),"")</f>
        <v/>
      </c>
      <c r="R75" s="156">
        <f>IFERROR(VLOOKUP(H75,Matrix!A:AC,16,0)-VLOOKUP(J75,Matrix!A:AC,16,0),"")</f>
        <v/>
      </c>
      <c r="S75" s="195">
        <f>H75</f>
        <v/>
      </c>
      <c r="T75" s="195">
        <f>IFERROR(VLOOKUP(G75&amp;H75,2025Schedule!A:F,6,0),"")</f>
        <v/>
      </c>
      <c r="U75" s="264">
        <f>J75</f>
        <v/>
      </c>
      <c r="V75" s="195">
        <f>IFERROR(VLOOKUP(G75&amp;J75,2025Schedule!A:F,6,0),"")</f>
        <v/>
      </c>
    </row>
    <row r="76" ht="14.4" customHeight="1" s="152">
      <c r="A76" s="241">
        <f>H76&amp;I76</f>
        <v/>
      </c>
      <c r="B76" s="241">
        <f>J76&amp;C76</f>
        <v/>
      </c>
      <c r="C76" s="241">
        <f>IFERROR(IF(I76="Home","Away",IF(I76="Away","Home","")),"")</f>
        <v/>
      </c>
      <c r="D76" s="242">
        <f>H76</f>
        <v/>
      </c>
      <c r="E76" s="157">
        <f>IFERROR(IF(AND(F76&gt;0,T76&gt;V76),"Yes",IF(AND(F76&gt;0,T76&lt;V76),"No",IF(AND(F76&lt;0,T76&lt;V76),"Yes",IF(AND(F76&lt;0,T76&gt;V76),"No",0)))),"")</f>
        <v/>
      </c>
      <c r="F76" s="263">
        <f>IFERROR((N76/MAX(N:N)*_MOVw)+(O76/MAX(O:O)*_WINw)+(P76/MAX(P:P)*_PPGw)+(Q76/MAX(Q:Q)*_ORw)+(R76/MAX(R:R)*_DRw),"")</f>
        <v/>
      </c>
      <c r="N76" s="156">
        <f>IFERROR(VLOOKUP(H76,Matrix!A:AC,12,0)-VLOOKUP(J76,Matrix!A:AC,12,0),"")</f>
        <v/>
      </c>
      <c r="O76" s="182">
        <f>IFERROR(AVERAGEIFS(2025Schedule!O:O,2025Schedule!E:E,H76,2025Schedule!N:N,A76)-AVERAGEIFS(2025Schedule!O:O,2025Schedule!E:E,J76,2025Schedule!N:N,B76),0)</f>
        <v/>
      </c>
      <c r="P76" s="156">
        <f>IFERROR(VLOOKUP(H76,Matrix!A:D,2,0)-VLOOKUP(J76,Matrix!A:D,2,0),"")</f>
        <v/>
      </c>
      <c r="Q76" s="156">
        <f>IFERROR(VLOOKUP(H76,Matrix!A:AC,15,0)-VLOOKUP(J76,Matrix!A:AC,15,0),"")</f>
        <v/>
      </c>
      <c r="R76" s="156">
        <f>IFERROR(VLOOKUP(H76,Matrix!A:AC,16,0)-VLOOKUP(J76,Matrix!A:AC,16,0),"")</f>
        <v/>
      </c>
      <c r="S76" s="195">
        <f>H76</f>
        <v/>
      </c>
      <c r="T76" s="195">
        <f>IFERROR(VLOOKUP(G76&amp;H76,2025Schedule!A:F,6,0),"")</f>
        <v/>
      </c>
      <c r="U76" s="264">
        <f>J76</f>
        <v/>
      </c>
      <c r="V76" s="195">
        <f>IFERROR(VLOOKUP(G76&amp;J76,2025Schedule!A:F,6,0),"")</f>
        <v/>
      </c>
    </row>
    <row r="77" ht="14.4" customHeight="1" s="152">
      <c r="A77" s="241">
        <f>H77&amp;I77</f>
        <v/>
      </c>
      <c r="B77" s="241">
        <f>J77&amp;C77</f>
        <v/>
      </c>
      <c r="C77" s="241">
        <f>IFERROR(IF(I77="Home","Away",IF(I77="Away","Home","")),"")</f>
        <v/>
      </c>
      <c r="D77" s="242">
        <f>H77</f>
        <v/>
      </c>
      <c r="E77" s="157">
        <f>IFERROR(IF(AND(F77&gt;0,T77&gt;V77),"Yes",IF(AND(F77&gt;0,T77&lt;V77),"No",IF(AND(F77&lt;0,T77&lt;V77),"Yes",IF(AND(F77&lt;0,T77&gt;V77),"No",0)))),"")</f>
        <v/>
      </c>
      <c r="F77" s="263">
        <f>IFERROR((N77/MAX(N:N)*_MOVw)+(O77/MAX(O:O)*_WINw)+(P77/MAX(P:P)*_PPGw)+(Q77/MAX(Q:Q)*_ORw)+(R77/MAX(R:R)*_DRw),"")</f>
        <v/>
      </c>
      <c r="N77" s="156">
        <f>IFERROR(VLOOKUP(H77,Matrix!A:AC,12,0)-VLOOKUP(J77,Matrix!A:AC,12,0),"")</f>
        <v/>
      </c>
      <c r="O77" s="182">
        <f>IFERROR(AVERAGEIFS(2025Schedule!O:O,2025Schedule!E:E,H77,2025Schedule!N:N,A77)-AVERAGEIFS(2025Schedule!O:O,2025Schedule!E:E,J77,2025Schedule!N:N,B77),0)</f>
        <v/>
      </c>
      <c r="P77" s="156">
        <f>IFERROR(VLOOKUP(H77,Matrix!A:D,2,0)-VLOOKUP(J77,Matrix!A:D,2,0),"")</f>
        <v/>
      </c>
      <c r="Q77" s="156">
        <f>IFERROR(VLOOKUP(H77,Matrix!A:AC,15,0)-VLOOKUP(J77,Matrix!A:AC,15,0),"")</f>
        <v/>
      </c>
      <c r="R77" s="156">
        <f>IFERROR(VLOOKUP(H77,Matrix!A:AC,16,0)-VLOOKUP(J77,Matrix!A:AC,16,0),"")</f>
        <v/>
      </c>
      <c r="S77" s="195">
        <f>H77</f>
        <v/>
      </c>
      <c r="T77" s="195">
        <f>IFERROR(VLOOKUP(G77&amp;H77,2025Schedule!A:F,6,0),"")</f>
        <v/>
      </c>
      <c r="U77" s="264">
        <f>J77</f>
        <v/>
      </c>
      <c r="V77" s="195">
        <f>IFERROR(VLOOKUP(G77&amp;J77,2025Schedule!A:F,6,0),"")</f>
        <v/>
      </c>
    </row>
    <row r="78" ht="14.4" customHeight="1" s="152">
      <c r="A78" s="241">
        <f>H78&amp;I78</f>
        <v/>
      </c>
      <c r="B78" s="241">
        <f>J78&amp;C78</f>
        <v/>
      </c>
      <c r="C78" s="241">
        <f>IFERROR(IF(I78="Home","Away",IF(I78="Away","Home","")),"")</f>
        <v/>
      </c>
      <c r="D78" s="242">
        <f>H78</f>
        <v/>
      </c>
      <c r="E78" s="157">
        <f>IFERROR(IF(AND(F78&gt;0,T78&gt;V78),"Yes",IF(AND(F78&gt;0,T78&lt;V78),"No",IF(AND(F78&lt;0,T78&lt;V78),"Yes",IF(AND(F78&lt;0,T78&gt;V78),"No",0)))),"")</f>
        <v/>
      </c>
      <c r="F78" s="263">
        <f>IFERROR((N78/MAX(N:N)*_MOVw)+(O78/MAX(O:O)*_WINw)+(P78/MAX(P:P)*_PPGw)+(Q78/MAX(Q:Q)*_ORw)+(R78/MAX(R:R)*_DRw),"")</f>
        <v/>
      </c>
      <c r="N78" s="156">
        <f>IFERROR(VLOOKUP(H78,Matrix!A:AC,12,0)-VLOOKUP(J78,Matrix!A:AC,12,0),"")</f>
        <v/>
      </c>
      <c r="O78" s="182">
        <f>IFERROR(AVERAGEIFS(2025Schedule!O:O,2025Schedule!E:E,H78,2025Schedule!N:N,A78)-AVERAGEIFS(2025Schedule!O:O,2025Schedule!E:E,J78,2025Schedule!N:N,B78),0)</f>
        <v/>
      </c>
      <c r="P78" s="156">
        <f>IFERROR(VLOOKUP(H78,Matrix!A:D,2,0)-VLOOKUP(J78,Matrix!A:D,2,0),"")</f>
        <v/>
      </c>
      <c r="Q78" s="156">
        <f>IFERROR(VLOOKUP(H78,Matrix!A:AC,15,0)-VLOOKUP(J78,Matrix!A:AC,15,0),"")</f>
        <v/>
      </c>
      <c r="R78" s="156">
        <f>IFERROR(VLOOKUP(H78,Matrix!A:AC,16,0)-VLOOKUP(J78,Matrix!A:AC,16,0),"")</f>
        <v/>
      </c>
      <c r="S78" s="195">
        <f>H78</f>
        <v/>
      </c>
      <c r="T78" s="195">
        <f>IFERROR(VLOOKUP(G78&amp;H78,2025Schedule!A:F,6,0),"")</f>
        <v/>
      </c>
      <c r="U78" s="264">
        <f>J78</f>
        <v/>
      </c>
      <c r="V78" s="195">
        <f>IFERROR(VLOOKUP(G78&amp;J78,2025Schedule!A:F,6,0),"")</f>
        <v/>
      </c>
    </row>
    <row r="79" ht="14.4" customHeight="1" s="152">
      <c r="A79" s="241">
        <f>H79&amp;I79</f>
        <v/>
      </c>
      <c r="B79" s="241">
        <f>J79&amp;C79</f>
        <v/>
      </c>
      <c r="C79" s="241">
        <f>IFERROR(IF(I79="Home","Away",IF(I79="Away","Home","")),"")</f>
        <v/>
      </c>
      <c r="D79" s="242">
        <f>H79</f>
        <v/>
      </c>
      <c r="E79" s="157">
        <f>IFERROR(IF(AND(F79&gt;0,T79&gt;V79),"Yes",IF(AND(F79&gt;0,T79&lt;V79),"No",IF(AND(F79&lt;0,T79&lt;V79),"Yes",IF(AND(F79&lt;0,T79&gt;V79),"No",0)))),"")</f>
        <v/>
      </c>
      <c r="F79" s="263">
        <f>IFERROR((N79/MAX(N:N)*_MOVw)+(O79/MAX(O:O)*_WINw)+(P79/MAX(P:P)*_PPGw)+(Q79/MAX(Q:Q)*_ORw)+(R79/MAX(R:R)*_DRw),"")</f>
        <v/>
      </c>
      <c r="N79" s="156">
        <f>IFERROR(VLOOKUP(H79,Matrix!A:AC,12,0)-VLOOKUP(J79,Matrix!A:AC,12,0),"")</f>
        <v/>
      </c>
      <c r="O79" s="182">
        <f>IFERROR(AVERAGEIFS(2025Schedule!O:O,2025Schedule!E:E,H79,2025Schedule!N:N,A79)-AVERAGEIFS(2025Schedule!O:O,2025Schedule!E:E,J79,2025Schedule!N:N,B79),0)</f>
        <v/>
      </c>
      <c r="P79" s="156">
        <f>IFERROR(VLOOKUP(H79,Matrix!A:D,2,0)-VLOOKUP(J79,Matrix!A:D,2,0),"")</f>
        <v/>
      </c>
      <c r="Q79" s="156">
        <f>IFERROR(VLOOKUP(H79,Matrix!A:AC,15,0)-VLOOKUP(J79,Matrix!A:AC,15,0),"")</f>
        <v/>
      </c>
      <c r="R79" s="156">
        <f>IFERROR(VLOOKUP(H79,Matrix!A:AC,16,0)-VLOOKUP(J79,Matrix!A:AC,16,0),"")</f>
        <v/>
      </c>
      <c r="S79" s="195">
        <f>H79</f>
        <v/>
      </c>
      <c r="T79" s="195">
        <f>IFERROR(VLOOKUP(G79&amp;H79,2025Schedule!A:F,6,0),"")</f>
        <v/>
      </c>
      <c r="U79" s="264">
        <f>J79</f>
        <v/>
      </c>
      <c r="V79" s="195">
        <f>IFERROR(VLOOKUP(G79&amp;J79,2025Schedule!A:F,6,0),"")</f>
        <v/>
      </c>
    </row>
    <row r="80" ht="14.4" customHeight="1" s="152">
      <c r="A80" s="241">
        <f>H80&amp;I80</f>
        <v/>
      </c>
      <c r="B80" s="241">
        <f>J80&amp;C80</f>
        <v/>
      </c>
      <c r="C80" s="241">
        <f>IFERROR(IF(I80="Home","Away",IF(I80="Away","Home","")),"")</f>
        <v/>
      </c>
      <c r="D80" s="242">
        <f>H80</f>
        <v/>
      </c>
      <c r="E80" s="157">
        <f>IFERROR(IF(AND(F80&gt;0,T80&gt;V80),"Yes",IF(AND(F80&gt;0,T80&lt;V80),"No",IF(AND(F80&lt;0,T80&lt;V80),"Yes",IF(AND(F80&lt;0,T80&gt;V80),"No",0)))),"")</f>
        <v/>
      </c>
      <c r="F80" s="263">
        <f>IFERROR((N80/MAX(N:N)*_MOVw)+(O80/MAX(O:O)*_WINw)+(P80/MAX(P:P)*_PPGw)+(Q80/MAX(Q:Q)*_ORw)+(R80/MAX(R:R)*_DRw),"")</f>
        <v/>
      </c>
      <c r="N80" s="156">
        <f>IFERROR(VLOOKUP(H80,Matrix!A:AC,12,0)-VLOOKUP(J80,Matrix!A:AC,12,0),"")</f>
        <v/>
      </c>
      <c r="O80" s="182">
        <f>IFERROR(AVERAGEIFS(2025Schedule!O:O,2025Schedule!E:E,H80,2025Schedule!N:N,A80)-AVERAGEIFS(2025Schedule!O:O,2025Schedule!E:E,J80,2025Schedule!N:N,B80),0)</f>
        <v/>
      </c>
      <c r="P80" s="156">
        <f>IFERROR(VLOOKUP(H80,Matrix!A:D,2,0)-VLOOKUP(J80,Matrix!A:D,2,0),"")</f>
        <v/>
      </c>
      <c r="Q80" s="156">
        <f>IFERROR(VLOOKUP(H80,Matrix!A:AC,15,0)-VLOOKUP(J80,Matrix!A:AC,15,0),"")</f>
        <v/>
      </c>
      <c r="R80" s="156">
        <f>IFERROR(VLOOKUP(H80,Matrix!A:AC,16,0)-VLOOKUP(J80,Matrix!A:AC,16,0),"")</f>
        <v/>
      </c>
      <c r="S80" s="195">
        <f>H80</f>
        <v/>
      </c>
      <c r="T80" s="195">
        <f>IFERROR(VLOOKUP(G80&amp;H80,2025Schedule!A:F,6,0),"")</f>
        <v/>
      </c>
      <c r="U80" s="264">
        <f>J80</f>
        <v/>
      </c>
      <c r="V80" s="195">
        <f>IFERROR(VLOOKUP(G80&amp;J80,2025Schedule!A:F,6,0),"")</f>
        <v/>
      </c>
    </row>
    <row r="81" ht="14.4" customHeight="1" s="152">
      <c r="A81" s="241">
        <f>H81&amp;I81</f>
        <v/>
      </c>
      <c r="B81" s="241">
        <f>J81&amp;C81</f>
        <v/>
      </c>
      <c r="C81" s="241">
        <f>IFERROR(IF(I81="Home","Away",IF(I81="Away","Home","")),"")</f>
        <v/>
      </c>
      <c r="D81" s="242">
        <f>H81</f>
        <v/>
      </c>
      <c r="E81" s="157">
        <f>IFERROR(IF(AND(F81&gt;0,T81&gt;V81),"Yes",IF(AND(F81&gt;0,T81&lt;V81),"No",IF(AND(F81&lt;0,T81&lt;V81),"Yes",IF(AND(F81&lt;0,T81&gt;V81),"No",0)))),"")</f>
        <v/>
      </c>
      <c r="F81" s="263">
        <f>IFERROR((N81/MAX(N:N)*_MOVw)+(O81/MAX(O:O)*_WINw)+(P81/MAX(P:P)*_PPGw)+(Q81/MAX(Q:Q)*_ORw)+(R81/MAX(R:R)*_DRw),"")</f>
        <v/>
      </c>
      <c r="N81" s="156">
        <f>IFERROR(VLOOKUP(H81,Matrix!A:AC,12,0)-VLOOKUP(J81,Matrix!A:AC,12,0),"")</f>
        <v/>
      </c>
      <c r="O81" s="182">
        <f>IFERROR(AVERAGEIFS(2025Schedule!O:O,2025Schedule!E:E,H81,2025Schedule!N:N,A81)-AVERAGEIFS(2025Schedule!O:O,2025Schedule!E:E,J81,2025Schedule!N:N,B81),0)</f>
        <v/>
      </c>
      <c r="P81" s="156">
        <f>IFERROR(VLOOKUP(H81,Matrix!A:D,2,0)-VLOOKUP(J81,Matrix!A:D,2,0),"")</f>
        <v/>
      </c>
      <c r="Q81" s="156">
        <f>IFERROR(VLOOKUP(H81,Matrix!A:AC,15,0)-VLOOKUP(J81,Matrix!A:AC,15,0),"")</f>
        <v/>
      </c>
      <c r="R81" s="156">
        <f>IFERROR(VLOOKUP(H81,Matrix!A:AC,16,0)-VLOOKUP(J81,Matrix!A:AC,16,0),"")</f>
        <v/>
      </c>
      <c r="S81" s="195">
        <f>H81</f>
        <v/>
      </c>
      <c r="T81" s="195">
        <f>IFERROR(VLOOKUP(G81&amp;H81,2025Schedule!A:F,6,0),"")</f>
        <v/>
      </c>
      <c r="U81" s="264">
        <f>J81</f>
        <v/>
      </c>
      <c r="V81" s="195">
        <f>IFERROR(VLOOKUP(G81&amp;J81,2025Schedule!A:F,6,0),"")</f>
        <v/>
      </c>
    </row>
    <row r="82" ht="14.4" customHeight="1" s="152">
      <c r="A82" s="241">
        <f>H82&amp;I82</f>
        <v/>
      </c>
      <c r="B82" s="241">
        <f>J82&amp;C82</f>
        <v/>
      </c>
      <c r="C82" s="241">
        <f>IFERROR(IF(I82="Home","Away",IF(I82="Away","Home","")),"")</f>
        <v/>
      </c>
      <c r="D82" s="242">
        <f>H82</f>
        <v/>
      </c>
      <c r="E82" s="157">
        <f>IFERROR(IF(AND(F82&gt;0,T82&gt;V82),"Yes",IF(AND(F82&gt;0,T82&lt;V82),"No",IF(AND(F82&lt;0,T82&lt;V82),"Yes",IF(AND(F82&lt;0,T82&gt;V82),"No",0)))),"")</f>
        <v/>
      </c>
      <c r="F82" s="263">
        <f>IFERROR((N82/MAX(N:N)*_MOVw)+(O82/MAX(O:O)*_WINw)+(P82/MAX(P:P)*_PPGw)+(Q82/MAX(Q:Q)*_ORw)+(R82/MAX(R:R)*_DRw),"")</f>
        <v/>
      </c>
      <c r="N82" s="156">
        <f>IFERROR(VLOOKUP(H82,Matrix!A:AC,12,0)-VLOOKUP(J82,Matrix!A:AC,12,0),"")</f>
        <v/>
      </c>
      <c r="O82" s="182">
        <f>IFERROR(AVERAGEIFS(2025Schedule!O:O,2025Schedule!E:E,H82,2025Schedule!N:N,A82)-AVERAGEIFS(2025Schedule!O:O,2025Schedule!E:E,J82,2025Schedule!N:N,B82),0)</f>
        <v/>
      </c>
      <c r="P82" s="156">
        <f>IFERROR(VLOOKUP(H82,Matrix!A:D,2,0)-VLOOKUP(J82,Matrix!A:D,2,0),"")</f>
        <v/>
      </c>
      <c r="Q82" s="156">
        <f>IFERROR(VLOOKUP(H82,Matrix!A:AC,15,0)-VLOOKUP(J82,Matrix!A:AC,15,0),"")</f>
        <v/>
      </c>
      <c r="R82" s="156">
        <f>IFERROR(VLOOKUP(H82,Matrix!A:AC,16,0)-VLOOKUP(J82,Matrix!A:AC,16,0),"")</f>
        <v/>
      </c>
      <c r="S82" s="195">
        <f>H82</f>
        <v/>
      </c>
      <c r="T82" s="195">
        <f>IFERROR(VLOOKUP(G82&amp;H82,2025Schedule!A:F,6,0),"")</f>
        <v/>
      </c>
      <c r="U82" s="264">
        <f>J82</f>
        <v/>
      </c>
      <c r="V82" s="195">
        <f>IFERROR(VLOOKUP(G82&amp;J82,2025Schedule!A:F,6,0),"")</f>
        <v/>
      </c>
    </row>
    <row r="83" ht="14.4" customHeight="1" s="152">
      <c r="A83" s="241">
        <f>H83&amp;I83</f>
        <v/>
      </c>
      <c r="B83" s="241">
        <f>J83&amp;C83</f>
        <v/>
      </c>
      <c r="C83" s="241">
        <f>IFERROR(IF(I83="Home","Away",IF(I83="Away","Home","")),"")</f>
        <v/>
      </c>
      <c r="D83" s="242">
        <f>H83</f>
        <v/>
      </c>
      <c r="E83" s="157">
        <f>IFERROR(IF(AND(F83&gt;0,T83&gt;V83),"Yes",IF(AND(F83&gt;0,T83&lt;V83),"No",IF(AND(F83&lt;0,T83&lt;V83),"Yes",IF(AND(F83&lt;0,T83&gt;V83),"No",0)))),"")</f>
        <v/>
      </c>
      <c r="F83" s="263">
        <f>IFERROR((N83/MAX(N:N)*_MOVw)+(O83/MAX(O:O)*_WINw)+(P83/MAX(P:P)*_PPGw)+(Q83/MAX(Q:Q)*_ORw)+(R83/MAX(R:R)*_DRw),"")</f>
        <v/>
      </c>
      <c r="N83" s="156">
        <f>IFERROR(VLOOKUP(H83,Matrix!A:AC,12,0)-VLOOKUP(J83,Matrix!A:AC,12,0),"")</f>
        <v/>
      </c>
      <c r="O83" s="182">
        <f>IFERROR(AVERAGEIFS(2025Schedule!O:O,2025Schedule!E:E,H83,2025Schedule!N:N,A83)-AVERAGEIFS(2025Schedule!O:O,2025Schedule!E:E,J83,2025Schedule!N:N,B83),0)</f>
        <v/>
      </c>
      <c r="P83" s="156">
        <f>IFERROR(VLOOKUP(H83,Matrix!A:D,2,0)-VLOOKUP(J83,Matrix!A:D,2,0),"")</f>
        <v/>
      </c>
      <c r="Q83" s="156">
        <f>IFERROR(VLOOKUP(H83,Matrix!A:AC,15,0)-VLOOKUP(J83,Matrix!A:AC,15,0),"")</f>
        <v/>
      </c>
      <c r="R83" s="156">
        <f>IFERROR(VLOOKUP(H83,Matrix!A:AC,16,0)-VLOOKUP(J83,Matrix!A:AC,16,0),"")</f>
        <v/>
      </c>
      <c r="S83" s="195">
        <f>H83</f>
        <v/>
      </c>
      <c r="T83" s="195">
        <f>IFERROR(VLOOKUP(G83&amp;H83,2025Schedule!A:F,6,0),"")</f>
        <v/>
      </c>
      <c r="U83" s="264">
        <f>J83</f>
        <v/>
      </c>
      <c r="V83" s="195">
        <f>IFERROR(VLOOKUP(G83&amp;J83,2025Schedule!A:F,6,0),"")</f>
        <v/>
      </c>
    </row>
    <row r="84" ht="14.4" customHeight="1" s="152">
      <c r="A84" s="241">
        <f>H84&amp;I84</f>
        <v/>
      </c>
      <c r="B84" s="241">
        <f>J84&amp;C84</f>
        <v/>
      </c>
      <c r="C84" s="241">
        <f>IFERROR(IF(I84="Home","Away",IF(I84="Away","Home","")),"")</f>
        <v/>
      </c>
      <c r="D84" s="242">
        <f>H84</f>
        <v/>
      </c>
      <c r="E84" s="157">
        <f>IFERROR(IF(AND(F84&gt;0,T84&gt;V84),"Yes",IF(AND(F84&gt;0,T84&lt;V84),"No",IF(AND(F84&lt;0,T84&lt;V84),"Yes",IF(AND(F84&lt;0,T84&gt;V84),"No",0)))),"")</f>
        <v/>
      </c>
      <c r="F84" s="263">
        <f>IFERROR((N84/MAX(N:N)*_MOVw)+(O84/MAX(O:O)*_WINw)+(P84/MAX(P:P)*_PPGw)+(Q84/MAX(Q:Q)*_ORw)+(R84/MAX(R:R)*_DRw),"")</f>
        <v/>
      </c>
      <c r="N84" s="156">
        <f>IFERROR(VLOOKUP(H84,Matrix!A:AC,12,0)-VLOOKUP(J84,Matrix!A:AC,12,0),"")</f>
        <v/>
      </c>
      <c r="O84" s="182">
        <f>IFERROR(AVERAGEIFS(2025Schedule!O:O,2025Schedule!E:E,H84,2025Schedule!N:N,A84)-AVERAGEIFS(2025Schedule!O:O,2025Schedule!E:E,J84,2025Schedule!N:N,B84),0)</f>
        <v/>
      </c>
      <c r="P84" s="156">
        <f>IFERROR(VLOOKUP(H84,Matrix!A:D,2,0)-VLOOKUP(J84,Matrix!A:D,2,0),"")</f>
        <v/>
      </c>
      <c r="Q84" s="156">
        <f>IFERROR(VLOOKUP(H84,Matrix!A:AC,15,0)-VLOOKUP(J84,Matrix!A:AC,15,0),"")</f>
        <v/>
      </c>
      <c r="R84" s="156">
        <f>IFERROR(VLOOKUP(H84,Matrix!A:AC,16,0)-VLOOKUP(J84,Matrix!A:AC,16,0),"")</f>
        <v/>
      </c>
      <c r="S84" s="195">
        <f>H84</f>
        <v/>
      </c>
      <c r="T84" s="195">
        <f>IFERROR(VLOOKUP(G84&amp;H84,2025Schedule!A:F,6,0),"")</f>
        <v/>
      </c>
      <c r="U84" s="264">
        <f>J84</f>
        <v/>
      </c>
      <c r="V84" s="195">
        <f>IFERROR(VLOOKUP(G84&amp;J84,2025Schedule!A:F,6,0),"")</f>
        <v/>
      </c>
    </row>
    <row r="85" ht="14.4" customHeight="1" s="152">
      <c r="A85" s="241">
        <f>H85&amp;I85</f>
        <v/>
      </c>
      <c r="B85" s="241">
        <f>J85&amp;C85</f>
        <v/>
      </c>
      <c r="C85" s="241">
        <f>IFERROR(IF(I85="Home","Away",IF(I85="Away","Home","")),"")</f>
        <v/>
      </c>
      <c r="D85" s="242">
        <f>H85</f>
        <v/>
      </c>
      <c r="E85" s="157">
        <f>IFERROR(IF(AND(F85&gt;0,T85&gt;V85),"Yes",IF(AND(F85&gt;0,T85&lt;V85),"No",IF(AND(F85&lt;0,T85&lt;V85),"Yes",IF(AND(F85&lt;0,T85&gt;V85),"No",0)))),"")</f>
        <v/>
      </c>
      <c r="F85" s="263">
        <f>IFERROR((N85/MAX(N:N)*_MOVw)+(O85/MAX(O:O)*_WINw)+(P85/MAX(P:P)*_PPGw)+(Q85/MAX(Q:Q)*_ORw)+(R85/MAX(R:R)*_DRw),"")</f>
        <v/>
      </c>
      <c r="N85" s="156">
        <f>IFERROR(VLOOKUP(H85,Matrix!A:AC,12,0)-VLOOKUP(J85,Matrix!A:AC,12,0),"")</f>
        <v/>
      </c>
      <c r="O85" s="182">
        <f>IFERROR(AVERAGEIFS(2025Schedule!O:O,2025Schedule!E:E,H85,2025Schedule!N:N,A85)-AVERAGEIFS(2025Schedule!O:O,2025Schedule!E:E,J85,2025Schedule!N:N,B85),0)</f>
        <v/>
      </c>
      <c r="P85" s="156">
        <f>IFERROR(VLOOKUP(H85,Matrix!A:D,2,0)-VLOOKUP(J85,Matrix!A:D,2,0),"")</f>
        <v/>
      </c>
      <c r="Q85" s="156">
        <f>IFERROR(VLOOKUP(H85,Matrix!A:AC,15,0)-VLOOKUP(J85,Matrix!A:AC,15,0),"")</f>
        <v/>
      </c>
      <c r="R85" s="156">
        <f>IFERROR(VLOOKUP(H85,Matrix!A:AC,16,0)-VLOOKUP(J85,Matrix!A:AC,16,0),"")</f>
        <v/>
      </c>
      <c r="S85" s="195">
        <f>H85</f>
        <v/>
      </c>
      <c r="T85" s="195">
        <f>IFERROR(VLOOKUP(G85&amp;H85,2025Schedule!A:F,6,0),"")</f>
        <v/>
      </c>
      <c r="U85" s="264">
        <f>J85</f>
        <v/>
      </c>
      <c r="V85" s="195">
        <f>IFERROR(VLOOKUP(G85&amp;J85,2025Schedule!A:F,6,0),"")</f>
        <v/>
      </c>
    </row>
    <row r="86" ht="14.4" customHeight="1" s="152">
      <c r="A86" s="241">
        <f>H86&amp;I86</f>
        <v/>
      </c>
      <c r="B86" s="241">
        <f>J86&amp;C86</f>
        <v/>
      </c>
      <c r="C86" s="241">
        <f>IFERROR(IF(I86="Home","Away",IF(I86="Away","Home","")),"")</f>
        <v/>
      </c>
      <c r="D86" s="242">
        <f>H86</f>
        <v/>
      </c>
      <c r="E86" s="157">
        <f>IFERROR(IF(AND(F86&gt;0,T86&gt;V86),"Yes",IF(AND(F86&gt;0,T86&lt;V86),"No",IF(AND(F86&lt;0,T86&lt;V86),"Yes",IF(AND(F86&lt;0,T86&gt;V86),"No",0)))),"")</f>
        <v/>
      </c>
      <c r="F86" s="263">
        <f>IFERROR((N86/MAX(N:N)*_MOVw)+(O86/MAX(O:O)*_WINw)+(P86/MAX(P:P)*_PPGw)+(Q86/MAX(Q:Q)*_ORw)+(R86/MAX(R:R)*_DRw),"")</f>
        <v/>
      </c>
      <c r="N86" s="156">
        <f>IFERROR(VLOOKUP(H86,Matrix!A:AC,12,0)-VLOOKUP(J86,Matrix!A:AC,12,0),"")</f>
        <v/>
      </c>
      <c r="O86" s="182">
        <f>IFERROR(AVERAGEIFS(2025Schedule!O:O,2025Schedule!E:E,H86,2025Schedule!N:N,A86)-AVERAGEIFS(2025Schedule!O:O,2025Schedule!E:E,J86,2025Schedule!N:N,B86),0)</f>
        <v/>
      </c>
      <c r="P86" s="156">
        <f>IFERROR(VLOOKUP(H86,Matrix!A:D,2,0)-VLOOKUP(J86,Matrix!A:D,2,0),"")</f>
        <v/>
      </c>
      <c r="Q86" s="156">
        <f>IFERROR(VLOOKUP(H86,Matrix!A:AC,15,0)-VLOOKUP(J86,Matrix!A:AC,15,0),"")</f>
        <v/>
      </c>
      <c r="R86" s="156">
        <f>IFERROR(VLOOKUP(H86,Matrix!A:AC,16,0)-VLOOKUP(J86,Matrix!A:AC,16,0),"")</f>
        <v/>
      </c>
      <c r="S86" s="195">
        <f>H86</f>
        <v/>
      </c>
      <c r="T86" s="195">
        <f>IFERROR(VLOOKUP(G86&amp;H86,2025Schedule!A:F,6,0),"")</f>
        <v/>
      </c>
      <c r="U86" s="264">
        <f>J86</f>
        <v/>
      </c>
      <c r="V86" s="195">
        <f>IFERROR(VLOOKUP(G86&amp;J86,2025Schedule!A:F,6,0),"")</f>
        <v/>
      </c>
    </row>
    <row r="87" ht="14.4" customHeight="1" s="152">
      <c r="A87" s="241">
        <f>H87&amp;I87</f>
        <v/>
      </c>
      <c r="B87" s="241">
        <f>J87&amp;C87</f>
        <v/>
      </c>
      <c r="C87" s="241">
        <f>IFERROR(IF(I87="Home","Away",IF(I87="Away","Home","")),"")</f>
        <v/>
      </c>
      <c r="D87" s="242">
        <f>H87</f>
        <v/>
      </c>
      <c r="E87" s="157">
        <f>IFERROR(IF(AND(F87&gt;0,T87&gt;V87),"Yes",IF(AND(F87&gt;0,T87&lt;V87),"No",IF(AND(F87&lt;0,T87&lt;V87),"Yes",IF(AND(F87&lt;0,T87&gt;V87),"No",0)))),"")</f>
        <v/>
      </c>
      <c r="F87" s="263">
        <f>IFERROR((N87/MAX(N:N)*_MOVw)+(O87/MAX(O:O)*_WINw)+(P87/MAX(P:P)*_PPGw)+(Q87/MAX(Q:Q)*_ORw)+(R87/MAX(R:R)*_DRw),"")</f>
        <v/>
      </c>
      <c r="N87" s="156">
        <f>IFERROR(VLOOKUP(H87,Matrix!A:AC,12,0)-VLOOKUP(J87,Matrix!A:AC,12,0),"")</f>
        <v/>
      </c>
      <c r="O87" s="182">
        <f>IFERROR(AVERAGEIFS(2025Schedule!O:O,2025Schedule!E:E,H87,2025Schedule!N:N,A87)-AVERAGEIFS(2025Schedule!O:O,2025Schedule!E:E,J87,2025Schedule!N:N,B87),0)</f>
        <v/>
      </c>
      <c r="P87" s="156">
        <f>IFERROR(VLOOKUP(H87,Matrix!A:D,2,0)-VLOOKUP(J87,Matrix!A:D,2,0),"")</f>
        <v/>
      </c>
      <c r="Q87" s="156">
        <f>IFERROR(VLOOKUP(H87,Matrix!A:AC,15,0)-VLOOKUP(J87,Matrix!A:AC,15,0),"")</f>
        <v/>
      </c>
      <c r="R87" s="156">
        <f>IFERROR(VLOOKUP(H87,Matrix!A:AC,16,0)-VLOOKUP(J87,Matrix!A:AC,16,0),"")</f>
        <v/>
      </c>
      <c r="S87" s="195">
        <f>H87</f>
        <v/>
      </c>
      <c r="T87" s="195">
        <f>IFERROR(VLOOKUP(G87&amp;H87,2025Schedule!A:F,6,0),"")</f>
        <v/>
      </c>
      <c r="U87" s="264">
        <f>J87</f>
        <v/>
      </c>
      <c r="V87" s="195">
        <f>IFERROR(VLOOKUP(G87&amp;J87,2025Schedule!A:F,6,0),"")</f>
        <v/>
      </c>
    </row>
    <row r="88" ht="14.4" customHeight="1" s="152">
      <c r="A88" s="241">
        <f>H88&amp;I88</f>
        <v/>
      </c>
      <c r="B88" s="241">
        <f>J88&amp;C88</f>
        <v/>
      </c>
      <c r="C88" s="241">
        <f>IFERROR(IF(I88="Home","Away",IF(I88="Away","Home","")),"")</f>
        <v/>
      </c>
      <c r="D88" s="242">
        <f>H88</f>
        <v/>
      </c>
      <c r="E88" s="157">
        <f>IFERROR(IF(AND(F88&gt;0,T88&gt;V88),"Yes",IF(AND(F88&gt;0,T88&lt;V88),"No",IF(AND(F88&lt;0,T88&lt;V88),"Yes",IF(AND(F88&lt;0,T88&gt;V88),"No",0)))),"")</f>
        <v/>
      </c>
      <c r="F88" s="263">
        <f>IFERROR((N88/MAX(N:N)*_MOVw)+(O88/MAX(O:O)*_WINw)+(P88/MAX(P:P)*_PPGw)+(Q88/MAX(Q:Q)*_ORw)+(R88/MAX(R:R)*_DRw),"")</f>
        <v/>
      </c>
      <c r="N88" s="156">
        <f>IFERROR(VLOOKUP(H88,Matrix!A:AC,12,0)-VLOOKUP(J88,Matrix!A:AC,12,0),"")</f>
        <v/>
      </c>
      <c r="O88" s="182">
        <f>IFERROR(AVERAGEIFS(2025Schedule!O:O,2025Schedule!E:E,H88,2025Schedule!N:N,A88)-AVERAGEIFS(2025Schedule!O:O,2025Schedule!E:E,J88,2025Schedule!N:N,B88),0)</f>
        <v/>
      </c>
      <c r="P88" s="156">
        <f>IFERROR(VLOOKUP(H88,Matrix!A:D,2,0)-VLOOKUP(J88,Matrix!A:D,2,0),"")</f>
        <v/>
      </c>
      <c r="Q88" s="156">
        <f>IFERROR(VLOOKUP(H88,Matrix!A:AC,15,0)-VLOOKUP(J88,Matrix!A:AC,15,0),"")</f>
        <v/>
      </c>
      <c r="R88" s="156">
        <f>IFERROR(VLOOKUP(H88,Matrix!A:AC,16,0)-VLOOKUP(J88,Matrix!A:AC,16,0),"")</f>
        <v/>
      </c>
      <c r="S88" s="195">
        <f>H88</f>
        <v/>
      </c>
      <c r="T88" s="195">
        <f>IFERROR(VLOOKUP(G88&amp;H88,2025Schedule!A:F,6,0),"")</f>
        <v/>
      </c>
      <c r="U88" s="264">
        <f>J88</f>
        <v/>
      </c>
      <c r="V88" s="195">
        <f>IFERROR(VLOOKUP(G88&amp;J88,2025Schedule!A:F,6,0),"")</f>
        <v/>
      </c>
    </row>
    <row r="89" ht="14.4" customHeight="1" s="152">
      <c r="A89" s="241">
        <f>H89&amp;I89</f>
        <v/>
      </c>
      <c r="B89" s="241">
        <f>J89&amp;C89</f>
        <v/>
      </c>
      <c r="C89" s="241">
        <f>IFERROR(IF(I89="Home","Away",IF(I89="Away","Home","")),"")</f>
        <v/>
      </c>
      <c r="D89" s="242">
        <f>H89</f>
        <v/>
      </c>
      <c r="E89" s="157">
        <f>IFERROR(IF(AND(F89&gt;0,T89&gt;V89),"Yes",IF(AND(F89&gt;0,T89&lt;V89),"No",IF(AND(F89&lt;0,T89&lt;V89),"Yes",IF(AND(F89&lt;0,T89&gt;V89),"No",0)))),"")</f>
        <v/>
      </c>
      <c r="F89" s="263">
        <f>IFERROR((N89/MAX(N:N)*_MOVw)+(O89/MAX(O:O)*_WINw)+(P89/MAX(P:P)*_PPGw)+(Q89/MAX(Q:Q)*_ORw)+(R89/MAX(R:R)*_DRw),"")</f>
        <v/>
      </c>
      <c r="N89" s="156">
        <f>IFERROR(VLOOKUP(H89,Matrix!A:AC,12,0)-VLOOKUP(J89,Matrix!A:AC,12,0),"")</f>
        <v/>
      </c>
      <c r="O89" s="182">
        <f>IFERROR(AVERAGEIFS(2025Schedule!O:O,2025Schedule!E:E,H89,2025Schedule!N:N,A89)-AVERAGEIFS(2025Schedule!O:O,2025Schedule!E:E,J89,2025Schedule!N:N,B89),0)</f>
        <v/>
      </c>
      <c r="P89" s="156">
        <f>IFERROR(VLOOKUP(H89,Matrix!A:D,2,0)-VLOOKUP(J89,Matrix!A:D,2,0),"")</f>
        <v/>
      </c>
      <c r="Q89" s="156">
        <f>IFERROR(VLOOKUP(H89,Matrix!A:AC,15,0)-VLOOKUP(J89,Matrix!A:AC,15,0),"")</f>
        <v/>
      </c>
      <c r="R89" s="156">
        <f>IFERROR(VLOOKUP(H89,Matrix!A:AC,16,0)-VLOOKUP(J89,Matrix!A:AC,16,0),"")</f>
        <v/>
      </c>
      <c r="S89" s="195">
        <f>H89</f>
        <v/>
      </c>
      <c r="T89" s="195">
        <f>IFERROR(VLOOKUP(G89&amp;H89,2025Schedule!A:F,6,0),"")</f>
        <v/>
      </c>
      <c r="U89" s="264">
        <f>J89</f>
        <v/>
      </c>
      <c r="V89" s="195">
        <f>IFERROR(VLOOKUP(G89&amp;J89,2025Schedule!A:F,6,0),"")</f>
        <v/>
      </c>
    </row>
    <row r="90" ht="14.4" customHeight="1" s="152">
      <c r="A90" s="241">
        <f>H90&amp;I90</f>
        <v/>
      </c>
      <c r="B90" s="241">
        <f>J90&amp;C90</f>
        <v/>
      </c>
      <c r="C90" s="241">
        <f>IFERROR(IF(I90="Home","Away",IF(I90="Away","Home","")),"")</f>
        <v/>
      </c>
      <c r="D90" s="242">
        <f>H90</f>
        <v/>
      </c>
      <c r="E90" s="157">
        <f>IFERROR(IF(AND(F90&gt;0,T90&gt;V90),"Yes",IF(AND(F90&gt;0,T90&lt;V90),"No",IF(AND(F90&lt;0,T90&lt;V90),"Yes",IF(AND(F90&lt;0,T90&gt;V90),"No",0)))),"")</f>
        <v/>
      </c>
      <c r="F90" s="263">
        <f>IFERROR((N90/MAX(N:N)*_MOVw)+(O90/MAX(O:O)*_WINw)+(P90/MAX(P:P)*_PPGw)+(Q90/MAX(Q:Q)*_ORw)+(R90/MAX(R:R)*_DRw),"")</f>
        <v/>
      </c>
      <c r="N90" s="156">
        <f>IFERROR(VLOOKUP(H90,Matrix!A:AC,12,0)-VLOOKUP(J90,Matrix!A:AC,12,0),"")</f>
        <v/>
      </c>
      <c r="O90" s="182">
        <f>IFERROR(AVERAGEIFS(2025Schedule!O:O,2025Schedule!E:E,H90,2025Schedule!N:N,A90)-AVERAGEIFS(2025Schedule!O:O,2025Schedule!E:E,J90,2025Schedule!N:N,B90),0)</f>
        <v/>
      </c>
      <c r="P90" s="156">
        <f>IFERROR(VLOOKUP(H90,Matrix!A:D,2,0)-VLOOKUP(J90,Matrix!A:D,2,0),"")</f>
        <v/>
      </c>
      <c r="Q90" s="156">
        <f>IFERROR(VLOOKUP(H90,Matrix!A:AC,15,0)-VLOOKUP(J90,Matrix!A:AC,15,0),"")</f>
        <v/>
      </c>
      <c r="R90" s="156">
        <f>IFERROR(VLOOKUP(H90,Matrix!A:AC,16,0)-VLOOKUP(J90,Matrix!A:AC,16,0),"")</f>
        <v/>
      </c>
      <c r="S90" s="195">
        <f>H90</f>
        <v/>
      </c>
      <c r="T90" s="195">
        <f>IFERROR(VLOOKUP(G90&amp;H90,2025Schedule!A:F,6,0),"")</f>
        <v/>
      </c>
      <c r="U90" s="264">
        <f>J90</f>
        <v/>
      </c>
      <c r="V90" s="195">
        <f>IFERROR(VLOOKUP(G90&amp;J90,2025Schedule!A:F,6,0),"")</f>
        <v/>
      </c>
    </row>
    <row r="91" ht="14.4" customHeight="1" s="152">
      <c r="A91" s="241">
        <f>H91&amp;I91</f>
        <v/>
      </c>
      <c r="B91" s="241">
        <f>J91&amp;C91</f>
        <v/>
      </c>
      <c r="C91" s="241">
        <f>IFERROR(IF(I91="Home","Away",IF(I91="Away","Home","")),"")</f>
        <v/>
      </c>
      <c r="D91" s="242">
        <f>H91</f>
        <v/>
      </c>
      <c r="E91" s="157">
        <f>IFERROR(IF(AND(F91&gt;0,T91&gt;V91),"Yes",IF(AND(F91&gt;0,T91&lt;V91),"No",IF(AND(F91&lt;0,T91&lt;V91),"Yes",IF(AND(F91&lt;0,T91&gt;V91),"No",0)))),"")</f>
        <v/>
      </c>
      <c r="F91" s="263">
        <f>IFERROR((N91/MAX(N:N)*_MOVw)+(O91/MAX(O:O)*_WINw)+(P91/MAX(P:P)*_PPGw)+(Q91/MAX(Q:Q)*_ORw)+(R91/MAX(R:R)*_DRw),"")</f>
        <v/>
      </c>
      <c r="N91" s="156">
        <f>IFERROR(VLOOKUP(H91,Matrix!A:AC,12,0)-VLOOKUP(J91,Matrix!A:AC,12,0),"")</f>
        <v/>
      </c>
      <c r="O91" s="182">
        <f>IFERROR(AVERAGEIFS(2025Schedule!O:O,2025Schedule!E:E,H91,2025Schedule!N:N,A91)-AVERAGEIFS(2025Schedule!O:O,2025Schedule!E:E,J91,2025Schedule!N:N,B91),0)</f>
        <v/>
      </c>
      <c r="P91" s="156">
        <f>IFERROR(VLOOKUP(H91,Matrix!A:D,2,0)-VLOOKUP(J91,Matrix!A:D,2,0),"")</f>
        <v/>
      </c>
      <c r="Q91" s="156">
        <f>IFERROR(VLOOKUP(H91,Matrix!A:AC,15,0)-VLOOKUP(J91,Matrix!A:AC,15,0),"")</f>
        <v/>
      </c>
      <c r="R91" s="156">
        <f>IFERROR(VLOOKUP(H91,Matrix!A:AC,16,0)-VLOOKUP(J91,Matrix!A:AC,16,0),"")</f>
        <v/>
      </c>
      <c r="S91" s="195">
        <f>H91</f>
        <v/>
      </c>
      <c r="T91" s="195">
        <f>IFERROR(VLOOKUP(G91&amp;H91,2025Schedule!A:F,6,0),"")</f>
        <v/>
      </c>
      <c r="U91" s="264">
        <f>J91</f>
        <v/>
      </c>
      <c r="V91" s="195">
        <f>IFERROR(VLOOKUP(G91&amp;J91,2025Schedule!A:F,6,0),"")</f>
        <v/>
      </c>
    </row>
    <row r="92" ht="14.4" customHeight="1" s="152">
      <c r="A92" s="241">
        <f>H92&amp;I92</f>
        <v/>
      </c>
      <c r="B92" s="241">
        <f>J92&amp;C92</f>
        <v/>
      </c>
      <c r="C92" s="241">
        <f>IFERROR(IF(I92="Home","Away",IF(I92="Away","Home","")),"")</f>
        <v/>
      </c>
      <c r="D92" s="242">
        <f>H92</f>
        <v/>
      </c>
      <c r="E92" s="157">
        <f>IFERROR(IF(AND(F92&gt;0,T92&gt;V92),"Yes",IF(AND(F92&gt;0,T92&lt;V92),"No",IF(AND(F92&lt;0,T92&lt;V92),"Yes",IF(AND(F92&lt;0,T92&gt;V92),"No",0)))),"")</f>
        <v/>
      </c>
      <c r="F92" s="263">
        <f>IFERROR((N92/MAX(N:N)*_MOVw)+(O92/MAX(O:O)*_WINw)+(P92/MAX(P:P)*_PPGw)+(Q92/MAX(Q:Q)*_ORw)+(R92/MAX(R:R)*_DRw),"")</f>
        <v/>
      </c>
      <c r="N92" s="156">
        <f>IFERROR(VLOOKUP(H92,Matrix!A:AC,12,0)-VLOOKUP(J92,Matrix!A:AC,12,0),"")</f>
        <v/>
      </c>
      <c r="O92" s="182">
        <f>IFERROR(AVERAGEIFS(2025Schedule!O:O,2025Schedule!E:E,H92,2025Schedule!N:N,A92)-AVERAGEIFS(2025Schedule!O:O,2025Schedule!E:E,J92,2025Schedule!N:N,B92),0)</f>
        <v/>
      </c>
      <c r="P92" s="156">
        <f>IFERROR(VLOOKUP(H92,Matrix!A:D,2,0)-VLOOKUP(J92,Matrix!A:D,2,0),"")</f>
        <v/>
      </c>
      <c r="Q92" s="156">
        <f>IFERROR(VLOOKUP(H92,Matrix!A:AC,15,0)-VLOOKUP(J92,Matrix!A:AC,15,0),"")</f>
        <v/>
      </c>
      <c r="R92" s="156">
        <f>IFERROR(VLOOKUP(H92,Matrix!A:AC,16,0)-VLOOKUP(J92,Matrix!A:AC,16,0),"")</f>
        <v/>
      </c>
      <c r="S92" s="195">
        <f>H92</f>
        <v/>
      </c>
      <c r="T92" s="195">
        <f>IFERROR(VLOOKUP(G92&amp;H92,2025Schedule!A:F,6,0),"")</f>
        <v/>
      </c>
      <c r="U92" s="264">
        <f>J92</f>
        <v/>
      </c>
      <c r="V92" s="195">
        <f>IFERROR(VLOOKUP(G92&amp;J92,2025Schedule!A:F,6,0),"")</f>
        <v/>
      </c>
    </row>
    <row r="93" ht="14.4" customHeight="1" s="152">
      <c r="A93" s="241">
        <f>H93&amp;I93</f>
        <v/>
      </c>
      <c r="B93" s="241">
        <f>J93&amp;C93</f>
        <v/>
      </c>
      <c r="C93" s="241">
        <f>IFERROR(IF(I93="Home","Away",IF(I93="Away","Home","")),"")</f>
        <v/>
      </c>
      <c r="D93" s="242">
        <f>H93</f>
        <v/>
      </c>
      <c r="E93" s="157">
        <f>IFERROR(IF(AND(F93&gt;0,T93&gt;V93),"Yes",IF(AND(F93&gt;0,T93&lt;V93),"No",IF(AND(F93&lt;0,T93&lt;V93),"Yes",IF(AND(F93&lt;0,T93&gt;V93),"No",0)))),"")</f>
        <v/>
      </c>
      <c r="F93" s="263">
        <f>IFERROR((N93/MAX(N:N)*_MOVw)+(O93/MAX(O:O)*_WINw)+(P93/MAX(P:P)*_PPGw)+(Q93/MAX(Q:Q)*_ORw)+(R93/MAX(R:R)*_DRw),"")</f>
        <v/>
      </c>
      <c r="N93" s="156">
        <f>IFERROR(VLOOKUP(H93,Matrix!A:AC,12,0)-VLOOKUP(J93,Matrix!A:AC,12,0),"")</f>
        <v/>
      </c>
      <c r="O93" s="182">
        <f>IFERROR(AVERAGEIFS(2025Schedule!O:O,2025Schedule!E:E,H93,2025Schedule!N:N,A93)-AVERAGEIFS(2025Schedule!O:O,2025Schedule!E:E,J93,2025Schedule!N:N,B93),0)</f>
        <v/>
      </c>
      <c r="P93" s="156">
        <f>IFERROR(VLOOKUP(H93,Matrix!A:D,2,0)-VLOOKUP(J93,Matrix!A:D,2,0),"")</f>
        <v/>
      </c>
      <c r="Q93" s="156">
        <f>IFERROR(VLOOKUP(H93,Matrix!A:AC,15,0)-VLOOKUP(J93,Matrix!A:AC,15,0),"")</f>
        <v/>
      </c>
      <c r="R93" s="156">
        <f>IFERROR(VLOOKUP(H93,Matrix!A:AC,16,0)-VLOOKUP(J93,Matrix!A:AC,16,0),"")</f>
        <v/>
      </c>
      <c r="S93" s="195">
        <f>H93</f>
        <v/>
      </c>
      <c r="T93" s="195">
        <f>IFERROR(VLOOKUP(G93&amp;H93,2025Schedule!A:F,6,0),"")</f>
        <v/>
      </c>
      <c r="U93" s="264">
        <f>J93</f>
        <v/>
      </c>
      <c r="V93" s="195">
        <f>IFERROR(VLOOKUP(G93&amp;J93,2025Schedule!A:F,6,0),"")</f>
        <v/>
      </c>
    </row>
    <row r="94" ht="14.4" customHeight="1" s="152">
      <c r="A94" s="241">
        <f>H94&amp;I94</f>
        <v/>
      </c>
      <c r="B94" s="241">
        <f>J94&amp;C94</f>
        <v/>
      </c>
      <c r="C94" s="241">
        <f>IFERROR(IF(I94="Home","Away",IF(I94="Away","Home","")),"")</f>
        <v/>
      </c>
      <c r="D94" s="242">
        <f>H94</f>
        <v/>
      </c>
      <c r="E94" s="157">
        <f>IFERROR(IF(AND(F94&gt;0,T94&gt;V94),"Yes",IF(AND(F94&gt;0,T94&lt;V94),"No",IF(AND(F94&lt;0,T94&lt;V94),"Yes",IF(AND(F94&lt;0,T94&gt;V94),"No",0)))),"")</f>
        <v/>
      </c>
      <c r="F94" s="263">
        <f>IFERROR((N94/MAX(N:N)*_MOVw)+(O94/MAX(O:O)*_WINw)+(P94/MAX(P:P)*_PPGw)+(Q94/MAX(Q:Q)*_ORw)+(R94/MAX(R:R)*_DRw),"")</f>
        <v/>
      </c>
      <c r="N94" s="156">
        <f>IFERROR(VLOOKUP(H94,Matrix!A:AC,12,0)-VLOOKUP(J94,Matrix!A:AC,12,0),"")</f>
        <v/>
      </c>
      <c r="O94" s="182">
        <f>IFERROR(AVERAGEIFS(2025Schedule!O:O,2025Schedule!E:E,H94,2025Schedule!N:N,A94)-AVERAGEIFS(2025Schedule!O:O,2025Schedule!E:E,J94,2025Schedule!N:N,B94),0)</f>
        <v/>
      </c>
      <c r="P94" s="156">
        <f>IFERROR(VLOOKUP(H94,Matrix!A:D,2,0)-VLOOKUP(J94,Matrix!A:D,2,0),"")</f>
        <v/>
      </c>
      <c r="Q94" s="156">
        <f>IFERROR(VLOOKUP(H94,Matrix!A:AC,15,0)-VLOOKUP(J94,Matrix!A:AC,15,0),"")</f>
        <v/>
      </c>
      <c r="R94" s="156">
        <f>IFERROR(VLOOKUP(H94,Matrix!A:AC,16,0)-VLOOKUP(J94,Matrix!A:AC,16,0),"")</f>
        <v/>
      </c>
      <c r="S94" s="195">
        <f>H94</f>
        <v/>
      </c>
      <c r="T94" s="195">
        <f>IFERROR(VLOOKUP(G94&amp;H94,2025Schedule!A:F,6,0),"")</f>
        <v/>
      </c>
      <c r="U94" s="264">
        <f>J94</f>
        <v/>
      </c>
      <c r="V94" s="195">
        <f>IFERROR(VLOOKUP(G94&amp;J94,2025Schedule!A:F,6,0),"")</f>
        <v/>
      </c>
    </row>
    <row r="95" ht="14.4" customHeight="1" s="152">
      <c r="A95" s="241">
        <f>H95&amp;I95</f>
        <v/>
      </c>
      <c r="B95" s="241">
        <f>J95&amp;C95</f>
        <v/>
      </c>
      <c r="C95" s="241">
        <f>IFERROR(IF(I95="Home","Away",IF(I95="Away","Home","")),"")</f>
        <v/>
      </c>
      <c r="D95" s="242">
        <f>H95</f>
        <v/>
      </c>
      <c r="E95" s="157">
        <f>IFERROR(IF(AND(F95&gt;0,T95&gt;V95),"Yes",IF(AND(F95&gt;0,T95&lt;V95),"No",IF(AND(F95&lt;0,T95&lt;V95),"Yes",IF(AND(F95&lt;0,T95&gt;V95),"No",0)))),"")</f>
        <v/>
      </c>
      <c r="F95" s="263">
        <f>IFERROR((N95/MAX(N:N)*_MOVw)+(O95/MAX(O:O)*_WINw)+(P95/MAX(P:P)*_PPGw)+(Q95/MAX(Q:Q)*_ORw)+(R95/MAX(R:R)*_DRw),"")</f>
        <v/>
      </c>
      <c r="N95" s="156">
        <f>IFERROR(VLOOKUP(H95,Matrix!A:AC,12,0)-VLOOKUP(J95,Matrix!A:AC,12,0),"")</f>
        <v/>
      </c>
      <c r="O95" s="182">
        <f>IFERROR(AVERAGEIFS(2025Schedule!O:O,2025Schedule!E:E,H95,2025Schedule!N:N,A95)-AVERAGEIFS(2025Schedule!O:O,2025Schedule!E:E,J95,2025Schedule!N:N,B95),0)</f>
        <v/>
      </c>
      <c r="P95" s="156">
        <f>IFERROR(VLOOKUP(H95,Matrix!A:D,2,0)-VLOOKUP(J95,Matrix!A:D,2,0),"")</f>
        <v/>
      </c>
      <c r="Q95" s="156">
        <f>IFERROR(VLOOKUP(H95,Matrix!A:AC,15,0)-VLOOKUP(J95,Matrix!A:AC,15,0),"")</f>
        <v/>
      </c>
      <c r="R95" s="156">
        <f>IFERROR(VLOOKUP(H95,Matrix!A:AC,16,0)-VLOOKUP(J95,Matrix!A:AC,16,0),"")</f>
        <v/>
      </c>
      <c r="S95" s="195">
        <f>H95</f>
        <v/>
      </c>
      <c r="T95" s="195">
        <f>IFERROR(VLOOKUP(G95&amp;H95,2025Schedule!A:F,6,0),"")</f>
        <v/>
      </c>
      <c r="U95" s="264">
        <f>J95</f>
        <v/>
      </c>
      <c r="V95" s="195">
        <f>IFERROR(VLOOKUP(G95&amp;J95,2025Schedule!A:F,6,0),"")</f>
        <v/>
      </c>
    </row>
    <row r="96" ht="14.4" customHeight="1" s="152">
      <c r="A96" s="241">
        <f>H96&amp;I96</f>
        <v/>
      </c>
      <c r="B96" s="241">
        <f>J96&amp;C96</f>
        <v/>
      </c>
      <c r="C96" s="241">
        <f>IFERROR(IF(I96="Home","Away",IF(I96="Away","Home","")),"")</f>
        <v/>
      </c>
      <c r="D96" s="242">
        <f>H96</f>
        <v/>
      </c>
      <c r="E96" s="157">
        <f>IFERROR(IF(AND(F96&gt;0,T96&gt;V96),"Yes",IF(AND(F96&gt;0,T96&lt;V96),"No",IF(AND(F96&lt;0,T96&lt;V96),"Yes",IF(AND(F96&lt;0,T96&gt;V96),"No",0)))),"")</f>
        <v/>
      </c>
      <c r="F96" s="263">
        <f>IFERROR((N96/MAX(N:N)*_MOVw)+(O96/MAX(O:O)*_WINw)+(P96/MAX(P:P)*_PPGw)+(Q96/MAX(Q:Q)*_ORw)+(R96/MAX(R:R)*_DRw),"")</f>
        <v/>
      </c>
      <c r="N96" s="156">
        <f>IFERROR(VLOOKUP(H96,Matrix!A:AC,12,0)-VLOOKUP(J96,Matrix!A:AC,12,0),"")</f>
        <v/>
      </c>
      <c r="O96" s="182">
        <f>IFERROR(AVERAGEIFS(2025Schedule!O:O,2025Schedule!E:E,H96,2025Schedule!N:N,A96)-AVERAGEIFS(2025Schedule!O:O,2025Schedule!E:E,J96,2025Schedule!N:N,B96),0)</f>
        <v/>
      </c>
      <c r="P96" s="156">
        <f>IFERROR(VLOOKUP(H96,Matrix!A:D,2,0)-VLOOKUP(J96,Matrix!A:D,2,0),"")</f>
        <v/>
      </c>
      <c r="Q96" s="156">
        <f>IFERROR(VLOOKUP(H96,Matrix!A:AC,15,0)-VLOOKUP(J96,Matrix!A:AC,15,0),"")</f>
        <v/>
      </c>
      <c r="R96" s="156">
        <f>IFERROR(VLOOKUP(H96,Matrix!A:AC,16,0)-VLOOKUP(J96,Matrix!A:AC,16,0),"")</f>
        <v/>
      </c>
      <c r="S96" s="195">
        <f>H96</f>
        <v/>
      </c>
      <c r="T96" s="195">
        <f>IFERROR(VLOOKUP(G96&amp;H96,2025Schedule!A:F,6,0),"")</f>
        <v/>
      </c>
      <c r="U96" s="264">
        <f>J96</f>
        <v/>
      </c>
      <c r="V96" s="195">
        <f>IFERROR(VLOOKUP(G96&amp;J96,2025Schedule!A:F,6,0),"")</f>
        <v/>
      </c>
    </row>
    <row r="97" ht="14.4" customHeight="1" s="152">
      <c r="A97" s="241">
        <f>H97&amp;I97</f>
        <v/>
      </c>
      <c r="B97" s="241">
        <f>J97&amp;C97</f>
        <v/>
      </c>
      <c r="C97" s="241">
        <f>IFERROR(IF(I97="Home","Away",IF(I97="Away","Home","")),"")</f>
        <v/>
      </c>
      <c r="D97" s="242">
        <f>H97</f>
        <v/>
      </c>
      <c r="E97" s="157">
        <f>IFERROR(IF(AND(F97&gt;0,T97&gt;V97),"Yes",IF(AND(F97&gt;0,T97&lt;V97),"No",IF(AND(F97&lt;0,T97&lt;V97),"Yes",IF(AND(F97&lt;0,T97&gt;V97),"No",0)))),"")</f>
        <v/>
      </c>
      <c r="F97" s="263">
        <f>IFERROR((N97/MAX(N:N)*_MOVw)+(O97/MAX(O:O)*_WINw)+(P97/MAX(P:P)*_PPGw)+(Q97/MAX(Q:Q)*_ORw)+(R97/MAX(R:R)*_DRw),"")</f>
        <v/>
      </c>
      <c r="N97" s="156">
        <f>IFERROR(VLOOKUP(H97,Matrix!A:AC,12,0)-VLOOKUP(J97,Matrix!A:AC,12,0),"")</f>
        <v/>
      </c>
      <c r="O97" s="182">
        <f>IFERROR(AVERAGEIFS(2025Schedule!O:O,2025Schedule!E:E,H97,2025Schedule!N:N,A97)-AVERAGEIFS(2025Schedule!O:O,2025Schedule!E:E,J97,2025Schedule!N:N,B97),0)</f>
        <v/>
      </c>
      <c r="P97" s="156">
        <f>IFERROR(VLOOKUP(H97,Matrix!A:D,2,0)-VLOOKUP(J97,Matrix!A:D,2,0),"")</f>
        <v/>
      </c>
      <c r="Q97" s="156">
        <f>IFERROR(VLOOKUP(H97,Matrix!A:AC,15,0)-VLOOKUP(J97,Matrix!A:AC,15,0),"")</f>
        <v/>
      </c>
      <c r="R97" s="156">
        <f>IFERROR(VLOOKUP(H97,Matrix!A:AC,16,0)-VLOOKUP(J97,Matrix!A:AC,16,0),"")</f>
        <v/>
      </c>
      <c r="S97" s="195">
        <f>H97</f>
        <v/>
      </c>
      <c r="T97" s="195">
        <f>IFERROR(VLOOKUP(G97&amp;H97,2025Schedule!A:F,6,0),"")</f>
        <v/>
      </c>
      <c r="U97" s="264">
        <f>J97</f>
        <v/>
      </c>
      <c r="V97" s="195">
        <f>IFERROR(VLOOKUP(G97&amp;J97,2025Schedule!A:F,6,0),"")</f>
        <v/>
      </c>
    </row>
    <row r="98" ht="14.4" customHeight="1" s="152">
      <c r="A98" s="241">
        <f>H98&amp;I98</f>
        <v/>
      </c>
      <c r="B98" s="241">
        <f>J98&amp;C98</f>
        <v/>
      </c>
      <c r="C98" s="241">
        <f>IFERROR(IF(I98="Home","Away",IF(I98="Away","Home","")),"")</f>
        <v/>
      </c>
      <c r="D98" s="242">
        <f>H98</f>
        <v/>
      </c>
      <c r="E98" s="157">
        <f>IFERROR(IF(AND(F98&gt;0,T98&gt;V98),"Yes",IF(AND(F98&gt;0,T98&lt;V98),"No",IF(AND(F98&lt;0,T98&lt;V98),"Yes",IF(AND(F98&lt;0,T98&gt;V98),"No",0)))),"")</f>
        <v/>
      </c>
      <c r="F98" s="263">
        <f>IFERROR((N98/MAX(N:N)*_MOVw)+(O98/MAX(O:O)*_WINw)+(P98/MAX(P:P)*_PPGw)+(Q98/MAX(Q:Q)*_ORw)+(R98/MAX(R:R)*_DRw),"")</f>
        <v/>
      </c>
      <c r="N98" s="156">
        <f>IFERROR(VLOOKUP(H98,Matrix!A:AC,12,0)-VLOOKUP(J98,Matrix!A:AC,12,0),"")</f>
        <v/>
      </c>
      <c r="O98" s="182">
        <f>IFERROR(AVERAGEIFS(2025Schedule!O:O,2025Schedule!E:E,H98,2025Schedule!N:N,A98)-AVERAGEIFS(2025Schedule!O:O,2025Schedule!E:E,J98,2025Schedule!N:N,B98),0)</f>
        <v/>
      </c>
      <c r="P98" s="156">
        <f>IFERROR(VLOOKUP(H98,Matrix!A:D,2,0)-VLOOKUP(J98,Matrix!A:D,2,0),"")</f>
        <v/>
      </c>
      <c r="Q98" s="156">
        <f>IFERROR(VLOOKUP(H98,Matrix!A:AC,15,0)-VLOOKUP(J98,Matrix!A:AC,15,0),"")</f>
        <v/>
      </c>
      <c r="R98" s="156">
        <f>IFERROR(VLOOKUP(H98,Matrix!A:AC,16,0)-VLOOKUP(J98,Matrix!A:AC,16,0),"")</f>
        <v/>
      </c>
      <c r="S98" s="195">
        <f>H98</f>
        <v/>
      </c>
      <c r="T98" s="195">
        <f>IFERROR(VLOOKUP(G98&amp;H98,2025Schedule!A:F,6,0),"")</f>
        <v/>
      </c>
      <c r="U98" s="264">
        <f>J98</f>
        <v/>
      </c>
      <c r="V98" s="195">
        <f>IFERROR(VLOOKUP(G98&amp;J98,2025Schedule!A:F,6,0),"")</f>
        <v/>
      </c>
    </row>
    <row r="99" ht="14.4" customHeight="1" s="152">
      <c r="A99" s="241">
        <f>H99&amp;I99</f>
        <v/>
      </c>
      <c r="B99" s="241">
        <f>J99&amp;C99</f>
        <v/>
      </c>
      <c r="C99" s="241">
        <f>IFERROR(IF(I99="Home","Away",IF(I99="Away","Home","")),"")</f>
        <v/>
      </c>
      <c r="D99" s="242">
        <f>H99</f>
        <v/>
      </c>
      <c r="E99" s="157">
        <f>IFERROR(IF(AND(F99&gt;0,T99&gt;V99),"Yes",IF(AND(F99&gt;0,T99&lt;V99),"No",IF(AND(F99&lt;0,T99&lt;V99),"Yes",IF(AND(F99&lt;0,T99&gt;V99),"No",0)))),"")</f>
        <v/>
      </c>
      <c r="F99" s="263">
        <f>IFERROR((N99/MAX(N:N)*_MOVw)+(O99/MAX(O:O)*_WINw)+(P99/MAX(P:P)*_PPGw)+(Q99/MAX(Q:Q)*_ORw)+(R99/MAX(R:R)*_DRw),"")</f>
        <v/>
      </c>
      <c r="N99" s="156">
        <f>IFERROR(VLOOKUP(H99,Matrix!A:AC,12,0)-VLOOKUP(J99,Matrix!A:AC,12,0),"")</f>
        <v/>
      </c>
      <c r="O99" s="182">
        <f>IFERROR(AVERAGEIFS(2025Schedule!O:O,2025Schedule!E:E,H99,2025Schedule!N:N,A99)-AVERAGEIFS(2025Schedule!O:O,2025Schedule!E:E,J99,2025Schedule!N:N,B99),0)</f>
        <v/>
      </c>
      <c r="P99" s="156">
        <f>IFERROR(VLOOKUP(H99,Matrix!A:D,2,0)-VLOOKUP(J99,Matrix!A:D,2,0),"")</f>
        <v/>
      </c>
      <c r="Q99" s="156">
        <f>IFERROR(VLOOKUP(H99,Matrix!A:AC,15,0)-VLOOKUP(J99,Matrix!A:AC,15,0),"")</f>
        <v/>
      </c>
      <c r="R99" s="156">
        <f>IFERROR(VLOOKUP(H99,Matrix!A:AC,16,0)-VLOOKUP(J99,Matrix!A:AC,16,0),"")</f>
        <v/>
      </c>
      <c r="S99" s="195">
        <f>H99</f>
        <v/>
      </c>
      <c r="T99" s="195">
        <f>IFERROR(VLOOKUP(G99&amp;H99,2025Schedule!A:F,6,0),"")</f>
        <v/>
      </c>
      <c r="U99" s="264">
        <f>J99</f>
        <v/>
      </c>
      <c r="V99" s="195">
        <f>IFERROR(VLOOKUP(G99&amp;J99,2025Schedule!A:F,6,0),"")</f>
        <v/>
      </c>
    </row>
    <row r="100" ht="14.4" customHeight="1" s="152">
      <c r="A100" s="241">
        <f>H100&amp;I100</f>
        <v/>
      </c>
      <c r="B100" s="241">
        <f>J100&amp;C100</f>
        <v/>
      </c>
      <c r="C100" s="241">
        <f>IFERROR(IF(I100="Home","Away",IF(I100="Away","Home","")),"")</f>
        <v/>
      </c>
      <c r="D100" s="242">
        <f>H100</f>
        <v/>
      </c>
      <c r="E100" s="157">
        <f>IFERROR(IF(AND(F100&gt;0,T100&gt;V100),"Yes",IF(AND(F100&gt;0,T100&lt;V100),"No",IF(AND(F100&lt;0,T100&lt;V100),"Yes",IF(AND(F100&lt;0,T100&gt;V100),"No",0)))),"")</f>
        <v/>
      </c>
      <c r="F100" s="263">
        <f>IFERROR((N100/MAX(N:N)*_MOVw)+(O100/MAX(O:O)*_WINw)+(P100/MAX(P:P)*_PPGw)+(Q100/MAX(Q:Q)*_ORw)+(R100/MAX(R:R)*_DRw),"")</f>
        <v/>
      </c>
      <c r="N100" s="156">
        <f>IFERROR(VLOOKUP(H100,Matrix!A:AC,12,0)-VLOOKUP(J100,Matrix!A:AC,12,0),"")</f>
        <v/>
      </c>
      <c r="O100" s="182">
        <f>IFERROR(AVERAGEIFS(2025Schedule!O:O,2025Schedule!E:E,H100,2025Schedule!N:N,A100)-AVERAGEIFS(2025Schedule!O:O,2025Schedule!E:E,J100,2025Schedule!N:N,B100),0)</f>
        <v/>
      </c>
      <c r="P100" s="156">
        <f>IFERROR(VLOOKUP(H100,Matrix!A:D,2,0)-VLOOKUP(J100,Matrix!A:D,2,0),"")</f>
        <v/>
      </c>
      <c r="Q100" s="156">
        <f>IFERROR(VLOOKUP(H100,Matrix!A:AC,15,0)-VLOOKUP(J100,Matrix!A:AC,15,0),"")</f>
        <v/>
      </c>
      <c r="R100" s="156">
        <f>IFERROR(VLOOKUP(H100,Matrix!A:AC,16,0)-VLOOKUP(J100,Matrix!A:AC,16,0),"")</f>
        <v/>
      </c>
      <c r="S100" s="195">
        <f>H100</f>
        <v/>
      </c>
      <c r="T100" s="195">
        <f>IFERROR(VLOOKUP(G100&amp;H100,2025Schedule!A:F,6,0),"")</f>
        <v/>
      </c>
      <c r="U100" s="264">
        <f>J100</f>
        <v/>
      </c>
      <c r="V100" s="195">
        <f>IFERROR(VLOOKUP(G100&amp;J100,2025Schedule!A:F,6,0),"")</f>
        <v/>
      </c>
    </row>
    <row r="101" ht="14.4" customHeight="1" s="152">
      <c r="A101" s="241">
        <f>H101&amp;I101</f>
        <v/>
      </c>
      <c r="B101" s="241">
        <f>J101&amp;C101</f>
        <v/>
      </c>
      <c r="C101" s="241">
        <f>IFERROR(IF(I101="Home","Away",IF(I101="Away","Home","")),"")</f>
        <v/>
      </c>
      <c r="D101" s="242">
        <f>H101</f>
        <v/>
      </c>
      <c r="E101" s="157">
        <f>IFERROR(IF(AND(F101&gt;0,T101&gt;V101),"Yes",IF(AND(F101&gt;0,T101&lt;V101),"No",IF(AND(F101&lt;0,T101&lt;V101),"Yes",IF(AND(F101&lt;0,T101&gt;V101),"No",0)))),"")</f>
        <v/>
      </c>
      <c r="F101" s="263">
        <f>IFERROR((N101/MAX(N:N)*_MOVw)+(O101/MAX(O:O)*_WINw)+(P101/MAX(P:P)*_PPGw)+(Q101/MAX(Q:Q)*_ORw)+(R101/MAX(R:R)*_DRw),"")</f>
        <v/>
      </c>
      <c r="N101" s="156">
        <f>IFERROR(VLOOKUP(H101,Matrix!A:AC,12,0)-VLOOKUP(J101,Matrix!A:AC,12,0),"")</f>
        <v/>
      </c>
      <c r="O101" s="182">
        <f>IFERROR(AVERAGEIFS(2025Schedule!O:O,2025Schedule!E:E,H101,2025Schedule!N:N,A101)-AVERAGEIFS(2025Schedule!O:O,2025Schedule!E:E,J101,2025Schedule!N:N,B101),0)</f>
        <v/>
      </c>
      <c r="P101" s="156">
        <f>IFERROR(VLOOKUP(H101,Matrix!A:D,2,0)-VLOOKUP(J101,Matrix!A:D,2,0),"")</f>
        <v/>
      </c>
      <c r="Q101" s="156">
        <f>IFERROR(VLOOKUP(H101,Matrix!A:AC,15,0)-VLOOKUP(J101,Matrix!A:AC,15,0),"")</f>
        <v/>
      </c>
      <c r="R101" s="156">
        <f>IFERROR(VLOOKUP(H101,Matrix!A:AC,16,0)-VLOOKUP(J101,Matrix!A:AC,16,0),"")</f>
        <v/>
      </c>
      <c r="S101" s="195">
        <f>H101</f>
        <v/>
      </c>
      <c r="T101" s="195">
        <f>IFERROR(VLOOKUP(G101&amp;H101,2025Schedule!A:F,6,0),"")</f>
        <v/>
      </c>
      <c r="U101" s="264">
        <f>J101</f>
        <v/>
      </c>
      <c r="V101" s="195">
        <f>IFERROR(VLOOKUP(G101&amp;J101,2025Schedule!A:F,6,0),"")</f>
        <v/>
      </c>
    </row>
    <row r="102" ht="14.4" customHeight="1" s="152">
      <c r="A102" s="241">
        <f>H102&amp;I102</f>
        <v/>
      </c>
      <c r="B102" s="241">
        <f>J102&amp;C102</f>
        <v/>
      </c>
      <c r="C102" s="241">
        <f>IFERROR(IF(I102="Home","Away",IF(I102="Away","Home","")),"")</f>
        <v/>
      </c>
      <c r="D102" s="242">
        <f>H102</f>
        <v/>
      </c>
      <c r="E102" s="157">
        <f>IFERROR(IF(AND(F102&gt;0,T102&gt;V102),"Yes",IF(AND(F102&gt;0,T102&lt;V102),"No",IF(AND(F102&lt;0,T102&lt;V102),"Yes",IF(AND(F102&lt;0,T102&gt;V102),"No",0)))),"")</f>
        <v/>
      </c>
      <c r="F102" s="263">
        <f>IFERROR((N102/MAX(N:N)*_MOVw)+(O102/MAX(O:O)*_WINw)+(P102/MAX(P:P)*_PPGw)+(Q102/MAX(Q:Q)*_ORw)+(R102/MAX(R:R)*_DRw),"")</f>
        <v/>
      </c>
      <c r="N102" s="156">
        <f>IFERROR(VLOOKUP(H102,Matrix!A:AC,12,0)-VLOOKUP(J102,Matrix!A:AC,12,0),"")</f>
        <v/>
      </c>
      <c r="O102" s="182">
        <f>IFERROR(AVERAGEIFS(2025Schedule!O:O,2025Schedule!E:E,H102,2025Schedule!N:N,A102)-AVERAGEIFS(2025Schedule!O:O,2025Schedule!E:E,J102,2025Schedule!N:N,B102),0)</f>
        <v/>
      </c>
      <c r="P102" s="156">
        <f>IFERROR(VLOOKUP(H102,Matrix!A:D,2,0)-VLOOKUP(J102,Matrix!A:D,2,0),"")</f>
        <v/>
      </c>
      <c r="Q102" s="156">
        <f>IFERROR(VLOOKUP(H102,Matrix!A:AC,15,0)-VLOOKUP(J102,Matrix!A:AC,15,0),"")</f>
        <v/>
      </c>
      <c r="R102" s="156">
        <f>IFERROR(VLOOKUP(H102,Matrix!A:AC,16,0)-VLOOKUP(J102,Matrix!A:AC,16,0),"")</f>
        <v/>
      </c>
      <c r="S102" s="195">
        <f>H102</f>
        <v/>
      </c>
      <c r="T102" s="195">
        <f>IFERROR(VLOOKUP(G102&amp;H102,2025Schedule!A:F,6,0),"")</f>
        <v/>
      </c>
      <c r="U102" s="264">
        <f>J102</f>
        <v/>
      </c>
      <c r="V102" s="195">
        <f>IFERROR(VLOOKUP(G102&amp;J102,2025Schedule!A:F,6,0),"")</f>
        <v/>
      </c>
    </row>
    <row r="103" ht="14.4" customHeight="1" s="152">
      <c r="A103" s="241">
        <f>H103&amp;I103</f>
        <v/>
      </c>
      <c r="B103" s="241">
        <f>J103&amp;C103</f>
        <v/>
      </c>
      <c r="C103" s="241">
        <f>IFERROR(IF(I103="Home","Away",IF(I103="Away","Home","")),"")</f>
        <v/>
      </c>
      <c r="D103" s="242">
        <f>H103</f>
        <v/>
      </c>
      <c r="E103" s="157">
        <f>IFERROR(IF(AND(F103&gt;0,T103&gt;V103),"Yes",IF(AND(F103&gt;0,T103&lt;V103),"No",IF(AND(F103&lt;0,T103&lt;V103),"Yes",IF(AND(F103&lt;0,T103&gt;V103),"No",0)))),"")</f>
        <v/>
      </c>
      <c r="F103" s="263">
        <f>IFERROR((N103/MAX(N:N)*_MOVw)+(O103/MAX(O:O)*_WINw)+(P103/MAX(P:P)*_PPGw)+(Q103/MAX(Q:Q)*_ORw)+(R103/MAX(R:R)*_DRw),"")</f>
        <v/>
      </c>
      <c r="N103" s="156">
        <f>IFERROR(VLOOKUP(H103,Matrix!A:AC,12,0)-VLOOKUP(J103,Matrix!A:AC,12,0),"")</f>
        <v/>
      </c>
      <c r="O103" s="182">
        <f>IFERROR(AVERAGEIFS(2025Schedule!O:O,2025Schedule!E:E,H103,2025Schedule!N:N,A103)-AVERAGEIFS(2025Schedule!O:O,2025Schedule!E:E,J103,2025Schedule!N:N,B103),0)</f>
        <v/>
      </c>
      <c r="P103" s="156">
        <f>IFERROR(VLOOKUP(H103,Matrix!A:D,2,0)-VLOOKUP(J103,Matrix!A:D,2,0),"")</f>
        <v/>
      </c>
      <c r="Q103" s="156">
        <f>IFERROR(VLOOKUP(H103,Matrix!A:AC,15,0)-VLOOKUP(J103,Matrix!A:AC,15,0),"")</f>
        <v/>
      </c>
      <c r="R103" s="156">
        <f>IFERROR(VLOOKUP(H103,Matrix!A:AC,16,0)-VLOOKUP(J103,Matrix!A:AC,16,0),"")</f>
        <v/>
      </c>
      <c r="S103" s="195">
        <f>H103</f>
        <v/>
      </c>
      <c r="T103" s="195">
        <f>IFERROR(VLOOKUP(G103&amp;H103,2025Schedule!A:F,6,0),"")</f>
        <v/>
      </c>
      <c r="U103" s="264">
        <f>J103</f>
        <v/>
      </c>
      <c r="V103" s="195">
        <f>IFERROR(VLOOKUP(G103&amp;J103,2025Schedule!A:F,6,0),"")</f>
        <v/>
      </c>
    </row>
    <row r="104" ht="14.4" customHeight="1" s="152">
      <c r="A104" s="241">
        <f>H104&amp;I104</f>
        <v/>
      </c>
      <c r="B104" s="241">
        <f>J104&amp;C104</f>
        <v/>
      </c>
      <c r="C104" s="241">
        <f>IFERROR(IF(I104="Home","Away",IF(I104="Away","Home","")),"")</f>
        <v/>
      </c>
      <c r="D104" s="242">
        <f>H104</f>
        <v/>
      </c>
      <c r="E104" s="157">
        <f>IFERROR(IF(AND(F104&gt;0,T104&gt;V104),"Yes",IF(AND(F104&gt;0,T104&lt;V104),"No",IF(AND(F104&lt;0,T104&lt;V104),"Yes",IF(AND(F104&lt;0,T104&gt;V104),"No",0)))),"")</f>
        <v/>
      </c>
      <c r="F104" s="263">
        <f>IFERROR((N104/MAX(N:N)*_MOVw)+(O104/MAX(O:O)*_WINw)+(P104/MAX(P:P)*_PPGw)+(Q104/MAX(Q:Q)*_ORw)+(R104/MAX(R:R)*_DRw),"")</f>
        <v/>
      </c>
      <c r="N104" s="156">
        <f>IFERROR(VLOOKUP(H104,Matrix!A:AC,12,0)-VLOOKUP(J104,Matrix!A:AC,12,0),"")</f>
        <v/>
      </c>
      <c r="O104" s="182">
        <f>IFERROR(AVERAGEIFS(2025Schedule!O:O,2025Schedule!E:E,H104,2025Schedule!N:N,A104)-AVERAGEIFS(2025Schedule!O:O,2025Schedule!E:E,J104,2025Schedule!N:N,B104),0)</f>
        <v/>
      </c>
      <c r="P104" s="156">
        <f>IFERROR(VLOOKUP(H104,Matrix!A:D,2,0)-VLOOKUP(J104,Matrix!A:D,2,0),"")</f>
        <v/>
      </c>
      <c r="Q104" s="156">
        <f>IFERROR(VLOOKUP(H104,Matrix!A:AC,15,0)-VLOOKUP(J104,Matrix!A:AC,15,0),"")</f>
        <v/>
      </c>
      <c r="R104" s="156">
        <f>IFERROR(VLOOKUP(H104,Matrix!A:AC,16,0)-VLOOKUP(J104,Matrix!A:AC,16,0),"")</f>
        <v/>
      </c>
      <c r="S104" s="195">
        <f>H104</f>
        <v/>
      </c>
      <c r="T104" s="195">
        <f>IFERROR(VLOOKUP(G104&amp;H104,2025Schedule!A:F,6,0),"")</f>
        <v/>
      </c>
      <c r="U104" s="264">
        <f>J104</f>
        <v/>
      </c>
      <c r="V104" s="195">
        <f>IFERROR(VLOOKUP(G104&amp;J104,2025Schedule!A:F,6,0),"")</f>
        <v/>
      </c>
    </row>
    <row r="105" ht="14.4" customHeight="1" s="152">
      <c r="A105" s="241">
        <f>H105&amp;I105</f>
        <v/>
      </c>
      <c r="B105" s="241">
        <f>J105&amp;C105</f>
        <v/>
      </c>
      <c r="C105" s="241">
        <f>IFERROR(IF(I105="Home","Away",IF(I105="Away","Home","")),"")</f>
        <v/>
      </c>
      <c r="D105" s="242">
        <f>H105</f>
        <v/>
      </c>
      <c r="E105" s="157">
        <f>IFERROR(IF(AND(F105&gt;0,T105&gt;V105),"Yes",IF(AND(F105&gt;0,T105&lt;V105),"No",IF(AND(F105&lt;0,T105&lt;V105),"Yes",IF(AND(F105&lt;0,T105&gt;V105),"No",0)))),"")</f>
        <v/>
      </c>
      <c r="F105" s="263">
        <f>IFERROR((N105/MAX(N:N)*_MOVw)+(O105/MAX(O:O)*_WINw)+(P105/MAX(P:P)*_PPGw)+(Q105/MAX(Q:Q)*_ORw)+(R105/MAX(R:R)*_DRw),"")</f>
        <v/>
      </c>
      <c r="N105" s="156">
        <f>IFERROR(VLOOKUP(H105,Matrix!A:AC,12,0)-VLOOKUP(J105,Matrix!A:AC,12,0),"")</f>
        <v/>
      </c>
      <c r="O105" s="182">
        <f>IFERROR(AVERAGEIFS(2025Schedule!O:O,2025Schedule!E:E,H105,2025Schedule!N:N,A105)-AVERAGEIFS(2025Schedule!O:O,2025Schedule!E:E,J105,2025Schedule!N:N,B105),0)</f>
        <v/>
      </c>
      <c r="P105" s="156">
        <f>IFERROR(VLOOKUP(H105,Matrix!A:D,2,0)-VLOOKUP(J105,Matrix!A:D,2,0),"")</f>
        <v/>
      </c>
      <c r="Q105" s="156">
        <f>IFERROR(VLOOKUP(H105,Matrix!A:AC,15,0)-VLOOKUP(J105,Matrix!A:AC,15,0),"")</f>
        <v/>
      </c>
      <c r="R105" s="156">
        <f>IFERROR(VLOOKUP(H105,Matrix!A:AC,16,0)-VLOOKUP(J105,Matrix!A:AC,16,0),"")</f>
        <v/>
      </c>
      <c r="S105" s="195">
        <f>H105</f>
        <v/>
      </c>
      <c r="T105" s="195">
        <f>IFERROR(VLOOKUP(G105&amp;H105,2025Schedule!A:F,6,0),"")</f>
        <v/>
      </c>
      <c r="U105" s="264">
        <f>J105</f>
        <v/>
      </c>
      <c r="V105" s="195">
        <f>IFERROR(VLOOKUP(G105&amp;J105,2025Schedule!A:F,6,0),"")</f>
        <v/>
      </c>
    </row>
    <row r="106" ht="14.4" customHeight="1" s="152">
      <c r="A106" s="241">
        <f>H106&amp;I106</f>
        <v/>
      </c>
      <c r="B106" s="241">
        <f>J106&amp;C106</f>
        <v/>
      </c>
      <c r="C106" s="241">
        <f>IFERROR(IF(I106="Home","Away",IF(I106="Away","Home","")),"")</f>
        <v/>
      </c>
      <c r="D106" s="242">
        <f>H106</f>
        <v/>
      </c>
      <c r="E106" s="157">
        <f>IFERROR(IF(AND(F106&gt;0,T106&gt;V106),"Yes",IF(AND(F106&gt;0,T106&lt;V106),"No",IF(AND(F106&lt;0,T106&lt;V106),"Yes",IF(AND(F106&lt;0,T106&gt;V106),"No",0)))),"")</f>
        <v/>
      </c>
      <c r="F106" s="263">
        <f>IFERROR((N106/MAX(N:N)*_MOVw)+(O106/MAX(O:O)*_WINw)+(P106/MAX(P:P)*_PPGw)+(Q106/MAX(Q:Q)*_ORw)+(R106/MAX(R:R)*_DRw),"")</f>
        <v/>
      </c>
      <c r="N106" s="156">
        <f>IFERROR(VLOOKUP(H106,Matrix!A:AC,12,0)-VLOOKUP(J106,Matrix!A:AC,12,0),"")</f>
        <v/>
      </c>
      <c r="O106" s="182">
        <f>IFERROR(AVERAGEIFS(2025Schedule!O:O,2025Schedule!E:E,H106,2025Schedule!N:N,A106)-AVERAGEIFS(2025Schedule!O:O,2025Schedule!E:E,J106,2025Schedule!N:N,B106),0)</f>
        <v/>
      </c>
      <c r="P106" s="156">
        <f>IFERROR(VLOOKUP(H106,Matrix!A:D,2,0)-VLOOKUP(J106,Matrix!A:D,2,0),"")</f>
        <v/>
      </c>
      <c r="Q106" s="156">
        <f>IFERROR(VLOOKUP(H106,Matrix!A:AC,15,0)-VLOOKUP(J106,Matrix!A:AC,15,0),"")</f>
        <v/>
      </c>
      <c r="R106" s="156">
        <f>IFERROR(VLOOKUP(H106,Matrix!A:AC,16,0)-VLOOKUP(J106,Matrix!A:AC,16,0),"")</f>
        <v/>
      </c>
      <c r="S106" s="195">
        <f>H106</f>
        <v/>
      </c>
      <c r="T106" s="195">
        <f>IFERROR(VLOOKUP(G106&amp;H106,2025Schedule!A:F,6,0),"")</f>
        <v/>
      </c>
      <c r="U106" s="264">
        <f>J106</f>
        <v/>
      </c>
      <c r="V106" s="195">
        <f>IFERROR(VLOOKUP(G106&amp;J106,2025Schedule!A:F,6,0),"")</f>
        <v/>
      </c>
    </row>
    <row r="107" ht="14.4" customHeight="1" s="152">
      <c r="A107" s="241">
        <f>H107&amp;I107</f>
        <v/>
      </c>
      <c r="B107" s="241">
        <f>J107&amp;C107</f>
        <v/>
      </c>
      <c r="C107" s="241">
        <f>IFERROR(IF(I107="Home","Away",IF(I107="Away","Home","")),"")</f>
        <v/>
      </c>
      <c r="D107" s="242">
        <f>H107</f>
        <v/>
      </c>
      <c r="E107" s="157">
        <f>IFERROR(IF(AND(F107&gt;0,T107&gt;V107),"Yes",IF(AND(F107&gt;0,T107&lt;V107),"No",IF(AND(F107&lt;0,T107&lt;V107),"Yes",IF(AND(F107&lt;0,T107&gt;V107),"No",0)))),"")</f>
        <v/>
      </c>
      <c r="F107" s="263">
        <f>IFERROR((N107/MAX(N:N)*_MOVw)+(O107/MAX(O:O)*_WINw)+(P107/MAX(P:P)*_PPGw)+(Q107/MAX(Q:Q)*_ORw)+(R107/MAX(R:R)*_DRw),"")</f>
        <v/>
      </c>
      <c r="N107" s="156">
        <f>IFERROR(VLOOKUP(H107,Matrix!A:AC,12,0)-VLOOKUP(J107,Matrix!A:AC,12,0),"")</f>
        <v/>
      </c>
      <c r="O107" s="182">
        <f>IFERROR(AVERAGEIFS(2025Schedule!O:O,2025Schedule!E:E,H107,2025Schedule!N:N,A107)-AVERAGEIFS(2025Schedule!O:O,2025Schedule!E:E,J107,2025Schedule!N:N,B107),0)</f>
        <v/>
      </c>
      <c r="P107" s="156">
        <f>IFERROR(VLOOKUP(H107,Matrix!A:D,2,0)-VLOOKUP(J107,Matrix!A:D,2,0),"")</f>
        <v/>
      </c>
      <c r="Q107" s="156">
        <f>IFERROR(VLOOKUP(H107,Matrix!A:AC,15,0)-VLOOKUP(J107,Matrix!A:AC,15,0),"")</f>
        <v/>
      </c>
      <c r="R107" s="156">
        <f>IFERROR(VLOOKUP(H107,Matrix!A:AC,16,0)-VLOOKUP(J107,Matrix!A:AC,16,0),"")</f>
        <v/>
      </c>
      <c r="S107" s="195">
        <f>H107</f>
        <v/>
      </c>
      <c r="T107" s="195">
        <f>IFERROR(VLOOKUP(G107&amp;H107,2025Schedule!A:F,6,0),"")</f>
        <v/>
      </c>
      <c r="U107" s="264">
        <f>J107</f>
        <v/>
      </c>
      <c r="V107" s="195">
        <f>IFERROR(VLOOKUP(G107&amp;J107,2025Schedule!A:F,6,0),"")</f>
        <v/>
      </c>
    </row>
    <row r="108" ht="14.4" customHeight="1" s="152">
      <c r="A108" s="241">
        <f>H108&amp;I108</f>
        <v/>
      </c>
      <c r="B108" s="241">
        <f>J108&amp;C108</f>
        <v/>
      </c>
      <c r="C108" s="241">
        <f>IFERROR(IF(I108="Home","Away",IF(I108="Away","Home","")),"")</f>
        <v/>
      </c>
      <c r="D108" s="242">
        <f>H108</f>
        <v/>
      </c>
      <c r="E108" s="157">
        <f>IFERROR(IF(AND(F108&gt;0,T108&gt;V108),"Yes",IF(AND(F108&gt;0,T108&lt;V108),"No",IF(AND(F108&lt;0,T108&lt;V108),"Yes",IF(AND(F108&lt;0,T108&gt;V108),"No",0)))),"")</f>
        <v/>
      </c>
      <c r="F108" s="263">
        <f>IFERROR((N108/MAX(N:N)*_MOVw)+(O108/MAX(O:O)*_WINw)+(P108/MAX(P:P)*_PPGw)+(Q108/MAX(Q:Q)*_ORw)+(R108/MAX(R:R)*_DRw),"")</f>
        <v/>
      </c>
      <c r="N108" s="156">
        <f>IFERROR(VLOOKUP(H108,Matrix!A:AC,12,0)-VLOOKUP(J108,Matrix!A:AC,12,0),"")</f>
        <v/>
      </c>
      <c r="O108" s="182">
        <f>IFERROR(AVERAGEIFS(2025Schedule!O:O,2025Schedule!E:E,H108,2025Schedule!N:N,A108)-AVERAGEIFS(2025Schedule!O:O,2025Schedule!E:E,J108,2025Schedule!N:N,B108),0)</f>
        <v/>
      </c>
      <c r="P108" s="156">
        <f>IFERROR(VLOOKUP(H108,Matrix!A:D,2,0)-VLOOKUP(J108,Matrix!A:D,2,0),"")</f>
        <v/>
      </c>
      <c r="Q108" s="156">
        <f>IFERROR(VLOOKUP(H108,Matrix!A:AC,15,0)-VLOOKUP(J108,Matrix!A:AC,15,0),"")</f>
        <v/>
      </c>
      <c r="R108" s="156">
        <f>IFERROR(VLOOKUP(H108,Matrix!A:AC,16,0)-VLOOKUP(J108,Matrix!A:AC,16,0),"")</f>
        <v/>
      </c>
      <c r="S108" s="195">
        <f>H108</f>
        <v/>
      </c>
      <c r="T108" s="195">
        <f>IFERROR(VLOOKUP(G108&amp;H108,2025Schedule!A:F,6,0),"")</f>
        <v/>
      </c>
      <c r="U108" s="264">
        <f>J108</f>
        <v/>
      </c>
      <c r="V108" s="195">
        <f>IFERROR(VLOOKUP(G108&amp;J108,2025Schedule!A:F,6,0),"")</f>
        <v/>
      </c>
    </row>
    <row r="109" ht="14.4" customHeight="1" s="152">
      <c r="A109" s="241">
        <f>H109&amp;I109</f>
        <v/>
      </c>
      <c r="B109" s="241">
        <f>J109&amp;C109</f>
        <v/>
      </c>
      <c r="C109" s="241">
        <f>IFERROR(IF(I109="Home","Away",IF(I109="Away","Home","")),"")</f>
        <v/>
      </c>
      <c r="D109" s="242">
        <f>H109</f>
        <v/>
      </c>
      <c r="E109" s="157">
        <f>IFERROR(IF(AND(F109&gt;0,T109&gt;V109),"Yes",IF(AND(F109&gt;0,T109&lt;V109),"No",IF(AND(F109&lt;0,T109&lt;V109),"Yes",IF(AND(F109&lt;0,T109&gt;V109),"No",0)))),"")</f>
        <v/>
      </c>
      <c r="F109" s="263">
        <f>IFERROR((N109/MAX(N:N)*_MOVw)+(O109/MAX(O:O)*_WINw)+(P109/MAX(P:P)*_PPGw)+(Q109/MAX(Q:Q)*_ORw)+(R109/MAX(R:R)*_DRw),"")</f>
        <v/>
      </c>
      <c r="N109" s="156">
        <f>IFERROR(VLOOKUP(H109,Matrix!A:AC,12,0)-VLOOKUP(J109,Matrix!A:AC,12,0),"")</f>
        <v/>
      </c>
      <c r="O109" s="182">
        <f>IFERROR(AVERAGEIFS(2025Schedule!O:O,2025Schedule!E:E,H109,2025Schedule!N:N,A109)-AVERAGEIFS(2025Schedule!O:O,2025Schedule!E:E,J109,2025Schedule!N:N,B109),0)</f>
        <v/>
      </c>
      <c r="P109" s="156">
        <f>IFERROR(VLOOKUP(H109,Matrix!A:D,2,0)-VLOOKUP(J109,Matrix!A:D,2,0),"")</f>
        <v/>
      </c>
      <c r="Q109" s="156">
        <f>IFERROR(VLOOKUP(H109,Matrix!A:AC,15,0)-VLOOKUP(J109,Matrix!A:AC,15,0),"")</f>
        <v/>
      </c>
      <c r="R109" s="156">
        <f>IFERROR(VLOOKUP(H109,Matrix!A:AC,16,0)-VLOOKUP(J109,Matrix!A:AC,16,0),"")</f>
        <v/>
      </c>
      <c r="S109" s="195">
        <f>H109</f>
        <v/>
      </c>
      <c r="T109" s="195">
        <f>IFERROR(VLOOKUP(G109&amp;H109,2025Schedule!A:F,6,0),"")</f>
        <v/>
      </c>
      <c r="U109" s="264">
        <f>J109</f>
        <v/>
      </c>
      <c r="V109" s="195">
        <f>IFERROR(VLOOKUP(G109&amp;J109,2025Schedule!A:F,6,0),"")</f>
        <v/>
      </c>
    </row>
    <row r="110" ht="14.4" customHeight="1" s="152">
      <c r="A110" s="241">
        <f>H110&amp;I110</f>
        <v/>
      </c>
      <c r="B110" s="241">
        <f>J110&amp;C110</f>
        <v/>
      </c>
      <c r="C110" s="241">
        <f>IFERROR(IF(I110="Home","Away",IF(I110="Away","Home","")),"")</f>
        <v/>
      </c>
      <c r="D110" s="242">
        <f>H110</f>
        <v/>
      </c>
      <c r="E110" s="157">
        <f>IFERROR(IF(AND(F110&gt;0,T110&gt;V110),"Yes",IF(AND(F110&gt;0,T110&lt;V110),"No",IF(AND(F110&lt;0,T110&lt;V110),"Yes",IF(AND(F110&lt;0,T110&gt;V110),"No",0)))),"")</f>
        <v/>
      </c>
      <c r="F110" s="263">
        <f>IFERROR((N110/MAX(N:N)*_MOVw)+(O110/MAX(O:O)*_WINw)+(P110/MAX(P:P)*_PPGw)+(Q110/MAX(Q:Q)*_ORw)+(R110/MAX(R:R)*_DRw),"")</f>
        <v/>
      </c>
      <c r="N110" s="156">
        <f>IFERROR(VLOOKUP(H110,Matrix!A:AC,12,0)-VLOOKUP(J110,Matrix!A:AC,12,0),"")</f>
        <v/>
      </c>
      <c r="O110" s="182">
        <f>IFERROR(AVERAGEIFS(2025Schedule!O:O,2025Schedule!E:E,H110,2025Schedule!N:N,A110)-AVERAGEIFS(2025Schedule!O:O,2025Schedule!E:E,J110,2025Schedule!N:N,B110),0)</f>
        <v/>
      </c>
      <c r="P110" s="156">
        <f>IFERROR(VLOOKUP(H110,Matrix!A:D,2,0)-VLOOKUP(J110,Matrix!A:D,2,0),"")</f>
        <v/>
      </c>
      <c r="Q110" s="156">
        <f>IFERROR(VLOOKUP(H110,Matrix!A:AC,15,0)-VLOOKUP(J110,Matrix!A:AC,15,0),"")</f>
        <v/>
      </c>
      <c r="R110" s="156">
        <f>IFERROR(VLOOKUP(H110,Matrix!A:AC,16,0)-VLOOKUP(J110,Matrix!A:AC,16,0),"")</f>
        <v/>
      </c>
      <c r="S110" s="195">
        <f>H110</f>
        <v/>
      </c>
      <c r="T110" s="195">
        <f>IFERROR(VLOOKUP(G110&amp;H110,2025Schedule!A:F,6,0),"")</f>
        <v/>
      </c>
      <c r="U110" s="264">
        <f>J110</f>
        <v/>
      </c>
      <c r="V110" s="195">
        <f>IFERROR(VLOOKUP(G110&amp;J110,2025Schedule!A:F,6,0),"")</f>
        <v/>
      </c>
    </row>
    <row r="111" ht="14.4" customHeight="1" s="152">
      <c r="A111" s="241">
        <f>H111&amp;I111</f>
        <v/>
      </c>
      <c r="B111" s="241">
        <f>J111&amp;C111</f>
        <v/>
      </c>
      <c r="C111" s="241">
        <f>IFERROR(IF(I111="Home","Away",IF(I111="Away","Home","")),"")</f>
        <v/>
      </c>
      <c r="D111" s="242">
        <f>H111</f>
        <v/>
      </c>
      <c r="E111" s="157">
        <f>IFERROR(IF(AND(F111&gt;0,T111&gt;V111),"Yes",IF(AND(F111&gt;0,T111&lt;V111),"No",IF(AND(F111&lt;0,T111&lt;V111),"Yes",IF(AND(F111&lt;0,T111&gt;V111),"No",0)))),"")</f>
        <v/>
      </c>
      <c r="F111" s="263">
        <f>IFERROR((N111/MAX(N:N)*_MOVw)+(O111/MAX(O:O)*_WINw)+(P111/MAX(P:P)*_PPGw)+(Q111/MAX(Q:Q)*_ORw)+(R111/MAX(R:R)*_DRw),"")</f>
        <v/>
      </c>
      <c r="N111" s="156">
        <f>IFERROR(VLOOKUP(H111,Matrix!A:AC,12,0)-VLOOKUP(J111,Matrix!A:AC,12,0),"")</f>
        <v/>
      </c>
      <c r="O111" s="182">
        <f>IFERROR(AVERAGEIFS(2025Schedule!O:O,2025Schedule!E:E,H111,2025Schedule!N:N,A111)-AVERAGEIFS(2025Schedule!O:O,2025Schedule!E:E,J111,2025Schedule!N:N,B111),0)</f>
        <v/>
      </c>
      <c r="P111" s="156">
        <f>IFERROR(VLOOKUP(H111,Matrix!A:D,2,0)-VLOOKUP(J111,Matrix!A:D,2,0),"")</f>
        <v/>
      </c>
      <c r="Q111" s="156">
        <f>IFERROR(VLOOKUP(H111,Matrix!A:AC,15,0)-VLOOKUP(J111,Matrix!A:AC,15,0),"")</f>
        <v/>
      </c>
      <c r="R111" s="156">
        <f>IFERROR(VLOOKUP(H111,Matrix!A:AC,16,0)-VLOOKUP(J111,Matrix!A:AC,16,0),"")</f>
        <v/>
      </c>
      <c r="S111" s="195">
        <f>H111</f>
        <v/>
      </c>
      <c r="T111" s="195">
        <f>IFERROR(VLOOKUP(G111&amp;H111,2025Schedule!A:F,6,0),"")</f>
        <v/>
      </c>
      <c r="U111" s="264">
        <f>J111</f>
        <v/>
      </c>
      <c r="V111" s="195">
        <f>IFERROR(VLOOKUP(G111&amp;J111,2025Schedule!A:F,6,0),"")</f>
        <v/>
      </c>
    </row>
    <row r="112" ht="14.4" customHeight="1" s="152">
      <c r="A112" s="241">
        <f>H112&amp;I112</f>
        <v/>
      </c>
      <c r="B112" s="241">
        <f>J112&amp;C112</f>
        <v/>
      </c>
      <c r="C112" s="241">
        <f>IFERROR(IF(I112="Home","Away",IF(I112="Away","Home","")),"")</f>
        <v/>
      </c>
      <c r="D112" s="242">
        <f>H112</f>
        <v/>
      </c>
      <c r="E112" s="157">
        <f>IFERROR(IF(AND(F112&gt;0,T112&gt;V112),"Yes",IF(AND(F112&gt;0,T112&lt;V112),"No",IF(AND(F112&lt;0,T112&lt;V112),"Yes",IF(AND(F112&lt;0,T112&gt;V112),"No",0)))),"")</f>
        <v/>
      </c>
      <c r="F112" s="263">
        <f>IFERROR((N112/MAX(N:N)*_MOVw)+(O112/MAX(O:O)*_WINw)+(P112/MAX(P:P)*_PPGw)+(Q112/MAX(Q:Q)*_ORw)+(R112/MAX(R:R)*_DRw),"")</f>
        <v/>
      </c>
      <c r="N112" s="156">
        <f>IFERROR(VLOOKUP(H112,Matrix!A:AC,12,0)-VLOOKUP(J112,Matrix!A:AC,12,0),"")</f>
        <v/>
      </c>
      <c r="O112" s="182">
        <f>IFERROR(AVERAGEIFS(2025Schedule!O:O,2025Schedule!E:E,H112,2025Schedule!N:N,A112)-AVERAGEIFS(2025Schedule!O:O,2025Schedule!E:E,J112,2025Schedule!N:N,B112),0)</f>
        <v/>
      </c>
      <c r="P112" s="156">
        <f>IFERROR(VLOOKUP(H112,Matrix!A:D,2,0)-VLOOKUP(J112,Matrix!A:D,2,0),"")</f>
        <v/>
      </c>
      <c r="Q112" s="156">
        <f>IFERROR(VLOOKUP(H112,Matrix!A:AC,15,0)-VLOOKUP(J112,Matrix!A:AC,15,0),"")</f>
        <v/>
      </c>
      <c r="R112" s="156">
        <f>IFERROR(VLOOKUP(H112,Matrix!A:AC,16,0)-VLOOKUP(J112,Matrix!A:AC,16,0),"")</f>
        <v/>
      </c>
      <c r="S112" s="195">
        <f>H112</f>
        <v/>
      </c>
      <c r="T112" s="195">
        <f>IFERROR(VLOOKUP(G112&amp;H112,2025Schedule!A:F,6,0),"")</f>
        <v/>
      </c>
      <c r="U112" s="264">
        <f>J112</f>
        <v/>
      </c>
      <c r="V112" s="195">
        <f>IFERROR(VLOOKUP(G112&amp;J112,2025Schedule!A:F,6,0),"")</f>
        <v/>
      </c>
    </row>
    <row r="113" ht="14.4" customHeight="1" s="152">
      <c r="A113" s="241">
        <f>H113&amp;I113</f>
        <v/>
      </c>
      <c r="B113" s="241">
        <f>J113&amp;C113</f>
        <v/>
      </c>
      <c r="C113" s="241">
        <f>IFERROR(IF(I113="Home","Away",IF(I113="Away","Home","")),"")</f>
        <v/>
      </c>
      <c r="D113" s="242">
        <f>H113</f>
        <v/>
      </c>
      <c r="E113" s="157">
        <f>IFERROR(IF(AND(F113&gt;0,T113&gt;V113),"Yes",IF(AND(F113&gt;0,T113&lt;V113),"No",IF(AND(F113&lt;0,T113&lt;V113),"Yes",IF(AND(F113&lt;0,T113&gt;V113),"No",0)))),"")</f>
        <v/>
      </c>
      <c r="F113" s="263">
        <f>IFERROR((N113/MAX(N:N)*_MOVw)+(O113/MAX(O:O)*_WINw)+(P113/MAX(P:P)*_PPGw)+(Q113/MAX(Q:Q)*_ORw)+(R113/MAX(R:R)*_DRw),"")</f>
        <v/>
      </c>
      <c r="N113" s="156">
        <f>IFERROR(VLOOKUP(H113,Matrix!A:AC,12,0)-VLOOKUP(J113,Matrix!A:AC,12,0),"")</f>
        <v/>
      </c>
      <c r="O113" s="182">
        <f>IFERROR(AVERAGEIFS(2025Schedule!O:O,2025Schedule!E:E,H113,2025Schedule!N:N,A113)-AVERAGEIFS(2025Schedule!O:O,2025Schedule!E:E,J113,2025Schedule!N:N,B113),0)</f>
        <v/>
      </c>
      <c r="P113" s="156">
        <f>IFERROR(VLOOKUP(H113,Matrix!A:D,2,0)-VLOOKUP(J113,Matrix!A:D,2,0),"")</f>
        <v/>
      </c>
      <c r="Q113" s="156">
        <f>IFERROR(VLOOKUP(H113,Matrix!A:AC,15,0)-VLOOKUP(J113,Matrix!A:AC,15,0),"")</f>
        <v/>
      </c>
      <c r="R113" s="156">
        <f>IFERROR(VLOOKUP(H113,Matrix!A:AC,16,0)-VLOOKUP(J113,Matrix!A:AC,16,0),"")</f>
        <v/>
      </c>
      <c r="S113" s="195">
        <f>H113</f>
        <v/>
      </c>
      <c r="T113" s="195">
        <f>IFERROR(VLOOKUP(G113&amp;H113,2025Schedule!A:F,6,0),"")</f>
        <v/>
      </c>
      <c r="U113" s="264">
        <f>J113</f>
        <v/>
      </c>
      <c r="V113" s="195">
        <f>IFERROR(VLOOKUP(G113&amp;J113,2025Schedule!A:F,6,0),"")</f>
        <v/>
      </c>
    </row>
    <row r="114" ht="14.4" customHeight="1" s="152">
      <c r="A114" s="241">
        <f>H114&amp;I114</f>
        <v/>
      </c>
      <c r="B114" s="241">
        <f>J114&amp;C114</f>
        <v/>
      </c>
      <c r="C114" s="241">
        <f>IFERROR(IF(I114="Home","Away",IF(I114="Away","Home","")),"")</f>
        <v/>
      </c>
      <c r="D114" s="242">
        <f>H114</f>
        <v/>
      </c>
      <c r="E114" s="157">
        <f>IFERROR(IF(AND(F114&gt;0,T114&gt;V114),"Yes",IF(AND(F114&gt;0,T114&lt;V114),"No",IF(AND(F114&lt;0,T114&lt;V114),"Yes",IF(AND(F114&lt;0,T114&gt;V114),"No",0)))),"")</f>
        <v/>
      </c>
      <c r="F114" s="263">
        <f>IFERROR((N114/MAX(N:N)*_MOVw)+(O114/MAX(O:O)*_WINw)+(P114/MAX(P:P)*_PPGw)+(Q114/MAX(Q:Q)*_ORw)+(R114/MAX(R:R)*_DRw),"")</f>
        <v/>
      </c>
      <c r="N114" s="156">
        <f>IFERROR(VLOOKUP(H114,Matrix!A:AC,12,0)-VLOOKUP(J114,Matrix!A:AC,12,0),"")</f>
        <v/>
      </c>
      <c r="O114" s="182">
        <f>IFERROR(AVERAGEIFS(2025Schedule!O:O,2025Schedule!E:E,H114,2025Schedule!N:N,A114)-AVERAGEIFS(2025Schedule!O:O,2025Schedule!E:E,J114,2025Schedule!N:N,B114),0)</f>
        <v/>
      </c>
      <c r="P114" s="156">
        <f>IFERROR(VLOOKUP(H114,Matrix!A:D,2,0)-VLOOKUP(J114,Matrix!A:D,2,0),"")</f>
        <v/>
      </c>
      <c r="Q114" s="156">
        <f>IFERROR(VLOOKUP(H114,Matrix!A:AC,15,0)-VLOOKUP(J114,Matrix!A:AC,15,0),"")</f>
        <v/>
      </c>
      <c r="R114" s="156">
        <f>IFERROR(VLOOKUP(H114,Matrix!A:AC,16,0)-VLOOKUP(J114,Matrix!A:AC,16,0),"")</f>
        <v/>
      </c>
      <c r="S114" s="195">
        <f>H114</f>
        <v/>
      </c>
      <c r="T114" s="195">
        <f>IFERROR(VLOOKUP(G114&amp;H114,2025Schedule!A:F,6,0),"")</f>
        <v/>
      </c>
      <c r="U114" s="264">
        <f>J114</f>
        <v/>
      </c>
      <c r="V114" s="195">
        <f>IFERROR(VLOOKUP(G114&amp;J114,2025Schedule!A:F,6,0),"")</f>
        <v/>
      </c>
    </row>
    <row r="115" ht="14.4" customHeight="1" s="152">
      <c r="A115" s="241">
        <f>H115&amp;I115</f>
        <v/>
      </c>
      <c r="B115" s="241">
        <f>J115&amp;C115</f>
        <v/>
      </c>
      <c r="C115" s="241">
        <f>IFERROR(IF(I115="Home","Away",IF(I115="Away","Home","")),"")</f>
        <v/>
      </c>
      <c r="D115" s="242">
        <f>H115</f>
        <v/>
      </c>
      <c r="E115" s="157">
        <f>IFERROR(IF(AND(F115&gt;0,T115&gt;V115),"Yes",IF(AND(F115&gt;0,T115&lt;V115),"No",IF(AND(F115&lt;0,T115&lt;V115),"Yes",IF(AND(F115&lt;0,T115&gt;V115),"No",0)))),"")</f>
        <v/>
      </c>
      <c r="F115" s="263">
        <f>IFERROR((N115/MAX(N:N)*_MOVw)+(O115/MAX(O:O)*_WINw)+(P115/MAX(P:P)*_PPGw)+(Q115/MAX(Q:Q)*_ORw)+(R115/MAX(R:R)*_DRw),"")</f>
        <v/>
      </c>
      <c r="N115" s="156">
        <f>IFERROR(VLOOKUP(H115,Matrix!A:AC,12,0)-VLOOKUP(J115,Matrix!A:AC,12,0),"")</f>
        <v/>
      </c>
      <c r="O115" s="182">
        <f>IFERROR(AVERAGEIFS(2025Schedule!O:O,2025Schedule!E:E,H115,2025Schedule!N:N,A115)-AVERAGEIFS(2025Schedule!O:O,2025Schedule!E:E,J115,2025Schedule!N:N,B115),0)</f>
        <v/>
      </c>
      <c r="P115" s="156">
        <f>IFERROR(VLOOKUP(H115,Matrix!A:D,2,0)-VLOOKUP(J115,Matrix!A:D,2,0),"")</f>
        <v/>
      </c>
      <c r="Q115" s="156">
        <f>IFERROR(VLOOKUP(H115,Matrix!A:AC,15,0)-VLOOKUP(J115,Matrix!A:AC,15,0),"")</f>
        <v/>
      </c>
      <c r="R115" s="156">
        <f>IFERROR(VLOOKUP(H115,Matrix!A:AC,16,0)-VLOOKUP(J115,Matrix!A:AC,16,0),"")</f>
        <v/>
      </c>
      <c r="S115" s="195">
        <f>H115</f>
        <v/>
      </c>
      <c r="T115" s="195">
        <f>IFERROR(VLOOKUP(G115&amp;H115,2025Schedule!A:F,6,0),"")</f>
        <v/>
      </c>
      <c r="U115" s="264">
        <f>J115</f>
        <v/>
      </c>
      <c r="V115" s="195">
        <f>IFERROR(VLOOKUP(G115&amp;J115,2025Schedule!A:F,6,0),"")</f>
        <v/>
      </c>
    </row>
    <row r="116" ht="14.4" customHeight="1" s="152">
      <c r="A116" s="241">
        <f>H116&amp;I116</f>
        <v/>
      </c>
      <c r="B116" s="241">
        <f>J116&amp;C116</f>
        <v/>
      </c>
      <c r="C116" s="241">
        <f>IFERROR(IF(I116="Home","Away",IF(I116="Away","Home","")),"")</f>
        <v/>
      </c>
      <c r="D116" s="242">
        <f>H116</f>
        <v/>
      </c>
      <c r="E116" s="157">
        <f>IFERROR(IF(AND(F116&gt;0,T116&gt;V116),"Yes",IF(AND(F116&gt;0,T116&lt;V116),"No",IF(AND(F116&lt;0,T116&lt;V116),"Yes",IF(AND(F116&lt;0,T116&gt;V116),"No",0)))),"")</f>
        <v/>
      </c>
      <c r="F116" s="263">
        <f>IFERROR((N116/MAX(N:N)*_MOVw)+(O116/MAX(O:O)*_WINw)+(P116/MAX(P:P)*_PPGw)+(Q116/MAX(Q:Q)*_ORw)+(R116/MAX(R:R)*_DRw),"")</f>
        <v/>
      </c>
      <c r="N116" s="156">
        <f>IFERROR(VLOOKUP(H116,Matrix!A:AC,12,0)-VLOOKUP(J116,Matrix!A:AC,12,0),"")</f>
        <v/>
      </c>
      <c r="O116" s="182">
        <f>IFERROR(AVERAGEIFS(2025Schedule!O:O,2025Schedule!E:E,H116,2025Schedule!N:N,A116)-AVERAGEIFS(2025Schedule!O:O,2025Schedule!E:E,J116,2025Schedule!N:N,B116),0)</f>
        <v/>
      </c>
      <c r="P116" s="156">
        <f>IFERROR(VLOOKUP(H116,Matrix!A:D,2,0)-VLOOKUP(J116,Matrix!A:D,2,0),"")</f>
        <v/>
      </c>
      <c r="Q116" s="156">
        <f>IFERROR(VLOOKUP(H116,Matrix!A:AC,15,0)-VLOOKUP(J116,Matrix!A:AC,15,0),"")</f>
        <v/>
      </c>
      <c r="R116" s="156">
        <f>IFERROR(VLOOKUP(H116,Matrix!A:AC,16,0)-VLOOKUP(J116,Matrix!A:AC,16,0),"")</f>
        <v/>
      </c>
      <c r="S116" s="195">
        <f>H116</f>
        <v/>
      </c>
      <c r="T116" s="195">
        <f>IFERROR(VLOOKUP(G116&amp;H116,2025Schedule!A:F,6,0),"")</f>
        <v/>
      </c>
      <c r="U116" s="264">
        <f>J116</f>
        <v/>
      </c>
      <c r="V116" s="195">
        <f>IFERROR(VLOOKUP(G116&amp;J116,2025Schedule!A:F,6,0),"")</f>
        <v/>
      </c>
    </row>
    <row r="117" ht="14.4" customHeight="1" s="152">
      <c r="A117" s="241">
        <f>H117&amp;I117</f>
        <v/>
      </c>
      <c r="B117" s="241">
        <f>J117&amp;C117</f>
        <v/>
      </c>
      <c r="C117" s="241">
        <f>IFERROR(IF(I117="Home","Away",IF(I117="Away","Home","")),"")</f>
        <v/>
      </c>
      <c r="D117" s="242">
        <f>H117</f>
        <v/>
      </c>
      <c r="E117" s="157">
        <f>IFERROR(IF(AND(F117&gt;0,T117&gt;V117),"Yes",IF(AND(F117&gt;0,T117&lt;V117),"No",IF(AND(F117&lt;0,T117&lt;V117),"Yes",IF(AND(F117&lt;0,T117&gt;V117),"No",0)))),"")</f>
        <v/>
      </c>
      <c r="F117" s="263">
        <f>IFERROR((N117/MAX(N:N)*_MOVw)+(O117/MAX(O:O)*_WINw)+(P117/MAX(P:P)*_PPGw)+(Q117/MAX(Q:Q)*_ORw)+(R117/MAX(R:R)*_DRw),"")</f>
        <v/>
      </c>
      <c r="N117" s="156">
        <f>IFERROR(VLOOKUP(H117,Matrix!A:AC,12,0)-VLOOKUP(J117,Matrix!A:AC,12,0),"")</f>
        <v/>
      </c>
      <c r="O117" s="182">
        <f>IFERROR(AVERAGEIFS(2025Schedule!O:O,2025Schedule!E:E,H117,2025Schedule!N:N,A117)-AVERAGEIFS(2025Schedule!O:O,2025Schedule!E:E,J117,2025Schedule!N:N,B117),0)</f>
        <v/>
      </c>
      <c r="P117" s="156">
        <f>IFERROR(VLOOKUP(H117,Matrix!A:D,2,0)-VLOOKUP(J117,Matrix!A:D,2,0),"")</f>
        <v/>
      </c>
      <c r="Q117" s="156">
        <f>IFERROR(VLOOKUP(H117,Matrix!A:AC,15,0)-VLOOKUP(J117,Matrix!A:AC,15,0),"")</f>
        <v/>
      </c>
      <c r="R117" s="156">
        <f>IFERROR(VLOOKUP(H117,Matrix!A:AC,16,0)-VLOOKUP(J117,Matrix!A:AC,16,0),"")</f>
        <v/>
      </c>
      <c r="S117" s="195">
        <f>H117</f>
        <v/>
      </c>
      <c r="T117" s="195">
        <f>IFERROR(VLOOKUP(G117&amp;H117,2025Schedule!A:F,6,0),"")</f>
        <v/>
      </c>
      <c r="U117" s="264">
        <f>J117</f>
        <v/>
      </c>
      <c r="V117" s="195">
        <f>IFERROR(VLOOKUP(G117&amp;J117,2025Schedule!A:F,6,0),"")</f>
        <v/>
      </c>
    </row>
    <row r="118" ht="14.4" customHeight="1" s="152">
      <c r="A118" s="241">
        <f>H118&amp;I118</f>
        <v/>
      </c>
      <c r="B118" s="241">
        <f>J118&amp;C118</f>
        <v/>
      </c>
      <c r="C118" s="241">
        <f>IFERROR(IF(I118="Home","Away",IF(I118="Away","Home","")),"")</f>
        <v/>
      </c>
      <c r="D118" s="242">
        <f>H118</f>
        <v/>
      </c>
      <c r="E118" s="157">
        <f>IFERROR(IF(AND(F118&gt;0,T118&gt;V118),"Yes",IF(AND(F118&gt;0,T118&lt;V118),"No",IF(AND(F118&lt;0,T118&lt;V118),"Yes",IF(AND(F118&lt;0,T118&gt;V118),"No",0)))),"")</f>
        <v/>
      </c>
      <c r="F118" s="263">
        <f>IFERROR((N118/MAX(N:N)*_MOVw)+(O118/MAX(O:O)*_WINw)+(P118/MAX(P:P)*_PPGw)+(Q118/MAX(Q:Q)*_ORw)+(R118/MAX(R:R)*_DRw),"")</f>
        <v/>
      </c>
      <c r="N118" s="156">
        <f>IFERROR(VLOOKUP(H118,Matrix!A:AC,12,0)-VLOOKUP(J118,Matrix!A:AC,12,0),"")</f>
        <v/>
      </c>
      <c r="O118" s="182">
        <f>IFERROR(AVERAGEIFS(2025Schedule!O:O,2025Schedule!E:E,H118,2025Schedule!N:N,A118)-AVERAGEIFS(2025Schedule!O:O,2025Schedule!E:E,J118,2025Schedule!N:N,B118),0)</f>
        <v/>
      </c>
      <c r="P118" s="156">
        <f>IFERROR(VLOOKUP(H118,Matrix!A:D,2,0)-VLOOKUP(J118,Matrix!A:D,2,0),"")</f>
        <v/>
      </c>
      <c r="Q118" s="156">
        <f>IFERROR(VLOOKUP(H118,Matrix!A:AC,15,0)-VLOOKUP(J118,Matrix!A:AC,15,0),"")</f>
        <v/>
      </c>
      <c r="R118" s="156">
        <f>IFERROR(VLOOKUP(H118,Matrix!A:AC,16,0)-VLOOKUP(J118,Matrix!A:AC,16,0),"")</f>
        <v/>
      </c>
      <c r="S118" s="195">
        <f>H118</f>
        <v/>
      </c>
      <c r="T118" s="195">
        <f>IFERROR(VLOOKUP(G118&amp;H118,2025Schedule!A:F,6,0),"")</f>
        <v/>
      </c>
      <c r="U118" s="264">
        <f>J118</f>
        <v/>
      </c>
      <c r="V118" s="195">
        <f>IFERROR(VLOOKUP(G118&amp;J118,2025Schedule!A:F,6,0),"")</f>
        <v/>
      </c>
    </row>
    <row r="119" ht="14.4" customHeight="1" s="152">
      <c r="A119" s="241">
        <f>H119&amp;I119</f>
        <v/>
      </c>
      <c r="B119" s="241">
        <f>J119&amp;C119</f>
        <v/>
      </c>
      <c r="C119" s="241">
        <f>IFERROR(IF(I119="Home","Away",IF(I119="Away","Home","")),"")</f>
        <v/>
      </c>
      <c r="D119" s="242">
        <f>H119</f>
        <v/>
      </c>
      <c r="E119" s="157">
        <f>IFERROR(IF(AND(F119&gt;0,T119&gt;V119),"Yes",IF(AND(F119&gt;0,T119&lt;V119),"No",IF(AND(F119&lt;0,T119&lt;V119),"Yes",IF(AND(F119&lt;0,T119&gt;V119),"No",0)))),"")</f>
        <v/>
      </c>
      <c r="F119" s="263">
        <f>IFERROR((N119/MAX(N:N)*_MOVw)+(O119/MAX(O:O)*_WINw)+(P119/MAX(P:P)*_PPGw)+(Q119/MAX(Q:Q)*_ORw)+(R119/MAX(R:R)*_DRw),"")</f>
        <v/>
      </c>
      <c r="N119" s="156">
        <f>IFERROR(VLOOKUP(H119,Matrix!A:AC,12,0)-VLOOKUP(J119,Matrix!A:AC,12,0),"")</f>
        <v/>
      </c>
      <c r="O119" s="182">
        <f>IFERROR(AVERAGEIFS(2025Schedule!O:O,2025Schedule!E:E,H119,2025Schedule!N:N,A119)-AVERAGEIFS(2025Schedule!O:O,2025Schedule!E:E,J119,2025Schedule!N:N,B119),0)</f>
        <v/>
      </c>
      <c r="P119" s="156">
        <f>IFERROR(VLOOKUP(H119,Matrix!A:D,2,0)-VLOOKUP(J119,Matrix!A:D,2,0),"")</f>
        <v/>
      </c>
      <c r="Q119" s="156">
        <f>IFERROR(VLOOKUP(H119,Matrix!A:AC,15,0)-VLOOKUP(J119,Matrix!A:AC,15,0),"")</f>
        <v/>
      </c>
      <c r="R119" s="156">
        <f>IFERROR(VLOOKUP(H119,Matrix!A:AC,16,0)-VLOOKUP(J119,Matrix!A:AC,16,0),"")</f>
        <v/>
      </c>
      <c r="S119" s="195">
        <f>H119</f>
        <v/>
      </c>
      <c r="T119" s="195">
        <f>IFERROR(VLOOKUP(G119&amp;H119,2025Schedule!A:F,6,0),"")</f>
        <v/>
      </c>
      <c r="U119" s="264">
        <f>J119</f>
        <v/>
      </c>
      <c r="V119" s="195">
        <f>IFERROR(VLOOKUP(G119&amp;J119,2025Schedule!A:F,6,0),"")</f>
        <v/>
      </c>
    </row>
    <row r="120" ht="14.4" customHeight="1" s="152">
      <c r="A120" s="241">
        <f>H120&amp;I120</f>
        <v/>
      </c>
      <c r="B120" s="241">
        <f>J120&amp;C120</f>
        <v/>
      </c>
      <c r="C120" s="241">
        <f>IFERROR(IF(I120="Home","Away",IF(I120="Away","Home","")),"")</f>
        <v/>
      </c>
      <c r="D120" s="242">
        <f>H120</f>
        <v/>
      </c>
      <c r="E120" s="157">
        <f>IFERROR(IF(AND(F120&gt;0,T120&gt;V120),"Yes",IF(AND(F120&gt;0,T120&lt;V120),"No",IF(AND(F120&lt;0,T120&lt;V120),"Yes",IF(AND(F120&lt;0,T120&gt;V120),"No",0)))),"")</f>
        <v/>
      </c>
      <c r="F120" s="263">
        <f>IFERROR((N120/MAX(N:N)*_MOVw)+(O120/MAX(O:O)*_WINw)+(P120/MAX(P:P)*_PPGw)+(Q120/MAX(Q:Q)*_ORw)+(R120/MAX(R:R)*_DRw),"")</f>
        <v/>
      </c>
      <c r="N120" s="156">
        <f>IFERROR(VLOOKUP(H120,Matrix!A:AC,12,0)-VLOOKUP(J120,Matrix!A:AC,12,0),"")</f>
        <v/>
      </c>
      <c r="O120" s="182">
        <f>IFERROR(AVERAGEIFS(2025Schedule!O:O,2025Schedule!E:E,H120,2025Schedule!N:N,A120)-AVERAGEIFS(2025Schedule!O:O,2025Schedule!E:E,J120,2025Schedule!N:N,B120),0)</f>
        <v/>
      </c>
      <c r="P120" s="156">
        <f>IFERROR(VLOOKUP(H120,Matrix!A:D,2,0)-VLOOKUP(J120,Matrix!A:D,2,0),"")</f>
        <v/>
      </c>
      <c r="Q120" s="156">
        <f>IFERROR(VLOOKUP(H120,Matrix!A:AC,15,0)-VLOOKUP(J120,Matrix!A:AC,15,0),"")</f>
        <v/>
      </c>
      <c r="R120" s="156">
        <f>IFERROR(VLOOKUP(H120,Matrix!A:AC,16,0)-VLOOKUP(J120,Matrix!A:AC,16,0),"")</f>
        <v/>
      </c>
      <c r="S120" s="195">
        <f>H120</f>
        <v/>
      </c>
      <c r="T120" s="195">
        <f>IFERROR(VLOOKUP(G120&amp;H120,2025Schedule!A:F,6,0),"")</f>
        <v/>
      </c>
      <c r="U120" s="264">
        <f>J120</f>
        <v/>
      </c>
      <c r="V120" s="195">
        <f>IFERROR(VLOOKUP(G120&amp;J120,2025Schedule!A:F,6,0),"")</f>
        <v/>
      </c>
    </row>
    <row r="121" ht="14.4" customHeight="1" s="152">
      <c r="A121" s="241">
        <f>H121&amp;I121</f>
        <v/>
      </c>
      <c r="B121" s="241">
        <f>J121&amp;C121</f>
        <v/>
      </c>
      <c r="C121" s="241">
        <f>IFERROR(IF(I121="Home","Away",IF(I121="Away","Home","")),"")</f>
        <v/>
      </c>
      <c r="D121" s="242">
        <f>H121</f>
        <v/>
      </c>
      <c r="E121" s="157">
        <f>IFERROR(IF(AND(F121&gt;0,T121&gt;V121),"Yes",IF(AND(F121&gt;0,T121&lt;V121),"No",IF(AND(F121&lt;0,T121&lt;V121),"Yes",IF(AND(F121&lt;0,T121&gt;V121),"No",0)))),"")</f>
        <v/>
      </c>
      <c r="F121" s="263">
        <f>IFERROR((N121/MAX(N:N)*_MOVw)+(O121/MAX(O:O)*_WINw)+(P121/MAX(P:P)*_PPGw)+(Q121/MAX(Q:Q)*_ORw)+(R121/MAX(R:R)*_DRw),"")</f>
        <v/>
      </c>
      <c r="N121" s="156">
        <f>IFERROR(VLOOKUP(H121,Matrix!A:AC,12,0)-VLOOKUP(J121,Matrix!A:AC,12,0),"")</f>
        <v/>
      </c>
      <c r="O121" s="182">
        <f>IFERROR(AVERAGEIFS(2025Schedule!O:O,2025Schedule!E:E,H121,2025Schedule!N:N,A121)-AVERAGEIFS(2025Schedule!O:O,2025Schedule!E:E,J121,2025Schedule!N:N,B121),0)</f>
        <v/>
      </c>
      <c r="P121" s="156">
        <f>IFERROR(VLOOKUP(H121,Matrix!A:D,2,0)-VLOOKUP(J121,Matrix!A:D,2,0),"")</f>
        <v/>
      </c>
      <c r="Q121" s="156">
        <f>IFERROR(VLOOKUP(H121,Matrix!A:AC,15,0)-VLOOKUP(J121,Matrix!A:AC,15,0),"")</f>
        <v/>
      </c>
      <c r="R121" s="156">
        <f>IFERROR(VLOOKUP(H121,Matrix!A:AC,16,0)-VLOOKUP(J121,Matrix!A:AC,16,0),"")</f>
        <v/>
      </c>
      <c r="S121" s="195">
        <f>H121</f>
        <v/>
      </c>
      <c r="T121" s="195">
        <f>IFERROR(VLOOKUP(G121&amp;H121,2025Schedule!A:F,6,0),"")</f>
        <v/>
      </c>
      <c r="U121" s="264">
        <f>J121</f>
        <v/>
      </c>
      <c r="V121" s="195">
        <f>IFERROR(VLOOKUP(G121&amp;J121,2025Schedule!A:F,6,0),"")</f>
        <v/>
      </c>
    </row>
    <row r="122" ht="14.4" customHeight="1" s="152">
      <c r="A122" s="241">
        <f>H122&amp;I122</f>
        <v/>
      </c>
      <c r="B122" s="241">
        <f>J122&amp;C122</f>
        <v/>
      </c>
      <c r="C122" s="241">
        <f>IFERROR(IF(I122="Home","Away",IF(I122="Away","Home","")),"")</f>
        <v/>
      </c>
      <c r="D122" s="242">
        <f>H122</f>
        <v/>
      </c>
      <c r="E122" s="157">
        <f>IFERROR(IF(AND(F122&gt;0,T122&gt;V122),"Yes",IF(AND(F122&gt;0,T122&lt;V122),"No",IF(AND(F122&lt;0,T122&lt;V122),"Yes",IF(AND(F122&lt;0,T122&gt;V122),"No",0)))),"")</f>
        <v/>
      </c>
      <c r="F122" s="263">
        <f>IFERROR((N122/MAX(N:N)*_MOVw)+(O122/MAX(O:O)*_WINw)+(P122/MAX(P:P)*_PPGw)+(Q122/MAX(Q:Q)*_ORw)+(R122/MAX(R:R)*_DRw),"")</f>
        <v/>
      </c>
      <c r="N122" s="156">
        <f>IFERROR(VLOOKUP(H122,Matrix!A:AC,12,0)-VLOOKUP(J122,Matrix!A:AC,12,0),"")</f>
        <v/>
      </c>
      <c r="O122" s="182">
        <f>IFERROR(AVERAGEIFS(2025Schedule!O:O,2025Schedule!E:E,H122,2025Schedule!N:N,A122)-AVERAGEIFS(2025Schedule!O:O,2025Schedule!E:E,J122,2025Schedule!N:N,B122),0)</f>
        <v/>
      </c>
      <c r="P122" s="156">
        <f>IFERROR(VLOOKUP(H122,Matrix!A:D,2,0)-VLOOKUP(J122,Matrix!A:D,2,0),"")</f>
        <v/>
      </c>
      <c r="Q122" s="156">
        <f>IFERROR(VLOOKUP(H122,Matrix!A:AC,15,0)-VLOOKUP(J122,Matrix!A:AC,15,0),"")</f>
        <v/>
      </c>
      <c r="R122" s="156">
        <f>IFERROR(VLOOKUP(H122,Matrix!A:AC,16,0)-VLOOKUP(J122,Matrix!A:AC,16,0),"")</f>
        <v/>
      </c>
      <c r="S122" s="195">
        <f>H122</f>
        <v/>
      </c>
      <c r="T122" s="195">
        <f>IFERROR(VLOOKUP(G122&amp;H122,2025Schedule!A:F,6,0),"")</f>
        <v/>
      </c>
      <c r="U122" s="264">
        <f>J122</f>
        <v/>
      </c>
      <c r="V122" s="195">
        <f>IFERROR(VLOOKUP(G122&amp;J122,2025Schedule!A:F,6,0),"")</f>
        <v/>
      </c>
    </row>
    <row r="123" ht="14.4" customHeight="1" s="152">
      <c r="A123" s="241">
        <f>H123&amp;I123</f>
        <v/>
      </c>
      <c r="B123" s="241">
        <f>J123&amp;C123</f>
        <v/>
      </c>
      <c r="C123" s="241">
        <f>IFERROR(IF(I123="Home","Away",IF(I123="Away","Home","")),"")</f>
        <v/>
      </c>
      <c r="D123" s="242">
        <f>H123</f>
        <v/>
      </c>
      <c r="E123" s="157">
        <f>IFERROR(IF(AND(F123&gt;0,T123&gt;V123),"Yes",IF(AND(F123&gt;0,T123&lt;V123),"No",IF(AND(F123&lt;0,T123&lt;V123),"Yes",IF(AND(F123&lt;0,T123&gt;V123),"No",0)))),"")</f>
        <v/>
      </c>
      <c r="F123" s="263">
        <f>IFERROR((N123/MAX(N:N)*_MOVw)+(O123/MAX(O:O)*_WINw)+(P123/MAX(P:P)*_PPGw)+(Q123/MAX(Q:Q)*_ORw)+(R123/MAX(R:R)*_DRw),"")</f>
        <v/>
      </c>
      <c r="N123" s="156">
        <f>IFERROR(VLOOKUP(H123,Matrix!A:AC,12,0)-VLOOKUP(J123,Matrix!A:AC,12,0),"")</f>
        <v/>
      </c>
      <c r="O123" s="182">
        <f>IFERROR(AVERAGEIFS(2025Schedule!O:O,2025Schedule!E:E,H123,2025Schedule!N:N,A123)-AVERAGEIFS(2025Schedule!O:O,2025Schedule!E:E,J123,2025Schedule!N:N,B123),0)</f>
        <v/>
      </c>
      <c r="P123" s="156">
        <f>IFERROR(VLOOKUP(H123,Matrix!A:D,2,0)-VLOOKUP(J123,Matrix!A:D,2,0),"")</f>
        <v/>
      </c>
      <c r="Q123" s="156">
        <f>IFERROR(VLOOKUP(H123,Matrix!A:AC,15,0)-VLOOKUP(J123,Matrix!A:AC,15,0),"")</f>
        <v/>
      </c>
      <c r="R123" s="156">
        <f>IFERROR(VLOOKUP(H123,Matrix!A:AC,16,0)-VLOOKUP(J123,Matrix!A:AC,16,0),"")</f>
        <v/>
      </c>
      <c r="S123" s="195">
        <f>H123</f>
        <v/>
      </c>
      <c r="T123" s="195">
        <f>IFERROR(VLOOKUP(G123&amp;H123,2025Schedule!A:F,6,0),"")</f>
        <v/>
      </c>
      <c r="U123" s="264">
        <f>J123</f>
        <v/>
      </c>
      <c r="V123" s="195">
        <f>IFERROR(VLOOKUP(G123&amp;J123,2025Schedule!A:F,6,0),"")</f>
        <v/>
      </c>
    </row>
    <row r="124" ht="14.4" customHeight="1" s="152">
      <c r="A124" s="241">
        <f>H124&amp;I124</f>
        <v/>
      </c>
      <c r="B124" s="241">
        <f>J124&amp;C124</f>
        <v/>
      </c>
      <c r="C124" s="241">
        <f>IFERROR(IF(I124="Home","Away",IF(I124="Away","Home","")),"")</f>
        <v/>
      </c>
      <c r="D124" s="242">
        <f>H124</f>
        <v/>
      </c>
      <c r="E124" s="157">
        <f>IFERROR(IF(AND(F124&gt;0,T124&gt;V124),"Yes",IF(AND(F124&gt;0,T124&lt;V124),"No",IF(AND(F124&lt;0,T124&lt;V124),"Yes",IF(AND(F124&lt;0,T124&gt;V124),"No",0)))),"")</f>
        <v/>
      </c>
      <c r="F124" s="263">
        <f>IFERROR((N124/MAX(N:N)*_MOVw)+(O124/MAX(O:O)*_WINw)+(P124/MAX(P:P)*_PPGw)+(Q124/MAX(Q:Q)*_ORw)+(R124/MAX(R:R)*_DRw),"")</f>
        <v/>
      </c>
      <c r="N124" s="156">
        <f>IFERROR(VLOOKUP(H124,Matrix!A:AC,12,0)-VLOOKUP(J124,Matrix!A:AC,12,0),"")</f>
        <v/>
      </c>
      <c r="O124" s="182">
        <f>IFERROR(AVERAGEIFS(2025Schedule!O:O,2025Schedule!E:E,H124,2025Schedule!N:N,A124)-AVERAGEIFS(2025Schedule!O:O,2025Schedule!E:E,J124,2025Schedule!N:N,B124),0)</f>
        <v/>
      </c>
      <c r="P124" s="156">
        <f>IFERROR(VLOOKUP(H124,Matrix!A:D,2,0)-VLOOKUP(J124,Matrix!A:D,2,0),"")</f>
        <v/>
      </c>
      <c r="Q124" s="156">
        <f>IFERROR(VLOOKUP(H124,Matrix!A:AC,15,0)-VLOOKUP(J124,Matrix!A:AC,15,0),"")</f>
        <v/>
      </c>
      <c r="R124" s="156">
        <f>IFERROR(VLOOKUP(H124,Matrix!A:AC,16,0)-VLOOKUP(J124,Matrix!A:AC,16,0),"")</f>
        <v/>
      </c>
      <c r="S124" s="195">
        <f>H124</f>
        <v/>
      </c>
      <c r="T124" s="195">
        <f>IFERROR(VLOOKUP(G124&amp;H124,2025Schedule!A:F,6,0),"")</f>
        <v/>
      </c>
      <c r="U124" s="264">
        <f>J124</f>
        <v/>
      </c>
      <c r="V124" s="195">
        <f>IFERROR(VLOOKUP(G124&amp;J124,2025Schedule!A:F,6,0),"")</f>
        <v/>
      </c>
    </row>
    <row r="125" ht="14.4" customHeight="1" s="152">
      <c r="A125" s="241">
        <f>H125&amp;I125</f>
        <v/>
      </c>
      <c r="B125" s="241">
        <f>J125&amp;C125</f>
        <v/>
      </c>
      <c r="C125" s="241">
        <f>IFERROR(IF(I125="Home","Away",IF(I125="Away","Home","")),"")</f>
        <v/>
      </c>
      <c r="D125" s="242">
        <f>H125</f>
        <v/>
      </c>
      <c r="E125" s="157">
        <f>IFERROR(IF(AND(F125&gt;0,T125&gt;V125),"Yes",IF(AND(F125&gt;0,T125&lt;V125),"No",IF(AND(F125&lt;0,T125&lt;V125),"Yes",IF(AND(F125&lt;0,T125&gt;V125),"No",0)))),"")</f>
        <v/>
      </c>
      <c r="F125" s="263">
        <f>IFERROR((N125/MAX(N:N)*_MOVw)+(O125/MAX(O:O)*_WINw)+(P125/MAX(P:P)*_PPGw)+(Q125/MAX(Q:Q)*_ORw)+(R125/MAX(R:R)*_DRw),"")</f>
        <v/>
      </c>
      <c r="N125" s="156">
        <f>IFERROR(VLOOKUP(H125,Matrix!A:AC,12,0)-VLOOKUP(J125,Matrix!A:AC,12,0),"")</f>
        <v/>
      </c>
      <c r="O125" s="182">
        <f>IFERROR(AVERAGEIFS(2025Schedule!O:O,2025Schedule!E:E,H125,2025Schedule!N:N,A125)-AVERAGEIFS(2025Schedule!O:O,2025Schedule!E:E,J125,2025Schedule!N:N,B125),0)</f>
        <v/>
      </c>
      <c r="P125" s="156">
        <f>IFERROR(VLOOKUP(H125,Matrix!A:D,2,0)-VLOOKUP(J125,Matrix!A:D,2,0),"")</f>
        <v/>
      </c>
      <c r="Q125" s="156">
        <f>IFERROR(VLOOKUP(H125,Matrix!A:AC,15,0)-VLOOKUP(J125,Matrix!A:AC,15,0),"")</f>
        <v/>
      </c>
      <c r="R125" s="156">
        <f>IFERROR(VLOOKUP(H125,Matrix!A:AC,16,0)-VLOOKUP(J125,Matrix!A:AC,16,0),"")</f>
        <v/>
      </c>
      <c r="S125" s="195">
        <f>H125</f>
        <v/>
      </c>
      <c r="T125" s="195">
        <f>IFERROR(VLOOKUP(G125&amp;H125,2025Schedule!A:F,6,0),"")</f>
        <v/>
      </c>
      <c r="U125" s="264">
        <f>J125</f>
        <v/>
      </c>
      <c r="V125" s="195">
        <f>IFERROR(VLOOKUP(G125&amp;J125,2025Schedule!A:F,6,0),"")</f>
        <v/>
      </c>
    </row>
    <row r="126" ht="14.4" customHeight="1" s="152">
      <c r="A126" s="241">
        <f>H126&amp;I126</f>
        <v/>
      </c>
      <c r="B126" s="241">
        <f>J126&amp;C126</f>
        <v/>
      </c>
      <c r="C126" s="241">
        <f>IFERROR(IF(I126="Home","Away",IF(I126="Away","Home","")),"")</f>
        <v/>
      </c>
      <c r="D126" s="242">
        <f>H126</f>
        <v/>
      </c>
      <c r="E126" s="157">
        <f>IFERROR(IF(AND(F126&gt;0,T126&gt;V126),"Yes",IF(AND(F126&gt;0,T126&lt;V126),"No",IF(AND(F126&lt;0,T126&lt;V126),"Yes",IF(AND(F126&lt;0,T126&gt;V126),"No",0)))),"")</f>
        <v/>
      </c>
      <c r="F126" s="263">
        <f>IFERROR((N126/MAX(N:N)*_MOVw)+(O126/MAX(O:O)*_WINw)+(P126/MAX(P:P)*_PPGw)+(Q126/MAX(Q:Q)*_ORw)+(R126/MAX(R:R)*_DRw),"")</f>
        <v/>
      </c>
      <c r="N126" s="156">
        <f>IFERROR(VLOOKUP(H126,Matrix!A:AC,12,0)-VLOOKUP(J126,Matrix!A:AC,12,0),"")</f>
        <v/>
      </c>
      <c r="O126" s="182">
        <f>IFERROR(AVERAGEIFS(2025Schedule!O:O,2025Schedule!E:E,H126,2025Schedule!N:N,A126)-AVERAGEIFS(2025Schedule!O:O,2025Schedule!E:E,J126,2025Schedule!N:N,B126),0)</f>
        <v/>
      </c>
      <c r="P126" s="156">
        <f>IFERROR(VLOOKUP(H126,Matrix!A:D,2,0)-VLOOKUP(J126,Matrix!A:D,2,0),"")</f>
        <v/>
      </c>
      <c r="Q126" s="156">
        <f>IFERROR(VLOOKUP(H126,Matrix!A:AC,15,0)-VLOOKUP(J126,Matrix!A:AC,15,0),"")</f>
        <v/>
      </c>
      <c r="R126" s="156">
        <f>IFERROR(VLOOKUP(H126,Matrix!A:AC,16,0)-VLOOKUP(J126,Matrix!A:AC,16,0),"")</f>
        <v/>
      </c>
      <c r="S126" s="195">
        <f>H126</f>
        <v/>
      </c>
      <c r="T126" s="195">
        <f>IFERROR(VLOOKUP(G126&amp;H126,2025Schedule!A:F,6,0),"")</f>
        <v/>
      </c>
      <c r="U126" s="264">
        <f>J126</f>
        <v/>
      </c>
      <c r="V126" s="195">
        <f>IFERROR(VLOOKUP(G126&amp;J126,2025Schedule!A:F,6,0),"")</f>
        <v/>
      </c>
    </row>
    <row r="127" ht="14.4" customHeight="1" s="152">
      <c r="A127" s="241">
        <f>H127&amp;I127</f>
        <v/>
      </c>
      <c r="B127" s="241">
        <f>J127&amp;C127</f>
        <v/>
      </c>
      <c r="C127" s="241">
        <f>IFERROR(IF(I127="Home","Away",IF(I127="Away","Home","")),"")</f>
        <v/>
      </c>
      <c r="D127" s="242">
        <f>H127</f>
        <v/>
      </c>
      <c r="E127" s="157">
        <f>IFERROR(IF(AND(F127&gt;0,T127&gt;V127),"Yes",IF(AND(F127&gt;0,T127&lt;V127),"No",IF(AND(F127&lt;0,T127&lt;V127),"Yes",IF(AND(F127&lt;0,T127&gt;V127),"No",0)))),"")</f>
        <v/>
      </c>
      <c r="F127" s="263">
        <f>IFERROR((N127/MAX(N:N)*_MOVw)+(O127/MAX(O:O)*_WINw)+(P127/MAX(P:P)*_PPGw)+(Q127/MAX(Q:Q)*_ORw)+(R127/MAX(R:R)*_DRw),"")</f>
        <v/>
      </c>
      <c r="N127" s="156">
        <f>IFERROR(VLOOKUP(H127,Matrix!A:AC,12,0)-VLOOKUP(J127,Matrix!A:AC,12,0),"")</f>
        <v/>
      </c>
      <c r="O127" s="182">
        <f>IFERROR(AVERAGEIFS(2025Schedule!O:O,2025Schedule!E:E,H127,2025Schedule!N:N,A127)-AVERAGEIFS(2025Schedule!O:O,2025Schedule!E:E,J127,2025Schedule!N:N,B127),0)</f>
        <v/>
      </c>
      <c r="P127" s="156">
        <f>IFERROR(VLOOKUP(H127,Matrix!A:D,2,0)-VLOOKUP(J127,Matrix!A:D,2,0),"")</f>
        <v/>
      </c>
      <c r="Q127" s="156">
        <f>IFERROR(VLOOKUP(H127,Matrix!A:AC,15,0)-VLOOKUP(J127,Matrix!A:AC,15,0),"")</f>
        <v/>
      </c>
      <c r="R127" s="156">
        <f>IFERROR(VLOOKUP(H127,Matrix!A:AC,16,0)-VLOOKUP(J127,Matrix!A:AC,16,0),"")</f>
        <v/>
      </c>
      <c r="S127" s="195">
        <f>H127</f>
        <v/>
      </c>
      <c r="T127" s="195">
        <f>IFERROR(VLOOKUP(G127&amp;H127,2025Schedule!A:F,6,0),"")</f>
        <v/>
      </c>
      <c r="U127" s="264">
        <f>J127</f>
        <v/>
      </c>
      <c r="V127" s="195">
        <f>IFERROR(VLOOKUP(G127&amp;J127,2025Schedule!A:F,6,0),"")</f>
        <v/>
      </c>
    </row>
    <row r="128" ht="14.4" customHeight="1" s="152">
      <c r="A128" s="241">
        <f>H128&amp;I128</f>
        <v/>
      </c>
      <c r="B128" s="241">
        <f>J128&amp;C128</f>
        <v/>
      </c>
      <c r="C128" s="241">
        <f>IFERROR(IF(I128="Home","Away",IF(I128="Away","Home","")),"")</f>
        <v/>
      </c>
      <c r="D128" s="242">
        <f>H128</f>
        <v/>
      </c>
      <c r="E128" s="157">
        <f>IFERROR(IF(AND(F128&gt;0,T128&gt;V128),"Yes",IF(AND(F128&gt;0,T128&lt;V128),"No",IF(AND(F128&lt;0,T128&lt;V128),"Yes",IF(AND(F128&lt;0,T128&gt;V128),"No",0)))),"")</f>
        <v/>
      </c>
      <c r="F128" s="263">
        <f>IFERROR((N128/MAX(N:N)*_MOVw)+(O128/MAX(O:O)*_WINw)+(P128/MAX(P:P)*_PPGw)+(Q128/MAX(Q:Q)*_ORw)+(R128/MAX(R:R)*_DRw),"")</f>
        <v/>
      </c>
      <c r="N128" s="156">
        <f>IFERROR(VLOOKUP(H128,Matrix!A:AC,12,0)-VLOOKUP(J128,Matrix!A:AC,12,0),"")</f>
        <v/>
      </c>
      <c r="O128" s="182">
        <f>IFERROR(AVERAGEIFS(2025Schedule!O:O,2025Schedule!E:E,H128,2025Schedule!N:N,A128)-AVERAGEIFS(2025Schedule!O:O,2025Schedule!E:E,J128,2025Schedule!N:N,B128),0)</f>
        <v/>
      </c>
      <c r="P128" s="156">
        <f>IFERROR(VLOOKUP(H128,Matrix!A:D,2,0)-VLOOKUP(J128,Matrix!A:D,2,0),"")</f>
        <v/>
      </c>
      <c r="Q128" s="156">
        <f>IFERROR(VLOOKUP(H128,Matrix!A:AC,15,0)-VLOOKUP(J128,Matrix!A:AC,15,0),"")</f>
        <v/>
      </c>
      <c r="R128" s="156">
        <f>IFERROR(VLOOKUP(H128,Matrix!A:AC,16,0)-VLOOKUP(J128,Matrix!A:AC,16,0),"")</f>
        <v/>
      </c>
      <c r="S128" s="195">
        <f>H128</f>
        <v/>
      </c>
      <c r="T128" s="195">
        <f>IFERROR(VLOOKUP(G128&amp;H128,2025Schedule!A:F,6,0),"")</f>
        <v/>
      </c>
      <c r="U128" s="264">
        <f>J128</f>
        <v/>
      </c>
      <c r="V128" s="195">
        <f>IFERROR(VLOOKUP(G128&amp;J128,2025Schedule!A:F,6,0),"")</f>
        <v/>
      </c>
    </row>
    <row r="129" ht="14.4" customHeight="1" s="152">
      <c r="A129" s="241">
        <f>H129&amp;I129</f>
        <v/>
      </c>
      <c r="B129" s="241">
        <f>J129&amp;C129</f>
        <v/>
      </c>
      <c r="C129" s="241">
        <f>IFERROR(IF(I129="Home","Away",IF(I129="Away","Home","")),"")</f>
        <v/>
      </c>
      <c r="D129" s="242">
        <f>H129</f>
        <v/>
      </c>
      <c r="E129" s="157">
        <f>IFERROR(IF(AND(F129&gt;0,T129&gt;V129),"Yes",IF(AND(F129&gt;0,T129&lt;V129),"No",IF(AND(F129&lt;0,T129&lt;V129),"Yes",IF(AND(F129&lt;0,T129&gt;V129),"No",0)))),"")</f>
        <v/>
      </c>
      <c r="F129" s="263">
        <f>IFERROR((N129/MAX(N:N)*_MOVw)+(O129/MAX(O:O)*_WINw)+(P129/MAX(P:P)*_PPGw)+(Q129/MAX(Q:Q)*_ORw)+(R129/MAX(R:R)*_DRw),"")</f>
        <v/>
      </c>
      <c r="N129" s="156">
        <f>IFERROR(VLOOKUP(H129,Matrix!A:AC,12,0)-VLOOKUP(J129,Matrix!A:AC,12,0),"")</f>
        <v/>
      </c>
      <c r="O129" s="182">
        <f>IFERROR(AVERAGEIFS(2025Schedule!O:O,2025Schedule!E:E,H129,2025Schedule!N:N,A129)-AVERAGEIFS(2025Schedule!O:O,2025Schedule!E:E,J129,2025Schedule!N:N,B129),0)</f>
        <v/>
      </c>
      <c r="P129" s="156">
        <f>IFERROR(VLOOKUP(H129,Matrix!A:D,2,0)-VLOOKUP(J129,Matrix!A:D,2,0),"")</f>
        <v/>
      </c>
      <c r="Q129" s="156">
        <f>IFERROR(VLOOKUP(H129,Matrix!A:AC,15,0)-VLOOKUP(J129,Matrix!A:AC,15,0),"")</f>
        <v/>
      </c>
      <c r="R129" s="156">
        <f>IFERROR(VLOOKUP(H129,Matrix!A:AC,16,0)-VLOOKUP(J129,Matrix!A:AC,16,0),"")</f>
        <v/>
      </c>
      <c r="S129" s="195">
        <f>H129</f>
        <v/>
      </c>
      <c r="T129" s="195">
        <f>IFERROR(VLOOKUP(G129&amp;H129,2025Schedule!A:F,6,0),"")</f>
        <v/>
      </c>
      <c r="U129" s="264">
        <f>J129</f>
        <v/>
      </c>
      <c r="V129" s="195">
        <f>IFERROR(VLOOKUP(G129&amp;J129,2025Schedule!A:F,6,0),"")</f>
        <v/>
      </c>
    </row>
    <row r="130" ht="14.4" customHeight="1" s="152">
      <c r="A130" s="241">
        <f>H130&amp;I130</f>
        <v/>
      </c>
      <c r="B130" s="241">
        <f>J130&amp;C130</f>
        <v/>
      </c>
      <c r="C130" s="241">
        <f>IFERROR(IF(I130="Home","Away",IF(I130="Away","Home","")),"")</f>
        <v/>
      </c>
      <c r="D130" s="242">
        <f>H130</f>
        <v/>
      </c>
      <c r="E130" s="157">
        <f>IFERROR(IF(AND(F130&gt;0,T130&gt;V130),"Yes",IF(AND(F130&gt;0,T130&lt;V130),"No",IF(AND(F130&lt;0,T130&lt;V130),"Yes",IF(AND(F130&lt;0,T130&gt;V130),"No",0)))),"")</f>
        <v/>
      </c>
      <c r="F130" s="263">
        <f>IFERROR((N130/MAX(N:N)*_MOVw)+(O130/MAX(O:O)*_WINw)+(P130/MAX(P:P)*_PPGw)+(Q130/MAX(Q:Q)*_ORw)+(R130/MAX(R:R)*_DRw),"")</f>
        <v/>
      </c>
      <c r="N130" s="156">
        <f>IFERROR(VLOOKUP(H130,Matrix!A:AC,12,0)-VLOOKUP(J130,Matrix!A:AC,12,0),"")</f>
        <v/>
      </c>
      <c r="O130" s="182">
        <f>IFERROR(AVERAGEIFS(2025Schedule!O:O,2025Schedule!E:E,H130,2025Schedule!N:N,A130)-AVERAGEIFS(2025Schedule!O:O,2025Schedule!E:E,J130,2025Schedule!N:N,B130),0)</f>
        <v/>
      </c>
      <c r="P130" s="156">
        <f>IFERROR(VLOOKUP(H130,Matrix!A:D,2,0)-VLOOKUP(J130,Matrix!A:D,2,0),"")</f>
        <v/>
      </c>
      <c r="Q130" s="156">
        <f>IFERROR(VLOOKUP(H130,Matrix!A:AC,15,0)-VLOOKUP(J130,Matrix!A:AC,15,0),"")</f>
        <v/>
      </c>
      <c r="R130" s="156">
        <f>IFERROR(VLOOKUP(H130,Matrix!A:AC,16,0)-VLOOKUP(J130,Matrix!A:AC,16,0),"")</f>
        <v/>
      </c>
      <c r="S130" s="195">
        <f>H130</f>
        <v/>
      </c>
      <c r="T130" s="195">
        <f>IFERROR(VLOOKUP(G130&amp;H130,2025Schedule!A:F,6,0),"")</f>
        <v/>
      </c>
      <c r="U130" s="264">
        <f>J130</f>
        <v/>
      </c>
      <c r="V130" s="195">
        <f>IFERROR(VLOOKUP(G130&amp;J130,2025Schedule!A:F,6,0),"")</f>
        <v/>
      </c>
    </row>
    <row r="131" ht="14.4" customHeight="1" s="152">
      <c r="A131" s="241">
        <f>H131&amp;I131</f>
        <v/>
      </c>
      <c r="B131" s="241">
        <f>J131&amp;C131</f>
        <v/>
      </c>
      <c r="C131" s="241">
        <f>IFERROR(IF(I131="Home","Away",IF(I131="Away","Home","")),"")</f>
        <v/>
      </c>
      <c r="D131" s="242">
        <f>H131</f>
        <v/>
      </c>
      <c r="E131" s="157">
        <f>IFERROR(IF(AND(F131&gt;0,T131&gt;V131),"Yes",IF(AND(F131&gt;0,T131&lt;V131),"No",IF(AND(F131&lt;0,T131&lt;V131),"Yes",IF(AND(F131&lt;0,T131&gt;V131),"No",0)))),"")</f>
        <v/>
      </c>
      <c r="F131" s="263">
        <f>IFERROR((N131/MAX(N:N)*_MOVw)+(O131/MAX(O:O)*_WINw)+(P131/MAX(P:P)*_PPGw)+(Q131/MAX(Q:Q)*_ORw)+(R131/MAX(R:R)*_DRw),"")</f>
        <v/>
      </c>
      <c r="N131" s="156">
        <f>IFERROR(VLOOKUP(H131,Matrix!A:AC,12,0)-VLOOKUP(J131,Matrix!A:AC,12,0),"")</f>
        <v/>
      </c>
      <c r="O131" s="182">
        <f>IFERROR(AVERAGEIFS(2025Schedule!O:O,2025Schedule!E:E,H131,2025Schedule!N:N,A131)-AVERAGEIFS(2025Schedule!O:O,2025Schedule!E:E,J131,2025Schedule!N:N,B131),0)</f>
        <v/>
      </c>
      <c r="P131" s="156">
        <f>IFERROR(VLOOKUP(H131,Matrix!A:D,2,0)-VLOOKUP(J131,Matrix!A:D,2,0),"")</f>
        <v/>
      </c>
      <c r="Q131" s="156">
        <f>IFERROR(VLOOKUP(H131,Matrix!A:AC,15,0)-VLOOKUP(J131,Matrix!A:AC,15,0),"")</f>
        <v/>
      </c>
      <c r="R131" s="156">
        <f>IFERROR(VLOOKUP(H131,Matrix!A:AC,16,0)-VLOOKUP(J131,Matrix!A:AC,16,0),"")</f>
        <v/>
      </c>
      <c r="S131" s="195">
        <f>H131</f>
        <v/>
      </c>
      <c r="T131" s="195">
        <f>IFERROR(VLOOKUP(G131&amp;H131,2025Schedule!A:F,6,0),"")</f>
        <v/>
      </c>
      <c r="U131" s="264">
        <f>J131</f>
        <v/>
      </c>
      <c r="V131" s="195">
        <f>IFERROR(VLOOKUP(G131&amp;J131,2025Schedule!A:F,6,0),"")</f>
        <v/>
      </c>
    </row>
    <row r="132" ht="14.4" customHeight="1" s="152">
      <c r="A132" s="241">
        <f>H132&amp;I132</f>
        <v/>
      </c>
      <c r="B132" s="241">
        <f>J132&amp;C132</f>
        <v/>
      </c>
      <c r="C132" s="241">
        <f>IFERROR(IF(I132="Home","Away",IF(I132="Away","Home","")),"")</f>
        <v/>
      </c>
      <c r="D132" s="242">
        <f>H132</f>
        <v/>
      </c>
      <c r="E132" s="157">
        <f>IFERROR(IF(AND(F132&gt;0,T132&gt;V132),"Yes",IF(AND(F132&gt;0,T132&lt;V132),"No",IF(AND(F132&lt;0,T132&lt;V132),"Yes",IF(AND(F132&lt;0,T132&gt;V132),"No",0)))),"")</f>
        <v/>
      </c>
      <c r="F132" s="263">
        <f>IFERROR((N132/MAX(N:N)*_MOVw)+(O132/MAX(O:O)*_WINw)+(P132/MAX(P:P)*_PPGw)+(Q132/MAX(Q:Q)*_ORw)+(R132/MAX(R:R)*_DRw),"")</f>
        <v/>
      </c>
      <c r="N132" s="156">
        <f>IFERROR(VLOOKUP(H132,Matrix!A:AC,12,0)-VLOOKUP(J132,Matrix!A:AC,12,0),"")</f>
        <v/>
      </c>
      <c r="O132" s="182">
        <f>IFERROR(AVERAGEIFS(2025Schedule!O:O,2025Schedule!E:E,H132,2025Schedule!N:N,A132)-AVERAGEIFS(2025Schedule!O:O,2025Schedule!E:E,J132,2025Schedule!N:N,B132),0)</f>
        <v/>
      </c>
      <c r="P132" s="156">
        <f>IFERROR(VLOOKUP(H132,Matrix!A:D,2,0)-VLOOKUP(J132,Matrix!A:D,2,0),"")</f>
        <v/>
      </c>
      <c r="Q132" s="156">
        <f>IFERROR(VLOOKUP(H132,Matrix!A:AC,15,0)-VLOOKUP(J132,Matrix!A:AC,15,0),"")</f>
        <v/>
      </c>
      <c r="R132" s="156">
        <f>IFERROR(VLOOKUP(H132,Matrix!A:AC,16,0)-VLOOKUP(J132,Matrix!A:AC,16,0),"")</f>
        <v/>
      </c>
      <c r="S132" s="195">
        <f>H132</f>
        <v/>
      </c>
      <c r="T132" s="195">
        <f>IFERROR(VLOOKUP(G132&amp;H132,2025Schedule!A:F,6,0),"")</f>
        <v/>
      </c>
      <c r="U132" s="264">
        <f>J132</f>
        <v/>
      </c>
      <c r="V132" s="195">
        <f>IFERROR(VLOOKUP(G132&amp;J132,2025Schedule!A:F,6,0),"")</f>
        <v/>
      </c>
    </row>
    <row r="133" ht="14.4" customHeight="1" s="152">
      <c r="A133" s="241">
        <f>H133&amp;I133</f>
        <v/>
      </c>
      <c r="B133" s="241">
        <f>J133&amp;C133</f>
        <v/>
      </c>
      <c r="C133" s="241">
        <f>IFERROR(IF(I133="Home","Away",IF(I133="Away","Home","")),"")</f>
        <v/>
      </c>
      <c r="D133" s="242">
        <f>H133</f>
        <v/>
      </c>
      <c r="E133" s="157">
        <f>IFERROR(IF(AND(F133&gt;0,T133&gt;V133),"Yes",IF(AND(F133&gt;0,T133&lt;V133),"No",IF(AND(F133&lt;0,T133&lt;V133),"Yes",IF(AND(F133&lt;0,T133&gt;V133),"No",0)))),"")</f>
        <v/>
      </c>
      <c r="F133" s="263">
        <f>IFERROR((N133/MAX(N:N)*_MOVw)+(O133/MAX(O:O)*_WINw)+(P133/MAX(P:P)*_PPGw)+(Q133/MAX(Q:Q)*_ORw)+(R133/MAX(R:R)*_DRw),"")</f>
        <v/>
      </c>
      <c r="N133" s="156">
        <f>IFERROR(VLOOKUP(H133,Matrix!A:AC,12,0)-VLOOKUP(J133,Matrix!A:AC,12,0),"")</f>
        <v/>
      </c>
      <c r="O133" s="182">
        <f>IFERROR(AVERAGEIFS(2025Schedule!O:O,2025Schedule!E:E,H133,2025Schedule!N:N,A133)-AVERAGEIFS(2025Schedule!O:O,2025Schedule!E:E,J133,2025Schedule!N:N,B133),0)</f>
        <v/>
      </c>
      <c r="P133" s="156">
        <f>IFERROR(VLOOKUP(H133,Matrix!A:D,2,0)-VLOOKUP(J133,Matrix!A:D,2,0),"")</f>
        <v/>
      </c>
      <c r="Q133" s="156">
        <f>IFERROR(VLOOKUP(H133,Matrix!A:AC,15,0)-VLOOKUP(J133,Matrix!A:AC,15,0),"")</f>
        <v/>
      </c>
      <c r="R133" s="156">
        <f>IFERROR(VLOOKUP(H133,Matrix!A:AC,16,0)-VLOOKUP(J133,Matrix!A:AC,16,0),"")</f>
        <v/>
      </c>
      <c r="S133" s="195">
        <f>H133</f>
        <v/>
      </c>
      <c r="T133" s="195">
        <f>IFERROR(VLOOKUP(G133&amp;H133,2025Schedule!A:F,6,0),"")</f>
        <v/>
      </c>
      <c r="U133" s="264">
        <f>J133</f>
        <v/>
      </c>
      <c r="V133" s="195">
        <f>IFERROR(VLOOKUP(G133&amp;J133,2025Schedule!A:F,6,0),"")</f>
        <v/>
      </c>
    </row>
    <row r="134" ht="14.4" customHeight="1" s="152">
      <c r="A134" s="241">
        <f>H134&amp;I134</f>
        <v/>
      </c>
      <c r="B134" s="241">
        <f>J134&amp;C134</f>
        <v/>
      </c>
      <c r="C134" s="241">
        <f>IFERROR(IF(I134="Home","Away",IF(I134="Away","Home","")),"")</f>
        <v/>
      </c>
      <c r="D134" s="242">
        <f>H134</f>
        <v/>
      </c>
      <c r="E134" s="157">
        <f>IFERROR(IF(AND(F134&gt;0,T134&gt;V134),"Yes",IF(AND(F134&gt;0,T134&lt;V134),"No",IF(AND(F134&lt;0,T134&lt;V134),"Yes",IF(AND(F134&lt;0,T134&gt;V134),"No",0)))),"")</f>
        <v/>
      </c>
      <c r="F134" s="263">
        <f>IFERROR((N134/MAX(N:N)*_MOVw)+(O134/MAX(O:O)*_WINw)+(P134/MAX(P:P)*_PPGw)+(Q134/MAX(Q:Q)*_ORw)+(R134/MAX(R:R)*_DRw),"")</f>
        <v/>
      </c>
      <c r="N134" s="156">
        <f>IFERROR(VLOOKUP(H134,Matrix!A:AC,12,0)-VLOOKUP(J134,Matrix!A:AC,12,0),"")</f>
        <v/>
      </c>
      <c r="O134" s="182">
        <f>IFERROR(AVERAGEIFS(2025Schedule!O:O,2025Schedule!E:E,H134,2025Schedule!N:N,A134)-AVERAGEIFS(2025Schedule!O:O,2025Schedule!E:E,J134,2025Schedule!N:N,B134),0)</f>
        <v/>
      </c>
      <c r="P134" s="156">
        <f>IFERROR(VLOOKUP(H134,Matrix!A:D,2,0)-VLOOKUP(J134,Matrix!A:D,2,0),"")</f>
        <v/>
      </c>
      <c r="Q134" s="156">
        <f>IFERROR(VLOOKUP(H134,Matrix!A:AC,15,0)-VLOOKUP(J134,Matrix!A:AC,15,0),"")</f>
        <v/>
      </c>
      <c r="R134" s="156">
        <f>IFERROR(VLOOKUP(H134,Matrix!A:AC,16,0)-VLOOKUP(J134,Matrix!A:AC,16,0),"")</f>
        <v/>
      </c>
      <c r="S134" s="195">
        <f>H134</f>
        <v/>
      </c>
      <c r="T134" s="195">
        <f>IFERROR(VLOOKUP(G134&amp;H134,2025Schedule!A:F,6,0),"")</f>
        <v/>
      </c>
      <c r="U134" s="264">
        <f>J134</f>
        <v/>
      </c>
      <c r="V134" s="195">
        <f>IFERROR(VLOOKUP(G134&amp;J134,2025Schedule!A:F,6,0),"")</f>
        <v/>
      </c>
    </row>
    <row r="135" ht="14.4" customHeight="1" s="152">
      <c r="A135" s="241">
        <f>H135&amp;I135</f>
        <v/>
      </c>
      <c r="B135" s="241">
        <f>J135&amp;C135</f>
        <v/>
      </c>
      <c r="C135" s="241">
        <f>IFERROR(IF(I135="Home","Away",IF(I135="Away","Home","")),"")</f>
        <v/>
      </c>
      <c r="D135" s="242">
        <f>H135</f>
        <v/>
      </c>
      <c r="E135" s="157">
        <f>IFERROR(IF(AND(F135&gt;0,T135&gt;V135),"Yes",IF(AND(F135&gt;0,T135&lt;V135),"No",IF(AND(F135&lt;0,T135&lt;V135),"Yes",IF(AND(F135&lt;0,T135&gt;V135),"No",0)))),"")</f>
        <v/>
      </c>
      <c r="F135" s="263">
        <f>IFERROR((N135/MAX(N:N)*_MOVw)+(O135/MAX(O:O)*_WINw)+(P135/MAX(P:P)*_PPGw)+(Q135/MAX(Q:Q)*_ORw)+(R135/MAX(R:R)*_DRw),"")</f>
        <v/>
      </c>
      <c r="N135" s="156">
        <f>IFERROR(VLOOKUP(H135,Matrix!A:AC,12,0)-VLOOKUP(J135,Matrix!A:AC,12,0),"")</f>
        <v/>
      </c>
      <c r="O135" s="182">
        <f>IFERROR(AVERAGEIFS(2025Schedule!O:O,2025Schedule!E:E,H135,2025Schedule!N:N,A135)-AVERAGEIFS(2025Schedule!O:O,2025Schedule!E:E,J135,2025Schedule!N:N,B135),0)</f>
        <v/>
      </c>
      <c r="P135" s="156">
        <f>IFERROR(VLOOKUP(H135,Matrix!A:D,2,0)-VLOOKUP(J135,Matrix!A:D,2,0),"")</f>
        <v/>
      </c>
      <c r="Q135" s="156">
        <f>IFERROR(VLOOKUP(H135,Matrix!A:AC,15,0)-VLOOKUP(J135,Matrix!A:AC,15,0),"")</f>
        <v/>
      </c>
      <c r="R135" s="156">
        <f>IFERROR(VLOOKUP(H135,Matrix!A:AC,16,0)-VLOOKUP(J135,Matrix!A:AC,16,0),"")</f>
        <v/>
      </c>
      <c r="S135" s="195">
        <f>H135</f>
        <v/>
      </c>
      <c r="T135" s="195">
        <f>IFERROR(VLOOKUP(G135&amp;H135,2025Schedule!A:F,6,0),"")</f>
        <v/>
      </c>
      <c r="U135" s="264">
        <f>J135</f>
        <v/>
      </c>
      <c r="V135" s="195">
        <f>IFERROR(VLOOKUP(G135&amp;J135,2025Schedule!A:F,6,0),"")</f>
        <v/>
      </c>
    </row>
    <row r="136" ht="14.4" customHeight="1" s="152">
      <c r="A136" s="241">
        <f>H136&amp;I136</f>
        <v/>
      </c>
      <c r="B136" s="241">
        <f>J136&amp;C136</f>
        <v/>
      </c>
      <c r="C136" s="241">
        <f>IFERROR(IF(I136="Home","Away",IF(I136="Away","Home","")),"")</f>
        <v/>
      </c>
      <c r="D136" s="242">
        <f>H136</f>
        <v/>
      </c>
      <c r="E136" s="157">
        <f>IFERROR(IF(AND(F136&gt;0,T136&gt;V136),"Yes",IF(AND(F136&gt;0,T136&lt;V136),"No",IF(AND(F136&lt;0,T136&lt;V136),"Yes",IF(AND(F136&lt;0,T136&gt;V136),"No",0)))),"")</f>
        <v/>
      </c>
      <c r="F136" s="263">
        <f>IFERROR((N136/MAX(N:N)*_MOVw)+(O136/MAX(O:O)*_WINw)+(P136/MAX(P:P)*_PPGw)+(Q136/MAX(Q:Q)*_ORw)+(R136/MAX(R:R)*_DRw),"")</f>
        <v/>
      </c>
      <c r="N136" s="156">
        <f>IFERROR(VLOOKUP(H136,Matrix!A:AC,12,0)-VLOOKUP(J136,Matrix!A:AC,12,0),"")</f>
        <v/>
      </c>
      <c r="O136" s="182">
        <f>IFERROR(AVERAGEIFS(2025Schedule!O:O,2025Schedule!E:E,H136,2025Schedule!N:N,A136)-AVERAGEIFS(2025Schedule!O:O,2025Schedule!E:E,J136,2025Schedule!N:N,B136),0)</f>
        <v/>
      </c>
      <c r="P136" s="156">
        <f>IFERROR(VLOOKUP(H136,Matrix!A:D,2,0)-VLOOKUP(J136,Matrix!A:D,2,0),"")</f>
        <v/>
      </c>
      <c r="Q136" s="156">
        <f>IFERROR(VLOOKUP(H136,Matrix!A:AC,15,0)-VLOOKUP(J136,Matrix!A:AC,15,0),"")</f>
        <v/>
      </c>
      <c r="R136" s="156">
        <f>IFERROR(VLOOKUP(H136,Matrix!A:AC,16,0)-VLOOKUP(J136,Matrix!A:AC,16,0),"")</f>
        <v/>
      </c>
      <c r="S136" s="195">
        <f>H136</f>
        <v/>
      </c>
      <c r="T136" s="195">
        <f>IFERROR(VLOOKUP(G136&amp;H136,2025Schedule!A:F,6,0),"")</f>
        <v/>
      </c>
      <c r="U136" s="264">
        <f>J136</f>
        <v/>
      </c>
      <c r="V136" s="195">
        <f>IFERROR(VLOOKUP(G136&amp;J136,2025Schedule!A:F,6,0),"")</f>
        <v/>
      </c>
    </row>
    <row r="137" ht="14.4" customHeight="1" s="152">
      <c r="A137" s="241">
        <f>H137&amp;I137</f>
        <v/>
      </c>
      <c r="B137" s="241">
        <f>J137&amp;C137</f>
        <v/>
      </c>
      <c r="C137" s="241">
        <f>IFERROR(IF(I137="Home","Away",IF(I137="Away","Home","")),"")</f>
        <v/>
      </c>
      <c r="D137" s="242">
        <f>H137</f>
        <v/>
      </c>
      <c r="E137" s="157">
        <f>IFERROR(IF(AND(F137&gt;0,T137&gt;V137),"Yes",IF(AND(F137&gt;0,T137&lt;V137),"No",IF(AND(F137&lt;0,T137&lt;V137),"Yes",IF(AND(F137&lt;0,T137&gt;V137),"No",0)))),"")</f>
        <v/>
      </c>
      <c r="F137" s="263">
        <f>IFERROR((N137/MAX(N:N)*_MOVw)+(O137/MAX(O:O)*_WINw)+(P137/MAX(P:P)*_PPGw)+(Q137/MAX(Q:Q)*_ORw)+(R137/MAX(R:R)*_DRw),"")</f>
        <v/>
      </c>
      <c r="N137" s="156">
        <f>IFERROR(VLOOKUP(H137,Matrix!A:AC,12,0)-VLOOKUP(J137,Matrix!A:AC,12,0),"")</f>
        <v/>
      </c>
      <c r="O137" s="182">
        <f>IFERROR(AVERAGEIFS(2025Schedule!O:O,2025Schedule!E:E,H137,2025Schedule!N:N,A137)-AVERAGEIFS(2025Schedule!O:O,2025Schedule!E:E,J137,2025Schedule!N:N,B137),0)</f>
        <v/>
      </c>
      <c r="P137" s="156">
        <f>IFERROR(VLOOKUP(H137,Matrix!A:D,2,0)-VLOOKUP(J137,Matrix!A:D,2,0),"")</f>
        <v/>
      </c>
      <c r="Q137" s="156">
        <f>IFERROR(VLOOKUP(H137,Matrix!A:AC,15,0)-VLOOKUP(J137,Matrix!A:AC,15,0),"")</f>
        <v/>
      </c>
      <c r="R137" s="156">
        <f>IFERROR(VLOOKUP(H137,Matrix!A:AC,16,0)-VLOOKUP(J137,Matrix!A:AC,16,0),"")</f>
        <v/>
      </c>
      <c r="S137" s="195">
        <f>H137</f>
        <v/>
      </c>
      <c r="T137" s="195">
        <f>IFERROR(VLOOKUP(G137&amp;H137,2025Schedule!A:F,6,0),"")</f>
        <v/>
      </c>
      <c r="U137" s="264">
        <f>J137</f>
        <v/>
      </c>
      <c r="V137" s="195">
        <f>IFERROR(VLOOKUP(G137&amp;J137,2025Schedule!A:F,6,0),"")</f>
        <v/>
      </c>
    </row>
    <row r="138" ht="14.4" customHeight="1" s="152">
      <c r="A138" s="241">
        <f>H138&amp;I138</f>
        <v/>
      </c>
      <c r="B138" s="241">
        <f>J138&amp;C138</f>
        <v/>
      </c>
      <c r="C138" s="241">
        <f>IFERROR(IF(I138="Home","Away",IF(I138="Away","Home","")),"")</f>
        <v/>
      </c>
      <c r="D138" s="242">
        <f>H138</f>
        <v/>
      </c>
      <c r="E138" s="157">
        <f>IFERROR(IF(AND(F138&gt;0,T138&gt;V138),"Yes",IF(AND(F138&gt;0,T138&lt;V138),"No",IF(AND(F138&lt;0,T138&lt;V138),"Yes",IF(AND(F138&lt;0,T138&gt;V138),"No",0)))),"")</f>
        <v/>
      </c>
      <c r="F138" s="263">
        <f>IFERROR((N138/MAX(N:N)*_MOVw)+(O138/MAX(O:O)*_WINw)+(P138/MAX(P:P)*_PPGw)+(Q138/MAX(Q:Q)*_ORw)+(R138/MAX(R:R)*_DRw),"")</f>
        <v/>
      </c>
      <c r="N138" s="156">
        <f>IFERROR(VLOOKUP(H138,Matrix!A:AC,12,0)-VLOOKUP(J138,Matrix!A:AC,12,0),"")</f>
        <v/>
      </c>
      <c r="O138" s="182">
        <f>IFERROR(AVERAGEIFS(2025Schedule!O:O,2025Schedule!E:E,H138,2025Schedule!N:N,A138)-AVERAGEIFS(2025Schedule!O:O,2025Schedule!E:E,J138,2025Schedule!N:N,B138),0)</f>
        <v/>
      </c>
      <c r="P138" s="156">
        <f>IFERROR(VLOOKUP(H138,Matrix!A:D,2,0)-VLOOKUP(J138,Matrix!A:D,2,0),"")</f>
        <v/>
      </c>
      <c r="Q138" s="156">
        <f>IFERROR(VLOOKUP(H138,Matrix!A:AC,15,0)-VLOOKUP(J138,Matrix!A:AC,15,0),"")</f>
        <v/>
      </c>
      <c r="R138" s="156">
        <f>IFERROR(VLOOKUP(H138,Matrix!A:AC,16,0)-VLOOKUP(J138,Matrix!A:AC,16,0),"")</f>
        <v/>
      </c>
      <c r="S138" s="195">
        <f>H138</f>
        <v/>
      </c>
      <c r="T138" s="195">
        <f>IFERROR(VLOOKUP(G138&amp;H138,2025Schedule!A:F,6,0),"")</f>
        <v/>
      </c>
      <c r="U138" s="264">
        <f>J138</f>
        <v/>
      </c>
      <c r="V138" s="195">
        <f>IFERROR(VLOOKUP(G138&amp;J138,2025Schedule!A:F,6,0),"")</f>
        <v/>
      </c>
    </row>
    <row r="139" ht="14.4" customHeight="1" s="152">
      <c r="A139" s="241">
        <f>H139&amp;I139</f>
        <v/>
      </c>
      <c r="B139" s="241">
        <f>J139&amp;C139</f>
        <v/>
      </c>
      <c r="C139" s="241">
        <f>IFERROR(IF(I139="Home","Away",IF(I139="Away","Home","")),"")</f>
        <v/>
      </c>
      <c r="D139" s="242">
        <f>H139</f>
        <v/>
      </c>
      <c r="E139" s="157">
        <f>IFERROR(IF(AND(F139&gt;0,T139&gt;V139),"Yes",IF(AND(F139&gt;0,T139&lt;V139),"No",IF(AND(F139&lt;0,T139&lt;V139),"Yes",IF(AND(F139&lt;0,T139&gt;V139),"No",0)))),"")</f>
        <v/>
      </c>
      <c r="F139" s="263">
        <f>IFERROR((N139/MAX(N:N)*_MOVw)+(O139/MAX(O:O)*_WINw)+(P139/MAX(P:P)*_PPGw)+(Q139/MAX(Q:Q)*_ORw)+(R139/MAX(R:R)*_DRw),"")</f>
        <v/>
      </c>
      <c r="N139" s="156">
        <f>IFERROR(VLOOKUP(H139,Matrix!A:AC,12,0)-VLOOKUP(J139,Matrix!A:AC,12,0),"")</f>
        <v/>
      </c>
      <c r="O139" s="182">
        <f>IFERROR(AVERAGEIFS(2025Schedule!O:O,2025Schedule!E:E,H139,2025Schedule!N:N,A139)-AVERAGEIFS(2025Schedule!O:O,2025Schedule!E:E,J139,2025Schedule!N:N,B139),0)</f>
        <v/>
      </c>
      <c r="P139" s="156">
        <f>IFERROR(VLOOKUP(H139,Matrix!A:D,2,0)-VLOOKUP(J139,Matrix!A:D,2,0),"")</f>
        <v/>
      </c>
      <c r="Q139" s="156">
        <f>IFERROR(VLOOKUP(H139,Matrix!A:AC,15,0)-VLOOKUP(J139,Matrix!A:AC,15,0),"")</f>
        <v/>
      </c>
      <c r="R139" s="156">
        <f>IFERROR(VLOOKUP(H139,Matrix!A:AC,16,0)-VLOOKUP(J139,Matrix!A:AC,16,0),"")</f>
        <v/>
      </c>
      <c r="S139" s="195">
        <f>H139</f>
        <v/>
      </c>
      <c r="T139" s="195">
        <f>IFERROR(VLOOKUP(G139&amp;H139,2025Schedule!A:F,6,0),"")</f>
        <v/>
      </c>
      <c r="U139" s="264">
        <f>J139</f>
        <v/>
      </c>
      <c r="V139" s="195">
        <f>IFERROR(VLOOKUP(G139&amp;J139,2025Schedule!A:F,6,0),"")</f>
        <v/>
      </c>
    </row>
    <row r="140" ht="14.4" customHeight="1" s="152">
      <c r="A140" s="241">
        <f>H140&amp;I140</f>
        <v/>
      </c>
      <c r="B140" s="241">
        <f>J140&amp;C140</f>
        <v/>
      </c>
      <c r="C140" s="241">
        <f>IFERROR(IF(I140="Home","Away",IF(I140="Away","Home","")),"")</f>
        <v/>
      </c>
      <c r="D140" s="242">
        <f>H140</f>
        <v/>
      </c>
      <c r="E140" s="157">
        <f>IFERROR(IF(AND(F140&gt;0,T140&gt;V140),"Yes",IF(AND(F140&gt;0,T140&lt;V140),"No",IF(AND(F140&lt;0,T140&lt;V140),"Yes",IF(AND(F140&lt;0,T140&gt;V140),"No",0)))),"")</f>
        <v/>
      </c>
      <c r="F140" s="263">
        <f>IFERROR((N140/MAX(N:N)*_MOVw)+(O140/MAX(O:O)*_WINw)+(P140/MAX(P:P)*_PPGw)+(Q140/MAX(Q:Q)*_ORw)+(R140/MAX(R:R)*_DRw),"")</f>
        <v/>
      </c>
      <c r="N140" s="156">
        <f>IFERROR(VLOOKUP(H140,Matrix!A:AC,12,0)-VLOOKUP(J140,Matrix!A:AC,12,0),"")</f>
        <v/>
      </c>
      <c r="O140" s="182">
        <f>IFERROR(AVERAGEIFS(2025Schedule!O:O,2025Schedule!E:E,H140,2025Schedule!N:N,A140)-AVERAGEIFS(2025Schedule!O:O,2025Schedule!E:E,J140,2025Schedule!N:N,B140),0)</f>
        <v/>
      </c>
      <c r="P140" s="156">
        <f>IFERROR(VLOOKUP(H140,Matrix!A:D,2,0)-VLOOKUP(J140,Matrix!A:D,2,0),"")</f>
        <v/>
      </c>
      <c r="Q140" s="156">
        <f>IFERROR(VLOOKUP(H140,Matrix!A:AC,15,0)-VLOOKUP(J140,Matrix!A:AC,15,0),"")</f>
        <v/>
      </c>
      <c r="R140" s="156">
        <f>IFERROR(VLOOKUP(H140,Matrix!A:AC,16,0)-VLOOKUP(J140,Matrix!A:AC,16,0),"")</f>
        <v/>
      </c>
      <c r="S140" s="195">
        <f>H140</f>
        <v/>
      </c>
      <c r="T140" s="195">
        <f>IFERROR(VLOOKUP(G140&amp;H140,2025Schedule!A:F,6,0),"")</f>
        <v/>
      </c>
      <c r="U140" s="264">
        <f>J140</f>
        <v/>
      </c>
      <c r="V140" s="195">
        <f>IFERROR(VLOOKUP(G140&amp;J140,2025Schedule!A:F,6,0),"")</f>
        <v/>
      </c>
    </row>
    <row r="141" ht="14.4" customHeight="1" s="152">
      <c r="A141" s="241">
        <f>H141&amp;I141</f>
        <v/>
      </c>
      <c r="B141" s="241">
        <f>J141&amp;C141</f>
        <v/>
      </c>
      <c r="C141" s="241">
        <f>IFERROR(IF(I141="Home","Away",IF(I141="Away","Home","")),"")</f>
        <v/>
      </c>
      <c r="D141" s="242">
        <f>H141</f>
        <v/>
      </c>
      <c r="E141" s="157">
        <f>IFERROR(IF(AND(F141&gt;0,T141&gt;V141),"Yes",IF(AND(F141&gt;0,T141&lt;V141),"No",IF(AND(F141&lt;0,T141&lt;V141),"Yes",IF(AND(F141&lt;0,T141&gt;V141),"No",0)))),"")</f>
        <v/>
      </c>
      <c r="F141" s="263">
        <f>IFERROR((N141/MAX(N:N)*_MOVw)+(O141/MAX(O:O)*_WINw)+(P141/MAX(P:P)*_PPGw)+(Q141/MAX(Q:Q)*_ORw)+(R141/MAX(R:R)*_DRw),"")</f>
        <v/>
      </c>
      <c r="N141" s="156">
        <f>IFERROR(VLOOKUP(H141,Matrix!A:AC,12,0)-VLOOKUP(J141,Matrix!A:AC,12,0),"")</f>
        <v/>
      </c>
      <c r="O141" s="182">
        <f>IFERROR(AVERAGEIFS(2025Schedule!O:O,2025Schedule!E:E,H141,2025Schedule!N:N,A141)-AVERAGEIFS(2025Schedule!O:O,2025Schedule!E:E,J141,2025Schedule!N:N,B141),0)</f>
        <v/>
      </c>
      <c r="P141" s="156">
        <f>IFERROR(VLOOKUP(H141,Matrix!A:D,2,0)-VLOOKUP(J141,Matrix!A:D,2,0),"")</f>
        <v/>
      </c>
      <c r="Q141" s="156">
        <f>IFERROR(VLOOKUP(H141,Matrix!A:AC,15,0)-VLOOKUP(J141,Matrix!A:AC,15,0),"")</f>
        <v/>
      </c>
      <c r="R141" s="156">
        <f>IFERROR(VLOOKUP(H141,Matrix!A:AC,16,0)-VLOOKUP(J141,Matrix!A:AC,16,0),"")</f>
        <v/>
      </c>
      <c r="S141" s="195">
        <f>H141</f>
        <v/>
      </c>
      <c r="T141" s="195">
        <f>IFERROR(VLOOKUP(G141&amp;H141,2025Schedule!A:F,6,0),"")</f>
        <v/>
      </c>
      <c r="U141" s="264">
        <f>J141</f>
        <v/>
      </c>
      <c r="V141" s="195">
        <f>IFERROR(VLOOKUP(G141&amp;J141,2025Schedule!A:F,6,0),"")</f>
        <v/>
      </c>
    </row>
    <row r="142" ht="14.4" customHeight="1" s="152">
      <c r="A142" s="241">
        <f>H142&amp;I142</f>
        <v/>
      </c>
      <c r="B142" s="241">
        <f>J142&amp;C142</f>
        <v/>
      </c>
      <c r="C142" s="241">
        <f>IFERROR(IF(I142="Home","Away",IF(I142="Away","Home","")),"")</f>
        <v/>
      </c>
      <c r="D142" s="242">
        <f>H142</f>
        <v/>
      </c>
      <c r="E142" s="157">
        <f>IFERROR(IF(AND(F142&gt;0,T142&gt;V142),"Yes",IF(AND(F142&gt;0,T142&lt;V142),"No",IF(AND(F142&lt;0,T142&lt;V142),"Yes",IF(AND(F142&lt;0,T142&gt;V142),"No",0)))),"")</f>
        <v/>
      </c>
      <c r="F142" s="263">
        <f>IFERROR((N142/MAX(N:N)*_MOVw)+(O142/MAX(O:O)*_WINw)+(P142/MAX(P:P)*_PPGw)+(Q142/MAX(Q:Q)*_ORw)+(R142/MAX(R:R)*_DRw),"")</f>
        <v/>
      </c>
      <c r="N142" s="156">
        <f>IFERROR(VLOOKUP(H142,Matrix!A:AC,12,0)-VLOOKUP(J142,Matrix!A:AC,12,0),"")</f>
        <v/>
      </c>
      <c r="O142" s="182">
        <f>IFERROR(AVERAGEIFS(2025Schedule!O:O,2025Schedule!E:E,H142,2025Schedule!N:N,A142)-AVERAGEIFS(2025Schedule!O:O,2025Schedule!E:E,J142,2025Schedule!N:N,B142),0)</f>
        <v/>
      </c>
      <c r="P142" s="156">
        <f>IFERROR(VLOOKUP(H142,Matrix!A:D,2,0)-VLOOKUP(J142,Matrix!A:D,2,0),"")</f>
        <v/>
      </c>
      <c r="Q142" s="156">
        <f>IFERROR(VLOOKUP(H142,Matrix!A:AC,15,0)-VLOOKUP(J142,Matrix!A:AC,15,0),"")</f>
        <v/>
      </c>
      <c r="R142" s="156">
        <f>IFERROR(VLOOKUP(H142,Matrix!A:AC,16,0)-VLOOKUP(J142,Matrix!A:AC,16,0),"")</f>
        <v/>
      </c>
      <c r="S142" s="195">
        <f>H142</f>
        <v/>
      </c>
      <c r="T142" s="195">
        <f>IFERROR(VLOOKUP(G142&amp;H142,2025Schedule!A:F,6,0),"")</f>
        <v/>
      </c>
      <c r="U142" s="264">
        <f>J142</f>
        <v/>
      </c>
      <c r="V142" s="195">
        <f>IFERROR(VLOOKUP(G142&amp;J142,2025Schedule!A:F,6,0),"")</f>
        <v/>
      </c>
    </row>
    <row r="143" ht="14.4" customHeight="1" s="152">
      <c r="A143" s="241">
        <f>H143&amp;I143</f>
        <v/>
      </c>
      <c r="B143" s="241">
        <f>J143&amp;C143</f>
        <v/>
      </c>
      <c r="C143" s="241">
        <f>IFERROR(IF(I143="Home","Away",IF(I143="Away","Home","")),"")</f>
        <v/>
      </c>
      <c r="D143" s="242">
        <f>H143</f>
        <v/>
      </c>
      <c r="E143" s="157">
        <f>IFERROR(IF(AND(F143&gt;0,T143&gt;V143),"Yes",IF(AND(F143&gt;0,T143&lt;V143),"No",IF(AND(F143&lt;0,T143&lt;V143),"Yes",IF(AND(F143&lt;0,T143&gt;V143),"No",0)))),"")</f>
        <v/>
      </c>
      <c r="F143" s="263">
        <f>IFERROR((N143/MAX(N:N)*_MOVw)+(O143/MAX(O:O)*_WINw)+(P143/MAX(P:P)*_PPGw)+(Q143/MAX(Q:Q)*_ORw)+(R143/MAX(R:R)*_DRw),"")</f>
        <v/>
      </c>
      <c r="N143" s="156">
        <f>IFERROR(VLOOKUP(H143,Matrix!A:AC,12,0)-VLOOKUP(J143,Matrix!A:AC,12,0),"")</f>
        <v/>
      </c>
      <c r="O143" s="182">
        <f>IFERROR(AVERAGEIFS(2025Schedule!O:O,2025Schedule!E:E,H143,2025Schedule!N:N,A143)-AVERAGEIFS(2025Schedule!O:O,2025Schedule!E:E,J143,2025Schedule!N:N,B143),0)</f>
        <v/>
      </c>
      <c r="P143" s="156">
        <f>IFERROR(VLOOKUP(H143,Matrix!A:D,2,0)-VLOOKUP(J143,Matrix!A:D,2,0),"")</f>
        <v/>
      </c>
      <c r="Q143" s="156">
        <f>IFERROR(VLOOKUP(H143,Matrix!A:AC,15,0)-VLOOKUP(J143,Matrix!A:AC,15,0),"")</f>
        <v/>
      </c>
      <c r="R143" s="156">
        <f>IFERROR(VLOOKUP(H143,Matrix!A:AC,16,0)-VLOOKUP(J143,Matrix!A:AC,16,0),"")</f>
        <v/>
      </c>
      <c r="S143" s="195">
        <f>H143</f>
        <v/>
      </c>
      <c r="T143" s="195">
        <f>IFERROR(VLOOKUP(G143&amp;H143,2025Schedule!A:F,6,0),"")</f>
        <v/>
      </c>
      <c r="U143" s="264">
        <f>J143</f>
        <v/>
      </c>
      <c r="V143" s="195">
        <f>IFERROR(VLOOKUP(G143&amp;J143,2025Schedule!A:F,6,0),"")</f>
        <v/>
      </c>
    </row>
    <row r="144" ht="14.4" customHeight="1" s="152">
      <c r="A144" s="241">
        <f>H144&amp;I144</f>
        <v/>
      </c>
      <c r="B144" s="241">
        <f>J144&amp;C144</f>
        <v/>
      </c>
      <c r="C144" s="241">
        <f>IFERROR(IF(I144="Home","Away",IF(I144="Away","Home","")),"")</f>
        <v/>
      </c>
      <c r="D144" s="242">
        <f>H144</f>
        <v/>
      </c>
      <c r="E144" s="157">
        <f>IFERROR(IF(AND(F144&gt;0,T144&gt;V144),"Yes",IF(AND(F144&gt;0,T144&lt;V144),"No",IF(AND(F144&lt;0,T144&lt;V144),"Yes",IF(AND(F144&lt;0,T144&gt;V144),"No",0)))),"")</f>
        <v/>
      </c>
      <c r="F144" s="263">
        <f>IFERROR((N144/MAX(N:N)*_MOVw)+(O144/MAX(O:O)*_WINw)+(P144/MAX(P:P)*_PPGw)+(Q144/MAX(Q:Q)*_ORw)+(R144/MAX(R:R)*_DRw),"")</f>
        <v/>
      </c>
      <c r="N144" s="156">
        <f>IFERROR(VLOOKUP(H144,Matrix!A:AC,12,0)-VLOOKUP(J144,Matrix!A:AC,12,0),"")</f>
        <v/>
      </c>
      <c r="O144" s="182">
        <f>IFERROR(AVERAGEIFS(2025Schedule!O:O,2025Schedule!E:E,H144,2025Schedule!N:N,A144)-AVERAGEIFS(2025Schedule!O:O,2025Schedule!E:E,J144,2025Schedule!N:N,B144),0)</f>
        <v/>
      </c>
      <c r="P144" s="156">
        <f>IFERROR(VLOOKUP(H144,Matrix!A:D,2,0)-VLOOKUP(J144,Matrix!A:D,2,0),"")</f>
        <v/>
      </c>
      <c r="Q144" s="156">
        <f>IFERROR(VLOOKUP(H144,Matrix!A:AC,15,0)-VLOOKUP(J144,Matrix!A:AC,15,0),"")</f>
        <v/>
      </c>
      <c r="R144" s="156">
        <f>IFERROR(VLOOKUP(H144,Matrix!A:AC,16,0)-VLOOKUP(J144,Matrix!A:AC,16,0),"")</f>
        <v/>
      </c>
      <c r="S144" s="195">
        <f>H144</f>
        <v/>
      </c>
      <c r="T144" s="195">
        <f>IFERROR(VLOOKUP(G144&amp;H144,2025Schedule!A:F,6,0),"")</f>
        <v/>
      </c>
      <c r="U144" s="264">
        <f>J144</f>
        <v/>
      </c>
      <c r="V144" s="195">
        <f>IFERROR(VLOOKUP(G144&amp;J144,2025Schedule!A:F,6,0),"")</f>
        <v/>
      </c>
    </row>
    <row r="145" ht="14.4" customHeight="1" s="152">
      <c r="A145" s="241">
        <f>H145&amp;I145</f>
        <v/>
      </c>
      <c r="B145" s="241">
        <f>J145&amp;C145</f>
        <v/>
      </c>
      <c r="C145" s="241">
        <f>IFERROR(IF(I145="Home","Away",IF(I145="Away","Home","")),"")</f>
        <v/>
      </c>
      <c r="D145" s="242">
        <f>H145</f>
        <v/>
      </c>
      <c r="E145" s="157">
        <f>IFERROR(IF(AND(F145&gt;0,T145&gt;V145),"Yes",IF(AND(F145&gt;0,T145&lt;V145),"No",IF(AND(F145&lt;0,T145&lt;V145),"Yes",IF(AND(F145&lt;0,T145&gt;V145),"No",0)))),"")</f>
        <v/>
      </c>
      <c r="F145" s="263">
        <f>IFERROR((N145/MAX(N:N)*_MOVw)+(O145/MAX(O:O)*_WINw)+(P145/MAX(P:P)*_PPGw)+(Q145/MAX(Q:Q)*_ORw)+(R145/MAX(R:R)*_DRw),"")</f>
        <v/>
      </c>
      <c r="N145" s="156">
        <f>IFERROR(VLOOKUP(H145,Matrix!A:AC,12,0)-VLOOKUP(J145,Matrix!A:AC,12,0),"")</f>
        <v/>
      </c>
      <c r="O145" s="182">
        <f>IFERROR(AVERAGEIFS(2025Schedule!O:O,2025Schedule!E:E,H145,2025Schedule!N:N,A145)-AVERAGEIFS(2025Schedule!O:O,2025Schedule!E:E,J145,2025Schedule!N:N,B145),0)</f>
        <v/>
      </c>
      <c r="P145" s="156">
        <f>IFERROR(VLOOKUP(H145,Matrix!A:D,2,0)-VLOOKUP(J145,Matrix!A:D,2,0),"")</f>
        <v/>
      </c>
      <c r="Q145" s="156">
        <f>IFERROR(VLOOKUP(H145,Matrix!A:AC,15,0)-VLOOKUP(J145,Matrix!A:AC,15,0),"")</f>
        <v/>
      </c>
      <c r="R145" s="156">
        <f>IFERROR(VLOOKUP(H145,Matrix!A:AC,16,0)-VLOOKUP(J145,Matrix!A:AC,16,0),"")</f>
        <v/>
      </c>
      <c r="S145" s="195">
        <f>H145</f>
        <v/>
      </c>
      <c r="T145" s="195">
        <f>IFERROR(VLOOKUP(G145&amp;H145,2025Schedule!A:F,6,0),"")</f>
        <v/>
      </c>
      <c r="U145" s="264">
        <f>J145</f>
        <v/>
      </c>
      <c r="V145" s="195">
        <f>IFERROR(VLOOKUP(G145&amp;J145,2025Schedule!A:F,6,0),"")</f>
        <v/>
      </c>
    </row>
    <row r="146" ht="14.4" customHeight="1" s="152">
      <c r="A146" s="241">
        <f>H146&amp;I146</f>
        <v/>
      </c>
      <c r="B146" s="241">
        <f>J146&amp;C146</f>
        <v/>
      </c>
      <c r="C146" s="241">
        <f>IFERROR(IF(I146="Home","Away",IF(I146="Away","Home","")),"")</f>
        <v/>
      </c>
      <c r="D146" s="242">
        <f>H146</f>
        <v/>
      </c>
      <c r="E146" s="157">
        <f>IFERROR(IF(AND(F146&gt;0,T146&gt;V146),"Yes",IF(AND(F146&gt;0,T146&lt;V146),"No",IF(AND(F146&lt;0,T146&lt;V146),"Yes",IF(AND(F146&lt;0,T146&gt;V146),"No",0)))),"")</f>
        <v/>
      </c>
      <c r="F146" s="263">
        <f>IFERROR((N146/MAX(N:N)*_MOVw)+(O146/MAX(O:O)*_WINw)+(P146/MAX(P:P)*_PPGw)+(Q146/MAX(Q:Q)*_ORw)+(R146/MAX(R:R)*_DRw),"")</f>
        <v/>
      </c>
      <c r="N146" s="156">
        <f>IFERROR(VLOOKUP(H146,Matrix!A:AC,12,0)-VLOOKUP(J146,Matrix!A:AC,12,0),"")</f>
        <v/>
      </c>
      <c r="O146" s="182">
        <f>IFERROR(AVERAGEIFS(2025Schedule!O:O,2025Schedule!E:E,H146,2025Schedule!N:N,A146)-AVERAGEIFS(2025Schedule!O:O,2025Schedule!E:E,J146,2025Schedule!N:N,B146),0)</f>
        <v/>
      </c>
      <c r="P146" s="156">
        <f>IFERROR(VLOOKUP(H146,Matrix!A:D,2,0)-VLOOKUP(J146,Matrix!A:D,2,0),"")</f>
        <v/>
      </c>
      <c r="Q146" s="156">
        <f>IFERROR(VLOOKUP(H146,Matrix!A:AC,15,0)-VLOOKUP(J146,Matrix!A:AC,15,0),"")</f>
        <v/>
      </c>
      <c r="R146" s="156">
        <f>IFERROR(VLOOKUP(H146,Matrix!A:AC,16,0)-VLOOKUP(J146,Matrix!A:AC,16,0),"")</f>
        <v/>
      </c>
      <c r="S146" s="195">
        <f>H146</f>
        <v/>
      </c>
      <c r="T146" s="195">
        <f>IFERROR(VLOOKUP(G146&amp;H146,2025Schedule!A:F,6,0),"")</f>
        <v/>
      </c>
      <c r="U146" s="264">
        <f>J146</f>
        <v/>
      </c>
      <c r="V146" s="195">
        <f>IFERROR(VLOOKUP(G146&amp;J146,2025Schedule!A:F,6,0),"")</f>
        <v/>
      </c>
    </row>
    <row r="147" ht="14.4" customHeight="1" s="152">
      <c r="A147" s="241">
        <f>H147&amp;I147</f>
        <v/>
      </c>
      <c r="B147" s="241">
        <f>J147&amp;C147</f>
        <v/>
      </c>
      <c r="C147" s="241">
        <f>IFERROR(IF(I147="Home","Away",IF(I147="Away","Home","")),"")</f>
        <v/>
      </c>
      <c r="D147" s="242">
        <f>H147</f>
        <v/>
      </c>
      <c r="E147" s="157">
        <f>IFERROR(IF(AND(F147&gt;0,T147&gt;V147),"Yes",IF(AND(F147&gt;0,T147&lt;V147),"No",IF(AND(F147&lt;0,T147&lt;V147),"Yes",IF(AND(F147&lt;0,T147&gt;V147),"No",0)))),"")</f>
        <v/>
      </c>
      <c r="F147" s="263">
        <f>IFERROR((N147/MAX(N:N)*_MOVw)+(O147/MAX(O:O)*_WINw)+(P147/MAX(P:P)*_PPGw)+(Q147/MAX(Q:Q)*_ORw)+(R147/MAX(R:R)*_DRw),"")</f>
        <v/>
      </c>
      <c r="N147" s="156">
        <f>IFERROR(VLOOKUP(H147,Matrix!A:AC,12,0)-VLOOKUP(J147,Matrix!A:AC,12,0),"")</f>
        <v/>
      </c>
      <c r="O147" s="182">
        <f>IFERROR(AVERAGEIFS(2025Schedule!O:O,2025Schedule!E:E,H147,2025Schedule!N:N,A147)-AVERAGEIFS(2025Schedule!O:O,2025Schedule!E:E,J147,2025Schedule!N:N,B147),0)</f>
        <v/>
      </c>
      <c r="P147" s="156">
        <f>IFERROR(VLOOKUP(H147,Matrix!A:D,2,0)-VLOOKUP(J147,Matrix!A:D,2,0),"")</f>
        <v/>
      </c>
      <c r="Q147" s="156">
        <f>IFERROR(VLOOKUP(H147,Matrix!A:AC,15,0)-VLOOKUP(J147,Matrix!A:AC,15,0),"")</f>
        <v/>
      </c>
      <c r="R147" s="156">
        <f>IFERROR(VLOOKUP(H147,Matrix!A:AC,16,0)-VLOOKUP(J147,Matrix!A:AC,16,0),"")</f>
        <v/>
      </c>
      <c r="S147" s="195">
        <f>H147</f>
        <v/>
      </c>
      <c r="T147" s="195">
        <f>IFERROR(VLOOKUP(G147&amp;H147,2025Schedule!A:F,6,0),"")</f>
        <v/>
      </c>
      <c r="U147" s="264">
        <f>J147</f>
        <v/>
      </c>
      <c r="V147" s="195">
        <f>IFERROR(VLOOKUP(G147&amp;J147,2025Schedule!A:F,6,0),"")</f>
        <v/>
      </c>
    </row>
    <row r="148" ht="14.4" customHeight="1" s="152">
      <c r="A148" s="241">
        <f>H148&amp;I148</f>
        <v/>
      </c>
      <c r="B148" s="241">
        <f>J148&amp;C148</f>
        <v/>
      </c>
      <c r="C148" s="241">
        <f>IFERROR(IF(I148="Home","Away",IF(I148="Away","Home","")),"")</f>
        <v/>
      </c>
      <c r="D148" s="242">
        <f>H148</f>
        <v/>
      </c>
      <c r="E148" s="157">
        <f>IFERROR(IF(AND(F148&gt;0,T148&gt;V148),"Yes",IF(AND(F148&gt;0,T148&lt;V148),"No",IF(AND(F148&lt;0,T148&lt;V148),"Yes",IF(AND(F148&lt;0,T148&gt;V148),"No",0)))),"")</f>
        <v/>
      </c>
      <c r="F148" s="263">
        <f>IFERROR((N148/MAX(N:N)*_MOVw)+(O148/MAX(O:O)*_WINw)+(P148/MAX(P:P)*_PPGw)+(Q148/MAX(Q:Q)*_ORw)+(R148/MAX(R:R)*_DRw),"")</f>
        <v/>
      </c>
      <c r="N148" s="156">
        <f>IFERROR(VLOOKUP(H148,Matrix!A:AC,12,0)-VLOOKUP(J148,Matrix!A:AC,12,0),"")</f>
        <v/>
      </c>
      <c r="O148" s="182">
        <f>IFERROR(AVERAGEIFS(2025Schedule!O:O,2025Schedule!E:E,H148,2025Schedule!N:N,A148)-AVERAGEIFS(2025Schedule!O:O,2025Schedule!E:E,J148,2025Schedule!N:N,B148),0)</f>
        <v/>
      </c>
      <c r="P148" s="156">
        <f>IFERROR(VLOOKUP(H148,Matrix!A:D,2,0)-VLOOKUP(J148,Matrix!A:D,2,0),"")</f>
        <v/>
      </c>
      <c r="Q148" s="156">
        <f>IFERROR(VLOOKUP(H148,Matrix!A:AC,15,0)-VLOOKUP(J148,Matrix!A:AC,15,0),"")</f>
        <v/>
      </c>
      <c r="R148" s="156">
        <f>IFERROR(VLOOKUP(H148,Matrix!A:AC,16,0)-VLOOKUP(J148,Matrix!A:AC,16,0),"")</f>
        <v/>
      </c>
      <c r="S148" s="195">
        <f>H148</f>
        <v/>
      </c>
      <c r="T148" s="195">
        <f>IFERROR(VLOOKUP(G148&amp;H148,2025Schedule!A:F,6,0),"")</f>
        <v/>
      </c>
      <c r="U148" s="264">
        <f>J148</f>
        <v/>
      </c>
      <c r="V148" s="195">
        <f>IFERROR(VLOOKUP(G148&amp;J148,2025Schedule!A:F,6,0),"")</f>
        <v/>
      </c>
    </row>
    <row r="149" ht="14.4" customHeight="1" s="152">
      <c r="A149" s="241">
        <f>H149&amp;I149</f>
        <v/>
      </c>
      <c r="B149" s="241">
        <f>J149&amp;C149</f>
        <v/>
      </c>
      <c r="C149" s="241">
        <f>IFERROR(IF(I149="Home","Away",IF(I149="Away","Home","")),"")</f>
        <v/>
      </c>
      <c r="D149" s="242">
        <f>H149</f>
        <v/>
      </c>
      <c r="E149" s="157">
        <f>IFERROR(IF(AND(F149&gt;0,T149&gt;V149),"Yes",IF(AND(F149&gt;0,T149&lt;V149),"No",IF(AND(F149&lt;0,T149&lt;V149),"Yes",IF(AND(F149&lt;0,T149&gt;V149),"No",0)))),"")</f>
        <v/>
      </c>
      <c r="F149" s="263">
        <f>IFERROR((N149/MAX(N:N)*_MOVw)+(O149/MAX(O:O)*_WINw)+(P149/MAX(P:P)*_PPGw)+(Q149/MAX(Q:Q)*_ORw)+(R149/MAX(R:R)*_DRw),"")</f>
        <v/>
      </c>
      <c r="N149" s="156">
        <f>IFERROR(VLOOKUP(H149,Matrix!A:AC,12,0)-VLOOKUP(J149,Matrix!A:AC,12,0),"")</f>
        <v/>
      </c>
      <c r="O149" s="182">
        <f>IFERROR(AVERAGEIFS(2025Schedule!O:O,2025Schedule!E:E,H149,2025Schedule!N:N,A149)-AVERAGEIFS(2025Schedule!O:O,2025Schedule!E:E,J149,2025Schedule!N:N,B149),0)</f>
        <v/>
      </c>
      <c r="P149" s="156">
        <f>IFERROR(VLOOKUP(H149,Matrix!A:D,2,0)-VLOOKUP(J149,Matrix!A:D,2,0),"")</f>
        <v/>
      </c>
      <c r="Q149" s="156">
        <f>IFERROR(VLOOKUP(H149,Matrix!A:AC,15,0)-VLOOKUP(J149,Matrix!A:AC,15,0),"")</f>
        <v/>
      </c>
      <c r="R149" s="156">
        <f>IFERROR(VLOOKUP(H149,Matrix!A:AC,16,0)-VLOOKUP(J149,Matrix!A:AC,16,0),"")</f>
        <v/>
      </c>
      <c r="S149" s="195">
        <f>H149</f>
        <v/>
      </c>
      <c r="T149" s="195">
        <f>IFERROR(VLOOKUP(G149&amp;H149,2025Schedule!A:F,6,0),"")</f>
        <v/>
      </c>
      <c r="U149" s="264">
        <f>J149</f>
        <v/>
      </c>
      <c r="V149" s="195">
        <f>IFERROR(VLOOKUP(G149&amp;J149,2025Schedule!A:F,6,0),"")</f>
        <v/>
      </c>
    </row>
    <row r="150" ht="14.4" customHeight="1" s="152">
      <c r="A150" s="241">
        <f>H150&amp;I150</f>
        <v/>
      </c>
      <c r="B150" s="241">
        <f>J150&amp;C150</f>
        <v/>
      </c>
      <c r="C150" s="241">
        <f>IFERROR(IF(I150="Home","Away",IF(I150="Away","Home","")),"")</f>
        <v/>
      </c>
      <c r="D150" s="242">
        <f>H150</f>
        <v/>
      </c>
      <c r="E150" s="157">
        <f>IFERROR(IF(AND(F150&gt;0,T150&gt;V150),"Yes",IF(AND(F150&gt;0,T150&lt;V150),"No",IF(AND(F150&lt;0,T150&lt;V150),"Yes",IF(AND(F150&lt;0,T150&gt;V150),"No",0)))),"")</f>
        <v/>
      </c>
      <c r="F150" s="263">
        <f>IFERROR((N150/MAX(N:N)*_MOVw)+(O150/MAX(O:O)*_WINw)+(P150/MAX(P:P)*_PPGw)+(Q150/MAX(Q:Q)*_ORw)+(R150/MAX(R:R)*_DRw),"")</f>
        <v/>
      </c>
      <c r="N150" s="156">
        <f>IFERROR(VLOOKUP(H150,Matrix!A:AC,12,0)-VLOOKUP(J150,Matrix!A:AC,12,0),"")</f>
        <v/>
      </c>
      <c r="O150" s="182">
        <f>IFERROR(AVERAGEIFS(2025Schedule!O:O,2025Schedule!E:E,H150,2025Schedule!N:N,A150)-AVERAGEIFS(2025Schedule!O:O,2025Schedule!E:E,J150,2025Schedule!N:N,B150),0)</f>
        <v/>
      </c>
      <c r="P150" s="156">
        <f>IFERROR(VLOOKUP(H150,Matrix!A:D,2,0)-VLOOKUP(J150,Matrix!A:D,2,0),"")</f>
        <v/>
      </c>
      <c r="Q150" s="156">
        <f>IFERROR(VLOOKUP(H150,Matrix!A:AC,15,0)-VLOOKUP(J150,Matrix!A:AC,15,0),"")</f>
        <v/>
      </c>
      <c r="R150" s="156">
        <f>IFERROR(VLOOKUP(H150,Matrix!A:AC,16,0)-VLOOKUP(J150,Matrix!A:AC,16,0),"")</f>
        <v/>
      </c>
      <c r="S150" s="195">
        <f>H150</f>
        <v/>
      </c>
      <c r="T150" s="195">
        <f>IFERROR(VLOOKUP(G150&amp;H150,2025Schedule!A:F,6,0),"")</f>
        <v/>
      </c>
      <c r="U150" s="264">
        <f>J150</f>
        <v/>
      </c>
      <c r="V150" s="195">
        <f>IFERROR(VLOOKUP(G150&amp;J150,2025Schedule!A:F,6,0),"")</f>
        <v/>
      </c>
    </row>
    <row r="151" ht="14.4" customHeight="1" s="152">
      <c r="A151" s="241">
        <f>H151&amp;I151</f>
        <v/>
      </c>
      <c r="B151" s="241">
        <f>J151&amp;C151</f>
        <v/>
      </c>
      <c r="C151" s="241">
        <f>IFERROR(IF(I151="Home","Away",IF(I151="Away","Home","")),"")</f>
        <v/>
      </c>
      <c r="D151" s="242">
        <f>H151</f>
        <v/>
      </c>
      <c r="E151" s="157">
        <f>IFERROR(IF(AND(F151&gt;0,T151&gt;V151),"Yes",IF(AND(F151&gt;0,T151&lt;V151),"No",IF(AND(F151&lt;0,T151&lt;V151),"Yes",IF(AND(F151&lt;0,T151&gt;V151),"No",0)))),"")</f>
        <v/>
      </c>
      <c r="F151" s="263">
        <f>IFERROR((N151/MAX(N:N)*_MOVw)+(O151/MAX(O:O)*_WINw)+(P151/MAX(P:P)*_PPGw)+(Q151/MAX(Q:Q)*_ORw)+(R151/MAX(R:R)*_DRw),"")</f>
        <v/>
      </c>
      <c r="N151" s="156">
        <f>IFERROR(VLOOKUP(H151,Matrix!A:AC,12,0)-VLOOKUP(J151,Matrix!A:AC,12,0),"")</f>
        <v/>
      </c>
      <c r="O151" s="182">
        <f>IFERROR(AVERAGEIFS(2025Schedule!O:O,2025Schedule!E:E,H151,2025Schedule!N:N,A151)-AVERAGEIFS(2025Schedule!O:O,2025Schedule!E:E,J151,2025Schedule!N:N,B151),0)</f>
        <v/>
      </c>
      <c r="P151" s="156">
        <f>IFERROR(VLOOKUP(H151,Matrix!A:D,2,0)-VLOOKUP(J151,Matrix!A:D,2,0),"")</f>
        <v/>
      </c>
      <c r="Q151" s="156">
        <f>IFERROR(VLOOKUP(H151,Matrix!A:AC,15,0)-VLOOKUP(J151,Matrix!A:AC,15,0),"")</f>
        <v/>
      </c>
      <c r="R151" s="156">
        <f>IFERROR(VLOOKUP(H151,Matrix!A:AC,16,0)-VLOOKUP(J151,Matrix!A:AC,16,0),"")</f>
        <v/>
      </c>
      <c r="S151" s="195">
        <f>H151</f>
        <v/>
      </c>
      <c r="T151" s="195">
        <f>IFERROR(VLOOKUP(G151&amp;H151,2025Schedule!A:F,6,0),"")</f>
        <v/>
      </c>
      <c r="U151" s="264">
        <f>J151</f>
        <v/>
      </c>
      <c r="V151" s="195">
        <f>IFERROR(VLOOKUP(G151&amp;J151,2025Schedule!A:F,6,0),"")</f>
        <v/>
      </c>
    </row>
    <row r="152" ht="14.4" customHeight="1" s="152">
      <c r="A152" s="241">
        <f>H152&amp;I152</f>
        <v/>
      </c>
      <c r="B152" s="241">
        <f>J152&amp;C152</f>
        <v/>
      </c>
      <c r="C152" s="241">
        <f>IFERROR(IF(I152="Home","Away",IF(I152="Away","Home","")),"")</f>
        <v/>
      </c>
      <c r="D152" s="242">
        <f>H152</f>
        <v/>
      </c>
      <c r="E152" s="157">
        <f>IFERROR(IF(AND(F152&gt;0,T152&gt;V152),"Yes",IF(AND(F152&gt;0,T152&lt;V152),"No",IF(AND(F152&lt;0,T152&lt;V152),"Yes",IF(AND(F152&lt;0,T152&gt;V152),"No",0)))),"")</f>
        <v/>
      </c>
      <c r="F152" s="263">
        <f>IFERROR((N152/MAX(N:N)*_MOVw)+(O152/MAX(O:O)*_WINw)+(P152/MAX(P:P)*_PPGw)+(Q152/MAX(Q:Q)*_ORw)+(R152/MAX(R:R)*_DRw),"")</f>
        <v/>
      </c>
      <c r="N152" s="156">
        <f>IFERROR(VLOOKUP(H152,Matrix!A:AC,12,0)-VLOOKUP(J152,Matrix!A:AC,12,0),"")</f>
        <v/>
      </c>
      <c r="O152" s="182">
        <f>IFERROR(AVERAGEIFS(2025Schedule!O:O,2025Schedule!E:E,H152,2025Schedule!N:N,A152)-AVERAGEIFS(2025Schedule!O:O,2025Schedule!E:E,J152,2025Schedule!N:N,B152),0)</f>
        <v/>
      </c>
      <c r="P152" s="156">
        <f>IFERROR(VLOOKUP(H152,Matrix!A:D,2,0)-VLOOKUP(J152,Matrix!A:D,2,0),"")</f>
        <v/>
      </c>
      <c r="Q152" s="156">
        <f>IFERROR(VLOOKUP(H152,Matrix!A:AC,15,0)-VLOOKUP(J152,Matrix!A:AC,15,0),"")</f>
        <v/>
      </c>
      <c r="R152" s="156">
        <f>IFERROR(VLOOKUP(H152,Matrix!A:AC,16,0)-VLOOKUP(J152,Matrix!A:AC,16,0),"")</f>
        <v/>
      </c>
      <c r="S152" s="195">
        <f>H152</f>
        <v/>
      </c>
      <c r="T152" s="195">
        <f>IFERROR(VLOOKUP(G152&amp;H152,2025Schedule!A:F,6,0),"")</f>
        <v/>
      </c>
      <c r="U152" s="264">
        <f>J152</f>
        <v/>
      </c>
      <c r="V152" s="195">
        <f>IFERROR(VLOOKUP(G152&amp;J152,2025Schedule!A:F,6,0),"")</f>
        <v/>
      </c>
    </row>
    <row r="153" ht="14.4" customHeight="1" s="152">
      <c r="A153" s="241">
        <f>H153&amp;I153</f>
        <v/>
      </c>
      <c r="B153" s="241">
        <f>J153&amp;C153</f>
        <v/>
      </c>
      <c r="C153" s="241">
        <f>IFERROR(IF(I153="Home","Away",IF(I153="Away","Home","")),"")</f>
        <v/>
      </c>
      <c r="D153" s="242">
        <f>H153</f>
        <v/>
      </c>
      <c r="E153" s="157">
        <f>IFERROR(IF(AND(F153&gt;0,T153&gt;V153),"Yes",IF(AND(F153&gt;0,T153&lt;V153),"No",IF(AND(F153&lt;0,T153&lt;V153),"Yes",IF(AND(F153&lt;0,T153&gt;V153),"No",0)))),"")</f>
        <v/>
      </c>
      <c r="F153" s="263">
        <f>IFERROR((N153/MAX(N:N)*_MOVw)+(O153/MAX(O:O)*_WINw)+(P153/MAX(P:P)*_PPGw)+(Q153/MAX(Q:Q)*_ORw)+(R153/MAX(R:R)*_DRw),"")</f>
        <v/>
      </c>
      <c r="N153" s="156">
        <f>IFERROR(VLOOKUP(H153,Matrix!A:AC,12,0)-VLOOKUP(J153,Matrix!A:AC,12,0),"")</f>
        <v/>
      </c>
      <c r="O153" s="182">
        <f>IFERROR(AVERAGEIFS(2025Schedule!O:O,2025Schedule!E:E,H153,2025Schedule!N:N,A153)-AVERAGEIFS(2025Schedule!O:O,2025Schedule!E:E,J153,2025Schedule!N:N,B153),0)</f>
        <v/>
      </c>
      <c r="P153" s="156">
        <f>IFERROR(VLOOKUP(H153,Matrix!A:D,2,0)-VLOOKUP(J153,Matrix!A:D,2,0),"")</f>
        <v/>
      </c>
      <c r="Q153" s="156">
        <f>IFERROR(VLOOKUP(H153,Matrix!A:AC,15,0)-VLOOKUP(J153,Matrix!A:AC,15,0),"")</f>
        <v/>
      </c>
      <c r="R153" s="156">
        <f>IFERROR(VLOOKUP(H153,Matrix!A:AC,16,0)-VLOOKUP(J153,Matrix!A:AC,16,0),"")</f>
        <v/>
      </c>
      <c r="S153" s="195">
        <f>H153</f>
        <v/>
      </c>
      <c r="T153" s="195">
        <f>IFERROR(VLOOKUP(G153&amp;H153,2025Schedule!A:F,6,0),"")</f>
        <v/>
      </c>
      <c r="U153" s="264">
        <f>J153</f>
        <v/>
      </c>
      <c r="V153" s="195">
        <f>IFERROR(VLOOKUP(G153&amp;J153,2025Schedule!A:F,6,0),"")</f>
        <v/>
      </c>
    </row>
    <row r="154" ht="14.4" customHeight="1" s="152">
      <c r="A154" s="241">
        <f>H154&amp;I154</f>
        <v/>
      </c>
      <c r="B154" s="241">
        <f>J154&amp;C154</f>
        <v/>
      </c>
      <c r="C154" s="241">
        <f>IFERROR(IF(I154="Home","Away",IF(I154="Away","Home","")),"")</f>
        <v/>
      </c>
      <c r="D154" s="242">
        <f>H154</f>
        <v/>
      </c>
      <c r="E154" s="157">
        <f>IFERROR(IF(AND(F154&gt;0,T154&gt;V154),"Yes",IF(AND(F154&gt;0,T154&lt;V154),"No",IF(AND(F154&lt;0,T154&lt;V154),"Yes",IF(AND(F154&lt;0,T154&gt;V154),"No",0)))),"")</f>
        <v/>
      </c>
      <c r="F154" s="263">
        <f>IFERROR((N154/MAX(N:N)*_MOVw)+(O154/MAX(O:O)*_WINw)+(P154/MAX(P:P)*_PPGw)+(Q154/MAX(Q:Q)*_ORw)+(R154/MAX(R:R)*_DRw),"")</f>
        <v/>
      </c>
      <c r="N154" s="156">
        <f>IFERROR(VLOOKUP(H154,Matrix!A:AC,12,0)-VLOOKUP(J154,Matrix!A:AC,12,0),"")</f>
        <v/>
      </c>
      <c r="O154" s="182">
        <f>IFERROR(AVERAGEIFS(2025Schedule!O:O,2025Schedule!E:E,H154,2025Schedule!N:N,A154)-AVERAGEIFS(2025Schedule!O:O,2025Schedule!E:E,J154,2025Schedule!N:N,B154),0)</f>
        <v/>
      </c>
      <c r="P154" s="156">
        <f>IFERROR(VLOOKUP(H154,Matrix!A:D,2,0)-VLOOKUP(J154,Matrix!A:D,2,0),"")</f>
        <v/>
      </c>
      <c r="Q154" s="156">
        <f>IFERROR(VLOOKUP(H154,Matrix!A:AC,15,0)-VLOOKUP(J154,Matrix!A:AC,15,0),"")</f>
        <v/>
      </c>
      <c r="R154" s="156">
        <f>IFERROR(VLOOKUP(H154,Matrix!A:AC,16,0)-VLOOKUP(J154,Matrix!A:AC,16,0),"")</f>
        <v/>
      </c>
      <c r="S154" s="195">
        <f>H154</f>
        <v/>
      </c>
      <c r="T154" s="195">
        <f>IFERROR(VLOOKUP(G154&amp;H154,2025Schedule!A:F,6,0),"")</f>
        <v/>
      </c>
      <c r="U154" s="264">
        <f>J154</f>
        <v/>
      </c>
      <c r="V154" s="195">
        <f>IFERROR(VLOOKUP(G154&amp;J154,2025Schedule!A:F,6,0),"")</f>
        <v/>
      </c>
    </row>
    <row r="155" ht="14.4" customHeight="1" s="152">
      <c r="A155" s="241">
        <f>H155&amp;I155</f>
        <v/>
      </c>
      <c r="B155" s="241">
        <f>J155&amp;C155</f>
        <v/>
      </c>
      <c r="C155" s="241">
        <f>IFERROR(IF(I155="Home","Away",IF(I155="Away","Home","")),"")</f>
        <v/>
      </c>
      <c r="D155" s="242">
        <f>H155</f>
        <v/>
      </c>
      <c r="E155" s="157">
        <f>IFERROR(IF(AND(F155&gt;0,T155&gt;V155),"Yes",IF(AND(F155&gt;0,T155&lt;V155),"No",IF(AND(F155&lt;0,T155&lt;V155),"Yes",IF(AND(F155&lt;0,T155&gt;V155),"No",0)))),"")</f>
        <v/>
      </c>
      <c r="F155" s="263">
        <f>IFERROR((N155/MAX(N:N)*_MOVw)+(O155/MAX(O:O)*_WINw)+(P155/MAX(P:P)*_PPGw)+(Q155/MAX(Q:Q)*_ORw)+(R155/MAX(R:R)*_DRw),"")</f>
        <v/>
      </c>
      <c r="N155" s="156">
        <f>IFERROR(VLOOKUP(H155,Matrix!A:AC,12,0)-VLOOKUP(J155,Matrix!A:AC,12,0),"")</f>
        <v/>
      </c>
      <c r="O155" s="182">
        <f>IFERROR(AVERAGEIFS(2025Schedule!O:O,2025Schedule!E:E,H155,2025Schedule!N:N,A155)-AVERAGEIFS(2025Schedule!O:O,2025Schedule!E:E,J155,2025Schedule!N:N,B155),0)</f>
        <v/>
      </c>
      <c r="P155" s="156">
        <f>IFERROR(VLOOKUP(H155,Matrix!A:D,2,0)-VLOOKUP(J155,Matrix!A:D,2,0),"")</f>
        <v/>
      </c>
      <c r="Q155" s="156">
        <f>IFERROR(VLOOKUP(H155,Matrix!A:AC,15,0)-VLOOKUP(J155,Matrix!A:AC,15,0),"")</f>
        <v/>
      </c>
      <c r="R155" s="156">
        <f>IFERROR(VLOOKUP(H155,Matrix!A:AC,16,0)-VLOOKUP(J155,Matrix!A:AC,16,0),"")</f>
        <v/>
      </c>
      <c r="S155" s="195">
        <f>H155</f>
        <v/>
      </c>
      <c r="T155" s="195">
        <f>IFERROR(VLOOKUP(G155&amp;H155,2025Schedule!A:F,6,0),"")</f>
        <v/>
      </c>
      <c r="U155" s="264">
        <f>J155</f>
        <v/>
      </c>
      <c r="V155" s="195">
        <f>IFERROR(VLOOKUP(G155&amp;J155,2025Schedule!A:F,6,0),"")</f>
        <v/>
      </c>
    </row>
    <row r="156" ht="14.4" customHeight="1" s="152">
      <c r="A156" s="241">
        <f>H156&amp;I156</f>
        <v/>
      </c>
      <c r="B156" s="241">
        <f>J156&amp;C156</f>
        <v/>
      </c>
      <c r="C156" s="241">
        <f>IFERROR(IF(I156="Home","Away",IF(I156="Away","Home","")),"")</f>
        <v/>
      </c>
      <c r="D156" s="242">
        <f>H156</f>
        <v/>
      </c>
      <c r="E156" s="157">
        <f>IFERROR(IF(AND(F156&gt;0,T156&gt;V156),"Yes",IF(AND(F156&gt;0,T156&lt;V156),"No",IF(AND(F156&lt;0,T156&lt;V156),"Yes",IF(AND(F156&lt;0,T156&gt;V156),"No",0)))),"")</f>
        <v/>
      </c>
      <c r="F156" s="263">
        <f>IFERROR((N156/MAX(N:N)*_MOVw)+(O156/MAX(O:O)*_WINw)+(P156/MAX(P:P)*_PPGw)+(Q156/MAX(Q:Q)*_ORw)+(R156/MAX(R:R)*_DRw),"")</f>
        <v/>
      </c>
      <c r="N156" s="156">
        <f>IFERROR(VLOOKUP(H156,Matrix!A:AC,12,0)-VLOOKUP(J156,Matrix!A:AC,12,0),"")</f>
        <v/>
      </c>
      <c r="O156" s="182">
        <f>IFERROR(AVERAGEIFS(2025Schedule!O:O,2025Schedule!E:E,H156,2025Schedule!N:N,A156)-AVERAGEIFS(2025Schedule!O:O,2025Schedule!E:E,J156,2025Schedule!N:N,B156),0)</f>
        <v/>
      </c>
      <c r="P156" s="156">
        <f>IFERROR(VLOOKUP(H156,Matrix!A:D,2,0)-VLOOKUP(J156,Matrix!A:D,2,0),"")</f>
        <v/>
      </c>
      <c r="Q156" s="156">
        <f>IFERROR(VLOOKUP(H156,Matrix!A:AC,15,0)-VLOOKUP(J156,Matrix!A:AC,15,0),"")</f>
        <v/>
      </c>
      <c r="R156" s="156">
        <f>IFERROR(VLOOKUP(H156,Matrix!A:AC,16,0)-VLOOKUP(J156,Matrix!A:AC,16,0),"")</f>
        <v/>
      </c>
      <c r="S156" s="195">
        <f>H156</f>
        <v/>
      </c>
      <c r="T156" s="195">
        <f>IFERROR(VLOOKUP(G156&amp;H156,2025Schedule!A:F,6,0),"")</f>
        <v/>
      </c>
      <c r="U156" s="264">
        <f>J156</f>
        <v/>
      </c>
      <c r="V156" s="195">
        <f>IFERROR(VLOOKUP(G156&amp;J156,2025Schedule!A:F,6,0),"")</f>
        <v/>
      </c>
    </row>
    <row r="157" ht="14.4" customHeight="1" s="152">
      <c r="A157" s="241">
        <f>H157&amp;I157</f>
        <v/>
      </c>
      <c r="B157" s="241">
        <f>J157&amp;C157</f>
        <v/>
      </c>
      <c r="C157" s="241">
        <f>IFERROR(IF(I157="Home","Away",IF(I157="Away","Home","")),"")</f>
        <v/>
      </c>
      <c r="D157" s="242">
        <f>H157</f>
        <v/>
      </c>
      <c r="E157" s="157">
        <f>IFERROR(IF(AND(F157&gt;0,T157&gt;V157),"Yes",IF(AND(F157&gt;0,T157&lt;V157),"No",IF(AND(F157&lt;0,T157&lt;V157),"Yes",IF(AND(F157&lt;0,T157&gt;V157),"No",0)))),"")</f>
        <v/>
      </c>
      <c r="F157" s="263">
        <f>IFERROR((N157/MAX(N:N)*_MOVw)+(O157/MAX(O:O)*_WINw)+(P157/MAX(P:P)*_PPGw)+(Q157/MAX(Q:Q)*_ORw)+(R157/MAX(R:R)*_DRw),"")</f>
        <v/>
      </c>
      <c r="N157" s="156">
        <f>IFERROR(VLOOKUP(H157,Matrix!A:AC,12,0)-VLOOKUP(J157,Matrix!A:AC,12,0),"")</f>
        <v/>
      </c>
      <c r="O157" s="182">
        <f>IFERROR(AVERAGEIFS(2025Schedule!O:O,2025Schedule!E:E,H157,2025Schedule!N:N,A157)-AVERAGEIFS(2025Schedule!O:O,2025Schedule!E:E,J157,2025Schedule!N:N,B157),0)</f>
        <v/>
      </c>
      <c r="P157" s="156">
        <f>IFERROR(VLOOKUP(H157,Matrix!A:D,2,0)-VLOOKUP(J157,Matrix!A:D,2,0),"")</f>
        <v/>
      </c>
      <c r="Q157" s="156">
        <f>IFERROR(VLOOKUP(H157,Matrix!A:AC,15,0)-VLOOKUP(J157,Matrix!A:AC,15,0),"")</f>
        <v/>
      </c>
      <c r="R157" s="156">
        <f>IFERROR(VLOOKUP(H157,Matrix!A:AC,16,0)-VLOOKUP(J157,Matrix!A:AC,16,0),"")</f>
        <v/>
      </c>
      <c r="S157" s="195">
        <f>H157</f>
        <v/>
      </c>
      <c r="T157" s="195">
        <f>IFERROR(VLOOKUP(G157&amp;H157,2025Schedule!A:F,6,0),"")</f>
        <v/>
      </c>
      <c r="U157" s="264">
        <f>J157</f>
        <v/>
      </c>
      <c r="V157" s="195">
        <f>IFERROR(VLOOKUP(G157&amp;J157,2025Schedule!A:F,6,0),"")</f>
        <v/>
      </c>
    </row>
    <row r="158" ht="14.4" customHeight="1" s="152">
      <c r="A158" s="241">
        <f>H158&amp;I158</f>
        <v/>
      </c>
      <c r="B158" s="241">
        <f>J158&amp;C158</f>
        <v/>
      </c>
      <c r="C158" s="241">
        <f>IFERROR(IF(I158="Home","Away",IF(I158="Away","Home","")),"")</f>
        <v/>
      </c>
      <c r="D158" s="242">
        <f>H158</f>
        <v/>
      </c>
      <c r="E158" s="157">
        <f>IFERROR(IF(AND(F158&gt;0,T158&gt;V158),"Yes",IF(AND(F158&gt;0,T158&lt;V158),"No",IF(AND(F158&lt;0,T158&lt;V158),"Yes",IF(AND(F158&lt;0,T158&gt;V158),"No",0)))),"")</f>
        <v/>
      </c>
      <c r="F158" s="263">
        <f>IFERROR((N158/MAX(N:N)*_MOVw)+(O158/MAX(O:O)*_WINw)+(P158/MAX(P:P)*_PPGw)+(Q158/MAX(Q:Q)*_ORw)+(R158/MAX(R:R)*_DRw),"")</f>
        <v/>
      </c>
      <c r="N158" s="156">
        <f>IFERROR(VLOOKUP(H158,Matrix!A:AC,12,0)-VLOOKUP(J158,Matrix!A:AC,12,0),"")</f>
        <v/>
      </c>
      <c r="O158" s="182">
        <f>IFERROR(AVERAGEIFS(2025Schedule!O:O,2025Schedule!E:E,H158,2025Schedule!N:N,A158)-AVERAGEIFS(2025Schedule!O:O,2025Schedule!E:E,J158,2025Schedule!N:N,B158),0)</f>
        <v/>
      </c>
      <c r="P158" s="156">
        <f>IFERROR(VLOOKUP(H158,Matrix!A:D,2,0)-VLOOKUP(J158,Matrix!A:D,2,0),"")</f>
        <v/>
      </c>
      <c r="Q158" s="156">
        <f>IFERROR(VLOOKUP(H158,Matrix!A:AC,15,0)-VLOOKUP(J158,Matrix!A:AC,15,0),"")</f>
        <v/>
      </c>
      <c r="R158" s="156">
        <f>IFERROR(VLOOKUP(H158,Matrix!A:AC,16,0)-VLOOKUP(J158,Matrix!A:AC,16,0),"")</f>
        <v/>
      </c>
      <c r="S158" s="195">
        <f>H158</f>
        <v/>
      </c>
      <c r="T158" s="195">
        <f>IFERROR(VLOOKUP(G158&amp;H158,2025Schedule!A:F,6,0),"")</f>
        <v/>
      </c>
      <c r="U158" s="264">
        <f>J158</f>
        <v/>
      </c>
      <c r="V158" s="195">
        <f>IFERROR(VLOOKUP(G158&amp;J158,2025Schedule!A:F,6,0),"")</f>
        <v/>
      </c>
    </row>
    <row r="159" ht="14.4" customHeight="1" s="152">
      <c r="A159" s="241">
        <f>H159&amp;I159</f>
        <v/>
      </c>
      <c r="B159" s="241">
        <f>J159&amp;C159</f>
        <v/>
      </c>
      <c r="C159" s="241">
        <f>IFERROR(IF(I159="Home","Away",IF(I159="Away","Home","")),"")</f>
        <v/>
      </c>
      <c r="D159" s="242">
        <f>H159</f>
        <v/>
      </c>
      <c r="E159" s="157">
        <f>IFERROR(IF(AND(F159&gt;0,T159&gt;V159),"Yes",IF(AND(F159&gt;0,T159&lt;V159),"No",IF(AND(F159&lt;0,T159&lt;V159),"Yes",IF(AND(F159&lt;0,T159&gt;V159),"No",0)))),"")</f>
        <v/>
      </c>
      <c r="F159" s="263">
        <f>IFERROR((N159/MAX(N:N)*_MOVw)+(O159/MAX(O:O)*_WINw)+(P159/MAX(P:P)*_PPGw)+(Q159/MAX(Q:Q)*_ORw)+(R159/MAX(R:R)*_DRw),"")</f>
        <v/>
      </c>
      <c r="N159" s="156">
        <f>IFERROR(VLOOKUP(H159,Matrix!A:AC,12,0)-VLOOKUP(J159,Matrix!A:AC,12,0),"")</f>
        <v/>
      </c>
      <c r="O159" s="182">
        <f>IFERROR(AVERAGEIFS(2025Schedule!O:O,2025Schedule!E:E,H159,2025Schedule!N:N,A159)-AVERAGEIFS(2025Schedule!O:O,2025Schedule!E:E,J159,2025Schedule!N:N,B159),0)</f>
        <v/>
      </c>
      <c r="P159" s="156">
        <f>IFERROR(VLOOKUP(H159,Matrix!A:D,2,0)-VLOOKUP(J159,Matrix!A:D,2,0),"")</f>
        <v/>
      </c>
      <c r="Q159" s="156">
        <f>IFERROR(VLOOKUP(H159,Matrix!A:AC,15,0)-VLOOKUP(J159,Matrix!A:AC,15,0),"")</f>
        <v/>
      </c>
      <c r="R159" s="156">
        <f>IFERROR(VLOOKUP(H159,Matrix!A:AC,16,0)-VLOOKUP(J159,Matrix!A:AC,16,0),"")</f>
        <v/>
      </c>
      <c r="S159" s="195">
        <f>H159</f>
        <v/>
      </c>
      <c r="T159" s="195">
        <f>IFERROR(VLOOKUP(G159&amp;H159,2025Schedule!A:F,6,0),"")</f>
        <v/>
      </c>
      <c r="U159" s="264">
        <f>J159</f>
        <v/>
      </c>
      <c r="V159" s="195">
        <f>IFERROR(VLOOKUP(G159&amp;J159,2025Schedule!A:F,6,0),"")</f>
        <v/>
      </c>
    </row>
    <row r="160" ht="14.4" customHeight="1" s="152">
      <c r="A160" s="241">
        <f>H160&amp;I160</f>
        <v/>
      </c>
      <c r="B160" s="241">
        <f>J160&amp;C160</f>
        <v/>
      </c>
      <c r="C160" s="241">
        <f>IFERROR(IF(I160="Home","Away",IF(I160="Away","Home","")),"")</f>
        <v/>
      </c>
      <c r="D160" s="242">
        <f>H160</f>
        <v/>
      </c>
      <c r="E160" s="157">
        <f>IFERROR(IF(AND(F160&gt;0,T160&gt;V160),"Yes",IF(AND(F160&gt;0,T160&lt;V160),"No",IF(AND(F160&lt;0,T160&lt;V160),"Yes",IF(AND(F160&lt;0,T160&gt;V160),"No",0)))),"")</f>
        <v/>
      </c>
      <c r="F160" s="263">
        <f>IFERROR((N160/MAX(N:N)*_MOVw)+(O160/MAX(O:O)*_WINw)+(P160/MAX(P:P)*_PPGw)+(Q160/MAX(Q:Q)*_ORw)+(R160/MAX(R:R)*_DRw),"")</f>
        <v/>
      </c>
      <c r="N160" s="156">
        <f>IFERROR(VLOOKUP(H160,Matrix!A:AC,12,0)-VLOOKUP(J160,Matrix!A:AC,12,0),"")</f>
        <v/>
      </c>
      <c r="O160" s="182">
        <f>IFERROR(AVERAGEIFS(2025Schedule!O:O,2025Schedule!E:E,H160,2025Schedule!N:N,A160)-AVERAGEIFS(2025Schedule!O:O,2025Schedule!E:E,J160,2025Schedule!N:N,B160),0)</f>
        <v/>
      </c>
      <c r="P160" s="156">
        <f>IFERROR(VLOOKUP(H160,Matrix!A:D,2,0)-VLOOKUP(J160,Matrix!A:D,2,0),"")</f>
        <v/>
      </c>
      <c r="Q160" s="156">
        <f>IFERROR(VLOOKUP(H160,Matrix!A:AC,15,0)-VLOOKUP(J160,Matrix!A:AC,15,0),"")</f>
        <v/>
      </c>
      <c r="R160" s="156">
        <f>IFERROR(VLOOKUP(H160,Matrix!A:AC,16,0)-VLOOKUP(J160,Matrix!A:AC,16,0),"")</f>
        <v/>
      </c>
      <c r="S160" s="195">
        <f>H160</f>
        <v/>
      </c>
      <c r="T160" s="195">
        <f>IFERROR(VLOOKUP(G160&amp;H160,2025Schedule!A:F,6,0),"")</f>
        <v/>
      </c>
      <c r="U160" s="264">
        <f>J160</f>
        <v/>
      </c>
      <c r="V160" s="195">
        <f>IFERROR(VLOOKUP(G160&amp;J160,2025Schedule!A:F,6,0),"")</f>
        <v/>
      </c>
    </row>
    <row r="161" ht="14.4" customHeight="1" s="152">
      <c r="A161" s="241">
        <f>H161&amp;I161</f>
        <v/>
      </c>
      <c r="B161" s="241">
        <f>J161&amp;C161</f>
        <v/>
      </c>
      <c r="C161" s="241">
        <f>IFERROR(IF(I161="Home","Away",IF(I161="Away","Home","")),"")</f>
        <v/>
      </c>
      <c r="D161" s="242">
        <f>H161</f>
        <v/>
      </c>
      <c r="E161" s="157">
        <f>IFERROR(IF(AND(F161&gt;0,T161&gt;V161),"Yes",IF(AND(F161&gt;0,T161&lt;V161),"No",IF(AND(F161&lt;0,T161&lt;V161),"Yes",IF(AND(F161&lt;0,T161&gt;V161),"No",0)))),"")</f>
        <v/>
      </c>
      <c r="F161" s="263">
        <f>IFERROR((N161/MAX(N:N)*_MOVw)+(O161/MAX(O:O)*_WINw)+(P161/MAX(P:P)*_PPGw)+(Q161/MAX(Q:Q)*_ORw)+(R161/MAX(R:R)*_DRw),"")</f>
        <v/>
      </c>
      <c r="N161" s="156">
        <f>IFERROR(VLOOKUP(H161,Matrix!A:AC,12,0)-VLOOKUP(J161,Matrix!A:AC,12,0),"")</f>
        <v/>
      </c>
      <c r="O161" s="182">
        <f>IFERROR(AVERAGEIFS(2025Schedule!O:O,2025Schedule!E:E,H161,2025Schedule!N:N,A161)-AVERAGEIFS(2025Schedule!O:O,2025Schedule!E:E,J161,2025Schedule!N:N,B161),0)</f>
        <v/>
      </c>
      <c r="P161" s="156">
        <f>IFERROR(VLOOKUP(H161,Matrix!A:D,2,0)-VLOOKUP(J161,Matrix!A:D,2,0),"")</f>
        <v/>
      </c>
      <c r="Q161" s="156">
        <f>IFERROR(VLOOKUP(H161,Matrix!A:AC,15,0)-VLOOKUP(J161,Matrix!A:AC,15,0),"")</f>
        <v/>
      </c>
      <c r="R161" s="156">
        <f>IFERROR(VLOOKUP(H161,Matrix!A:AC,16,0)-VLOOKUP(J161,Matrix!A:AC,16,0),"")</f>
        <v/>
      </c>
      <c r="S161" s="195">
        <f>H161</f>
        <v/>
      </c>
      <c r="T161" s="195">
        <f>IFERROR(VLOOKUP(G161&amp;H161,2025Schedule!A:F,6,0),"")</f>
        <v/>
      </c>
      <c r="U161" s="264">
        <f>J161</f>
        <v/>
      </c>
      <c r="V161" s="195">
        <f>IFERROR(VLOOKUP(G161&amp;J161,2025Schedule!A:F,6,0),"")</f>
        <v/>
      </c>
    </row>
    <row r="162" ht="14.4" customHeight="1" s="152">
      <c r="A162" s="241">
        <f>H162&amp;I162</f>
        <v/>
      </c>
      <c r="B162" s="241">
        <f>J162&amp;C162</f>
        <v/>
      </c>
      <c r="C162" s="241">
        <f>IFERROR(IF(I162="Home","Away",IF(I162="Away","Home","")),"")</f>
        <v/>
      </c>
      <c r="D162" s="242">
        <f>H162</f>
        <v/>
      </c>
      <c r="E162" s="157">
        <f>IFERROR(IF(AND(F162&gt;0,T162&gt;V162),"Yes",IF(AND(F162&gt;0,T162&lt;V162),"No",IF(AND(F162&lt;0,T162&lt;V162),"Yes",IF(AND(F162&lt;0,T162&gt;V162),"No",0)))),"")</f>
        <v/>
      </c>
      <c r="F162" s="263">
        <f>IFERROR((N162/MAX(N:N)*_MOVw)+(O162/MAX(O:O)*_WINw)+(P162/MAX(P:P)*_PPGw)+(Q162/MAX(Q:Q)*_ORw)+(R162/MAX(R:R)*_DRw),"")</f>
        <v/>
      </c>
      <c r="N162" s="156">
        <f>IFERROR(VLOOKUP(H162,Matrix!A:AC,12,0)-VLOOKUP(J162,Matrix!A:AC,12,0),"")</f>
        <v/>
      </c>
      <c r="O162" s="182">
        <f>IFERROR(AVERAGEIFS(2025Schedule!O:O,2025Schedule!E:E,H162,2025Schedule!N:N,A162)-AVERAGEIFS(2025Schedule!O:O,2025Schedule!E:E,J162,2025Schedule!N:N,B162),0)</f>
        <v/>
      </c>
      <c r="P162" s="156">
        <f>IFERROR(VLOOKUP(H162,Matrix!A:D,2,0)-VLOOKUP(J162,Matrix!A:D,2,0),"")</f>
        <v/>
      </c>
      <c r="Q162" s="156">
        <f>IFERROR(VLOOKUP(H162,Matrix!A:AC,15,0)-VLOOKUP(J162,Matrix!A:AC,15,0),"")</f>
        <v/>
      </c>
      <c r="R162" s="156">
        <f>IFERROR(VLOOKUP(H162,Matrix!A:AC,16,0)-VLOOKUP(J162,Matrix!A:AC,16,0),"")</f>
        <v/>
      </c>
      <c r="S162" s="195">
        <f>H162</f>
        <v/>
      </c>
      <c r="T162" s="195">
        <f>IFERROR(VLOOKUP(G162&amp;H162,2025Schedule!A:F,6,0),"")</f>
        <v/>
      </c>
      <c r="U162" s="264">
        <f>J162</f>
        <v/>
      </c>
      <c r="V162" s="195">
        <f>IFERROR(VLOOKUP(G162&amp;J162,2025Schedule!A:F,6,0),"")</f>
        <v/>
      </c>
    </row>
    <row r="163" ht="14.4" customHeight="1" s="152">
      <c r="A163" s="241">
        <f>H163&amp;I163</f>
        <v/>
      </c>
      <c r="B163" s="241">
        <f>J163&amp;C163</f>
        <v/>
      </c>
      <c r="C163" s="241">
        <f>IFERROR(IF(I163="Home","Away",IF(I163="Away","Home","")),"")</f>
        <v/>
      </c>
      <c r="D163" s="242">
        <f>H163</f>
        <v/>
      </c>
      <c r="E163" s="157">
        <f>IFERROR(IF(AND(F163&gt;0,T163&gt;V163),"Yes",IF(AND(F163&gt;0,T163&lt;V163),"No",IF(AND(F163&lt;0,T163&lt;V163),"Yes",IF(AND(F163&lt;0,T163&gt;V163),"No",0)))),"")</f>
        <v/>
      </c>
      <c r="F163" s="263">
        <f>IFERROR((N163/MAX(N:N)*_MOVw)+(O163/MAX(O:O)*_WINw)+(P163/MAX(P:P)*_PPGw)+(Q163/MAX(Q:Q)*_ORw)+(R163/MAX(R:R)*_DRw),"")</f>
        <v/>
      </c>
      <c r="N163" s="156">
        <f>IFERROR(VLOOKUP(H163,Matrix!A:AC,12,0)-VLOOKUP(J163,Matrix!A:AC,12,0),"")</f>
        <v/>
      </c>
      <c r="O163" s="182">
        <f>IFERROR(AVERAGEIFS(2025Schedule!O:O,2025Schedule!E:E,H163,2025Schedule!N:N,A163)-AVERAGEIFS(2025Schedule!O:O,2025Schedule!E:E,J163,2025Schedule!N:N,B163),0)</f>
        <v/>
      </c>
      <c r="P163" s="156">
        <f>IFERROR(VLOOKUP(H163,Matrix!A:D,2,0)-VLOOKUP(J163,Matrix!A:D,2,0),"")</f>
        <v/>
      </c>
      <c r="Q163" s="156">
        <f>IFERROR(VLOOKUP(H163,Matrix!A:AC,15,0)-VLOOKUP(J163,Matrix!A:AC,15,0),"")</f>
        <v/>
      </c>
      <c r="R163" s="156">
        <f>IFERROR(VLOOKUP(H163,Matrix!A:AC,16,0)-VLOOKUP(J163,Matrix!A:AC,16,0),"")</f>
        <v/>
      </c>
      <c r="S163" s="195">
        <f>H163</f>
        <v/>
      </c>
      <c r="T163" s="195">
        <f>IFERROR(VLOOKUP(G163&amp;H163,2025Schedule!A:F,6,0),"")</f>
        <v/>
      </c>
      <c r="U163" s="264">
        <f>J163</f>
        <v/>
      </c>
      <c r="V163" s="195">
        <f>IFERROR(VLOOKUP(G163&amp;J163,2025Schedule!A:F,6,0),"")</f>
        <v/>
      </c>
    </row>
    <row r="164" ht="14.4" customHeight="1" s="152">
      <c r="A164" s="241">
        <f>H164&amp;I164</f>
        <v/>
      </c>
      <c r="B164" s="241">
        <f>J164&amp;C164</f>
        <v/>
      </c>
      <c r="C164" s="241">
        <f>IFERROR(IF(I164="Home","Away",IF(I164="Away","Home","")),"")</f>
        <v/>
      </c>
      <c r="D164" s="242">
        <f>H164</f>
        <v/>
      </c>
      <c r="E164" s="157">
        <f>IFERROR(IF(AND(F164&gt;0,T164&gt;V164),"Yes",IF(AND(F164&gt;0,T164&lt;V164),"No",IF(AND(F164&lt;0,T164&lt;V164),"Yes",IF(AND(F164&lt;0,T164&gt;V164),"No",0)))),"")</f>
        <v/>
      </c>
      <c r="F164" s="263">
        <f>IFERROR((N164/MAX(N:N)*_MOVw)+(O164/MAX(O:O)*_WINw)+(P164/MAX(P:P)*_PPGw)+(Q164/MAX(Q:Q)*_ORw)+(R164/MAX(R:R)*_DRw),"")</f>
        <v/>
      </c>
      <c r="N164" s="156">
        <f>IFERROR(VLOOKUP(H164,Matrix!A:AC,12,0)-VLOOKUP(J164,Matrix!A:AC,12,0),"")</f>
        <v/>
      </c>
      <c r="O164" s="182">
        <f>IFERROR(AVERAGEIFS(2025Schedule!O:O,2025Schedule!E:E,H164,2025Schedule!N:N,A164)-AVERAGEIFS(2025Schedule!O:O,2025Schedule!E:E,J164,2025Schedule!N:N,B164),0)</f>
        <v/>
      </c>
      <c r="P164" s="156">
        <f>IFERROR(VLOOKUP(H164,Matrix!A:D,2,0)-VLOOKUP(J164,Matrix!A:D,2,0),"")</f>
        <v/>
      </c>
      <c r="Q164" s="156">
        <f>IFERROR(VLOOKUP(H164,Matrix!A:AC,15,0)-VLOOKUP(J164,Matrix!A:AC,15,0),"")</f>
        <v/>
      </c>
      <c r="R164" s="156">
        <f>IFERROR(VLOOKUP(H164,Matrix!A:AC,16,0)-VLOOKUP(J164,Matrix!A:AC,16,0),"")</f>
        <v/>
      </c>
      <c r="S164" s="195">
        <f>H164</f>
        <v/>
      </c>
      <c r="T164" s="195">
        <f>IFERROR(VLOOKUP(G164&amp;H164,2025Schedule!A:F,6,0),"")</f>
        <v/>
      </c>
      <c r="U164" s="264">
        <f>J164</f>
        <v/>
      </c>
      <c r="V164" s="195">
        <f>IFERROR(VLOOKUP(G164&amp;J164,2025Schedule!A:F,6,0),"")</f>
        <v/>
      </c>
    </row>
    <row r="165" ht="14.4" customHeight="1" s="152">
      <c r="A165" s="241">
        <f>H165&amp;I165</f>
        <v/>
      </c>
      <c r="B165" s="241">
        <f>J165&amp;C165</f>
        <v/>
      </c>
      <c r="C165" s="241">
        <f>IFERROR(IF(I165="Home","Away",IF(I165="Away","Home","")),"")</f>
        <v/>
      </c>
      <c r="D165" s="242">
        <f>H165</f>
        <v/>
      </c>
      <c r="E165" s="157">
        <f>IFERROR(IF(AND(F165&gt;0,T165&gt;V165),"Yes",IF(AND(F165&gt;0,T165&lt;V165),"No",IF(AND(F165&lt;0,T165&lt;V165),"Yes",IF(AND(F165&lt;0,T165&gt;V165),"No",0)))),"")</f>
        <v/>
      </c>
      <c r="F165" s="263">
        <f>IFERROR((N165/MAX(N:N)*_MOVw)+(O165/MAX(O:O)*_WINw)+(P165/MAX(P:P)*_PPGw)+(Q165/MAX(Q:Q)*_ORw)+(R165/MAX(R:R)*_DRw),"")</f>
        <v/>
      </c>
      <c r="N165" s="156">
        <f>IFERROR(VLOOKUP(H165,Matrix!A:AC,12,0)-VLOOKUP(J165,Matrix!A:AC,12,0),"")</f>
        <v/>
      </c>
      <c r="O165" s="182">
        <f>IFERROR(AVERAGEIFS(2025Schedule!O:O,2025Schedule!E:E,H165,2025Schedule!N:N,A165)-AVERAGEIFS(2025Schedule!O:O,2025Schedule!E:E,J165,2025Schedule!N:N,B165),0)</f>
        <v/>
      </c>
      <c r="P165" s="156">
        <f>IFERROR(VLOOKUP(H165,Matrix!A:D,2,0)-VLOOKUP(J165,Matrix!A:D,2,0),"")</f>
        <v/>
      </c>
      <c r="Q165" s="156">
        <f>IFERROR(VLOOKUP(H165,Matrix!A:AC,15,0)-VLOOKUP(J165,Matrix!A:AC,15,0),"")</f>
        <v/>
      </c>
      <c r="R165" s="156">
        <f>IFERROR(VLOOKUP(H165,Matrix!A:AC,16,0)-VLOOKUP(J165,Matrix!A:AC,16,0),"")</f>
        <v/>
      </c>
      <c r="S165" s="195">
        <f>H165</f>
        <v/>
      </c>
      <c r="T165" s="195">
        <f>IFERROR(VLOOKUP(G165&amp;H165,2025Schedule!A:F,6,0),"")</f>
        <v/>
      </c>
      <c r="U165" s="264">
        <f>J165</f>
        <v/>
      </c>
      <c r="V165" s="195">
        <f>IFERROR(VLOOKUP(G165&amp;J165,2025Schedule!A:F,6,0),"")</f>
        <v/>
      </c>
    </row>
    <row r="166" ht="14.4" customHeight="1" s="152">
      <c r="A166" s="241">
        <f>H166&amp;I166</f>
        <v/>
      </c>
      <c r="B166" s="241">
        <f>J166&amp;C166</f>
        <v/>
      </c>
      <c r="C166" s="241">
        <f>IFERROR(IF(I166="Home","Away",IF(I166="Away","Home","")),"")</f>
        <v/>
      </c>
      <c r="D166" s="242">
        <f>H166</f>
        <v/>
      </c>
      <c r="E166" s="157">
        <f>IFERROR(IF(AND(F166&gt;0,T166&gt;V166),"Yes",IF(AND(F166&gt;0,T166&lt;V166),"No",IF(AND(F166&lt;0,T166&lt;V166),"Yes",IF(AND(F166&lt;0,T166&gt;V166),"No",0)))),"")</f>
        <v/>
      </c>
      <c r="F166" s="263">
        <f>IFERROR((N166/MAX(N:N)*_MOVw)+(O166/MAX(O:O)*_WINw)+(P166/MAX(P:P)*_PPGw)+(Q166/MAX(Q:Q)*_ORw)+(R166/MAX(R:R)*_DRw),"")</f>
        <v/>
      </c>
      <c r="N166" s="156">
        <f>IFERROR(VLOOKUP(H166,Matrix!A:AC,12,0)-VLOOKUP(J166,Matrix!A:AC,12,0),"")</f>
        <v/>
      </c>
      <c r="O166" s="182">
        <f>IFERROR(AVERAGEIFS(2025Schedule!O:O,2025Schedule!E:E,H166,2025Schedule!N:N,A166)-AVERAGEIFS(2025Schedule!O:O,2025Schedule!E:E,J166,2025Schedule!N:N,B166),0)</f>
        <v/>
      </c>
      <c r="P166" s="156">
        <f>IFERROR(VLOOKUP(H166,Matrix!A:D,2,0)-VLOOKUP(J166,Matrix!A:D,2,0),"")</f>
        <v/>
      </c>
      <c r="Q166" s="156">
        <f>IFERROR(VLOOKUP(H166,Matrix!A:AC,15,0)-VLOOKUP(J166,Matrix!A:AC,15,0),"")</f>
        <v/>
      </c>
      <c r="R166" s="156">
        <f>IFERROR(VLOOKUP(H166,Matrix!A:AC,16,0)-VLOOKUP(J166,Matrix!A:AC,16,0),"")</f>
        <v/>
      </c>
      <c r="S166" s="195">
        <f>H166</f>
        <v/>
      </c>
      <c r="T166" s="195">
        <f>IFERROR(VLOOKUP(G166&amp;H166,2025Schedule!A:F,6,0),"")</f>
        <v/>
      </c>
      <c r="U166" s="264">
        <f>J166</f>
        <v/>
      </c>
      <c r="V166" s="195">
        <f>IFERROR(VLOOKUP(G166&amp;J166,2025Schedule!A:F,6,0),"")</f>
        <v/>
      </c>
    </row>
    <row r="167" ht="14.4" customHeight="1" s="152">
      <c r="A167" s="241">
        <f>H167&amp;I167</f>
        <v/>
      </c>
      <c r="B167" s="241">
        <f>J167&amp;C167</f>
        <v/>
      </c>
      <c r="C167" s="241">
        <f>IFERROR(IF(I167="Home","Away",IF(I167="Away","Home","")),"")</f>
        <v/>
      </c>
      <c r="D167" s="242">
        <f>H167</f>
        <v/>
      </c>
      <c r="E167" s="157">
        <f>IFERROR(IF(AND(F167&gt;0,T167&gt;V167),"Yes",IF(AND(F167&gt;0,T167&lt;V167),"No",IF(AND(F167&lt;0,T167&lt;V167),"Yes",IF(AND(F167&lt;0,T167&gt;V167),"No",0)))),"")</f>
        <v/>
      </c>
      <c r="F167" s="263">
        <f>IFERROR((N167/MAX(N:N)*_MOVw)+(O167/MAX(O:O)*_WINw)+(P167/MAX(P:P)*_PPGw)+(Q167/MAX(Q:Q)*_ORw)+(R167/MAX(R:R)*_DRw),"")</f>
        <v/>
      </c>
      <c r="N167" s="156">
        <f>IFERROR(VLOOKUP(H167,Matrix!A:AC,12,0)-VLOOKUP(J167,Matrix!A:AC,12,0),"")</f>
        <v/>
      </c>
      <c r="O167" s="182">
        <f>IFERROR(AVERAGEIFS(2025Schedule!O:O,2025Schedule!E:E,H167,2025Schedule!N:N,A167)-AVERAGEIFS(2025Schedule!O:O,2025Schedule!E:E,J167,2025Schedule!N:N,B167),0)</f>
        <v/>
      </c>
      <c r="P167" s="156">
        <f>IFERROR(VLOOKUP(H167,Matrix!A:D,2,0)-VLOOKUP(J167,Matrix!A:D,2,0),"")</f>
        <v/>
      </c>
      <c r="Q167" s="156">
        <f>IFERROR(VLOOKUP(H167,Matrix!A:AC,15,0)-VLOOKUP(J167,Matrix!A:AC,15,0),"")</f>
        <v/>
      </c>
      <c r="R167" s="156">
        <f>IFERROR(VLOOKUP(H167,Matrix!A:AC,16,0)-VLOOKUP(J167,Matrix!A:AC,16,0),"")</f>
        <v/>
      </c>
      <c r="S167" s="195">
        <f>H167</f>
        <v/>
      </c>
      <c r="T167" s="195">
        <f>IFERROR(VLOOKUP(G167&amp;H167,2025Schedule!A:F,6,0),"")</f>
        <v/>
      </c>
      <c r="U167" s="264">
        <f>J167</f>
        <v/>
      </c>
      <c r="V167" s="195">
        <f>IFERROR(VLOOKUP(G167&amp;J167,2025Schedule!A:F,6,0),"")</f>
        <v/>
      </c>
    </row>
    <row r="168" ht="14.4" customHeight="1" s="152">
      <c r="A168" s="241">
        <f>H168&amp;I168</f>
        <v/>
      </c>
      <c r="B168" s="241">
        <f>J168&amp;C168</f>
        <v/>
      </c>
      <c r="C168" s="241">
        <f>IFERROR(IF(I168="Home","Away",IF(I168="Away","Home","")),"")</f>
        <v/>
      </c>
      <c r="D168" s="242">
        <f>H168</f>
        <v/>
      </c>
      <c r="E168" s="157">
        <f>IFERROR(IF(AND(F168&gt;0,T168&gt;V168),"Yes",IF(AND(F168&gt;0,T168&lt;V168),"No",IF(AND(F168&lt;0,T168&lt;V168),"Yes",IF(AND(F168&lt;0,T168&gt;V168),"No",0)))),"")</f>
        <v/>
      </c>
      <c r="F168" s="263">
        <f>IFERROR((N168/MAX(N:N)*_MOVw)+(O168/MAX(O:O)*_WINw)+(P168/MAX(P:P)*_PPGw)+(Q168/MAX(Q:Q)*_ORw)+(R168/MAX(R:R)*_DRw),"")</f>
        <v/>
      </c>
      <c r="N168" s="156">
        <f>IFERROR(VLOOKUP(H168,Matrix!A:AC,12,0)-VLOOKUP(J168,Matrix!A:AC,12,0),"")</f>
        <v/>
      </c>
      <c r="O168" s="182">
        <f>IFERROR(AVERAGEIFS(2025Schedule!O:O,2025Schedule!E:E,H168,2025Schedule!N:N,A168)-AVERAGEIFS(2025Schedule!O:O,2025Schedule!E:E,J168,2025Schedule!N:N,B168),0)</f>
        <v/>
      </c>
      <c r="P168" s="156">
        <f>IFERROR(VLOOKUP(H168,Matrix!A:D,2,0)-VLOOKUP(J168,Matrix!A:D,2,0),"")</f>
        <v/>
      </c>
      <c r="Q168" s="156">
        <f>IFERROR(VLOOKUP(H168,Matrix!A:AC,15,0)-VLOOKUP(J168,Matrix!A:AC,15,0),"")</f>
        <v/>
      </c>
      <c r="R168" s="156">
        <f>IFERROR(VLOOKUP(H168,Matrix!A:AC,16,0)-VLOOKUP(J168,Matrix!A:AC,16,0),"")</f>
        <v/>
      </c>
      <c r="S168" s="195">
        <f>H168</f>
        <v/>
      </c>
      <c r="T168" s="195">
        <f>IFERROR(VLOOKUP(G168&amp;H168,2025Schedule!A:F,6,0),"")</f>
        <v/>
      </c>
      <c r="U168" s="264">
        <f>J168</f>
        <v/>
      </c>
      <c r="V168" s="195">
        <f>IFERROR(VLOOKUP(G168&amp;J168,2025Schedule!A:F,6,0),"")</f>
        <v/>
      </c>
    </row>
    <row r="169" ht="14.4" customHeight="1" s="152">
      <c r="A169" s="241">
        <f>H169&amp;I169</f>
        <v/>
      </c>
      <c r="B169" s="241">
        <f>J169&amp;C169</f>
        <v/>
      </c>
      <c r="C169" s="241">
        <f>IFERROR(IF(I169="Home","Away",IF(I169="Away","Home","")),"")</f>
        <v/>
      </c>
      <c r="D169" s="242">
        <f>H169</f>
        <v/>
      </c>
      <c r="E169" s="157">
        <f>IFERROR(IF(AND(F169&gt;0,T169&gt;V169),"Yes",IF(AND(F169&gt;0,T169&lt;V169),"No",IF(AND(F169&lt;0,T169&lt;V169),"Yes",IF(AND(F169&lt;0,T169&gt;V169),"No",0)))),"")</f>
        <v/>
      </c>
      <c r="F169" s="263">
        <f>IFERROR((N169/MAX(N:N)*_MOVw)+(O169/MAX(O:O)*_WINw)+(P169/MAX(P:P)*_PPGw)+(Q169/MAX(Q:Q)*_ORw)+(R169/MAX(R:R)*_DRw),"")</f>
        <v/>
      </c>
      <c r="N169" s="156">
        <f>IFERROR(VLOOKUP(H169,Matrix!A:AC,12,0)-VLOOKUP(J169,Matrix!A:AC,12,0),"")</f>
        <v/>
      </c>
      <c r="O169" s="182">
        <f>IFERROR(AVERAGEIFS(2025Schedule!O:O,2025Schedule!E:E,H169,2025Schedule!N:N,A169)-AVERAGEIFS(2025Schedule!O:O,2025Schedule!E:E,J169,2025Schedule!N:N,B169),0)</f>
        <v/>
      </c>
      <c r="P169" s="156">
        <f>IFERROR(VLOOKUP(H169,Matrix!A:D,2,0)-VLOOKUP(J169,Matrix!A:D,2,0),"")</f>
        <v/>
      </c>
      <c r="Q169" s="156">
        <f>IFERROR(VLOOKUP(H169,Matrix!A:AC,15,0)-VLOOKUP(J169,Matrix!A:AC,15,0),"")</f>
        <v/>
      </c>
      <c r="R169" s="156">
        <f>IFERROR(VLOOKUP(H169,Matrix!A:AC,16,0)-VLOOKUP(J169,Matrix!A:AC,16,0),"")</f>
        <v/>
      </c>
      <c r="S169" s="195">
        <f>H169</f>
        <v/>
      </c>
      <c r="T169" s="195">
        <f>IFERROR(VLOOKUP(G169&amp;H169,2025Schedule!A:F,6,0),"")</f>
        <v/>
      </c>
      <c r="U169" s="264">
        <f>J169</f>
        <v/>
      </c>
      <c r="V169" s="195">
        <f>IFERROR(VLOOKUP(G169&amp;J169,2025Schedule!A:F,6,0),"")</f>
        <v/>
      </c>
    </row>
    <row r="170" ht="14.4" customHeight="1" s="152">
      <c r="A170" s="241">
        <f>H170&amp;I170</f>
        <v/>
      </c>
      <c r="B170" s="241">
        <f>J170&amp;C170</f>
        <v/>
      </c>
      <c r="C170" s="241">
        <f>IFERROR(IF(I170="Home","Away",IF(I170="Away","Home","")),"")</f>
        <v/>
      </c>
      <c r="D170" s="242">
        <f>H170</f>
        <v/>
      </c>
      <c r="E170" s="157">
        <f>IFERROR(IF(AND(F170&gt;0,T170&gt;V170),"Yes",IF(AND(F170&gt;0,T170&lt;V170),"No",IF(AND(F170&lt;0,T170&lt;V170),"Yes",IF(AND(F170&lt;0,T170&gt;V170),"No",0)))),"")</f>
        <v/>
      </c>
      <c r="F170" s="263">
        <f>IFERROR((N170/MAX(N:N)*_MOVw)+(O170/MAX(O:O)*_WINw)+(P170/MAX(P:P)*_PPGw)+(Q170/MAX(Q:Q)*_ORw)+(R170/MAX(R:R)*_DRw),"")</f>
        <v/>
      </c>
      <c r="N170" s="156">
        <f>IFERROR(VLOOKUP(H170,Matrix!A:AC,12,0)-VLOOKUP(J170,Matrix!A:AC,12,0),"")</f>
        <v/>
      </c>
      <c r="O170" s="182">
        <f>IFERROR(AVERAGEIFS(2025Schedule!O:O,2025Schedule!E:E,H170,2025Schedule!N:N,A170)-AVERAGEIFS(2025Schedule!O:O,2025Schedule!E:E,J170,2025Schedule!N:N,B170),0)</f>
        <v/>
      </c>
      <c r="P170" s="156">
        <f>IFERROR(VLOOKUP(H170,Matrix!A:D,2,0)-VLOOKUP(J170,Matrix!A:D,2,0),"")</f>
        <v/>
      </c>
      <c r="Q170" s="156">
        <f>IFERROR(VLOOKUP(H170,Matrix!A:AC,15,0)-VLOOKUP(J170,Matrix!A:AC,15,0),"")</f>
        <v/>
      </c>
      <c r="R170" s="156">
        <f>IFERROR(VLOOKUP(H170,Matrix!A:AC,16,0)-VLOOKUP(J170,Matrix!A:AC,16,0),"")</f>
        <v/>
      </c>
      <c r="S170" s="195">
        <f>H170</f>
        <v/>
      </c>
      <c r="T170" s="195">
        <f>IFERROR(VLOOKUP(G170&amp;H170,2025Schedule!A:F,6,0),"")</f>
        <v/>
      </c>
      <c r="U170" s="264">
        <f>J170</f>
        <v/>
      </c>
      <c r="V170" s="195">
        <f>IFERROR(VLOOKUP(G170&amp;J170,2025Schedule!A:F,6,0),"")</f>
        <v/>
      </c>
    </row>
    <row r="171" ht="14.4" customHeight="1" s="152">
      <c r="A171" s="241">
        <f>H171&amp;I171</f>
        <v/>
      </c>
      <c r="B171" s="241">
        <f>J171&amp;C171</f>
        <v/>
      </c>
      <c r="C171" s="241">
        <f>IFERROR(IF(I171="Home","Away",IF(I171="Away","Home","")),"")</f>
        <v/>
      </c>
      <c r="D171" s="242">
        <f>H171</f>
        <v/>
      </c>
      <c r="E171" s="157">
        <f>IFERROR(IF(AND(F171&gt;0,T171&gt;V171),"Yes",IF(AND(F171&gt;0,T171&lt;V171),"No",IF(AND(F171&lt;0,T171&lt;V171),"Yes",IF(AND(F171&lt;0,T171&gt;V171),"No",0)))),"")</f>
        <v/>
      </c>
      <c r="F171" s="263">
        <f>IFERROR((N171/MAX(N:N)*_MOVw)+(O171/MAX(O:O)*_WINw)+(P171/MAX(P:P)*_PPGw)+(Q171/MAX(Q:Q)*_ORw)+(R171/MAX(R:R)*_DRw),"")</f>
        <v/>
      </c>
      <c r="N171" s="156">
        <f>IFERROR(VLOOKUP(H171,Matrix!A:AC,12,0)-VLOOKUP(J171,Matrix!A:AC,12,0),"")</f>
        <v/>
      </c>
      <c r="O171" s="182">
        <f>IFERROR(AVERAGEIFS(2025Schedule!O:O,2025Schedule!E:E,H171,2025Schedule!N:N,A171)-AVERAGEIFS(2025Schedule!O:O,2025Schedule!E:E,J171,2025Schedule!N:N,B171),0)</f>
        <v/>
      </c>
      <c r="P171" s="156">
        <f>IFERROR(VLOOKUP(H171,Matrix!A:D,2,0)-VLOOKUP(J171,Matrix!A:D,2,0),"")</f>
        <v/>
      </c>
      <c r="Q171" s="156">
        <f>IFERROR(VLOOKUP(H171,Matrix!A:AC,15,0)-VLOOKUP(J171,Matrix!A:AC,15,0),"")</f>
        <v/>
      </c>
      <c r="R171" s="156">
        <f>IFERROR(VLOOKUP(H171,Matrix!A:AC,16,0)-VLOOKUP(J171,Matrix!A:AC,16,0),"")</f>
        <v/>
      </c>
      <c r="S171" s="195">
        <f>H171</f>
        <v/>
      </c>
      <c r="T171" s="195">
        <f>IFERROR(VLOOKUP(G171&amp;H171,2025Schedule!A:F,6,0),"")</f>
        <v/>
      </c>
      <c r="U171" s="264">
        <f>J171</f>
        <v/>
      </c>
      <c r="V171" s="195">
        <f>IFERROR(VLOOKUP(G171&amp;J171,2025Schedule!A:F,6,0),"")</f>
        <v/>
      </c>
    </row>
    <row r="172" ht="14.4" customHeight="1" s="152">
      <c r="A172" s="241">
        <f>H172&amp;I172</f>
        <v/>
      </c>
      <c r="B172" s="241">
        <f>J172&amp;C172</f>
        <v/>
      </c>
      <c r="C172" s="241">
        <f>IFERROR(IF(I172="Home","Away",IF(I172="Away","Home","")),"")</f>
        <v/>
      </c>
      <c r="D172" s="242">
        <f>H172</f>
        <v/>
      </c>
      <c r="E172" s="157">
        <f>IFERROR(IF(AND(F172&gt;0,T172&gt;V172),"Yes",IF(AND(F172&gt;0,T172&lt;V172),"No",IF(AND(F172&lt;0,T172&lt;V172),"Yes",IF(AND(F172&lt;0,T172&gt;V172),"No",0)))),"")</f>
        <v/>
      </c>
      <c r="F172" s="263">
        <f>IFERROR((N172/MAX(N:N)*_MOVw)+(O172/MAX(O:O)*_WINw)+(P172/MAX(P:P)*_PPGw)+(Q172/MAX(Q:Q)*_ORw)+(R172/MAX(R:R)*_DRw),"")</f>
        <v/>
      </c>
      <c r="N172" s="156">
        <f>IFERROR(VLOOKUP(H172,Matrix!A:AC,12,0)-VLOOKUP(J172,Matrix!A:AC,12,0),"")</f>
        <v/>
      </c>
      <c r="O172" s="182">
        <f>IFERROR(AVERAGEIFS(2025Schedule!O:O,2025Schedule!E:E,H172,2025Schedule!N:N,A172)-AVERAGEIFS(2025Schedule!O:O,2025Schedule!E:E,J172,2025Schedule!N:N,B172),0)</f>
        <v/>
      </c>
      <c r="P172" s="156">
        <f>IFERROR(VLOOKUP(H172,Matrix!A:D,2,0)-VLOOKUP(J172,Matrix!A:D,2,0),"")</f>
        <v/>
      </c>
      <c r="Q172" s="156">
        <f>IFERROR(VLOOKUP(H172,Matrix!A:AC,15,0)-VLOOKUP(J172,Matrix!A:AC,15,0),"")</f>
        <v/>
      </c>
      <c r="R172" s="156">
        <f>IFERROR(VLOOKUP(H172,Matrix!A:AC,16,0)-VLOOKUP(J172,Matrix!A:AC,16,0),"")</f>
        <v/>
      </c>
      <c r="S172" s="195">
        <f>H172</f>
        <v/>
      </c>
      <c r="T172" s="195">
        <f>IFERROR(VLOOKUP(G172&amp;H172,2025Schedule!A:F,6,0),"")</f>
        <v/>
      </c>
      <c r="U172" s="264">
        <f>J172</f>
        <v/>
      </c>
      <c r="V172" s="195">
        <f>IFERROR(VLOOKUP(G172&amp;J172,2025Schedule!A:F,6,0),"")</f>
        <v/>
      </c>
    </row>
    <row r="173" ht="14.4" customHeight="1" s="152">
      <c r="A173" s="241">
        <f>H173&amp;I173</f>
        <v/>
      </c>
      <c r="B173" s="241">
        <f>J173&amp;C173</f>
        <v/>
      </c>
      <c r="C173" s="241">
        <f>IFERROR(IF(I173="Home","Away",IF(I173="Away","Home","")),"")</f>
        <v/>
      </c>
      <c r="D173" s="242">
        <f>H173</f>
        <v/>
      </c>
      <c r="E173" s="157">
        <f>IFERROR(IF(AND(F173&gt;0,T173&gt;V173),"Yes",IF(AND(F173&gt;0,T173&lt;V173),"No",IF(AND(F173&lt;0,T173&lt;V173),"Yes",IF(AND(F173&lt;0,T173&gt;V173),"No",0)))),"")</f>
        <v/>
      </c>
      <c r="F173" s="263">
        <f>IFERROR((N173/MAX(N:N)*_MOVw)+(O173/MAX(O:O)*_WINw)+(P173/MAX(P:P)*_PPGw)+(Q173/MAX(Q:Q)*_ORw)+(R173/MAX(R:R)*_DRw),"")</f>
        <v/>
      </c>
      <c r="N173" s="156">
        <f>IFERROR(VLOOKUP(H173,Matrix!A:AC,12,0)-VLOOKUP(J173,Matrix!A:AC,12,0),"")</f>
        <v/>
      </c>
      <c r="O173" s="182">
        <f>IFERROR(AVERAGEIFS(2025Schedule!O:O,2025Schedule!E:E,H173,2025Schedule!N:N,A173)-AVERAGEIFS(2025Schedule!O:O,2025Schedule!E:E,J173,2025Schedule!N:N,B173),0)</f>
        <v/>
      </c>
      <c r="P173" s="156">
        <f>IFERROR(VLOOKUP(H173,Matrix!A:D,2,0)-VLOOKUP(J173,Matrix!A:D,2,0),"")</f>
        <v/>
      </c>
      <c r="Q173" s="156">
        <f>IFERROR(VLOOKUP(H173,Matrix!A:AC,15,0)-VLOOKUP(J173,Matrix!A:AC,15,0),"")</f>
        <v/>
      </c>
      <c r="R173" s="156">
        <f>IFERROR(VLOOKUP(H173,Matrix!A:AC,16,0)-VLOOKUP(J173,Matrix!A:AC,16,0),"")</f>
        <v/>
      </c>
      <c r="S173" s="195">
        <f>H173</f>
        <v/>
      </c>
      <c r="T173" s="195">
        <f>IFERROR(VLOOKUP(G173&amp;H173,2025Schedule!A:F,6,0),"")</f>
        <v/>
      </c>
      <c r="U173" s="264">
        <f>J173</f>
        <v/>
      </c>
      <c r="V173" s="195">
        <f>IFERROR(VLOOKUP(G173&amp;J173,2025Schedule!A:F,6,0),"")</f>
        <v/>
      </c>
    </row>
    <row r="174" ht="14.4" customHeight="1" s="152">
      <c r="A174" s="241">
        <f>H174&amp;I174</f>
        <v/>
      </c>
      <c r="B174" s="241">
        <f>J174&amp;C174</f>
        <v/>
      </c>
      <c r="C174" s="241">
        <f>IFERROR(IF(I174="Home","Away",IF(I174="Away","Home","")),"")</f>
        <v/>
      </c>
      <c r="D174" s="242">
        <f>H174</f>
        <v/>
      </c>
      <c r="E174" s="157">
        <f>IFERROR(IF(AND(F174&gt;0,T174&gt;V174),"Yes",IF(AND(F174&gt;0,T174&lt;V174),"No",IF(AND(F174&lt;0,T174&lt;V174),"Yes",IF(AND(F174&lt;0,T174&gt;V174),"No",0)))),"")</f>
        <v/>
      </c>
      <c r="F174" s="263">
        <f>IFERROR((N174/MAX(N:N)*_MOVw)+(O174/MAX(O:O)*_WINw)+(P174/MAX(P:P)*_PPGw)+(Q174/MAX(Q:Q)*_ORw)+(R174/MAX(R:R)*_DRw),"")</f>
        <v/>
      </c>
      <c r="N174" s="156">
        <f>IFERROR(VLOOKUP(H174,Matrix!A:AC,12,0)-VLOOKUP(J174,Matrix!A:AC,12,0),"")</f>
        <v/>
      </c>
      <c r="O174" s="182">
        <f>IFERROR(AVERAGEIFS(2025Schedule!O:O,2025Schedule!E:E,H174,2025Schedule!N:N,A174)-AVERAGEIFS(2025Schedule!O:O,2025Schedule!E:E,J174,2025Schedule!N:N,B174),0)</f>
        <v/>
      </c>
      <c r="P174" s="156">
        <f>IFERROR(VLOOKUP(H174,Matrix!A:D,2,0)-VLOOKUP(J174,Matrix!A:D,2,0),"")</f>
        <v/>
      </c>
      <c r="Q174" s="156">
        <f>IFERROR(VLOOKUP(H174,Matrix!A:AC,15,0)-VLOOKUP(J174,Matrix!A:AC,15,0),"")</f>
        <v/>
      </c>
      <c r="R174" s="156">
        <f>IFERROR(VLOOKUP(H174,Matrix!A:AC,16,0)-VLOOKUP(J174,Matrix!A:AC,16,0),"")</f>
        <v/>
      </c>
      <c r="S174" s="195">
        <f>H174</f>
        <v/>
      </c>
      <c r="T174" s="195">
        <f>IFERROR(VLOOKUP(G174&amp;H174,2025Schedule!A:F,6,0),"")</f>
        <v/>
      </c>
      <c r="U174" s="264">
        <f>J174</f>
        <v/>
      </c>
      <c r="V174" s="195">
        <f>IFERROR(VLOOKUP(G174&amp;J174,2025Schedule!A:F,6,0),"")</f>
        <v/>
      </c>
    </row>
    <row r="175" ht="14.4" customHeight="1" s="152">
      <c r="A175" s="241">
        <f>H175&amp;I175</f>
        <v/>
      </c>
      <c r="B175" s="241">
        <f>J175&amp;C175</f>
        <v/>
      </c>
      <c r="C175" s="241">
        <f>IFERROR(IF(I175="Home","Away",IF(I175="Away","Home","")),"")</f>
        <v/>
      </c>
      <c r="D175" s="242">
        <f>H175</f>
        <v/>
      </c>
      <c r="E175" s="157">
        <f>IFERROR(IF(AND(F175&gt;0,T175&gt;V175),"Yes",IF(AND(F175&gt;0,T175&lt;V175),"No",IF(AND(F175&lt;0,T175&lt;V175),"Yes",IF(AND(F175&lt;0,T175&gt;V175),"No",0)))),"")</f>
        <v/>
      </c>
      <c r="F175" s="263">
        <f>IFERROR((N175/MAX(N:N)*_MOVw)+(O175/MAX(O:O)*_WINw)+(P175/MAX(P:P)*_PPGw)+(Q175/MAX(Q:Q)*_ORw)+(R175/MAX(R:R)*_DRw),"")</f>
        <v/>
      </c>
      <c r="N175" s="156">
        <f>IFERROR(VLOOKUP(H175,Matrix!A:AC,12,0)-VLOOKUP(J175,Matrix!A:AC,12,0),"")</f>
        <v/>
      </c>
      <c r="O175" s="182">
        <f>IFERROR(AVERAGEIFS(2025Schedule!O:O,2025Schedule!E:E,H175,2025Schedule!N:N,A175)-AVERAGEIFS(2025Schedule!O:O,2025Schedule!E:E,J175,2025Schedule!N:N,B175),0)</f>
        <v/>
      </c>
      <c r="P175" s="156">
        <f>IFERROR(VLOOKUP(H175,Matrix!A:D,2,0)-VLOOKUP(J175,Matrix!A:D,2,0),"")</f>
        <v/>
      </c>
      <c r="Q175" s="156">
        <f>IFERROR(VLOOKUP(H175,Matrix!A:AC,15,0)-VLOOKUP(J175,Matrix!A:AC,15,0),"")</f>
        <v/>
      </c>
      <c r="R175" s="156">
        <f>IFERROR(VLOOKUP(H175,Matrix!A:AC,16,0)-VLOOKUP(J175,Matrix!A:AC,16,0),"")</f>
        <v/>
      </c>
      <c r="S175" s="195">
        <f>H175</f>
        <v/>
      </c>
      <c r="T175" s="195">
        <f>IFERROR(VLOOKUP(G175&amp;H175,2025Schedule!A:F,6,0),"")</f>
        <v/>
      </c>
      <c r="U175" s="264">
        <f>J175</f>
        <v/>
      </c>
      <c r="V175" s="195">
        <f>IFERROR(VLOOKUP(G175&amp;J175,2025Schedule!A:F,6,0),"")</f>
        <v/>
      </c>
    </row>
    <row r="176" ht="14.4" customHeight="1" s="152">
      <c r="A176" s="241">
        <f>H176&amp;I176</f>
        <v/>
      </c>
      <c r="B176" s="241">
        <f>J176&amp;C176</f>
        <v/>
      </c>
      <c r="C176" s="241">
        <f>IFERROR(IF(I176="Home","Away",IF(I176="Away","Home","")),"")</f>
        <v/>
      </c>
      <c r="D176" s="242">
        <f>H176</f>
        <v/>
      </c>
      <c r="E176" s="157">
        <f>IFERROR(IF(AND(F176&gt;0,T176&gt;V176),"Yes",IF(AND(F176&gt;0,T176&lt;V176),"No",IF(AND(F176&lt;0,T176&lt;V176),"Yes",IF(AND(F176&lt;0,T176&gt;V176),"No",0)))),"")</f>
        <v/>
      </c>
      <c r="F176" s="263">
        <f>IFERROR((N176/MAX(N:N)*_MOVw)+(O176/MAX(O:O)*_WINw)+(P176/MAX(P:P)*_PPGw)+(Q176/MAX(Q:Q)*_ORw)+(R176/MAX(R:R)*_DRw),"")</f>
        <v/>
      </c>
      <c r="N176" s="156">
        <f>IFERROR(VLOOKUP(H176,Matrix!A:AC,12,0)-VLOOKUP(J176,Matrix!A:AC,12,0),"")</f>
        <v/>
      </c>
      <c r="O176" s="182">
        <f>IFERROR(AVERAGEIFS(2025Schedule!O:O,2025Schedule!E:E,H176,2025Schedule!N:N,A176)-AVERAGEIFS(2025Schedule!O:O,2025Schedule!E:E,J176,2025Schedule!N:N,B176),0)</f>
        <v/>
      </c>
      <c r="P176" s="156">
        <f>IFERROR(VLOOKUP(H176,Matrix!A:D,2,0)-VLOOKUP(J176,Matrix!A:D,2,0),"")</f>
        <v/>
      </c>
      <c r="Q176" s="156">
        <f>IFERROR(VLOOKUP(H176,Matrix!A:AC,15,0)-VLOOKUP(J176,Matrix!A:AC,15,0),"")</f>
        <v/>
      </c>
      <c r="R176" s="156">
        <f>IFERROR(VLOOKUP(H176,Matrix!A:AC,16,0)-VLOOKUP(J176,Matrix!A:AC,16,0),"")</f>
        <v/>
      </c>
      <c r="S176" s="195">
        <f>H176</f>
        <v/>
      </c>
      <c r="T176" s="195">
        <f>IFERROR(VLOOKUP(G176&amp;H176,2025Schedule!A:F,6,0),"")</f>
        <v/>
      </c>
      <c r="U176" s="264">
        <f>J176</f>
        <v/>
      </c>
      <c r="V176" s="195">
        <f>IFERROR(VLOOKUP(G176&amp;J176,2025Schedule!A:F,6,0),"")</f>
        <v/>
      </c>
    </row>
    <row r="177" ht="14.4" customHeight="1" s="152">
      <c r="A177" s="241">
        <f>H177&amp;I177</f>
        <v/>
      </c>
      <c r="B177" s="241">
        <f>J177&amp;C177</f>
        <v/>
      </c>
      <c r="C177" s="241">
        <f>IFERROR(IF(I177="Home","Away",IF(I177="Away","Home","")),"")</f>
        <v/>
      </c>
      <c r="D177" s="242">
        <f>H177</f>
        <v/>
      </c>
      <c r="E177" s="157">
        <f>IFERROR(IF(AND(F177&gt;0,T177&gt;V177),"Yes",IF(AND(F177&gt;0,T177&lt;V177),"No",IF(AND(F177&lt;0,T177&lt;V177),"Yes",IF(AND(F177&lt;0,T177&gt;V177),"No",0)))),"")</f>
        <v/>
      </c>
      <c r="F177" s="263">
        <f>IFERROR((N177/MAX(N:N)*_MOVw)+(O177/MAX(O:O)*_WINw)+(P177/MAX(P:P)*_PPGw)+(Q177/MAX(Q:Q)*_ORw)+(R177/MAX(R:R)*_DRw),"")</f>
        <v/>
      </c>
      <c r="N177" s="156">
        <f>IFERROR(VLOOKUP(H177,Matrix!A:AC,12,0)-VLOOKUP(J177,Matrix!A:AC,12,0),"")</f>
        <v/>
      </c>
      <c r="O177" s="182">
        <f>IFERROR(AVERAGEIFS(2025Schedule!O:O,2025Schedule!E:E,H177,2025Schedule!N:N,A177)-AVERAGEIFS(2025Schedule!O:O,2025Schedule!E:E,J177,2025Schedule!N:N,B177),0)</f>
        <v/>
      </c>
      <c r="P177" s="156">
        <f>IFERROR(VLOOKUP(H177,Matrix!A:D,2,0)-VLOOKUP(J177,Matrix!A:D,2,0),"")</f>
        <v/>
      </c>
      <c r="Q177" s="156">
        <f>IFERROR(VLOOKUP(H177,Matrix!A:AC,15,0)-VLOOKUP(J177,Matrix!A:AC,15,0),"")</f>
        <v/>
      </c>
      <c r="R177" s="156">
        <f>IFERROR(VLOOKUP(H177,Matrix!A:AC,16,0)-VLOOKUP(J177,Matrix!A:AC,16,0),"")</f>
        <v/>
      </c>
      <c r="S177" s="195">
        <f>H177</f>
        <v/>
      </c>
      <c r="T177" s="195">
        <f>IFERROR(VLOOKUP(G177&amp;H177,2025Schedule!A:F,6,0),"")</f>
        <v/>
      </c>
      <c r="U177" s="264">
        <f>J177</f>
        <v/>
      </c>
      <c r="V177" s="195">
        <f>IFERROR(VLOOKUP(G177&amp;J177,2025Schedule!A:F,6,0),"")</f>
        <v/>
      </c>
    </row>
    <row r="178" ht="14.4" customHeight="1" s="152">
      <c r="A178" s="241">
        <f>H178&amp;I178</f>
        <v/>
      </c>
      <c r="B178" s="241">
        <f>J178&amp;C178</f>
        <v/>
      </c>
      <c r="C178" s="241">
        <f>IFERROR(IF(I178="Home","Away",IF(I178="Away","Home","")),"")</f>
        <v/>
      </c>
      <c r="D178" s="242">
        <f>H178</f>
        <v/>
      </c>
      <c r="E178" s="157">
        <f>IFERROR(IF(AND(F178&gt;0,T178&gt;V178),"Yes",IF(AND(F178&gt;0,T178&lt;V178),"No",IF(AND(F178&lt;0,T178&lt;V178),"Yes",IF(AND(F178&lt;0,T178&gt;V178),"No",0)))),"")</f>
        <v/>
      </c>
      <c r="F178" s="263">
        <f>IFERROR((N178/MAX(N:N)*_MOVw)+(O178/MAX(O:O)*_WINw)+(P178/MAX(P:P)*_PPGw)+(Q178/MAX(Q:Q)*_ORw)+(R178/MAX(R:R)*_DRw),"")</f>
        <v/>
      </c>
      <c r="N178" s="156">
        <f>IFERROR(VLOOKUP(H178,Matrix!A:AC,12,0)-VLOOKUP(J178,Matrix!A:AC,12,0),"")</f>
        <v/>
      </c>
      <c r="O178" s="182">
        <f>IFERROR(AVERAGEIFS(2025Schedule!O:O,2025Schedule!E:E,H178,2025Schedule!N:N,A178)-AVERAGEIFS(2025Schedule!O:O,2025Schedule!E:E,J178,2025Schedule!N:N,B178),0)</f>
        <v/>
      </c>
      <c r="P178" s="156">
        <f>IFERROR(VLOOKUP(H178,Matrix!A:D,2,0)-VLOOKUP(J178,Matrix!A:D,2,0),"")</f>
        <v/>
      </c>
      <c r="Q178" s="156">
        <f>IFERROR(VLOOKUP(H178,Matrix!A:AC,15,0)-VLOOKUP(J178,Matrix!A:AC,15,0),"")</f>
        <v/>
      </c>
      <c r="R178" s="156">
        <f>IFERROR(VLOOKUP(H178,Matrix!A:AC,16,0)-VLOOKUP(J178,Matrix!A:AC,16,0),"")</f>
        <v/>
      </c>
      <c r="S178" s="195">
        <f>H178</f>
        <v/>
      </c>
      <c r="T178" s="195">
        <f>IFERROR(VLOOKUP(G178&amp;H178,2025Schedule!A:F,6,0),"")</f>
        <v/>
      </c>
      <c r="U178" s="264">
        <f>J178</f>
        <v/>
      </c>
      <c r="V178" s="195">
        <f>IFERROR(VLOOKUP(G178&amp;J178,2025Schedule!A:F,6,0),"")</f>
        <v/>
      </c>
    </row>
    <row r="179" ht="14.4" customHeight="1" s="152">
      <c r="A179" s="241">
        <f>H179&amp;I179</f>
        <v/>
      </c>
      <c r="B179" s="241">
        <f>J179&amp;C179</f>
        <v/>
      </c>
      <c r="C179" s="241">
        <f>IFERROR(IF(I179="Home","Away",IF(I179="Away","Home","")),"")</f>
        <v/>
      </c>
      <c r="D179" s="242">
        <f>H179</f>
        <v/>
      </c>
      <c r="E179" s="157">
        <f>IFERROR(IF(AND(F179&gt;0,T179&gt;V179),"Yes",IF(AND(F179&gt;0,T179&lt;V179),"No",IF(AND(F179&lt;0,T179&lt;V179),"Yes",IF(AND(F179&lt;0,T179&gt;V179),"No",0)))),"")</f>
        <v/>
      </c>
      <c r="F179" s="263">
        <f>IFERROR((N179/MAX(N:N)*_MOVw)+(O179/MAX(O:O)*_WINw)+(P179/MAX(P:P)*_PPGw)+(Q179/MAX(Q:Q)*_ORw)+(R179/MAX(R:R)*_DRw),"")</f>
        <v/>
      </c>
      <c r="N179" s="156">
        <f>IFERROR(VLOOKUP(H179,Matrix!A:AC,12,0)-VLOOKUP(J179,Matrix!A:AC,12,0),"")</f>
        <v/>
      </c>
      <c r="O179" s="182">
        <f>IFERROR(AVERAGEIFS(2025Schedule!O:O,2025Schedule!E:E,H179,2025Schedule!N:N,A179)-AVERAGEIFS(2025Schedule!O:O,2025Schedule!E:E,J179,2025Schedule!N:N,B179),0)</f>
        <v/>
      </c>
      <c r="P179" s="156">
        <f>IFERROR(VLOOKUP(H179,Matrix!A:D,2,0)-VLOOKUP(J179,Matrix!A:D,2,0),"")</f>
        <v/>
      </c>
      <c r="Q179" s="156">
        <f>IFERROR(VLOOKUP(H179,Matrix!A:AC,15,0)-VLOOKUP(J179,Matrix!A:AC,15,0),"")</f>
        <v/>
      </c>
      <c r="R179" s="156">
        <f>IFERROR(VLOOKUP(H179,Matrix!A:AC,16,0)-VLOOKUP(J179,Matrix!A:AC,16,0),"")</f>
        <v/>
      </c>
      <c r="S179" s="195">
        <f>H179</f>
        <v/>
      </c>
      <c r="T179" s="195">
        <f>IFERROR(VLOOKUP(G179&amp;H179,2025Schedule!A:F,6,0),"")</f>
        <v/>
      </c>
      <c r="U179" s="264">
        <f>J179</f>
        <v/>
      </c>
      <c r="V179" s="195">
        <f>IFERROR(VLOOKUP(G179&amp;J179,2025Schedule!A:F,6,0),"")</f>
        <v/>
      </c>
    </row>
    <row r="180" ht="14.4" customHeight="1" s="152">
      <c r="A180" s="241">
        <f>H180&amp;I180</f>
        <v/>
      </c>
      <c r="B180" s="241">
        <f>J180&amp;C180</f>
        <v/>
      </c>
      <c r="C180" s="241">
        <f>IFERROR(IF(I180="Home","Away",IF(I180="Away","Home","")),"")</f>
        <v/>
      </c>
      <c r="D180" s="242">
        <f>H180</f>
        <v/>
      </c>
      <c r="E180" s="157">
        <f>IFERROR(IF(AND(F180&gt;0,T180&gt;V180),"Yes",IF(AND(F180&gt;0,T180&lt;V180),"No",IF(AND(F180&lt;0,T180&lt;V180),"Yes",IF(AND(F180&lt;0,T180&gt;V180),"No",0)))),"")</f>
        <v/>
      </c>
      <c r="F180" s="263">
        <f>IFERROR((N180/MAX(N:N)*_MOVw)+(O180/MAX(O:O)*_WINw)+(P180/MAX(P:P)*_PPGw)+(Q180/MAX(Q:Q)*_ORw)+(R180/MAX(R:R)*_DRw),"")</f>
        <v/>
      </c>
      <c r="N180" s="156">
        <f>IFERROR(VLOOKUP(H180,Matrix!A:AC,12,0)-VLOOKUP(J180,Matrix!A:AC,12,0),"")</f>
        <v/>
      </c>
      <c r="O180" s="182">
        <f>IFERROR(AVERAGEIFS(2025Schedule!O:O,2025Schedule!E:E,H180,2025Schedule!N:N,A180)-AVERAGEIFS(2025Schedule!O:O,2025Schedule!E:E,J180,2025Schedule!N:N,B180),0)</f>
        <v/>
      </c>
      <c r="P180" s="156">
        <f>IFERROR(VLOOKUP(H180,Matrix!A:D,2,0)-VLOOKUP(J180,Matrix!A:D,2,0),"")</f>
        <v/>
      </c>
      <c r="Q180" s="156">
        <f>IFERROR(VLOOKUP(H180,Matrix!A:AC,15,0)-VLOOKUP(J180,Matrix!A:AC,15,0),"")</f>
        <v/>
      </c>
      <c r="R180" s="156">
        <f>IFERROR(VLOOKUP(H180,Matrix!A:AC,16,0)-VLOOKUP(J180,Matrix!A:AC,16,0),"")</f>
        <v/>
      </c>
      <c r="S180" s="195">
        <f>H180</f>
        <v/>
      </c>
      <c r="T180" s="195">
        <f>IFERROR(VLOOKUP(G180&amp;H180,2025Schedule!A:F,6,0),"")</f>
        <v/>
      </c>
      <c r="U180" s="264">
        <f>J180</f>
        <v/>
      </c>
      <c r="V180" s="195">
        <f>IFERROR(VLOOKUP(G180&amp;J180,2025Schedule!A:F,6,0),"")</f>
        <v/>
      </c>
    </row>
    <row r="181" ht="14.4" customHeight="1" s="152">
      <c r="A181" s="241">
        <f>H181&amp;I181</f>
        <v/>
      </c>
      <c r="B181" s="241">
        <f>J181&amp;C181</f>
        <v/>
      </c>
      <c r="C181" s="241">
        <f>IFERROR(IF(I181="Home","Away",IF(I181="Away","Home","")),"")</f>
        <v/>
      </c>
      <c r="D181" s="242">
        <f>H181</f>
        <v/>
      </c>
      <c r="E181" s="157">
        <f>IFERROR(IF(AND(F181&gt;0,T181&gt;V181),"Yes",IF(AND(F181&gt;0,T181&lt;V181),"No",IF(AND(F181&lt;0,T181&lt;V181),"Yes",IF(AND(F181&lt;0,T181&gt;V181),"No",0)))),"")</f>
        <v/>
      </c>
      <c r="F181" s="263">
        <f>IFERROR((N181/MAX(N:N)*_MOVw)+(O181/MAX(O:O)*_WINw)+(P181/MAX(P:P)*_PPGw)+(Q181/MAX(Q:Q)*_ORw)+(R181/MAX(R:R)*_DRw),"")</f>
        <v/>
      </c>
      <c r="N181" s="156">
        <f>IFERROR(VLOOKUP(H181,Matrix!A:AC,12,0)-VLOOKUP(J181,Matrix!A:AC,12,0),"")</f>
        <v/>
      </c>
      <c r="O181" s="182">
        <f>IFERROR(AVERAGEIFS(2025Schedule!O:O,2025Schedule!E:E,H181,2025Schedule!N:N,A181)-AVERAGEIFS(2025Schedule!O:O,2025Schedule!E:E,J181,2025Schedule!N:N,B181),0)</f>
        <v/>
      </c>
      <c r="P181" s="156">
        <f>IFERROR(VLOOKUP(H181,Matrix!A:D,2,0)-VLOOKUP(J181,Matrix!A:D,2,0),"")</f>
        <v/>
      </c>
      <c r="Q181" s="156">
        <f>IFERROR(VLOOKUP(H181,Matrix!A:AC,15,0)-VLOOKUP(J181,Matrix!A:AC,15,0),"")</f>
        <v/>
      </c>
      <c r="R181" s="156">
        <f>IFERROR(VLOOKUP(H181,Matrix!A:AC,16,0)-VLOOKUP(J181,Matrix!A:AC,16,0),"")</f>
        <v/>
      </c>
      <c r="S181" s="195">
        <f>H181</f>
        <v/>
      </c>
      <c r="T181" s="195">
        <f>IFERROR(VLOOKUP(G181&amp;H181,2025Schedule!A:F,6,0),"")</f>
        <v/>
      </c>
      <c r="U181" s="264">
        <f>J181</f>
        <v/>
      </c>
      <c r="V181" s="195">
        <f>IFERROR(VLOOKUP(G181&amp;J181,2025Schedule!A:F,6,0),"")</f>
        <v/>
      </c>
    </row>
    <row r="182" ht="14.4" customHeight="1" s="152">
      <c r="A182" s="241">
        <f>H182&amp;I182</f>
        <v/>
      </c>
      <c r="B182" s="241">
        <f>J182&amp;C182</f>
        <v/>
      </c>
      <c r="C182" s="241">
        <f>IFERROR(IF(I182="Home","Away",IF(I182="Away","Home","")),"")</f>
        <v/>
      </c>
      <c r="D182" s="242">
        <f>H182</f>
        <v/>
      </c>
      <c r="E182" s="157">
        <f>IFERROR(IF(AND(F182&gt;0,T182&gt;V182),"Yes",IF(AND(F182&gt;0,T182&lt;V182),"No",IF(AND(F182&lt;0,T182&lt;V182),"Yes",IF(AND(F182&lt;0,T182&gt;V182),"No",0)))),"")</f>
        <v/>
      </c>
      <c r="F182" s="263">
        <f>IFERROR((N182/MAX(N:N)*_MOVw)+(O182/MAX(O:O)*_WINw)+(P182/MAX(P:P)*_PPGw)+(Q182/MAX(Q:Q)*_ORw)+(R182/MAX(R:R)*_DRw),"")</f>
        <v/>
      </c>
      <c r="N182" s="156">
        <f>IFERROR(VLOOKUP(H182,Matrix!A:AC,12,0)-VLOOKUP(J182,Matrix!A:AC,12,0),"")</f>
        <v/>
      </c>
      <c r="O182" s="182">
        <f>IFERROR(AVERAGEIFS(2025Schedule!O:O,2025Schedule!E:E,H182,2025Schedule!N:N,A182)-AVERAGEIFS(2025Schedule!O:O,2025Schedule!E:E,J182,2025Schedule!N:N,B182),0)</f>
        <v/>
      </c>
      <c r="P182" s="156">
        <f>IFERROR(VLOOKUP(H182,Matrix!A:D,2,0)-VLOOKUP(J182,Matrix!A:D,2,0),"")</f>
        <v/>
      </c>
      <c r="Q182" s="156">
        <f>IFERROR(VLOOKUP(H182,Matrix!A:AC,15,0)-VLOOKUP(J182,Matrix!A:AC,15,0),"")</f>
        <v/>
      </c>
      <c r="R182" s="156">
        <f>IFERROR(VLOOKUP(H182,Matrix!A:AC,16,0)-VLOOKUP(J182,Matrix!A:AC,16,0),"")</f>
        <v/>
      </c>
      <c r="S182" s="195">
        <f>H182</f>
        <v/>
      </c>
      <c r="T182" s="195">
        <f>IFERROR(VLOOKUP(G182&amp;H182,2025Schedule!A:F,6,0),"")</f>
        <v/>
      </c>
      <c r="U182" s="264">
        <f>J182</f>
        <v/>
      </c>
      <c r="V182" s="195">
        <f>IFERROR(VLOOKUP(G182&amp;J182,2025Schedule!A:F,6,0),"")</f>
        <v/>
      </c>
    </row>
    <row r="183" ht="14.4" customHeight="1" s="152">
      <c r="A183" s="241">
        <f>H183&amp;I183</f>
        <v/>
      </c>
      <c r="B183" s="241">
        <f>J183&amp;C183</f>
        <v/>
      </c>
      <c r="C183" s="241">
        <f>IFERROR(IF(I183="Home","Away",IF(I183="Away","Home","")),"")</f>
        <v/>
      </c>
      <c r="D183" s="242">
        <f>H183</f>
        <v/>
      </c>
      <c r="E183" s="157">
        <f>IFERROR(IF(AND(F183&gt;0,T183&gt;V183),"Yes",IF(AND(F183&gt;0,T183&lt;V183),"No",IF(AND(F183&lt;0,T183&lt;V183),"Yes",IF(AND(F183&lt;0,T183&gt;V183),"No",0)))),"")</f>
        <v/>
      </c>
      <c r="F183" s="263">
        <f>IFERROR((N183/MAX(N:N)*_MOVw)+(O183/MAX(O:O)*_WINw)+(P183/MAX(P:P)*_PPGw)+(Q183/MAX(Q:Q)*_ORw)+(R183/MAX(R:R)*_DRw),"")</f>
        <v/>
      </c>
      <c r="N183" s="156">
        <f>IFERROR(VLOOKUP(H183,Matrix!A:AC,12,0)-VLOOKUP(J183,Matrix!A:AC,12,0),"")</f>
        <v/>
      </c>
      <c r="O183" s="182">
        <f>IFERROR(AVERAGEIFS(2025Schedule!O:O,2025Schedule!E:E,H183,2025Schedule!N:N,A183)-AVERAGEIFS(2025Schedule!O:O,2025Schedule!E:E,J183,2025Schedule!N:N,B183),0)</f>
        <v/>
      </c>
      <c r="P183" s="156">
        <f>IFERROR(VLOOKUP(H183,Matrix!A:D,2,0)-VLOOKUP(J183,Matrix!A:D,2,0),"")</f>
        <v/>
      </c>
      <c r="Q183" s="156">
        <f>IFERROR(VLOOKUP(H183,Matrix!A:AC,15,0)-VLOOKUP(J183,Matrix!A:AC,15,0),"")</f>
        <v/>
      </c>
      <c r="R183" s="156">
        <f>IFERROR(VLOOKUP(H183,Matrix!A:AC,16,0)-VLOOKUP(J183,Matrix!A:AC,16,0),"")</f>
        <v/>
      </c>
      <c r="S183" s="195">
        <f>H183</f>
        <v/>
      </c>
      <c r="T183" s="195">
        <f>IFERROR(VLOOKUP(G183&amp;H183,2025Schedule!A:F,6,0),"")</f>
        <v/>
      </c>
      <c r="U183" s="264">
        <f>J183</f>
        <v/>
      </c>
      <c r="V183" s="195">
        <f>IFERROR(VLOOKUP(G183&amp;J183,2025Schedule!A:F,6,0),"")</f>
        <v/>
      </c>
    </row>
    <row r="184" ht="14.4" customHeight="1" s="152">
      <c r="A184" s="241">
        <f>H184&amp;I184</f>
        <v/>
      </c>
      <c r="B184" s="241">
        <f>J184&amp;C184</f>
        <v/>
      </c>
      <c r="C184" s="241">
        <f>IFERROR(IF(I184="Home","Away",IF(I184="Away","Home","")),"")</f>
        <v/>
      </c>
      <c r="D184" s="242">
        <f>H184</f>
        <v/>
      </c>
      <c r="E184" s="157">
        <f>IFERROR(IF(AND(F184&gt;0,T184&gt;V184),"Yes",IF(AND(F184&gt;0,T184&lt;V184),"No",IF(AND(F184&lt;0,T184&lt;V184),"Yes",IF(AND(F184&lt;0,T184&gt;V184),"No",0)))),"")</f>
        <v/>
      </c>
      <c r="F184" s="263">
        <f>IFERROR((N184/MAX(N:N)*_MOVw)+(O184/MAX(O:O)*_WINw)+(P184/MAX(P:P)*_PPGw)+(Q184/MAX(Q:Q)*_ORw)+(R184/MAX(R:R)*_DRw),"")</f>
        <v/>
      </c>
      <c r="N184" s="156">
        <f>IFERROR(VLOOKUP(H184,Matrix!A:AC,12,0)-VLOOKUP(J184,Matrix!A:AC,12,0),"")</f>
        <v/>
      </c>
      <c r="O184" s="182">
        <f>IFERROR(AVERAGEIFS(2025Schedule!O:O,2025Schedule!E:E,H184,2025Schedule!N:N,A184)-AVERAGEIFS(2025Schedule!O:O,2025Schedule!E:E,J184,2025Schedule!N:N,B184),0)</f>
        <v/>
      </c>
      <c r="P184" s="156">
        <f>IFERROR(VLOOKUP(H184,Matrix!A:D,2,0)-VLOOKUP(J184,Matrix!A:D,2,0),"")</f>
        <v/>
      </c>
      <c r="Q184" s="156">
        <f>IFERROR(VLOOKUP(H184,Matrix!A:AC,15,0)-VLOOKUP(J184,Matrix!A:AC,15,0),"")</f>
        <v/>
      </c>
      <c r="R184" s="156">
        <f>IFERROR(VLOOKUP(H184,Matrix!A:AC,16,0)-VLOOKUP(J184,Matrix!A:AC,16,0),"")</f>
        <v/>
      </c>
      <c r="S184" s="195">
        <f>H184</f>
        <v/>
      </c>
      <c r="T184" s="195">
        <f>IFERROR(VLOOKUP(G184&amp;H184,2025Schedule!A:F,6,0),"")</f>
        <v/>
      </c>
      <c r="U184" s="264">
        <f>J184</f>
        <v/>
      </c>
      <c r="V184" s="195">
        <f>IFERROR(VLOOKUP(G184&amp;J184,2025Schedule!A:F,6,0),"")</f>
        <v/>
      </c>
    </row>
    <row r="185" ht="14.4" customHeight="1" s="152">
      <c r="A185" s="241">
        <f>H185&amp;I185</f>
        <v/>
      </c>
      <c r="B185" s="241">
        <f>J185&amp;C185</f>
        <v/>
      </c>
      <c r="C185" s="241">
        <f>IFERROR(IF(I185="Home","Away",IF(I185="Away","Home","")),"")</f>
        <v/>
      </c>
      <c r="D185" s="242">
        <f>H185</f>
        <v/>
      </c>
      <c r="E185" s="157">
        <f>IFERROR(IF(AND(F185&gt;0,T185&gt;V185),"Yes",IF(AND(F185&gt;0,T185&lt;V185),"No",IF(AND(F185&lt;0,T185&lt;V185),"Yes",IF(AND(F185&lt;0,T185&gt;V185),"No",0)))),"")</f>
        <v/>
      </c>
      <c r="F185" s="263">
        <f>IFERROR((N185/MAX(N:N)*_MOVw)+(O185/MAX(O:O)*_WINw)+(P185/MAX(P:P)*_PPGw)+(Q185/MAX(Q:Q)*_ORw)+(R185/MAX(R:R)*_DRw),"")</f>
        <v/>
      </c>
      <c r="N185" s="156">
        <f>IFERROR(VLOOKUP(H185,Matrix!A:AC,12,0)-VLOOKUP(J185,Matrix!A:AC,12,0),"")</f>
        <v/>
      </c>
      <c r="O185" s="182">
        <f>IFERROR(AVERAGEIFS(2025Schedule!O:O,2025Schedule!E:E,H185,2025Schedule!N:N,A185)-AVERAGEIFS(2025Schedule!O:O,2025Schedule!E:E,J185,2025Schedule!N:N,B185),0)</f>
        <v/>
      </c>
      <c r="P185" s="156">
        <f>IFERROR(VLOOKUP(H185,Matrix!A:D,2,0)-VLOOKUP(J185,Matrix!A:D,2,0),"")</f>
        <v/>
      </c>
      <c r="Q185" s="156">
        <f>IFERROR(VLOOKUP(H185,Matrix!A:AC,15,0)-VLOOKUP(J185,Matrix!A:AC,15,0),"")</f>
        <v/>
      </c>
      <c r="R185" s="156">
        <f>IFERROR(VLOOKUP(H185,Matrix!A:AC,16,0)-VLOOKUP(J185,Matrix!A:AC,16,0),"")</f>
        <v/>
      </c>
      <c r="S185" s="195">
        <f>H185</f>
        <v/>
      </c>
      <c r="T185" s="195">
        <f>IFERROR(VLOOKUP(G185&amp;H185,2025Schedule!A:F,6,0),"")</f>
        <v/>
      </c>
      <c r="U185" s="264">
        <f>J185</f>
        <v/>
      </c>
      <c r="V185" s="195">
        <f>IFERROR(VLOOKUP(G185&amp;J185,2025Schedule!A:F,6,0),"")</f>
        <v/>
      </c>
    </row>
    <row r="186" ht="14.4" customHeight="1" s="152">
      <c r="A186" s="241">
        <f>H186&amp;I186</f>
        <v/>
      </c>
      <c r="B186" s="241">
        <f>J186&amp;C186</f>
        <v/>
      </c>
      <c r="C186" s="241">
        <f>IFERROR(IF(I186="Home","Away",IF(I186="Away","Home","")),"")</f>
        <v/>
      </c>
      <c r="D186" s="242">
        <f>H186</f>
        <v/>
      </c>
      <c r="E186" s="157">
        <f>IFERROR(IF(AND(F186&gt;0,T186&gt;V186),"Yes",IF(AND(F186&gt;0,T186&lt;V186),"No",IF(AND(F186&lt;0,T186&lt;V186),"Yes",IF(AND(F186&lt;0,T186&gt;V186),"No",0)))),"")</f>
        <v/>
      </c>
      <c r="F186" s="263">
        <f>IFERROR((N186/MAX(N:N)*_MOVw)+(O186/MAX(O:O)*_WINw)+(P186/MAX(P:P)*_PPGw)+(Q186/MAX(Q:Q)*_ORw)+(R186/MAX(R:R)*_DRw),"")</f>
        <v/>
      </c>
      <c r="N186" s="156">
        <f>IFERROR(VLOOKUP(H186,Matrix!A:AC,12,0)-VLOOKUP(J186,Matrix!A:AC,12,0),"")</f>
        <v/>
      </c>
      <c r="O186" s="182">
        <f>IFERROR(AVERAGEIFS(2025Schedule!O:O,2025Schedule!E:E,H186,2025Schedule!N:N,A186)-AVERAGEIFS(2025Schedule!O:O,2025Schedule!E:E,J186,2025Schedule!N:N,B186),0)</f>
        <v/>
      </c>
      <c r="P186" s="156">
        <f>IFERROR(VLOOKUP(H186,Matrix!A:D,2,0)-VLOOKUP(J186,Matrix!A:D,2,0),"")</f>
        <v/>
      </c>
      <c r="Q186" s="156">
        <f>IFERROR(VLOOKUP(H186,Matrix!A:AC,15,0)-VLOOKUP(J186,Matrix!A:AC,15,0),"")</f>
        <v/>
      </c>
      <c r="R186" s="156">
        <f>IFERROR(VLOOKUP(H186,Matrix!A:AC,16,0)-VLOOKUP(J186,Matrix!A:AC,16,0),"")</f>
        <v/>
      </c>
      <c r="S186" s="195">
        <f>H186</f>
        <v/>
      </c>
      <c r="T186" s="195">
        <f>IFERROR(VLOOKUP(G186&amp;H186,2025Schedule!A:F,6,0),"")</f>
        <v/>
      </c>
      <c r="U186" s="264">
        <f>J186</f>
        <v/>
      </c>
      <c r="V186" s="195">
        <f>IFERROR(VLOOKUP(G186&amp;J186,2025Schedule!A:F,6,0),"")</f>
        <v/>
      </c>
    </row>
    <row r="187" ht="14.4" customHeight="1" s="152">
      <c r="A187" s="241">
        <f>H187&amp;I187</f>
        <v/>
      </c>
      <c r="B187" s="241">
        <f>J187&amp;C187</f>
        <v/>
      </c>
      <c r="C187" s="241">
        <f>IFERROR(IF(I187="Home","Away",IF(I187="Away","Home","")),"")</f>
        <v/>
      </c>
      <c r="D187" s="242">
        <f>H187</f>
        <v/>
      </c>
      <c r="E187" s="157">
        <f>IFERROR(IF(AND(F187&gt;0,T187&gt;V187),"Yes",IF(AND(F187&gt;0,T187&lt;V187),"No",IF(AND(F187&lt;0,T187&lt;V187),"Yes",IF(AND(F187&lt;0,T187&gt;V187),"No",0)))),"")</f>
        <v/>
      </c>
      <c r="F187" s="263">
        <f>IFERROR((N187/MAX(N:N)*_MOVw)+(O187/MAX(O:O)*_WINw)+(P187/MAX(P:P)*_PPGw)+(Q187/MAX(Q:Q)*_ORw)+(R187/MAX(R:R)*_DRw),"")</f>
        <v/>
      </c>
      <c r="N187" s="156">
        <f>IFERROR(VLOOKUP(H187,Matrix!A:AC,12,0)-VLOOKUP(J187,Matrix!A:AC,12,0),"")</f>
        <v/>
      </c>
      <c r="O187" s="182">
        <f>IFERROR(AVERAGEIFS(2025Schedule!O:O,2025Schedule!E:E,H187,2025Schedule!N:N,A187)-AVERAGEIFS(2025Schedule!O:O,2025Schedule!E:E,J187,2025Schedule!N:N,B187),0)</f>
        <v/>
      </c>
      <c r="P187" s="156">
        <f>IFERROR(VLOOKUP(H187,Matrix!A:D,2,0)-VLOOKUP(J187,Matrix!A:D,2,0),"")</f>
        <v/>
      </c>
      <c r="Q187" s="156">
        <f>IFERROR(VLOOKUP(H187,Matrix!A:AC,15,0)-VLOOKUP(J187,Matrix!A:AC,15,0),"")</f>
        <v/>
      </c>
      <c r="R187" s="156">
        <f>IFERROR(VLOOKUP(H187,Matrix!A:AC,16,0)-VLOOKUP(J187,Matrix!A:AC,16,0),"")</f>
        <v/>
      </c>
      <c r="S187" s="195">
        <f>H187</f>
        <v/>
      </c>
      <c r="T187" s="195">
        <f>IFERROR(VLOOKUP(G187&amp;H187,2025Schedule!A:F,6,0),"")</f>
        <v/>
      </c>
      <c r="U187" s="264">
        <f>J187</f>
        <v/>
      </c>
      <c r="V187" s="195">
        <f>IFERROR(VLOOKUP(G187&amp;J187,2025Schedule!A:F,6,0),"")</f>
        <v/>
      </c>
    </row>
    <row r="188" ht="14.4" customHeight="1" s="152">
      <c r="A188" s="241">
        <f>H188&amp;I188</f>
        <v/>
      </c>
      <c r="B188" s="241">
        <f>J188&amp;C188</f>
        <v/>
      </c>
      <c r="C188" s="241">
        <f>IFERROR(IF(I188="Home","Away",IF(I188="Away","Home","")),"")</f>
        <v/>
      </c>
      <c r="D188" s="242">
        <f>H188</f>
        <v/>
      </c>
      <c r="E188" s="157">
        <f>IFERROR(IF(AND(F188&gt;0,T188&gt;V188),"Yes",IF(AND(F188&gt;0,T188&lt;V188),"No",IF(AND(F188&lt;0,T188&lt;V188),"Yes",IF(AND(F188&lt;0,T188&gt;V188),"No",0)))),"")</f>
        <v/>
      </c>
      <c r="F188" s="263">
        <f>IFERROR((N188/MAX(N:N)*_MOVw)+(O188/MAX(O:O)*_WINw)+(P188/MAX(P:P)*_PPGw)+(Q188/MAX(Q:Q)*_ORw)+(R188/MAX(R:R)*_DRw),"")</f>
        <v/>
      </c>
      <c r="N188" s="156">
        <f>IFERROR(VLOOKUP(H188,Matrix!A:AC,12,0)-VLOOKUP(J188,Matrix!A:AC,12,0),"")</f>
        <v/>
      </c>
      <c r="O188" s="182">
        <f>IFERROR(AVERAGEIFS(2025Schedule!O:O,2025Schedule!E:E,H188,2025Schedule!N:N,A188)-AVERAGEIFS(2025Schedule!O:O,2025Schedule!E:E,J188,2025Schedule!N:N,B188),0)</f>
        <v/>
      </c>
      <c r="P188" s="156">
        <f>IFERROR(VLOOKUP(H188,Matrix!A:D,2,0)-VLOOKUP(J188,Matrix!A:D,2,0),"")</f>
        <v/>
      </c>
      <c r="Q188" s="156">
        <f>IFERROR(VLOOKUP(H188,Matrix!A:AC,15,0)-VLOOKUP(J188,Matrix!A:AC,15,0),"")</f>
        <v/>
      </c>
      <c r="R188" s="156">
        <f>IFERROR(VLOOKUP(H188,Matrix!A:AC,16,0)-VLOOKUP(J188,Matrix!A:AC,16,0),"")</f>
        <v/>
      </c>
      <c r="S188" s="195">
        <f>H188</f>
        <v/>
      </c>
      <c r="T188" s="195">
        <f>IFERROR(VLOOKUP(G188&amp;H188,2025Schedule!A:F,6,0),"")</f>
        <v/>
      </c>
      <c r="U188" s="264">
        <f>J188</f>
        <v/>
      </c>
      <c r="V188" s="195">
        <f>IFERROR(VLOOKUP(G188&amp;J188,2025Schedule!A:F,6,0),"")</f>
        <v/>
      </c>
    </row>
    <row r="189" ht="14.4" customHeight="1" s="152">
      <c r="A189" s="241">
        <f>H189&amp;I189</f>
        <v/>
      </c>
      <c r="B189" s="241">
        <f>J189&amp;C189</f>
        <v/>
      </c>
      <c r="C189" s="241">
        <f>IFERROR(IF(I189="Home","Away",IF(I189="Away","Home","")),"")</f>
        <v/>
      </c>
      <c r="D189" s="242">
        <f>H189</f>
        <v/>
      </c>
      <c r="E189" s="157">
        <f>IFERROR(IF(AND(F189&gt;0,T189&gt;V189),"Yes",IF(AND(F189&gt;0,T189&lt;V189),"No",IF(AND(F189&lt;0,T189&lt;V189),"Yes",IF(AND(F189&lt;0,T189&gt;V189),"No",0)))),"")</f>
        <v/>
      </c>
      <c r="F189" s="263">
        <f>IFERROR((N189/MAX(N:N)*_MOVw)+(O189/MAX(O:O)*_WINw)+(P189/MAX(P:P)*_PPGw)+(Q189/MAX(Q:Q)*_ORw)+(R189/MAX(R:R)*_DRw),"")</f>
        <v/>
      </c>
      <c r="N189" s="156">
        <f>IFERROR(VLOOKUP(H189,Matrix!A:AC,12,0)-VLOOKUP(J189,Matrix!A:AC,12,0),"")</f>
        <v/>
      </c>
      <c r="O189" s="182">
        <f>IFERROR(AVERAGEIFS(2025Schedule!O:O,2025Schedule!E:E,H189,2025Schedule!N:N,A189)-AVERAGEIFS(2025Schedule!O:O,2025Schedule!E:E,J189,2025Schedule!N:N,B189),0)</f>
        <v/>
      </c>
      <c r="P189" s="156">
        <f>IFERROR(VLOOKUP(H189,Matrix!A:D,2,0)-VLOOKUP(J189,Matrix!A:D,2,0),"")</f>
        <v/>
      </c>
      <c r="Q189" s="156">
        <f>IFERROR(VLOOKUP(H189,Matrix!A:AC,15,0)-VLOOKUP(J189,Matrix!A:AC,15,0),"")</f>
        <v/>
      </c>
      <c r="R189" s="156">
        <f>IFERROR(VLOOKUP(H189,Matrix!A:AC,16,0)-VLOOKUP(J189,Matrix!A:AC,16,0),"")</f>
        <v/>
      </c>
      <c r="S189" s="195">
        <f>H189</f>
        <v/>
      </c>
      <c r="T189" s="195">
        <f>IFERROR(VLOOKUP(G189&amp;H189,2025Schedule!A:F,6,0),"")</f>
        <v/>
      </c>
      <c r="U189" s="264">
        <f>J189</f>
        <v/>
      </c>
      <c r="V189" s="195">
        <f>IFERROR(VLOOKUP(G189&amp;J189,2025Schedule!A:F,6,0),"")</f>
        <v/>
      </c>
    </row>
    <row r="190" ht="14.4" customHeight="1" s="152">
      <c r="A190" s="241">
        <f>H190&amp;I190</f>
        <v/>
      </c>
      <c r="B190" s="241">
        <f>J190&amp;C190</f>
        <v/>
      </c>
      <c r="C190" s="241">
        <f>IFERROR(IF(I190="Home","Away",IF(I190="Away","Home","")),"")</f>
        <v/>
      </c>
      <c r="D190" s="242">
        <f>H190</f>
        <v/>
      </c>
      <c r="E190" s="157">
        <f>IFERROR(IF(AND(F190&gt;0,T190&gt;V190),"Yes",IF(AND(F190&gt;0,T190&lt;V190),"No",IF(AND(F190&lt;0,T190&lt;V190),"Yes",IF(AND(F190&lt;0,T190&gt;V190),"No",0)))),"")</f>
        <v/>
      </c>
      <c r="F190" s="263">
        <f>IFERROR((N190/MAX(N:N)*_MOVw)+(O190/MAX(O:O)*_WINw)+(P190/MAX(P:P)*_PPGw)+(Q190/MAX(Q:Q)*_ORw)+(R190/MAX(R:R)*_DRw),"")</f>
        <v/>
      </c>
      <c r="N190" s="156">
        <f>IFERROR(VLOOKUP(H190,Matrix!A:AC,12,0)-VLOOKUP(J190,Matrix!A:AC,12,0),"")</f>
        <v/>
      </c>
      <c r="O190" s="182">
        <f>IFERROR(AVERAGEIFS(2025Schedule!O:O,2025Schedule!E:E,H190,2025Schedule!N:N,A190)-AVERAGEIFS(2025Schedule!O:O,2025Schedule!E:E,J190,2025Schedule!N:N,B190),0)</f>
        <v/>
      </c>
      <c r="P190" s="156">
        <f>IFERROR(VLOOKUP(H190,Matrix!A:D,2,0)-VLOOKUP(J190,Matrix!A:D,2,0),"")</f>
        <v/>
      </c>
      <c r="Q190" s="156">
        <f>IFERROR(VLOOKUP(H190,Matrix!A:AC,15,0)-VLOOKUP(J190,Matrix!A:AC,15,0),"")</f>
        <v/>
      </c>
      <c r="R190" s="156">
        <f>IFERROR(VLOOKUP(H190,Matrix!A:AC,16,0)-VLOOKUP(J190,Matrix!A:AC,16,0),"")</f>
        <v/>
      </c>
      <c r="S190" s="195">
        <f>H190</f>
        <v/>
      </c>
      <c r="T190" s="195">
        <f>IFERROR(VLOOKUP(G190&amp;H190,2025Schedule!A:F,6,0),"")</f>
        <v/>
      </c>
      <c r="U190" s="264">
        <f>J190</f>
        <v/>
      </c>
      <c r="V190" s="195">
        <f>IFERROR(VLOOKUP(G190&amp;J190,2025Schedule!A:F,6,0),"")</f>
        <v/>
      </c>
    </row>
    <row r="191" ht="14.4" customHeight="1" s="152">
      <c r="A191" s="241">
        <f>H191&amp;I191</f>
        <v/>
      </c>
      <c r="B191" s="241">
        <f>J191&amp;C191</f>
        <v/>
      </c>
      <c r="C191" s="241">
        <f>IFERROR(IF(I191="Home","Away",IF(I191="Away","Home","")),"")</f>
        <v/>
      </c>
      <c r="D191" s="242">
        <f>H191</f>
        <v/>
      </c>
      <c r="E191" s="157">
        <f>IFERROR(IF(AND(F191&gt;0,T191&gt;V191),"Yes",IF(AND(F191&gt;0,T191&lt;V191),"No",IF(AND(F191&lt;0,T191&lt;V191),"Yes",IF(AND(F191&lt;0,T191&gt;V191),"No",0)))),"")</f>
        <v/>
      </c>
      <c r="F191" s="263">
        <f>IFERROR((N191/MAX(N:N)*_MOVw)+(O191/MAX(O:O)*_WINw)+(P191/MAX(P:P)*_PPGw)+(Q191/MAX(Q:Q)*_ORw)+(R191/MAX(R:R)*_DRw),"")</f>
        <v/>
      </c>
      <c r="N191" s="156">
        <f>IFERROR(VLOOKUP(H191,Matrix!A:AC,12,0)-VLOOKUP(J191,Matrix!A:AC,12,0),"")</f>
        <v/>
      </c>
      <c r="O191" s="182">
        <f>IFERROR(AVERAGEIFS(2025Schedule!O:O,2025Schedule!E:E,H191,2025Schedule!N:N,A191)-AVERAGEIFS(2025Schedule!O:O,2025Schedule!E:E,J191,2025Schedule!N:N,B191),0)</f>
        <v/>
      </c>
      <c r="P191" s="156">
        <f>IFERROR(VLOOKUP(H191,Matrix!A:D,2,0)-VLOOKUP(J191,Matrix!A:D,2,0),"")</f>
        <v/>
      </c>
      <c r="Q191" s="156">
        <f>IFERROR(VLOOKUP(H191,Matrix!A:AC,15,0)-VLOOKUP(J191,Matrix!A:AC,15,0),"")</f>
        <v/>
      </c>
      <c r="R191" s="156">
        <f>IFERROR(VLOOKUP(H191,Matrix!A:AC,16,0)-VLOOKUP(J191,Matrix!A:AC,16,0),"")</f>
        <v/>
      </c>
      <c r="S191" s="195">
        <f>H191</f>
        <v/>
      </c>
      <c r="T191" s="195">
        <f>IFERROR(VLOOKUP(G191&amp;H191,2025Schedule!A:F,6,0),"")</f>
        <v/>
      </c>
      <c r="U191" s="264">
        <f>J191</f>
        <v/>
      </c>
      <c r="V191" s="195">
        <f>IFERROR(VLOOKUP(G191&amp;J191,2025Schedule!A:F,6,0),"")</f>
        <v/>
      </c>
    </row>
    <row r="192" ht="14.4" customHeight="1" s="152">
      <c r="A192" s="241">
        <f>H192&amp;I192</f>
        <v/>
      </c>
      <c r="B192" s="241">
        <f>J192&amp;C192</f>
        <v/>
      </c>
      <c r="C192" s="241">
        <f>IFERROR(IF(I192="Home","Away",IF(I192="Away","Home","")),"")</f>
        <v/>
      </c>
      <c r="D192" s="242">
        <f>H192</f>
        <v/>
      </c>
      <c r="E192" s="157">
        <f>IFERROR(IF(AND(F192&gt;0,T192&gt;V192),"Yes",IF(AND(F192&gt;0,T192&lt;V192),"No",IF(AND(F192&lt;0,T192&lt;V192),"Yes",IF(AND(F192&lt;0,T192&gt;V192),"No",0)))),"")</f>
        <v/>
      </c>
      <c r="F192" s="263">
        <f>IFERROR((N192/MAX(N:N)*_MOVw)+(O192/MAX(O:O)*_WINw)+(P192/MAX(P:P)*_PPGw)+(Q192/MAX(Q:Q)*_ORw)+(R192/MAX(R:R)*_DRw),"")</f>
        <v/>
      </c>
      <c r="N192" s="156">
        <f>IFERROR(VLOOKUP(H192,Matrix!A:AC,12,0)-VLOOKUP(J192,Matrix!A:AC,12,0),"")</f>
        <v/>
      </c>
      <c r="O192" s="182">
        <f>IFERROR(AVERAGEIFS(2025Schedule!O:O,2025Schedule!E:E,H192,2025Schedule!N:N,A192)-AVERAGEIFS(2025Schedule!O:O,2025Schedule!E:E,J192,2025Schedule!N:N,B192),0)</f>
        <v/>
      </c>
      <c r="P192" s="156">
        <f>IFERROR(VLOOKUP(H192,Matrix!A:D,2,0)-VLOOKUP(J192,Matrix!A:D,2,0),"")</f>
        <v/>
      </c>
      <c r="Q192" s="156">
        <f>IFERROR(VLOOKUP(H192,Matrix!A:AC,15,0)-VLOOKUP(J192,Matrix!A:AC,15,0),"")</f>
        <v/>
      </c>
      <c r="R192" s="156">
        <f>IFERROR(VLOOKUP(H192,Matrix!A:AC,16,0)-VLOOKUP(J192,Matrix!A:AC,16,0),"")</f>
        <v/>
      </c>
      <c r="S192" s="195">
        <f>H192</f>
        <v/>
      </c>
      <c r="T192" s="195">
        <f>IFERROR(VLOOKUP(G192&amp;H192,2025Schedule!A:F,6,0),"")</f>
        <v/>
      </c>
      <c r="U192" s="264">
        <f>J192</f>
        <v/>
      </c>
      <c r="V192" s="195">
        <f>IFERROR(VLOOKUP(G192&amp;J192,2025Schedule!A:F,6,0),"")</f>
        <v/>
      </c>
    </row>
    <row r="193" ht="14.4" customHeight="1" s="152">
      <c r="A193" s="241">
        <f>H193&amp;I193</f>
        <v/>
      </c>
      <c r="B193" s="241">
        <f>J193&amp;C193</f>
        <v/>
      </c>
      <c r="C193" s="241">
        <f>IFERROR(IF(I193="Home","Away",IF(I193="Away","Home","")),"")</f>
        <v/>
      </c>
      <c r="D193" s="242">
        <f>H193</f>
        <v/>
      </c>
      <c r="E193" s="157">
        <f>IFERROR(IF(AND(F193&gt;0,T193&gt;V193),"Yes",IF(AND(F193&gt;0,T193&lt;V193),"No",IF(AND(F193&lt;0,T193&lt;V193),"Yes",IF(AND(F193&lt;0,T193&gt;V193),"No",0)))),"")</f>
        <v/>
      </c>
      <c r="F193" s="263">
        <f>IFERROR((N193/MAX(N:N)*_MOVw)+(O193/MAX(O:O)*_WINw)+(P193/MAX(P:P)*_PPGw)+(Q193/MAX(Q:Q)*_ORw)+(R193/MAX(R:R)*_DRw),"")</f>
        <v/>
      </c>
      <c r="N193" s="156">
        <f>IFERROR(VLOOKUP(H193,Matrix!A:AC,12,0)-VLOOKUP(J193,Matrix!A:AC,12,0),"")</f>
        <v/>
      </c>
      <c r="O193" s="182">
        <f>IFERROR(AVERAGEIFS(2025Schedule!O:O,2025Schedule!E:E,H193,2025Schedule!N:N,A193)-AVERAGEIFS(2025Schedule!O:O,2025Schedule!E:E,J193,2025Schedule!N:N,B193),0)</f>
        <v/>
      </c>
      <c r="P193" s="156">
        <f>IFERROR(VLOOKUP(H193,Matrix!A:D,2,0)-VLOOKUP(J193,Matrix!A:D,2,0),"")</f>
        <v/>
      </c>
      <c r="Q193" s="156">
        <f>IFERROR(VLOOKUP(H193,Matrix!A:AC,15,0)-VLOOKUP(J193,Matrix!A:AC,15,0),"")</f>
        <v/>
      </c>
      <c r="R193" s="156">
        <f>IFERROR(VLOOKUP(H193,Matrix!A:AC,16,0)-VLOOKUP(J193,Matrix!A:AC,16,0),"")</f>
        <v/>
      </c>
      <c r="S193" s="195">
        <f>H193</f>
        <v/>
      </c>
      <c r="T193" s="195">
        <f>IFERROR(VLOOKUP(G193&amp;H193,2025Schedule!A:F,6,0),"")</f>
        <v/>
      </c>
      <c r="U193" s="264">
        <f>J193</f>
        <v/>
      </c>
      <c r="V193" s="195">
        <f>IFERROR(VLOOKUP(G193&amp;J193,2025Schedule!A:F,6,0),"")</f>
        <v/>
      </c>
    </row>
    <row r="194" ht="14.4" customHeight="1" s="152">
      <c r="A194" s="241">
        <f>H194&amp;I194</f>
        <v/>
      </c>
      <c r="B194" s="241">
        <f>J194&amp;C194</f>
        <v/>
      </c>
      <c r="C194" s="241">
        <f>IFERROR(IF(I194="Home","Away",IF(I194="Away","Home","")),"")</f>
        <v/>
      </c>
      <c r="D194" s="242">
        <f>H194</f>
        <v/>
      </c>
      <c r="E194" s="157">
        <f>IFERROR(IF(AND(F194&gt;0,T194&gt;V194),"Yes",IF(AND(F194&gt;0,T194&lt;V194),"No",IF(AND(F194&lt;0,T194&lt;V194),"Yes",IF(AND(F194&lt;0,T194&gt;V194),"No",0)))),"")</f>
        <v/>
      </c>
      <c r="F194" s="263">
        <f>IFERROR((N194/MAX(N:N)*_MOVw)+(O194/MAX(O:O)*_WINw)+(P194/MAX(P:P)*_PPGw)+(Q194/MAX(Q:Q)*_ORw)+(R194/MAX(R:R)*_DRw),"")</f>
        <v/>
      </c>
      <c r="N194" s="156">
        <f>IFERROR(VLOOKUP(H194,Matrix!A:AC,12,0)-VLOOKUP(J194,Matrix!A:AC,12,0),"")</f>
        <v/>
      </c>
      <c r="O194" s="182">
        <f>IFERROR(AVERAGEIFS(2025Schedule!O:O,2025Schedule!E:E,H194,2025Schedule!N:N,A194)-AVERAGEIFS(2025Schedule!O:O,2025Schedule!E:E,J194,2025Schedule!N:N,B194),0)</f>
        <v/>
      </c>
      <c r="P194" s="156">
        <f>IFERROR(VLOOKUP(H194,Matrix!A:D,2,0)-VLOOKUP(J194,Matrix!A:D,2,0),"")</f>
        <v/>
      </c>
      <c r="Q194" s="156">
        <f>IFERROR(VLOOKUP(H194,Matrix!A:AC,15,0)-VLOOKUP(J194,Matrix!A:AC,15,0),"")</f>
        <v/>
      </c>
      <c r="R194" s="156">
        <f>IFERROR(VLOOKUP(H194,Matrix!A:AC,16,0)-VLOOKUP(J194,Matrix!A:AC,16,0),"")</f>
        <v/>
      </c>
      <c r="S194" s="195">
        <f>H194</f>
        <v/>
      </c>
      <c r="T194" s="195">
        <f>IFERROR(VLOOKUP(G194&amp;H194,2025Schedule!A:F,6,0),"")</f>
        <v/>
      </c>
      <c r="U194" s="264">
        <f>J194</f>
        <v/>
      </c>
      <c r="V194" s="195">
        <f>IFERROR(VLOOKUP(G194&amp;J194,2025Schedule!A:F,6,0),"")</f>
        <v/>
      </c>
    </row>
    <row r="195" ht="14.4" customHeight="1" s="152">
      <c r="A195" s="241">
        <f>H195&amp;I195</f>
        <v/>
      </c>
      <c r="B195" s="241">
        <f>J195&amp;C195</f>
        <v/>
      </c>
      <c r="C195" s="241">
        <f>IFERROR(IF(I195="Home","Away",IF(I195="Away","Home","")),"")</f>
        <v/>
      </c>
      <c r="D195" s="242">
        <f>H195</f>
        <v/>
      </c>
      <c r="E195" s="157">
        <f>IFERROR(IF(AND(F195&gt;0,T195&gt;V195),"Yes",IF(AND(F195&gt;0,T195&lt;V195),"No",IF(AND(F195&lt;0,T195&lt;V195),"Yes",IF(AND(F195&lt;0,T195&gt;V195),"No",0)))),"")</f>
        <v/>
      </c>
      <c r="F195" s="263">
        <f>IFERROR((N195/MAX(N:N)*_MOVw)+(O195/MAX(O:O)*_WINw)+(P195/MAX(P:P)*_PPGw)+(Q195/MAX(Q:Q)*_ORw)+(R195/MAX(R:R)*_DRw),"")</f>
        <v/>
      </c>
      <c r="N195" s="156">
        <f>IFERROR(VLOOKUP(H195,Matrix!A:AC,12,0)-VLOOKUP(J195,Matrix!A:AC,12,0),"")</f>
        <v/>
      </c>
      <c r="O195" s="182">
        <f>IFERROR(AVERAGEIFS(2025Schedule!O:O,2025Schedule!E:E,H195,2025Schedule!N:N,A195)-AVERAGEIFS(2025Schedule!O:O,2025Schedule!E:E,J195,2025Schedule!N:N,B195),0)</f>
        <v/>
      </c>
      <c r="P195" s="156">
        <f>IFERROR(VLOOKUP(H195,Matrix!A:D,2,0)-VLOOKUP(J195,Matrix!A:D,2,0),"")</f>
        <v/>
      </c>
      <c r="Q195" s="156">
        <f>IFERROR(VLOOKUP(H195,Matrix!A:AC,15,0)-VLOOKUP(J195,Matrix!A:AC,15,0),"")</f>
        <v/>
      </c>
      <c r="R195" s="156">
        <f>IFERROR(VLOOKUP(H195,Matrix!A:AC,16,0)-VLOOKUP(J195,Matrix!A:AC,16,0),"")</f>
        <v/>
      </c>
      <c r="S195" s="195">
        <f>H195</f>
        <v/>
      </c>
      <c r="T195" s="195">
        <f>IFERROR(VLOOKUP(G195&amp;H195,2025Schedule!A:F,6,0),"")</f>
        <v/>
      </c>
      <c r="U195" s="264">
        <f>J195</f>
        <v/>
      </c>
      <c r="V195" s="195">
        <f>IFERROR(VLOOKUP(G195&amp;J195,2025Schedule!A:F,6,0),"")</f>
        <v/>
      </c>
    </row>
    <row r="196" ht="14.4" customHeight="1" s="152">
      <c r="A196" s="241">
        <f>H196&amp;I196</f>
        <v/>
      </c>
      <c r="B196" s="241">
        <f>J196&amp;C196</f>
        <v/>
      </c>
      <c r="C196" s="241">
        <f>IFERROR(IF(I196="Home","Away",IF(I196="Away","Home","")),"")</f>
        <v/>
      </c>
      <c r="D196" s="242">
        <f>H196</f>
        <v/>
      </c>
      <c r="E196" s="157">
        <f>IFERROR(IF(AND(F196&gt;0,T196&gt;V196),"Yes",IF(AND(F196&gt;0,T196&lt;V196),"No",IF(AND(F196&lt;0,T196&lt;V196),"Yes",IF(AND(F196&lt;0,T196&gt;V196),"No",0)))),"")</f>
        <v/>
      </c>
      <c r="F196" s="263">
        <f>IFERROR((N196/MAX(N:N)*_MOVw)+(O196/MAX(O:O)*_WINw)+(P196/MAX(P:P)*_PPGw)+(Q196/MAX(Q:Q)*_ORw)+(R196/MAX(R:R)*_DRw),"")</f>
        <v/>
      </c>
      <c r="N196" s="156">
        <f>IFERROR(VLOOKUP(H196,Matrix!A:AC,12,0)-VLOOKUP(J196,Matrix!A:AC,12,0),"")</f>
        <v/>
      </c>
      <c r="O196" s="182">
        <f>IFERROR(AVERAGEIFS(2025Schedule!O:O,2025Schedule!E:E,H196,2025Schedule!N:N,A196)-AVERAGEIFS(2025Schedule!O:O,2025Schedule!E:E,J196,2025Schedule!N:N,B196),0)</f>
        <v/>
      </c>
      <c r="P196" s="156">
        <f>IFERROR(VLOOKUP(H196,Matrix!A:D,2,0)-VLOOKUP(J196,Matrix!A:D,2,0),"")</f>
        <v/>
      </c>
      <c r="Q196" s="156">
        <f>IFERROR(VLOOKUP(H196,Matrix!A:AC,15,0)-VLOOKUP(J196,Matrix!A:AC,15,0),"")</f>
        <v/>
      </c>
      <c r="R196" s="156">
        <f>IFERROR(VLOOKUP(H196,Matrix!A:AC,16,0)-VLOOKUP(J196,Matrix!A:AC,16,0),"")</f>
        <v/>
      </c>
      <c r="S196" s="195">
        <f>H196</f>
        <v/>
      </c>
      <c r="T196" s="195">
        <f>IFERROR(VLOOKUP(G196&amp;H196,2025Schedule!A:F,6,0),"")</f>
        <v/>
      </c>
      <c r="U196" s="264">
        <f>J196</f>
        <v/>
      </c>
      <c r="V196" s="195">
        <f>IFERROR(VLOOKUP(G196&amp;J196,2025Schedule!A:F,6,0),"")</f>
        <v/>
      </c>
    </row>
    <row r="197" ht="14.4" customHeight="1" s="152">
      <c r="A197" s="241">
        <f>H197&amp;I197</f>
        <v/>
      </c>
      <c r="B197" s="241">
        <f>J197&amp;C197</f>
        <v/>
      </c>
      <c r="C197" s="241">
        <f>IFERROR(IF(I197="Home","Away",IF(I197="Away","Home","")),"")</f>
        <v/>
      </c>
      <c r="D197" s="242">
        <f>H197</f>
        <v/>
      </c>
      <c r="E197" s="157">
        <f>IFERROR(IF(AND(F197&gt;0,T197&gt;V197),"Yes",IF(AND(F197&gt;0,T197&lt;V197),"No",IF(AND(F197&lt;0,T197&lt;V197),"Yes",IF(AND(F197&lt;0,T197&gt;V197),"No",0)))),"")</f>
        <v/>
      </c>
      <c r="F197" s="263">
        <f>IFERROR((N197/MAX(N:N)*_MOVw)+(O197/MAX(O:O)*_WINw)+(P197/MAX(P:P)*_PPGw)+(Q197/MAX(Q:Q)*_ORw)+(R197/MAX(R:R)*_DRw),"")</f>
        <v/>
      </c>
      <c r="N197" s="156">
        <f>IFERROR(VLOOKUP(H197,Matrix!A:AC,12,0)-VLOOKUP(J197,Matrix!A:AC,12,0),"")</f>
        <v/>
      </c>
      <c r="O197" s="182">
        <f>IFERROR(AVERAGEIFS(2025Schedule!O:O,2025Schedule!E:E,H197,2025Schedule!N:N,A197)-AVERAGEIFS(2025Schedule!O:O,2025Schedule!E:E,J197,2025Schedule!N:N,B197),0)</f>
        <v/>
      </c>
      <c r="P197" s="156">
        <f>IFERROR(VLOOKUP(H197,Matrix!A:D,2,0)-VLOOKUP(J197,Matrix!A:D,2,0),"")</f>
        <v/>
      </c>
      <c r="Q197" s="156">
        <f>IFERROR(VLOOKUP(H197,Matrix!A:AC,15,0)-VLOOKUP(J197,Matrix!A:AC,15,0),"")</f>
        <v/>
      </c>
      <c r="R197" s="156">
        <f>IFERROR(VLOOKUP(H197,Matrix!A:AC,16,0)-VLOOKUP(J197,Matrix!A:AC,16,0),"")</f>
        <v/>
      </c>
      <c r="S197" s="195">
        <f>H197</f>
        <v/>
      </c>
      <c r="T197" s="195">
        <f>IFERROR(VLOOKUP(G197&amp;H197,2025Schedule!A:F,6,0),"")</f>
        <v/>
      </c>
      <c r="U197" s="264">
        <f>J197</f>
        <v/>
      </c>
      <c r="V197" s="195">
        <f>IFERROR(VLOOKUP(G197&amp;J197,2025Schedule!A:F,6,0),"")</f>
        <v/>
      </c>
    </row>
    <row r="198" ht="14.4" customHeight="1" s="152">
      <c r="A198" s="241">
        <f>H198&amp;I198</f>
        <v/>
      </c>
      <c r="B198" s="241">
        <f>J198&amp;C198</f>
        <v/>
      </c>
      <c r="C198" s="241">
        <f>IFERROR(IF(I198="Home","Away",IF(I198="Away","Home","")),"")</f>
        <v/>
      </c>
      <c r="D198" s="242">
        <f>H198</f>
        <v/>
      </c>
      <c r="E198" s="157">
        <f>IFERROR(IF(AND(F198&gt;0,T198&gt;V198),"Yes",IF(AND(F198&gt;0,T198&lt;V198),"No",IF(AND(F198&lt;0,T198&lt;V198),"Yes",IF(AND(F198&lt;0,T198&gt;V198),"No",0)))),"")</f>
        <v/>
      </c>
      <c r="F198" s="263">
        <f>IFERROR((N198/MAX(N:N)*_MOVw)+(O198/MAX(O:O)*_WINw)+(P198/MAX(P:P)*_PPGw)+(Q198/MAX(Q:Q)*_ORw)+(R198/MAX(R:R)*_DRw),"")</f>
        <v/>
      </c>
      <c r="N198" s="156">
        <f>IFERROR(VLOOKUP(H198,Matrix!A:AC,12,0)-VLOOKUP(J198,Matrix!A:AC,12,0),"")</f>
        <v/>
      </c>
      <c r="O198" s="182">
        <f>IFERROR(AVERAGEIFS(2025Schedule!O:O,2025Schedule!E:E,H198,2025Schedule!N:N,A198)-AVERAGEIFS(2025Schedule!O:O,2025Schedule!E:E,J198,2025Schedule!N:N,B198),0)</f>
        <v/>
      </c>
      <c r="P198" s="156">
        <f>IFERROR(VLOOKUP(H198,Matrix!A:D,2,0)-VLOOKUP(J198,Matrix!A:D,2,0),"")</f>
        <v/>
      </c>
      <c r="Q198" s="156">
        <f>IFERROR(VLOOKUP(H198,Matrix!A:AC,15,0)-VLOOKUP(J198,Matrix!A:AC,15,0),"")</f>
        <v/>
      </c>
      <c r="R198" s="156">
        <f>IFERROR(VLOOKUP(H198,Matrix!A:AC,16,0)-VLOOKUP(J198,Matrix!A:AC,16,0),"")</f>
        <v/>
      </c>
      <c r="S198" s="195">
        <f>H198</f>
        <v/>
      </c>
      <c r="T198" s="195">
        <f>IFERROR(VLOOKUP(G198&amp;H198,2025Schedule!A:F,6,0),"")</f>
        <v/>
      </c>
      <c r="U198" s="264">
        <f>J198</f>
        <v/>
      </c>
      <c r="V198" s="195">
        <f>IFERROR(VLOOKUP(G198&amp;J198,2025Schedule!A:F,6,0),"")</f>
        <v/>
      </c>
    </row>
    <row r="199" ht="14.4" customHeight="1" s="152">
      <c r="A199" s="241">
        <f>H199&amp;I199</f>
        <v/>
      </c>
      <c r="B199" s="241">
        <f>J199&amp;C199</f>
        <v/>
      </c>
      <c r="C199" s="241">
        <f>IFERROR(IF(I199="Home","Away",IF(I199="Away","Home","")),"")</f>
        <v/>
      </c>
      <c r="D199" s="242">
        <f>H199</f>
        <v/>
      </c>
      <c r="E199" s="157">
        <f>IFERROR(IF(AND(F199&gt;0,T199&gt;V199),"Yes",IF(AND(F199&gt;0,T199&lt;V199),"No",IF(AND(F199&lt;0,T199&lt;V199),"Yes",IF(AND(F199&lt;0,T199&gt;V199),"No",0)))),"")</f>
        <v/>
      </c>
      <c r="F199" s="263">
        <f>IFERROR((N199/MAX(N:N)*_MOVw)+(O199/MAX(O:O)*_WINw)+(P199/MAX(P:P)*_PPGw)+(Q199/MAX(Q:Q)*_ORw)+(R199/MAX(R:R)*_DRw),"")</f>
        <v/>
      </c>
      <c r="N199" s="156">
        <f>IFERROR(VLOOKUP(H199,Matrix!A:AC,12,0)-VLOOKUP(J199,Matrix!A:AC,12,0),"")</f>
        <v/>
      </c>
      <c r="O199" s="182">
        <f>IFERROR(AVERAGEIFS(2025Schedule!O:O,2025Schedule!E:E,H199,2025Schedule!N:N,A199)-AVERAGEIFS(2025Schedule!O:O,2025Schedule!E:E,J199,2025Schedule!N:N,B199),0)</f>
        <v/>
      </c>
      <c r="P199" s="156">
        <f>IFERROR(VLOOKUP(H199,Matrix!A:D,2,0)-VLOOKUP(J199,Matrix!A:D,2,0),"")</f>
        <v/>
      </c>
      <c r="Q199" s="156">
        <f>IFERROR(VLOOKUP(H199,Matrix!A:AC,15,0)-VLOOKUP(J199,Matrix!A:AC,15,0),"")</f>
        <v/>
      </c>
      <c r="R199" s="156">
        <f>IFERROR(VLOOKUP(H199,Matrix!A:AC,16,0)-VLOOKUP(J199,Matrix!A:AC,16,0),"")</f>
        <v/>
      </c>
      <c r="S199" s="195">
        <f>H199</f>
        <v/>
      </c>
      <c r="T199" s="195">
        <f>IFERROR(VLOOKUP(G199&amp;H199,2025Schedule!A:F,6,0),"")</f>
        <v/>
      </c>
      <c r="U199" s="264">
        <f>J199</f>
        <v/>
      </c>
      <c r="V199" s="195">
        <f>IFERROR(VLOOKUP(G199&amp;J199,2025Schedule!A:F,6,0),"")</f>
        <v/>
      </c>
    </row>
    <row r="200" ht="14.4" customHeight="1" s="152">
      <c r="A200" s="241">
        <f>H200&amp;I200</f>
        <v/>
      </c>
      <c r="B200" s="241">
        <f>J200&amp;C200</f>
        <v/>
      </c>
      <c r="C200" s="241">
        <f>IFERROR(IF(I200="Home","Away",IF(I200="Away","Home","")),"")</f>
        <v/>
      </c>
      <c r="D200" s="242">
        <f>H200</f>
        <v/>
      </c>
      <c r="E200" s="157">
        <f>IFERROR(IF(AND(F200&gt;0,T200&gt;V200),"Yes",IF(AND(F200&gt;0,T200&lt;V200),"No",IF(AND(F200&lt;0,T200&lt;V200),"Yes",IF(AND(F200&lt;0,T200&gt;V200),"No",0)))),"")</f>
        <v/>
      </c>
      <c r="F200" s="263">
        <f>IFERROR((N200/MAX(N:N)*_MOVw)+(O200/MAX(O:O)*_WINw)+(P200/MAX(P:P)*_PPGw)+(Q200/MAX(Q:Q)*_ORw)+(R200/MAX(R:R)*_DRw),"")</f>
        <v/>
      </c>
      <c r="N200" s="156">
        <f>IFERROR(VLOOKUP(H200,Matrix!A:AC,12,0)-VLOOKUP(J200,Matrix!A:AC,12,0),"")</f>
        <v/>
      </c>
      <c r="O200" s="182">
        <f>IFERROR(AVERAGEIFS(2025Schedule!O:O,2025Schedule!E:E,H200,2025Schedule!N:N,A200)-AVERAGEIFS(2025Schedule!O:O,2025Schedule!E:E,J200,2025Schedule!N:N,B200),0)</f>
        <v/>
      </c>
      <c r="P200" s="156">
        <f>IFERROR(VLOOKUP(H200,Matrix!A:D,2,0)-VLOOKUP(J200,Matrix!A:D,2,0),"")</f>
        <v/>
      </c>
      <c r="Q200" s="156">
        <f>IFERROR(VLOOKUP(H200,Matrix!A:AC,15,0)-VLOOKUP(J200,Matrix!A:AC,15,0),"")</f>
        <v/>
      </c>
      <c r="R200" s="156">
        <f>IFERROR(VLOOKUP(H200,Matrix!A:AC,16,0)-VLOOKUP(J200,Matrix!A:AC,16,0),"")</f>
        <v/>
      </c>
      <c r="S200" s="195">
        <f>H200</f>
        <v/>
      </c>
      <c r="T200" s="195">
        <f>IFERROR(VLOOKUP(G200&amp;H200,2025Schedule!A:F,6,0),"")</f>
        <v/>
      </c>
      <c r="U200" s="264">
        <f>J200</f>
        <v/>
      </c>
      <c r="V200" s="195">
        <f>IFERROR(VLOOKUP(G200&amp;J200,2025Schedule!A:F,6,0),"")</f>
        <v/>
      </c>
    </row>
    <row r="201" ht="14.4" customHeight="1" s="152">
      <c r="A201" s="241">
        <f>H201&amp;I201</f>
        <v/>
      </c>
      <c r="B201" s="241">
        <f>J201&amp;C201</f>
        <v/>
      </c>
      <c r="C201" s="241">
        <f>IFERROR(IF(I201="Home","Away",IF(I201="Away","Home","")),"")</f>
        <v/>
      </c>
      <c r="D201" s="242">
        <f>H201</f>
        <v/>
      </c>
      <c r="E201" s="157">
        <f>IFERROR(IF(AND(F201&gt;0,T201&gt;V201),"Yes",IF(AND(F201&gt;0,T201&lt;V201),"No",IF(AND(F201&lt;0,T201&lt;V201),"Yes",IF(AND(F201&lt;0,T201&gt;V201),"No",0)))),"")</f>
        <v/>
      </c>
      <c r="F201" s="263">
        <f>IFERROR((N201/MAX(N:N)*_MOVw)+(O201/MAX(O:O)*_WINw)+(P201/MAX(P:P)*_PPGw)+(Q201/MAX(Q:Q)*_ORw)+(R201/MAX(R:R)*_DRw),"")</f>
        <v/>
      </c>
      <c r="N201" s="156">
        <f>IFERROR(VLOOKUP(H201,Matrix!A:AC,12,0)-VLOOKUP(J201,Matrix!A:AC,12,0),"")</f>
        <v/>
      </c>
      <c r="O201" s="182">
        <f>IFERROR(AVERAGEIFS(2025Schedule!O:O,2025Schedule!E:E,H201,2025Schedule!N:N,A201)-AVERAGEIFS(2025Schedule!O:O,2025Schedule!E:E,J201,2025Schedule!N:N,B201),0)</f>
        <v/>
      </c>
      <c r="P201" s="156">
        <f>IFERROR(VLOOKUP(H201,Matrix!A:D,2,0)-VLOOKUP(J201,Matrix!A:D,2,0),"")</f>
        <v/>
      </c>
      <c r="Q201" s="156">
        <f>IFERROR(VLOOKUP(H201,Matrix!A:AC,15,0)-VLOOKUP(J201,Matrix!A:AC,15,0),"")</f>
        <v/>
      </c>
      <c r="R201" s="156">
        <f>IFERROR(VLOOKUP(H201,Matrix!A:AC,16,0)-VLOOKUP(J201,Matrix!A:AC,16,0),"")</f>
        <v/>
      </c>
      <c r="S201" s="195">
        <f>H201</f>
        <v/>
      </c>
      <c r="T201" s="195">
        <f>IFERROR(VLOOKUP(G201&amp;H201,2025Schedule!A:F,6,0),"")</f>
        <v/>
      </c>
      <c r="U201" s="264">
        <f>J201</f>
        <v/>
      </c>
      <c r="V201" s="195">
        <f>IFERROR(VLOOKUP(G201&amp;J201,2025Schedule!A:F,6,0),"")</f>
        <v/>
      </c>
    </row>
    <row r="202" ht="14.4" customHeight="1" s="152">
      <c r="A202" s="241">
        <f>H202&amp;I202</f>
        <v/>
      </c>
      <c r="B202" s="241">
        <f>J202&amp;C202</f>
        <v/>
      </c>
      <c r="C202" s="241">
        <f>IFERROR(IF(I202="Home","Away",IF(I202="Away","Home","")),"")</f>
        <v/>
      </c>
      <c r="D202" s="242">
        <f>H202</f>
        <v/>
      </c>
      <c r="E202" s="157">
        <f>IFERROR(IF(AND(F202&gt;0,T202&gt;V202),"Yes",IF(AND(F202&gt;0,T202&lt;V202),"No",IF(AND(F202&lt;0,T202&lt;V202),"Yes",IF(AND(F202&lt;0,T202&gt;V202),"No",0)))),"")</f>
        <v/>
      </c>
      <c r="F202" s="263">
        <f>IFERROR((N202/MAX(N:N)*_MOVw)+(O202/MAX(O:O)*_WINw)+(P202/MAX(P:P)*_PPGw)+(Q202/MAX(Q:Q)*_ORw)+(R202/MAX(R:R)*_DRw),"")</f>
        <v/>
      </c>
      <c r="N202" s="156">
        <f>IFERROR(VLOOKUP(H202,Matrix!A:AC,12,0)-VLOOKUP(J202,Matrix!A:AC,12,0),"")</f>
        <v/>
      </c>
      <c r="O202" s="182">
        <f>IFERROR(AVERAGEIFS(2025Schedule!O:O,2025Schedule!E:E,H202,2025Schedule!N:N,A202)-AVERAGEIFS(2025Schedule!O:O,2025Schedule!E:E,J202,2025Schedule!N:N,B202),0)</f>
        <v/>
      </c>
      <c r="P202" s="156">
        <f>IFERROR(VLOOKUP(H202,Matrix!A:D,2,0)-VLOOKUP(J202,Matrix!A:D,2,0),"")</f>
        <v/>
      </c>
      <c r="Q202" s="156">
        <f>IFERROR(VLOOKUP(H202,Matrix!A:AC,15,0)-VLOOKUP(J202,Matrix!A:AC,15,0),"")</f>
        <v/>
      </c>
      <c r="R202" s="156">
        <f>IFERROR(VLOOKUP(H202,Matrix!A:AC,16,0)-VLOOKUP(J202,Matrix!A:AC,16,0),"")</f>
        <v/>
      </c>
      <c r="S202" s="195">
        <f>H202</f>
        <v/>
      </c>
      <c r="T202" s="195">
        <f>IFERROR(VLOOKUP(G202&amp;H202,2025Schedule!A:F,6,0),"")</f>
        <v/>
      </c>
      <c r="U202" s="264">
        <f>J202</f>
        <v/>
      </c>
      <c r="V202" s="195">
        <f>IFERROR(VLOOKUP(G202&amp;J202,2025Schedule!A:F,6,0),"")</f>
        <v/>
      </c>
    </row>
    <row r="203" ht="14.4" customHeight="1" s="152">
      <c r="A203" s="241">
        <f>H203&amp;I203</f>
        <v/>
      </c>
      <c r="B203" s="241">
        <f>J203&amp;C203</f>
        <v/>
      </c>
      <c r="C203" s="241">
        <f>IFERROR(IF(I203="Home","Away",IF(I203="Away","Home","")),"")</f>
        <v/>
      </c>
      <c r="D203" s="242">
        <f>H203</f>
        <v/>
      </c>
      <c r="E203" s="157">
        <f>IFERROR(IF(AND(F203&gt;0,T203&gt;V203),"Yes",IF(AND(F203&gt;0,T203&lt;V203),"No",IF(AND(F203&lt;0,T203&lt;V203),"Yes",IF(AND(F203&lt;0,T203&gt;V203),"No",0)))),"")</f>
        <v/>
      </c>
      <c r="F203" s="263">
        <f>IFERROR((N203/MAX(N:N)*_MOVw)+(O203/MAX(O:O)*_WINw)+(P203/MAX(P:P)*_PPGw)+(Q203/MAX(Q:Q)*_ORw)+(R203/MAX(R:R)*_DRw),"")</f>
        <v/>
      </c>
      <c r="N203" s="156">
        <f>IFERROR(VLOOKUP(H203,Matrix!A:AC,12,0)-VLOOKUP(J203,Matrix!A:AC,12,0),"")</f>
        <v/>
      </c>
      <c r="O203" s="182">
        <f>IFERROR(AVERAGEIFS(2025Schedule!O:O,2025Schedule!E:E,H203,2025Schedule!N:N,A203)-AVERAGEIFS(2025Schedule!O:O,2025Schedule!E:E,J203,2025Schedule!N:N,B203),0)</f>
        <v/>
      </c>
      <c r="P203" s="156">
        <f>IFERROR(VLOOKUP(H203,Matrix!A:D,2,0)-VLOOKUP(J203,Matrix!A:D,2,0),"")</f>
        <v/>
      </c>
      <c r="Q203" s="156">
        <f>IFERROR(VLOOKUP(H203,Matrix!A:AC,15,0)-VLOOKUP(J203,Matrix!A:AC,15,0),"")</f>
        <v/>
      </c>
      <c r="R203" s="156">
        <f>IFERROR(VLOOKUP(H203,Matrix!A:AC,16,0)-VLOOKUP(J203,Matrix!A:AC,16,0),"")</f>
        <v/>
      </c>
      <c r="S203" s="195">
        <f>H203</f>
        <v/>
      </c>
      <c r="T203" s="195">
        <f>IFERROR(VLOOKUP(G203&amp;H203,2025Schedule!A:F,6,0),"")</f>
        <v/>
      </c>
      <c r="U203" s="264">
        <f>J203</f>
        <v/>
      </c>
      <c r="V203" s="195">
        <f>IFERROR(VLOOKUP(G203&amp;J203,2025Schedule!A:F,6,0),"")</f>
        <v/>
      </c>
    </row>
    <row r="204" ht="14.4" customHeight="1" s="152">
      <c r="A204" s="241">
        <f>H204&amp;I204</f>
        <v/>
      </c>
      <c r="B204" s="241">
        <f>J204&amp;C204</f>
        <v/>
      </c>
      <c r="C204" s="241">
        <f>IFERROR(IF(I204="Home","Away",IF(I204="Away","Home","")),"")</f>
        <v/>
      </c>
      <c r="D204" s="242">
        <f>H204</f>
        <v/>
      </c>
      <c r="E204" s="157">
        <f>IFERROR(IF(AND(F204&gt;0,T204&gt;V204),"Yes",IF(AND(F204&gt;0,T204&lt;V204),"No",IF(AND(F204&lt;0,T204&lt;V204),"Yes",IF(AND(F204&lt;0,T204&gt;V204),"No",0)))),"")</f>
        <v/>
      </c>
      <c r="F204" s="263">
        <f>IFERROR((N204/MAX(N:N)*_MOVw)+(O204/MAX(O:O)*_WINw)+(P204/MAX(P:P)*_PPGw)+(Q204/MAX(Q:Q)*_ORw)+(R204/MAX(R:R)*_DRw),"")</f>
        <v/>
      </c>
      <c r="N204" s="156">
        <f>IFERROR(VLOOKUP(H204,Matrix!A:AC,12,0)-VLOOKUP(J204,Matrix!A:AC,12,0),"")</f>
        <v/>
      </c>
      <c r="O204" s="182">
        <f>IFERROR(AVERAGEIFS(2025Schedule!O:O,2025Schedule!E:E,H204,2025Schedule!N:N,A204)-AVERAGEIFS(2025Schedule!O:O,2025Schedule!E:E,J204,2025Schedule!N:N,B204),0)</f>
        <v/>
      </c>
      <c r="P204" s="156">
        <f>IFERROR(VLOOKUP(H204,Matrix!A:D,2,0)-VLOOKUP(J204,Matrix!A:D,2,0),"")</f>
        <v/>
      </c>
      <c r="Q204" s="156">
        <f>IFERROR(VLOOKUP(H204,Matrix!A:AC,15,0)-VLOOKUP(J204,Matrix!A:AC,15,0),"")</f>
        <v/>
      </c>
      <c r="R204" s="156">
        <f>IFERROR(VLOOKUP(H204,Matrix!A:AC,16,0)-VLOOKUP(J204,Matrix!A:AC,16,0),"")</f>
        <v/>
      </c>
      <c r="S204" s="195">
        <f>H204</f>
        <v/>
      </c>
      <c r="T204" s="195">
        <f>IFERROR(VLOOKUP(G204&amp;H204,2025Schedule!A:F,6,0),"")</f>
        <v/>
      </c>
      <c r="U204" s="264">
        <f>J204</f>
        <v/>
      </c>
      <c r="V204" s="195">
        <f>IFERROR(VLOOKUP(G204&amp;J204,2025Schedule!A:F,6,0),"")</f>
        <v/>
      </c>
    </row>
    <row r="205" ht="14.4" customHeight="1" s="152">
      <c r="A205" s="241">
        <f>H205&amp;I205</f>
        <v/>
      </c>
      <c r="B205" s="241">
        <f>J205&amp;C205</f>
        <v/>
      </c>
      <c r="C205" s="241">
        <f>IFERROR(IF(I205="Home","Away",IF(I205="Away","Home","")),"")</f>
        <v/>
      </c>
      <c r="D205" s="242">
        <f>H205</f>
        <v/>
      </c>
      <c r="E205" s="157">
        <f>IFERROR(IF(AND(F205&gt;0,T205&gt;V205),"Yes",IF(AND(F205&gt;0,T205&lt;V205),"No",IF(AND(F205&lt;0,T205&lt;V205),"Yes",IF(AND(F205&lt;0,T205&gt;V205),"No",0)))),"")</f>
        <v/>
      </c>
      <c r="F205" s="263">
        <f>IFERROR((N205/MAX(N:N)*_MOVw)+(O205/MAX(O:O)*_WINw)+(P205/MAX(P:P)*_PPGw)+(Q205/MAX(Q:Q)*_ORw)+(R205/MAX(R:R)*_DRw),"")</f>
        <v/>
      </c>
      <c r="N205" s="156">
        <f>IFERROR(VLOOKUP(H205,Matrix!A:AC,12,0)-VLOOKUP(J205,Matrix!A:AC,12,0),"")</f>
        <v/>
      </c>
      <c r="O205" s="182">
        <f>IFERROR(AVERAGEIFS(2025Schedule!O:O,2025Schedule!E:E,H205,2025Schedule!N:N,A205)-AVERAGEIFS(2025Schedule!O:O,2025Schedule!E:E,J205,2025Schedule!N:N,B205),0)</f>
        <v/>
      </c>
      <c r="P205" s="156">
        <f>IFERROR(VLOOKUP(H205,Matrix!A:D,2,0)-VLOOKUP(J205,Matrix!A:D,2,0),"")</f>
        <v/>
      </c>
      <c r="Q205" s="156">
        <f>IFERROR(VLOOKUP(H205,Matrix!A:AC,15,0)-VLOOKUP(J205,Matrix!A:AC,15,0),"")</f>
        <v/>
      </c>
      <c r="R205" s="156">
        <f>IFERROR(VLOOKUP(H205,Matrix!A:AC,16,0)-VLOOKUP(J205,Matrix!A:AC,16,0),"")</f>
        <v/>
      </c>
      <c r="S205" s="195">
        <f>H205</f>
        <v/>
      </c>
      <c r="T205" s="195">
        <f>IFERROR(VLOOKUP(G205&amp;H205,2025Schedule!A:F,6,0),"")</f>
        <v/>
      </c>
      <c r="U205" s="264">
        <f>J205</f>
        <v/>
      </c>
      <c r="V205" s="195">
        <f>IFERROR(VLOOKUP(G205&amp;J205,2025Schedule!A:F,6,0),"")</f>
        <v/>
      </c>
    </row>
    <row r="206" ht="14.4" customHeight="1" s="152">
      <c r="A206" s="241">
        <f>H206&amp;I206</f>
        <v/>
      </c>
      <c r="B206" s="241">
        <f>J206&amp;C206</f>
        <v/>
      </c>
      <c r="C206" s="241">
        <f>IFERROR(IF(I206="Home","Away",IF(I206="Away","Home","")),"")</f>
        <v/>
      </c>
      <c r="D206" s="242">
        <f>H206</f>
        <v/>
      </c>
      <c r="E206" s="157">
        <f>IFERROR(IF(AND(F206&gt;0,T206&gt;V206),"Yes",IF(AND(F206&gt;0,T206&lt;V206),"No",IF(AND(F206&lt;0,T206&lt;V206),"Yes",IF(AND(F206&lt;0,T206&gt;V206),"No",0)))),"")</f>
        <v/>
      </c>
      <c r="F206" s="263">
        <f>IFERROR((N206/MAX(N:N)*_MOVw)+(O206/MAX(O:O)*_WINw)+(P206/MAX(P:P)*_PPGw)+(Q206/MAX(Q:Q)*_ORw)+(R206/MAX(R:R)*_DRw),"")</f>
        <v/>
      </c>
      <c r="N206" s="156">
        <f>IFERROR(VLOOKUP(H206,Matrix!A:AC,12,0)-VLOOKUP(J206,Matrix!A:AC,12,0),"")</f>
        <v/>
      </c>
      <c r="O206" s="182">
        <f>IFERROR(AVERAGEIFS(2025Schedule!O:O,2025Schedule!E:E,H206,2025Schedule!N:N,A206)-AVERAGEIFS(2025Schedule!O:O,2025Schedule!E:E,J206,2025Schedule!N:N,B206),0)</f>
        <v/>
      </c>
      <c r="P206" s="156">
        <f>IFERROR(VLOOKUP(H206,Matrix!A:D,2,0)-VLOOKUP(J206,Matrix!A:D,2,0),"")</f>
        <v/>
      </c>
      <c r="Q206" s="156">
        <f>IFERROR(VLOOKUP(H206,Matrix!A:AC,15,0)-VLOOKUP(J206,Matrix!A:AC,15,0),"")</f>
        <v/>
      </c>
      <c r="R206" s="156">
        <f>IFERROR(VLOOKUP(H206,Matrix!A:AC,16,0)-VLOOKUP(J206,Matrix!A:AC,16,0),"")</f>
        <v/>
      </c>
      <c r="S206" s="195">
        <f>H206</f>
        <v/>
      </c>
      <c r="T206" s="195">
        <f>IFERROR(VLOOKUP(G206&amp;H206,2025Schedule!A:F,6,0),"")</f>
        <v/>
      </c>
      <c r="U206" s="264">
        <f>J206</f>
        <v/>
      </c>
      <c r="V206" s="195">
        <f>IFERROR(VLOOKUP(G206&amp;J206,2025Schedule!A:F,6,0),"")</f>
        <v/>
      </c>
    </row>
    <row r="207" ht="14.4" customHeight="1" s="152">
      <c r="A207" s="241">
        <f>H207&amp;I207</f>
        <v/>
      </c>
      <c r="B207" s="241">
        <f>J207&amp;C207</f>
        <v/>
      </c>
      <c r="C207" s="241">
        <f>IFERROR(IF(I207="Home","Away",IF(I207="Away","Home","")),"")</f>
        <v/>
      </c>
      <c r="D207" s="242">
        <f>H207</f>
        <v/>
      </c>
      <c r="E207" s="157">
        <f>IFERROR(IF(AND(F207&gt;0,T207&gt;V207),"Yes",IF(AND(F207&gt;0,T207&lt;V207),"No",IF(AND(F207&lt;0,T207&lt;V207),"Yes",IF(AND(F207&lt;0,T207&gt;V207),"No",0)))),"")</f>
        <v/>
      </c>
      <c r="F207" s="263">
        <f>IFERROR((N207/MAX(N:N)*_MOVw)+(O207/MAX(O:O)*_WINw)+(P207/MAX(P:P)*_PPGw)+(Q207/MAX(Q:Q)*_ORw)+(R207/MAX(R:R)*_DRw),"")</f>
        <v/>
      </c>
      <c r="N207" s="156">
        <f>IFERROR(VLOOKUP(H207,Matrix!A:AC,12,0)-VLOOKUP(J207,Matrix!A:AC,12,0),"")</f>
        <v/>
      </c>
      <c r="O207" s="182">
        <f>IFERROR(AVERAGEIFS(2025Schedule!O:O,2025Schedule!E:E,H207,2025Schedule!N:N,A207)-AVERAGEIFS(2025Schedule!O:O,2025Schedule!E:E,J207,2025Schedule!N:N,B207),0)</f>
        <v/>
      </c>
      <c r="P207" s="156">
        <f>IFERROR(VLOOKUP(H207,Matrix!A:D,2,0)-VLOOKUP(J207,Matrix!A:D,2,0),"")</f>
        <v/>
      </c>
      <c r="Q207" s="156">
        <f>IFERROR(VLOOKUP(H207,Matrix!A:AC,15,0)-VLOOKUP(J207,Matrix!A:AC,15,0),"")</f>
        <v/>
      </c>
      <c r="R207" s="156">
        <f>IFERROR(VLOOKUP(H207,Matrix!A:AC,16,0)-VLOOKUP(J207,Matrix!A:AC,16,0),"")</f>
        <v/>
      </c>
      <c r="S207" s="195">
        <f>H207</f>
        <v/>
      </c>
      <c r="T207" s="195">
        <f>IFERROR(VLOOKUP(G207&amp;H207,2025Schedule!A:F,6,0),"")</f>
        <v/>
      </c>
      <c r="U207" s="264">
        <f>J207</f>
        <v/>
      </c>
      <c r="V207" s="195">
        <f>IFERROR(VLOOKUP(G207&amp;J207,2025Schedule!A:F,6,0),"")</f>
        <v/>
      </c>
    </row>
    <row r="208" ht="14.4" customHeight="1" s="152">
      <c r="A208" s="241">
        <f>H208&amp;I208</f>
        <v/>
      </c>
      <c r="B208" s="241">
        <f>J208&amp;C208</f>
        <v/>
      </c>
      <c r="C208" s="241">
        <f>IFERROR(IF(I208="Home","Away",IF(I208="Away","Home","")),"")</f>
        <v/>
      </c>
      <c r="D208" s="242">
        <f>H208</f>
        <v/>
      </c>
      <c r="E208" s="157">
        <f>IFERROR(IF(AND(F208&gt;0,T208&gt;V208),"Yes",IF(AND(F208&gt;0,T208&lt;V208),"No",IF(AND(F208&lt;0,T208&lt;V208),"Yes",IF(AND(F208&lt;0,T208&gt;V208),"No",0)))),"")</f>
        <v/>
      </c>
      <c r="F208" s="263">
        <f>IFERROR((N208/MAX(N:N)*_MOVw)+(O208/MAX(O:O)*_WINw)+(P208/MAX(P:P)*_PPGw)+(Q208/MAX(Q:Q)*_ORw)+(R208/MAX(R:R)*_DRw),"")</f>
        <v/>
      </c>
      <c r="N208" s="156">
        <f>IFERROR(VLOOKUP(H208,Matrix!A:AC,12,0)-VLOOKUP(J208,Matrix!A:AC,12,0),"")</f>
        <v/>
      </c>
      <c r="O208" s="182">
        <f>IFERROR(AVERAGEIFS(2025Schedule!O:O,2025Schedule!E:E,H208,2025Schedule!N:N,A208)-AVERAGEIFS(2025Schedule!O:O,2025Schedule!E:E,J208,2025Schedule!N:N,B208),0)</f>
        <v/>
      </c>
      <c r="P208" s="156">
        <f>IFERROR(VLOOKUP(H208,Matrix!A:D,2,0)-VLOOKUP(J208,Matrix!A:D,2,0),"")</f>
        <v/>
      </c>
      <c r="Q208" s="156">
        <f>IFERROR(VLOOKUP(H208,Matrix!A:AC,15,0)-VLOOKUP(J208,Matrix!A:AC,15,0),"")</f>
        <v/>
      </c>
      <c r="R208" s="156">
        <f>IFERROR(VLOOKUP(H208,Matrix!A:AC,16,0)-VLOOKUP(J208,Matrix!A:AC,16,0),"")</f>
        <v/>
      </c>
      <c r="S208" s="195">
        <f>H208</f>
        <v/>
      </c>
      <c r="T208" s="195">
        <f>IFERROR(VLOOKUP(G208&amp;H208,2025Schedule!A:F,6,0),"")</f>
        <v/>
      </c>
      <c r="U208" s="264">
        <f>J208</f>
        <v/>
      </c>
      <c r="V208" s="195">
        <f>IFERROR(VLOOKUP(G208&amp;J208,2025Schedule!A:F,6,0),"")</f>
        <v/>
      </c>
    </row>
    <row r="209" ht="14.4" customHeight="1" s="152">
      <c r="A209" s="241">
        <f>H209&amp;I209</f>
        <v/>
      </c>
      <c r="B209" s="241">
        <f>J209&amp;C209</f>
        <v/>
      </c>
      <c r="C209" s="241">
        <f>IFERROR(IF(I209="Home","Away",IF(I209="Away","Home","")),"")</f>
        <v/>
      </c>
      <c r="D209" s="242">
        <f>H209</f>
        <v/>
      </c>
      <c r="E209" s="157">
        <f>IFERROR(IF(AND(F209&gt;0,T209&gt;V209),"Yes",IF(AND(F209&gt;0,T209&lt;V209),"No",IF(AND(F209&lt;0,T209&lt;V209),"Yes",IF(AND(F209&lt;0,T209&gt;V209),"No",0)))),"")</f>
        <v/>
      </c>
      <c r="F209" s="263">
        <f>IFERROR((N209/MAX(N:N)*_MOVw)+(O209/MAX(O:O)*_WINw)+(P209/MAX(P:P)*_PPGw)+(Q209/MAX(Q:Q)*_ORw)+(R209/MAX(R:R)*_DRw),"")</f>
        <v/>
      </c>
      <c r="N209" s="156">
        <f>IFERROR(VLOOKUP(H209,Matrix!A:AC,12,0)-VLOOKUP(J209,Matrix!A:AC,12,0),"")</f>
        <v/>
      </c>
      <c r="O209" s="182">
        <f>IFERROR(AVERAGEIFS(2025Schedule!O:O,2025Schedule!E:E,H209,2025Schedule!N:N,A209)-AVERAGEIFS(2025Schedule!O:O,2025Schedule!E:E,J209,2025Schedule!N:N,B209),0)</f>
        <v/>
      </c>
      <c r="P209" s="156">
        <f>IFERROR(VLOOKUP(H209,Matrix!A:D,2,0)-VLOOKUP(J209,Matrix!A:D,2,0),"")</f>
        <v/>
      </c>
      <c r="Q209" s="156">
        <f>IFERROR(VLOOKUP(H209,Matrix!A:AC,15,0)-VLOOKUP(J209,Matrix!A:AC,15,0),"")</f>
        <v/>
      </c>
      <c r="R209" s="156">
        <f>IFERROR(VLOOKUP(H209,Matrix!A:AC,16,0)-VLOOKUP(J209,Matrix!A:AC,16,0),"")</f>
        <v/>
      </c>
      <c r="S209" s="195">
        <f>H209</f>
        <v/>
      </c>
      <c r="T209" s="195">
        <f>IFERROR(VLOOKUP(G209&amp;H209,2025Schedule!A:F,6,0),"")</f>
        <v/>
      </c>
      <c r="U209" s="264">
        <f>J209</f>
        <v/>
      </c>
      <c r="V209" s="195">
        <f>IFERROR(VLOOKUP(G209&amp;J209,2025Schedule!A:F,6,0),"")</f>
        <v/>
      </c>
    </row>
    <row r="210" ht="14.4" customHeight="1" s="152">
      <c r="A210" s="241">
        <f>H210&amp;I210</f>
        <v/>
      </c>
      <c r="B210" s="241">
        <f>J210&amp;C210</f>
        <v/>
      </c>
      <c r="C210" s="241">
        <f>IFERROR(IF(I210="Home","Away",IF(I210="Away","Home","")),"")</f>
        <v/>
      </c>
      <c r="D210" s="242">
        <f>H210</f>
        <v/>
      </c>
      <c r="E210" s="157">
        <f>IFERROR(IF(AND(F210&gt;0,T210&gt;V210),"Yes",IF(AND(F210&gt;0,T210&lt;V210),"No",IF(AND(F210&lt;0,T210&lt;V210),"Yes",IF(AND(F210&lt;0,T210&gt;V210),"No",0)))),"")</f>
        <v/>
      </c>
      <c r="F210" s="263">
        <f>IFERROR((N210/MAX(N:N)*_MOVw)+(O210/MAX(O:O)*_WINw)+(P210/MAX(P:P)*_PPGw)+(Q210/MAX(Q:Q)*_ORw)+(R210/MAX(R:R)*_DRw),"")</f>
        <v/>
      </c>
      <c r="N210" s="156">
        <f>IFERROR(VLOOKUP(H210,Matrix!A:AC,12,0)-VLOOKUP(J210,Matrix!A:AC,12,0),"")</f>
        <v/>
      </c>
      <c r="O210" s="182">
        <f>IFERROR(AVERAGEIFS(2025Schedule!O:O,2025Schedule!E:E,H210,2025Schedule!N:N,A210)-AVERAGEIFS(2025Schedule!O:O,2025Schedule!E:E,J210,2025Schedule!N:N,B210),0)</f>
        <v/>
      </c>
      <c r="P210" s="156">
        <f>IFERROR(VLOOKUP(H210,Matrix!A:D,2,0)-VLOOKUP(J210,Matrix!A:D,2,0),"")</f>
        <v/>
      </c>
      <c r="Q210" s="156">
        <f>IFERROR(VLOOKUP(H210,Matrix!A:AC,15,0)-VLOOKUP(J210,Matrix!A:AC,15,0),"")</f>
        <v/>
      </c>
      <c r="R210" s="156">
        <f>IFERROR(VLOOKUP(H210,Matrix!A:AC,16,0)-VLOOKUP(J210,Matrix!A:AC,16,0),"")</f>
        <v/>
      </c>
      <c r="S210" s="195">
        <f>H210</f>
        <v/>
      </c>
      <c r="T210" s="195">
        <f>IFERROR(VLOOKUP(G210&amp;H210,2025Schedule!A:F,6,0),"")</f>
        <v/>
      </c>
      <c r="U210" s="264">
        <f>J210</f>
        <v/>
      </c>
      <c r="V210" s="195">
        <f>IFERROR(VLOOKUP(G210&amp;J210,2025Schedule!A:F,6,0),"")</f>
        <v/>
      </c>
    </row>
    <row r="211" ht="14.4" customHeight="1" s="152">
      <c r="A211" s="241">
        <f>H211&amp;I211</f>
        <v/>
      </c>
      <c r="B211" s="241">
        <f>J211&amp;C211</f>
        <v/>
      </c>
      <c r="C211" s="241">
        <f>IFERROR(IF(I211="Home","Away",IF(I211="Away","Home","")),"")</f>
        <v/>
      </c>
      <c r="D211" s="242">
        <f>H211</f>
        <v/>
      </c>
      <c r="E211" s="157">
        <f>IFERROR(IF(AND(F211&gt;0,T211&gt;V211),"Yes",IF(AND(F211&gt;0,T211&lt;V211),"No",IF(AND(F211&lt;0,T211&lt;V211),"Yes",IF(AND(F211&lt;0,T211&gt;V211),"No",0)))),"")</f>
        <v/>
      </c>
      <c r="F211" s="263">
        <f>IFERROR((N211/MAX(N:N)*_MOVw)+(O211/MAX(O:O)*_WINw)+(P211/MAX(P:P)*_PPGw)+(Q211/MAX(Q:Q)*_ORw)+(R211/MAX(R:R)*_DRw),"")</f>
        <v/>
      </c>
      <c r="N211" s="156">
        <f>IFERROR(VLOOKUP(H211,Matrix!A:AC,12,0)-VLOOKUP(J211,Matrix!A:AC,12,0),"")</f>
        <v/>
      </c>
      <c r="O211" s="182">
        <f>IFERROR(AVERAGEIFS(2025Schedule!O:O,2025Schedule!E:E,H211,2025Schedule!N:N,A211)-AVERAGEIFS(2025Schedule!O:O,2025Schedule!E:E,J211,2025Schedule!N:N,B211),0)</f>
        <v/>
      </c>
      <c r="P211" s="156">
        <f>IFERROR(VLOOKUP(H211,Matrix!A:D,2,0)-VLOOKUP(J211,Matrix!A:D,2,0),"")</f>
        <v/>
      </c>
      <c r="Q211" s="156">
        <f>IFERROR(VLOOKUP(H211,Matrix!A:AC,15,0)-VLOOKUP(J211,Matrix!A:AC,15,0),"")</f>
        <v/>
      </c>
      <c r="R211" s="156">
        <f>IFERROR(VLOOKUP(H211,Matrix!A:AC,16,0)-VLOOKUP(J211,Matrix!A:AC,16,0),"")</f>
        <v/>
      </c>
      <c r="S211" s="195">
        <f>H211</f>
        <v/>
      </c>
      <c r="T211" s="195">
        <f>IFERROR(VLOOKUP(G211&amp;H211,2025Schedule!A:F,6,0),"")</f>
        <v/>
      </c>
      <c r="U211" s="264">
        <f>J211</f>
        <v/>
      </c>
      <c r="V211" s="195">
        <f>IFERROR(VLOOKUP(G211&amp;J211,2025Schedule!A:F,6,0),"")</f>
        <v/>
      </c>
    </row>
    <row r="212" ht="14.4" customHeight="1" s="152">
      <c r="A212" s="241">
        <f>H212&amp;I212</f>
        <v/>
      </c>
      <c r="B212" s="241">
        <f>J212&amp;C212</f>
        <v/>
      </c>
      <c r="C212" s="241">
        <f>IFERROR(IF(I212="Home","Away",IF(I212="Away","Home","")),"")</f>
        <v/>
      </c>
      <c r="D212" s="242">
        <f>H212</f>
        <v/>
      </c>
      <c r="E212" s="157">
        <f>IFERROR(IF(AND(F212&gt;0,T212&gt;V212),"Yes",IF(AND(F212&gt;0,T212&lt;V212),"No",IF(AND(F212&lt;0,T212&lt;V212),"Yes",IF(AND(F212&lt;0,T212&gt;V212),"No",0)))),"")</f>
        <v/>
      </c>
      <c r="F212" s="263">
        <f>IFERROR((N212/MAX(N:N)*_MOVw)+(O212/MAX(O:O)*_WINw)+(P212/MAX(P:P)*_PPGw)+(Q212/MAX(Q:Q)*_ORw)+(R212/MAX(R:R)*_DRw),"")</f>
        <v/>
      </c>
      <c r="N212" s="156">
        <f>IFERROR(VLOOKUP(H212,Matrix!A:AC,12,0)-VLOOKUP(J212,Matrix!A:AC,12,0),"")</f>
        <v/>
      </c>
      <c r="O212" s="182">
        <f>IFERROR(AVERAGEIFS(2025Schedule!O:O,2025Schedule!E:E,H212,2025Schedule!N:N,A212)-AVERAGEIFS(2025Schedule!O:O,2025Schedule!E:E,J212,2025Schedule!N:N,B212),0)</f>
        <v/>
      </c>
      <c r="P212" s="156">
        <f>IFERROR(VLOOKUP(H212,Matrix!A:D,2,0)-VLOOKUP(J212,Matrix!A:D,2,0),"")</f>
        <v/>
      </c>
      <c r="Q212" s="156">
        <f>IFERROR(VLOOKUP(H212,Matrix!A:AC,15,0)-VLOOKUP(J212,Matrix!A:AC,15,0),"")</f>
        <v/>
      </c>
      <c r="R212" s="156">
        <f>IFERROR(VLOOKUP(H212,Matrix!A:AC,16,0)-VLOOKUP(J212,Matrix!A:AC,16,0),"")</f>
        <v/>
      </c>
      <c r="S212" s="195">
        <f>H212</f>
        <v/>
      </c>
      <c r="T212" s="195">
        <f>IFERROR(VLOOKUP(G212&amp;H212,2025Schedule!A:F,6,0),"")</f>
        <v/>
      </c>
      <c r="U212" s="264">
        <f>J212</f>
        <v/>
      </c>
      <c r="V212" s="195">
        <f>IFERROR(VLOOKUP(G212&amp;J212,2025Schedule!A:F,6,0),"")</f>
        <v/>
      </c>
    </row>
    <row r="213" ht="14.4" customHeight="1" s="152">
      <c r="A213" s="241">
        <f>H213&amp;I213</f>
        <v/>
      </c>
      <c r="B213" s="241">
        <f>J213&amp;C213</f>
        <v/>
      </c>
      <c r="C213" s="241">
        <f>IFERROR(IF(I213="Home","Away",IF(I213="Away","Home","")),"")</f>
        <v/>
      </c>
      <c r="D213" s="242">
        <f>H213</f>
        <v/>
      </c>
      <c r="E213" s="157">
        <f>IFERROR(IF(AND(F213&gt;0,T213&gt;V213),"Yes",IF(AND(F213&gt;0,T213&lt;V213),"No",IF(AND(F213&lt;0,T213&lt;V213),"Yes",IF(AND(F213&lt;0,T213&gt;V213),"No",0)))),"")</f>
        <v/>
      </c>
      <c r="F213" s="263">
        <f>IFERROR((N213/MAX(N:N)*_MOVw)+(O213/MAX(O:O)*_WINw)+(P213/MAX(P:P)*_PPGw)+(Q213/MAX(Q:Q)*_ORw)+(R213/MAX(R:R)*_DRw),"")</f>
        <v/>
      </c>
      <c r="N213" s="156">
        <f>IFERROR(VLOOKUP(H213,Matrix!A:AC,12,0)-VLOOKUP(J213,Matrix!A:AC,12,0),"")</f>
        <v/>
      </c>
      <c r="O213" s="182">
        <f>IFERROR(AVERAGEIFS(2025Schedule!O:O,2025Schedule!E:E,H213,2025Schedule!N:N,A213)-AVERAGEIFS(2025Schedule!O:O,2025Schedule!E:E,J213,2025Schedule!N:N,B213),0)</f>
        <v/>
      </c>
      <c r="P213" s="156">
        <f>IFERROR(VLOOKUP(H213,Matrix!A:D,2,0)-VLOOKUP(J213,Matrix!A:D,2,0),"")</f>
        <v/>
      </c>
      <c r="Q213" s="156">
        <f>IFERROR(VLOOKUP(H213,Matrix!A:AC,15,0)-VLOOKUP(J213,Matrix!A:AC,15,0),"")</f>
        <v/>
      </c>
      <c r="R213" s="156">
        <f>IFERROR(VLOOKUP(H213,Matrix!A:AC,16,0)-VLOOKUP(J213,Matrix!A:AC,16,0),"")</f>
        <v/>
      </c>
      <c r="S213" s="195">
        <f>H213</f>
        <v/>
      </c>
      <c r="T213" s="195">
        <f>IFERROR(VLOOKUP(G213&amp;H213,2025Schedule!A:F,6,0),"")</f>
        <v/>
      </c>
      <c r="U213" s="264">
        <f>J213</f>
        <v/>
      </c>
      <c r="V213" s="195">
        <f>IFERROR(VLOOKUP(G213&amp;J213,2025Schedule!A:F,6,0),"")</f>
        <v/>
      </c>
    </row>
    <row r="214" ht="14.4" customHeight="1" s="152">
      <c r="A214" s="241">
        <f>H214&amp;I214</f>
        <v/>
      </c>
      <c r="B214" s="241">
        <f>J214&amp;C214</f>
        <v/>
      </c>
      <c r="C214" s="241">
        <f>IFERROR(IF(I214="Home","Away",IF(I214="Away","Home","")),"")</f>
        <v/>
      </c>
      <c r="D214" s="242">
        <f>H214</f>
        <v/>
      </c>
      <c r="E214" s="157">
        <f>IFERROR(IF(AND(F214&gt;0,T214&gt;V214),"Yes",IF(AND(F214&gt;0,T214&lt;V214),"No",IF(AND(F214&lt;0,T214&lt;V214),"Yes",IF(AND(F214&lt;0,T214&gt;V214),"No",0)))),"")</f>
        <v/>
      </c>
      <c r="F214" s="263">
        <f>IFERROR((N214/MAX(N:N)*_MOVw)+(O214/MAX(O:O)*_WINw)+(P214/MAX(P:P)*_PPGw)+(Q214/MAX(Q:Q)*_ORw)+(R214/MAX(R:R)*_DRw),"")</f>
        <v/>
      </c>
      <c r="N214" s="156">
        <f>IFERROR(VLOOKUP(H214,Matrix!A:AC,12,0)-VLOOKUP(J214,Matrix!A:AC,12,0),"")</f>
        <v/>
      </c>
      <c r="O214" s="182">
        <f>IFERROR(AVERAGEIFS(2025Schedule!O:O,2025Schedule!E:E,H214,2025Schedule!N:N,A214)-AVERAGEIFS(2025Schedule!O:O,2025Schedule!E:E,J214,2025Schedule!N:N,B214),0)</f>
        <v/>
      </c>
      <c r="P214" s="156">
        <f>IFERROR(VLOOKUP(H214,Matrix!A:D,2,0)-VLOOKUP(J214,Matrix!A:D,2,0),"")</f>
        <v/>
      </c>
      <c r="Q214" s="156">
        <f>IFERROR(VLOOKUP(H214,Matrix!A:AC,15,0)-VLOOKUP(J214,Matrix!A:AC,15,0),"")</f>
        <v/>
      </c>
      <c r="R214" s="156">
        <f>IFERROR(VLOOKUP(H214,Matrix!A:AC,16,0)-VLOOKUP(J214,Matrix!A:AC,16,0),"")</f>
        <v/>
      </c>
      <c r="S214" s="195">
        <f>H214</f>
        <v/>
      </c>
      <c r="T214" s="195">
        <f>IFERROR(VLOOKUP(G214&amp;H214,2025Schedule!A:F,6,0),"")</f>
        <v/>
      </c>
      <c r="U214" s="264">
        <f>J214</f>
        <v/>
      </c>
      <c r="V214" s="195">
        <f>IFERROR(VLOOKUP(G214&amp;J214,2025Schedule!A:F,6,0),"")</f>
        <v/>
      </c>
    </row>
    <row r="215" ht="14.4" customHeight="1" s="152">
      <c r="A215" s="241">
        <f>H215&amp;I215</f>
        <v/>
      </c>
      <c r="B215" s="241">
        <f>J215&amp;C215</f>
        <v/>
      </c>
      <c r="C215" s="241">
        <f>IFERROR(IF(I215="Home","Away",IF(I215="Away","Home","")),"")</f>
        <v/>
      </c>
      <c r="D215" s="242">
        <f>H215</f>
        <v/>
      </c>
      <c r="E215" s="157">
        <f>IFERROR(IF(AND(F215&gt;0,T215&gt;V215),"Yes",IF(AND(F215&gt;0,T215&lt;V215),"No",IF(AND(F215&lt;0,T215&lt;V215),"Yes",IF(AND(F215&lt;0,T215&gt;V215),"No",0)))),"")</f>
        <v/>
      </c>
      <c r="F215" s="263">
        <f>IFERROR((N215/MAX(N:N)*_MOVw)+(O215/MAX(O:O)*_WINw)+(P215/MAX(P:P)*_PPGw)+(Q215/MAX(Q:Q)*_ORw)+(R215/MAX(R:R)*_DRw),"")</f>
        <v/>
      </c>
      <c r="N215" s="156">
        <f>IFERROR(VLOOKUP(H215,Matrix!A:AC,12,0)-VLOOKUP(J215,Matrix!A:AC,12,0),"")</f>
        <v/>
      </c>
      <c r="O215" s="182">
        <f>IFERROR(AVERAGEIFS(2025Schedule!O:O,2025Schedule!E:E,H215,2025Schedule!N:N,A215)-AVERAGEIFS(2025Schedule!O:O,2025Schedule!E:E,J215,2025Schedule!N:N,B215),0)</f>
        <v/>
      </c>
      <c r="P215" s="156">
        <f>IFERROR(VLOOKUP(H215,Matrix!A:D,2,0)-VLOOKUP(J215,Matrix!A:D,2,0),"")</f>
        <v/>
      </c>
      <c r="Q215" s="156">
        <f>IFERROR(VLOOKUP(H215,Matrix!A:AC,15,0)-VLOOKUP(J215,Matrix!A:AC,15,0),"")</f>
        <v/>
      </c>
      <c r="R215" s="156">
        <f>IFERROR(VLOOKUP(H215,Matrix!A:AC,16,0)-VLOOKUP(J215,Matrix!A:AC,16,0),"")</f>
        <v/>
      </c>
      <c r="S215" s="195">
        <f>H215</f>
        <v/>
      </c>
      <c r="T215" s="195">
        <f>IFERROR(VLOOKUP(G215&amp;H215,2025Schedule!A:F,6,0),"")</f>
        <v/>
      </c>
      <c r="U215" s="264">
        <f>J215</f>
        <v/>
      </c>
      <c r="V215" s="195">
        <f>IFERROR(VLOOKUP(G215&amp;J215,2025Schedule!A:F,6,0),"")</f>
        <v/>
      </c>
    </row>
    <row r="216" ht="14.4" customHeight="1" s="152">
      <c r="A216" s="241">
        <f>H216&amp;I216</f>
        <v/>
      </c>
      <c r="B216" s="241">
        <f>J216&amp;C216</f>
        <v/>
      </c>
      <c r="C216" s="241">
        <f>IFERROR(IF(I216="Home","Away",IF(I216="Away","Home","")),"")</f>
        <v/>
      </c>
      <c r="D216" s="242">
        <f>H216</f>
        <v/>
      </c>
      <c r="E216" s="157">
        <f>IFERROR(IF(AND(F216&gt;0,T216&gt;V216),"Yes",IF(AND(F216&gt;0,T216&lt;V216),"No",IF(AND(F216&lt;0,T216&lt;V216),"Yes",IF(AND(F216&lt;0,T216&gt;V216),"No",0)))),"")</f>
        <v/>
      </c>
      <c r="F216" s="263">
        <f>IFERROR((N216/MAX(N:N)*_MOVw)+(O216/MAX(O:O)*_WINw)+(P216/MAX(P:P)*_PPGw)+(Q216/MAX(Q:Q)*_ORw)+(R216/MAX(R:R)*_DRw),"")</f>
        <v/>
      </c>
      <c r="N216" s="156">
        <f>IFERROR(VLOOKUP(H216,Matrix!A:AC,12,0)-VLOOKUP(J216,Matrix!A:AC,12,0),"")</f>
        <v/>
      </c>
      <c r="O216" s="182">
        <f>IFERROR(AVERAGEIFS(2025Schedule!O:O,2025Schedule!E:E,H216,2025Schedule!N:N,A216)-AVERAGEIFS(2025Schedule!O:O,2025Schedule!E:E,J216,2025Schedule!N:N,B216),0)</f>
        <v/>
      </c>
      <c r="P216" s="156">
        <f>IFERROR(VLOOKUP(H216,Matrix!A:D,2,0)-VLOOKUP(J216,Matrix!A:D,2,0),"")</f>
        <v/>
      </c>
      <c r="Q216" s="156">
        <f>IFERROR(VLOOKUP(H216,Matrix!A:AC,15,0)-VLOOKUP(J216,Matrix!A:AC,15,0),"")</f>
        <v/>
      </c>
      <c r="R216" s="156">
        <f>IFERROR(VLOOKUP(H216,Matrix!A:AC,16,0)-VLOOKUP(J216,Matrix!A:AC,16,0),"")</f>
        <v/>
      </c>
      <c r="S216" s="195">
        <f>H216</f>
        <v/>
      </c>
      <c r="T216" s="195">
        <f>IFERROR(VLOOKUP(G216&amp;H216,2025Schedule!A:F,6,0),"")</f>
        <v/>
      </c>
      <c r="U216" s="264">
        <f>J216</f>
        <v/>
      </c>
      <c r="V216" s="195">
        <f>IFERROR(VLOOKUP(G216&amp;J216,2025Schedule!A:F,6,0),"")</f>
        <v/>
      </c>
    </row>
    <row r="217" ht="14.4" customHeight="1" s="152">
      <c r="A217" s="241">
        <f>H217&amp;I217</f>
        <v/>
      </c>
      <c r="B217" s="241">
        <f>J217&amp;C217</f>
        <v/>
      </c>
      <c r="C217" s="241">
        <f>IFERROR(IF(I217="Home","Away",IF(I217="Away","Home","")),"")</f>
        <v/>
      </c>
      <c r="D217" s="242">
        <f>H217</f>
        <v/>
      </c>
      <c r="E217" s="157">
        <f>IFERROR(IF(AND(F217&gt;0,T217&gt;V217),"Yes",IF(AND(F217&gt;0,T217&lt;V217),"No",IF(AND(F217&lt;0,T217&lt;V217),"Yes",IF(AND(F217&lt;0,T217&gt;V217),"No",0)))),"")</f>
        <v/>
      </c>
      <c r="F217" s="263">
        <f>IFERROR((N217/MAX(N:N)*_MOVw)+(O217/MAX(O:O)*_WINw)+(P217/MAX(P:P)*_PPGw)+(Q217/MAX(Q:Q)*_ORw)+(R217/MAX(R:R)*_DRw),"")</f>
        <v/>
      </c>
      <c r="N217" s="156">
        <f>IFERROR(VLOOKUP(H217,Matrix!A:AC,12,0)-VLOOKUP(J217,Matrix!A:AC,12,0),"")</f>
        <v/>
      </c>
      <c r="O217" s="182">
        <f>IFERROR(AVERAGEIFS(2025Schedule!O:O,2025Schedule!E:E,H217,2025Schedule!N:N,A217)-AVERAGEIFS(2025Schedule!O:O,2025Schedule!E:E,J217,2025Schedule!N:N,B217),0)</f>
        <v/>
      </c>
      <c r="P217" s="156">
        <f>IFERROR(VLOOKUP(H217,Matrix!A:D,2,0)-VLOOKUP(J217,Matrix!A:D,2,0),"")</f>
        <v/>
      </c>
      <c r="Q217" s="156">
        <f>IFERROR(VLOOKUP(H217,Matrix!A:AC,15,0)-VLOOKUP(J217,Matrix!A:AC,15,0),"")</f>
        <v/>
      </c>
      <c r="R217" s="156">
        <f>IFERROR(VLOOKUP(H217,Matrix!A:AC,16,0)-VLOOKUP(J217,Matrix!A:AC,16,0),"")</f>
        <v/>
      </c>
      <c r="S217" s="195">
        <f>H217</f>
        <v/>
      </c>
      <c r="T217" s="195">
        <f>IFERROR(VLOOKUP(G217&amp;H217,2025Schedule!A:F,6,0),"")</f>
        <v/>
      </c>
      <c r="U217" s="264">
        <f>J217</f>
        <v/>
      </c>
      <c r="V217" s="195">
        <f>IFERROR(VLOOKUP(G217&amp;J217,2025Schedule!A:F,6,0),"")</f>
        <v/>
      </c>
    </row>
    <row r="218" ht="14.4" customHeight="1" s="152">
      <c r="A218" s="241">
        <f>H218&amp;I218</f>
        <v/>
      </c>
      <c r="B218" s="241">
        <f>J218&amp;C218</f>
        <v/>
      </c>
      <c r="C218" s="241">
        <f>IFERROR(IF(I218="Home","Away",IF(I218="Away","Home","")),"")</f>
        <v/>
      </c>
      <c r="D218" s="242">
        <f>H218</f>
        <v/>
      </c>
      <c r="E218" s="157">
        <f>IFERROR(IF(AND(F218&gt;0,T218&gt;V218),"Yes",IF(AND(F218&gt;0,T218&lt;V218),"No",IF(AND(F218&lt;0,T218&lt;V218),"Yes",IF(AND(F218&lt;0,T218&gt;V218),"No",0)))),"")</f>
        <v/>
      </c>
      <c r="F218" s="263">
        <f>IFERROR((N218/MAX(N:N)*_MOVw)+(O218/MAX(O:O)*_WINw)+(P218/MAX(P:P)*_PPGw)+(Q218/MAX(Q:Q)*_ORw)+(R218/MAX(R:R)*_DRw),"")</f>
        <v/>
      </c>
      <c r="N218" s="156">
        <f>IFERROR(VLOOKUP(H218,Matrix!A:AC,12,0)-VLOOKUP(J218,Matrix!A:AC,12,0),"")</f>
        <v/>
      </c>
      <c r="O218" s="182">
        <f>IFERROR(AVERAGEIFS(2025Schedule!O:O,2025Schedule!E:E,H218,2025Schedule!N:N,A218)-AVERAGEIFS(2025Schedule!O:O,2025Schedule!E:E,J218,2025Schedule!N:N,B218),0)</f>
        <v/>
      </c>
      <c r="P218" s="156">
        <f>IFERROR(VLOOKUP(H218,Matrix!A:D,2,0)-VLOOKUP(J218,Matrix!A:D,2,0),"")</f>
        <v/>
      </c>
      <c r="Q218" s="156">
        <f>IFERROR(VLOOKUP(H218,Matrix!A:AC,15,0)-VLOOKUP(J218,Matrix!A:AC,15,0),"")</f>
        <v/>
      </c>
      <c r="R218" s="156">
        <f>IFERROR(VLOOKUP(H218,Matrix!A:AC,16,0)-VLOOKUP(J218,Matrix!A:AC,16,0),"")</f>
        <v/>
      </c>
      <c r="S218" s="195">
        <f>H218</f>
        <v/>
      </c>
      <c r="T218" s="195">
        <f>IFERROR(VLOOKUP(G218&amp;H218,2025Schedule!A:F,6,0),"")</f>
        <v/>
      </c>
      <c r="U218" s="264">
        <f>J218</f>
        <v/>
      </c>
      <c r="V218" s="195">
        <f>IFERROR(VLOOKUP(G218&amp;J218,2025Schedule!A:F,6,0),"")</f>
        <v/>
      </c>
    </row>
    <row r="219" ht="14.4" customHeight="1" s="152">
      <c r="A219" s="241">
        <f>H219&amp;I219</f>
        <v/>
      </c>
      <c r="B219" s="241">
        <f>J219&amp;C219</f>
        <v/>
      </c>
      <c r="C219" s="241">
        <f>IFERROR(IF(I219="Home","Away",IF(I219="Away","Home","")),"")</f>
        <v/>
      </c>
      <c r="D219" s="242">
        <f>H219</f>
        <v/>
      </c>
      <c r="E219" s="157">
        <f>IFERROR(IF(AND(F219&gt;0,T219&gt;V219),"Yes",IF(AND(F219&gt;0,T219&lt;V219),"No",IF(AND(F219&lt;0,T219&lt;V219),"Yes",IF(AND(F219&lt;0,T219&gt;V219),"No",0)))),"")</f>
        <v/>
      </c>
      <c r="F219" s="263">
        <f>IFERROR((N219/MAX(N:N)*_MOVw)+(O219/MAX(O:O)*_WINw)+(P219/MAX(P:P)*_PPGw)+(Q219/MAX(Q:Q)*_ORw)+(R219/MAX(R:R)*_DRw),"")</f>
        <v/>
      </c>
      <c r="N219" s="156">
        <f>IFERROR(VLOOKUP(H219,Matrix!A:AC,12,0)-VLOOKUP(J219,Matrix!A:AC,12,0),"")</f>
        <v/>
      </c>
      <c r="O219" s="182">
        <f>IFERROR(AVERAGEIFS(2025Schedule!O:O,2025Schedule!E:E,H219,2025Schedule!N:N,A219)-AVERAGEIFS(2025Schedule!O:O,2025Schedule!E:E,J219,2025Schedule!N:N,B219),0)</f>
        <v/>
      </c>
      <c r="P219" s="156">
        <f>IFERROR(VLOOKUP(H219,Matrix!A:D,2,0)-VLOOKUP(J219,Matrix!A:D,2,0),"")</f>
        <v/>
      </c>
      <c r="Q219" s="156">
        <f>IFERROR(VLOOKUP(H219,Matrix!A:AC,15,0)-VLOOKUP(J219,Matrix!A:AC,15,0),"")</f>
        <v/>
      </c>
      <c r="R219" s="156">
        <f>IFERROR(VLOOKUP(H219,Matrix!A:AC,16,0)-VLOOKUP(J219,Matrix!A:AC,16,0),"")</f>
        <v/>
      </c>
      <c r="S219" s="195">
        <f>H219</f>
        <v/>
      </c>
      <c r="T219" s="195">
        <f>IFERROR(VLOOKUP(G219&amp;H219,2025Schedule!A:F,6,0),"")</f>
        <v/>
      </c>
      <c r="U219" s="264">
        <f>J219</f>
        <v/>
      </c>
      <c r="V219" s="195">
        <f>IFERROR(VLOOKUP(G219&amp;J219,2025Schedule!A:F,6,0),"")</f>
        <v/>
      </c>
    </row>
    <row r="220" ht="14.4" customHeight="1" s="152">
      <c r="A220" s="241">
        <f>H220&amp;I220</f>
        <v/>
      </c>
      <c r="B220" s="241">
        <f>J220&amp;C220</f>
        <v/>
      </c>
      <c r="C220" s="241">
        <f>IFERROR(IF(I220="Home","Away",IF(I220="Away","Home","")),"")</f>
        <v/>
      </c>
      <c r="D220" s="242">
        <f>H220</f>
        <v/>
      </c>
      <c r="E220" s="157">
        <f>IFERROR(IF(AND(F220&gt;0,T220&gt;V220),"Yes",IF(AND(F220&gt;0,T220&lt;V220),"No",IF(AND(F220&lt;0,T220&lt;V220),"Yes",IF(AND(F220&lt;0,T220&gt;V220),"No",0)))),"")</f>
        <v/>
      </c>
      <c r="F220" s="263">
        <f>IFERROR((N220/MAX(N:N)*_MOVw)+(O220/MAX(O:O)*_WINw)+(P220/MAX(P:P)*_PPGw)+(Q220/MAX(Q:Q)*_ORw)+(R220/MAX(R:R)*_DRw),"")</f>
        <v/>
      </c>
      <c r="N220" s="156">
        <f>IFERROR(VLOOKUP(H220,Matrix!A:AC,12,0)-VLOOKUP(J220,Matrix!A:AC,12,0),"")</f>
        <v/>
      </c>
      <c r="O220" s="182">
        <f>IFERROR(AVERAGEIFS(2025Schedule!O:O,2025Schedule!E:E,H220,2025Schedule!N:N,A220)-AVERAGEIFS(2025Schedule!O:O,2025Schedule!E:E,J220,2025Schedule!N:N,B220),0)</f>
        <v/>
      </c>
      <c r="P220" s="156">
        <f>IFERROR(VLOOKUP(H220,Matrix!A:D,2,0)-VLOOKUP(J220,Matrix!A:D,2,0),"")</f>
        <v/>
      </c>
      <c r="Q220" s="156">
        <f>IFERROR(VLOOKUP(H220,Matrix!A:AC,15,0)-VLOOKUP(J220,Matrix!A:AC,15,0),"")</f>
        <v/>
      </c>
      <c r="R220" s="156">
        <f>IFERROR(VLOOKUP(H220,Matrix!A:AC,16,0)-VLOOKUP(J220,Matrix!A:AC,16,0),"")</f>
        <v/>
      </c>
      <c r="S220" s="195">
        <f>H220</f>
        <v/>
      </c>
      <c r="T220" s="195">
        <f>IFERROR(VLOOKUP(G220&amp;H220,2025Schedule!A:F,6,0),"")</f>
        <v/>
      </c>
      <c r="U220" s="264">
        <f>J220</f>
        <v/>
      </c>
      <c r="V220" s="195">
        <f>IFERROR(VLOOKUP(G220&amp;J220,2025Schedule!A:F,6,0),"")</f>
        <v/>
      </c>
    </row>
    <row r="221" ht="14.4" customHeight="1" s="152">
      <c r="A221" s="241">
        <f>H221&amp;I221</f>
        <v/>
      </c>
      <c r="B221" s="241">
        <f>J221&amp;C221</f>
        <v/>
      </c>
      <c r="C221" s="241">
        <f>IFERROR(IF(I221="Home","Away",IF(I221="Away","Home","")),"")</f>
        <v/>
      </c>
      <c r="D221" s="242">
        <f>H221</f>
        <v/>
      </c>
      <c r="E221" s="157">
        <f>IFERROR(IF(AND(F221&gt;0,T221&gt;V221),"Yes",IF(AND(F221&gt;0,T221&lt;V221),"No",IF(AND(F221&lt;0,T221&lt;V221),"Yes",IF(AND(F221&lt;0,T221&gt;V221),"No",0)))),"")</f>
        <v/>
      </c>
      <c r="F221" s="263">
        <f>IFERROR((N221/MAX(N:N)*_MOVw)+(O221/MAX(O:O)*_WINw)+(P221/MAX(P:P)*_PPGw)+(Q221/MAX(Q:Q)*_ORw)+(R221/MAX(R:R)*_DRw),"")</f>
        <v/>
      </c>
      <c r="N221" s="156">
        <f>IFERROR(VLOOKUP(H221,Matrix!A:AC,12,0)-VLOOKUP(J221,Matrix!A:AC,12,0),"")</f>
        <v/>
      </c>
      <c r="O221" s="182">
        <f>IFERROR(AVERAGEIFS(2025Schedule!O:O,2025Schedule!E:E,H221,2025Schedule!N:N,A221)-AVERAGEIFS(2025Schedule!O:O,2025Schedule!E:E,J221,2025Schedule!N:N,B221),0)</f>
        <v/>
      </c>
      <c r="P221" s="156">
        <f>IFERROR(VLOOKUP(H221,Matrix!A:D,2,0)-VLOOKUP(J221,Matrix!A:D,2,0),"")</f>
        <v/>
      </c>
      <c r="Q221" s="156">
        <f>IFERROR(VLOOKUP(H221,Matrix!A:AC,15,0)-VLOOKUP(J221,Matrix!A:AC,15,0),"")</f>
        <v/>
      </c>
      <c r="R221" s="156">
        <f>IFERROR(VLOOKUP(H221,Matrix!A:AC,16,0)-VLOOKUP(J221,Matrix!A:AC,16,0),"")</f>
        <v/>
      </c>
      <c r="S221" s="195">
        <f>H221</f>
        <v/>
      </c>
      <c r="T221" s="195">
        <f>IFERROR(VLOOKUP(G221&amp;H221,2025Schedule!A:F,6,0),"")</f>
        <v/>
      </c>
      <c r="U221" s="264">
        <f>J221</f>
        <v/>
      </c>
      <c r="V221" s="195">
        <f>IFERROR(VLOOKUP(G221&amp;J221,2025Schedule!A:F,6,0),"")</f>
        <v/>
      </c>
    </row>
    <row r="222" ht="14.4" customHeight="1" s="152">
      <c r="A222" s="241">
        <f>H222&amp;I222</f>
        <v/>
      </c>
      <c r="B222" s="241">
        <f>J222&amp;C222</f>
        <v/>
      </c>
      <c r="C222" s="241">
        <f>IFERROR(IF(I222="Home","Away",IF(I222="Away","Home","")),"")</f>
        <v/>
      </c>
      <c r="D222" s="242">
        <f>H222</f>
        <v/>
      </c>
      <c r="E222" s="157">
        <f>IFERROR(IF(AND(F222&gt;0,T222&gt;V222),"Yes",IF(AND(F222&gt;0,T222&lt;V222),"No",IF(AND(F222&lt;0,T222&lt;V222),"Yes",IF(AND(F222&lt;0,T222&gt;V222),"No",0)))),"")</f>
        <v/>
      </c>
      <c r="F222" s="263">
        <f>IFERROR((N222/MAX(N:N)*_MOVw)+(O222/MAX(O:O)*_WINw)+(P222/MAX(P:P)*_PPGw)+(Q222/MAX(Q:Q)*_ORw)+(R222/MAX(R:R)*_DRw),"")</f>
        <v/>
      </c>
      <c r="N222" s="156">
        <f>IFERROR(VLOOKUP(H222,Matrix!A:AC,12,0)-VLOOKUP(J222,Matrix!A:AC,12,0),"")</f>
        <v/>
      </c>
      <c r="O222" s="182">
        <f>IFERROR(AVERAGEIFS(2025Schedule!O:O,2025Schedule!E:E,H222,2025Schedule!N:N,A222)-AVERAGEIFS(2025Schedule!O:O,2025Schedule!E:E,J222,2025Schedule!N:N,B222),0)</f>
        <v/>
      </c>
      <c r="P222" s="156">
        <f>IFERROR(VLOOKUP(H222,Matrix!A:D,2,0)-VLOOKUP(J222,Matrix!A:D,2,0),"")</f>
        <v/>
      </c>
      <c r="Q222" s="156">
        <f>IFERROR(VLOOKUP(H222,Matrix!A:AC,15,0)-VLOOKUP(J222,Matrix!A:AC,15,0),"")</f>
        <v/>
      </c>
      <c r="R222" s="156">
        <f>IFERROR(VLOOKUP(H222,Matrix!A:AC,16,0)-VLOOKUP(J222,Matrix!A:AC,16,0),"")</f>
        <v/>
      </c>
      <c r="S222" s="195">
        <f>H222</f>
        <v/>
      </c>
      <c r="T222" s="195">
        <f>IFERROR(VLOOKUP(G222&amp;H222,2025Schedule!A:F,6,0),"")</f>
        <v/>
      </c>
      <c r="U222" s="264">
        <f>J222</f>
        <v/>
      </c>
      <c r="V222" s="195">
        <f>IFERROR(VLOOKUP(G222&amp;J222,2025Schedule!A:F,6,0),"")</f>
        <v/>
      </c>
    </row>
    <row r="223" ht="14.4" customHeight="1" s="152">
      <c r="A223" s="241">
        <f>H223&amp;I223</f>
        <v/>
      </c>
      <c r="B223" s="241">
        <f>J223&amp;C223</f>
        <v/>
      </c>
      <c r="C223" s="241">
        <f>IFERROR(IF(I223="Home","Away",IF(I223="Away","Home","")),"")</f>
        <v/>
      </c>
      <c r="D223" s="242">
        <f>H223</f>
        <v/>
      </c>
      <c r="E223" s="157">
        <f>IFERROR(IF(AND(F223&gt;0,T223&gt;V223),"Yes",IF(AND(F223&gt;0,T223&lt;V223),"No",IF(AND(F223&lt;0,T223&lt;V223),"Yes",IF(AND(F223&lt;0,T223&gt;V223),"No",0)))),"")</f>
        <v/>
      </c>
      <c r="F223" s="263">
        <f>IFERROR((N223/MAX(N:N)*_MOVw)+(O223/MAX(O:O)*_WINw)+(P223/MAX(P:P)*_PPGw)+(Q223/MAX(Q:Q)*_ORw)+(R223/MAX(R:R)*_DRw),"")</f>
        <v/>
      </c>
      <c r="N223" s="156">
        <f>IFERROR(VLOOKUP(H223,Matrix!A:AC,12,0)-VLOOKUP(J223,Matrix!A:AC,12,0),"")</f>
        <v/>
      </c>
      <c r="O223" s="182">
        <f>IFERROR(AVERAGEIFS(2025Schedule!O:O,2025Schedule!E:E,H223,2025Schedule!N:N,A223)-AVERAGEIFS(2025Schedule!O:O,2025Schedule!E:E,J223,2025Schedule!N:N,B223),0)</f>
        <v/>
      </c>
      <c r="P223" s="156">
        <f>IFERROR(VLOOKUP(H223,Matrix!A:D,2,0)-VLOOKUP(J223,Matrix!A:D,2,0),"")</f>
        <v/>
      </c>
      <c r="Q223" s="156">
        <f>IFERROR(VLOOKUP(H223,Matrix!A:AC,15,0)-VLOOKUP(J223,Matrix!A:AC,15,0),"")</f>
        <v/>
      </c>
      <c r="R223" s="156">
        <f>IFERROR(VLOOKUP(H223,Matrix!A:AC,16,0)-VLOOKUP(J223,Matrix!A:AC,16,0),"")</f>
        <v/>
      </c>
      <c r="S223" s="195">
        <f>H223</f>
        <v/>
      </c>
      <c r="T223" s="195">
        <f>IFERROR(VLOOKUP(G223&amp;H223,2025Schedule!A:F,6,0),"")</f>
        <v/>
      </c>
      <c r="U223" s="264">
        <f>J223</f>
        <v/>
      </c>
      <c r="V223" s="195">
        <f>IFERROR(VLOOKUP(G223&amp;J223,2025Schedule!A:F,6,0),"")</f>
        <v/>
      </c>
    </row>
    <row r="224" ht="14.4" customHeight="1" s="152">
      <c r="A224" s="241">
        <f>H224&amp;I224</f>
        <v/>
      </c>
      <c r="B224" s="241">
        <f>J224&amp;C224</f>
        <v/>
      </c>
      <c r="C224" s="241">
        <f>IFERROR(IF(I224="Home","Away",IF(I224="Away","Home","")),"")</f>
        <v/>
      </c>
      <c r="D224" s="242">
        <f>H224</f>
        <v/>
      </c>
      <c r="E224" s="157">
        <f>IFERROR(IF(AND(F224&gt;0,T224&gt;V224),"Yes",IF(AND(F224&gt;0,T224&lt;V224),"No",IF(AND(F224&lt;0,T224&lt;V224),"Yes",IF(AND(F224&lt;0,T224&gt;V224),"No",0)))),"")</f>
        <v/>
      </c>
      <c r="F224" s="263">
        <f>IFERROR((N224/MAX(N:N)*_MOVw)+(O224/MAX(O:O)*_WINw)+(P224/MAX(P:P)*_PPGw)+(Q224/MAX(Q:Q)*_ORw)+(R224/MAX(R:R)*_DRw),"")</f>
        <v/>
      </c>
      <c r="N224" s="156">
        <f>IFERROR(VLOOKUP(H224,Matrix!A:AC,12,0)-VLOOKUP(J224,Matrix!A:AC,12,0),"")</f>
        <v/>
      </c>
      <c r="O224" s="182">
        <f>IFERROR(AVERAGEIFS(2025Schedule!O:O,2025Schedule!E:E,H224,2025Schedule!N:N,A224)-AVERAGEIFS(2025Schedule!O:O,2025Schedule!E:E,J224,2025Schedule!N:N,B224),0)</f>
        <v/>
      </c>
      <c r="P224" s="156">
        <f>IFERROR(VLOOKUP(H224,Matrix!A:D,2,0)-VLOOKUP(J224,Matrix!A:D,2,0),"")</f>
        <v/>
      </c>
      <c r="Q224" s="156">
        <f>IFERROR(VLOOKUP(H224,Matrix!A:AC,15,0)-VLOOKUP(J224,Matrix!A:AC,15,0),"")</f>
        <v/>
      </c>
      <c r="R224" s="156">
        <f>IFERROR(VLOOKUP(H224,Matrix!A:AC,16,0)-VLOOKUP(J224,Matrix!A:AC,16,0),"")</f>
        <v/>
      </c>
      <c r="S224" s="195">
        <f>H224</f>
        <v/>
      </c>
      <c r="T224" s="195">
        <f>IFERROR(VLOOKUP(G224&amp;H224,2025Schedule!A:F,6,0),"")</f>
        <v/>
      </c>
      <c r="U224" s="264">
        <f>J224</f>
        <v/>
      </c>
      <c r="V224" s="195">
        <f>IFERROR(VLOOKUP(G224&amp;J224,2025Schedule!A:F,6,0),"")</f>
        <v/>
      </c>
    </row>
    <row r="225" ht="14.4" customHeight="1" s="152">
      <c r="A225" s="241">
        <f>H225&amp;I225</f>
        <v/>
      </c>
      <c r="B225" s="241">
        <f>J225&amp;C225</f>
        <v/>
      </c>
      <c r="C225" s="241">
        <f>IFERROR(IF(I225="Home","Away",IF(I225="Away","Home","")),"")</f>
        <v/>
      </c>
      <c r="D225" s="242">
        <f>H225</f>
        <v/>
      </c>
      <c r="E225" s="157">
        <f>IFERROR(IF(AND(F225&gt;0,T225&gt;V225),"Yes",IF(AND(F225&gt;0,T225&lt;V225),"No",IF(AND(F225&lt;0,T225&lt;V225),"Yes",IF(AND(F225&lt;0,T225&gt;V225),"No",0)))),"")</f>
        <v/>
      </c>
      <c r="F225" s="263">
        <f>IFERROR((N225/MAX(N:N)*_MOVw)+(O225/MAX(O:O)*_WINw)+(P225/MAX(P:P)*_PPGw)+(Q225/MAX(Q:Q)*_ORw)+(R225/MAX(R:R)*_DRw),"")</f>
        <v/>
      </c>
      <c r="N225" s="156">
        <f>IFERROR(VLOOKUP(H225,Matrix!A:AC,12,0)-VLOOKUP(J225,Matrix!A:AC,12,0),"")</f>
        <v/>
      </c>
      <c r="O225" s="182">
        <f>IFERROR(AVERAGEIFS(2025Schedule!O:O,2025Schedule!E:E,H225,2025Schedule!N:N,A225)-AVERAGEIFS(2025Schedule!O:O,2025Schedule!E:E,J225,2025Schedule!N:N,B225),0)</f>
        <v/>
      </c>
      <c r="P225" s="156">
        <f>IFERROR(VLOOKUP(H225,Matrix!A:D,2,0)-VLOOKUP(J225,Matrix!A:D,2,0),"")</f>
        <v/>
      </c>
      <c r="Q225" s="156">
        <f>IFERROR(VLOOKUP(H225,Matrix!A:AC,15,0)-VLOOKUP(J225,Matrix!A:AC,15,0),"")</f>
        <v/>
      </c>
      <c r="R225" s="156">
        <f>IFERROR(VLOOKUP(H225,Matrix!A:AC,16,0)-VLOOKUP(J225,Matrix!A:AC,16,0),"")</f>
        <v/>
      </c>
      <c r="S225" s="195">
        <f>H225</f>
        <v/>
      </c>
      <c r="T225" s="195">
        <f>IFERROR(VLOOKUP(G225&amp;H225,2025Schedule!A:F,6,0),"")</f>
        <v/>
      </c>
      <c r="U225" s="264">
        <f>J225</f>
        <v/>
      </c>
      <c r="V225" s="195">
        <f>IFERROR(VLOOKUP(G225&amp;J225,2025Schedule!A:F,6,0),"")</f>
        <v/>
      </c>
    </row>
    <row r="226" ht="14.4" customHeight="1" s="152">
      <c r="A226" s="241">
        <f>H226&amp;I226</f>
        <v/>
      </c>
      <c r="B226" s="241">
        <f>J226&amp;C226</f>
        <v/>
      </c>
      <c r="C226" s="241">
        <f>IFERROR(IF(I226="Home","Away",IF(I226="Away","Home","")),"")</f>
        <v/>
      </c>
      <c r="D226" s="242">
        <f>H226</f>
        <v/>
      </c>
      <c r="E226" s="157">
        <f>IFERROR(IF(AND(F226&gt;0,T226&gt;V226),"Yes",IF(AND(F226&gt;0,T226&lt;V226),"No",IF(AND(F226&lt;0,T226&lt;V226),"Yes",IF(AND(F226&lt;0,T226&gt;V226),"No",0)))),"")</f>
        <v/>
      </c>
      <c r="F226" s="263">
        <f>IFERROR((N226/MAX(N:N)*_MOVw)+(O226/MAX(O:O)*_WINw)+(P226/MAX(P:P)*_PPGw)+(Q226/MAX(Q:Q)*_ORw)+(R226/MAX(R:R)*_DRw),"")</f>
        <v/>
      </c>
      <c r="N226" s="156">
        <f>IFERROR(VLOOKUP(H226,Matrix!A:AC,12,0)-VLOOKUP(J226,Matrix!A:AC,12,0),"")</f>
        <v/>
      </c>
      <c r="O226" s="182">
        <f>IFERROR(AVERAGEIFS(2025Schedule!O:O,2025Schedule!E:E,H226,2025Schedule!N:N,A226)-AVERAGEIFS(2025Schedule!O:O,2025Schedule!E:E,J226,2025Schedule!N:N,B226),0)</f>
        <v/>
      </c>
      <c r="P226" s="156">
        <f>IFERROR(VLOOKUP(H226,Matrix!A:D,2,0)-VLOOKUP(J226,Matrix!A:D,2,0),"")</f>
        <v/>
      </c>
      <c r="Q226" s="156">
        <f>IFERROR(VLOOKUP(H226,Matrix!A:AC,15,0)-VLOOKUP(J226,Matrix!A:AC,15,0),"")</f>
        <v/>
      </c>
      <c r="R226" s="156">
        <f>IFERROR(VLOOKUP(H226,Matrix!A:AC,16,0)-VLOOKUP(J226,Matrix!A:AC,16,0),"")</f>
        <v/>
      </c>
      <c r="S226" s="195">
        <f>H226</f>
        <v/>
      </c>
      <c r="T226" s="195">
        <f>IFERROR(VLOOKUP(G226&amp;H226,2025Schedule!A:F,6,0),"")</f>
        <v/>
      </c>
      <c r="U226" s="264">
        <f>J226</f>
        <v/>
      </c>
      <c r="V226" s="195">
        <f>IFERROR(VLOOKUP(G226&amp;J226,2025Schedule!A:F,6,0),"")</f>
        <v/>
      </c>
    </row>
    <row r="227" ht="14.4" customHeight="1" s="152">
      <c r="A227" s="241">
        <f>H227&amp;I227</f>
        <v/>
      </c>
      <c r="B227" s="241">
        <f>J227&amp;C227</f>
        <v/>
      </c>
      <c r="C227" s="241">
        <f>IFERROR(IF(I227="Home","Away",IF(I227="Away","Home","")),"")</f>
        <v/>
      </c>
      <c r="D227" s="242">
        <f>H227</f>
        <v/>
      </c>
      <c r="E227" s="157">
        <f>IFERROR(IF(AND(F227&gt;0,T227&gt;V227),"Yes",IF(AND(F227&gt;0,T227&lt;V227),"No",IF(AND(F227&lt;0,T227&lt;V227),"Yes",IF(AND(F227&lt;0,T227&gt;V227),"No",0)))),"")</f>
        <v/>
      </c>
      <c r="F227" s="263">
        <f>IFERROR((N227/MAX(N:N)*_MOVw)+(O227/MAX(O:O)*_WINw)+(P227/MAX(P:P)*_PPGw)+(Q227/MAX(Q:Q)*_ORw)+(R227/MAX(R:R)*_DRw),"")</f>
        <v/>
      </c>
      <c r="N227" s="156">
        <f>IFERROR(VLOOKUP(H227,Matrix!A:AC,12,0)-VLOOKUP(J227,Matrix!A:AC,12,0),"")</f>
        <v/>
      </c>
      <c r="O227" s="182">
        <f>IFERROR(AVERAGEIFS(2025Schedule!O:O,2025Schedule!E:E,H227,2025Schedule!N:N,A227)-AVERAGEIFS(2025Schedule!O:O,2025Schedule!E:E,J227,2025Schedule!N:N,B227),0)</f>
        <v/>
      </c>
      <c r="P227" s="156">
        <f>IFERROR(VLOOKUP(H227,Matrix!A:D,2,0)-VLOOKUP(J227,Matrix!A:D,2,0),"")</f>
        <v/>
      </c>
      <c r="Q227" s="156">
        <f>IFERROR(VLOOKUP(H227,Matrix!A:AC,15,0)-VLOOKUP(J227,Matrix!A:AC,15,0),"")</f>
        <v/>
      </c>
      <c r="R227" s="156">
        <f>IFERROR(VLOOKUP(H227,Matrix!A:AC,16,0)-VLOOKUP(J227,Matrix!A:AC,16,0),"")</f>
        <v/>
      </c>
      <c r="S227" s="195">
        <f>H227</f>
        <v/>
      </c>
      <c r="T227" s="195">
        <f>IFERROR(VLOOKUP(G227&amp;H227,2025Schedule!A:F,6,0),"")</f>
        <v/>
      </c>
      <c r="U227" s="264">
        <f>J227</f>
        <v/>
      </c>
      <c r="V227" s="195">
        <f>IFERROR(VLOOKUP(G227&amp;J227,2025Schedule!A:F,6,0),"")</f>
        <v/>
      </c>
    </row>
    <row r="228" ht="14.4" customHeight="1" s="152">
      <c r="A228" s="241">
        <f>H228&amp;I228</f>
        <v/>
      </c>
      <c r="B228" s="241">
        <f>J228&amp;C228</f>
        <v/>
      </c>
      <c r="C228" s="241">
        <f>IFERROR(IF(I228="Home","Away",IF(I228="Away","Home","")),"")</f>
        <v/>
      </c>
      <c r="D228" s="242">
        <f>H228</f>
        <v/>
      </c>
      <c r="E228" s="157">
        <f>IFERROR(IF(AND(F228&gt;0,T228&gt;V228),"Yes",IF(AND(F228&gt;0,T228&lt;V228),"No",IF(AND(F228&lt;0,T228&lt;V228),"Yes",IF(AND(F228&lt;0,T228&gt;V228),"No",0)))),"")</f>
        <v/>
      </c>
      <c r="F228" s="263">
        <f>IFERROR((N228/MAX(N:N)*_MOVw)+(O228/MAX(O:O)*_WINw)+(P228/MAX(P:P)*_PPGw)+(Q228/MAX(Q:Q)*_ORw)+(R228/MAX(R:R)*_DRw),"")</f>
        <v/>
      </c>
      <c r="N228" s="156">
        <f>IFERROR(VLOOKUP(H228,Matrix!A:AC,12,0)-VLOOKUP(J228,Matrix!A:AC,12,0),"")</f>
        <v/>
      </c>
      <c r="O228" s="182">
        <f>IFERROR(AVERAGEIFS(2025Schedule!O:O,2025Schedule!E:E,H228,2025Schedule!N:N,A228)-AVERAGEIFS(2025Schedule!O:O,2025Schedule!E:E,J228,2025Schedule!N:N,B228),0)</f>
        <v/>
      </c>
      <c r="P228" s="156">
        <f>IFERROR(VLOOKUP(H228,Matrix!A:D,2,0)-VLOOKUP(J228,Matrix!A:D,2,0),"")</f>
        <v/>
      </c>
      <c r="Q228" s="156">
        <f>IFERROR(VLOOKUP(H228,Matrix!A:AC,15,0)-VLOOKUP(J228,Matrix!A:AC,15,0),"")</f>
        <v/>
      </c>
      <c r="R228" s="156">
        <f>IFERROR(VLOOKUP(H228,Matrix!A:AC,16,0)-VLOOKUP(J228,Matrix!A:AC,16,0),"")</f>
        <v/>
      </c>
      <c r="S228" s="195">
        <f>H228</f>
        <v/>
      </c>
      <c r="T228" s="195">
        <f>IFERROR(VLOOKUP(G228&amp;H228,2025Schedule!A:F,6,0),"")</f>
        <v/>
      </c>
      <c r="U228" s="264">
        <f>J228</f>
        <v/>
      </c>
      <c r="V228" s="195">
        <f>IFERROR(VLOOKUP(G228&amp;J228,2025Schedule!A:F,6,0),"")</f>
        <v/>
      </c>
    </row>
    <row r="229" ht="14.4" customHeight="1" s="152">
      <c r="A229" s="241">
        <f>H229&amp;I229</f>
        <v/>
      </c>
      <c r="B229" s="241">
        <f>J229&amp;C229</f>
        <v/>
      </c>
      <c r="C229" s="241">
        <f>IFERROR(IF(I229="Home","Away",IF(I229="Away","Home","")),"")</f>
        <v/>
      </c>
      <c r="D229" s="242">
        <f>H229</f>
        <v/>
      </c>
      <c r="E229" s="157">
        <f>IFERROR(IF(AND(F229&gt;0,T229&gt;V229),"Yes",IF(AND(F229&gt;0,T229&lt;V229),"No",IF(AND(F229&lt;0,T229&lt;V229),"Yes",IF(AND(F229&lt;0,T229&gt;V229),"No",0)))),"")</f>
        <v/>
      </c>
      <c r="F229" s="263">
        <f>IFERROR((N229/MAX(N:N)*_MOVw)+(O229/MAX(O:O)*_WINw)+(P229/MAX(P:P)*_PPGw)+(Q229/MAX(Q:Q)*_ORw)+(R229/MAX(R:R)*_DRw),"")</f>
        <v/>
      </c>
      <c r="N229" s="156">
        <f>IFERROR(VLOOKUP(H229,Matrix!A:AC,12,0)-VLOOKUP(J229,Matrix!A:AC,12,0),"")</f>
        <v/>
      </c>
      <c r="O229" s="182">
        <f>IFERROR(AVERAGEIFS(2025Schedule!O:O,2025Schedule!E:E,H229,2025Schedule!N:N,A229)-AVERAGEIFS(2025Schedule!O:O,2025Schedule!E:E,J229,2025Schedule!N:N,B229),0)</f>
        <v/>
      </c>
      <c r="P229" s="156">
        <f>IFERROR(VLOOKUP(H229,Matrix!A:D,2,0)-VLOOKUP(J229,Matrix!A:D,2,0),"")</f>
        <v/>
      </c>
      <c r="Q229" s="156">
        <f>IFERROR(VLOOKUP(H229,Matrix!A:AC,15,0)-VLOOKUP(J229,Matrix!A:AC,15,0),"")</f>
        <v/>
      </c>
      <c r="R229" s="156">
        <f>IFERROR(VLOOKUP(H229,Matrix!A:AC,16,0)-VLOOKUP(J229,Matrix!A:AC,16,0),"")</f>
        <v/>
      </c>
      <c r="S229" s="195">
        <f>H229</f>
        <v/>
      </c>
      <c r="T229" s="195">
        <f>IFERROR(VLOOKUP(G229&amp;H229,2025Schedule!A:F,6,0),"")</f>
        <v/>
      </c>
      <c r="U229" s="264">
        <f>J229</f>
        <v/>
      </c>
      <c r="V229" s="195">
        <f>IFERROR(VLOOKUP(G229&amp;J229,2025Schedule!A:F,6,0),"")</f>
        <v/>
      </c>
    </row>
    <row r="230" ht="14.4" customHeight="1" s="152">
      <c r="A230" s="241">
        <f>H230&amp;I230</f>
        <v/>
      </c>
      <c r="B230" s="241">
        <f>J230&amp;C230</f>
        <v/>
      </c>
      <c r="C230" s="241">
        <f>IFERROR(IF(I230="Home","Away",IF(I230="Away","Home","")),"")</f>
        <v/>
      </c>
      <c r="D230" s="242">
        <f>H230</f>
        <v/>
      </c>
      <c r="E230" s="157">
        <f>IFERROR(IF(AND(F230&gt;0,T230&gt;V230),"Yes",IF(AND(F230&gt;0,T230&lt;V230),"No",IF(AND(F230&lt;0,T230&lt;V230),"Yes",IF(AND(F230&lt;0,T230&gt;V230),"No",0)))),"")</f>
        <v/>
      </c>
      <c r="F230" s="263">
        <f>IFERROR((N230/MAX(N:N)*_MOVw)+(O230/MAX(O:O)*_WINw)+(P230/MAX(P:P)*_PPGw)+(Q230/MAX(Q:Q)*_ORw)+(R230/MAX(R:R)*_DRw),"")</f>
        <v/>
      </c>
      <c r="N230" s="156">
        <f>IFERROR(VLOOKUP(H230,Matrix!A:AC,12,0)-VLOOKUP(J230,Matrix!A:AC,12,0),"")</f>
        <v/>
      </c>
      <c r="O230" s="182">
        <f>IFERROR(AVERAGEIFS(2025Schedule!O:O,2025Schedule!E:E,H230,2025Schedule!N:N,A230)-AVERAGEIFS(2025Schedule!O:O,2025Schedule!E:E,J230,2025Schedule!N:N,B230),0)</f>
        <v/>
      </c>
      <c r="P230" s="156">
        <f>IFERROR(VLOOKUP(H230,Matrix!A:D,2,0)-VLOOKUP(J230,Matrix!A:D,2,0),"")</f>
        <v/>
      </c>
      <c r="Q230" s="156">
        <f>IFERROR(VLOOKUP(H230,Matrix!A:AC,15,0)-VLOOKUP(J230,Matrix!A:AC,15,0),"")</f>
        <v/>
      </c>
      <c r="R230" s="156">
        <f>IFERROR(VLOOKUP(H230,Matrix!A:AC,16,0)-VLOOKUP(J230,Matrix!A:AC,16,0),"")</f>
        <v/>
      </c>
      <c r="S230" s="195">
        <f>H230</f>
        <v/>
      </c>
      <c r="T230" s="195">
        <f>IFERROR(VLOOKUP(G230&amp;H230,2025Schedule!A:F,6,0),"")</f>
        <v/>
      </c>
      <c r="U230" s="264">
        <f>J230</f>
        <v/>
      </c>
      <c r="V230" s="195">
        <f>IFERROR(VLOOKUP(G230&amp;J230,2025Schedule!A:F,6,0),"")</f>
        <v/>
      </c>
    </row>
    <row r="231" ht="14.4" customHeight="1" s="152">
      <c r="A231" s="241">
        <f>H231&amp;I231</f>
        <v/>
      </c>
      <c r="B231" s="241">
        <f>J231&amp;C231</f>
        <v/>
      </c>
      <c r="C231" s="241">
        <f>IFERROR(IF(I231="Home","Away",IF(I231="Away","Home","")),"")</f>
        <v/>
      </c>
      <c r="D231" s="242">
        <f>H231</f>
        <v/>
      </c>
      <c r="E231" s="157">
        <f>IFERROR(IF(AND(F231&gt;0,T231&gt;V231),"Yes",IF(AND(F231&gt;0,T231&lt;V231),"No",IF(AND(F231&lt;0,T231&lt;V231),"Yes",IF(AND(F231&lt;0,T231&gt;V231),"No",0)))),"")</f>
        <v/>
      </c>
      <c r="F231" s="263">
        <f>IFERROR((N231/MAX(N:N)*_MOVw)+(O231/MAX(O:O)*_WINw)+(P231/MAX(P:P)*_PPGw)+(Q231/MAX(Q:Q)*_ORw)+(R231/MAX(R:R)*_DRw),"")</f>
        <v/>
      </c>
      <c r="N231" s="156">
        <f>IFERROR(VLOOKUP(H231,Matrix!A:AC,12,0)-VLOOKUP(J231,Matrix!A:AC,12,0),"")</f>
        <v/>
      </c>
      <c r="O231" s="182">
        <f>IFERROR(AVERAGEIFS(2025Schedule!O:O,2025Schedule!E:E,H231,2025Schedule!N:N,A231)-AVERAGEIFS(2025Schedule!O:O,2025Schedule!E:E,J231,2025Schedule!N:N,B231),0)</f>
        <v/>
      </c>
      <c r="P231" s="156">
        <f>IFERROR(VLOOKUP(H231,Matrix!A:D,2,0)-VLOOKUP(J231,Matrix!A:D,2,0),"")</f>
        <v/>
      </c>
      <c r="Q231" s="156">
        <f>IFERROR(VLOOKUP(H231,Matrix!A:AC,15,0)-VLOOKUP(J231,Matrix!A:AC,15,0),"")</f>
        <v/>
      </c>
      <c r="R231" s="156">
        <f>IFERROR(VLOOKUP(H231,Matrix!A:AC,16,0)-VLOOKUP(J231,Matrix!A:AC,16,0),"")</f>
        <v/>
      </c>
      <c r="S231" s="195">
        <f>H231</f>
        <v/>
      </c>
      <c r="T231" s="195">
        <f>IFERROR(VLOOKUP(G231&amp;H231,2025Schedule!A:F,6,0),"")</f>
        <v/>
      </c>
      <c r="U231" s="264">
        <f>J231</f>
        <v/>
      </c>
      <c r="V231" s="195">
        <f>IFERROR(VLOOKUP(G231&amp;J231,2025Schedule!A:F,6,0),"")</f>
        <v/>
      </c>
    </row>
    <row r="232" ht="14.4" customHeight="1" s="152">
      <c r="A232" s="241">
        <f>H232&amp;I232</f>
        <v/>
      </c>
      <c r="B232" s="241">
        <f>J232&amp;C232</f>
        <v/>
      </c>
      <c r="C232" s="241">
        <f>IFERROR(IF(I232="Home","Away",IF(I232="Away","Home","")),"")</f>
        <v/>
      </c>
      <c r="D232" s="242">
        <f>H232</f>
        <v/>
      </c>
      <c r="E232" s="157">
        <f>IFERROR(IF(AND(F232&gt;0,T232&gt;V232),"Yes",IF(AND(F232&gt;0,T232&lt;V232),"No",IF(AND(F232&lt;0,T232&lt;V232),"Yes",IF(AND(F232&lt;0,T232&gt;V232),"No",0)))),"")</f>
        <v/>
      </c>
      <c r="F232" s="263">
        <f>IFERROR((N232/MAX(N:N)*_MOVw)+(O232/MAX(O:O)*_WINw)+(P232/MAX(P:P)*_PPGw)+(Q232/MAX(Q:Q)*_ORw)+(R232/MAX(R:R)*_DRw),"")</f>
        <v/>
      </c>
      <c r="N232" s="156">
        <f>IFERROR(VLOOKUP(H232,Matrix!A:AC,12,0)-VLOOKUP(J232,Matrix!A:AC,12,0),"")</f>
        <v/>
      </c>
      <c r="O232" s="182">
        <f>IFERROR(AVERAGEIFS(2025Schedule!O:O,2025Schedule!E:E,H232,2025Schedule!N:N,A232)-AVERAGEIFS(2025Schedule!O:O,2025Schedule!E:E,J232,2025Schedule!N:N,B232),0)</f>
        <v/>
      </c>
      <c r="P232" s="156">
        <f>IFERROR(VLOOKUP(H232,Matrix!A:D,2,0)-VLOOKUP(J232,Matrix!A:D,2,0),"")</f>
        <v/>
      </c>
      <c r="Q232" s="156">
        <f>IFERROR(VLOOKUP(H232,Matrix!A:AC,15,0)-VLOOKUP(J232,Matrix!A:AC,15,0),"")</f>
        <v/>
      </c>
      <c r="R232" s="156">
        <f>IFERROR(VLOOKUP(H232,Matrix!A:AC,16,0)-VLOOKUP(J232,Matrix!A:AC,16,0),"")</f>
        <v/>
      </c>
      <c r="S232" s="195">
        <f>H232</f>
        <v/>
      </c>
      <c r="T232" s="195">
        <f>IFERROR(VLOOKUP(G232&amp;H232,2025Schedule!A:F,6,0),"")</f>
        <v/>
      </c>
      <c r="U232" s="264">
        <f>J232</f>
        <v/>
      </c>
      <c r="V232" s="195">
        <f>IFERROR(VLOOKUP(G232&amp;J232,2025Schedule!A:F,6,0),"")</f>
        <v/>
      </c>
    </row>
    <row r="233" ht="14.4" customHeight="1" s="152">
      <c r="A233" s="241">
        <f>H233&amp;I233</f>
        <v/>
      </c>
      <c r="B233" s="241">
        <f>J233&amp;C233</f>
        <v/>
      </c>
      <c r="C233" s="241">
        <f>IFERROR(IF(I233="Home","Away",IF(I233="Away","Home","")),"")</f>
        <v/>
      </c>
      <c r="D233" s="242">
        <f>H233</f>
        <v/>
      </c>
      <c r="E233" s="157">
        <f>IFERROR(IF(AND(F233&gt;0,T233&gt;V233),"Yes",IF(AND(F233&gt;0,T233&lt;V233),"No",IF(AND(F233&lt;0,T233&lt;V233),"Yes",IF(AND(F233&lt;0,T233&gt;V233),"No",0)))),"")</f>
        <v/>
      </c>
      <c r="F233" s="263">
        <f>IFERROR((N233/MAX(N:N)*_MOVw)+(O233/MAX(O:O)*_WINw)+(P233/MAX(P:P)*_PPGw)+(Q233/MAX(Q:Q)*_ORw)+(R233/MAX(R:R)*_DRw),"")</f>
        <v/>
      </c>
      <c r="N233" s="156">
        <f>IFERROR(VLOOKUP(H233,Matrix!A:AC,12,0)-VLOOKUP(J233,Matrix!A:AC,12,0),"")</f>
        <v/>
      </c>
      <c r="O233" s="182">
        <f>IFERROR(AVERAGEIFS(2025Schedule!O:O,2025Schedule!E:E,H233,2025Schedule!N:N,A233)-AVERAGEIFS(2025Schedule!O:O,2025Schedule!E:E,J233,2025Schedule!N:N,B233),0)</f>
        <v/>
      </c>
      <c r="P233" s="156">
        <f>IFERROR(VLOOKUP(H233,Matrix!A:D,2,0)-VLOOKUP(J233,Matrix!A:D,2,0),"")</f>
        <v/>
      </c>
      <c r="Q233" s="156">
        <f>IFERROR(VLOOKUP(H233,Matrix!A:AC,15,0)-VLOOKUP(J233,Matrix!A:AC,15,0),"")</f>
        <v/>
      </c>
      <c r="R233" s="156">
        <f>IFERROR(VLOOKUP(H233,Matrix!A:AC,16,0)-VLOOKUP(J233,Matrix!A:AC,16,0),"")</f>
        <v/>
      </c>
      <c r="S233" s="195">
        <f>H233</f>
        <v/>
      </c>
      <c r="T233" s="195">
        <f>IFERROR(VLOOKUP(G233&amp;H233,2025Schedule!A:F,6,0),"")</f>
        <v/>
      </c>
      <c r="U233" s="264">
        <f>J233</f>
        <v/>
      </c>
      <c r="V233" s="195">
        <f>IFERROR(VLOOKUP(G233&amp;J233,2025Schedule!A:F,6,0),"")</f>
        <v/>
      </c>
    </row>
    <row r="234" ht="14.4" customHeight="1" s="152">
      <c r="A234" s="241">
        <f>H234&amp;I234</f>
        <v/>
      </c>
      <c r="B234" s="241">
        <f>J234&amp;C234</f>
        <v/>
      </c>
      <c r="C234" s="241">
        <f>IFERROR(IF(I234="Home","Away",IF(I234="Away","Home","")),"")</f>
        <v/>
      </c>
      <c r="D234" s="242">
        <f>H234</f>
        <v/>
      </c>
      <c r="E234" s="157">
        <f>IFERROR(IF(AND(F234&gt;0,T234&gt;V234),"Yes",IF(AND(F234&gt;0,T234&lt;V234),"No",IF(AND(F234&lt;0,T234&lt;V234),"Yes",IF(AND(F234&lt;0,T234&gt;V234),"No",0)))),"")</f>
        <v/>
      </c>
      <c r="F234" s="263">
        <f>IFERROR((N234/MAX(N:N)*_MOVw)+(O234/MAX(O:O)*_WINw)+(P234/MAX(P:P)*_PPGw)+(Q234/MAX(Q:Q)*_ORw)+(R234/MAX(R:R)*_DRw),"")</f>
        <v/>
      </c>
      <c r="N234" s="156">
        <f>IFERROR(VLOOKUP(H234,Matrix!A:AC,12,0)-VLOOKUP(J234,Matrix!A:AC,12,0),"")</f>
        <v/>
      </c>
      <c r="O234" s="182">
        <f>IFERROR(AVERAGEIFS(2025Schedule!O:O,2025Schedule!E:E,H234,2025Schedule!N:N,A234)-AVERAGEIFS(2025Schedule!O:O,2025Schedule!E:E,J234,2025Schedule!N:N,B234),0)</f>
        <v/>
      </c>
      <c r="P234" s="156">
        <f>IFERROR(VLOOKUP(H234,Matrix!A:D,2,0)-VLOOKUP(J234,Matrix!A:D,2,0),"")</f>
        <v/>
      </c>
      <c r="Q234" s="156">
        <f>IFERROR(VLOOKUP(H234,Matrix!A:AC,15,0)-VLOOKUP(J234,Matrix!A:AC,15,0),"")</f>
        <v/>
      </c>
      <c r="R234" s="156">
        <f>IFERROR(VLOOKUP(H234,Matrix!A:AC,16,0)-VLOOKUP(J234,Matrix!A:AC,16,0),"")</f>
        <v/>
      </c>
      <c r="S234" s="195">
        <f>H234</f>
        <v/>
      </c>
      <c r="T234" s="195">
        <f>IFERROR(VLOOKUP(G234&amp;H234,2025Schedule!A:F,6,0),"")</f>
        <v/>
      </c>
      <c r="U234" s="264">
        <f>J234</f>
        <v/>
      </c>
      <c r="V234" s="195">
        <f>IFERROR(VLOOKUP(G234&amp;J234,2025Schedule!A:F,6,0),"")</f>
        <v/>
      </c>
    </row>
    <row r="235" ht="14.4" customHeight="1" s="152">
      <c r="A235" s="241">
        <f>H235&amp;I235</f>
        <v/>
      </c>
      <c r="B235" s="241">
        <f>J235&amp;C235</f>
        <v/>
      </c>
      <c r="C235" s="241">
        <f>IFERROR(IF(I235="Home","Away",IF(I235="Away","Home","")),"")</f>
        <v/>
      </c>
      <c r="D235" s="242">
        <f>H235</f>
        <v/>
      </c>
      <c r="E235" s="157">
        <f>IFERROR(IF(AND(F235&gt;0,T235&gt;V235),"Yes",IF(AND(F235&gt;0,T235&lt;V235),"No",IF(AND(F235&lt;0,T235&lt;V235),"Yes",IF(AND(F235&lt;0,T235&gt;V235),"No",0)))),"")</f>
        <v/>
      </c>
      <c r="F235" s="263">
        <f>IFERROR((N235/MAX(N:N)*_MOVw)+(O235/MAX(O:O)*_WINw)+(P235/MAX(P:P)*_PPGw)+(Q235/MAX(Q:Q)*_ORw)+(R235/MAX(R:R)*_DRw),"")</f>
        <v/>
      </c>
      <c r="N235" s="156">
        <f>IFERROR(VLOOKUP(H235,Matrix!A:AC,12,0)-VLOOKUP(J235,Matrix!A:AC,12,0),"")</f>
        <v/>
      </c>
      <c r="O235" s="182">
        <f>IFERROR(AVERAGEIFS(2025Schedule!O:O,2025Schedule!E:E,H235,2025Schedule!N:N,A235)-AVERAGEIFS(2025Schedule!O:O,2025Schedule!E:E,J235,2025Schedule!N:N,B235),0)</f>
        <v/>
      </c>
      <c r="P235" s="156">
        <f>IFERROR(VLOOKUP(H235,Matrix!A:D,2,0)-VLOOKUP(J235,Matrix!A:D,2,0),"")</f>
        <v/>
      </c>
      <c r="Q235" s="156">
        <f>IFERROR(VLOOKUP(H235,Matrix!A:AC,15,0)-VLOOKUP(J235,Matrix!A:AC,15,0),"")</f>
        <v/>
      </c>
      <c r="R235" s="156">
        <f>IFERROR(VLOOKUP(H235,Matrix!A:AC,16,0)-VLOOKUP(J235,Matrix!A:AC,16,0),"")</f>
        <v/>
      </c>
      <c r="S235" s="195">
        <f>H235</f>
        <v/>
      </c>
      <c r="T235" s="195">
        <f>IFERROR(VLOOKUP(G235&amp;H235,2025Schedule!A:F,6,0),"")</f>
        <v/>
      </c>
      <c r="U235" s="264">
        <f>J235</f>
        <v/>
      </c>
      <c r="V235" s="195">
        <f>IFERROR(VLOOKUP(G235&amp;J235,2025Schedule!A:F,6,0),"")</f>
        <v/>
      </c>
    </row>
    <row r="236" ht="14.4" customHeight="1" s="152">
      <c r="A236" s="241">
        <f>H236&amp;I236</f>
        <v/>
      </c>
      <c r="B236" s="241">
        <f>J236&amp;C236</f>
        <v/>
      </c>
      <c r="C236" s="241">
        <f>IFERROR(IF(I236="Home","Away",IF(I236="Away","Home","")),"")</f>
        <v/>
      </c>
      <c r="D236" s="242">
        <f>H236</f>
        <v/>
      </c>
      <c r="E236" s="157">
        <f>IFERROR(IF(AND(F236&gt;0,T236&gt;V236),"Yes",IF(AND(F236&gt;0,T236&lt;V236),"No",IF(AND(F236&lt;0,T236&lt;V236),"Yes",IF(AND(F236&lt;0,T236&gt;V236),"No",0)))),"")</f>
        <v/>
      </c>
      <c r="F236" s="263">
        <f>IFERROR((N236/MAX(N:N)*_MOVw)+(O236/MAX(O:O)*_WINw)+(P236/MAX(P:P)*_PPGw)+(Q236/MAX(Q:Q)*_ORw)+(R236/MAX(R:R)*_DRw),"")</f>
        <v/>
      </c>
      <c r="N236" s="156">
        <f>IFERROR(VLOOKUP(H236,Matrix!A:AC,12,0)-VLOOKUP(J236,Matrix!A:AC,12,0),"")</f>
        <v/>
      </c>
      <c r="O236" s="182">
        <f>IFERROR(AVERAGEIFS(2025Schedule!O:O,2025Schedule!E:E,H236,2025Schedule!N:N,A236)-AVERAGEIFS(2025Schedule!O:O,2025Schedule!E:E,J236,2025Schedule!N:N,B236),0)</f>
        <v/>
      </c>
      <c r="P236" s="156">
        <f>IFERROR(VLOOKUP(H236,Matrix!A:D,2,0)-VLOOKUP(J236,Matrix!A:D,2,0),"")</f>
        <v/>
      </c>
      <c r="Q236" s="156">
        <f>IFERROR(VLOOKUP(H236,Matrix!A:AC,15,0)-VLOOKUP(J236,Matrix!A:AC,15,0),"")</f>
        <v/>
      </c>
      <c r="R236" s="156">
        <f>IFERROR(VLOOKUP(H236,Matrix!A:AC,16,0)-VLOOKUP(J236,Matrix!A:AC,16,0),"")</f>
        <v/>
      </c>
      <c r="S236" s="195">
        <f>H236</f>
        <v/>
      </c>
      <c r="T236" s="195">
        <f>IFERROR(VLOOKUP(G236&amp;H236,2025Schedule!A:F,6,0),"")</f>
        <v/>
      </c>
      <c r="U236" s="264">
        <f>J236</f>
        <v/>
      </c>
      <c r="V236" s="195">
        <f>IFERROR(VLOOKUP(G236&amp;J236,2025Schedule!A:F,6,0),"")</f>
        <v/>
      </c>
    </row>
    <row r="237" ht="14.4" customHeight="1" s="152">
      <c r="A237" s="241">
        <f>H237&amp;I237</f>
        <v/>
      </c>
      <c r="B237" s="241">
        <f>J237&amp;C237</f>
        <v/>
      </c>
      <c r="C237" s="241">
        <f>IFERROR(IF(I237="Home","Away",IF(I237="Away","Home","")),"")</f>
        <v/>
      </c>
      <c r="D237" s="242">
        <f>H237</f>
        <v/>
      </c>
      <c r="E237" s="157">
        <f>IFERROR(IF(AND(F237&gt;0,T237&gt;V237),"Yes",IF(AND(F237&gt;0,T237&lt;V237),"No",IF(AND(F237&lt;0,T237&lt;V237),"Yes",IF(AND(F237&lt;0,T237&gt;V237),"No",0)))),"")</f>
        <v/>
      </c>
      <c r="F237" s="263">
        <f>IFERROR((N237/MAX(N:N)*_MOVw)+(O237/MAX(O:O)*_WINw)+(P237/MAX(P:P)*_PPGw)+(Q237/MAX(Q:Q)*_ORw)+(R237/MAX(R:R)*_DRw),"")</f>
        <v/>
      </c>
      <c r="N237" s="156">
        <f>IFERROR(VLOOKUP(H237,Matrix!A:AC,12,0)-VLOOKUP(J237,Matrix!A:AC,12,0),"")</f>
        <v/>
      </c>
      <c r="O237" s="182">
        <f>IFERROR(AVERAGEIFS(2025Schedule!O:O,2025Schedule!E:E,H237,2025Schedule!N:N,A237)-AVERAGEIFS(2025Schedule!O:O,2025Schedule!E:E,J237,2025Schedule!N:N,B237),0)</f>
        <v/>
      </c>
      <c r="P237" s="156">
        <f>IFERROR(VLOOKUP(H237,Matrix!A:D,2,0)-VLOOKUP(J237,Matrix!A:D,2,0),"")</f>
        <v/>
      </c>
      <c r="Q237" s="156">
        <f>IFERROR(VLOOKUP(H237,Matrix!A:AC,15,0)-VLOOKUP(J237,Matrix!A:AC,15,0),"")</f>
        <v/>
      </c>
      <c r="R237" s="156">
        <f>IFERROR(VLOOKUP(H237,Matrix!A:AC,16,0)-VLOOKUP(J237,Matrix!A:AC,16,0),"")</f>
        <v/>
      </c>
      <c r="S237" s="195">
        <f>H237</f>
        <v/>
      </c>
      <c r="T237" s="195">
        <f>IFERROR(VLOOKUP(G237&amp;H237,2025Schedule!A:F,6,0),"")</f>
        <v/>
      </c>
      <c r="U237" s="264">
        <f>J237</f>
        <v/>
      </c>
      <c r="V237" s="195">
        <f>IFERROR(VLOOKUP(G237&amp;J237,2025Schedule!A:F,6,0),"")</f>
        <v/>
      </c>
    </row>
    <row r="238" ht="14.4" customHeight="1" s="152">
      <c r="A238" s="241">
        <f>H238&amp;I238</f>
        <v/>
      </c>
      <c r="B238" s="241">
        <f>J238&amp;C238</f>
        <v/>
      </c>
      <c r="C238" s="241">
        <f>IFERROR(IF(I238="Home","Away",IF(I238="Away","Home","")),"")</f>
        <v/>
      </c>
      <c r="D238" s="242">
        <f>H238</f>
        <v/>
      </c>
      <c r="E238" s="157">
        <f>IFERROR(IF(AND(F238&gt;0,T238&gt;V238),"Yes",IF(AND(F238&gt;0,T238&lt;V238),"No",IF(AND(F238&lt;0,T238&lt;V238),"Yes",IF(AND(F238&lt;0,T238&gt;V238),"No",0)))),"")</f>
        <v/>
      </c>
      <c r="F238" s="263">
        <f>IFERROR((N238/MAX(N:N)*_MOVw)+(O238/MAX(O:O)*_WINw)+(P238/MAX(P:P)*_PPGw)+(Q238/MAX(Q:Q)*_ORw)+(R238/MAX(R:R)*_DRw),"")</f>
        <v/>
      </c>
      <c r="N238" s="156">
        <f>IFERROR(VLOOKUP(H238,Matrix!A:AC,12,0)-VLOOKUP(J238,Matrix!A:AC,12,0),"")</f>
        <v/>
      </c>
      <c r="O238" s="182">
        <f>IFERROR(AVERAGEIFS(2025Schedule!O:O,2025Schedule!E:E,H238,2025Schedule!N:N,A238)-AVERAGEIFS(2025Schedule!O:O,2025Schedule!E:E,J238,2025Schedule!N:N,B238),0)</f>
        <v/>
      </c>
      <c r="P238" s="156">
        <f>IFERROR(VLOOKUP(H238,Matrix!A:D,2,0)-VLOOKUP(J238,Matrix!A:D,2,0),"")</f>
        <v/>
      </c>
      <c r="Q238" s="156">
        <f>IFERROR(VLOOKUP(H238,Matrix!A:AC,15,0)-VLOOKUP(J238,Matrix!A:AC,15,0),"")</f>
        <v/>
      </c>
      <c r="R238" s="156">
        <f>IFERROR(VLOOKUP(H238,Matrix!A:AC,16,0)-VLOOKUP(J238,Matrix!A:AC,16,0),"")</f>
        <v/>
      </c>
      <c r="S238" s="195">
        <f>H238</f>
        <v/>
      </c>
      <c r="T238" s="195">
        <f>IFERROR(VLOOKUP(G238&amp;H238,2025Schedule!A:F,6,0),"")</f>
        <v/>
      </c>
      <c r="U238" s="264">
        <f>J238</f>
        <v/>
      </c>
      <c r="V238" s="195">
        <f>IFERROR(VLOOKUP(G238&amp;J238,2025Schedule!A:F,6,0),"")</f>
        <v/>
      </c>
    </row>
    <row r="239" ht="14.4" customHeight="1" s="152">
      <c r="A239" s="241">
        <f>H239&amp;I239</f>
        <v/>
      </c>
      <c r="B239" s="241">
        <f>J239&amp;C239</f>
        <v/>
      </c>
      <c r="C239" s="241">
        <f>IFERROR(IF(I239="Home","Away",IF(I239="Away","Home","")),"")</f>
        <v/>
      </c>
      <c r="D239" s="242">
        <f>H239</f>
        <v/>
      </c>
      <c r="E239" s="157">
        <f>IFERROR(IF(AND(F239&gt;0,T239&gt;V239),"Yes",IF(AND(F239&gt;0,T239&lt;V239),"No",IF(AND(F239&lt;0,T239&lt;V239),"Yes",IF(AND(F239&lt;0,T239&gt;V239),"No",0)))),"")</f>
        <v/>
      </c>
      <c r="F239" s="263">
        <f>IFERROR((N239/MAX(N:N)*_MOVw)+(O239/MAX(O:O)*_WINw)+(P239/MAX(P:P)*_PPGw)+(Q239/MAX(Q:Q)*_ORw)+(R239/MAX(R:R)*_DRw),"")</f>
        <v/>
      </c>
      <c r="N239" s="156">
        <f>IFERROR(VLOOKUP(H239,Matrix!A:AC,12,0)-VLOOKUP(J239,Matrix!A:AC,12,0),"")</f>
        <v/>
      </c>
      <c r="O239" s="182">
        <f>IFERROR(AVERAGEIFS(2025Schedule!O:O,2025Schedule!E:E,H239,2025Schedule!N:N,A239)-AVERAGEIFS(2025Schedule!O:O,2025Schedule!E:E,J239,2025Schedule!N:N,B239),0)</f>
        <v/>
      </c>
      <c r="P239" s="156">
        <f>IFERROR(VLOOKUP(H239,Matrix!A:D,2,0)-VLOOKUP(J239,Matrix!A:D,2,0),"")</f>
        <v/>
      </c>
      <c r="Q239" s="156">
        <f>IFERROR(VLOOKUP(H239,Matrix!A:AC,15,0)-VLOOKUP(J239,Matrix!A:AC,15,0),"")</f>
        <v/>
      </c>
      <c r="R239" s="156">
        <f>IFERROR(VLOOKUP(H239,Matrix!A:AC,16,0)-VLOOKUP(J239,Matrix!A:AC,16,0),"")</f>
        <v/>
      </c>
      <c r="S239" s="195">
        <f>H239</f>
        <v/>
      </c>
      <c r="T239" s="195">
        <f>IFERROR(VLOOKUP(G239&amp;H239,2025Schedule!A:F,6,0),"")</f>
        <v/>
      </c>
      <c r="U239" s="264">
        <f>J239</f>
        <v/>
      </c>
      <c r="V239" s="195">
        <f>IFERROR(VLOOKUP(G239&amp;J239,2025Schedule!A:F,6,0),"")</f>
        <v/>
      </c>
    </row>
    <row r="240" ht="14.4" customHeight="1" s="152">
      <c r="A240" s="241">
        <f>H240&amp;I240</f>
        <v/>
      </c>
      <c r="B240" s="241">
        <f>J240&amp;C240</f>
        <v/>
      </c>
      <c r="C240" s="241">
        <f>IFERROR(IF(I240="Home","Away",IF(I240="Away","Home","")),"")</f>
        <v/>
      </c>
      <c r="D240" s="242">
        <f>H240</f>
        <v/>
      </c>
      <c r="E240" s="157">
        <f>IFERROR(IF(AND(F240&gt;0,T240&gt;V240),"Yes",IF(AND(F240&gt;0,T240&lt;V240),"No",IF(AND(F240&lt;0,T240&lt;V240),"Yes",IF(AND(F240&lt;0,T240&gt;V240),"No",0)))),"")</f>
        <v/>
      </c>
      <c r="F240" s="263">
        <f>IFERROR((N240/MAX(N:N)*_MOVw)+(O240/MAX(O:O)*_WINw)+(P240/MAX(P:P)*_PPGw)+(Q240/MAX(Q:Q)*_ORw)+(R240/MAX(R:R)*_DRw),"")</f>
        <v/>
      </c>
      <c r="N240" s="156">
        <f>IFERROR(VLOOKUP(H240,Matrix!A:AC,12,0)-VLOOKUP(J240,Matrix!A:AC,12,0),"")</f>
        <v/>
      </c>
      <c r="O240" s="182">
        <f>IFERROR(AVERAGEIFS(2025Schedule!O:O,2025Schedule!E:E,H240,2025Schedule!N:N,A240)-AVERAGEIFS(2025Schedule!O:O,2025Schedule!E:E,J240,2025Schedule!N:N,B240),0)</f>
        <v/>
      </c>
      <c r="P240" s="156">
        <f>IFERROR(VLOOKUP(H240,Matrix!A:D,2,0)-VLOOKUP(J240,Matrix!A:D,2,0),"")</f>
        <v/>
      </c>
      <c r="Q240" s="156">
        <f>IFERROR(VLOOKUP(H240,Matrix!A:AC,15,0)-VLOOKUP(J240,Matrix!A:AC,15,0),"")</f>
        <v/>
      </c>
      <c r="R240" s="156">
        <f>IFERROR(VLOOKUP(H240,Matrix!A:AC,16,0)-VLOOKUP(J240,Matrix!A:AC,16,0),"")</f>
        <v/>
      </c>
      <c r="S240" s="195">
        <f>H240</f>
        <v/>
      </c>
      <c r="T240" s="195">
        <f>IFERROR(VLOOKUP(G240&amp;H240,2025Schedule!A:F,6,0),"")</f>
        <v/>
      </c>
      <c r="U240" s="264">
        <f>J240</f>
        <v/>
      </c>
      <c r="V240" s="195">
        <f>IFERROR(VLOOKUP(G240&amp;J240,2025Schedule!A:F,6,0),"")</f>
        <v/>
      </c>
    </row>
    <row r="241" ht="14.4" customHeight="1" s="152">
      <c r="A241" s="241">
        <f>H241&amp;I241</f>
        <v/>
      </c>
      <c r="B241" s="241">
        <f>J241&amp;C241</f>
        <v/>
      </c>
      <c r="C241" s="241">
        <f>IFERROR(IF(I241="Home","Away",IF(I241="Away","Home","")),"")</f>
        <v/>
      </c>
      <c r="D241" s="242">
        <f>H241</f>
        <v/>
      </c>
      <c r="E241" s="157">
        <f>IFERROR(IF(AND(F241&gt;0,T241&gt;V241),"Yes",IF(AND(F241&gt;0,T241&lt;V241),"No",IF(AND(F241&lt;0,T241&lt;V241),"Yes",IF(AND(F241&lt;0,T241&gt;V241),"No",0)))),"")</f>
        <v/>
      </c>
      <c r="F241" s="263">
        <f>IFERROR((N241/MAX(N:N)*_MOVw)+(O241/MAX(O:O)*_WINw)+(P241/MAX(P:P)*_PPGw)+(Q241/MAX(Q:Q)*_ORw)+(R241/MAX(R:R)*_DRw),"")</f>
        <v/>
      </c>
      <c r="N241" s="156">
        <f>IFERROR(VLOOKUP(H241,Matrix!A:AC,12,0)-VLOOKUP(J241,Matrix!A:AC,12,0),"")</f>
        <v/>
      </c>
      <c r="O241" s="182">
        <f>IFERROR(AVERAGEIFS(2025Schedule!O:O,2025Schedule!E:E,H241,2025Schedule!N:N,A241)-AVERAGEIFS(2025Schedule!O:O,2025Schedule!E:E,J241,2025Schedule!N:N,B241),0)</f>
        <v/>
      </c>
      <c r="P241" s="156">
        <f>IFERROR(VLOOKUP(H241,Matrix!A:D,2,0)-VLOOKUP(J241,Matrix!A:D,2,0),"")</f>
        <v/>
      </c>
      <c r="Q241" s="156">
        <f>IFERROR(VLOOKUP(H241,Matrix!A:AC,15,0)-VLOOKUP(J241,Matrix!A:AC,15,0),"")</f>
        <v/>
      </c>
      <c r="R241" s="156">
        <f>IFERROR(VLOOKUP(H241,Matrix!A:AC,16,0)-VLOOKUP(J241,Matrix!A:AC,16,0),"")</f>
        <v/>
      </c>
      <c r="S241" s="195">
        <f>H241</f>
        <v/>
      </c>
      <c r="T241" s="195">
        <f>IFERROR(VLOOKUP(G241&amp;H241,2025Schedule!A:F,6,0),"")</f>
        <v/>
      </c>
      <c r="U241" s="264">
        <f>J241</f>
        <v/>
      </c>
      <c r="V241" s="195">
        <f>IFERROR(VLOOKUP(G241&amp;J241,2025Schedule!A:F,6,0),"")</f>
        <v/>
      </c>
    </row>
    <row r="242" ht="14.4" customHeight="1" s="152">
      <c r="A242" s="241">
        <f>H242&amp;I242</f>
        <v/>
      </c>
      <c r="B242" s="241">
        <f>J242&amp;C242</f>
        <v/>
      </c>
      <c r="C242" s="241">
        <f>IFERROR(IF(I242="Home","Away",IF(I242="Away","Home","")),"")</f>
        <v/>
      </c>
      <c r="D242" s="242">
        <f>H242</f>
        <v/>
      </c>
      <c r="E242" s="157">
        <f>IFERROR(IF(AND(F242&gt;0,T242&gt;V242),"Yes",IF(AND(F242&gt;0,T242&lt;V242),"No",IF(AND(F242&lt;0,T242&lt;V242),"Yes",IF(AND(F242&lt;0,T242&gt;V242),"No",0)))),"")</f>
        <v/>
      </c>
      <c r="F242" s="263">
        <f>IFERROR((N242/MAX(N:N)*_MOVw)+(O242/MAX(O:O)*_WINw)+(P242/MAX(P:P)*_PPGw)+(Q242/MAX(Q:Q)*_ORw)+(R242/MAX(R:R)*_DRw),"")</f>
        <v/>
      </c>
      <c r="N242" s="156">
        <f>IFERROR(VLOOKUP(H242,Matrix!A:AC,12,0)-VLOOKUP(J242,Matrix!A:AC,12,0),"")</f>
        <v/>
      </c>
      <c r="O242" s="182">
        <f>IFERROR(AVERAGEIFS(2025Schedule!O:O,2025Schedule!E:E,H242,2025Schedule!N:N,A242)-AVERAGEIFS(2025Schedule!O:O,2025Schedule!E:E,J242,2025Schedule!N:N,B242),0)</f>
        <v/>
      </c>
      <c r="P242" s="156">
        <f>IFERROR(VLOOKUP(H242,Matrix!A:D,2,0)-VLOOKUP(J242,Matrix!A:D,2,0),"")</f>
        <v/>
      </c>
      <c r="Q242" s="156">
        <f>IFERROR(VLOOKUP(H242,Matrix!A:AC,15,0)-VLOOKUP(J242,Matrix!A:AC,15,0),"")</f>
        <v/>
      </c>
      <c r="R242" s="156">
        <f>IFERROR(VLOOKUP(H242,Matrix!A:AC,16,0)-VLOOKUP(J242,Matrix!A:AC,16,0),"")</f>
        <v/>
      </c>
      <c r="S242" s="195">
        <f>H242</f>
        <v/>
      </c>
      <c r="T242" s="195">
        <f>IFERROR(VLOOKUP(G242&amp;H242,2025Schedule!A:F,6,0),"")</f>
        <v/>
      </c>
      <c r="U242" s="264">
        <f>J242</f>
        <v/>
      </c>
      <c r="V242" s="195">
        <f>IFERROR(VLOOKUP(G242&amp;J242,2025Schedule!A:F,6,0),"")</f>
        <v/>
      </c>
    </row>
    <row r="243" ht="14.4" customHeight="1" s="152">
      <c r="A243" s="241">
        <f>H243&amp;I243</f>
        <v/>
      </c>
      <c r="B243" s="241">
        <f>J243&amp;C243</f>
        <v/>
      </c>
      <c r="C243" s="241">
        <f>IFERROR(IF(I243="Home","Away",IF(I243="Away","Home","")),"")</f>
        <v/>
      </c>
      <c r="D243" s="242">
        <f>H243</f>
        <v/>
      </c>
      <c r="E243" s="157">
        <f>IFERROR(IF(AND(F243&gt;0,T243&gt;V243),"Yes",IF(AND(F243&gt;0,T243&lt;V243),"No",IF(AND(F243&lt;0,T243&lt;V243),"Yes",IF(AND(F243&lt;0,T243&gt;V243),"No",0)))),"")</f>
        <v/>
      </c>
      <c r="F243" s="263">
        <f>IFERROR((N243/MAX(N:N)*_MOVw)+(O243/MAX(O:O)*_WINw)+(P243/MAX(P:P)*_PPGw)+(Q243/MAX(Q:Q)*_ORw)+(R243/MAX(R:R)*_DRw),"")</f>
        <v/>
      </c>
      <c r="N243" s="156">
        <f>IFERROR(VLOOKUP(H243,Matrix!A:AC,12,0)-VLOOKUP(J243,Matrix!A:AC,12,0),"")</f>
        <v/>
      </c>
      <c r="O243" s="182">
        <f>IFERROR(AVERAGEIFS(2025Schedule!O:O,2025Schedule!E:E,H243,2025Schedule!N:N,A243)-AVERAGEIFS(2025Schedule!O:O,2025Schedule!E:E,J243,2025Schedule!N:N,B243),0)</f>
        <v/>
      </c>
      <c r="P243" s="156">
        <f>IFERROR(VLOOKUP(H243,Matrix!A:D,2,0)-VLOOKUP(J243,Matrix!A:D,2,0),"")</f>
        <v/>
      </c>
      <c r="Q243" s="156">
        <f>IFERROR(VLOOKUP(H243,Matrix!A:AC,15,0)-VLOOKUP(J243,Matrix!A:AC,15,0),"")</f>
        <v/>
      </c>
      <c r="R243" s="156">
        <f>IFERROR(VLOOKUP(H243,Matrix!A:AC,16,0)-VLOOKUP(J243,Matrix!A:AC,16,0),"")</f>
        <v/>
      </c>
      <c r="S243" s="195">
        <f>H243</f>
        <v/>
      </c>
      <c r="T243" s="195">
        <f>IFERROR(VLOOKUP(G243&amp;H243,2025Schedule!A:F,6,0),"")</f>
        <v/>
      </c>
      <c r="U243" s="264">
        <f>J243</f>
        <v/>
      </c>
      <c r="V243" s="195">
        <f>IFERROR(VLOOKUP(G243&amp;J243,2025Schedule!A:F,6,0),"")</f>
        <v/>
      </c>
    </row>
    <row r="244" ht="14.4" customHeight="1" s="152">
      <c r="A244" s="241">
        <f>H244&amp;I244</f>
        <v/>
      </c>
      <c r="B244" s="241">
        <f>J244&amp;C244</f>
        <v/>
      </c>
      <c r="C244" s="241">
        <f>IFERROR(IF(I244="Home","Away",IF(I244="Away","Home","")),"")</f>
        <v/>
      </c>
      <c r="D244" s="242">
        <f>H244</f>
        <v/>
      </c>
      <c r="E244" s="157">
        <f>IFERROR(IF(AND(F244&gt;0,T244&gt;V244),"Yes",IF(AND(F244&gt;0,T244&lt;V244),"No",IF(AND(F244&lt;0,T244&lt;V244),"Yes",IF(AND(F244&lt;0,T244&gt;V244),"No",0)))),"")</f>
        <v/>
      </c>
      <c r="F244" s="263">
        <f>IFERROR((N244/MAX(N:N)*_MOVw)+(O244/MAX(O:O)*_WINw)+(P244/MAX(P:P)*_PPGw)+(Q244/MAX(Q:Q)*_ORw)+(R244/MAX(R:R)*_DRw),"")</f>
        <v/>
      </c>
      <c r="N244" s="156">
        <f>IFERROR(VLOOKUP(H244,Matrix!A:AC,12,0)-VLOOKUP(J244,Matrix!A:AC,12,0),"")</f>
        <v/>
      </c>
      <c r="O244" s="182">
        <f>IFERROR(AVERAGEIFS(2025Schedule!O:O,2025Schedule!E:E,H244,2025Schedule!N:N,A244)-AVERAGEIFS(2025Schedule!O:O,2025Schedule!E:E,J244,2025Schedule!N:N,B244),0)</f>
        <v/>
      </c>
      <c r="P244" s="156">
        <f>IFERROR(VLOOKUP(H244,Matrix!A:D,2,0)-VLOOKUP(J244,Matrix!A:D,2,0),"")</f>
        <v/>
      </c>
      <c r="Q244" s="156">
        <f>IFERROR(VLOOKUP(H244,Matrix!A:AC,15,0)-VLOOKUP(J244,Matrix!A:AC,15,0),"")</f>
        <v/>
      </c>
      <c r="R244" s="156">
        <f>IFERROR(VLOOKUP(H244,Matrix!A:AC,16,0)-VLOOKUP(J244,Matrix!A:AC,16,0),"")</f>
        <v/>
      </c>
      <c r="S244" s="195">
        <f>H244</f>
        <v/>
      </c>
      <c r="T244" s="195">
        <f>IFERROR(VLOOKUP(G244&amp;H244,2025Schedule!A:F,6,0),"")</f>
        <v/>
      </c>
      <c r="U244" s="264">
        <f>J244</f>
        <v/>
      </c>
      <c r="V244" s="195">
        <f>IFERROR(VLOOKUP(G244&amp;J244,2025Schedule!A:F,6,0),"")</f>
        <v/>
      </c>
    </row>
    <row r="245" ht="14.4" customHeight="1" s="152">
      <c r="A245" s="241">
        <f>H245&amp;I245</f>
        <v/>
      </c>
      <c r="B245" s="241">
        <f>J245&amp;C245</f>
        <v/>
      </c>
      <c r="C245" s="241">
        <f>IFERROR(IF(I245="Home","Away",IF(I245="Away","Home","")),"")</f>
        <v/>
      </c>
      <c r="D245" s="242">
        <f>H245</f>
        <v/>
      </c>
      <c r="E245" s="157">
        <f>IFERROR(IF(AND(F245&gt;0,T245&gt;V245),"Yes",IF(AND(F245&gt;0,T245&lt;V245),"No",IF(AND(F245&lt;0,T245&lt;V245),"Yes",IF(AND(F245&lt;0,T245&gt;V245),"No",0)))),"")</f>
        <v/>
      </c>
      <c r="F245" s="263">
        <f>IFERROR((N245/MAX(N:N)*_MOVw)+(O245/MAX(O:O)*_WINw)+(P245/MAX(P:P)*_PPGw)+(Q245/MAX(Q:Q)*_ORw)+(R245/MAX(R:R)*_DRw),"")</f>
        <v/>
      </c>
      <c r="N245" s="156">
        <f>IFERROR(VLOOKUP(H245,Matrix!A:AC,12,0)-VLOOKUP(J245,Matrix!A:AC,12,0),"")</f>
        <v/>
      </c>
      <c r="O245" s="182">
        <f>IFERROR(AVERAGEIFS(2025Schedule!O:O,2025Schedule!E:E,H245,2025Schedule!N:N,A245)-AVERAGEIFS(2025Schedule!O:O,2025Schedule!E:E,J245,2025Schedule!N:N,B245),0)</f>
        <v/>
      </c>
      <c r="P245" s="156">
        <f>IFERROR(VLOOKUP(H245,Matrix!A:D,2,0)-VLOOKUP(J245,Matrix!A:D,2,0),"")</f>
        <v/>
      </c>
      <c r="Q245" s="156">
        <f>IFERROR(VLOOKUP(H245,Matrix!A:AC,15,0)-VLOOKUP(J245,Matrix!A:AC,15,0),"")</f>
        <v/>
      </c>
      <c r="R245" s="156">
        <f>IFERROR(VLOOKUP(H245,Matrix!A:AC,16,0)-VLOOKUP(J245,Matrix!A:AC,16,0),"")</f>
        <v/>
      </c>
      <c r="S245" s="195">
        <f>H245</f>
        <v/>
      </c>
      <c r="T245" s="195">
        <f>IFERROR(VLOOKUP(G245&amp;H245,2025Schedule!A:F,6,0),"")</f>
        <v/>
      </c>
      <c r="U245" s="264">
        <f>J245</f>
        <v/>
      </c>
      <c r="V245" s="195">
        <f>IFERROR(VLOOKUP(G245&amp;J245,2025Schedule!A:F,6,0),"")</f>
        <v/>
      </c>
    </row>
    <row r="246" ht="14.4" customHeight="1" s="152">
      <c r="A246" s="241">
        <f>H246&amp;I246</f>
        <v/>
      </c>
      <c r="B246" s="241">
        <f>J246&amp;C246</f>
        <v/>
      </c>
      <c r="C246" s="241">
        <f>IFERROR(IF(I246="Home","Away",IF(I246="Away","Home","")),"")</f>
        <v/>
      </c>
      <c r="D246" s="242">
        <f>H246</f>
        <v/>
      </c>
      <c r="E246" s="157">
        <f>IFERROR(IF(AND(F246&gt;0,T246&gt;V246),"Yes",IF(AND(F246&gt;0,T246&lt;V246),"No",IF(AND(F246&lt;0,T246&lt;V246),"Yes",IF(AND(F246&lt;0,T246&gt;V246),"No",0)))),"")</f>
        <v/>
      </c>
      <c r="F246" s="263">
        <f>IFERROR((N246/MAX(N:N)*_MOVw)+(O246/MAX(O:O)*_WINw)+(P246/MAX(P:P)*_PPGw)+(Q246/MAX(Q:Q)*_ORw)+(R246/MAX(R:R)*_DRw),"")</f>
        <v/>
      </c>
      <c r="N246" s="156">
        <f>IFERROR(VLOOKUP(H246,Matrix!A:AC,12,0)-VLOOKUP(J246,Matrix!A:AC,12,0),"")</f>
        <v/>
      </c>
      <c r="O246" s="182">
        <f>IFERROR(AVERAGEIFS(2025Schedule!O:O,2025Schedule!E:E,H246,2025Schedule!N:N,A246)-AVERAGEIFS(2025Schedule!O:O,2025Schedule!E:E,J246,2025Schedule!N:N,B246),0)</f>
        <v/>
      </c>
      <c r="P246" s="156">
        <f>IFERROR(VLOOKUP(H246,Matrix!A:D,2,0)-VLOOKUP(J246,Matrix!A:D,2,0),"")</f>
        <v/>
      </c>
      <c r="Q246" s="156">
        <f>IFERROR(VLOOKUP(H246,Matrix!A:AC,15,0)-VLOOKUP(J246,Matrix!A:AC,15,0),"")</f>
        <v/>
      </c>
      <c r="R246" s="156">
        <f>IFERROR(VLOOKUP(H246,Matrix!A:AC,16,0)-VLOOKUP(J246,Matrix!A:AC,16,0),"")</f>
        <v/>
      </c>
      <c r="S246" s="195">
        <f>H246</f>
        <v/>
      </c>
      <c r="T246" s="195">
        <f>IFERROR(VLOOKUP(G246&amp;H246,2025Schedule!A:F,6,0),"")</f>
        <v/>
      </c>
      <c r="U246" s="264">
        <f>J246</f>
        <v/>
      </c>
      <c r="V246" s="195">
        <f>IFERROR(VLOOKUP(G246&amp;J246,2025Schedule!A:F,6,0),"")</f>
        <v/>
      </c>
    </row>
    <row r="247" ht="14.4" customHeight="1" s="152">
      <c r="A247" s="241">
        <f>H247&amp;I247</f>
        <v/>
      </c>
      <c r="B247" s="241">
        <f>J247&amp;C247</f>
        <v/>
      </c>
      <c r="C247" s="241">
        <f>IFERROR(IF(I247="Home","Away",IF(I247="Away","Home","")),"")</f>
        <v/>
      </c>
      <c r="D247" s="242">
        <f>H247</f>
        <v/>
      </c>
      <c r="E247" s="157">
        <f>IFERROR(IF(AND(F247&gt;0,T247&gt;V247),"Yes",IF(AND(F247&gt;0,T247&lt;V247),"No",IF(AND(F247&lt;0,T247&lt;V247),"Yes",IF(AND(F247&lt;0,T247&gt;V247),"No",0)))),"")</f>
        <v/>
      </c>
      <c r="F247" s="263">
        <f>IFERROR((N247/MAX(N:N)*_MOVw)+(O247/MAX(O:O)*_WINw)+(P247/MAX(P:P)*_PPGw)+(Q247/MAX(Q:Q)*_ORw)+(R247/MAX(R:R)*_DRw),"")</f>
        <v/>
      </c>
      <c r="N247" s="156">
        <f>IFERROR(VLOOKUP(H247,Matrix!A:AC,12,0)-VLOOKUP(J247,Matrix!A:AC,12,0),"")</f>
        <v/>
      </c>
      <c r="O247" s="182">
        <f>IFERROR(AVERAGEIFS(2025Schedule!O:O,2025Schedule!E:E,H247,2025Schedule!N:N,A247)-AVERAGEIFS(2025Schedule!O:O,2025Schedule!E:E,J247,2025Schedule!N:N,B247),0)</f>
        <v/>
      </c>
      <c r="P247" s="156">
        <f>IFERROR(VLOOKUP(H247,Matrix!A:D,2,0)-VLOOKUP(J247,Matrix!A:D,2,0),"")</f>
        <v/>
      </c>
      <c r="Q247" s="156">
        <f>IFERROR(VLOOKUP(H247,Matrix!A:AC,15,0)-VLOOKUP(J247,Matrix!A:AC,15,0),"")</f>
        <v/>
      </c>
      <c r="R247" s="156">
        <f>IFERROR(VLOOKUP(H247,Matrix!A:AC,16,0)-VLOOKUP(J247,Matrix!A:AC,16,0),"")</f>
        <v/>
      </c>
      <c r="S247" s="195">
        <f>H247</f>
        <v/>
      </c>
      <c r="T247" s="195">
        <f>IFERROR(VLOOKUP(G247&amp;H247,2025Schedule!A:F,6,0),"")</f>
        <v/>
      </c>
      <c r="U247" s="264">
        <f>J247</f>
        <v/>
      </c>
      <c r="V247" s="195">
        <f>IFERROR(VLOOKUP(G247&amp;J247,2025Schedule!A:F,6,0),"")</f>
        <v/>
      </c>
    </row>
    <row r="248" ht="14.4" customHeight="1" s="152">
      <c r="A248" s="241">
        <f>H248&amp;I248</f>
        <v/>
      </c>
      <c r="B248" s="241">
        <f>J248&amp;C248</f>
        <v/>
      </c>
      <c r="C248" s="241">
        <f>IFERROR(IF(I248="Home","Away",IF(I248="Away","Home","")),"")</f>
        <v/>
      </c>
      <c r="D248" s="242">
        <f>H248</f>
        <v/>
      </c>
      <c r="E248" s="157">
        <f>IFERROR(IF(AND(F248&gt;0,T248&gt;V248),"Yes",IF(AND(F248&gt;0,T248&lt;V248),"No",IF(AND(F248&lt;0,T248&lt;V248),"Yes",IF(AND(F248&lt;0,T248&gt;V248),"No",0)))),"")</f>
        <v/>
      </c>
      <c r="F248" s="263">
        <f>IFERROR((N248/MAX(N:N)*_MOVw)+(O248/MAX(O:O)*_WINw)+(P248/MAX(P:P)*_PPGw)+(Q248/MAX(Q:Q)*_ORw)+(R248/MAX(R:R)*_DRw),"")</f>
        <v/>
      </c>
      <c r="N248" s="156">
        <f>IFERROR(VLOOKUP(H248,Matrix!A:AC,12,0)-VLOOKUP(J248,Matrix!A:AC,12,0),"")</f>
        <v/>
      </c>
      <c r="O248" s="182">
        <f>IFERROR(AVERAGEIFS(2025Schedule!O:O,2025Schedule!E:E,H248,2025Schedule!N:N,A248)-AVERAGEIFS(2025Schedule!O:O,2025Schedule!E:E,J248,2025Schedule!N:N,B248),0)</f>
        <v/>
      </c>
      <c r="P248" s="156">
        <f>IFERROR(VLOOKUP(H248,Matrix!A:D,2,0)-VLOOKUP(J248,Matrix!A:D,2,0),"")</f>
        <v/>
      </c>
      <c r="Q248" s="156">
        <f>IFERROR(VLOOKUP(H248,Matrix!A:AC,15,0)-VLOOKUP(J248,Matrix!A:AC,15,0),"")</f>
        <v/>
      </c>
      <c r="R248" s="156">
        <f>IFERROR(VLOOKUP(H248,Matrix!A:AC,16,0)-VLOOKUP(J248,Matrix!A:AC,16,0),"")</f>
        <v/>
      </c>
      <c r="S248" s="195">
        <f>H248</f>
        <v/>
      </c>
      <c r="T248" s="195">
        <f>IFERROR(VLOOKUP(G248&amp;H248,2025Schedule!A:F,6,0),"")</f>
        <v/>
      </c>
      <c r="U248" s="264">
        <f>J248</f>
        <v/>
      </c>
      <c r="V248" s="195">
        <f>IFERROR(VLOOKUP(G248&amp;J248,2025Schedule!A:F,6,0),"")</f>
        <v/>
      </c>
    </row>
    <row r="249" ht="14.4" customHeight="1" s="152">
      <c r="A249" s="241">
        <f>H249&amp;I249</f>
        <v/>
      </c>
      <c r="B249" s="241">
        <f>J249&amp;C249</f>
        <v/>
      </c>
      <c r="C249" s="241">
        <f>IFERROR(IF(I249="Home","Away",IF(I249="Away","Home","")),"")</f>
        <v/>
      </c>
      <c r="D249" s="242">
        <f>H249</f>
        <v/>
      </c>
      <c r="E249" s="157">
        <f>IFERROR(IF(AND(F249&gt;0,T249&gt;V249),"Yes",IF(AND(F249&gt;0,T249&lt;V249),"No",IF(AND(F249&lt;0,T249&lt;V249),"Yes",IF(AND(F249&lt;0,T249&gt;V249),"No",0)))),"")</f>
        <v/>
      </c>
      <c r="F249" s="263">
        <f>IFERROR((N249/MAX(N:N)*_MOVw)+(O249/MAX(O:O)*_WINw)+(P249/MAX(P:P)*_PPGw)+(Q249/MAX(Q:Q)*_ORw)+(R249/MAX(R:R)*_DRw),"")</f>
        <v/>
      </c>
      <c r="N249" s="156">
        <f>IFERROR(VLOOKUP(H249,Matrix!A:AC,12,0)-VLOOKUP(J249,Matrix!A:AC,12,0),"")</f>
        <v/>
      </c>
      <c r="O249" s="182">
        <f>IFERROR(AVERAGEIFS(2025Schedule!O:O,2025Schedule!E:E,H249,2025Schedule!N:N,A249)-AVERAGEIFS(2025Schedule!O:O,2025Schedule!E:E,J249,2025Schedule!N:N,B249),0)</f>
        <v/>
      </c>
      <c r="P249" s="156">
        <f>IFERROR(VLOOKUP(H249,Matrix!A:D,2,0)-VLOOKUP(J249,Matrix!A:D,2,0),"")</f>
        <v/>
      </c>
      <c r="Q249" s="156">
        <f>IFERROR(VLOOKUP(H249,Matrix!A:AC,15,0)-VLOOKUP(J249,Matrix!A:AC,15,0),"")</f>
        <v/>
      </c>
      <c r="R249" s="156">
        <f>IFERROR(VLOOKUP(H249,Matrix!A:AC,16,0)-VLOOKUP(J249,Matrix!A:AC,16,0),"")</f>
        <v/>
      </c>
      <c r="S249" s="195">
        <f>H249</f>
        <v/>
      </c>
      <c r="T249" s="195">
        <f>IFERROR(VLOOKUP(G249&amp;H249,2025Schedule!A:F,6,0),"")</f>
        <v/>
      </c>
      <c r="U249" s="264">
        <f>J249</f>
        <v/>
      </c>
      <c r="V249" s="195">
        <f>IFERROR(VLOOKUP(G249&amp;J249,2025Schedule!A:F,6,0),"")</f>
        <v/>
      </c>
    </row>
    <row r="250" ht="14.4" customHeight="1" s="152">
      <c r="A250" s="241">
        <f>H250&amp;I250</f>
        <v/>
      </c>
      <c r="B250" s="241">
        <f>J250&amp;C250</f>
        <v/>
      </c>
      <c r="C250" s="241">
        <f>IFERROR(IF(I250="Home","Away",IF(I250="Away","Home","")),"")</f>
        <v/>
      </c>
      <c r="D250" s="242">
        <f>H250</f>
        <v/>
      </c>
      <c r="E250" s="157">
        <f>IFERROR(IF(AND(F250&gt;0,T250&gt;V250),"Yes",IF(AND(F250&gt;0,T250&lt;V250),"No",IF(AND(F250&lt;0,T250&lt;V250),"Yes",IF(AND(F250&lt;0,T250&gt;V250),"No",0)))),"")</f>
        <v/>
      </c>
      <c r="F250" s="263">
        <f>IFERROR((N250/MAX(N:N)*_MOVw)+(O250/MAX(O:O)*_WINw)+(P250/MAX(P:P)*_PPGw)+(Q250/MAX(Q:Q)*_ORw)+(R250/MAX(R:R)*_DRw),"")</f>
        <v/>
      </c>
      <c r="N250" s="156">
        <f>IFERROR(VLOOKUP(H250,Matrix!A:AC,12,0)-VLOOKUP(J250,Matrix!A:AC,12,0),"")</f>
        <v/>
      </c>
      <c r="O250" s="182">
        <f>IFERROR(AVERAGEIFS(2025Schedule!O:O,2025Schedule!E:E,H250,2025Schedule!N:N,A250)-AVERAGEIFS(2025Schedule!O:O,2025Schedule!E:E,J250,2025Schedule!N:N,B250),0)</f>
        <v/>
      </c>
      <c r="P250" s="156">
        <f>IFERROR(VLOOKUP(H250,Matrix!A:D,2,0)-VLOOKUP(J250,Matrix!A:D,2,0),"")</f>
        <v/>
      </c>
      <c r="Q250" s="156">
        <f>IFERROR(VLOOKUP(H250,Matrix!A:AC,15,0)-VLOOKUP(J250,Matrix!A:AC,15,0),"")</f>
        <v/>
      </c>
      <c r="R250" s="156">
        <f>IFERROR(VLOOKUP(H250,Matrix!A:AC,16,0)-VLOOKUP(J250,Matrix!A:AC,16,0),"")</f>
        <v/>
      </c>
      <c r="S250" s="195">
        <f>H250</f>
        <v/>
      </c>
      <c r="T250" s="195">
        <f>IFERROR(VLOOKUP(G250&amp;H250,2025Schedule!A:F,6,0),"")</f>
        <v/>
      </c>
      <c r="U250" s="264">
        <f>J250</f>
        <v/>
      </c>
      <c r="V250" s="195">
        <f>IFERROR(VLOOKUP(G250&amp;J250,2025Schedule!A:F,6,0),"")</f>
        <v/>
      </c>
    </row>
    <row r="251" ht="14.4" customHeight="1" s="152">
      <c r="A251" s="241">
        <f>H251&amp;I251</f>
        <v/>
      </c>
      <c r="B251" s="241">
        <f>J251&amp;C251</f>
        <v/>
      </c>
      <c r="C251" s="241">
        <f>IFERROR(IF(I251="Home","Away",IF(I251="Away","Home","")),"")</f>
        <v/>
      </c>
      <c r="D251" s="242">
        <f>H251</f>
        <v/>
      </c>
      <c r="E251" s="157">
        <f>IFERROR(IF(AND(F251&gt;0,T251&gt;V251),"Yes",IF(AND(F251&gt;0,T251&lt;V251),"No",IF(AND(F251&lt;0,T251&lt;V251),"Yes",IF(AND(F251&lt;0,T251&gt;V251),"No",0)))),"")</f>
        <v/>
      </c>
      <c r="F251" s="263">
        <f>IFERROR((N251/MAX(N:N)*_MOVw)+(O251/MAX(O:O)*_WINw)+(P251/MAX(P:P)*_PPGw)+(Q251/MAX(Q:Q)*_ORw)+(R251/MAX(R:R)*_DRw),"")</f>
        <v/>
      </c>
      <c r="N251" s="156">
        <f>IFERROR(VLOOKUP(H251,Matrix!A:AC,12,0)-VLOOKUP(J251,Matrix!A:AC,12,0),"")</f>
        <v/>
      </c>
      <c r="O251" s="182">
        <f>IFERROR(AVERAGEIFS(2025Schedule!O:O,2025Schedule!E:E,H251,2025Schedule!N:N,A251)-AVERAGEIFS(2025Schedule!O:O,2025Schedule!E:E,J251,2025Schedule!N:N,B251),0)</f>
        <v/>
      </c>
      <c r="P251" s="156">
        <f>IFERROR(VLOOKUP(H251,Matrix!A:D,2,0)-VLOOKUP(J251,Matrix!A:D,2,0),"")</f>
        <v/>
      </c>
      <c r="Q251" s="156">
        <f>IFERROR(VLOOKUP(H251,Matrix!A:AC,15,0)-VLOOKUP(J251,Matrix!A:AC,15,0),"")</f>
        <v/>
      </c>
      <c r="R251" s="156">
        <f>IFERROR(VLOOKUP(H251,Matrix!A:AC,16,0)-VLOOKUP(J251,Matrix!A:AC,16,0),"")</f>
        <v/>
      </c>
      <c r="S251" s="195">
        <f>H251</f>
        <v/>
      </c>
      <c r="T251" s="195">
        <f>IFERROR(VLOOKUP(G251&amp;H251,2025Schedule!A:F,6,0),"")</f>
        <v/>
      </c>
      <c r="U251" s="264">
        <f>J251</f>
        <v/>
      </c>
      <c r="V251" s="195">
        <f>IFERROR(VLOOKUP(G251&amp;J251,2025Schedule!A:F,6,0),"")</f>
        <v/>
      </c>
    </row>
    <row r="252" ht="14.4" customHeight="1" s="152">
      <c r="A252" s="241">
        <f>H252&amp;I252</f>
        <v/>
      </c>
      <c r="B252" s="241">
        <f>J252&amp;C252</f>
        <v/>
      </c>
      <c r="C252" s="241">
        <f>IFERROR(IF(I252="Home","Away",IF(I252="Away","Home","")),"")</f>
        <v/>
      </c>
      <c r="D252" s="242">
        <f>H252</f>
        <v/>
      </c>
      <c r="E252" s="157">
        <f>IFERROR(IF(AND(F252&gt;0,T252&gt;V252),"Yes",IF(AND(F252&gt;0,T252&lt;V252),"No",IF(AND(F252&lt;0,T252&lt;V252),"Yes",IF(AND(F252&lt;0,T252&gt;V252),"No",0)))),"")</f>
        <v/>
      </c>
      <c r="F252" s="263">
        <f>IFERROR((N252/MAX(N:N)*_MOVw)+(O252/MAX(O:O)*_WINw)+(P252/MAX(P:P)*_PPGw)+(Q252/MAX(Q:Q)*_ORw)+(R252/MAX(R:R)*_DRw),"")</f>
        <v/>
      </c>
      <c r="N252" s="156">
        <f>IFERROR(VLOOKUP(H252,Matrix!A:AC,12,0)-VLOOKUP(J252,Matrix!A:AC,12,0),"")</f>
        <v/>
      </c>
      <c r="O252" s="182">
        <f>IFERROR(AVERAGEIFS(2025Schedule!O:O,2025Schedule!E:E,H252,2025Schedule!N:N,A252)-AVERAGEIFS(2025Schedule!O:O,2025Schedule!E:E,J252,2025Schedule!N:N,B252),0)</f>
        <v/>
      </c>
      <c r="P252" s="156">
        <f>IFERROR(VLOOKUP(H252,Matrix!A:D,2,0)-VLOOKUP(J252,Matrix!A:D,2,0),"")</f>
        <v/>
      </c>
      <c r="Q252" s="156">
        <f>IFERROR(VLOOKUP(H252,Matrix!A:AC,15,0)-VLOOKUP(J252,Matrix!A:AC,15,0),"")</f>
        <v/>
      </c>
      <c r="R252" s="156">
        <f>IFERROR(VLOOKUP(H252,Matrix!A:AC,16,0)-VLOOKUP(J252,Matrix!A:AC,16,0),"")</f>
        <v/>
      </c>
      <c r="S252" s="195">
        <f>H252</f>
        <v/>
      </c>
      <c r="T252" s="195">
        <f>IFERROR(VLOOKUP(G252&amp;H252,2025Schedule!A:F,6,0),"")</f>
        <v/>
      </c>
      <c r="U252" s="264">
        <f>J252</f>
        <v/>
      </c>
      <c r="V252" s="195">
        <f>IFERROR(VLOOKUP(G252&amp;J252,2025Schedule!A:F,6,0),"")</f>
        <v/>
      </c>
    </row>
    <row r="253" ht="14.4" customHeight="1" s="152">
      <c r="A253" s="241">
        <f>H253&amp;I253</f>
        <v/>
      </c>
      <c r="B253" s="241">
        <f>J253&amp;C253</f>
        <v/>
      </c>
      <c r="C253" s="241">
        <f>IFERROR(IF(I253="Home","Away",IF(I253="Away","Home","")),"")</f>
        <v/>
      </c>
      <c r="D253" s="242">
        <f>H253</f>
        <v/>
      </c>
      <c r="E253" s="157">
        <f>IFERROR(IF(AND(F253&gt;0,T253&gt;V253),"Yes",IF(AND(F253&gt;0,T253&lt;V253),"No",IF(AND(F253&lt;0,T253&lt;V253),"Yes",IF(AND(F253&lt;0,T253&gt;V253),"No",0)))),"")</f>
        <v/>
      </c>
      <c r="F253" s="263">
        <f>IFERROR((N253/MAX(N:N)*_MOVw)+(O253/MAX(O:O)*_WINw)+(P253/MAX(P:P)*_PPGw)+(Q253/MAX(Q:Q)*_ORw)+(R253/MAX(R:R)*_DRw),"")</f>
        <v/>
      </c>
      <c r="N253" s="156">
        <f>IFERROR(VLOOKUP(H253,Matrix!A:AC,12,0)-VLOOKUP(J253,Matrix!A:AC,12,0),"")</f>
        <v/>
      </c>
      <c r="O253" s="182">
        <f>IFERROR(AVERAGEIFS(2025Schedule!O:O,2025Schedule!E:E,H253,2025Schedule!N:N,A253)-AVERAGEIFS(2025Schedule!O:O,2025Schedule!E:E,J253,2025Schedule!N:N,B253),0)</f>
        <v/>
      </c>
      <c r="P253" s="156">
        <f>IFERROR(VLOOKUP(H253,Matrix!A:D,2,0)-VLOOKUP(J253,Matrix!A:D,2,0),"")</f>
        <v/>
      </c>
      <c r="Q253" s="156">
        <f>IFERROR(VLOOKUP(H253,Matrix!A:AC,15,0)-VLOOKUP(J253,Matrix!A:AC,15,0),"")</f>
        <v/>
      </c>
      <c r="R253" s="156">
        <f>IFERROR(VLOOKUP(H253,Matrix!A:AC,16,0)-VLOOKUP(J253,Matrix!A:AC,16,0),"")</f>
        <v/>
      </c>
      <c r="S253" s="195">
        <f>H253</f>
        <v/>
      </c>
      <c r="T253" s="195">
        <f>IFERROR(VLOOKUP(G253&amp;H253,2025Schedule!A:F,6,0),"")</f>
        <v/>
      </c>
      <c r="U253" s="264">
        <f>J253</f>
        <v/>
      </c>
      <c r="V253" s="195">
        <f>IFERROR(VLOOKUP(G253&amp;J253,2025Schedule!A:F,6,0),"")</f>
        <v/>
      </c>
    </row>
    <row r="254" ht="14.4" customHeight="1" s="152">
      <c r="A254" s="241">
        <f>H254&amp;I254</f>
        <v/>
      </c>
      <c r="B254" s="241">
        <f>J254&amp;C254</f>
        <v/>
      </c>
      <c r="C254" s="241">
        <f>IFERROR(IF(I254="Home","Away",IF(I254="Away","Home","")),"")</f>
        <v/>
      </c>
      <c r="D254" s="242">
        <f>H254</f>
        <v/>
      </c>
      <c r="E254" s="157">
        <f>IFERROR(IF(AND(F254&gt;0,T254&gt;V254),"Yes",IF(AND(F254&gt;0,T254&lt;V254),"No",IF(AND(F254&lt;0,T254&lt;V254),"Yes",IF(AND(F254&lt;0,T254&gt;V254),"No",0)))),"")</f>
        <v/>
      </c>
      <c r="F254" s="263">
        <f>IFERROR((N254/MAX(N:N)*_MOVw)+(O254/MAX(O:O)*_WINw)+(P254/MAX(P:P)*_PPGw)+(Q254/MAX(Q:Q)*_ORw)+(R254/MAX(R:R)*_DRw),"")</f>
        <v/>
      </c>
      <c r="N254" s="156">
        <f>IFERROR(VLOOKUP(H254,Matrix!A:AC,12,0)-VLOOKUP(J254,Matrix!A:AC,12,0),"")</f>
        <v/>
      </c>
      <c r="O254" s="182">
        <f>IFERROR(AVERAGEIFS(2025Schedule!O:O,2025Schedule!E:E,H254,2025Schedule!N:N,A254)-AVERAGEIFS(2025Schedule!O:O,2025Schedule!E:E,J254,2025Schedule!N:N,B254),0)</f>
        <v/>
      </c>
      <c r="P254" s="156">
        <f>IFERROR(VLOOKUP(H254,Matrix!A:D,2,0)-VLOOKUP(J254,Matrix!A:D,2,0),"")</f>
        <v/>
      </c>
      <c r="Q254" s="156">
        <f>IFERROR(VLOOKUP(H254,Matrix!A:AC,15,0)-VLOOKUP(J254,Matrix!A:AC,15,0),"")</f>
        <v/>
      </c>
      <c r="R254" s="156">
        <f>IFERROR(VLOOKUP(H254,Matrix!A:AC,16,0)-VLOOKUP(J254,Matrix!A:AC,16,0),"")</f>
        <v/>
      </c>
      <c r="S254" s="195">
        <f>H254</f>
        <v/>
      </c>
      <c r="T254" s="195">
        <f>IFERROR(VLOOKUP(G254&amp;H254,2025Schedule!A:F,6,0),"")</f>
        <v/>
      </c>
      <c r="U254" s="264">
        <f>J254</f>
        <v/>
      </c>
      <c r="V254" s="195">
        <f>IFERROR(VLOOKUP(G254&amp;J254,2025Schedule!A:F,6,0),"")</f>
        <v/>
      </c>
    </row>
    <row r="255" ht="14.4" customHeight="1" s="152">
      <c r="A255" s="241">
        <f>H255&amp;I255</f>
        <v/>
      </c>
      <c r="B255" s="241">
        <f>J255&amp;C255</f>
        <v/>
      </c>
      <c r="C255" s="241">
        <f>IFERROR(IF(I255="Home","Away",IF(I255="Away","Home","")),"")</f>
        <v/>
      </c>
      <c r="D255" s="242">
        <f>H255</f>
        <v/>
      </c>
      <c r="E255" s="157">
        <f>IFERROR(IF(AND(F255&gt;0,T255&gt;V255),"Yes",IF(AND(F255&gt;0,T255&lt;V255),"No",IF(AND(F255&lt;0,T255&lt;V255),"Yes",IF(AND(F255&lt;0,T255&gt;V255),"No",0)))),"")</f>
        <v/>
      </c>
      <c r="F255" s="263">
        <f>IFERROR((N255/MAX(N:N)*_MOVw)+(O255/MAX(O:O)*_WINw)+(P255/MAX(P:P)*_PPGw)+(Q255/MAX(Q:Q)*_ORw)+(R255/MAX(R:R)*_DRw),"")</f>
        <v/>
      </c>
      <c r="N255" s="156">
        <f>IFERROR(VLOOKUP(H255,Matrix!A:AC,12,0)-VLOOKUP(J255,Matrix!A:AC,12,0),"")</f>
        <v/>
      </c>
      <c r="O255" s="182">
        <f>IFERROR(AVERAGEIFS(2025Schedule!O:O,2025Schedule!E:E,H255,2025Schedule!N:N,A255)-AVERAGEIFS(2025Schedule!O:O,2025Schedule!E:E,J255,2025Schedule!N:N,B255),0)</f>
        <v/>
      </c>
      <c r="P255" s="156">
        <f>IFERROR(VLOOKUP(H255,Matrix!A:D,2,0)-VLOOKUP(J255,Matrix!A:D,2,0),"")</f>
        <v/>
      </c>
      <c r="Q255" s="156">
        <f>IFERROR(VLOOKUP(H255,Matrix!A:AC,15,0)-VLOOKUP(J255,Matrix!A:AC,15,0),"")</f>
        <v/>
      </c>
      <c r="R255" s="156">
        <f>IFERROR(VLOOKUP(H255,Matrix!A:AC,16,0)-VLOOKUP(J255,Matrix!A:AC,16,0),"")</f>
        <v/>
      </c>
      <c r="S255" s="195">
        <f>H255</f>
        <v/>
      </c>
      <c r="T255" s="195">
        <f>IFERROR(VLOOKUP(G255&amp;H255,2025Schedule!A:F,6,0),"")</f>
        <v/>
      </c>
      <c r="U255" s="264">
        <f>J255</f>
        <v/>
      </c>
      <c r="V255" s="195">
        <f>IFERROR(VLOOKUP(G255&amp;J255,2025Schedule!A:F,6,0),"")</f>
        <v/>
      </c>
    </row>
    <row r="256" ht="14.4" customHeight="1" s="152">
      <c r="A256" s="241">
        <f>H256&amp;I256</f>
        <v/>
      </c>
      <c r="B256" s="241">
        <f>J256&amp;C256</f>
        <v/>
      </c>
      <c r="C256" s="241">
        <f>IFERROR(IF(I256="Home","Away",IF(I256="Away","Home","")),"")</f>
        <v/>
      </c>
      <c r="D256" s="242">
        <f>H256</f>
        <v/>
      </c>
      <c r="E256" s="157">
        <f>IFERROR(IF(AND(F256&gt;0,T256&gt;V256),"Yes",IF(AND(F256&gt;0,T256&lt;V256),"No",IF(AND(F256&lt;0,T256&lt;V256),"Yes",IF(AND(F256&lt;0,T256&gt;V256),"No",0)))),"")</f>
        <v/>
      </c>
      <c r="F256" s="263">
        <f>IFERROR((N256/MAX(N:N)*_MOVw)+(O256/MAX(O:O)*_WINw)+(P256/MAX(P:P)*_PPGw)+(Q256/MAX(Q:Q)*_ORw)+(R256/MAX(R:R)*_DRw),"")</f>
        <v/>
      </c>
      <c r="N256" s="156">
        <f>IFERROR(VLOOKUP(H256,Matrix!A:AC,12,0)-VLOOKUP(J256,Matrix!A:AC,12,0),"")</f>
        <v/>
      </c>
      <c r="O256" s="182">
        <f>IFERROR(AVERAGEIFS(2025Schedule!O:O,2025Schedule!E:E,H256,2025Schedule!N:N,A256)-AVERAGEIFS(2025Schedule!O:O,2025Schedule!E:E,J256,2025Schedule!N:N,B256),0)</f>
        <v/>
      </c>
      <c r="P256" s="156">
        <f>IFERROR(VLOOKUP(H256,Matrix!A:D,2,0)-VLOOKUP(J256,Matrix!A:D,2,0),"")</f>
        <v/>
      </c>
      <c r="Q256" s="156">
        <f>IFERROR(VLOOKUP(H256,Matrix!A:AC,15,0)-VLOOKUP(J256,Matrix!A:AC,15,0),"")</f>
        <v/>
      </c>
      <c r="R256" s="156">
        <f>IFERROR(VLOOKUP(H256,Matrix!A:AC,16,0)-VLOOKUP(J256,Matrix!A:AC,16,0),"")</f>
        <v/>
      </c>
      <c r="S256" s="195">
        <f>H256</f>
        <v/>
      </c>
      <c r="T256" s="195">
        <f>IFERROR(VLOOKUP(G256&amp;H256,2025Schedule!A:F,6,0),"")</f>
        <v/>
      </c>
      <c r="U256" s="264">
        <f>J256</f>
        <v/>
      </c>
      <c r="V256" s="195">
        <f>IFERROR(VLOOKUP(G256&amp;J256,2025Schedule!A:F,6,0),"")</f>
        <v/>
      </c>
    </row>
    <row r="257" ht="14.4" customHeight="1" s="152">
      <c r="A257" s="241">
        <f>H257&amp;I257</f>
        <v/>
      </c>
      <c r="B257" s="241">
        <f>J257&amp;C257</f>
        <v/>
      </c>
      <c r="C257" s="241">
        <f>IFERROR(IF(I257="Home","Away",IF(I257="Away","Home","")),"")</f>
        <v/>
      </c>
      <c r="D257" s="242">
        <f>H257</f>
        <v/>
      </c>
      <c r="E257" s="157">
        <f>IFERROR(IF(AND(F257&gt;0,T257&gt;V257),"Yes",IF(AND(F257&gt;0,T257&lt;V257),"No",IF(AND(F257&lt;0,T257&lt;V257),"Yes",IF(AND(F257&lt;0,T257&gt;V257),"No",0)))),"")</f>
        <v/>
      </c>
      <c r="F257" s="263">
        <f>IFERROR((N257/MAX(N:N)*_MOVw)+(O257/MAX(O:O)*_WINw)+(P257/MAX(P:P)*_PPGw)+(Q257/MAX(Q:Q)*_ORw)+(R257/MAX(R:R)*_DRw),"")</f>
        <v/>
      </c>
      <c r="N257" s="156">
        <f>IFERROR(VLOOKUP(H257,Matrix!A:AC,12,0)-VLOOKUP(J257,Matrix!A:AC,12,0),"")</f>
        <v/>
      </c>
      <c r="O257" s="182">
        <f>IFERROR(AVERAGEIFS(2025Schedule!O:O,2025Schedule!E:E,H257,2025Schedule!N:N,A257)-AVERAGEIFS(2025Schedule!O:O,2025Schedule!E:E,J257,2025Schedule!N:N,B257),0)</f>
        <v/>
      </c>
      <c r="P257" s="156">
        <f>IFERROR(VLOOKUP(H257,Matrix!A:D,2,0)-VLOOKUP(J257,Matrix!A:D,2,0),"")</f>
        <v/>
      </c>
      <c r="Q257" s="156">
        <f>IFERROR(VLOOKUP(H257,Matrix!A:AC,15,0)-VLOOKUP(J257,Matrix!A:AC,15,0),"")</f>
        <v/>
      </c>
      <c r="R257" s="156">
        <f>IFERROR(VLOOKUP(H257,Matrix!A:AC,16,0)-VLOOKUP(J257,Matrix!A:AC,16,0),"")</f>
        <v/>
      </c>
      <c r="S257" s="195">
        <f>H257</f>
        <v/>
      </c>
      <c r="T257" s="195">
        <f>IFERROR(VLOOKUP(G257&amp;H257,2025Schedule!A:F,6,0),"")</f>
        <v/>
      </c>
      <c r="U257" s="264">
        <f>J257</f>
        <v/>
      </c>
      <c r="V257" s="195">
        <f>IFERROR(VLOOKUP(G257&amp;J257,2025Schedule!A:F,6,0),"")</f>
        <v/>
      </c>
    </row>
    <row r="258" ht="14.4" customHeight="1" s="152">
      <c r="A258" s="241">
        <f>H258&amp;I258</f>
        <v/>
      </c>
      <c r="B258" s="241">
        <f>J258&amp;C258</f>
        <v/>
      </c>
      <c r="C258" s="241">
        <f>IFERROR(IF(I258="Home","Away",IF(I258="Away","Home","")),"")</f>
        <v/>
      </c>
      <c r="D258" s="242">
        <f>H258</f>
        <v/>
      </c>
      <c r="E258" s="157">
        <f>IFERROR(IF(AND(F258&gt;0,T258&gt;V258),"Yes",IF(AND(F258&gt;0,T258&lt;V258),"No",IF(AND(F258&lt;0,T258&lt;V258),"Yes",IF(AND(F258&lt;0,T258&gt;V258),"No",0)))),"")</f>
        <v/>
      </c>
      <c r="F258" s="263">
        <f>IFERROR((N258/MAX(N:N)*_MOVw)+(O258/MAX(O:O)*_WINw)+(P258/MAX(P:P)*_PPGw)+(Q258/MAX(Q:Q)*_ORw)+(R258/MAX(R:R)*_DRw),"")</f>
        <v/>
      </c>
      <c r="N258" s="156">
        <f>IFERROR(VLOOKUP(H258,Matrix!A:AC,12,0)-VLOOKUP(J258,Matrix!A:AC,12,0),"")</f>
        <v/>
      </c>
      <c r="O258" s="182">
        <f>IFERROR(AVERAGEIFS(2025Schedule!O:O,2025Schedule!E:E,H258,2025Schedule!N:N,A258)-AVERAGEIFS(2025Schedule!O:O,2025Schedule!E:E,J258,2025Schedule!N:N,B258),0)</f>
        <v/>
      </c>
      <c r="P258" s="156">
        <f>IFERROR(VLOOKUP(H258,Matrix!A:D,2,0)-VLOOKUP(J258,Matrix!A:D,2,0),"")</f>
        <v/>
      </c>
      <c r="Q258" s="156">
        <f>IFERROR(VLOOKUP(H258,Matrix!A:AC,15,0)-VLOOKUP(J258,Matrix!A:AC,15,0),"")</f>
        <v/>
      </c>
      <c r="R258" s="156">
        <f>IFERROR(VLOOKUP(H258,Matrix!A:AC,16,0)-VLOOKUP(J258,Matrix!A:AC,16,0),"")</f>
        <v/>
      </c>
      <c r="S258" s="195">
        <f>H258</f>
        <v/>
      </c>
      <c r="T258" s="195">
        <f>IFERROR(VLOOKUP(G258&amp;H258,2025Schedule!A:F,6,0),"")</f>
        <v/>
      </c>
      <c r="U258" s="264">
        <f>J258</f>
        <v/>
      </c>
      <c r="V258" s="195">
        <f>IFERROR(VLOOKUP(G258&amp;J258,2025Schedule!A:F,6,0),"")</f>
        <v/>
      </c>
    </row>
    <row r="259" ht="14.4" customHeight="1" s="152">
      <c r="A259" s="241">
        <f>H259&amp;I259</f>
        <v/>
      </c>
      <c r="B259" s="241">
        <f>J259&amp;C259</f>
        <v/>
      </c>
      <c r="C259" s="241">
        <f>IFERROR(IF(I259="Home","Away",IF(I259="Away","Home","")),"")</f>
        <v/>
      </c>
      <c r="D259" s="242">
        <f>H259</f>
        <v/>
      </c>
      <c r="E259" s="157">
        <f>IFERROR(IF(AND(F259&gt;0,T259&gt;V259),"Yes",IF(AND(F259&gt;0,T259&lt;V259),"No",IF(AND(F259&lt;0,T259&lt;V259),"Yes",IF(AND(F259&lt;0,T259&gt;V259),"No",0)))),"")</f>
        <v/>
      </c>
      <c r="F259" s="263">
        <f>IFERROR((N259/MAX(N:N)*_MOVw)+(O259/MAX(O:O)*_WINw)+(P259/MAX(P:P)*_PPGw)+(Q259/MAX(Q:Q)*_ORw)+(R259/MAX(R:R)*_DRw),"")</f>
        <v/>
      </c>
      <c r="N259" s="156">
        <f>IFERROR(VLOOKUP(H259,Matrix!A:AC,12,0)-VLOOKUP(J259,Matrix!A:AC,12,0),"")</f>
        <v/>
      </c>
      <c r="O259" s="182">
        <f>IFERROR(AVERAGEIFS(2025Schedule!O:O,2025Schedule!E:E,H259,2025Schedule!N:N,A259)-AVERAGEIFS(2025Schedule!O:O,2025Schedule!E:E,J259,2025Schedule!N:N,B259),0)</f>
        <v/>
      </c>
      <c r="P259" s="156">
        <f>IFERROR(VLOOKUP(H259,Matrix!A:D,2,0)-VLOOKUP(J259,Matrix!A:D,2,0),"")</f>
        <v/>
      </c>
      <c r="Q259" s="156">
        <f>IFERROR(VLOOKUP(H259,Matrix!A:AC,15,0)-VLOOKUP(J259,Matrix!A:AC,15,0),"")</f>
        <v/>
      </c>
      <c r="R259" s="156">
        <f>IFERROR(VLOOKUP(H259,Matrix!A:AC,16,0)-VLOOKUP(J259,Matrix!A:AC,16,0),"")</f>
        <v/>
      </c>
      <c r="S259" s="195">
        <f>H259</f>
        <v/>
      </c>
      <c r="T259" s="195">
        <f>IFERROR(VLOOKUP(G259&amp;H259,2025Schedule!A:F,6,0),"")</f>
        <v/>
      </c>
      <c r="U259" s="264">
        <f>J259</f>
        <v/>
      </c>
      <c r="V259" s="195">
        <f>IFERROR(VLOOKUP(G259&amp;J259,2025Schedule!A:F,6,0),"")</f>
        <v/>
      </c>
    </row>
    <row r="260" ht="14.4" customHeight="1" s="152">
      <c r="A260" s="241">
        <f>H260&amp;I260</f>
        <v/>
      </c>
      <c r="B260" s="241">
        <f>J260&amp;C260</f>
        <v/>
      </c>
      <c r="C260" s="241">
        <f>IFERROR(IF(I260="Home","Away",IF(I260="Away","Home","")),"")</f>
        <v/>
      </c>
      <c r="D260" s="242">
        <f>H260</f>
        <v/>
      </c>
      <c r="E260" s="157">
        <f>IFERROR(IF(AND(F260&gt;0,T260&gt;V260),"Yes",IF(AND(F260&gt;0,T260&lt;V260),"No",IF(AND(F260&lt;0,T260&lt;V260),"Yes",IF(AND(F260&lt;0,T260&gt;V260),"No",0)))),"")</f>
        <v/>
      </c>
      <c r="F260" s="263">
        <f>IFERROR((N260/MAX(N:N)*_MOVw)+(O260/MAX(O:O)*_WINw)+(P260/MAX(P:P)*_PPGw)+(Q260/MAX(Q:Q)*_ORw)+(R260/MAX(R:R)*_DRw),"")</f>
        <v/>
      </c>
      <c r="N260" s="156">
        <f>IFERROR(VLOOKUP(H260,Matrix!A:AC,12,0)-VLOOKUP(J260,Matrix!A:AC,12,0),"")</f>
        <v/>
      </c>
      <c r="O260" s="182">
        <f>IFERROR(AVERAGEIFS(2025Schedule!O:O,2025Schedule!E:E,H260,2025Schedule!N:N,A260)-AVERAGEIFS(2025Schedule!O:O,2025Schedule!E:E,J260,2025Schedule!N:N,B260),0)</f>
        <v/>
      </c>
      <c r="P260" s="156">
        <f>IFERROR(VLOOKUP(H260,Matrix!A:D,2,0)-VLOOKUP(J260,Matrix!A:D,2,0),"")</f>
        <v/>
      </c>
      <c r="Q260" s="156">
        <f>IFERROR(VLOOKUP(H260,Matrix!A:AC,15,0)-VLOOKUP(J260,Matrix!A:AC,15,0),"")</f>
        <v/>
      </c>
      <c r="R260" s="156">
        <f>IFERROR(VLOOKUP(H260,Matrix!A:AC,16,0)-VLOOKUP(J260,Matrix!A:AC,16,0),"")</f>
        <v/>
      </c>
      <c r="S260" s="195">
        <f>H260</f>
        <v/>
      </c>
      <c r="T260" s="195">
        <f>IFERROR(VLOOKUP(G260&amp;H260,2025Schedule!A:F,6,0),"")</f>
        <v/>
      </c>
      <c r="U260" s="264">
        <f>J260</f>
        <v/>
      </c>
      <c r="V260" s="195">
        <f>IFERROR(VLOOKUP(G260&amp;J260,2025Schedule!A:F,6,0),"")</f>
        <v/>
      </c>
    </row>
    <row r="261" ht="14.4" customHeight="1" s="152">
      <c r="A261" s="241">
        <f>H261&amp;I261</f>
        <v/>
      </c>
      <c r="B261" s="241">
        <f>J261&amp;C261</f>
        <v/>
      </c>
      <c r="C261" s="241">
        <f>IFERROR(IF(I261="Home","Away",IF(I261="Away","Home","")),"")</f>
        <v/>
      </c>
      <c r="D261" s="242">
        <f>H261</f>
        <v/>
      </c>
      <c r="E261" s="157">
        <f>IFERROR(IF(AND(F261&gt;0,T261&gt;V261),"Yes",IF(AND(F261&gt;0,T261&lt;V261),"No",IF(AND(F261&lt;0,T261&lt;V261),"Yes",IF(AND(F261&lt;0,T261&gt;V261),"No",0)))),"")</f>
        <v/>
      </c>
      <c r="F261" s="263">
        <f>IFERROR((N261/MAX(N:N)*_MOVw)+(O261/MAX(O:O)*_WINw)+(P261/MAX(P:P)*_PPGw)+(Q261/MAX(Q:Q)*_ORw)+(R261/MAX(R:R)*_DRw),"")</f>
        <v/>
      </c>
      <c r="N261" s="156">
        <f>IFERROR(VLOOKUP(H261,Matrix!A:AC,12,0)-VLOOKUP(J261,Matrix!A:AC,12,0),"")</f>
        <v/>
      </c>
      <c r="O261" s="182">
        <f>IFERROR(AVERAGEIFS(2025Schedule!O:O,2025Schedule!E:E,H261,2025Schedule!N:N,A261)-AVERAGEIFS(2025Schedule!O:O,2025Schedule!E:E,J261,2025Schedule!N:N,B261),0)</f>
        <v/>
      </c>
      <c r="P261" s="156">
        <f>IFERROR(VLOOKUP(H261,Matrix!A:D,2,0)-VLOOKUP(J261,Matrix!A:D,2,0),"")</f>
        <v/>
      </c>
      <c r="Q261" s="156">
        <f>IFERROR(VLOOKUP(H261,Matrix!A:AC,15,0)-VLOOKUP(J261,Matrix!A:AC,15,0),"")</f>
        <v/>
      </c>
      <c r="R261" s="156">
        <f>IFERROR(VLOOKUP(H261,Matrix!A:AC,16,0)-VLOOKUP(J261,Matrix!A:AC,16,0),"")</f>
        <v/>
      </c>
      <c r="S261" s="195">
        <f>H261</f>
        <v/>
      </c>
      <c r="T261" s="195">
        <f>IFERROR(VLOOKUP(G261&amp;H261,2025Schedule!A:F,6,0),"")</f>
        <v/>
      </c>
      <c r="U261" s="264">
        <f>J261</f>
        <v/>
      </c>
      <c r="V261" s="195">
        <f>IFERROR(VLOOKUP(G261&amp;J261,2025Schedule!A:F,6,0),"")</f>
        <v/>
      </c>
    </row>
    <row r="262" ht="14.4" customHeight="1" s="152">
      <c r="A262" s="241">
        <f>H262&amp;I262</f>
        <v/>
      </c>
      <c r="B262" s="241">
        <f>J262&amp;C262</f>
        <v/>
      </c>
      <c r="C262" s="241">
        <f>IFERROR(IF(I262="Home","Away",IF(I262="Away","Home","")),"")</f>
        <v/>
      </c>
      <c r="D262" s="242">
        <f>H262</f>
        <v/>
      </c>
      <c r="E262" s="157">
        <f>IFERROR(IF(AND(F262&gt;0,T262&gt;V262),"Yes",IF(AND(F262&gt;0,T262&lt;V262),"No",IF(AND(F262&lt;0,T262&lt;V262),"Yes",IF(AND(F262&lt;0,T262&gt;V262),"No",0)))),"")</f>
        <v/>
      </c>
      <c r="F262" s="263">
        <f>IFERROR((N262/MAX(N:N)*_MOVw)+(O262/MAX(O:O)*_WINw)+(P262/MAX(P:P)*_PPGw)+(Q262/MAX(Q:Q)*_ORw)+(R262/MAX(R:R)*_DRw),"")</f>
        <v/>
      </c>
      <c r="N262" s="156">
        <f>IFERROR(VLOOKUP(H262,Matrix!A:AC,12,0)-VLOOKUP(J262,Matrix!A:AC,12,0),"")</f>
        <v/>
      </c>
      <c r="O262" s="182">
        <f>IFERROR(AVERAGEIFS(2025Schedule!O:O,2025Schedule!E:E,H262,2025Schedule!N:N,A262)-AVERAGEIFS(2025Schedule!O:O,2025Schedule!E:E,J262,2025Schedule!N:N,B262),0)</f>
        <v/>
      </c>
      <c r="P262" s="156">
        <f>IFERROR(VLOOKUP(H262,Matrix!A:D,2,0)-VLOOKUP(J262,Matrix!A:D,2,0),"")</f>
        <v/>
      </c>
      <c r="Q262" s="156">
        <f>IFERROR(VLOOKUP(H262,Matrix!A:AC,15,0)-VLOOKUP(J262,Matrix!A:AC,15,0),"")</f>
        <v/>
      </c>
      <c r="R262" s="156">
        <f>IFERROR(VLOOKUP(H262,Matrix!A:AC,16,0)-VLOOKUP(J262,Matrix!A:AC,16,0),"")</f>
        <v/>
      </c>
      <c r="S262" s="195">
        <f>H262</f>
        <v/>
      </c>
      <c r="T262" s="195">
        <f>IFERROR(VLOOKUP(G262&amp;H262,2025Schedule!A:F,6,0),"")</f>
        <v/>
      </c>
      <c r="U262" s="264">
        <f>J262</f>
        <v/>
      </c>
      <c r="V262" s="195">
        <f>IFERROR(VLOOKUP(G262&amp;J262,2025Schedule!A:F,6,0),"")</f>
        <v/>
      </c>
    </row>
    <row r="263" ht="14.4" customHeight="1" s="152">
      <c r="A263" s="241">
        <f>H263&amp;I263</f>
        <v/>
      </c>
      <c r="B263" s="241">
        <f>J263&amp;C263</f>
        <v/>
      </c>
      <c r="C263" s="241">
        <f>IFERROR(IF(I263="Home","Away",IF(I263="Away","Home","")),"")</f>
        <v/>
      </c>
      <c r="D263" s="242">
        <f>H263</f>
        <v/>
      </c>
      <c r="E263" s="157">
        <f>IFERROR(IF(AND(F263&gt;0,T263&gt;V263),"Yes",IF(AND(F263&gt;0,T263&lt;V263),"No",IF(AND(F263&lt;0,T263&lt;V263),"Yes",IF(AND(F263&lt;0,T263&gt;V263),"No",0)))),"")</f>
        <v/>
      </c>
      <c r="F263" s="263">
        <f>IFERROR((N263/MAX(N:N)*_MOVw)+(O263/MAX(O:O)*_WINw)+(P263/MAX(P:P)*_PPGw)+(Q263/MAX(Q:Q)*_ORw)+(R263/MAX(R:R)*_DRw),"")</f>
        <v/>
      </c>
      <c r="N263" s="156">
        <f>IFERROR(VLOOKUP(H263,Matrix!A:AC,12,0)-VLOOKUP(J263,Matrix!A:AC,12,0),"")</f>
        <v/>
      </c>
      <c r="O263" s="182">
        <f>IFERROR(AVERAGEIFS(2025Schedule!O:O,2025Schedule!E:E,H263,2025Schedule!N:N,A263)-AVERAGEIFS(2025Schedule!O:O,2025Schedule!E:E,J263,2025Schedule!N:N,B263),0)</f>
        <v/>
      </c>
      <c r="P263" s="156">
        <f>IFERROR(VLOOKUP(H263,Matrix!A:D,2,0)-VLOOKUP(J263,Matrix!A:D,2,0),"")</f>
        <v/>
      </c>
      <c r="Q263" s="156">
        <f>IFERROR(VLOOKUP(H263,Matrix!A:AC,15,0)-VLOOKUP(J263,Matrix!A:AC,15,0),"")</f>
        <v/>
      </c>
      <c r="R263" s="156">
        <f>IFERROR(VLOOKUP(H263,Matrix!A:AC,16,0)-VLOOKUP(J263,Matrix!A:AC,16,0),"")</f>
        <v/>
      </c>
      <c r="S263" s="195">
        <f>H263</f>
        <v/>
      </c>
      <c r="T263" s="195">
        <f>IFERROR(VLOOKUP(G263&amp;H263,2025Schedule!A:F,6,0),"")</f>
        <v/>
      </c>
      <c r="U263" s="264">
        <f>J263</f>
        <v/>
      </c>
      <c r="V263" s="195">
        <f>IFERROR(VLOOKUP(G263&amp;J263,2025Schedule!A:F,6,0),"")</f>
        <v/>
      </c>
    </row>
    <row r="264" ht="14.4" customHeight="1" s="152">
      <c r="A264" s="241">
        <f>H264&amp;I264</f>
        <v/>
      </c>
      <c r="B264" s="241">
        <f>J264&amp;C264</f>
        <v/>
      </c>
      <c r="C264" s="241">
        <f>IFERROR(IF(I264="Home","Away",IF(I264="Away","Home","")),"")</f>
        <v/>
      </c>
      <c r="D264" s="242">
        <f>H264</f>
        <v/>
      </c>
      <c r="E264" s="157">
        <f>IFERROR(IF(AND(F264&gt;0,T264&gt;V264),"Yes",IF(AND(F264&gt;0,T264&lt;V264),"No",IF(AND(F264&lt;0,T264&lt;V264),"Yes",IF(AND(F264&lt;0,T264&gt;V264),"No",0)))),"")</f>
        <v/>
      </c>
      <c r="F264" s="263">
        <f>IFERROR((N264/MAX(N:N)*_MOVw)+(O264/MAX(O:O)*_WINw)+(P264/MAX(P:P)*_PPGw)+(Q264/MAX(Q:Q)*_ORw)+(R264/MAX(R:R)*_DRw),"")</f>
        <v/>
      </c>
      <c r="N264" s="156">
        <f>IFERROR(VLOOKUP(H264,Matrix!A:AC,12,0)-VLOOKUP(J264,Matrix!A:AC,12,0),"")</f>
        <v/>
      </c>
      <c r="O264" s="182">
        <f>IFERROR(AVERAGEIFS(2025Schedule!O:O,2025Schedule!E:E,H264,2025Schedule!N:N,A264)-AVERAGEIFS(2025Schedule!O:O,2025Schedule!E:E,J264,2025Schedule!N:N,B264),0)</f>
        <v/>
      </c>
      <c r="P264" s="156">
        <f>IFERROR(VLOOKUP(H264,Matrix!A:D,2,0)-VLOOKUP(J264,Matrix!A:D,2,0),"")</f>
        <v/>
      </c>
      <c r="Q264" s="156">
        <f>IFERROR(VLOOKUP(H264,Matrix!A:AC,15,0)-VLOOKUP(J264,Matrix!A:AC,15,0),"")</f>
        <v/>
      </c>
      <c r="R264" s="156">
        <f>IFERROR(VLOOKUP(H264,Matrix!A:AC,16,0)-VLOOKUP(J264,Matrix!A:AC,16,0),"")</f>
        <v/>
      </c>
      <c r="S264" s="195">
        <f>H264</f>
        <v/>
      </c>
      <c r="T264" s="195">
        <f>IFERROR(VLOOKUP(G264&amp;H264,2025Schedule!A:F,6,0),"")</f>
        <v/>
      </c>
      <c r="U264" s="264">
        <f>J264</f>
        <v/>
      </c>
      <c r="V264" s="195">
        <f>IFERROR(VLOOKUP(G264&amp;J264,2025Schedule!A:F,6,0),"")</f>
        <v/>
      </c>
    </row>
    <row r="265" ht="14.4" customHeight="1" s="152">
      <c r="A265" s="241">
        <f>H265&amp;I265</f>
        <v/>
      </c>
      <c r="B265" s="241">
        <f>J265&amp;C265</f>
        <v/>
      </c>
      <c r="C265" s="241">
        <f>IFERROR(IF(I265="Home","Away",IF(I265="Away","Home","")),"")</f>
        <v/>
      </c>
      <c r="D265" s="242">
        <f>H265</f>
        <v/>
      </c>
      <c r="E265" s="157">
        <f>IFERROR(IF(AND(F265&gt;0,T265&gt;V265),"Yes",IF(AND(F265&gt;0,T265&lt;V265),"No",IF(AND(F265&lt;0,T265&lt;V265),"Yes",IF(AND(F265&lt;0,T265&gt;V265),"No",0)))),"")</f>
        <v/>
      </c>
      <c r="F265" s="263">
        <f>IFERROR((N265/MAX(N:N)*_MOVw)+(O265/MAX(O:O)*_WINw)+(P265/MAX(P:P)*_PPGw)+(Q265/MAX(Q:Q)*_ORw)+(R265/MAX(R:R)*_DRw),"")</f>
        <v/>
      </c>
      <c r="N265" s="156">
        <f>IFERROR(VLOOKUP(H265,Matrix!A:AC,12,0)-VLOOKUP(J265,Matrix!A:AC,12,0),"")</f>
        <v/>
      </c>
      <c r="O265" s="182">
        <f>IFERROR(AVERAGEIFS(2025Schedule!O:O,2025Schedule!E:E,H265,2025Schedule!N:N,A265)-AVERAGEIFS(2025Schedule!O:O,2025Schedule!E:E,J265,2025Schedule!N:N,B265),0)</f>
        <v/>
      </c>
      <c r="P265" s="156">
        <f>IFERROR(VLOOKUP(H265,Matrix!A:D,2,0)-VLOOKUP(J265,Matrix!A:D,2,0),"")</f>
        <v/>
      </c>
      <c r="Q265" s="156">
        <f>IFERROR(VLOOKUP(H265,Matrix!A:AC,15,0)-VLOOKUP(J265,Matrix!A:AC,15,0),"")</f>
        <v/>
      </c>
      <c r="R265" s="156">
        <f>IFERROR(VLOOKUP(H265,Matrix!A:AC,16,0)-VLOOKUP(J265,Matrix!A:AC,16,0),"")</f>
        <v/>
      </c>
      <c r="S265" s="195">
        <f>H265</f>
        <v/>
      </c>
      <c r="T265" s="195">
        <f>IFERROR(VLOOKUP(G265&amp;H265,2025Schedule!A:F,6,0),"")</f>
        <v/>
      </c>
      <c r="U265" s="264">
        <f>J265</f>
        <v/>
      </c>
      <c r="V265" s="195">
        <f>IFERROR(VLOOKUP(G265&amp;J265,2025Schedule!A:F,6,0),"")</f>
        <v/>
      </c>
    </row>
    <row r="266" ht="14.4" customHeight="1" s="152">
      <c r="A266" s="241">
        <f>H266&amp;I266</f>
        <v/>
      </c>
      <c r="B266" s="241">
        <f>J266&amp;C266</f>
        <v/>
      </c>
      <c r="C266" s="241">
        <f>IFERROR(IF(I266="Home","Away",IF(I266="Away","Home","")),"")</f>
        <v/>
      </c>
      <c r="D266" s="242">
        <f>H266</f>
        <v/>
      </c>
      <c r="E266" s="157">
        <f>IFERROR(IF(AND(F266&gt;0,T266&gt;V266),"Yes",IF(AND(F266&gt;0,T266&lt;V266),"No",IF(AND(F266&lt;0,T266&lt;V266),"Yes",IF(AND(F266&lt;0,T266&gt;V266),"No",0)))),"")</f>
        <v/>
      </c>
      <c r="F266" s="263">
        <f>IFERROR((N266/MAX(N:N)*_MOVw)+(O266/MAX(O:O)*_WINw)+(P266/MAX(P:P)*_PPGw)+(Q266/MAX(Q:Q)*_ORw)+(R266/MAX(R:R)*_DRw),"")</f>
        <v/>
      </c>
      <c r="N266" s="156">
        <f>IFERROR(VLOOKUP(H266,Matrix!A:AC,12,0)-VLOOKUP(J266,Matrix!A:AC,12,0),"")</f>
        <v/>
      </c>
      <c r="O266" s="182">
        <f>IFERROR(AVERAGEIFS(2025Schedule!O:O,2025Schedule!E:E,H266,2025Schedule!N:N,A266)-AVERAGEIFS(2025Schedule!O:O,2025Schedule!E:E,J266,2025Schedule!N:N,B266),0)</f>
        <v/>
      </c>
      <c r="P266" s="156">
        <f>IFERROR(VLOOKUP(H266,Matrix!A:D,2,0)-VLOOKUP(J266,Matrix!A:D,2,0),"")</f>
        <v/>
      </c>
      <c r="Q266" s="156">
        <f>IFERROR(VLOOKUP(H266,Matrix!A:AC,15,0)-VLOOKUP(J266,Matrix!A:AC,15,0),"")</f>
        <v/>
      </c>
      <c r="R266" s="156">
        <f>IFERROR(VLOOKUP(H266,Matrix!A:AC,16,0)-VLOOKUP(J266,Matrix!A:AC,16,0),"")</f>
        <v/>
      </c>
      <c r="S266" s="195">
        <f>H266</f>
        <v/>
      </c>
      <c r="T266" s="195">
        <f>IFERROR(VLOOKUP(G266&amp;H266,2025Schedule!A:F,6,0),"")</f>
        <v/>
      </c>
      <c r="U266" s="264">
        <f>J266</f>
        <v/>
      </c>
      <c r="V266" s="195">
        <f>IFERROR(VLOOKUP(G266&amp;J266,2025Schedule!A:F,6,0),"")</f>
        <v/>
      </c>
    </row>
    <row r="267" ht="14.4" customHeight="1" s="152">
      <c r="A267" s="241">
        <f>H267&amp;I267</f>
        <v/>
      </c>
      <c r="B267" s="241">
        <f>J267&amp;C267</f>
        <v/>
      </c>
      <c r="C267" s="241">
        <f>IFERROR(IF(I267="Home","Away",IF(I267="Away","Home","")),"")</f>
        <v/>
      </c>
      <c r="D267" s="242">
        <f>H267</f>
        <v/>
      </c>
      <c r="E267" s="157">
        <f>IFERROR(IF(AND(F267&gt;0,T267&gt;V267),"Yes",IF(AND(F267&gt;0,T267&lt;V267),"No",IF(AND(F267&lt;0,T267&lt;V267),"Yes",IF(AND(F267&lt;0,T267&gt;V267),"No",0)))),"")</f>
        <v/>
      </c>
      <c r="F267" s="263">
        <f>IFERROR((N267/MAX(N:N)*_MOVw)+(O267/MAX(O:O)*_WINw)+(P267/MAX(P:P)*_PPGw)+(Q267/MAX(Q:Q)*_ORw)+(R267/MAX(R:R)*_DRw),"")</f>
        <v/>
      </c>
      <c r="N267" s="156">
        <f>IFERROR(VLOOKUP(H267,Matrix!A:AC,12,0)-VLOOKUP(J267,Matrix!A:AC,12,0),"")</f>
        <v/>
      </c>
      <c r="O267" s="182">
        <f>IFERROR(AVERAGEIFS(2025Schedule!O:O,2025Schedule!E:E,H267,2025Schedule!N:N,A267)-AVERAGEIFS(2025Schedule!O:O,2025Schedule!E:E,J267,2025Schedule!N:N,B267),0)</f>
        <v/>
      </c>
      <c r="P267" s="156">
        <f>IFERROR(VLOOKUP(H267,Matrix!A:D,2,0)-VLOOKUP(J267,Matrix!A:D,2,0),"")</f>
        <v/>
      </c>
      <c r="Q267" s="156">
        <f>IFERROR(VLOOKUP(H267,Matrix!A:AC,15,0)-VLOOKUP(J267,Matrix!A:AC,15,0),"")</f>
        <v/>
      </c>
      <c r="R267" s="156">
        <f>IFERROR(VLOOKUP(H267,Matrix!A:AC,16,0)-VLOOKUP(J267,Matrix!A:AC,16,0),"")</f>
        <v/>
      </c>
      <c r="S267" s="195">
        <f>H267</f>
        <v/>
      </c>
      <c r="T267" s="195">
        <f>IFERROR(VLOOKUP(G267&amp;H267,2025Schedule!A:F,6,0),"")</f>
        <v/>
      </c>
      <c r="U267" s="264">
        <f>J267</f>
        <v/>
      </c>
      <c r="V267" s="195">
        <f>IFERROR(VLOOKUP(G267&amp;J267,2025Schedule!A:F,6,0),"")</f>
        <v/>
      </c>
    </row>
    <row r="268" ht="14.4" customHeight="1" s="152">
      <c r="A268" s="241">
        <f>H268&amp;I268</f>
        <v/>
      </c>
      <c r="B268" s="241">
        <f>J268&amp;C268</f>
        <v/>
      </c>
      <c r="C268" s="241">
        <f>IFERROR(IF(I268="Home","Away",IF(I268="Away","Home","")),"")</f>
        <v/>
      </c>
      <c r="D268" s="242">
        <f>H268</f>
        <v/>
      </c>
      <c r="E268" s="157">
        <f>IFERROR(IF(AND(F268&gt;0,T268&gt;V268),"Yes",IF(AND(F268&gt;0,T268&lt;V268),"No",IF(AND(F268&lt;0,T268&lt;V268),"Yes",IF(AND(F268&lt;0,T268&gt;V268),"No",0)))),"")</f>
        <v/>
      </c>
      <c r="F268" s="263">
        <f>IFERROR((N268/MAX(N:N)*_MOVw)+(O268/MAX(O:O)*_WINw)+(P268/MAX(P:P)*_PPGw)+(Q268/MAX(Q:Q)*_ORw)+(R268/MAX(R:R)*_DRw),"")</f>
        <v/>
      </c>
      <c r="N268" s="156">
        <f>IFERROR(VLOOKUP(H268,Matrix!A:AC,12,0)-VLOOKUP(J268,Matrix!A:AC,12,0),"")</f>
        <v/>
      </c>
      <c r="O268" s="182">
        <f>IFERROR(AVERAGEIFS(2025Schedule!O:O,2025Schedule!E:E,H268,2025Schedule!N:N,A268)-AVERAGEIFS(2025Schedule!O:O,2025Schedule!E:E,J268,2025Schedule!N:N,B268),0)</f>
        <v/>
      </c>
      <c r="P268" s="156">
        <f>IFERROR(VLOOKUP(H268,Matrix!A:D,2,0)-VLOOKUP(J268,Matrix!A:D,2,0),"")</f>
        <v/>
      </c>
      <c r="Q268" s="156">
        <f>IFERROR(VLOOKUP(H268,Matrix!A:AC,15,0)-VLOOKUP(J268,Matrix!A:AC,15,0),"")</f>
        <v/>
      </c>
      <c r="R268" s="156">
        <f>IFERROR(VLOOKUP(H268,Matrix!A:AC,16,0)-VLOOKUP(J268,Matrix!A:AC,16,0),"")</f>
        <v/>
      </c>
      <c r="S268" s="195">
        <f>H268</f>
        <v/>
      </c>
      <c r="T268" s="195">
        <f>IFERROR(VLOOKUP(G268&amp;H268,2025Schedule!A:F,6,0),"")</f>
        <v/>
      </c>
      <c r="U268" s="264">
        <f>J268</f>
        <v/>
      </c>
      <c r="V268" s="195">
        <f>IFERROR(VLOOKUP(G268&amp;J268,2025Schedule!A:F,6,0),"")</f>
        <v/>
      </c>
    </row>
    <row r="269" ht="14.4" customHeight="1" s="152">
      <c r="A269" s="241">
        <f>H269&amp;I269</f>
        <v/>
      </c>
      <c r="B269" s="241">
        <f>J269&amp;C269</f>
        <v/>
      </c>
      <c r="C269" s="241">
        <f>IFERROR(IF(I269="Home","Away",IF(I269="Away","Home","")),"")</f>
        <v/>
      </c>
      <c r="D269" s="242">
        <f>H269</f>
        <v/>
      </c>
      <c r="E269" s="157">
        <f>IFERROR(IF(AND(F269&gt;0,T269&gt;V269),"Yes",IF(AND(F269&gt;0,T269&lt;V269),"No",IF(AND(F269&lt;0,T269&lt;V269),"Yes",IF(AND(F269&lt;0,T269&gt;V269),"No",0)))),"")</f>
        <v/>
      </c>
      <c r="F269" s="263">
        <f>IFERROR((N269/MAX(N:N)*_MOVw)+(O269/MAX(O:O)*_WINw)+(P269/MAX(P:P)*_PPGw)+(Q269/MAX(Q:Q)*_ORw)+(R269/MAX(R:R)*_DRw),"")</f>
        <v/>
      </c>
      <c r="N269" s="156">
        <f>IFERROR(VLOOKUP(H269,Matrix!A:AC,12,0)-VLOOKUP(J269,Matrix!A:AC,12,0),"")</f>
        <v/>
      </c>
      <c r="O269" s="182">
        <f>IFERROR(AVERAGEIFS(2025Schedule!O:O,2025Schedule!E:E,H269,2025Schedule!N:N,A269)-AVERAGEIFS(2025Schedule!O:O,2025Schedule!E:E,J269,2025Schedule!N:N,B269),0)</f>
        <v/>
      </c>
      <c r="P269" s="156">
        <f>IFERROR(VLOOKUP(H269,Matrix!A:D,2,0)-VLOOKUP(J269,Matrix!A:D,2,0),"")</f>
        <v/>
      </c>
      <c r="Q269" s="156">
        <f>IFERROR(VLOOKUP(H269,Matrix!A:AC,15,0)-VLOOKUP(J269,Matrix!A:AC,15,0),"")</f>
        <v/>
      </c>
      <c r="R269" s="156">
        <f>IFERROR(VLOOKUP(H269,Matrix!A:AC,16,0)-VLOOKUP(J269,Matrix!A:AC,16,0),"")</f>
        <v/>
      </c>
      <c r="S269" s="195">
        <f>H269</f>
        <v/>
      </c>
      <c r="T269" s="195">
        <f>IFERROR(VLOOKUP(G269&amp;H269,2025Schedule!A:F,6,0),"")</f>
        <v/>
      </c>
      <c r="U269" s="264">
        <f>J269</f>
        <v/>
      </c>
      <c r="V269" s="195">
        <f>IFERROR(VLOOKUP(G269&amp;J269,2025Schedule!A:F,6,0),"")</f>
        <v/>
      </c>
    </row>
    <row r="270" ht="14.4" customHeight="1" s="152">
      <c r="A270" s="241">
        <f>H270&amp;I270</f>
        <v/>
      </c>
      <c r="B270" s="241">
        <f>J270&amp;C270</f>
        <v/>
      </c>
      <c r="C270" s="241">
        <f>IFERROR(IF(I270="Home","Away",IF(I270="Away","Home","")),"")</f>
        <v/>
      </c>
      <c r="D270" s="242">
        <f>H270</f>
        <v/>
      </c>
      <c r="E270" s="157">
        <f>IFERROR(IF(AND(F270&gt;0,T270&gt;V270),"Yes",IF(AND(F270&gt;0,T270&lt;V270),"No",IF(AND(F270&lt;0,T270&lt;V270),"Yes",IF(AND(F270&lt;0,T270&gt;V270),"No",0)))),"")</f>
        <v/>
      </c>
      <c r="F270" s="263">
        <f>IFERROR((N270/MAX(N:N)*_MOVw)+(O270/MAX(O:O)*_WINw)+(P270/MAX(P:P)*_PPGw)+(Q270/MAX(Q:Q)*_ORw)+(R270/MAX(R:R)*_DRw),"")</f>
        <v/>
      </c>
      <c r="N270" s="156">
        <f>IFERROR(VLOOKUP(H270,Matrix!A:AC,12,0)-VLOOKUP(J270,Matrix!A:AC,12,0),"")</f>
        <v/>
      </c>
      <c r="O270" s="182">
        <f>IFERROR(AVERAGEIFS(2025Schedule!O:O,2025Schedule!E:E,H270,2025Schedule!N:N,A270)-AVERAGEIFS(2025Schedule!O:O,2025Schedule!E:E,J270,2025Schedule!N:N,B270),0)</f>
        <v/>
      </c>
      <c r="P270" s="156">
        <f>IFERROR(VLOOKUP(H270,Matrix!A:D,2,0)-VLOOKUP(J270,Matrix!A:D,2,0),"")</f>
        <v/>
      </c>
      <c r="Q270" s="156">
        <f>IFERROR(VLOOKUP(H270,Matrix!A:AC,15,0)-VLOOKUP(J270,Matrix!A:AC,15,0),"")</f>
        <v/>
      </c>
      <c r="R270" s="156">
        <f>IFERROR(VLOOKUP(H270,Matrix!A:AC,16,0)-VLOOKUP(J270,Matrix!A:AC,16,0),"")</f>
        <v/>
      </c>
      <c r="S270" s="195">
        <f>H270</f>
        <v/>
      </c>
      <c r="T270" s="195">
        <f>IFERROR(VLOOKUP(G270&amp;H270,2025Schedule!A:F,6,0),"")</f>
        <v/>
      </c>
      <c r="U270" s="264">
        <f>J270</f>
        <v/>
      </c>
      <c r="V270" s="195">
        <f>IFERROR(VLOOKUP(G270&amp;J270,2025Schedule!A:F,6,0),"")</f>
        <v/>
      </c>
    </row>
    <row r="271" ht="14.4" customHeight="1" s="152">
      <c r="A271" s="241">
        <f>H271&amp;I271</f>
        <v/>
      </c>
      <c r="B271" s="241">
        <f>J271&amp;C271</f>
        <v/>
      </c>
      <c r="C271" s="241">
        <f>IFERROR(IF(I271="Home","Away",IF(I271="Away","Home","")),"")</f>
        <v/>
      </c>
      <c r="D271" s="242">
        <f>H271</f>
        <v/>
      </c>
      <c r="E271" s="157">
        <f>IFERROR(IF(AND(F271&gt;0,T271&gt;V271),"Yes",IF(AND(F271&gt;0,T271&lt;V271),"No",IF(AND(F271&lt;0,T271&lt;V271),"Yes",IF(AND(F271&lt;0,T271&gt;V271),"No",0)))),"")</f>
        <v/>
      </c>
      <c r="F271" s="263">
        <f>IFERROR((N271/MAX(N:N)*_MOVw)+(O271/MAX(O:O)*_WINw)+(P271/MAX(P:P)*_PPGw)+(Q271/MAX(Q:Q)*_ORw)+(R271/MAX(R:R)*_DRw),"")</f>
        <v/>
      </c>
      <c r="N271" s="156">
        <f>IFERROR(VLOOKUP(H271,Matrix!A:AC,12,0)-VLOOKUP(J271,Matrix!A:AC,12,0),"")</f>
        <v/>
      </c>
      <c r="O271" s="182">
        <f>IFERROR(AVERAGEIFS(2025Schedule!O:O,2025Schedule!E:E,H271,2025Schedule!N:N,A271)-AVERAGEIFS(2025Schedule!O:O,2025Schedule!E:E,J271,2025Schedule!N:N,B271),0)</f>
        <v/>
      </c>
      <c r="P271" s="156">
        <f>IFERROR(VLOOKUP(H271,Matrix!A:D,2,0)-VLOOKUP(J271,Matrix!A:D,2,0),"")</f>
        <v/>
      </c>
      <c r="Q271" s="156">
        <f>IFERROR(VLOOKUP(H271,Matrix!A:AC,15,0)-VLOOKUP(J271,Matrix!A:AC,15,0),"")</f>
        <v/>
      </c>
      <c r="R271" s="156">
        <f>IFERROR(VLOOKUP(H271,Matrix!A:AC,16,0)-VLOOKUP(J271,Matrix!A:AC,16,0),"")</f>
        <v/>
      </c>
      <c r="S271" s="195">
        <f>H271</f>
        <v/>
      </c>
      <c r="T271" s="195">
        <f>IFERROR(VLOOKUP(G271&amp;H271,2025Schedule!A:F,6,0),"")</f>
        <v/>
      </c>
      <c r="U271" s="264">
        <f>J271</f>
        <v/>
      </c>
      <c r="V271" s="195">
        <f>IFERROR(VLOOKUP(G271&amp;J271,2025Schedule!A:F,6,0),"")</f>
        <v/>
      </c>
    </row>
    <row r="272" ht="14.4" customHeight="1" s="152">
      <c r="A272" s="241">
        <f>H272&amp;I272</f>
        <v/>
      </c>
      <c r="B272" s="241">
        <f>J272&amp;C272</f>
        <v/>
      </c>
      <c r="C272" s="241">
        <f>IFERROR(IF(I272="Home","Away",IF(I272="Away","Home","")),"")</f>
        <v/>
      </c>
      <c r="D272" s="242">
        <f>H272</f>
        <v/>
      </c>
      <c r="E272" s="157">
        <f>IFERROR(IF(AND(F272&gt;0,T272&gt;V272),"Yes",IF(AND(F272&gt;0,T272&lt;V272),"No",IF(AND(F272&lt;0,T272&lt;V272),"Yes",IF(AND(F272&lt;0,T272&gt;V272),"No",0)))),"")</f>
        <v/>
      </c>
      <c r="F272" s="263">
        <f>IFERROR((N272/MAX(N:N)*_MOVw)+(O272/MAX(O:O)*_WINw)+(P272/MAX(P:P)*_PPGw)+(Q272/MAX(Q:Q)*_ORw)+(R272/MAX(R:R)*_DRw),"")</f>
        <v/>
      </c>
      <c r="N272" s="156">
        <f>IFERROR(VLOOKUP(H272,Matrix!A:AC,12,0)-VLOOKUP(J272,Matrix!A:AC,12,0),"")</f>
        <v/>
      </c>
      <c r="O272" s="182">
        <f>IFERROR(AVERAGEIFS(2025Schedule!O:O,2025Schedule!E:E,H272,2025Schedule!N:N,A272)-AVERAGEIFS(2025Schedule!O:O,2025Schedule!E:E,J272,2025Schedule!N:N,B272),0)</f>
        <v/>
      </c>
      <c r="P272" s="156">
        <f>IFERROR(VLOOKUP(H272,Matrix!A:D,2,0)-VLOOKUP(J272,Matrix!A:D,2,0),"")</f>
        <v/>
      </c>
      <c r="Q272" s="156">
        <f>IFERROR(VLOOKUP(H272,Matrix!A:AC,15,0)-VLOOKUP(J272,Matrix!A:AC,15,0),"")</f>
        <v/>
      </c>
      <c r="R272" s="156">
        <f>IFERROR(VLOOKUP(H272,Matrix!A:AC,16,0)-VLOOKUP(J272,Matrix!A:AC,16,0),"")</f>
        <v/>
      </c>
      <c r="S272" s="195">
        <f>H272</f>
        <v/>
      </c>
      <c r="T272" s="195">
        <f>IFERROR(VLOOKUP(G272&amp;H272,2025Schedule!A:F,6,0),"")</f>
        <v/>
      </c>
      <c r="U272" s="264">
        <f>J272</f>
        <v/>
      </c>
      <c r="V272" s="195">
        <f>IFERROR(VLOOKUP(G272&amp;J272,2025Schedule!A:F,6,0),"")</f>
        <v/>
      </c>
    </row>
    <row r="273" ht="14.4" customHeight="1" s="152">
      <c r="A273" s="241">
        <f>H273&amp;I273</f>
        <v/>
      </c>
      <c r="B273" s="241">
        <f>J273&amp;C273</f>
        <v/>
      </c>
      <c r="C273" s="241">
        <f>IFERROR(IF(I273="Home","Away",IF(I273="Away","Home","")),"")</f>
        <v/>
      </c>
      <c r="D273" s="242">
        <f>H273</f>
        <v/>
      </c>
      <c r="E273" s="157">
        <f>IFERROR(IF(AND(F273&gt;0,T273&gt;V273),"Yes",IF(AND(F273&gt;0,T273&lt;V273),"No",IF(AND(F273&lt;0,T273&lt;V273),"Yes",IF(AND(F273&lt;0,T273&gt;V273),"No",0)))),"")</f>
        <v/>
      </c>
      <c r="F273" s="263">
        <f>IFERROR((N273/MAX(N:N)*_MOVw)+(O273/MAX(O:O)*_WINw)+(P273/MAX(P:P)*_PPGw)+(Q273/MAX(Q:Q)*_ORw)+(R273/MAX(R:R)*_DRw),"")</f>
        <v/>
      </c>
      <c r="N273" s="156">
        <f>IFERROR(VLOOKUP(H273,Matrix!A:AC,12,0)-VLOOKUP(J273,Matrix!A:AC,12,0),"")</f>
        <v/>
      </c>
      <c r="O273" s="182">
        <f>IFERROR(AVERAGEIFS(2025Schedule!O:O,2025Schedule!E:E,H273,2025Schedule!N:N,A273)-AVERAGEIFS(2025Schedule!O:O,2025Schedule!E:E,J273,2025Schedule!N:N,B273),0)</f>
        <v/>
      </c>
      <c r="P273" s="156">
        <f>IFERROR(VLOOKUP(H273,Matrix!A:D,2,0)-VLOOKUP(J273,Matrix!A:D,2,0),"")</f>
        <v/>
      </c>
      <c r="Q273" s="156">
        <f>IFERROR(VLOOKUP(H273,Matrix!A:AC,15,0)-VLOOKUP(J273,Matrix!A:AC,15,0),"")</f>
        <v/>
      </c>
      <c r="R273" s="156">
        <f>IFERROR(VLOOKUP(H273,Matrix!A:AC,16,0)-VLOOKUP(J273,Matrix!A:AC,16,0),"")</f>
        <v/>
      </c>
      <c r="S273" s="195">
        <f>H273</f>
        <v/>
      </c>
      <c r="T273" s="195">
        <f>IFERROR(VLOOKUP(G273&amp;H273,2025Schedule!A:F,6,0),"")</f>
        <v/>
      </c>
      <c r="U273" s="264">
        <f>J273</f>
        <v/>
      </c>
      <c r="V273" s="195">
        <f>IFERROR(VLOOKUP(G273&amp;J273,2025Schedule!A:F,6,0),"")</f>
        <v/>
      </c>
    </row>
    <row r="274" ht="14.4" customHeight="1" s="152">
      <c r="A274" s="241">
        <f>H274&amp;I274</f>
        <v/>
      </c>
      <c r="B274" s="241">
        <f>J274&amp;C274</f>
        <v/>
      </c>
      <c r="C274" s="241">
        <f>IFERROR(IF(I274="Home","Away",IF(I274="Away","Home","")),"")</f>
        <v/>
      </c>
      <c r="D274" s="242">
        <f>H274</f>
        <v/>
      </c>
      <c r="E274" s="157">
        <f>IFERROR(IF(AND(F274&gt;0,T274&gt;V274),"Yes",IF(AND(F274&gt;0,T274&lt;V274),"No",IF(AND(F274&lt;0,T274&lt;V274),"Yes",IF(AND(F274&lt;0,T274&gt;V274),"No",0)))),"")</f>
        <v/>
      </c>
      <c r="F274" s="263">
        <f>IFERROR((N274/MAX(N:N)*_MOVw)+(O274/MAX(O:O)*_WINw)+(P274/MAX(P:P)*_PPGw)+(Q274/MAX(Q:Q)*_ORw)+(R274/MAX(R:R)*_DRw),"")</f>
        <v/>
      </c>
      <c r="N274" s="156">
        <f>IFERROR(VLOOKUP(H274,Matrix!A:AC,12,0)-VLOOKUP(J274,Matrix!A:AC,12,0),"")</f>
        <v/>
      </c>
      <c r="O274" s="182">
        <f>IFERROR(AVERAGEIFS(2025Schedule!O:O,2025Schedule!E:E,H274,2025Schedule!N:N,A274)-AVERAGEIFS(2025Schedule!O:O,2025Schedule!E:E,J274,2025Schedule!N:N,B274),0)</f>
        <v/>
      </c>
      <c r="P274" s="156">
        <f>IFERROR(VLOOKUP(H274,Matrix!A:D,2,0)-VLOOKUP(J274,Matrix!A:D,2,0),"")</f>
        <v/>
      </c>
      <c r="Q274" s="156">
        <f>IFERROR(VLOOKUP(H274,Matrix!A:AC,15,0)-VLOOKUP(J274,Matrix!A:AC,15,0),"")</f>
        <v/>
      </c>
      <c r="R274" s="156">
        <f>IFERROR(VLOOKUP(H274,Matrix!A:AC,16,0)-VLOOKUP(J274,Matrix!A:AC,16,0),"")</f>
        <v/>
      </c>
      <c r="S274" s="195">
        <f>H274</f>
        <v/>
      </c>
      <c r="T274" s="195">
        <f>IFERROR(VLOOKUP(G274&amp;H274,2025Schedule!A:F,6,0),"")</f>
        <v/>
      </c>
      <c r="U274" s="264">
        <f>J274</f>
        <v/>
      </c>
      <c r="V274" s="195">
        <f>IFERROR(VLOOKUP(G274&amp;J274,2025Schedule!A:F,6,0),"")</f>
        <v/>
      </c>
    </row>
    <row r="275" ht="14.4" customHeight="1" s="152">
      <c r="A275" s="241">
        <f>H275&amp;I275</f>
        <v/>
      </c>
      <c r="B275" s="241">
        <f>J275&amp;C275</f>
        <v/>
      </c>
      <c r="C275" s="241">
        <f>IFERROR(IF(I275="Home","Away",IF(I275="Away","Home","")),"")</f>
        <v/>
      </c>
      <c r="D275" s="242">
        <f>H275</f>
        <v/>
      </c>
      <c r="E275" s="157">
        <f>IFERROR(IF(AND(F275&gt;0,T275&gt;V275),"Yes",IF(AND(F275&gt;0,T275&lt;V275),"No",IF(AND(F275&lt;0,T275&lt;V275),"Yes",IF(AND(F275&lt;0,T275&gt;V275),"No",0)))),"")</f>
        <v/>
      </c>
      <c r="F275" s="263">
        <f>IFERROR((N275/MAX(N:N)*_MOVw)+(O275/MAX(O:O)*_WINw)+(P275/MAX(P:P)*_PPGw)+(Q275/MAX(Q:Q)*_ORw)+(R275/MAX(R:R)*_DRw),"")</f>
        <v/>
      </c>
      <c r="N275" s="156">
        <f>IFERROR(VLOOKUP(H275,Matrix!A:AC,12,0)-VLOOKUP(J275,Matrix!A:AC,12,0),"")</f>
        <v/>
      </c>
      <c r="O275" s="182">
        <f>IFERROR(AVERAGEIFS(2025Schedule!O:O,2025Schedule!E:E,H275,2025Schedule!N:N,A275)-AVERAGEIFS(2025Schedule!O:O,2025Schedule!E:E,J275,2025Schedule!N:N,B275),0)</f>
        <v/>
      </c>
      <c r="P275" s="156">
        <f>IFERROR(VLOOKUP(H275,Matrix!A:D,2,0)-VLOOKUP(J275,Matrix!A:D,2,0),"")</f>
        <v/>
      </c>
      <c r="Q275" s="156">
        <f>IFERROR(VLOOKUP(H275,Matrix!A:AC,15,0)-VLOOKUP(J275,Matrix!A:AC,15,0),"")</f>
        <v/>
      </c>
      <c r="R275" s="156">
        <f>IFERROR(VLOOKUP(H275,Matrix!A:AC,16,0)-VLOOKUP(J275,Matrix!A:AC,16,0),"")</f>
        <v/>
      </c>
      <c r="S275" s="195">
        <f>H275</f>
        <v/>
      </c>
      <c r="T275" s="195">
        <f>IFERROR(VLOOKUP(G275&amp;H275,2025Schedule!A:F,6,0),"")</f>
        <v/>
      </c>
      <c r="U275" s="264">
        <f>J275</f>
        <v/>
      </c>
      <c r="V275" s="195">
        <f>IFERROR(VLOOKUP(G275&amp;J275,2025Schedule!A:F,6,0),"")</f>
        <v/>
      </c>
    </row>
    <row r="276" ht="14.4" customHeight="1" s="152">
      <c r="A276" s="241">
        <f>H276&amp;I276</f>
        <v/>
      </c>
      <c r="B276" s="241">
        <f>J276&amp;C276</f>
        <v/>
      </c>
      <c r="C276" s="241">
        <f>IFERROR(IF(I276="Home","Away",IF(I276="Away","Home","")),"")</f>
        <v/>
      </c>
      <c r="D276" s="242">
        <f>H276</f>
        <v/>
      </c>
      <c r="E276" s="157">
        <f>IFERROR(IF(AND(F276&gt;0,T276&gt;V276),"Yes",IF(AND(F276&gt;0,T276&lt;V276),"No",IF(AND(F276&lt;0,T276&lt;V276),"Yes",IF(AND(F276&lt;0,T276&gt;V276),"No",0)))),"")</f>
        <v/>
      </c>
      <c r="F276" s="263">
        <f>IFERROR((N276/MAX(N:N)*_MOVw)+(O276/MAX(O:O)*_WINw)+(P276/MAX(P:P)*_PPGw)+(Q276/MAX(Q:Q)*_ORw)+(R276/MAX(R:R)*_DRw),"")</f>
        <v/>
      </c>
      <c r="N276" s="156">
        <f>IFERROR(VLOOKUP(H276,Matrix!A:AC,12,0)-VLOOKUP(J276,Matrix!A:AC,12,0),"")</f>
        <v/>
      </c>
      <c r="O276" s="182">
        <f>IFERROR(AVERAGEIFS(2025Schedule!O:O,2025Schedule!E:E,H276,2025Schedule!N:N,A276)-AVERAGEIFS(2025Schedule!O:O,2025Schedule!E:E,J276,2025Schedule!N:N,B276),0)</f>
        <v/>
      </c>
      <c r="P276" s="156">
        <f>IFERROR(VLOOKUP(H276,Matrix!A:D,2,0)-VLOOKUP(J276,Matrix!A:D,2,0),"")</f>
        <v/>
      </c>
      <c r="Q276" s="156">
        <f>IFERROR(VLOOKUP(H276,Matrix!A:AC,15,0)-VLOOKUP(J276,Matrix!A:AC,15,0),"")</f>
        <v/>
      </c>
      <c r="R276" s="156">
        <f>IFERROR(VLOOKUP(H276,Matrix!A:AC,16,0)-VLOOKUP(J276,Matrix!A:AC,16,0),"")</f>
        <v/>
      </c>
      <c r="S276" s="195">
        <f>H276</f>
        <v/>
      </c>
      <c r="T276" s="195">
        <f>IFERROR(VLOOKUP(G276&amp;H276,2025Schedule!A:F,6,0),"")</f>
        <v/>
      </c>
      <c r="U276" s="264">
        <f>J276</f>
        <v/>
      </c>
      <c r="V276" s="195">
        <f>IFERROR(VLOOKUP(G276&amp;J276,2025Schedule!A:F,6,0),"")</f>
        <v/>
      </c>
    </row>
    <row r="277" ht="14.4" customHeight="1" s="152">
      <c r="A277" s="241">
        <f>H277&amp;I277</f>
        <v/>
      </c>
      <c r="B277" s="241">
        <f>J277&amp;C277</f>
        <v/>
      </c>
      <c r="C277" s="241">
        <f>IFERROR(IF(I277="Home","Away",IF(I277="Away","Home","")),"")</f>
        <v/>
      </c>
      <c r="D277" s="242">
        <f>H277</f>
        <v/>
      </c>
      <c r="E277" s="157">
        <f>IFERROR(IF(AND(F277&gt;0,T277&gt;V277),"Yes",IF(AND(F277&gt;0,T277&lt;V277),"No",IF(AND(F277&lt;0,T277&lt;V277),"Yes",IF(AND(F277&lt;0,T277&gt;V277),"No",0)))),"")</f>
        <v/>
      </c>
      <c r="F277" s="263">
        <f>IFERROR((N277/MAX(N:N)*_MOVw)+(O277/MAX(O:O)*_WINw)+(P277/MAX(P:P)*_PPGw)+(Q277/MAX(Q:Q)*_ORw)+(R277/MAX(R:R)*_DRw),"")</f>
        <v/>
      </c>
      <c r="N277" s="156">
        <f>IFERROR(VLOOKUP(H277,Matrix!A:AC,12,0)-VLOOKUP(J277,Matrix!A:AC,12,0),"")</f>
        <v/>
      </c>
      <c r="O277" s="182">
        <f>IFERROR(AVERAGEIFS(2025Schedule!O:O,2025Schedule!E:E,H277,2025Schedule!N:N,A277)-AVERAGEIFS(2025Schedule!O:O,2025Schedule!E:E,J277,2025Schedule!N:N,B277),0)</f>
        <v/>
      </c>
      <c r="P277" s="156">
        <f>IFERROR(VLOOKUP(H277,Matrix!A:D,2,0)-VLOOKUP(J277,Matrix!A:D,2,0),"")</f>
        <v/>
      </c>
      <c r="Q277" s="156">
        <f>IFERROR(VLOOKUP(H277,Matrix!A:AC,15,0)-VLOOKUP(J277,Matrix!A:AC,15,0),"")</f>
        <v/>
      </c>
      <c r="R277" s="156">
        <f>IFERROR(VLOOKUP(H277,Matrix!A:AC,16,0)-VLOOKUP(J277,Matrix!A:AC,16,0),"")</f>
        <v/>
      </c>
      <c r="S277" s="195">
        <f>H277</f>
        <v/>
      </c>
      <c r="T277" s="195">
        <f>IFERROR(VLOOKUP(G277&amp;H277,2025Schedule!A:F,6,0),"")</f>
        <v/>
      </c>
      <c r="U277" s="264">
        <f>J277</f>
        <v/>
      </c>
      <c r="V277" s="195">
        <f>IFERROR(VLOOKUP(G277&amp;J277,2025Schedule!A:F,6,0),"")</f>
        <v/>
      </c>
    </row>
    <row r="278" ht="14.4" customHeight="1" s="152">
      <c r="A278" s="241">
        <f>H278&amp;I278</f>
        <v/>
      </c>
      <c r="B278" s="241">
        <f>J278&amp;C278</f>
        <v/>
      </c>
      <c r="C278" s="241">
        <f>IFERROR(IF(I278="Home","Away",IF(I278="Away","Home","")),"")</f>
        <v/>
      </c>
      <c r="D278" s="242">
        <f>H278</f>
        <v/>
      </c>
      <c r="E278" s="157">
        <f>IFERROR(IF(AND(F278&gt;0,T278&gt;V278),"Yes",IF(AND(F278&gt;0,T278&lt;V278),"No",IF(AND(F278&lt;0,T278&lt;V278),"Yes",IF(AND(F278&lt;0,T278&gt;V278),"No",0)))),"")</f>
        <v/>
      </c>
      <c r="F278" s="263">
        <f>IFERROR((N278/MAX(N:N)*_MOVw)+(O278/MAX(O:O)*_WINw)+(P278/MAX(P:P)*_PPGw)+(Q278/MAX(Q:Q)*_ORw)+(R278/MAX(R:R)*_DRw),"")</f>
        <v/>
      </c>
      <c r="N278" s="156">
        <f>IFERROR(VLOOKUP(H278,Matrix!A:AC,12,0)-VLOOKUP(J278,Matrix!A:AC,12,0),"")</f>
        <v/>
      </c>
      <c r="O278" s="182">
        <f>IFERROR(AVERAGEIFS(2025Schedule!O:O,2025Schedule!E:E,H278,2025Schedule!N:N,A278)-AVERAGEIFS(2025Schedule!O:O,2025Schedule!E:E,J278,2025Schedule!N:N,B278),0)</f>
        <v/>
      </c>
      <c r="P278" s="156">
        <f>IFERROR(VLOOKUP(H278,Matrix!A:D,2,0)-VLOOKUP(J278,Matrix!A:D,2,0),"")</f>
        <v/>
      </c>
      <c r="Q278" s="156">
        <f>IFERROR(VLOOKUP(H278,Matrix!A:AC,15,0)-VLOOKUP(J278,Matrix!A:AC,15,0),"")</f>
        <v/>
      </c>
      <c r="R278" s="156">
        <f>IFERROR(VLOOKUP(H278,Matrix!A:AC,16,0)-VLOOKUP(J278,Matrix!A:AC,16,0),"")</f>
        <v/>
      </c>
      <c r="S278" s="195">
        <f>H278</f>
        <v/>
      </c>
      <c r="T278" s="195">
        <f>IFERROR(VLOOKUP(G278&amp;H278,2025Schedule!A:F,6,0),"")</f>
        <v/>
      </c>
      <c r="U278" s="264">
        <f>J278</f>
        <v/>
      </c>
      <c r="V278" s="195">
        <f>IFERROR(VLOOKUP(G278&amp;J278,2025Schedule!A:F,6,0),"")</f>
        <v/>
      </c>
    </row>
    <row r="279" ht="14.4" customHeight="1" s="152">
      <c r="A279" s="241">
        <f>H279&amp;I279</f>
        <v/>
      </c>
      <c r="B279" s="241">
        <f>J279&amp;C279</f>
        <v/>
      </c>
      <c r="C279" s="241">
        <f>IFERROR(IF(I279="Home","Away",IF(I279="Away","Home","")),"")</f>
        <v/>
      </c>
      <c r="D279" s="242">
        <f>H279</f>
        <v/>
      </c>
      <c r="E279" s="157">
        <f>IFERROR(IF(AND(F279&gt;0,T279&gt;V279),"Yes",IF(AND(F279&gt;0,T279&lt;V279),"No",IF(AND(F279&lt;0,T279&lt;V279),"Yes",IF(AND(F279&lt;0,T279&gt;V279),"No",0)))),"")</f>
        <v/>
      </c>
      <c r="F279" s="263">
        <f>IFERROR((N279/MAX(N:N)*_MOVw)+(O279/MAX(O:O)*_WINw)+(P279/MAX(P:P)*_PPGw)+(Q279/MAX(Q:Q)*_ORw)+(R279/MAX(R:R)*_DRw),"")</f>
        <v/>
      </c>
      <c r="N279" s="156">
        <f>IFERROR(VLOOKUP(H279,Matrix!A:AC,12,0)-VLOOKUP(J279,Matrix!A:AC,12,0),"")</f>
        <v/>
      </c>
      <c r="O279" s="182">
        <f>IFERROR(AVERAGEIFS(2025Schedule!O:O,2025Schedule!E:E,H279,2025Schedule!N:N,A279)-AVERAGEIFS(2025Schedule!O:O,2025Schedule!E:E,J279,2025Schedule!N:N,B279),0)</f>
        <v/>
      </c>
      <c r="P279" s="156">
        <f>IFERROR(VLOOKUP(H279,Matrix!A:D,2,0)-VLOOKUP(J279,Matrix!A:D,2,0),"")</f>
        <v/>
      </c>
      <c r="Q279" s="156">
        <f>IFERROR(VLOOKUP(H279,Matrix!A:AC,15,0)-VLOOKUP(J279,Matrix!A:AC,15,0),"")</f>
        <v/>
      </c>
      <c r="R279" s="156">
        <f>IFERROR(VLOOKUP(H279,Matrix!A:AC,16,0)-VLOOKUP(J279,Matrix!A:AC,16,0),"")</f>
        <v/>
      </c>
      <c r="S279" s="195">
        <f>H279</f>
        <v/>
      </c>
      <c r="T279" s="195">
        <f>IFERROR(VLOOKUP(G279&amp;H279,2025Schedule!A:F,6,0),"")</f>
        <v/>
      </c>
      <c r="U279" s="264">
        <f>J279</f>
        <v/>
      </c>
      <c r="V279" s="195">
        <f>IFERROR(VLOOKUP(G279&amp;J279,2025Schedule!A:F,6,0),"")</f>
        <v/>
      </c>
    </row>
    <row r="280" ht="14.4" customHeight="1" s="152">
      <c r="A280" s="241">
        <f>H280&amp;I280</f>
        <v/>
      </c>
      <c r="B280" s="241">
        <f>J280&amp;C280</f>
        <v/>
      </c>
      <c r="C280" s="241">
        <f>IFERROR(IF(I280="Home","Away",IF(I280="Away","Home","")),"")</f>
        <v/>
      </c>
      <c r="D280" s="242">
        <f>H280</f>
        <v/>
      </c>
      <c r="E280" s="157">
        <f>IFERROR(IF(AND(F280&gt;0,T280&gt;V280),"Yes",IF(AND(F280&gt;0,T280&lt;V280),"No",IF(AND(F280&lt;0,T280&lt;V280),"Yes",IF(AND(F280&lt;0,T280&gt;V280),"No",0)))),"")</f>
        <v/>
      </c>
      <c r="F280" s="263">
        <f>IFERROR((N280/MAX(N:N)*_MOVw)+(O280/MAX(O:O)*_WINw)+(P280/MAX(P:P)*_PPGw)+(Q280/MAX(Q:Q)*_ORw)+(R280/MAX(R:R)*_DRw),"")</f>
        <v/>
      </c>
      <c r="N280" s="156">
        <f>IFERROR(VLOOKUP(H280,Matrix!A:AC,12,0)-VLOOKUP(J280,Matrix!A:AC,12,0),"")</f>
        <v/>
      </c>
      <c r="O280" s="182">
        <f>IFERROR(AVERAGEIFS(2025Schedule!O:O,2025Schedule!E:E,H280,2025Schedule!N:N,A280)-AVERAGEIFS(2025Schedule!O:O,2025Schedule!E:E,J280,2025Schedule!N:N,B280),0)</f>
        <v/>
      </c>
      <c r="P280" s="156">
        <f>IFERROR(VLOOKUP(H280,Matrix!A:D,2,0)-VLOOKUP(J280,Matrix!A:D,2,0),"")</f>
        <v/>
      </c>
      <c r="Q280" s="156">
        <f>IFERROR(VLOOKUP(H280,Matrix!A:AC,15,0)-VLOOKUP(J280,Matrix!A:AC,15,0),"")</f>
        <v/>
      </c>
      <c r="R280" s="156">
        <f>IFERROR(VLOOKUP(H280,Matrix!A:AC,16,0)-VLOOKUP(J280,Matrix!A:AC,16,0),"")</f>
        <v/>
      </c>
      <c r="S280" s="195">
        <f>H280</f>
        <v/>
      </c>
      <c r="T280" s="195">
        <f>IFERROR(VLOOKUP(G280&amp;H280,2025Schedule!A:F,6,0),"")</f>
        <v/>
      </c>
      <c r="U280" s="264">
        <f>J280</f>
        <v/>
      </c>
      <c r="V280" s="195">
        <f>IFERROR(VLOOKUP(G280&amp;J280,2025Schedule!A:F,6,0),"")</f>
        <v/>
      </c>
    </row>
    <row r="281" ht="14.4" customHeight="1" s="152">
      <c r="A281" s="241">
        <f>H281&amp;I281</f>
        <v/>
      </c>
      <c r="B281" s="241">
        <f>J281&amp;C281</f>
        <v/>
      </c>
      <c r="C281" s="241">
        <f>IFERROR(IF(I281="Home","Away",IF(I281="Away","Home","")),"")</f>
        <v/>
      </c>
      <c r="D281" s="242">
        <f>H281</f>
        <v/>
      </c>
      <c r="E281" s="157">
        <f>IFERROR(IF(AND(F281&gt;0,T281&gt;V281),"Yes",IF(AND(F281&gt;0,T281&lt;V281),"No",IF(AND(F281&lt;0,T281&lt;V281),"Yes",IF(AND(F281&lt;0,T281&gt;V281),"No",0)))),"")</f>
        <v/>
      </c>
      <c r="F281" s="263">
        <f>IFERROR((N281/MAX(N:N)*_MOVw)+(O281/MAX(O:O)*_WINw)+(P281/MAX(P:P)*_PPGw)+(Q281/MAX(Q:Q)*_ORw)+(R281/MAX(R:R)*_DRw),"")</f>
        <v/>
      </c>
      <c r="N281" s="156">
        <f>IFERROR(VLOOKUP(H281,Matrix!A:AC,12,0)-VLOOKUP(J281,Matrix!A:AC,12,0),"")</f>
        <v/>
      </c>
      <c r="O281" s="182">
        <f>IFERROR(AVERAGEIFS(2025Schedule!O:O,2025Schedule!E:E,H281,2025Schedule!N:N,A281)-AVERAGEIFS(2025Schedule!O:O,2025Schedule!E:E,J281,2025Schedule!N:N,B281),0)</f>
        <v/>
      </c>
      <c r="P281" s="156">
        <f>IFERROR(VLOOKUP(H281,Matrix!A:D,2,0)-VLOOKUP(J281,Matrix!A:D,2,0),"")</f>
        <v/>
      </c>
      <c r="Q281" s="156">
        <f>IFERROR(VLOOKUP(H281,Matrix!A:AC,15,0)-VLOOKUP(J281,Matrix!A:AC,15,0),"")</f>
        <v/>
      </c>
      <c r="R281" s="156">
        <f>IFERROR(VLOOKUP(H281,Matrix!A:AC,16,0)-VLOOKUP(J281,Matrix!A:AC,16,0),"")</f>
        <v/>
      </c>
      <c r="S281" s="195">
        <f>H281</f>
        <v/>
      </c>
      <c r="T281" s="195">
        <f>IFERROR(VLOOKUP(G281&amp;H281,2025Schedule!A:F,6,0),"")</f>
        <v/>
      </c>
      <c r="U281" s="264">
        <f>J281</f>
        <v/>
      </c>
      <c r="V281" s="195">
        <f>IFERROR(VLOOKUP(G281&amp;J281,2025Schedule!A:F,6,0),"")</f>
        <v/>
      </c>
    </row>
    <row r="282" ht="14.4" customHeight="1" s="152">
      <c r="A282" s="241">
        <f>H282&amp;I282</f>
        <v/>
      </c>
      <c r="B282" s="241">
        <f>J282&amp;C282</f>
        <v/>
      </c>
      <c r="C282" s="241">
        <f>IFERROR(IF(I282="Home","Away",IF(I282="Away","Home","")),"")</f>
        <v/>
      </c>
      <c r="D282" s="242">
        <f>H282</f>
        <v/>
      </c>
      <c r="E282" s="157">
        <f>IFERROR(IF(AND(F282&gt;0,T282&gt;V282),"Yes",IF(AND(F282&gt;0,T282&lt;V282),"No",IF(AND(F282&lt;0,T282&lt;V282),"Yes",IF(AND(F282&lt;0,T282&gt;V282),"No",0)))),"")</f>
        <v/>
      </c>
      <c r="F282" s="263">
        <f>IFERROR((N282/MAX(N:N)*_MOVw)+(O282/MAX(O:O)*_WINw)+(P282/MAX(P:P)*_PPGw)+(Q282/MAX(Q:Q)*_ORw)+(R282/MAX(R:R)*_DRw),"")</f>
        <v/>
      </c>
      <c r="N282" s="156">
        <f>IFERROR(VLOOKUP(H282,Matrix!A:AC,12,0)-VLOOKUP(J282,Matrix!A:AC,12,0),"")</f>
        <v/>
      </c>
      <c r="O282" s="182">
        <f>IFERROR(AVERAGEIFS(2025Schedule!O:O,2025Schedule!E:E,H282,2025Schedule!N:N,A282)-AVERAGEIFS(2025Schedule!O:O,2025Schedule!E:E,J282,2025Schedule!N:N,B282),0)</f>
        <v/>
      </c>
      <c r="P282" s="156">
        <f>IFERROR(VLOOKUP(H282,Matrix!A:D,2,0)-VLOOKUP(J282,Matrix!A:D,2,0),"")</f>
        <v/>
      </c>
      <c r="Q282" s="156">
        <f>IFERROR(VLOOKUP(H282,Matrix!A:AC,15,0)-VLOOKUP(J282,Matrix!A:AC,15,0),"")</f>
        <v/>
      </c>
      <c r="R282" s="156">
        <f>IFERROR(VLOOKUP(H282,Matrix!A:AC,16,0)-VLOOKUP(J282,Matrix!A:AC,16,0),"")</f>
        <v/>
      </c>
      <c r="S282" s="195">
        <f>H282</f>
        <v/>
      </c>
      <c r="T282" s="195">
        <f>IFERROR(VLOOKUP(G282&amp;H282,2025Schedule!A:F,6,0),"")</f>
        <v/>
      </c>
      <c r="U282" s="264">
        <f>J282</f>
        <v/>
      </c>
      <c r="V282" s="195">
        <f>IFERROR(VLOOKUP(G282&amp;J282,2025Schedule!A:F,6,0),"")</f>
        <v/>
      </c>
    </row>
    <row r="283" ht="14.4" customHeight="1" s="152">
      <c r="A283" s="241">
        <f>H283&amp;I283</f>
        <v/>
      </c>
      <c r="B283" s="241">
        <f>J283&amp;C283</f>
        <v/>
      </c>
      <c r="C283" s="241">
        <f>IFERROR(IF(I283="Home","Away",IF(I283="Away","Home","")),"")</f>
        <v/>
      </c>
      <c r="D283" s="242">
        <f>H283</f>
        <v/>
      </c>
      <c r="E283" s="157">
        <f>IFERROR(IF(AND(F283&gt;0,T283&gt;V283),"Yes",IF(AND(F283&gt;0,T283&lt;V283),"No",IF(AND(F283&lt;0,T283&lt;V283),"Yes",IF(AND(F283&lt;0,T283&gt;V283),"No",0)))),"")</f>
        <v/>
      </c>
      <c r="F283" s="263">
        <f>IFERROR((N283/MAX(N:N)*_MOVw)+(O283/MAX(O:O)*_WINw)+(P283/MAX(P:P)*_PPGw)+(Q283/MAX(Q:Q)*_ORw)+(R283/MAX(R:R)*_DRw),"")</f>
        <v/>
      </c>
      <c r="N283" s="156">
        <f>IFERROR(VLOOKUP(H283,Matrix!A:AC,12,0)-VLOOKUP(J283,Matrix!A:AC,12,0),"")</f>
        <v/>
      </c>
      <c r="O283" s="182">
        <f>IFERROR(AVERAGEIFS(2025Schedule!O:O,2025Schedule!E:E,H283,2025Schedule!N:N,A283)-AVERAGEIFS(2025Schedule!O:O,2025Schedule!E:E,J283,2025Schedule!N:N,B283),0)</f>
        <v/>
      </c>
      <c r="P283" s="156">
        <f>IFERROR(VLOOKUP(H283,Matrix!A:D,2,0)-VLOOKUP(J283,Matrix!A:D,2,0),"")</f>
        <v/>
      </c>
      <c r="Q283" s="156">
        <f>IFERROR(VLOOKUP(H283,Matrix!A:AC,15,0)-VLOOKUP(J283,Matrix!A:AC,15,0),"")</f>
        <v/>
      </c>
      <c r="R283" s="156">
        <f>IFERROR(VLOOKUP(H283,Matrix!A:AC,16,0)-VLOOKUP(J283,Matrix!A:AC,16,0),"")</f>
        <v/>
      </c>
      <c r="S283" s="195">
        <f>H283</f>
        <v/>
      </c>
      <c r="T283" s="195">
        <f>IFERROR(VLOOKUP(G283&amp;H283,2025Schedule!A:F,6,0),"")</f>
        <v/>
      </c>
      <c r="U283" s="264">
        <f>J283</f>
        <v/>
      </c>
      <c r="V283" s="195">
        <f>IFERROR(VLOOKUP(G283&amp;J283,2025Schedule!A:F,6,0),"")</f>
        <v/>
      </c>
    </row>
    <row r="284" ht="14.4" customHeight="1" s="152">
      <c r="A284" s="241">
        <f>H284&amp;I284</f>
        <v/>
      </c>
      <c r="B284" s="241">
        <f>J284&amp;C284</f>
        <v/>
      </c>
      <c r="C284" s="241">
        <f>IFERROR(IF(I284="Home","Away",IF(I284="Away","Home","")),"")</f>
        <v/>
      </c>
      <c r="D284" s="242">
        <f>H284</f>
        <v/>
      </c>
      <c r="E284" s="157">
        <f>IFERROR(IF(AND(F284&gt;0,T284&gt;V284),"Yes",IF(AND(F284&gt;0,T284&lt;V284),"No",IF(AND(F284&lt;0,T284&lt;V284),"Yes",IF(AND(F284&lt;0,T284&gt;V284),"No",0)))),"")</f>
        <v/>
      </c>
      <c r="F284" s="263">
        <f>IFERROR((N284/MAX(N:N)*_MOVw)+(O284/MAX(O:O)*_WINw)+(P284/MAX(P:P)*_PPGw)+(Q284/MAX(Q:Q)*_ORw)+(R284/MAX(R:R)*_DRw),"")</f>
        <v/>
      </c>
      <c r="N284" s="156">
        <f>IFERROR(VLOOKUP(H284,Matrix!A:AC,12,0)-VLOOKUP(J284,Matrix!A:AC,12,0),"")</f>
        <v/>
      </c>
      <c r="O284" s="182">
        <f>IFERROR(AVERAGEIFS(2025Schedule!O:O,2025Schedule!E:E,H284,2025Schedule!N:N,A284)-AVERAGEIFS(2025Schedule!O:O,2025Schedule!E:E,J284,2025Schedule!N:N,B284),0)</f>
        <v/>
      </c>
      <c r="P284" s="156">
        <f>IFERROR(VLOOKUP(H284,Matrix!A:D,2,0)-VLOOKUP(J284,Matrix!A:D,2,0),"")</f>
        <v/>
      </c>
      <c r="Q284" s="156">
        <f>IFERROR(VLOOKUP(H284,Matrix!A:AC,15,0)-VLOOKUP(J284,Matrix!A:AC,15,0),"")</f>
        <v/>
      </c>
      <c r="R284" s="156">
        <f>IFERROR(VLOOKUP(H284,Matrix!A:AC,16,0)-VLOOKUP(J284,Matrix!A:AC,16,0),"")</f>
        <v/>
      </c>
      <c r="S284" s="195">
        <f>H284</f>
        <v/>
      </c>
      <c r="T284" s="195">
        <f>IFERROR(VLOOKUP(G284&amp;H284,2025Schedule!A:F,6,0),"")</f>
        <v/>
      </c>
      <c r="U284" s="264">
        <f>J284</f>
        <v/>
      </c>
      <c r="V284" s="195">
        <f>IFERROR(VLOOKUP(G284&amp;J284,2025Schedule!A:F,6,0),"")</f>
        <v/>
      </c>
    </row>
    <row r="285" ht="14.4" customHeight="1" s="152">
      <c r="A285" s="241">
        <f>H285&amp;I285</f>
        <v/>
      </c>
      <c r="B285" s="241">
        <f>J285&amp;C285</f>
        <v/>
      </c>
      <c r="C285" s="241">
        <f>IFERROR(IF(I285="Home","Away",IF(I285="Away","Home","")),"")</f>
        <v/>
      </c>
      <c r="D285" s="242">
        <f>H285</f>
        <v/>
      </c>
      <c r="E285" s="157">
        <f>IFERROR(IF(AND(F285&gt;0,T285&gt;V285),"Yes",IF(AND(F285&gt;0,T285&lt;V285),"No",IF(AND(F285&lt;0,T285&lt;V285),"Yes",IF(AND(F285&lt;0,T285&gt;V285),"No",0)))),"")</f>
        <v/>
      </c>
      <c r="F285" s="263">
        <f>IFERROR((N285/MAX(N:N)*_MOVw)+(O285/MAX(O:O)*_WINw)+(P285/MAX(P:P)*_PPGw)+(Q285/MAX(Q:Q)*_ORw)+(R285/MAX(R:R)*_DRw),"")</f>
        <v/>
      </c>
      <c r="N285" s="156">
        <f>IFERROR(VLOOKUP(H285,Matrix!A:AC,12,0)-VLOOKUP(J285,Matrix!A:AC,12,0),"")</f>
        <v/>
      </c>
      <c r="O285" s="182">
        <f>IFERROR(AVERAGEIFS(2025Schedule!O:O,2025Schedule!E:E,H285,2025Schedule!N:N,A285)-AVERAGEIFS(2025Schedule!O:O,2025Schedule!E:E,J285,2025Schedule!N:N,B285),0)</f>
        <v/>
      </c>
      <c r="P285" s="156">
        <f>IFERROR(VLOOKUP(H285,Matrix!A:D,2,0)-VLOOKUP(J285,Matrix!A:D,2,0),"")</f>
        <v/>
      </c>
      <c r="Q285" s="156">
        <f>IFERROR(VLOOKUP(H285,Matrix!A:AC,15,0)-VLOOKUP(J285,Matrix!A:AC,15,0),"")</f>
        <v/>
      </c>
      <c r="R285" s="156">
        <f>IFERROR(VLOOKUP(H285,Matrix!A:AC,16,0)-VLOOKUP(J285,Matrix!A:AC,16,0),"")</f>
        <v/>
      </c>
      <c r="S285" s="195">
        <f>H285</f>
        <v/>
      </c>
      <c r="T285" s="195">
        <f>IFERROR(VLOOKUP(G285&amp;H285,2025Schedule!A:F,6,0),"")</f>
        <v/>
      </c>
      <c r="U285" s="264">
        <f>J285</f>
        <v/>
      </c>
      <c r="V285" s="195">
        <f>IFERROR(VLOOKUP(G285&amp;J285,2025Schedule!A:F,6,0),"")</f>
        <v/>
      </c>
    </row>
    <row r="286" ht="14.4" customHeight="1" s="152">
      <c r="A286" s="241">
        <f>H286&amp;I286</f>
        <v/>
      </c>
      <c r="B286" s="241">
        <f>J286&amp;C286</f>
        <v/>
      </c>
      <c r="C286" s="241">
        <f>IFERROR(IF(I286="Home","Away",IF(I286="Away","Home","")),"")</f>
        <v/>
      </c>
      <c r="D286" s="242">
        <f>H286</f>
        <v/>
      </c>
      <c r="E286" s="157">
        <f>IFERROR(IF(AND(F286&gt;0,T286&gt;V286),"Yes",IF(AND(F286&gt;0,T286&lt;V286),"No",IF(AND(F286&lt;0,T286&lt;V286),"Yes",IF(AND(F286&lt;0,T286&gt;V286),"No",0)))),"")</f>
        <v/>
      </c>
      <c r="F286" s="263">
        <f>IFERROR((N286/MAX(N:N)*_MOVw)+(O286/MAX(O:O)*_WINw)+(P286/MAX(P:P)*_PPGw)+(Q286/MAX(Q:Q)*_ORw)+(R286/MAX(R:R)*_DRw),"")</f>
        <v/>
      </c>
      <c r="N286" s="156">
        <f>IFERROR(VLOOKUP(H286,Matrix!A:AC,12,0)-VLOOKUP(J286,Matrix!A:AC,12,0),"")</f>
        <v/>
      </c>
      <c r="O286" s="182">
        <f>IFERROR(AVERAGEIFS(2025Schedule!O:O,2025Schedule!E:E,H286,2025Schedule!N:N,A286)-AVERAGEIFS(2025Schedule!O:O,2025Schedule!E:E,J286,2025Schedule!N:N,B286),0)</f>
        <v/>
      </c>
      <c r="P286" s="156">
        <f>IFERROR(VLOOKUP(H286,Matrix!A:D,2,0)-VLOOKUP(J286,Matrix!A:D,2,0),"")</f>
        <v/>
      </c>
      <c r="Q286" s="156">
        <f>IFERROR(VLOOKUP(H286,Matrix!A:AC,15,0)-VLOOKUP(J286,Matrix!A:AC,15,0),"")</f>
        <v/>
      </c>
      <c r="R286" s="156">
        <f>IFERROR(VLOOKUP(H286,Matrix!A:AC,16,0)-VLOOKUP(J286,Matrix!A:AC,16,0),"")</f>
        <v/>
      </c>
      <c r="S286" s="195">
        <f>H286</f>
        <v/>
      </c>
      <c r="T286" s="195">
        <f>IFERROR(VLOOKUP(G286&amp;H286,2025Schedule!A:F,6,0),"")</f>
        <v/>
      </c>
      <c r="U286" s="264">
        <f>J286</f>
        <v/>
      </c>
      <c r="V286" s="195">
        <f>IFERROR(VLOOKUP(G286&amp;J286,2025Schedule!A:F,6,0),"")</f>
        <v/>
      </c>
    </row>
    <row r="287" ht="14.4" customHeight="1" s="152">
      <c r="A287" s="241">
        <f>H287&amp;I287</f>
        <v/>
      </c>
      <c r="B287" s="241">
        <f>J287&amp;C287</f>
        <v/>
      </c>
      <c r="C287" s="241">
        <f>IFERROR(IF(I287="Home","Away",IF(I287="Away","Home","")),"")</f>
        <v/>
      </c>
      <c r="D287" s="242">
        <f>H287</f>
        <v/>
      </c>
      <c r="E287" s="157">
        <f>IFERROR(IF(AND(F287&gt;0,T287&gt;V287),"Yes",IF(AND(F287&gt;0,T287&lt;V287),"No",IF(AND(F287&lt;0,T287&lt;V287),"Yes",IF(AND(F287&lt;0,T287&gt;V287),"No",0)))),"")</f>
        <v/>
      </c>
      <c r="F287" s="263">
        <f>IFERROR((N287/MAX(N:N)*_MOVw)+(O287/MAX(O:O)*_WINw)+(P287/MAX(P:P)*_PPGw)+(Q287/MAX(Q:Q)*_ORw)+(R287/MAX(R:R)*_DRw),"")</f>
        <v/>
      </c>
      <c r="N287" s="156">
        <f>IFERROR(VLOOKUP(H287,Matrix!A:AC,12,0)-VLOOKUP(J287,Matrix!A:AC,12,0),"")</f>
        <v/>
      </c>
      <c r="O287" s="182">
        <f>IFERROR(AVERAGEIFS(2025Schedule!O:O,2025Schedule!E:E,H287,2025Schedule!N:N,A287)-AVERAGEIFS(2025Schedule!O:O,2025Schedule!E:E,J287,2025Schedule!N:N,B287),0)</f>
        <v/>
      </c>
      <c r="P287" s="156">
        <f>IFERROR(VLOOKUP(H287,Matrix!A:D,2,0)-VLOOKUP(J287,Matrix!A:D,2,0),"")</f>
        <v/>
      </c>
      <c r="Q287" s="156">
        <f>IFERROR(VLOOKUP(H287,Matrix!A:AC,15,0)-VLOOKUP(J287,Matrix!A:AC,15,0),"")</f>
        <v/>
      </c>
      <c r="R287" s="156">
        <f>IFERROR(VLOOKUP(H287,Matrix!A:AC,16,0)-VLOOKUP(J287,Matrix!A:AC,16,0),"")</f>
        <v/>
      </c>
      <c r="S287" s="195">
        <f>H287</f>
        <v/>
      </c>
      <c r="T287" s="195">
        <f>IFERROR(VLOOKUP(G287&amp;H287,2025Schedule!A:F,6,0),"")</f>
        <v/>
      </c>
      <c r="U287" s="264">
        <f>J287</f>
        <v/>
      </c>
      <c r="V287" s="195">
        <f>IFERROR(VLOOKUP(G287&amp;J287,2025Schedule!A:F,6,0),"")</f>
        <v/>
      </c>
    </row>
    <row r="288" ht="14.4" customHeight="1" s="152">
      <c r="A288" s="241">
        <f>H288&amp;I288</f>
        <v/>
      </c>
      <c r="B288" s="241">
        <f>J288&amp;C288</f>
        <v/>
      </c>
      <c r="C288" s="241">
        <f>IFERROR(IF(I288="Home","Away",IF(I288="Away","Home","")),"")</f>
        <v/>
      </c>
      <c r="D288" s="242">
        <f>H288</f>
        <v/>
      </c>
      <c r="E288" s="157">
        <f>IFERROR(IF(AND(F288&gt;0,T288&gt;V288),"Yes",IF(AND(F288&gt;0,T288&lt;V288),"No",IF(AND(F288&lt;0,T288&lt;V288),"Yes",IF(AND(F288&lt;0,T288&gt;V288),"No",0)))),"")</f>
        <v/>
      </c>
      <c r="F288" s="263">
        <f>IFERROR((N288/MAX(N:N)*_MOVw)+(O288/MAX(O:O)*_WINw)+(P288/MAX(P:P)*_PPGw)+(Q288/MAX(Q:Q)*_ORw)+(R288/MAX(R:R)*_DRw),"")</f>
        <v/>
      </c>
      <c r="N288" s="156">
        <f>IFERROR(VLOOKUP(H288,Matrix!A:AC,12,0)-VLOOKUP(J288,Matrix!A:AC,12,0),"")</f>
        <v/>
      </c>
      <c r="O288" s="182">
        <f>IFERROR(AVERAGEIFS(2025Schedule!O:O,2025Schedule!E:E,H288,2025Schedule!N:N,A288)-AVERAGEIFS(2025Schedule!O:O,2025Schedule!E:E,J288,2025Schedule!N:N,B288),0)</f>
        <v/>
      </c>
      <c r="P288" s="156">
        <f>IFERROR(VLOOKUP(H288,Matrix!A:D,2,0)-VLOOKUP(J288,Matrix!A:D,2,0),"")</f>
        <v/>
      </c>
      <c r="Q288" s="156">
        <f>IFERROR(VLOOKUP(H288,Matrix!A:AC,15,0)-VLOOKUP(J288,Matrix!A:AC,15,0),"")</f>
        <v/>
      </c>
      <c r="R288" s="156">
        <f>IFERROR(VLOOKUP(H288,Matrix!A:AC,16,0)-VLOOKUP(J288,Matrix!A:AC,16,0),"")</f>
        <v/>
      </c>
      <c r="S288" s="195">
        <f>H288</f>
        <v/>
      </c>
      <c r="T288" s="195">
        <f>IFERROR(VLOOKUP(G288&amp;H288,2025Schedule!A:F,6,0),"")</f>
        <v/>
      </c>
      <c r="U288" s="264">
        <f>J288</f>
        <v/>
      </c>
      <c r="V288" s="195">
        <f>IFERROR(VLOOKUP(G288&amp;J288,2025Schedule!A:F,6,0),"")</f>
        <v/>
      </c>
    </row>
    <row r="289" ht="14.4" customHeight="1" s="152">
      <c r="A289" s="241">
        <f>H289&amp;I289</f>
        <v/>
      </c>
      <c r="B289" s="241">
        <f>J289&amp;C289</f>
        <v/>
      </c>
      <c r="C289" s="241">
        <f>IFERROR(IF(I289="Home","Away",IF(I289="Away","Home","")),"")</f>
        <v/>
      </c>
      <c r="D289" s="242">
        <f>H289</f>
        <v/>
      </c>
      <c r="E289" s="157">
        <f>IFERROR(IF(AND(F289&gt;0,T289&gt;V289),"Yes",IF(AND(F289&gt;0,T289&lt;V289),"No",IF(AND(F289&lt;0,T289&lt;V289),"Yes",IF(AND(F289&lt;0,T289&gt;V289),"No",0)))),"")</f>
        <v/>
      </c>
      <c r="F289" s="263">
        <f>IFERROR((N289/MAX(N:N)*_MOVw)+(O289/MAX(O:O)*_WINw)+(P289/MAX(P:P)*_PPGw)+(Q289/MAX(Q:Q)*_ORw)+(R289/MAX(R:R)*_DRw),"")</f>
        <v/>
      </c>
      <c r="N289" s="156">
        <f>IFERROR(VLOOKUP(H289,Matrix!A:AC,12,0)-VLOOKUP(J289,Matrix!A:AC,12,0),"")</f>
        <v/>
      </c>
      <c r="O289" s="182">
        <f>IFERROR(AVERAGEIFS(2025Schedule!O:O,2025Schedule!E:E,H289,2025Schedule!N:N,A289)-AVERAGEIFS(2025Schedule!O:O,2025Schedule!E:E,J289,2025Schedule!N:N,B289),0)</f>
        <v/>
      </c>
      <c r="P289" s="156">
        <f>IFERROR(VLOOKUP(H289,Matrix!A:D,2,0)-VLOOKUP(J289,Matrix!A:D,2,0),"")</f>
        <v/>
      </c>
      <c r="Q289" s="156">
        <f>IFERROR(VLOOKUP(H289,Matrix!A:AC,15,0)-VLOOKUP(J289,Matrix!A:AC,15,0),"")</f>
        <v/>
      </c>
      <c r="R289" s="156">
        <f>IFERROR(VLOOKUP(H289,Matrix!A:AC,16,0)-VLOOKUP(J289,Matrix!A:AC,16,0),"")</f>
        <v/>
      </c>
      <c r="S289" s="195">
        <f>H289</f>
        <v/>
      </c>
      <c r="T289" s="195">
        <f>IFERROR(VLOOKUP(G289&amp;H289,2025Schedule!A:F,6,0),"")</f>
        <v/>
      </c>
      <c r="U289" s="264">
        <f>J289</f>
        <v/>
      </c>
      <c r="V289" s="195">
        <f>IFERROR(VLOOKUP(G289&amp;J289,2025Schedule!A:F,6,0),"")</f>
        <v/>
      </c>
    </row>
    <row r="290" ht="14.4" customHeight="1" s="152">
      <c r="A290" s="241">
        <f>H290&amp;I290</f>
        <v/>
      </c>
      <c r="B290" s="241">
        <f>J290&amp;C290</f>
        <v/>
      </c>
      <c r="C290" s="241">
        <f>IFERROR(IF(I290="Home","Away",IF(I290="Away","Home","")),"")</f>
        <v/>
      </c>
      <c r="D290" s="242">
        <f>H290</f>
        <v/>
      </c>
      <c r="E290" s="157">
        <f>IFERROR(IF(AND(F290&gt;0,T290&gt;V290),"Yes",IF(AND(F290&gt;0,T290&lt;V290),"No",IF(AND(F290&lt;0,T290&lt;V290),"Yes",IF(AND(F290&lt;0,T290&gt;V290),"No",0)))),"")</f>
        <v/>
      </c>
      <c r="F290" s="263">
        <f>IFERROR((N290/MAX(N:N)*_MOVw)+(O290/MAX(O:O)*_WINw)+(P290/MAX(P:P)*_PPGw)+(Q290/MAX(Q:Q)*_ORw)+(R290/MAX(R:R)*_DRw),"")</f>
        <v/>
      </c>
      <c r="N290" s="156">
        <f>IFERROR(VLOOKUP(H290,Matrix!A:AC,12,0)-VLOOKUP(J290,Matrix!A:AC,12,0),"")</f>
        <v/>
      </c>
      <c r="O290" s="182">
        <f>IFERROR(AVERAGEIFS(2025Schedule!O:O,2025Schedule!E:E,H290,2025Schedule!N:N,A290)-AVERAGEIFS(2025Schedule!O:O,2025Schedule!E:E,J290,2025Schedule!N:N,B290),0)</f>
        <v/>
      </c>
      <c r="P290" s="156">
        <f>IFERROR(VLOOKUP(H290,Matrix!A:D,2,0)-VLOOKUP(J290,Matrix!A:D,2,0),"")</f>
        <v/>
      </c>
      <c r="Q290" s="156">
        <f>IFERROR(VLOOKUP(H290,Matrix!A:AC,15,0)-VLOOKUP(J290,Matrix!A:AC,15,0),"")</f>
        <v/>
      </c>
      <c r="R290" s="156">
        <f>IFERROR(VLOOKUP(H290,Matrix!A:AC,16,0)-VLOOKUP(J290,Matrix!A:AC,16,0),"")</f>
        <v/>
      </c>
      <c r="S290" s="195">
        <f>H290</f>
        <v/>
      </c>
      <c r="T290" s="195">
        <f>IFERROR(VLOOKUP(G290&amp;H290,2025Schedule!A:F,6,0),"")</f>
        <v/>
      </c>
      <c r="U290" s="264">
        <f>J290</f>
        <v/>
      </c>
      <c r="V290" s="195">
        <f>IFERROR(VLOOKUP(G290&amp;J290,2025Schedule!A:F,6,0),"")</f>
        <v/>
      </c>
    </row>
    <row r="291" ht="14.4" customHeight="1" s="152">
      <c r="A291" s="241">
        <f>H291&amp;I291</f>
        <v/>
      </c>
      <c r="B291" s="241">
        <f>J291&amp;C291</f>
        <v/>
      </c>
      <c r="C291" s="241">
        <f>IFERROR(IF(I291="Home","Away",IF(I291="Away","Home","")),"")</f>
        <v/>
      </c>
      <c r="D291" s="242">
        <f>H291</f>
        <v/>
      </c>
      <c r="E291" s="157">
        <f>IFERROR(IF(AND(F291&gt;0,T291&gt;V291),"Yes",IF(AND(F291&gt;0,T291&lt;V291),"No",IF(AND(F291&lt;0,T291&lt;V291),"Yes",IF(AND(F291&lt;0,T291&gt;V291),"No",0)))),"")</f>
        <v/>
      </c>
      <c r="F291" s="263">
        <f>IFERROR((N291/MAX(N:N)*_MOVw)+(O291/MAX(O:O)*_WINw)+(P291/MAX(P:P)*_PPGw)+(Q291/MAX(Q:Q)*_ORw)+(R291/MAX(R:R)*_DRw),"")</f>
        <v/>
      </c>
      <c r="N291" s="156">
        <f>IFERROR(VLOOKUP(H291,Matrix!A:AC,12,0)-VLOOKUP(J291,Matrix!A:AC,12,0),"")</f>
        <v/>
      </c>
      <c r="O291" s="182">
        <f>IFERROR(AVERAGEIFS(2025Schedule!O:O,2025Schedule!E:E,H291,2025Schedule!N:N,A291)-AVERAGEIFS(2025Schedule!O:O,2025Schedule!E:E,J291,2025Schedule!N:N,B291),0)</f>
        <v/>
      </c>
      <c r="P291" s="156">
        <f>IFERROR(VLOOKUP(H291,Matrix!A:D,2,0)-VLOOKUP(J291,Matrix!A:D,2,0),"")</f>
        <v/>
      </c>
      <c r="Q291" s="156">
        <f>IFERROR(VLOOKUP(H291,Matrix!A:AC,15,0)-VLOOKUP(J291,Matrix!A:AC,15,0),"")</f>
        <v/>
      </c>
      <c r="R291" s="156">
        <f>IFERROR(VLOOKUP(H291,Matrix!A:AC,16,0)-VLOOKUP(J291,Matrix!A:AC,16,0),"")</f>
        <v/>
      </c>
      <c r="S291" s="195">
        <f>H291</f>
        <v/>
      </c>
      <c r="T291" s="195">
        <f>IFERROR(VLOOKUP(G291&amp;H291,2025Schedule!A:F,6,0),"")</f>
        <v/>
      </c>
      <c r="U291" s="264">
        <f>J291</f>
        <v/>
      </c>
      <c r="V291" s="195">
        <f>IFERROR(VLOOKUP(G291&amp;J291,2025Schedule!A:F,6,0),"")</f>
        <v/>
      </c>
    </row>
    <row r="292" ht="14.4" customHeight="1" s="152">
      <c r="A292" s="241">
        <f>H292&amp;I292</f>
        <v/>
      </c>
      <c r="B292" s="241">
        <f>J292&amp;C292</f>
        <v/>
      </c>
      <c r="C292" s="241">
        <f>IFERROR(IF(I292="Home","Away",IF(I292="Away","Home","")),"")</f>
        <v/>
      </c>
      <c r="D292" s="242">
        <f>H292</f>
        <v/>
      </c>
      <c r="E292" s="157">
        <f>IFERROR(IF(AND(F292&gt;0,T292&gt;V292),"Yes",IF(AND(F292&gt;0,T292&lt;V292),"No",IF(AND(F292&lt;0,T292&lt;V292),"Yes",IF(AND(F292&lt;0,T292&gt;V292),"No",0)))),"")</f>
        <v/>
      </c>
      <c r="F292" s="263">
        <f>IFERROR((N292/MAX(N:N)*_MOVw)+(O292/MAX(O:O)*_WINw)+(P292/MAX(P:P)*_PPGw)+(Q292/MAX(Q:Q)*_ORw)+(R292/MAX(R:R)*_DRw),"")</f>
        <v/>
      </c>
      <c r="N292" s="156">
        <f>IFERROR(VLOOKUP(H292,Matrix!A:AC,12,0)-VLOOKUP(J292,Matrix!A:AC,12,0),"")</f>
        <v/>
      </c>
      <c r="O292" s="182">
        <f>IFERROR(AVERAGEIFS(2025Schedule!O:O,2025Schedule!E:E,H292,2025Schedule!N:N,A292)-AVERAGEIFS(2025Schedule!O:O,2025Schedule!E:E,J292,2025Schedule!N:N,B292),0)</f>
        <v/>
      </c>
      <c r="P292" s="156">
        <f>IFERROR(VLOOKUP(H292,Matrix!A:D,2,0)-VLOOKUP(J292,Matrix!A:D,2,0),"")</f>
        <v/>
      </c>
      <c r="Q292" s="156">
        <f>IFERROR(VLOOKUP(H292,Matrix!A:AC,15,0)-VLOOKUP(J292,Matrix!A:AC,15,0),"")</f>
        <v/>
      </c>
      <c r="R292" s="156">
        <f>IFERROR(VLOOKUP(H292,Matrix!A:AC,16,0)-VLOOKUP(J292,Matrix!A:AC,16,0),"")</f>
        <v/>
      </c>
      <c r="S292" s="195">
        <f>H292</f>
        <v/>
      </c>
      <c r="T292" s="195">
        <f>IFERROR(VLOOKUP(G292&amp;H292,2025Schedule!A:F,6,0),"")</f>
        <v/>
      </c>
      <c r="U292" s="264">
        <f>J292</f>
        <v/>
      </c>
      <c r="V292" s="195">
        <f>IFERROR(VLOOKUP(G292&amp;J292,2025Schedule!A:F,6,0),"")</f>
        <v/>
      </c>
    </row>
    <row r="293" ht="14.4" customHeight="1" s="152">
      <c r="A293" s="241">
        <f>H293&amp;I293</f>
        <v/>
      </c>
      <c r="B293" s="241">
        <f>J293&amp;C293</f>
        <v/>
      </c>
      <c r="C293" s="241">
        <f>IFERROR(IF(I293="Home","Away",IF(I293="Away","Home","")),"")</f>
        <v/>
      </c>
      <c r="D293" s="242">
        <f>H293</f>
        <v/>
      </c>
      <c r="E293" s="157">
        <f>IFERROR(IF(AND(F293&gt;0,T293&gt;V293),"Yes",IF(AND(F293&gt;0,T293&lt;V293),"No",IF(AND(F293&lt;0,T293&lt;V293),"Yes",IF(AND(F293&lt;0,T293&gt;V293),"No",0)))),"")</f>
        <v/>
      </c>
      <c r="F293" s="263">
        <f>IFERROR((N293/MAX(N:N)*_MOVw)+(O293/MAX(O:O)*_WINw)+(P293/MAX(P:P)*_PPGw)+(Q293/MAX(Q:Q)*_ORw)+(R293/MAX(R:R)*_DRw),"")</f>
        <v/>
      </c>
      <c r="N293" s="156">
        <f>IFERROR(VLOOKUP(H293,Matrix!A:AC,12,0)-VLOOKUP(J293,Matrix!A:AC,12,0),"")</f>
        <v/>
      </c>
      <c r="O293" s="182">
        <f>IFERROR(AVERAGEIFS(2025Schedule!O:O,2025Schedule!E:E,H293,2025Schedule!N:N,A293)-AVERAGEIFS(2025Schedule!O:O,2025Schedule!E:E,J293,2025Schedule!N:N,B293),0)</f>
        <v/>
      </c>
      <c r="P293" s="156">
        <f>IFERROR(VLOOKUP(H293,Matrix!A:D,2,0)-VLOOKUP(J293,Matrix!A:D,2,0),"")</f>
        <v/>
      </c>
      <c r="Q293" s="156">
        <f>IFERROR(VLOOKUP(H293,Matrix!A:AC,15,0)-VLOOKUP(J293,Matrix!A:AC,15,0),"")</f>
        <v/>
      </c>
      <c r="R293" s="156">
        <f>IFERROR(VLOOKUP(H293,Matrix!A:AC,16,0)-VLOOKUP(J293,Matrix!A:AC,16,0),"")</f>
        <v/>
      </c>
      <c r="S293" s="195">
        <f>H293</f>
        <v/>
      </c>
      <c r="T293" s="195">
        <f>IFERROR(VLOOKUP(G293&amp;H293,2025Schedule!A:F,6,0),"")</f>
        <v/>
      </c>
      <c r="U293" s="264">
        <f>J293</f>
        <v/>
      </c>
      <c r="V293" s="195">
        <f>IFERROR(VLOOKUP(G293&amp;J293,2025Schedule!A:F,6,0),"")</f>
        <v/>
      </c>
    </row>
    <row r="294" ht="14.4" customHeight="1" s="152">
      <c r="A294" s="241">
        <f>H294&amp;I294</f>
        <v/>
      </c>
      <c r="B294" s="241">
        <f>J294&amp;C294</f>
        <v/>
      </c>
      <c r="C294" s="241">
        <f>IFERROR(IF(I294="Home","Away",IF(I294="Away","Home","")),"")</f>
        <v/>
      </c>
      <c r="D294" s="242">
        <f>H294</f>
        <v/>
      </c>
      <c r="E294" s="157">
        <f>IFERROR(IF(AND(F294&gt;0,T294&gt;V294),"Yes",IF(AND(F294&gt;0,T294&lt;V294),"No",IF(AND(F294&lt;0,T294&lt;V294),"Yes",IF(AND(F294&lt;0,T294&gt;V294),"No",0)))),"")</f>
        <v/>
      </c>
      <c r="F294" s="263">
        <f>IFERROR((N294/MAX(N:N)*_MOVw)+(O294/MAX(O:O)*_WINw)+(P294/MAX(P:P)*_PPGw)+(Q294/MAX(Q:Q)*_ORw)+(R294/MAX(R:R)*_DRw),"")</f>
        <v/>
      </c>
      <c r="N294" s="156">
        <f>IFERROR(VLOOKUP(H294,Matrix!A:AC,12,0)-VLOOKUP(J294,Matrix!A:AC,12,0),"")</f>
        <v/>
      </c>
      <c r="O294" s="182">
        <f>IFERROR(AVERAGEIFS(2025Schedule!O:O,2025Schedule!E:E,H294,2025Schedule!N:N,A294)-AVERAGEIFS(2025Schedule!O:O,2025Schedule!E:E,J294,2025Schedule!N:N,B294),0)</f>
        <v/>
      </c>
      <c r="P294" s="156">
        <f>IFERROR(VLOOKUP(H294,Matrix!A:D,2,0)-VLOOKUP(J294,Matrix!A:D,2,0),"")</f>
        <v/>
      </c>
      <c r="Q294" s="156">
        <f>IFERROR(VLOOKUP(H294,Matrix!A:AC,15,0)-VLOOKUP(J294,Matrix!A:AC,15,0),"")</f>
        <v/>
      </c>
      <c r="R294" s="156">
        <f>IFERROR(VLOOKUP(H294,Matrix!A:AC,16,0)-VLOOKUP(J294,Matrix!A:AC,16,0),"")</f>
        <v/>
      </c>
      <c r="S294" s="195">
        <f>H294</f>
        <v/>
      </c>
      <c r="T294" s="195">
        <f>IFERROR(VLOOKUP(G294&amp;H294,2025Schedule!A:F,6,0),"")</f>
        <v/>
      </c>
      <c r="U294" s="264">
        <f>J294</f>
        <v/>
      </c>
      <c r="V294" s="195">
        <f>IFERROR(VLOOKUP(G294&amp;J294,2025Schedule!A:F,6,0),"")</f>
        <v/>
      </c>
    </row>
    <row r="295" ht="14.4" customHeight="1" s="152">
      <c r="A295" s="241">
        <f>H295&amp;I295</f>
        <v/>
      </c>
      <c r="B295" s="241">
        <f>J295&amp;C295</f>
        <v/>
      </c>
      <c r="C295" s="241">
        <f>IFERROR(IF(I295="Home","Away",IF(I295="Away","Home","")),"")</f>
        <v/>
      </c>
      <c r="D295" s="242">
        <f>H295</f>
        <v/>
      </c>
      <c r="E295" s="157">
        <f>IFERROR(IF(AND(F295&gt;0,T295&gt;V295),"Yes",IF(AND(F295&gt;0,T295&lt;V295),"No",IF(AND(F295&lt;0,T295&lt;V295),"Yes",IF(AND(F295&lt;0,T295&gt;V295),"No",0)))),"")</f>
        <v/>
      </c>
      <c r="F295" s="263">
        <f>IFERROR((N295/MAX(N:N)*_MOVw)+(O295/MAX(O:O)*_WINw)+(P295/MAX(P:P)*_PPGw)+(Q295/MAX(Q:Q)*_ORw)+(R295/MAX(R:R)*_DRw),"")</f>
        <v/>
      </c>
      <c r="N295" s="156">
        <f>IFERROR(VLOOKUP(H295,Matrix!A:AC,12,0)-VLOOKUP(J295,Matrix!A:AC,12,0),"")</f>
        <v/>
      </c>
      <c r="O295" s="182">
        <f>IFERROR(AVERAGEIFS(2025Schedule!O:O,2025Schedule!E:E,H295,2025Schedule!N:N,A295)-AVERAGEIFS(2025Schedule!O:O,2025Schedule!E:E,J295,2025Schedule!N:N,B295),0)</f>
        <v/>
      </c>
      <c r="P295" s="156">
        <f>IFERROR(VLOOKUP(H295,Matrix!A:D,2,0)-VLOOKUP(J295,Matrix!A:D,2,0),"")</f>
        <v/>
      </c>
      <c r="Q295" s="156">
        <f>IFERROR(VLOOKUP(H295,Matrix!A:AC,15,0)-VLOOKUP(J295,Matrix!A:AC,15,0),"")</f>
        <v/>
      </c>
      <c r="R295" s="156">
        <f>IFERROR(VLOOKUP(H295,Matrix!A:AC,16,0)-VLOOKUP(J295,Matrix!A:AC,16,0),"")</f>
        <v/>
      </c>
      <c r="S295" s="195">
        <f>H295</f>
        <v/>
      </c>
      <c r="T295" s="195">
        <f>IFERROR(VLOOKUP(G295&amp;H295,2025Schedule!A:F,6,0),"")</f>
        <v/>
      </c>
      <c r="U295" s="264">
        <f>J295</f>
        <v/>
      </c>
      <c r="V295" s="195">
        <f>IFERROR(VLOOKUP(G295&amp;J295,2025Schedule!A:F,6,0),"")</f>
        <v/>
      </c>
    </row>
    <row r="296" ht="14.4" customHeight="1" s="152">
      <c r="A296" s="241">
        <f>H296&amp;I296</f>
        <v/>
      </c>
      <c r="B296" s="241">
        <f>J296&amp;C296</f>
        <v/>
      </c>
      <c r="C296" s="241">
        <f>IFERROR(IF(I296="Home","Away",IF(I296="Away","Home","")),"")</f>
        <v/>
      </c>
      <c r="D296" s="242">
        <f>H296</f>
        <v/>
      </c>
      <c r="E296" s="157">
        <f>IFERROR(IF(AND(F296&gt;0,T296&gt;V296),"Yes",IF(AND(F296&gt;0,T296&lt;V296),"No",IF(AND(F296&lt;0,T296&lt;V296),"Yes",IF(AND(F296&lt;0,T296&gt;V296),"No",0)))),"")</f>
        <v/>
      </c>
      <c r="F296" s="263">
        <f>IFERROR((N296/MAX(N:N)*_MOVw)+(O296/MAX(O:O)*_WINw)+(P296/MAX(P:P)*_PPGw)+(Q296/MAX(Q:Q)*_ORw)+(R296/MAX(R:R)*_DRw),"")</f>
        <v/>
      </c>
      <c r="N296" s="156">
        <f>IFERROR(VLOOKUP(H296,Matrix!A:AC,12,0)-VLOOKUP(J296,Matrix!A:AC,12,0),"")</f>
        <v/>
      </c>
      <c r="O296" s="182">
        <f>IFERROR(AVERAGEIFS(2025Schedule!O:O,2025Schedule!E:E,H296,2025Schedule!N:N,A296)-AVERAGEIFS(2025Schedule!O:O,2025Schedule!E:E,J296,2025Schedule!N:N,B296),0)</f>
        <v/>
      </c>
      <c r="P296" s="156">
        <f>IFERROR(VLOOKUP(H296,Matrix!A:D,2,0)-VLOOKUP(J296,Matrix!A:D,2,0),"")</f>
        <v/>
      </c>
      <c r="Q296" s="156">
        <f>IFERROR(VLOOKUP(H296,Matrix!A:AC,15,0)-VLOOKUP(J296,Matrix!A:AC,15,0),"")</f>
        <v/>
      </c>
      <c r="R296" s="156">
        <f>IFERROR(VLOOKUP(H296,Matrix!A:AC,16,0)-VLOOKUP(J296,Matrix!A:AC,16,0),"")</f>
        <v/>
      </c>
      <c r="S296" s="195">
        <f>H296</f>
        <v/>
      </c>
      <c r="T296" s="195">
        <f>IFERROR(VLOOKUP(G296&amp;H296,2025Schedule!A:F,6,0),"")</f>
        <v/>
      </c>
      <c r="U296" s="264">
        <f>J296</f>
        <v/>
      </c>
      <c r="V296" s="195">
        <f>IFERROR(VLOOKUP(G296&amp;J296,2025Schedule!A:F,6,0),"")</f>
        <v/>
      </c>
    </row>
    <row r="297" ht="14.4" customHeight="1" s="152">
      <c r="A297" s="241">
        <f>H297&amp;I297</f>
        <v/>
      </c>
      <c r="B297" s="241">
        <f>J297&amp;C297</f>
        <v/>
      </c>
      <c r="C297" s="241">
        <f>IFERROR(IF(I297="Home","Away",IF(I297="Away","Home","")),"")</f>
        <v/>
      </c>
      <c r="D297" s="242">
        <f>H297</f>
        <v/>
      </c>
      <c r="E297" s="157">
        <f>IFERROR(IF(AND(F297&gt;0,T297&gt;V297),"Yes",IF(AND(F297&gt;0,T297&lt;V297),"No",IF(AND(F297&lt;0,T297&lt;V297),"Yes",IF(AND(F297&lt;0,T297&gt;V297),"No",0)))),"")</f>
        <v/>
      </c>
      <c r="F297" s="263">
        <f>IFERROR((N297/MAX(N:N)*_MOVw)+(O297/MAX(O:O)*_WINw)+(P297/MAX(P:P)*_PPGw)+(Q297/MAX(Q:Q)*_ORw)+(R297/MAX(R:R)*_DRw),"")</f>
        <v/>
      </c>
      <c r="N297" s="156">
        <f>IFERROR(VLOOKUP(H297,Matrix!A:AC,12,0)-VLOOKUP(J297,Matrix!A:AC,12,0),"")</f>
        <v/>
      </c>
      <c r="O297" s="182">
        <f>IFERROR(AVERAGEIFS(2025Schedule!O:O,2025Schedule!E:E,H297,2025Schedule!N:N,A297)-AVERAGEIFS(2025Schedule!O:O,2025Schedule!E:E,J297,2025Schedule!N:N,B297),0)</f>
        <v/>
      </c>
      <c r="P297" s="156">
        <f>IFERROR(VLOOKUP(H297,Matrix!A:D,2,0)-VLOOKUP(J297,Matrix!A:D,2,0),"")</f>
        <v/>
      </c>
      <c r="Q297" s="156">
        <f>IFERROR(VLOOKUP(H297,Matrix!A:AC,15,0)-VLOOKUP(J297,Matrix!A:AC,15,0),"")</f>
        <v/>
      </c>
      <c r="R297" s="156">
        <f>IFERROR(VLOOKUP(H297,Matrix!A:AC,16,0)-VLOOKUP(J297,Matrix!A:AC,16,0),"")</f>
        <v/>
      </c>
      <c r="S297" s="195">
        <f>H297</f>
        <v/>
      </c>
      <c r="T297" s="195">
        <f>IFERROR(VLOOKUP(G297&amp;H297,2025Schedule!A:F,6,0),"")</f>
        <v/>
      </c>
      <c r="U297" s="264">
        <f>J297</f>
        <v/>
      </c>
      <c r="V297" s="195">
        <f>IFERROR(VLOOKUP(G297&amp;J297,2025Schedule!A:F,6,0),"")</f>
        <v/>
      </c>
    </row>
    <row r="298" ht="14.4" customHeight="1" s="152">
      <c r="A298" s="241">
        <f>H298&amp;I298</f>
        <v/>
      </c>
      <c r="B298" s="241">
        <f>J298&amp;C298</f>
        <v/>
      </c>
      <c r="C298" s="241">
        <f>IFERROR(IF(I298="Home","Away",IF(I298="Away","Home","")),"")</f>
        <v/>
      </c>
      <c r="D298" s="242">
        <f>H298</f>
        <v/>
      </c>
      <c r="E298" s="157">
        <f>IFERROR(IF(AND(F298&gt;0,T298&gt;V298),"Yes",IF(AND(F298&gt;0,T298&lt;V298),"No",IF(AND(F298&lt;0,T298&lt;V298),"Yes",IF(AND(F298&lt;0,T298&gt;V298),"No",0)))),"")</f>
        <v/>
      </c>
      <c r="F298" s="263">
        <f>IFERROR((N298/MAX(N:N)*_MOVw)+(O298/MAX(O:O)*_WINw)+(P298/MAX(P:P)*_PPGw)+(Q298/MAX(Q:Q)*_ORw)+(R298/MAX(R:R)*_DRw),"")</f>
        <v/>
      </c>
      <c r="N298" s="156">
        <f>IFERROR(VLOOKUP(H298,Matrix!A:AC,12,0)-VLOOKUP(J298,Matrix!A:AC,12,0),"")</f>
        <v/>
      </c>
      <c r="O298" s="182">
        <f>IFERROR(AVERAGEIFS(2025Schedule!O:O,2025Schedule!E:E,H298,2025Schedule!N:N,A298)-AVERAGEIFS(2025Schedule!O:O,2025Schedule!E:E,J298,2025Schedule!N:N,B298),0)</f>
        <v/>
      </c>
      <c r="P298" s="156">
        <f>IFERROR(VLOOKUP(H298,Matrix!A:D,2,0)-VLOOKUP(J298,Matrix!A:D,2,0),"")</f>
        <v/>
      </c>
      <c r="Q298" s="156">
        <f>IFERROR(VLOOKUP(H298,Matrix!A:AC,15,0)-VLOOKUP(J298,Matrix!A:AC,15,0),"")</f>
        <v/>
      </c>
      <c r="R298" s="156">
        <f>IFERROR(VLOOKUP(H298,Matrix!A:AC,16,0)-VLOOKUP(J298,Matrix!A:AC,16,0),"")</f>
        <v/>
      </c>
      <c r="S298" s="195">
        <f>H298</f>
        <v/>
      </c>
      <c r="T298" s="195">
        <f>IFERROR(VLOOKUP(G298&amp;H298,2025Schedule!A:F,6,0),"")</f>
        <v/>
      </c>
      <c r="U298" s="264">
        <f>J298</f>
        <v/>
      </c>
      <c r="V298" s="195">
        <f>IFERROR(VLOOKUP(G298&amp;J298,2025Schedule!A:F,6,0),"")</f>
        <v/>
      </c>
    </row>
    <row r="299" ht="14.4" customHeight="1" s="152">
      <c r="A299" s="241">
        <f>H299&amp;I299</f>
        <v/>
      </c>
      <c r="B299" s="241">
        <f>J299&amp;C299</f>
        <v/>
      </c>
      <c r="C299" s="241">
        <f>IFERROR(IF(I299="Home","Away",IF(I299="Away","Home","")),"")</f>
        <v/>
      </c>
      <c r="D299" s="242">
        <f>H299</f>
        <v/>
      </c>
      <c r="E299" s="157">
        <f>IFERROR(IF(AND(F299&gt;0,T299&gt;V299),"Yes",IF(AND(F299&gt;0,T299&lt;V299),"No",IF(AND(F299&lt;0,T299&lt;V299),"Yes",IF(AND(F299&lt;0,T299&gt;V299),"No",0)))),"")</f>
        <v/>
      </c>
      <c r="F299" s="263">
        <f>IFERROR((N299/MAX(N:N)*_MOVw)+(O299/MAX(O:O)*_WINw)+(P299/MAX(P:P)*_PPGw)+(Q299/MAX(Q:Q)*_ORw)+(R299/MAX(R:R)*_DRw),"")</f>
        <v/>
      </c>
      <c r="N299" s="156">
        <f>IFERROR(VLOOKUP(H299,Matrix!A:AC,12,0)-VLOOKUP(J299,Matrix!A:AC,12,0),"")</f>
        <v/>
      </c>
      <c r="O299" s="182">
        <f>IFERROR(AVERAGEIFS(2025Schedule!O:O,2025Schedule!E:E,H299,2025Schedule!N:N,A299)-AVERAGEIFS(2025Schedule!O:O,2025Schedule!E:E,J299,2025Schedule!N:N,B299),0)</f>
        <v/>
      </c>
      <c r="P299" s="156">
        <f>IFERROR(VLOOKUP(H299,Matrix!A:D,2,0)-VLOOKUP(J299,Matrix!A:D,2,0),"")</f>
        <v/>
      </c>
      <c r="Q299" s="156">
        <f>IFERROR(VLOOKUP(H299,Matrix!A:AC,15,0)-VLOOKUP(J299,Matrix!A:AC,15,0),"")</f>
        <v/>
      </c>
      <c r="R299" s="156">
        <f>IFERROR(VLOOKUP(H299,Matrix!A:AC,16,0)-VLOOKUP(J299,Matrix!A:AC,16,0),"")</f>
        <v/>
      </c>
      <c r="S299" s="195">
        <f>H299</f>
        <v/>
      </c>
      <c r="T299" s="195">
        <f>IFERROR(VLOOKUP(G299&amp;H299,2025Schedule!A:F,6,0),"")</f>
        <v/>
      </c>
      <c r="U299" s="264">
        <f>J299</f>
        <v/>
      </c>
      <c r="V299" s="195">
        <f>IFERROR(VLOOKUP(G299&amp;J299,2025Schedule!A:F,6,0),"")</f>
        <v/>
      </c>
    </row>
    <row r="300" ht="14.4" customHeight="1" s="152">
      <c r="A300" s="241">
        <f>H300&amp;I300</f>
        <v/>
      </c>
      <c r="B300" s="241">
        <f>J300&amp;C300</f>
        <v/>
      </c>
      <c r="C300" s="241">
        <f>IFERROR(IF(I300="Home","Away",IF(I300="Away","Home","")),"")</f>
        <v/>
      </c>
      <c r="D300" s="242">
        <f>H300</f>
        <v/>
      </c>
      <c r="E300" s="157">
        <f>IFERROR(IF(AND(F300&gt;0,T300&gt;V300),"Yes",IF(AND(F300&gt;0,T300&lt;V300),"No",IF(AND(F300&lt;0,T300&lt;V300),"Yes",IF(AND(F300&lt;0,T300&gt;V300),"No",0)))),"")</f>
        <v/>
      </c>
      <c r="F300" s="263">
        <f>IFERROR((N300/MAX(N:N)*_MOVw)+(O300/MAX(O:O)*_WINw)+(P300/MAX(P:P)*_PPGw)+(Q300/MAX(Q:Q)*_ORw)+(R300/MAX(R:R)*_DRw),"")</f>
        <v/>
      </c>
      <c r="N300" s="156">
        <f>IFERROR(VLOOKUP(H300,Matrix!A:AC,12,0)-VLOOKUP(J300,Matrix!A:AC,12,0),"")</f>
        <v/>
      </c>
      <c r="O300" s="182">
        <f>IFERROR(AVERAGEIFS(2025Schedule!O:O,2025Schedule!E:E,H300,2025Schedule!N:N,A300)-AVERAGEIFS(2025Schedule!O:O,2025Schedule!E:E,J300,2025Schedule!N:N,B300),0)</f>
        <v/>
      </c>
      <c r="P300" s="156">
        <f>IFERROR(VLOOKUP(H300,Matrix!A:D,2,0)-VLOOKUP(J300,Matrix!A:D,2,0),"")</f>
        <v/>
      </c>
      <c r="Q300" s="156">
        <f>IFERROR(VLOOKUP(H300,Matrix!A:AC,15,0)-VLOOKUP(J300,Matrix!A:AC,15,0),"")</f>
        <v/>
      </c>
      <c r="R300" s="156">
        <f>IFERROR(VLOOKUP(H300,Matrix!A:AC,16,0)-VLOOKUP(J300,Matrix!A:AC,16,0),"")</f>
        <v/>
      </c>
      <c r="S300" s="195">
        <f>H300</f>
        <v/>
      </c>
      <c r="T300" s="195">
        <f>IFERROR(VLOOKUP(G300&amp;H300,2025Schedule!A:F,6,0),"")</f>
        <v/>
      </c>
      <c r="U300" s="264">
        <f>J300</f>
        <v/>
      </c>
      <c r="V300" s="195">
        <f>IFERROR(VLOOKUP(G300&amp;J300,2025Schedule!A:F,6,0),"")</f>
        <v/>
      </c>
    </row>
    <row r="301" ht="14.4" customHeight="1" s="152">
      <c r="A301" s="241">
        <f>H301&amp;I301</f>
        <v/>
      </c>
      <c r="B301" s="241">
        <f>J301&amp;C301</f>
        <v/>
      </c>
      <c r="C301" s="241">
        <f>IFERROR(IF(I301="Home","Away",IF(I301="Away","Home","")),"")</f>
        <v/>
      </c>
      <c r="D301" s="242">
        <f>H301</f>
        <v/>
      </c>
      <c r="E301" s="157">
        <f>IFERROR(IF(AND(F301&gt;0,T301&gt;V301),"Yes",IF(AND(F301&gt;0,T301&lt;V301),"No",IF(AND(F301&lt;0,T301&lt;V301),"Yes",IF(AND(F301&lt;0,T301&gt;V301),"No",0)))),"")</f>
        <v/>
      </c>
      <c r="F301" s="263">
        <f>IFERROR((N301/MAX(N:N)*_MOVw)+(O301/MAX(O:O)*_WINw)+(P301/MAX(P:P)*_PPGw)+(Q301/MAX(Q:Q)*_ORw)+(R301/MAX(R:R)*_DRw),"")</f>
        <v/>
      </c>
      <c r="N301" s="156">
        <f>IFERROR(VLOOKUP(H301,Matrix!A:AC,12,0)-VLOOKUP(J301,Matrix!A:AC,12,0),"")</f>
        <v/>
      </c>
      <c r="O301" s="182">
        <f>IFERROR(AVERAGEIFS(2025Schedule!O:O,2025Schedule!E:E,H301,2025Schedule!N:N,A301)-AVERAGEIFS(2025Schedule!O:O,2025Schedule!E:E,J301,2025Schedule!N:N,B301),0)</f>
        <v/>
      </c>
      <c r="P301" s="156">
        <f>IFERROR(VLOOKUP(H301,Matrix!A:D,2,0)-VLOOKUP(J301,Matrix!A:D,2,0),"")</f>
        <v/>
      </c>
      <c r="Q301" s="156">
        <f>IFERROR(VLOOKUP(H301,Matrix!A:AC,15,0)-VLOOKUP(J301,Matrix!A:AC,15,0),"")</f>
        <v/>
      </c>
      <c r="R301" s="156">
        <f>IFERROR(VLOOKUP(H301,Matrix!A:AC,16,0)-VLOOKUP(J301,Matrix!A:AC,16,0),"")</f>
        <v/>
      </c>
      <c r="S301" s="195">
        <f>H301</f>
        <v/>
      </c>
      <c r="T301" s="195">
        <f>IFERROR(VLOOKUP(G301&amp;H301,2025Schedule!A:F,6,0),"")</f>
        <v/>
      </c>
      <c r="U301" s="264">
        <f>J301</f>
        <v/>
      </c>
      <c r="V301" s="195">
        <f>IFERROR(VLOOKUP(G301&amp;J301,2025Schedule!A:F,6,0),"")</f>
        <v/>
      </c>
    </row>
    <row r="302" ht="14.4" customHeight="1" s="152">
      <c r="A302" s="241">
        <f>H302&amp;I302</f>
        <v/>
      </c>
      <c r="B302" s="241">
        <f>J302&amp;C302</f>
        <v/>
      </c>
      <c r="C302" s="241">
        <f>IFERROR(IF(I302="Home","Away",IF(I302="Away","Home","")),"")</f>
        <v/>
      </c>
      <c r="D302" s="242">
        <f>H302</f>
        <v/>
      </c>
      <c r="E302" s="157">
        <f>IFERROR(IF(AND(F302&gt;0,T302&gt;V302),"Yes",IF(AND(F302&gt;0,T302&lt;V302),"No",IF(AND(F302&lt;0,T302&lt;V302),"Yes",IF(AND(F302&lt;0,T302&gt;V302),"No",0)))),"")</f>
        <v/>
      </c>
      <c r="F302" s="263">
        <f>IFERROR((N302/MAX(N:N)*_MOVw)+(O302/MAX(O:O)*_WINw)+(P302/MAX(P:P)*_PPGw)+(Q302/MAX(Q:Q)*_ORw)+(R302/MAX(R:R)*_DRw),"")</f>
        <v/>
      </c>
      <c r="N302" s="156">
        <f>IFERROR(VLOOKUP(H302,Matrix!A:AC,12,0)-VLOOKUP(J302,Matrix!A:AC,12,0),"")</f>
        <v/>
      </c>
      <c r="O302" s="182">
        <f>IFERROR(AVERAGEIFS(2025Schedule!O:O,2025Schedule!E:E,H302,2025Schedule!N:N,A302)-AVERAGEIFS(2025Schedule!O:O,2025Schedule!E:E,J302,2025Schedule!N:N,B302),0)</f>
        <v/>
      </c>
      <c r="P302" s="156">
        <f>IFERROR(VLOOKUP(H302,Matrix!A:D,2,0)-VLOOKUP(J302,Matrix!A:D,2,0),"")</f>
        <v/>
      </c>
      <c r="Q302" s="156">
        <f>IFERROR(VLOOKUP(H302,Matrix!A:AC,15,0)-VLOOKUP(J302,Matrix!A:AC,15,0),"")</f>
        <v/>
      </c>
      <c r="R302" s="156">
        <f>IFERROR(VLOOKUP(H302,Matrix!A:AC,16,0)-VLOOKUP(J302,Matrix!A:AC,16,0),"")</f>
        <v/>
      </c>
      <c r="S302" s="195">
        <f>H302</f>
        <v/>
      </c>
      <c r="T302" s="195">
        <f>IFERROR(VLOOKUP(G302&amp;H302,2025Schedule!A:F,6,0),"")</f>
        <v/>
      </c>
      <c r="U302" s="264">
        <f>J302</f>
        <v/>
      </c>
      <c r="V302" s="195">
        <f>IFERROR(VLOOKUP(G302&amp;J302,2025Schedule!A:F,6,0),"")</f>
        <v/>
      </c>
    </row>
    <row r="303" ht="14.4" customHeight="1" s="152">
      <c r="A303" s="241">
        <f>H303&amp;I303</f>
        <v/>
      </c>
      <c r="B303" s="241">
        <f>J303&amp;C303</f>
        <v/>
      </c>
      <c r="C303" s="241">
        <f>IFERROR(IF(I303="Home","Away",IF(I303="Away","Home","")),"")</f>
        <v/>
      </c>
      <c r="D303" s="242">
        <f>H303</f>
        <v/>
      </c>
      <c r="E303" s="157">
        <f>IFERROR(IF(AND(F303&gt;0,T303&gt;V303),"Yes",IF(AND(F303&gt;0,T303&lt;V303),"No",IF(AND(F303&lt;0,T303&lt;V303),"Yes",IF(AND(F303&lt;0,T303&gt;V303),"No",0)))),"")</f>
        <v/>
      </c>
      <c r="F303" s="263">
        <f>IFERROR((N303/MAX(N:N)*_MOVw)+(O303/MAX(O:O)*_WINw)+(P303/MAX(P:P)*_PPGw)+(Q303/MAX(Q:Q)*_ORw)+(R303/MAX(R:R)*_DRw),"")</f>
        <v/>
      </c>
      <c r="N303" s="156">
        <f>IFERROR(VLOOKUP(H303,Matrix!A:AC,12,0)-VLOOKUP(J303,Matrix!A:AC,12,0),"")</f>
        <v/>
      </c>
      <c r="O303" s="182">
        <f>IFERROR(AVERAGEIFS(2025Schedule!O:O,2025Schedule!E:E,H303,2025Schedule!N:N,A303)-AVERAGEIFS(2025Schedule!O:O,2025Schedule!E:E,J303,2025Schedule!N:N,B303),0)</f>
        <v/>
      </c>
      <c r="P303" s="156">
        <f>IFERROR(VLOOKUP(H303,Matrix!A:D,2,0)-VLOOKUP(J303,Matrix!A:D,2,0),"")</f>
        <v/>
      </c>
      <c r="Q303" s="156">
        <f>IFERROR(VLOOKUP(H303,Matrix!A:AC,15,0)-VLOOKUP(J303,Matrix!A:AC,15,0),"")</f>
        <v/>
      </c>
      <c r="R303" s="156">
        <f>IFERROR(VLOOKUP(H303,Matrix!A:AC,16,0)-VLOOKUP(J303,Matrix!A:AC,16,0),"")</f>
        <v/>
      </c>
      <c r="S303" s="195">
        <f>H303</f>
        <v/>
      </c>
      <c r="T303" s="195">
        <f>IFERROR(VLOOKUP(G303&amp;H303,2025Schedule!A:F,6,0),"")</f>
        <v/>
      </c>
      <c r="U303" s="264">
        <f>J303</f>
        <v/>
      </c>
      <c r="V303" s="195">
        <f>IFERROR(VLOOKUP(G303&amp;J303,2025Schedule!A:F,6,0),"")</f>
        <v/>
      </c>
    </row>
    <row r="304" ht="14.4" customHeight="1" s="152">
      <c r="A304" s="241">
        <f>H304&amp;I304</f>
        <v/>
      </c>
      <c r="B304" s="241">
        <f>J304&amp;C304</f>
        <v/>
      </c>
      <c r="C304" s="241">
        <f>IFERROR(IF(I304="Home","Away",IF(I304="Away","Home","")),"")</f>
        <v/>
      </c>
      <c r="D304" s="242">
        <f>H304</f>
        <v/>
      </c>
      <c r="E304" s="157">
        <f>IFERROR(IF(AND(F304&gt;0,T304&gt;V304),"Yes",IF(AND(F304&gt;0,T304&lt;V304),"No",IF(AND(F304&lt;0,T304&lt;V304),"Yes",IF(AND(F304&lt;0,T304&gt;V304),"No",0)))),"")</f>
        <v/>
      </c>
      <c r="F304" s="263">
        <f>IFERROR((N304/MAX(N:N)*_MOVw)+(O304/MAX(O:O)*_WINw)+(P304/MAX(P:P)*_PPGw)+(Q304/MAX(Q:Q)*_ORw)+(R304/MAX(R:R)*_DRw),"")</f>
        <v/>
      </c>
      <c r="N304" s="156">
        <f>IFERROR(VLOOKUP(H304,Matrix!A:AC,12,0)-VLOOKUP(J304,Matrix!A:AC,12,0),"")</f>
        <v/>
      </c>
      <c r="O304" s="182">
        <f>IFERROR(AVERAGEIFS(2025Schedule!O:O,2025Schedule!E:E,H304,2025Schedule!N:N,A304)-AVERAGEIFS(2025Schedule!O:O,2025Schedule!E:E,J304,2025Schedule!N:N,B304),0)</f>
        <v/>
      </c>
      <c r="P304" s="156">
        <f>IFERROR(VLOOKUP(H304,Matrix!A:D,2,0)-VLOOKUP(J304,Matrix!A:D,2,0),"")</f>
        <v/>
      </c>
      <c r="Q304" s="156">
        <f>IFERROR(VLOOKUP(H304,Matrix!A:AC,15,0)-VLOOKUP(J304,Matrix!A:AC,15,0),"")</f>
        <v/>
      </c>
      <c r="R304" s="156">
        <f>IFERROR(VLOOKUP(H304,Matrix!A:AC,16,0)-VLOOKUP(J304,Matrix!A:AC,16,0),"")</f>
        <v/>
      </c>
      <c r="S304" s="195">
        <f>H304</f>
        <v/>
      </c>
      <c r="T304" s="195">
        <f>IFERROR(VLOOKUP(G304&amp;H304,2025Schedule!A:F,6,0),"")</f>
        <v/>
      </c>
      <c r="U304" s="264">
        <f>J304</f>
        <v/>
      </c>
      <c r="V304" s="195">
        <f>IFERROR(VLOOKUP(G304&amp;J304,2025Schedule!A:F,6,0),"")</f>
        <v/>
      </c>
    </row>
    <row r="305" ht="14.4" customHeight="1" s="152">
      <c r="A305" s="241">
        <f>H305&amp;I305</f>
        <v/>
      </c>
      <c r="B305" s="241">
        <f>J305&amp;C305</f>
        <v/>
      </c>
      <c r="C305" s="241">
        <f>IFERROR(IF(I305="Home","Away",IF(I305="Away","Home","")),"")</f>
        <v/>
      </c>
      <c r="D305" s="242">
        <f>H305</f>
        <v/>
      </c>
      <c r="E305" s="157">
        <f>IFERROR(IF(AND(F305&gt;0,T305&gt;V305),"Yes",IF(AND(F305&gt;0,T305&lt;V305),"No",IF(AND(F305&lt;0,T305&lt;V305),"Yes",IF(AND(F305&lt;0,T305&gt;V305),"No",0)))),"")</f>
        <v/>
      </c>
      <c r="F305" s="263">
        <f>IFERROR((N305/MAX(N:N)*_MOVw)+(O305/MAX(O:O)*_WINw)+(P305/MAX(P:P)*_PPGw)+(Q305/MAX(Q:Q)*_ORw)+(R305/MAX(R:R)*_DRw),"")</f>
        <v/>
      </c>
      <c r="N305" s="156">
        <f>IFERROR(VLOOKUP(H305,Matrix!A:AC,12,0)-VLOOKUP(J305,Matrix!A:AC,12,0),"")</f>
        <v/>
      </c>
      <c r="O305" s="182">
        <f>IFERROR(AVERAGEIFS(2025Schedule!O:O,2025Schedule!E:E,H305,2025Schedule!N:N,A305)-AVERAGEIFS(2025Schedule!O:O,2025Schedule!E:E,J305,2025Schedule!N:N,B305),0)</f>
        <v/>
      </c>
      <c r="P305" s="156">
        <f>IFERROR(VLOOKUP(H305,Matrix!A:D,2,0)-VLOOKUP(J305,Matrix!A:D,2,0),"")</f>
        <v/>
      </c>
      <c r="Q305" s="156">
        <f>IFERROR(VLOOKUP(H305,Matrix!A:AC,15,0)-VLOOKUP(J305,Matrix!A:AC,15,0),"")</f>
        <v/>
      </c>
      <c r="R305" s="156">
        <f>IFERROR(VLOOKUP(H305,Matrix!A:AC,16,0)-VLOOKUP(J305,Matrix!A:AC,16,0),"")</f>
        <v/>
      </c>
      <c r="S305" s="195">
        <f>H305</f>
        <v/>
      </c>
      <c r="T305" s="195">
        <f>IFERROR(VLOOKUP(G305&amp;H305,2025Schedule!A:F,6,0),"")</f>
        <v/>
      </c>
      <c r="U305" s="264">
        <f>J305</f>
        <v/>
      </c>
      <c r="V305" s="195">
        <f>IFERROR(VLOOKUP(G305&amp;J305,2025Schedule!A:F,6,0),"")</f>
        <v/>
      </c>
    </row>
    <row r="306" ht="14.4" customHeight="1" s="152">
      <c r="A306" s="241">
        <f>H306&amp;I306</f>
        <v/>
      </c>
      <c r="B306" s="241">
        <f>J306&amp;C306</f>
        <v/>
      </c>
      <c r="C306" s="241">
        <f>IFERROR(IF(I306="Home","Away",IF(I306="Away","Home","")),"")</f>
        <v/>
      </c>
      <c r="D306" s="242">
        <f>H306</f>
        <v/>
      </c>
      <c r="E306" s="157">
        <f>IFERROR(IF(AND(F306&gt;0,T306&gt;V306),"Yes",IF(AND(F306&gt;0,T306&lt;V306),"No",IF(AND(F306&lt;0,T306&lt;V306),"Yes",IF(AND(F306&lt;0,T306&gt;V306),"No",0)))),"")</f>
        <v/>
      </c>
      <c r="F306" s="263">
        <f>IFERROR((N306/MAX(N:N)*_MOVw)+(O306/MAX(O:O)*_WINw)+(P306/MAX(P:P)*_PPGw)+(Q306/MAX(Q:Q)*_ORw)+(R306/MAX(R:R)*_DRw),"")</f>
        <v/>
      </c>
      <c r="N306" s="156">
        <f>IFERROR(VLOOKUP(H306,Matrix!A:AC,12,0)-VLOOKUP(J306,Matrix!A:AC,12,0),"")</f>
        <v/>
      </c>
      <c r="O306" s="182">
        <f>IFERROR(AVERAGEIFS(2025Schedule!O:O,2025Schedule!E:E,H306,2025Schedule!N:N,A306)-AVERAGEIFS(2025Schedule!O:O,2025Schedule!E:E,J306,2025Schedule!N:N,B306),0)</f>
        <v/>
      </c>
      <c r="P306" s="156">
        <f>IFERROR(VLOOKUP(H306,Matrix!A:D,2,0)-VLOOKUP(J306,Matrix!A:D,2,0),"")</f>
        <v/>
      </c>
      <c r="Q306" s="156">
        <f>IFERROR(VLOOKUP(H306,Matrix!A:AC,15,0)-VLOOKUP(J306,Matrix!A:AC,15,0),"")</f>
        <v/>
      </c>
      <c r="R306" s="156">
        <f>IFERROR(VLOOKUP(H306,Matrix!A:AC,16,0)-VLOOKUP(J306,Matrix!A:AC,16,0),"")</f>
        <v/>
      </c>
      <c r="S306" s="195">
        <f>H306</f>
        <v/>
      </c>
      <c r="T306" s="195">
        <f>IFERROR(VLOOKUP(G306&amp;H306,2025Schedule!A:F,6,0),"")</f>
        <v/>
      </c>
      <c r="U306" s="264">
        <f>J306</f>
        <v/>
      </c>
      <c r="V306" s="195">
        <f>IFERROR(VLOOKUP(G306&amp;J306,2025Schedule!A:F,6,0),"")</f>
        <v/>
      </c>
    </row>
    <row r="307" ht="14.4" customHeight="1" s="152">
      <c r="A307" s="241">
        <f>H307&amp;I307</f>
        <v/>
      </c>
      <c r="B307" s="241">
        <f>J307&amp;C307</f>
        <v/>
      </c>
      <c r="C307" s="241">
        <f>IFERROR(IF(I307="Home","Away",IF(I307="Away","Home","")),"")</f>
        <v/>
      </c>
      <c r="D307" s="242">
        <f>H307</f>
        <v/>
      </c>
      <c r="E307" s="157">
        <f>IFERROR(IF(AND(F307&gt;0,T307&gt;V307),"Yes",IF(AND(F307&gt;0,T307&lt;V307),"No",IF(AND(F307&lt;0,T307&lt;V307),"Yes",IF(AND(F307&lt;0,T307&gt;V307),"No",0)))),"")</f>
        <v/>
      </c>
      <c r="F307" s="263">
        <f>IFERROR((N307/MAX(N:N)*_MOVw)+(O307/MAX(O:O)*_WINw)+(P307/MAX(P:P)*_PPGw)+(Q307/MAX(Q:Q)*_ORw)+(R307/MAX(R:R)*_DRw),"")</f>
        <v/>
      </c>
      <c r="N307" s="156">
        <f>IFERROR(VLOOKUP(H307,Matrix!A:AC,12,0)-VLOOKUP(J307,Matrix!A:AC,12,0),"")</f>
        <v/>
      </c>
      <c r="O307" s="182">
        <f>IFERROR(AVERAGEIFS(2025Schedule!O:O,2025Schedule!E:E,H307,2025Schedule!N:N,A307)-AVERAGEIFS(2025Schedule!O:O,2025Schedule!E:E,J307,2025Schedule!N:N,B307),0)</f>
        <v/>
      </c>
      <c r="P307" s="156">
        <f>IFERROR(VLOOKUP(H307,Matrix!A:D,2,0)-VLOOKUP(J307,Matrix!A:D,2,0),"")</f>
        <v/>
      </c>
      <c r="Q307" s="156">
        <f>IFERROR(VLOOKUP(H307,Matrix!A:AC,15,0)-VLOOKUP(J307,Matrix!A:AC,15,0),"")</f>
        <v/>
      </c>
      <c r="R307" s="156">
        <f>IFERROR(VLOOKUP(H307,Matrix!A:AC,16,0)-VLOOKUP(J307,Matrix!A:AC,16,0),"")</f>
        <v/>
      </c>
      <c r="S307" s="195">
        <f>H307</f>
        <v/>
      </c>
      <c r="T307" s="195">
        <f>IFERROR(VLOOKUP(G307&amp;H307,2025Schedule!A:F,6,0),"")</f>
        <v/>
      </c>
      <c r="U307" s="264">
        <f>J307</f>
        <v/>
      </c>
      <c r="V307" s="195">
        <f>IFERROR(VLOOKUP(G307&amp;J307,2025Schedule!A:F,6,0),"")</f>
        <v/>
      </c>
    </row>
    <row r="308" ht="14.4" customHeight="1" s="152">
      <c r="A308" s="241">
        <f>H308&amp;I308</f>
        <v/>
      </c>
      <c r="B308" s="241">
        <f>J308&amp;C308</f>
        <v/>
      </c>
      <c r="C308" s="241">
        <f>IFERROR(IF(I308="Home","Away",IF(I308="Away","Home","")),"")</f>
        <v/>
      </c>
      <c r="D308" s="242">
        <f>H308</f>
        <v/>
      </c>
      <c r="E308" s="157">
        <f>IFERROR(IF(AND(F308&gt;0,T308&gt;V308),"Yes",IF(AND(F308&gt;0,T308&lt;V308),"No",IF(AND(F308&lt;0,T308&lt;V308),"Yes",IF(AND(F308&lt;0,T308&gt;V308),"No",0)))),"")</f>
        <v/>
      </c>
      <c r="F308" s="263">
        <f>IFERROR((N308/MAX(N:N)*_MOVw)+(O308/MAX(O:O)*_WINw)+(P308/MAX(P:P)*_PPGw)+(Q308/MAX(Q:Q)*_ORw)+(R308/MAX(R:R)*_DRw),"")</f>
        <v/>
      </c>
      <c r="N308" s="156">
        <f>IFERROR(VLOOKUP(H308,Matrix!A:AC,12,0)-VLOOKUP(J308,Matrix!A:AC,12,0),"")</f>
        <v/>
      </c>
      <c r="O308" s="182">
        <f>IFERROR(AVERAGEIFS(2025Schedule!O:O,2025Schedule!E:E,H308,2025Schedule!N:N,A308)-AVERAGEIFS(2025Schedule!O:O,2025Schedule!E:E,J308,2025Schedule!N:N,B308),0)</f>
        <v/>
      </c>
      <c r="P308" s="156">
        <f>IFERROR(VLOOKUP(H308,Matrix!A:D,2,0)-VLOOKUP(J308,Matrix!A:D,2,0),"")</f>
        <v/>
      </c>
      <c r="Q308" s="156">
        <f>IFERROR(VLOOKUP(H308,Matrix!A:AC,15,0)-VLOOKUP(J308,Matrix!A:AC,15,0),"")</f>
        <v/>
      </c>
      <c r="R308" s="156">
        <f>IFERROR(VLOOKUP(H308,Matrix!A:AC,16,0)-VLOOKUP(J308,Matrix!A:AC,16,0),"")</f>
        <v/>
      </c>
      <c r="S308" s="195">
        <f>H308</f>
        <v/>
      </c>
      <c r="T308" s="195">
        <f>IFERROR(VLOOKUP(G308&amp;H308,2025Schedule!A:F,6,0),"")</f>
        <v/>
      </c>
      <c r="U308" s="264">
        <f>J308</f>
        <v/>
      </c>
      <c r="V308" s="195">
        <f>IFERROR(VLOOKUP(G308&amp;J308,2025Schedule!A:F,6,0),"")</f>
        <v/>
      </c>
    </row>
    <row r="309" ht="14.4" customHeight="1" s="152">
      <c r="A309" s="241">
        <f>H309&amp;I309</f>
        <v/>
      </c>
      <c r="B309" s="241">
        <f>J309&amp;C309</f>
        <v/>
      </c>
      <c r="C309" s="241">
        <f>IFERROR(IF(I309="Home","Away",IF(I309="Away","Home","")),"")</f>
        <v/>
      </c>
      <c r="D309" s="242">
        <f>H309</f>
        <v/>
      </c>
      <c r="E309" s="157">
        <f>IFERROR(IF(AND(F309&gt;0,T309&gt;V309),"Yes",IF(AND(F309&gt;0,T309&lt;V309),"No",IF(AND(F309&lt;0,T309&lt;V309),"Yes",IF(AND(F309&lt;0,T309&gt;V309),"No",0)))),"")</f>
        <v/>
      </c>
      <c r="F309" s="263">
        <f>IFERROR((N309/MAX(N:N)*_MOVw)+(O309/MAX(O:O)*_WINw)+(P309/MAX(P:P)*_PPGw)+(Q309/MAX(Q:Q)*_ORw)+(R309/MAX(R:R)*_DRw),"")</f>
        <v/>
      </c>
      <c r="N309" s="156">
        <f>IFERROR(VLOOKUP(H309,Matrix!A:AC,12,0)-VLOOKUP(J309,Matrix!A:AC,12,0),"")</f>
        <v/>
      </c>
      <c r="O309" s="182">
        <f>IFERROR(AVERAGEIFS(2025Schedule!O:O,2025Schedule!E:E,H309,2025Schedule!N:N,A309)-AVERAGEIFS(2025Schedule!O:O,2025Schedule!E:E,J309,2025Schedule!N:N,B309),0)</f>
        <v/>
      </c>
      <c r="P309" s="156">
        <f>IFERROR(VLOOKUP(H309,Matrix!A:D,2,0)-VLOOKUP(J309,Matrix!A:D,2,0),"")</f>
        <v/>
      </c>
      <c r="Q309" s="156">
        <f>IFERROR(VLOOKUP(H309,Matrix!A:AC,15,0)-VLOOKUP(J309,Matrix!A:AC,15,0),"")</f>
        <v/>
      </c>
      <c r="R309" s="156">
        <f>IFERROR(VLOOKUP(H309,Matrix!A:AC,16,0)-VLOOKUP(J309,Matrix!A:AC,16,0),"")</f>
        <v/>
      </c>
      <c r="S309" s="195">
        <f>H309</f>
        <v/>
      </c>
      <c r="T309" s="195">
        <f>IFERROR(VLOOKUP(G309&amp;H309,2025Schedule!A:F,6,0),"")</f>
        <v/>
      </c>
      <c r="U309" s="264">
        <f>J309</f>
        <v/>
      </c>
      <c r="V309" s="195">
        <f>IFERROR(VLOOKUP(G309&amp;J309,2025Schedule!A:F,6,0),"")</f>
        <v/>
      </c>
    </row>
    <row r="310" ht="14.4" customHeight="1" s="152">
      <c r="A310" s="241">
        <f>H310&amp;I310</f>
        <v/>
      </c>
      <c r="B310" s="241">
        <f>J310&amp;C310</f>
        <v/>
      </c>
      <c r="C310" s="241">
        <f>IFERROR(IF(I310="Home","Away",IF(I310="Away","Home","")),"")</f>
        <v/>
      </c>
      <c r="D310" s="242">
        <f>H310</f>
        <v/>
      </c>
      <c r="E310" s="157">
        <f>IFERROR(IF(AND(F310&gt;0,T310&gt;V310),"Yes",IF(AND(F310&gt;0,T310&lt;V310),"No",IF(AND(F310&lt;0,T310&lt;V310),"Yes",IF(AND(F310&lt;0,T310&gt;V310),"No",0)))),"")</f>
        <v/>
      </c>
      <c r="F310" s="263">
        <f>IFERROR((N310/MAX(N:N)*_MOVw)+(O310/MAX(O:O)*_WINw)+(P310/MAX(P:P)*_PPGw)+(Q310/MAX(Q:Q)*_ORw)+(R310/MAX(R:R)*_DRw),"")</f>
        <v/>
      </c>
      <c r="N310" s="156">
        <f>IFERROR(VLOOKUP(H310,Matrix!A:AC,12,0)-VLOOKUP(J310,Matrix!A:AC,12,0),"")</f>
        <v/>
      </c>
      <c r="O310" s="182">
        <f>IFERROR(AVERAGEIFS(2025Schedule!O:O,2025Schedule!E:E,H310,2025Schedule!N:N,A310)-AVERAGEIFS(2025Schedule!O:O,2025Schedule!E:E,J310,2025Schedule!N:N,B310),0)</f>
        <v/>
      </c>
      <c r="P310" s="156">
        <f>IFERROR(VLOOKUP(H310,Matrix!A:D,2,0)-VLOOKUP(J310,Matrix!A:D,2,0),"")</f>
        <v/>
      </c>
      <c r="Q310" s="156">
        <f>IFERROR(VLOOKUP(H310,Matrix!A:AC,15,0)-VLOOKUP(J310,Matrix!A:AC,15,0),"")</f>
        <v/>
      </c>
      <c r="R310" s="156">
        <f>IFERROR(VLOOKUP(H310,Matrix!A:AC,16,0)-VLOOKUP(J310,Matrix!A:AC,16,0),"")</f>
        <v/>
      </c>
      <c r="S310" s="195">
        <f>H310</f>
        <v/>
      </c>
      <c r="T310" s="195">
        <f>IFERROR(VLOOKUP(G310&amp;H310,2025Schedule!A:F,6,0),"")</f>
        <v/>
      </c>
      <c r="U310" s="264">
        <f>J310</f>
        <v/>
      </c>
      <c r="V310" s="195">
        <f>IFERROR(VLOOKUP(G310&amp;J310,2025Schedule!A:F,6,0),"")</f>
        <v/>
      </c>
    </row>
    <row r="311" ht="14.4" customHeight="1" s="152">
      <c r="A311" s="241">
        <f>H311&amp;I311</f>
        <v/>
      </c>
      <c r="B311" s="241">
        <f>J311&amp;C311</f>
        <v/>
      </c>
      <c r="C311" s="241">
        <f>IFERROR(IF(I311="Home","Away",IF(I311="Away","Home","")),"")</f>
        <v/>
      </c>
      <c r="D311" s="242">
        <f>H311</f>
        <v/>
      </c>
      <c r="E311" s="157">
        <f>IFERROR(IF(AND(F311&gt;0,T311&gt;V311),"Yes",IF(AND(F311&gt;0,T311&lt;V311),"No",IF(AND(F311&lt;0,T311&lt;V311),"Yes",IF(AND(F311&lt;0,T311&gt;V311),"No",0)))),"")</f>
        <v/>
      </c>
      <c r="F311" s="263">
        <f>IFERROR((N311/MAX(N:N)*_MOVw)+(O311/MAX(O:O)*_WINw)+(P311/MAX(P:P)*_PPGw)+(Q311/MAX(Q:Q)*_ORw)+(R311/MAX(R:R)*_DRw),"")</f>
        <v/>
      </c>
      <c r="N311" s="156">
        <f>IFERROR(VLOOKUP(H311,Matrix!A:AC,12,0)-VLOOKUP(J311,Matrix!A:AC,12,0),"")</f>
        <v/>
      </c>
      <c r="O311" s="182">
        <f>IFERROR(AVERAGEIFS(2025Schedule!O:O,2025Schedule!E:E,H311,2025Schedule!N:N,A311)-AVERAGEIFS(2025Schedule!O:O,2025Schedule!E:E,J311,2025Schedule!N:N,B311),0)</f>
        <v/>
      </c>
      <c r="P311" s="156">
        <f>IFERROR(VLOOKUP(H311,Matrix!A:D,2,0)-VLOOKUP(J311,Matrix!A:D,2,0),"")</f>
        <v/>
      </c>
      <c r="Q311" s="156">
        <f>IFERROR(VLOOKUP(H311,Matrix!A:AC,15,0)-VLOOKUP(J311,Matrix!A:AC,15,0),"")</f>
        <v/>
      </c>
      <c r="R311" s="156">
        <f>IFERROR(VLOOKUP(H311,Matrix!A:AC,16,0)-VLOOKUP(J311,Matrix!A:AC,16,0),"")</f>
        <v/>
      </c>
      <c r="S311" s="195">
        <f>H311</f>
        <v/>
      </c>
      <c r="T311" s="195">
        <f>IFERROR(VLOOKUP(G311&amp;H311,2025Schedule!A:F,6,0),"")</f>
        <v/>
      </c>
      <c r="U311" s="264">
        <f>J311</f>
        <v/>
      </c>
      <c r="V311" s="195">
        <f>IFERROR(VLOOKUP(G311&amp;J311,2025Schedule!A:F,6,0),"")</f>
        <v/>
      </c>
    </row>
    <row r="312" ht="14.4" customHeight="1" s="152">
      <c r="A312" s="241">
        <f>H312&amp;I312</f>
        <v/>
      </c>
      <c r="B312" s="241">
        <f>J312&amp;C312</f>
        <v/>
      </c>
      <c r="C312" s="241">
        <f>IFERROR(IF(I312="Home","Away",IF(I312="Away","Home","")),"")</f>
        <v/>
      </c>
      <c r="D312" s="242">
        <f>H312</f>
        <v/>
      </c>
      <c r="E312" s="157">
        <f>IFERROR(IF(AND(F312&gt;0,T312&gt;V312),"Yes",IF(AND(F312&gt;0,T312&lt;V312),"No",IF(AND(F312&lt;0,T312&lt;V312),"Yes",IF(AND(F312&lt;0,T312&gt;V312),"No",0)))),"")</f>
        <v/>
      </c>
      <c r="F312" s="263">
        <f>IFERROR((N312/MAX(N:N)*_MOVw)+(O312/MAX(O:O)*_WINw)+(P312/MAX(P:P)*_PPGw)+(Q312/MAX(Q:Q)*_ORw)+(R312/MAX(R:R)*_DRw),"")</f>
        <v/>
      </c>
      <c r="N312" s="156">
        <f>IFERROR(VLOOKUP(H312,Matrix!A:AC,12,0)-VLOOKUP(J312,Matrix!A:AC,12,0),"")</f>
        <v/>
      </c>
      <c r="O312" s="182">
        <f>IFERROR(AVERAGEIFS(2025Schedule!O:O,2025Schedule!E:E,H312,2025Schedule!N:N,A312)-AVERAGEIFS(2025Schedule!O:O,2025Schedule!E:E,J312,2025Schedule!N:N,B312),0)</f>
        <v/>
      </c>
      <c r="P312" s="156">
        <f>IFERROR(VLOOKUP(H312,Matrix!A:D,2,0)-VLOOKUP(J312,Matrix!A:D,2,0),"")</f>
        <v/>
      </c>
      <c r="Q312" s="156">
        <f>IFERROR(VLOOKUP(H312,Matrix!A:AC,15,0)-VLOOKUP(J312,Matrix!A:AC,15,0),"")</f>
        <v/>
      </c>
      <c r="R312" s="156">
        <f>IFERROR(VLOOKUP(H312,Matrix!A:AC,16,0)-VLOOKUP(J312,Matrix!A:AC,16,0),"")</f>
        <v/>
      </c>
      <c r="S312" s="195">
        <f>H312</f>
        <v/>
      </c>
      <c r="T312" s="195">
        <f>IFERROR(VLOOKUP(G312&amp;H312,2025Schedule!A:F,6,0),"")</f>
        <v/>
      </c>
      <c r="U312" s="264">
        <f>J312</f>
        <v/>
      </c>
      <c r="V312" s="195">
        <f>IFERROR(VLOOKUP(G312&amp;J312,2025Schedule!A:F,6,0),"")</f>
        <v/>
      </c>
    </row>
    <row r="313" ht="14.4" customHeight="1" s="152">
      <c r="A313" s="241">
        <f>H313&amp;I313</f>
        <v/>
      </c>
      <c r="B313" s="241">
        <f>J313&amp;C313</f>
        <v/>
      </c>
      <c r="C313" s="241">
        <f>IFERROR(IF(I313="Home","Away",IF(I313="Away","Home","")),"")</f>
        <v/>
      </c>
      <c r="D313" s="242">
        <f>H313</f>
        <v/>
      </c>
      <c r="E313" s="157">
        <f>IFERROR(IF(AND(F313&gt;0,T313&gt;V313),"Yes",IF(AND(F313&gt;0,T313&lt;V313),"No",IF(AND(F313&lt;0,T313&lt;V313),"Yes",IF(AND(F313&lt;0,T313&gt;V313),"No",0)))),"")</f>
        <v/>
      </c>
      <c r="F313" s="263">
        <f>IFERROR((N313/MAX(N:N)*_MOVw)+(O313/MAX(O:O)*_WINw)+(P313/MAX(P:P)*_PPGw)+(Q313/MAX(Q:Q)*_ORw)+(R313/MAX(R:R)*_DRw),"")</f>
        <v/>
      </c>
      <c r="N313" s="156">
        <f>IFERROR(VLOOKUP(H313,Matrix!A:AC,12,0)-VLOOKUP(J313,Matrix!A:AC,12,0),"")</f>
        <v/>
      </c>
      <c r="O313" s="182">
        <f>IFERROR(AVERAGEIFS(2025Schedule!O:O,2025Schedule!E:E,H313,2025Schedule!N:N,A313)-AVERAGEIFS(2025Schedule!O:O,2025Schedule!E:E,J313,2025Schedule!N:N,B313),0)</f>
        <v/>
      </c>
      <c r="P313" s="156">
        <f>IFERROR(VLOOKUP(H313,Matrix!A:D,2,0)-VLOOKUP(J313,Matrix!A:D,2,0),"")</f>
        <v/>
      </c>
      <c r="Q313" s="156">
        <f>IFERROR(VLOOKUP(H313,Matrix!A:AC,15,0)-VLOOKUP(J313,Matrix!A:AC,15,0),"")</f>
        <v/>
      </c>
      <c r="R313" s="156">
        <f>IFERROR(VLOOKUP(H313,Matrix!A:AC,16,0)-VLOOKUP(J313,Matrix!A:AC,16,0),"")</f>
        <v/>
      </c>
      <c r="S313" s="195">
        <f>H313</f>
        <v/>
      </c>
      <c r="T313" s="195">
        <f>IFERROR(VLOOKUP(G313&amp;H313,2025Schedule!A:F,6,0),"")</f>
        <v/>
      </c>
      <c r="U313" s="264">
        <f>J313</f>
        <v/>
      </c>
      <c r="V313" s="195">
        <f>IFERROR(VLOOKUP(G313&amp;J313,2025Schedule!A:F,6,0),"")</f>
        <v/>
      </c>
    </row>
    <row r="314" ht="14.4" customHeight="1" s="152">
      <c r="A314" s="241">
        <f>H314&amp;I314</f>
        <v/>
      </c>
      <c r="B314" s="241">
        <f>J314&amp;C314</f>
        <v/>
      </c>
      <c r="C314" s="241">
        <f>IFERROR(IF(I314="Home","Away",IF(I314="Away","Home","")),"")</f>
        <v/>
      </c>
      <c r="D314" s="242">
        <f>H314</f>
        <v/>
      </c>
      <c r="E314" s="157">
        <f>IFERROR(IF(AND(F314&gt;0,T314&gt;V314),"Yes",IF(AND(F314&gt;0,T314&lt;V314),"No",IF(AND(F314&lt;0,T314&lt;V314),"Yes",IF(AND(F314&lt;0,T314&gt;V314),"No",0)))),"")</f>
        <v/>
      </c>
      <c r="F314" s="263">
        <f>IFERROR((N314/MAX(N:N)*_MOVw)+(O314/MAX(O:O)*_WINw)+(P314/MAX(P:P)*_PPGw)+(Q314/MAX(Q:Q)*_ORw)+(R314/MAX(R:R)*_DRw),"")</f>
        <v/>
      </c>
      <c r="N314" s="156">
        <f>IFERROR(VLOOKUP(H314,Matrix!A:AC,12,0)-VLOOKUP(J314,Matrix!A:AC,12,0),"")</f>
        <v/>
      </c>
      <c r="O314" s="182">
        <f>IFERROR(AVERAGEIFS(2025Schedule!O:O,2025Schedule!E:E,H314,2025Schedule!N:N,A314)-AVERAGEIFS(2025Schedule!O:O,2025Schedule!E:E,J314,2025Schedule!N:N,B314),0)</f>
        <v/>
      </c>
      <c r="P314" s="156">
        <f>IFERROR(VLOOKUP(H314,Matrix!A:D,2,0)-VLOOKUP(J314,Matrix!A:D,2,0),"")</f>
        <v/>
      </c>
      <c r="Q314" s="156">
        <f>IFERROR(VLOOKUP(H314,Matrix!A:AC,15,0)-VLOOKUP(J314,Matrix!A:AC,15,0),"")</f>
        <v/>
      </c>
      <c r="R314" s="156">
        <f>IFERROR(VLOOKUP(H314,Matrix!A:AC,16,0)-VLOOKUP(J314,Matrix!A:AC,16,0),"")</f>
        <v/>
      </c>
      <c r="S314" s="195">
        <f>H314</f>
        <v/>
      </c>
      <c r="T314" s="195">
        <f>IFERROR(VLOOKUP(G314&amp;H314,2025Schedule!A:F,6,0),"")</f>
        <v/>
      </c>
      <c r="U314" s="264">
        <f>J314</f>
        <v/>
      </c>
      <c r="V314" s="195">
        <f>IFERROR(VLOOKUP(G314&amp;J314,2025Schedule!A:F,6,0),"")</f>
        <v/>
      </c>
    </row>
    <row r="315" ht="14.4" customHeight="1" s="152">
      <c r="A315" s="241">
        <f>H315&amp;I315</f>
        <v/>
      </c>
      <c r="B315" s="241">
        <f>J315&amp;C315</f>
        <v/>
      </c>
      <c r="C315" s="241">
        <f>IFERROR(IF(I315="Home","Away",IF(I315="Away","Home","")),"")</f>
        <v/>
      </c>
      <c r="D315" s="242">
        <f>H315</f>
        <v/>
      </c>
      <c r="E315" s="157">
        <f>IFERROR(IF(AND(F315&gt;0,T315&gt;V315),"Yes",IF(AND(F315&gt;0,T315&lt;V315),"No",IF(AND(F315&lt;0,T315&lt;V315),"Yes",IF(AND(F315&lt;0,T315&gt;V315),"No",0)))),"")</f>
        <v/>
      </c>
      <c r="F315" s="263">
        <f>IFERROR((N315/MAX(N:N)*_MOVw)+(O315/MAX(O:O)*_WINw)+(P315/MAX(P:P)*_PPGw)+(Q315/MAX(Q:Q)*_ORw)+(R315/MAX(R:R)*_DRw),"")</f>
        <v/>
      </c>
      <c r="N315" s="156">
        <f>IFERROR(VLOOKUP(H315,Matrix!A:AC,12,0)-VLOOKUP(J315,Matrix!A:AC,12,0),"")</f>
        <v/>
      </c>
      <c r="O315" s="182">
        <f>IFERROR(AVERAGEIFS(2025Schedule!O:O,2025Schedule!E:E,H315,2025Schedule!N:N,A315)-AVERAGEIFS(2025Schedule!O:O,2025Schedule!E:E,J315,2025Schedule!N:N,B315),0)</f>
        <v/>
      </c>
      <c r="P315" s="156">
        <f>IFERROR(VLOOKUP(H315,Matrix!A:D,2,0)-VLOOKUP(J315,Matrix!A:D,2,0),"")</f>
        <v/>
      </c>
      <c r="Q315" s="156">
        <f>IFERROR(VLOOKUP(H315,Matrix!A:AC,15,0)-VLOOKUP(J315,Matrix!A:AC,15,0),"")</f>
        <v/>
      </c>
      <c r="R315" s="156">
        <f>IFERROR(VLOOKUP(H315,Matrix!A:AC,16,0)-VLOOKUP(J315,Matrix!A:AC,16,0),"")</f>
        <v/>
      </c>
      <c r="S315" s="195">
        <f>H315</f>
        <v/>
      </c>
      <c r="T315" s="195">
        <f>IFERROR(VLOOKUP(G315&amp;H315,2025Schedule!A:F,6,0),"")</f>
        <v/>
      </c>
      <c r="U315" s="264">
        <f>J315</f>
        <v/>
      </c>
      <c r="V315" s="195">
        <f>IFERROR(VLOOKUP(G315&amp;J315,2025Schedule!A:F,6,0),"")</f>
        <v/>
      </c>
    </row>
    <row r="316" ht="14.4" customHeight="1" s="152">
      <c r="A316" s="241">
        <f>H316&amp;I316</f>
        <v/>
      </c>
      <c r="B316" s="241">
        <f>J316&amp;C316</f>
        <v/>
      </c>
      <c r="C316" s="241">
        <f>IFERROR(IF(I316="Home","Away",IF(I316="Away","Home","")),"")</f>
        <v/>
      </c>
      <c r="D316" s="242">
        <f>H316</f>
        <v/>
      </c>
      <c r="E316" s="157">
        <f>IFERROR(IF(AND(F316&gt;0,T316&gt;V316),"Yes",IF(AND(F316&gt;0,T316&lt;V316),"No",IF(AND(F316&lt;0,T316&lt;V316),"Yes",IF(AND(F316&lt;0,T316&gt;V316),"No",0)))),"")</f>
        <v/>
      </c>
      <c r="F316" s="263">
        <f>IFERROR((N316/MAX(N:N)*_MOVw)+(O316/MAX(O:O)*_WINw)+(P316/MAX(P:P)*_PPGw)+(Q316/MAX(Q:Q)*_ORw)+(R316/MAX(R:R)*_DRw),"")</f>
        <v/>
      </c>
      <c r="N316" s="156">
        <f>IFERROR(VLOOKUP(H316,Matrix!A:AC,12,0)-VLOOKUP(J316,Matrix!A:AC,12,0),"")</f>
        <v/>
      </c>
      <c r="O316" s="182">
        <f>IFERROR(AVERAGEIFS(2025Schedule!O:O,2025Schedule!E:E,H316,2025Schedule!N:N,A316)-AVERAGEIFS(2025Schedule!O:O,2025Schedule!E:E,J316,2025Schedule!N:N,B316),0)</f>
        <v/>
      </c>
      <c r="P316" s="156">
        <f>IFERROR(VLOOKUP(H316,Matrix!A:D,2,0)-VLOOKUP(J316,Matrix!A:D,2,0),"")</f>
        <v/>
      </c>
      <c r="Q316" s="156">
        <f>IFERROR(VLOOKUP(H316,Matrix!A:AC,15,0)-VLOOKUP(J316,Matrix!A:AC,15,0),"")</f>
        <v/>
      </c>
      <c r="R316" s="156">
        <f>IFERROR(VLOOKUP(H316,Matrix!A:AC,16,0)-VLOOKUP(J316,Matrix!A:AC,16,0),"")</f>
        <v/>
      </c>
      <c r="S316" s="195">
        <f>H316</f>
        <v/>
      </c>
      <c r="T316" s="195">
        <f>IFERROR(VLOOKUP(G316&amp;H316,2025Schedule!A:F,6,0),"")</f>
        <v/>
      </c>
      <c r="U316" s="264">
        <f>J316</f>
        <v/>
      </c>
      <c r="V316" s="195">
        <f>IFERROR(VLOOKUP(G316&amp;J316,2025Schedule!A:F,6,0),"")</f>
        <v/>
      </c>
    </row>
    <row r="317" ht="14.4" customHeight="1" s="152">
      <c r="A317" s="241">
        <f>H317&amp;I317</f>
        <v/>
      </c>
      <c r="B317" s="241">
        <f>J317&amp;C317</f>
        <v/>
      </c>
      <c r="C317" s="241">
        <f>IFERROR(IF(I317="Home","Away",IF(I317="Away","Home","")),"")</f>
        <v/>
      </c>
      <c r="D317" s="242">
        <f>H317</f>
        <v/>
      </c>
      <c r="E317" s="157">
        <f>IFERROR(IF(AND(F317&gt;0,T317&gt;V317),"Yes",IF(AND(F317&gt;0,T317&lt;V317),"No",IF(AND(F317&lt;0,T317&lt;V317),"Yes",IF(AND(F317&lt;0,T317&gt;V317),"No",0)))),"")</f>
        <v/>
      </c>
      <c r="F317" s="263">
        <f>IFERROR((N317/MAX(N:N)*_MOVw)+(O317/MAX(O:O)*_WINw)+(P317/MAX(P:P)*_PPGw)+(Q317/MAX(Q:Q)*_ORw)+(R317/MAX(R:R)*_DRw),"")</f>
        <v/>
      </c>
      <c r="N317" s="156">
        <f>IFERROR(VLOOKUP(H317,Matrix!A:AC,12,0)-VLOOKUP(J317,Matrix!A:AC,12,0),"")</f>
        <v/>
      </c>
      <c r="O317" s="182">
        <f>IFERROR(AVERAGEIFS(2025Schedule!O:O,2025Schedule!E:E,H317,2025Schedule!N:N,A317)-AVERAGEIFS(2025Schedule!O:O,2025Schedule!E:E,J317,2025Schedule!N:N,B317),0)</f>
        <v/>
      </c>
      <c r="P317" s="156">
        <f>IFERROR(VLOOKUP(H317,Matrix!A:D,2,0)-VLOOKUP(J317,Matrix!A:D,2,0),"")</f>
        <v/>
      </c>
      <c r="Q317" s="156">
        <f>IFERROR(VLOOKUP(H317,Matrix!A:AC,15,0)-VLOOKUP(J317,Matrix!A:AC,15,0),"")</f>
        <v/>
      </c>
      <c r="R317" s="156">
        <f>IFERROR(VLOOKUP(H317,Matrix!A:AC,16,0)-VLOOKUP(J317,Matrix!A:AC,16,0),"")</f>
        <v/>
      </c>
      <c r="S317" s="195">
        <f>H317</f>
        <v/>
      </c>
      <c r="T317" s="195">
        <f>IFERROR(VLOOKUP(G317&amp;H317,2025Schedule!A:F,6,0),"")</f>
        <v/>
      </c>
      <c r="U317" s="264">
        <f>J317</f>
        <v/>
      </c>
      <c r="V317" s="195">
        <f>IFERROR(VLOOKUP(G317&amp;J317,2025Schedule!A:F,6,0),"")</f>
        <v/>
      </c>
    </row>
    <row r="318" ht="14.4" customHeight="1" s="152">
      <c r="A318" s="241">
        <f>H318&amp;I318</f>
        <v/>
      </c>
      <c r="B318" s="241">
        <f>J318&amp;C318</f>
        <v/>
      </c>
      <c r="C318" s="241">
        <f>IFERROR(IF(I318="Home","Away",IF(I318="Away","Home","")),"")</f>
        <v/>
      </c>
      <c r="D318" s="242">
        <f>H318</f>
        <v/>
      </c>
      <c r="E318" s="157">
        <f>IFERROR(IF(AND(F318&gt;0,T318&gt;V318),"Yes",IF(AND(F318&gt;0,T318&lt;V318),"No",IF(AND(F318&lt;0,T318&lt;V318),"Yes",IF(AND(F318&lt;0,T318&gt;V318),"No",0)))),"")</f>
        <v/>
      </c>
      <c r="F318" s="263">
        <f>IFERROR((N318/MAX(N:N)*_MOVw)+(O318/MAX(O:O)*_WINw)+(P318/MAX(P:P)*_PPGw)+(Q318/MAX(Q:Q)*_ORw)+(R318/MAX(R:R)*_DRw),"")</f>
        <v/>
      </c>
      <c r="N318" s="156">
        <f>IFERROR(VLOOKUP(H318,Matrix!A:AC,12,0)-VLOOKUP(J318,Matrix!A:AC,12,0),"")</f>
        <v/>
      </c>
      <c r="O318" s="182">
        <f>IFERROR(AVERAGEIFS(2025Schedule!O:O,2025Schedule!E:E,H318,2025Schedule!N:N,A318)-AVERAGEIFS(2025Schedule!O:O,2025Schedule!E:E,J318,2025Schedule!N:N,B318),0)</f>
        <v/>
      </c>
      <c r="P318" s="156">
        <f>IFERROR(VLOOKUP(H318,Matrix!A:D,2,0)-VLOOKUP(J318,Matrix!A:D,2,0),"")</f>
        <v/>
      </c>
      <c r="Q318" s="156">
        <f>IFERROR(VLOOKUP(H318,Matrix!A:AC,15,0)-VLOOKUP(J318,Matrix!A:AC,15,0),"")</f>
        <v/>
      </c>
      <c r="R318" s="156">
        <f>IFERROR(VLOOKUP(H318,Matrix!A:AC,16,0)-VLOOKUP(J318,Matrix!A:AC,16,0),"")</f>
        <v/>
      </c>
      <c r="S318" s="195">
        <f>H318</f>
        <v/>
      </c>
      <c r="T318" s="195">
        <f>IFERROR(VLOOKUP(G318&amp;H318,2025Schedule!A:F,6,0),"")</f>
        <v/>
      </c>
      <c r="U318" s="264">
        <f>J318</f>
        <v/>
      </c>
      <c r="V318" s="195">
        <f>IFERROR(VLOOKUP(G318&amp;J318,2025Schedule!A:F,6,0),"")</f>
        <v/>
      </c>
    </row>
    <row r="319" ht="14.4" customHeight="1" s="152">
      <c r="A319" s="241">
        <f>H319&amp;I319</f>
        <v/>
      </c>
      <c r="B319" s="241">
        <f>J319&amp;C319</f>
        <v/>
      </c>
      <c r="C319" s="241">
        <f>IFERROR(IF(I319="Home","Away",IF(I319="Away","Home","")),"")</f>
        <v/>
      </c>
      <c r="D319" s="242">
        <f>H319</f>
        <v/>
      </c>
      <c r="E319" s="157">
        <f>IFERROR(IF(AND(F319&gt;0,T319&gt;V319),"Yes",IF(AND(F319&gt;0,T319&lt;V319),"No",IF(AND(F319&lt;0,T319&lt;V319),"Yes",IF(AND(F319&lt;0,T319&gt;V319),"No",0)))),"")</f>
        <v/>
      </c>
      <c r="F319" s="263">
        <f>IFERROR((N319/MAX(N:N)*_MOVw)+(O319/MAX(O:O)*_WINw)+(P319/MAX(P:P)*_PPGw)+(Q319/MAX(Q:Q)*_ORw)+(R319/MAX(R:R)*_DRw),"")</f>
        <v/>
      </c>
      <c r="N319" s="156">
        <f>IFERROR(VLOOKUP(H319,Matrix!A:AC,12,0)-VLOOKUP(J319,Matrix!A:AC,12,0),"")</f>
        <v/>
      </c>
      <c r="O319" s="182">
        <f>IFERROR(AVERAGEIFS(2025Schedule!O:O,2025Schedule!E:E,H319,2025Schedule!N:N,A319)-AVERAGEIFS(2025Schedule!O:O,2025Schedule!E:E,J319,2025Schedule!N:N,B319),0)</f>
        <v/>
      </c>
      <c r="P319" s="156">
        <f>IFERROR(VLOOKUP(H319,Matrix!A:D,2,0)-VLOOKUP(J319,Matrix!A:D,2,0),"")</f>
        <v/>
      </c>
      <c r="Q319" s="156">
        <f>IFERROR(VLOOKUP(H319,Matrix!A:AC,15,0)-VLOOKUP(J319,Matrix!A:AC,15,0),"")</f>
        <v/>
      </c>
      <c r="R319" s="156">
        <f>IFERROR(VLOOKUP(H319,Matrix!A:AC,16,0)-VLOOKUP(J319,Matrix!A:AC,16,0),"")</f>
        <v/>
      </c>
      <c r="S319" s="195">
        <f>H319</f>
        <v/>
      </c>
      <c r="T319" s="195">
        <f>IFERROR(VLOOKUP(G319&amp;H319,2025Schedule!A:F,6,0),"")</f>
        <v/>
      </c>
      <c r="U319" s="264">
        <f>J319</f>
        <v/>
      </c>
      <c r="V319" s="195">
        <f>IFERROR(VLOOKUP(G319&amp;J319,2025Schedule!A:F,6,0),"")</f>
        <v/>
      </c>
    </row>
    <row r="320" ht="14.4" customHeight="1" s="152">
      <c r="A320" s="241">
        <f>H320&amp;I320</f>
        <v/>
      </c>
      <c r="B320" s="241">
        <f>J320&amp;C320</f>
        <v/>
      </c>
      <c r="C320" s="241">
        <f>IFERROR(IF(I320="Home","Away",IF(I320="Away","Home","")),"")</f>
        <v/>
      </c>
      <c r="D320" s="242">
        <f>H320</f>
        <v/>
      </c>
      <c r="E320" s="157">
        <f>IFERROR(IF(AND(F320&gt;0,T320&gt;V320),"Yes",IF(AND(F320&gt;0,T320&lt;V320),"No",IF(AND(F320&lt;0,T320&lt;V320),"Yes",IF(AND(F320&lt;0,T320&gt;V320),"No",0)))),"")</f>
        <v/>
      </c>
      <c r="F320" s="263">
        <f>IFERROR((N320/MAX(N:N)*_MOVw)+(O320/MAX(O:O)*_WINw)+(P320/MAX(P:P)*_PPGw)+(Q320/MAX(Q:Q)*_ORw)+(R320/MAX(R:R)*_DRw),"")</f>
        <v/>
      </c>
      <c r="N320" s="156">
        <f>IFERROR(VLOOKUP(H320,Matrix!A:AC,12,0)-VLOOKUP(J320,Matrix!A:AC,12,0),"")</f>
        <v/>
      </c>
      <c r="O320" s="182">
        <f>IFERROR(AVERAGEIFS(2025Schedule!O:O,2025Schedule!E:E,H320,2025Schedule!N:N,A320)-AVERAGEIFS(2025Schedule!O:O,2025Schedule!E:E,J320,2025Schedule!N:N,B320),0)</f>
        <v/>
      </c>
      <c r="P320" s="156">
        <f>IFERROR(VLOOKUP(H320,Matrix!A:D,2,0)-VLOOKUP(J320,Matrix!A:D,2,0),"")</f>
        <v/>
      </c>
      <c r="Q320" s="156">
        <f>IFERROR(VLOOKUP(H320,Matrix!A:AC,15,0)-VLOOKUP(J320,Matrix!A:AC,15,0),"")</f>
        <v/>
      </c>
      <c r="R320" s="156">
        <f>IFERROR(VLOOKUP(H320,Matrix!A:AC,16,0)-VLOOKUP(J320,Matrix!A:AC,16,0),"")</f>
        <v/>
      </c>
      <c r="S320" s="195">
        <f>H320</f>
        <v/>
      </c>
      <c r="T320" s="195">
        <f>IFERROR(VLOOKUP(G320&amp;H320,2025Schedule!A:F,6,0),"")</f>
        <v/>
      </c>
      <c r="U320" s="264">
        <f>J320</f>
        <v/>
      </c>
      <c r="V320" s="195">
        <f>IFERROR(VLOOKUP(G320&amp;J320,2025Schedule!A:F,6,0),"")</f>
        <v/>
      </c>
    </row>
    <row r="321" ht="14.4" customHeight="1" s="152">
      <c r="A321" s="241">
        <f>H321&amp;I321</f>
        <v/>
      </c>
      <c r="B321" s="241">
        <f>J321&amp;C321</f>
        <v/>
      </c>
      <c r="C321" s="241">
        <f>IFERROR(IF(I321="Home","Away",IF(I321="Away","Home","")),"")</f>
        <v/>
      </c>
      <c r="D321" s="242">
        <f>H321</f>
        <v/>
      </c>
      <c r="E321" s="157">
        <f>IFERROR(IF(AND(F321&gt;0,T321&gt;V321),"Yes",IF(AND(F321&gt;0,T321&lt;V321),"No",IF(AND(F321&lt;0,T321&lt;V321),"Yes",IF(AND(F321&lt;0,T321&gt;V321),"No",0)))),"")</f>
        <v/>
      </c>
      <c r="F321" s="263">
        <f>IFERROR((N321/MAX(N:N)*_MOVw)+(O321/MAX(O:O)*_WINw)+(P321/MAX(P:P)*_PPGw)+(Q321/MAX(Q:Q)*_ORw)+(R321/MAX(R:R)*_DRw),"")</f>
        <v/>
      </c>
      <c r="N321" s="156">
        <f>IFERROR(VLOOKUP(H321,Matrix!A:AC,12,0)-VLOOKUP(J321,Matrix!A:AC,12,0),"")</f>
        <v/>
      </c>
      <c r="O321" s="182">
        <f>IFERROR(AVERAGEIFS(2025Schedule!O:O,2025Schedule!E:E,H321,2025Schedule!N:N,A321)-AVERAGEIFS(2025Schedule!O:O,2025Schedule!E:E,J321,2025Schedule!N:N,B321),0)</f>
        <v/>
      </c>
      <c r="P321" s="156">
        <f>IFERROR(VLOOKUP(H321,Matrix!A:D,2,0)-VLOOKUP(J321,Matrix!A:D,2,0),"")</f>
        <v/>
      </c>
      <c r="Q321" s="156">
        <f>IFERROR(VLOOKUP(H321,Matrix!A:AC,15,0)-VLOOKUP(J321,Matrix!A:AC,15,0),"")</f>
        <v/>
      </c>
      <c r="R321" s="156">
        <f>IFERROR(VLOOKUP(H321,Matrix!A:AC,16,0)-VLOOKUP(J321,Matrix!A:AC,16,0),"")</f>
        <v/>
      </c>
      <c r="S321" s="195">
        <f>H321</f>
        <v/>
      </c>
      <c r="T321" s="195">
        <f>IFERROR(VLOOKUP(G321&amp;H321,2025Schedule!A:F,6,0),"")</f>
        <v/>
      </c>
      <c r="U321" s="264">
        <f>J321</f>
        <v/>
      </c>
      <c r="V321" s="195">
        <f>IFERROR(VLOOKUP(G321&amp;J321,2025Schedule!A:F,6,0),"")</f>
        <v/>
      </c>
    </row>
    <row r="322" ht="14.4" customHeight="1" s="152">
      <c r="A322" s="241">
        <f>H322&amp;I322</f>
        <v/>
      </c>
      <c r="B322" s="241">
        <f>J322&amp;C322</f>
        <v/>
      </c>
      <c r="C322" s="241">
        <f>IFERROR(IF(I322="Home","Away",IF(I322="Away","Home","")),"")</f>
        <v/>
      </c>
      <c r="D322" s="242">
        <f>H322</f>
        <v/>
      </c>
      <c r="E322" s="157">
        <f>IFERROR(IF(AND(F322&gt;0,T322&gt;V322),"Yes",IF(AND(F322&gt;0,T322&lt;V322),"No",IF(AND(F322&lt;0,T322&lt;V322),"Yes",IF(AND(F322&lt;0,T322&gt;V322),"No",0)))),"")</f>
        <v/>
      </c>
      <c r="F322" s="263">
        <f>IFERROR((N322/MAX(N:N)*_MOVw)+(O322/MAX(O:O)*_WINw)+(P322/MAX(P:P)*_PPGw)+(Q322/MAX(Q:Q)*_ORw)+(R322/MAX(R:R)*_DRw),"")</f>
        <v/>
      </c>
      <c r="N322" s="156">
        <f>IFERROR(VLOOKUP(H322,Matrix!A:AC,12,0)-VLOOKUP(J322,Matrix!A:AC,12,0),"")</f>
        <v/>
      </c>
      <c r="O322" s="182">
        <f>IFERROR(AVERAGEIFS(2025Schedule!O:O,2025Schedule!E:E,H322,2025Schedule!N:N,A322)-AVERAGEIFS(2025Schedule!O:O,2025Schedule!E:E,J322,2025Schedule!N:N,B322),0)</f>
        <v/>
      </c>
      <c r="P322" s="156">
        <f>IFERROR(VLOOKUP(H322,Matrix!A:D,2,0)-VLOOKUP(J322,Matrix!A:D,2,0),"")</f>
        <v/>
      </c>
      <c r="Q322" s="156">
        <f>IFERROR(VLOOKUP(H322,Matrix!A:AC,15,0)-VLOOKUP(J322,Matrix!A:AC,15,0),"")</f>
        <v/>
      </c>
      <c r="R322" s="156">
        <f>IFERROR(VLOOKUP(H322,Matrix!A:AC,16,0)-VLOOKUP(J322,Matrix!A:AC,16,0),"")</f>
        <v/>
      </c>
      <c r="S322" s="195">
        <f>H322</f>
        <v/>
      </c>
      <c r="T322" s="195">
        <f>IFERROR(VLOOKUP(G322&amp;H322,2025Schedule!A:F,6,0),"")</f>
        <v/>
      </c>
      <c r="U322" s="264">
        <f>J322</f>
        <v/>
      </c>
      <c r="V322" s="195">
        <f>IFERROR(VLOOKUP(G322&amp;J322,2025Schedule!A:F,6,0),"")</f>
        <v/>
      </c>
    </row>
    <row r="323" ht="14.4" customHeight="1" s="152">
      <c r="A323" s="241">
        <f>H323&amp;I323</f>
        <v/>
      </c>
      <c r="B323" s="241">
        <f>J323&amp;C323</f>
        <v/>
      </c>
      <c r="C323" s="241">
        <f>IFERROR(IF(I323="Home","Away",IF(I323="Away","Home","")),"")</f>
        <v/>
      </c>
      <c r="D323" s="242">
        <f>H323</f>
        <v/>
      </c>
      <c r="E323" s="157">
        <f>IFERROR(IF(AND(F323&gt;0,T323&gt;V323),"Yes",IF(AND(F323&gt;0,T323&lt;V323),"No",IF(AND(F323&lt;0,T323&lt;V323),"Yes",IF(AND(F323&lt;0,T323&gt;V323),"No",0)))),"")</f>
        <v/>
      </c>
      <c r="F323" s="263">
        <f>IFERROR((N323/MAX(N:N)*_MOVw)+(O323/MAX(O:O)*_WINw)+(P323/MAX(P:P)*_PPGw)+(Q323/MAX(Q:Q)*_ORw)+(R323/MAX(R:R)*_DRw),"")</f>
        <v/>
      </c>
      <c r="N323" s="156">
        <f>IFERROR(VLOOKUP(H323,Matrix!A:AC,12,0)-VLOOKUP(J323,Matrix!A:AC,12,0),"")</f>
        <v/>
      </c>
      <c r="O323" s="182">
        <f>IFERROR(AVERAGEIFS(2025Schedule!O:O,2025Schedule!E:E,H323,2025Schedule!N:N,A323)-AVERAGEIFS(2025Schedule!O:O,2025Schedule!E:E,J323,2025Schedule!N:N,B323),0)</f>
        <v/>
      </c>
      <c r="P323" s="156">
        <f>IFERROR(VLOOKUP(H323,Matrix!A:D,2,0)-VLOOKUP(J323,Matrix!A:D,2,0),"")</f>
        <v/>
      </c>
      <c r="Q323" s="156">
        <f>IFERROR(VLOOKUP(H323,Matrix!A:AC,15,0)-VLOOKUP(J323,Matrix!A:AC,15,0),"")</f>
        <v/>
      </c>
      <c r="R323" s="156">
        <f>IFERROR(VLOOKUP(H323,Matrix!A:AC,16,0)-VLOOKUP(J323,Matrix!A:AC,16,0),"")</f>
        <v/>
      </c>
      <c r="S323" s="195">
        <f>H323</f>
        <v/>
      </c>
      <c r="T323" s="195">
        <f>IFERROR(VLOOKUP(G323&amp;H323,2025Schedule!A:F,6,0),"")</f>
        <v/>
      </c>
      <c r="U323" s="264">
        <f>J323</f>
        <v/>
      </c>
      <c r="V323" s="195">
        <f>IFERROR(VLOOKUP(G323&amp;J323,2025Schedule!A:F,6,0),"")</f>
        <v/>
      </c>
    </row>
    <row r="324" ht="14.4" customHeight="1" s="152">
      <c r="A324" s="241">
        <f>H324&amp;I324</f>
        <v/>
      </c>
      <c r="B324" s="241">
        <f>J324&amp;C324</f>
        <v/>
      </c>
      <c r="C324" s="241">
        <f>IFERROR(IF(I324="Home","Away",IF(I324="Away","Home","")),"")</f>
        <v/>
      </c>
      <c r="D324" s="242">
        <f>H324</f>
        <v/>
      </c>
      <c r="E324" s="157">
        <f>IFERROR(IF(AND(F324&gt;0,T324&gt;V324),"Yes",IF(AND(F324&gt;0,T324&lt;V324),"No",IF(AND(F324&lt;0,T324&lt;V324),"Yes",IF(AND(F324&lt;0,T324&gt;V324),"No",0)))),"")</f>
        <v/>
      </c>
      <c r="F324" s="263">
        <f>IFERROR((N324/MAX(N:N)*_MOVw)+(O324/MAX(O:O)*_WINw)+(P324/MAX(P:P)*_PPGw)+(Q324/MAX(Q:Q)*_ORw)+(R324/MAX(R:R)*_DRw),"")</f>
        <v/>
      </c>
      <c r="N324" s="156">
        <f>IFERROR(VLOOKUP(H324,Matrix!A:AC,12,0)-VLOOKUP(J324,Matrix!A:AC,12,0),"")</f>
        <v/>
      </c>
      <c r="O324" s="182">
        <f>IFERROR(AVERAGEIFS(2025Schedule!O:O,2025Schedule!E:E,H324,2025Schedule!N:N,A324)-AVERAGEIFS(2025Schedule!O:O,2025Schedule!E:E,J324,2025Schedule!N:N,B324),0)</f>
        <v/>
      </c>
      <c r="P324" s="156">
        <f>IFERROR(VLOOKUP(H324,Matrix!A:D,2,0)-VLOOKUP(J324,Matrix!A:D,2,0),"")</f>
        <v/>
      </c>
      <c r="Q324" s="156">
        <f>IFERROR(VLOOKUP(H324,Matrix!A:AC,15,0)-VLOOKUP(J324,Matrix!A:AC,15,0),"")</f>
        <v/>
      </c>
      <c r="R324" s="156">
        <f>IFERROR(VLOOKUP(H324,Matrix!A:AC,16,0)-VLOOKUP(J324,Matrix!A:AC,16,0),"")</f>
        <v/>
      </c>
      <c r="S324" s="195">
        <f>H324</f>
        <v/>
      </c>
      <c r="T324" s="195">
        <f>IFERROR(VLOOKUP(G324&amp;H324,2025Schedule!A:F,6,0),"")</f>
        <v/>
      </c>
      <c r="U324" s="264">
        <f>J324</f>
        <v/>
      </c>
      <c r="V324" s="195">
        <f>IFERROR(VLOOKUP(G324&amp;J324,2025Schedule!A:F,6,0),"")</f>
        <v/>
      </c>
    </row>
    <row r="325" ht="14.4" customHeight="1" s="152">
      <c r="A325" s="241">
        <f>H325&amp;I325</f>
        <v/>
      </c>
      <c r="B325" s="241">
        <f>J325&amp;C325</f>
        <v/>
      </c>
      <c r="C325" s="241">
        <f>IFERROR(IF(I325="Home","Away",IF(I325="Away","Home","")),"")</f>
        <v/>
      </c>
      <c r="D325" s="242">
        <f>H325</f>
        <v/>
      </c>
      <c r="E325" s="157">
        <f>IFERROR(IF(AND(F325&gt;0,T325&gt;V325),"Yes",IF(AND(F325&gt;0,T325&lt;V325),"No",IF(AND(F325&lt;0,T325&lt;V325),"Yes",IF(AND(F325&lt;0,T325&gt;V325),"No",0)))),"")</f>
        <v/>
      </c>
      <c r="F325" s="263">
        <f>IFERROR((N325/MAX(N:N)*_MOVw)+(O325/MAX(O:O)*_WINw)+(P325/MAX(P:P)*_PPGw)+(Q325/MAX(Q:Q)*_ORw)+(R325/MAX(R:R)*_DRw),"")</f>
        <v/>
      </c>
      <c r="N325" s="156">
        <f>IFERROR(VLOOKUP(H325,Matrix!A:AC,12,0)-VLOOKUP(J325,Matrix!A:AC,12,0),"")</f>
        <v/>
      </c>
      <c r="O325" s="182">
        <f>IFERROR(AVERAGEIFS(2025Schedule!O:O,2025Schedule!E:E,H325,2025Schedule!N:N,A325)-AVERAGEIFS(2025Schedule!O:O,2025Schedule!E:E,J325,2025Schedule!N:N,B325),0)</f>
        <v/>
      </c>
      <c r="P325" s="156">
        <f>IFERROR(VLOOKUP(H325,Matrix!A:D,2,0)-VLOOKUP(J325,Matrix!A:D,2,0),"")</f>
        <v/>
      </c>
      <c r="Q325" s="156">
        <f>IFERROR(VLOOKUP(H325,Matrix!A:AC,15,0)-VLOOKUP(J325,Matrix!A:AC,15,0),"")</f>
        <v/>
      </c>
      <c r="R325" s="156">
        <f>IFERROR(VLOOKUP(H325,Matrix!A:AC,16,0)-VLOOKUP(J325,Matrix!A:AC,16,0),"")</f>
        <v/>
      </c>
      <c r="S325" s="195">
        <f>H325</f>
        <v/>
      </c>
      <c r="T325" s="195">
        <f>IFERROR(VLOOKUP(G325&amp;H325,2025Schedule!A:F,6,0),"")</f>
        <v/>
      </c>
      <c r="U325" s="264">
        <f>J325</f>
        <v/>
      </c>
      <c r="V325" s="195">
        <f>IFERROR(VLOOKUP(G325&amp;J325,2025Schedule!A:F,6,0),"")</f>
        <v/>
      </c>
    </row>
    <row r="326" ht="14.4" customHeight="1" s="152">
      <c r="A326" s="241">
        <f>H326&amp;I326</f>
        <v/>
      </c>
      <c r="B326" s="241">
        <f>J326&amp;C326</f>
        <v/>
      </c>
      <c r="C326" s="241">
        <f>IFERROR(IF(I326="Home","Away",IF(I326="Away","Home","")),"")</f>
        <v/>
      </c>
      <c r="D326" s="242">
        <f>H326</f>
        <v/>
      </c>
      <c r="E326" s="157">
        <f>IFERROR(IF(AND(F326&gt;0,T326&gt;V326),"Yes",IF(AND(F326&gt;0,T326&lt;V326),"No",IF(AND(F326&lt;0,T326&lt;V326),"Yes",IF(AND(F326&lt;0,T326&gt;V326),"No",0)))),"")</f>
        <v/>
      </c>
      <c r="F326" s="263">
        <f>IFERROR((N326/MAX(N:N)*_MOVw)+(O326/MAX(O:O)*_WINw)+(P326/MAX(P:P)*_PPGw)+(Q326/MAX(Q:Q)*_ORw)+(R326/MAX(R:R)*_DRw),"")</f>
        <v/>
      </c>
      <c r="N326" s="156">
        <f>IFERROR(VLOOKUP(H326,Matrix!A:AC,12,0)-VLOOKUP(J326,Matrix!A:AC,12,0),"")</f>
        <v/>
      </c>
      <c r="O326" s="182">
        <f>IFERROR(AVERAGEIFS(2025Schedule!O:O,2025Schedule!E:E,H326,2025Schedule!N:N,A326)-AVERAGEIFS(2025Schedule!O:O,2025Schedule!E:E,J326,2025Schedule!N:N,B326),0)</f>
        <v/>
      </c>
      <c r="P326" s="156">
        <f>IFERROR(VLOOKUP(H326,Matrix!A:D,2,0)-VLOOKUP(J326,Matrix!A:D,2,0),"")</f>
        <v/>
      </c>
      <c r="Q326" s="156">
        <f>IFERROR(VLOOKUP(H326,Matrix!A:AC,15,0)-VLOOKUP(J326,Matrix!A:AC,15,0),"")</f>
        <v/>
      </c>
      <c r="R326" s="156">
        <f>IFERROR(VLOOKUP(H326,Matrix!A:AC,16,0)-VLOOKUP(J326,Matrix!A:AC,16,0),"")</f>
        <v/>
      </c>
      <c r="S326" s="195">
        <f>H326</f>
        <v/>
      </c>
      <c r="T326" s="195">
        <f>IFERROR(VLOOKUP(G326&amp;H326,2025Schedule!A:F,6,0),"")</f>
        <v/>
      </c>
      <c r="U326" s="264">
        <f>J326</f>
        <v/>
      </c>
      <c r="V326" s="195">
        <f>IFERROR(VLOOKUP(G326&amp;J326,2025Schedule!A:F,6,0),"")</f>
        <v/>
      </c>
    </row>
    <row r="327" ht="14.4" customHeight="1" s="152">
      <c r="A327" s="241">
        <f>H327&amp;I327</f>
        <v/>
      </c>
      <c r="B327" s="241">
        <f>J327&amp;C327</f>
        <v/>
      </c>
      <c r="C327" s="241">
        <f>IFERROR(IF(I327="Home","Away",IF(I327="Away","Home","")),"")</f>
        <v/>
      </c>
      <c r="D327" s="242">
        <f>H327</f>
        <v/>
      </c>
      <c r="E327" s="157">
        <f>IFERROR(IF(AND(F327&gt;0,T327&gt;V327),"Yes",IF(AND(F327&gt;0,T327&lt;V327),"No",IF(AND(F327&lt;0,T327&lt;V327),"Yes",IF(AND(F327&lt;0,T327&gt;V327),"No",0)))),"")</f>
        <v/>
      </c>
      <c r="F327" s="263">
        <f>IFERROR((N327/MAX(N:N)*_MOVw)+(O327/MAX(O:O)*_WINw)+(P327/MAX(P:P)*_PPGw)+(Q327/MAX(Q:Q)*_ORw)+(R327/MAX(R:R)*_DRw),"")</f>
        <v/>
      </c>
      <c r="N327" s="156">
        <f>IFERROR(VLOOKUP(H327,Matrix!A:AC,12,0)-VLOOKUP(J327,Matrix!A:AC,12,0),"")</f>
        <v/>
      </c>
      <c r="O327" s="182">
        <f>IFERROR(AVERAGEIFS(2025Schedule!O:O,2025Schedule!E:E,H327,2025Schedule!N:N,A327)-AVERAGEIFS(2025Schedule!O:O,2025Schedule!E:E,J327,2025Schedule!N:N,B327),0)</f>
        <v/>
      </c>
      <c r="P327" s="156">
        <f>IFERROR(VLOOKUP(H327,Matrix!A:D,2,0)-VLOOKUP(J327,Matrix!A:D,2,0),"")</f>
        <v/>
      </c>
      <c r="Q327" s="156">
        <f>IFERROR(VLOOKUP(H327,Matrix!A:AC,15,0)-VLOOKUP(J327,Matrix!A:AC,15,0),"")</f>
        <v/>
      </c>
      <c r="R327" s="156">
        <f>IFERROR(VLOOKUP(H327,Matrix!A:AC,16,0)-VLOOKUP(J327,Matrix!A:AC,16,0),"")</f>
        <v/>
      </c>
      <c r="S327" s="195">
        <f>H327</f>
        <v/>
      </c>
      <c r="T327" s="195">
        <f>IFERROR(VLOOKUP(G327&amp;H327,2025Schedule!A:F,6,0),"")</f>
        <v/>
      </c>
      <c r="U327" s="264">
        <f>J327</f>
        <v/>
      </c>
      <c r="V327" s="195">
        <f>IFERROR(VLOOKUP(G327&amp;J327,2025Schedule!A:F,6,0),"")</f>
        <v/>
      </c>
    </row>
    <row r="328" ht="14.4" customHeight="1" s="152">
      <c r="A328" s="241">
        <f>H328&amp;I328</f>
        <v/>
      </c>
      <c r="B328" s="241">
        <f>J328&amp;C328</f>
        <v/>
      </c>
      <c r="C328" s="241">
        <f>IFERROR(IF(I328="Home","Away",IF(I328="Away","Home","")),"")</f>
        <v/>
      </c>
      <c r="D328" s="242">
        <f>H328</f>
        <v/>
      </c>
      <c r="E328" s="157">
        <f>IFERROR(IF(AND(F328&gt;0,T328&gt;V328),"Yes",IF(AND(F328&gt;0,T328&lt;V328),"No",IF(AND(F328&lt;0,T328&lt;V328),"Yes",IF(AND(F328&lt;0,T328&gt;V328),"No",0)))),"")</f>
        <v/>
      </c>
      <c r="F328" s="263">
        <f>IFERROR((N328/MAX(N:N)*_MOVw)+(O328/MAX(O:O)*_WINw)+(P328/MAX(P:P)*_PPGw)+(Q328/MAX(Q:Q)*_ORw)+(R328/MAX(R:R)*_DRw),"")</f>
        <v/>
      </c>
      <c r="N328" s="156">
        <f>IFERROR(VLOOKUP(H328,Matrix!A:AC,12,0)-VLOOKUP(J328,Matrix!A:AC,12,0),"")</f>
        <v/>
      </c>
      <c r="O328" s="182">
        <f>IFERROR(AVERAGEIFS(2025Schedule!O:O,2025Schedule!E:E,H328,2025Schedule!N:N,A328)-AVERAGEIFS(2025Schedule!O:O,2025Schedule!E:E,J328,2025Schedule!N:N,B328),0)</f>
        <v/>
      </c>
      <c r="P328" s="156">
        <f>IFERROR(VLOOKUP(H328,Matrix!A:D,2,0)-VLOOKUP(J328,Matrix!A:D,2,0),"")</f>
        <v/>
      </c>
      <c r="Q328" s="156">
        <f>IFERROR(VLOOKUP(H328,Matrix!A:AC,15,0)-VLOOKUP(J328,Matrix!A:AC,15,0),"")</f>
        <v/>
      </c>
      <c r="R328" s="156">
        <f>IFERROR(VLOOKUP(H328,Matrix!A:AC,16,0)-VLOOKUP(J328,Matrix!A:AC,16,0),"")</f>
        <v/>
      </c>
      <c r="S328" s="195">
        <f>H328</f>
        <v/>
      </c>
      <c r="T328" s="195">
        <f>IFERROR(VLOOKUP(G328&amp;H328,2025Schedule!A:F,6,0),"")</f>
        <v/>
      </c>
      <c r="U328" s="264">
        <f>J328</f>
        <v/>
      </c>
      <c r="V328" s="195">
        <f>IFERROR(VLOOKUP(G328&amp;J328,2025Schedule!A:F,6,0),"")</f>
        <v/>
      </c>
    </row>
    <row r="329" ht="14.4" customHeight="1" s="152">
      <c r="A329" s="241">
        <f>H329&amp;I329</f>
        <v/>
      </c>
      <c r="B329" s="241">
        <f>J329&amp;C329</f>
        <v/>
      </c>
      <c r="C329" s="241">
        <f>IFERROR(IF(I329="Home","Away",IF(I329="Away","Home","")),"")</f>
        <v/>
      </c>
      <c r="D329" s="242">
        <f>H329</f>
        <v/>
      </c>
      <c r="E329" s="157">
        <f>IFERROR(IF(AND(F329&gt;0,T329&gt;V329),"Yes",IF(AND(F329&gt;0,T329&lt;V329),"No",IF(AND(F329&lt;0,T329&lt;V329),"Yes",IF(AND(F329&lt;0,T329&gt;V329),"No",0)))),"")</f>
        <v/>
      </c>
      <c r="F329" s="263">
        <f>IFERROR((N329/MAX(N:N)*_MOVw)+(O329/MAX(O:O)*_WINw)+(P329/MAX(P:P)*_PPGw)+(Q329/MAX(Q:Q)*_ORw)+(R329/MAX(R:R)*_DRw),"")</f>
        <v/>
      </c>
      <c r="N329" s="156">
        <f>IFERROR(VLOOKUP(H329,Matrix!A:AC,12,0)-VLOOKUP(J329,Matrix!A:AC,12,0),"")</f>
        <v/>
      </c>
      <c r="O329" s="182">
        <f>IFERROR(AVERAGEIFS(2025Schedule!O:O,2025Schedule!E:E,H329,2025Schedule!N:N,A329)-AVERAGEIFS(2025Schedule!O:O,2025Schedule!E:E,J329,2025Schedule!N:N,B329),0)</f>
        <v/>
      </c>
      <c r="P329" s="156">
        <f>IFERROR(VLOOKUP(H329,Matrix!A:D,2,0)-VLOOKUP(J329,Matrix!A:D,2,0),"")</f>
        <v/>
      </c>
      <c r="Q329" s="156">
        <f>IFERROR(VLOOKUP(H329,Matrix!A:AC,15,0)-VLOOKUP(J329,Matrix!A:AC,15,0),"")</f>
        <v/>
      </c>
      <c r="R329" s="156">
        <f>IFERROR(VLOOKUP(H329,Matrix!A:AC,16,0)-VLOOKUP(J329,Matrix!A:AC,16,0),"")</f>
        <v/>
      </c>
      <c r="S329" s="195">
        <f>H329</f>
        <v/>
      </c>
      <c r="T329" s="195">
        <f>IFERROR(VLOOKUP(G329&amp;H329,2025Schedule!A:F,6,0),"")</f>
        <v/>
      </c>
      <c r="U329" s="264">
        <f>J329</f>
        <v/>
      </c>
      <c r="V329" s="195">
        <f>IFERROR(VLOOKUP(G329&amp;J329,2025Schedule!A:F,6,0),"")</f>
        <v/>
      </c>
    </row>
    <row r="330" ht="14.4" customHeight="1" s="152">
      <c r="A330" s="241">
        <f>H330&amp;I330</f>
        <v/>
      </c>
      <c r="B330" s="241">
        <f>J330&amp;C330</f>
        <v/>
      </c>
      <c r="C330" s="241">
        <f>IFERROR(IF(I330="Home","Away",IF(I330="Away","Home","")),"")</f>
        <v/>
      </c>
      <c r="D330" s="242">
        <f>H330</f>
        <v/>
      </c>
      <c r="E330" s="157">
        <f>IFERROR(IF(AND(F330&gt;0,T330&gt;V330),"Yes",IF(AND(F330&gt;0,T330&lt;V330),"No",IF(AND(F330&lt;0,T330&lt;V330),"Yes",IF(AND(F330&lt;0,T330&gt;V330),"No",0)))),"")</f>
        <v/>
      </c>
      <c r="F330" s="263">
        <f>IFERROR((N330/MAX(N:N)*_MOVw)+(O330/MAX(O:O)*_WINw)+(P330/MAX(P:P)*_PPGw)+(Q330/MAX(Q:Q)*_ORw)+(R330/MAX(R:R)*_DRw),"")</f>
        <v/>
      </c>
      <c r="N330" s="156">
        <f>IFERROR(VLOOKUP(H330,Matrix!A:AC,12,0)-VLOOKUP(J330,Matrix!A:AC,12,0),"")</f>
        <v/>
      </c>
      <c r="O330" s="182">
        <f>IFERROR(AVERAGEIFS(2025Schedule!O:O,2025Schedule!E:E,H330,2025Schedule!N:N,A330)-AVERAGEIFS(2025Schedule!O:O,2025Schedule!E:E,J330,2025Schedule!N:N,B330),0)</f>
        <v/>
      </c>
      <c r="P330" s="156">
        <f>IFERROR(VLOOKUP(H330,Matrix!A:D,2,0)-VLOOKUP(J330,Matrix!A:D,2,0),"")</f>
        <v/>
      </c>
      <c r="Q330" s="156">
        <f>IFERROR(VLOOKUP(H330,Matrix!A:AC,15,0)-VLOOKUP(J330,Matrix!A:AC,15,0),"")</f>
        <v/>
      </c>
      <c r="R330" s="156">
        <f>IFERROR(VLOOKUP(H330,Matrix!A:AC,16,0)-VLOOKUP(J330,Matrix!A:AC,16,0),"")</f>
        <v/>
      </c>
      <c r="S330" s="195">
        <f>H330</f>
        <v/>
      </c>
      <c r="T330" s="195">
        <f>IFERROR(VLOOKUP(G330&amp;H330,2025Schedule!A:F,6,0),"")</f>
        <v/>
      </c>
      <c r="U330" s="264">
        <f>J330</f>
        <v/>
      </c>
      <c r="V330" s="195">
        <f>IFERROR(VLOOKUP(G330&amp;J330,2025Schedule!A:F,6,0),"")</f>
        <v/>
      </c>
    </row>
    <row r="331" ht="14.4" customHeight="1" s="152">
      <c r="A331" s="241">
        <f>H331&amp;I331</f>
        <v/>
      </c>
      <c r="B331" s="241">
        <f>J331&amp;C331</f>
        <v/>
      </c>
      <c r="C331" s="241">
        <f>IFERROR(IF(I331="Home","Away",IF(I331="Away","Home","")),"")</f>
        <v/>
      </c>
      <c r="D331" s="242">
        <f>H331</f>
        <v/>
      </c>
      <c r="E331" s="157">
        <f>IFERROR(IF(AND(F331&gt;0,T331&gt;V331),"Yes",IF(AND(F331&gt;0,T331&lt;V331),"No",IF(AND(F331&lt;0,T331&lt;V331),"Yes",IF(AND(F331&lt;0,T331&gt;V331),"No",0)))),"")</f>
        <v/>
      </c>
      <c r="F331" s="263">
        <f>IFERROR((N331/MAX(N:N)*_MOVw)+(O331/MAX(O:O)*_WINw)+(P331/MAX(P:P)*_PPGw)+(Q331/MAX(Q:Q)*_ORw)+(R331/MAX(R:R)*_DRw),"")</f>
        <v/>
      </c>
      <c r="N331" s="156">
        <f>IFERROR(VLOOKUP(H331,Matrix!A:AC,12,0)-VLOOKUP(J331,Matrix!A:AC,12,0),"")</f>
        <v/>
      </c>
      <c r="O331" s="182">
        <f>IFERROR(AVERAGEIFS(2025Schedule!O:O,2025Schedule!E:E,H331,2025Schedule!N:N,A331)-AVERAGEIFS(2025Schedule!O:O,2025Schedule!E:E,J331,2025Schedule!N:N,B331),0)</f>
        <v/>
      </c>
      <c r="P331" s="156">
        <f>IFERROR(VLOOKUP(H331,Matrix!A:D,2,0)-VLOOKUP(J331,Matrix!A:D,2,0),"")</f>
        <v/>
      </c>
      <c r="Q331" s="156">
        <f>IFERROR(VLOOKUP(H331,Matrix!A:AC,15,0)-VLOOKUP(J331,Matrix!A:AC,15,0),"")</f>
        <v/>
      </c>
      <c r="R331" s="156">
        <f>IFERROR(VLOOKUP(H331,Matrix!A:AC,16,0)-VLOOKUP(J331,Matrix!A:AC,16,0),"")</f>
        <v/>
      </c>
      <c r="S331" s="195">
        <f>H331</f>
        <v/>
      </c>
      <c r="T331" s="195">
        <f>IFERROR(VLOOKUP(G331&amp;H331,2025Schedule!A:F,6,0),"")</f>
        <v/>
      </c>
      <c r="U331" s="264">
        <f>J331</f>
        <v/>
      </c>
      <c r="V331" s="195">
        <f>IFERROR(VLOOKUP(G331&amp;J331,2025Schedule!A:F,6,0),"")</f>
        <v/>
      </c>
    </row>
    <row r="332" ht="14.4" customHeight="1" s="152">
      <c r="A332" s="241">
        <f>H332&amp;I332</f>
        <v/>
      </c>
      <c r="B332" s="241">
        <f>J332&amp;C332</f>
        <v/>
      </c>
      <c r="C332" s="241">
        <f>IFERROR(IF(I332="Home","Away",IF(I332="Away","Home","")),"")</f>
        <v/>
      </c>
      <c r="D332" s="242">
        <f>H332</f>
        <v/>
      </c>
      <c r="E332" s="157">
        <f>IFERROR(IF(AND(F332&gt;0,T332&gt;V332),"Yes",IF(AND(F332&gt;0,T332&lt;V332),"No",IF(AND(F332&lt;0,T332&lt;V332),"Yes",IF(AND(F332&lt;0,T332&gt;V332),"No",0)))),"")</f>
        <v/>
      </c>
      <c r="F332" s="263">
        <f>IFERROR((N332/MAX(N:N)*_MOVw)+(O332/MAX(O:O)*_WINw)+(P332/MAX(P:P)*_PPGw)+(Q332/MAX(Q:Q)*_ORw)+(R332/MAX(R:R)*_DRw),"")</f>
        <v/>
      </c>
      <c r="N332" s="156">
        <f>IFERROR(VLOOKUP(H332,Matrix!A:AC,12,0)-VLOOKUP(J332,Matrix!A:AC,12,0),"")</f>
        <v/>
      </c>
      <c r="O332" s="182">
        <f>IFERROR(AVERAGEIFS(2025Schedule!O:O,2025Schedule!E:E,H332,2025Schedule!N:N,A332)-AVERAGEIFS(2025Schedule!O:O,2025Schedule!E:E,J332,2025Schedule!N:N,B332),0)</f>
        <v/>
      </c>
      <c r="P332" s="156">
        <f>IFERROR(VLOOKUP(H332,Matrix!A:D,2,0)-VLOOKUP(J332,Matrix!A:D,2,0),"")</f>
        <v/>
      </c>
      <c r="Q332" s="156">
        <f>IFERROR(VLOOKUP(H332,Matrix!A:AC,15,0)-VLOOKUP(J332,Matrix!A:AC,15,0),"")</f>
        <v/>
      </c>
      <c r="R332" s="156">
        <f>IFERROR(VLOOKUP(H332,Matrix!A:AC,16,0)-VLOOKUP(J332,Matrix!A:AC,16,0),"")</f>
        <v/>
      </c>
      <c r="S332" s="195">
        <f>H332</f>
        <v/>
      </c>
      <c r="T332" s="195">
        <f>IFERROR(VLOOKUP(G332&amp;H332,2025Schedule!A:F,6,0),"")</f>
        <v/>
      </c>
      <c r="U332" s="264">
        <f>J332</f>
        <v/>
      </c>
      <c r="V332" s="195">
        <f>IFERROR(VLOOKUP(G332&amp;J332,2025Schedule!A:F,6,0),"")</f>
        <v/>
      </c>
    </row>
    <row r="333" ht="14.4" customHeight="1" s="152">
      <c r="A333" s="241">
        <f>H333&amp;I333</f>
        <v/>
      </c>
      <c r="B333" s="241">
        <f>J333&amp;C333</f>
        <v/>
      </c>
      <c r="C333" s="241">
        <f>IFERROR(IF(I333="Home","Away",IF(I333="Away","Home","")),"")</f>
        <v/>
      </c>
      <c r="D333" s="242">
        <f>H333</f>
        <v/>
      </c>
      <c r="E333" s="157">
        <f>IFERROR(IF(AND(F333&gt;0,T333&gt;V333),"Yes",IF(AND(F333&gt;0,T333&lt;V333),"No",IF(AND(F333&lt;0,T333&lt;V333),"Yes",IF(AND(F333&lt;0,T333&gt;V333),"No",0)))),"")</f>
        <v/>
      </c>
      <c r="F333" s="263">
        <f>IFERROR((N333/MAX(N:N)*_MOVw)+(O333/MAX(O:O)*_WINw)+(P333/MAX(P:P)*_PPGw)+(Q333/MAX(Q:Q)*_ORw)+(R333/MAX(R:R)*_DRw),"")</f>
        <v/>
      </c>
      <c r="N333" s="156">
        <f>IFERROR(VLOOKUP(H333,Matrix!A:AC,12,0)-VLOOKUP(J333,Matrix!A:AC,12,0),"")</f>
        <v/>
      </c>
      <c r="O333" s="182">
        <f>IFERROR(AVERAGEIFS(2025Schedule!O:O,2025Schedule!E:E,H333,2025Schedule!N:N,A333)-AVERAGEIFS(2025Schedule!O:O,2025Schedule!E:E,J333,2025Schedule!N:N,B333),0)</f>
        <v/>
      </c>
      <c r="P333" s="156">
        <f>IFERROR(VLOOKUP(H333,Matrix!A:D,2,0)-VLOOKUP(J333,Matrix!A:D,2,0),"")</f>
        <v/>
      </c>
      <c r="Q333" s="156">
        <f>IFERROR(VLOOKUP(H333,Matrix!A:AC,15,0)-VLOOKUP(J333,Matrix!A:AC,15,0),"")</f>
        <v/>
      </c>
      <c r="R333" s="156">
        <f>IFERROR(VLOOKUP(H333,Matrix!A:AC,16,0)-VLOOKUP(J333,Matrix!A:AC,16,0),"")</f>
        <v/>
      </c>
      <c r="S333" s="195">
        <f>H333</f>
        <v/>
      </c>
      <c r="T333" s="195">
        <f>IFERROR(VLOOKUP(G333&amp;H333,2025Schedule!A:F,6,0),"")</f>
        <v/>
      </c>
      <c r="U333" s="264">
        <f>J333</f>
        <v/>
      </c>
      <c r="V333" s="195">
        <f>IFERROR(VLOOKUP(G333&amp;J333,2025Schedule!A:F,6,0),"")</f>
        <v/>
      </c>
    </row>
    <row r="334" ht="14.4" customHeight="1" s="152">
      <c r="A334" s="241">
        <f>H334&amp;I334</f>
        <v/>
      </c>
      <c r="B334" s="241">
        <f>J334&amp;C334</f>
        <v/>
      </c>
      <c r="C334" s="241">
        <f>IFERROR(IF(I334="Home","Away",IF(I334="Away","Home","")),"")</f>
        <v/>
      </c>
      <c r="D334" s="242">
        <f>H334</f>
        <v/>
      </c>
      <c r="E334" s="157">
        <f>IFERROR(IF(AND(F334&gt;0,T334&gt;V334),"Yes",IF(AND(F334&gt;0,T334&lt;V334),"No",IF(AND(F334&lt;0,T334&lt;V334),"Yes",IF(AND(F334&lt;0,T334&gt;V334),"No",0)))),"")</f>
        <v/>
      </c>
      <c r="F334" s="263">
        <f>IFERROR((N334/MAX(N:N)*_MOVw)+(O334/MAX(O:O)*_WINw)+(P334/MAX(P:P)*_PPGw)+(Q334/MAX(Q:Q)*_ORw)+(R334/MAX(R:R)*_DRw),"")</f>
        <v/>
      </c>
      <c r="N334" s="156">
        <f>IFERROR(VLOOKUP(H334,Matrix!A:AC,12,0)-VLOOKUP(J334,Matrix!A:AC,12,0),"")</f>
        <v/>
      </c>
      <c r="O334" s="182">
        <f>IFERROR(AVERAGEIFS(2025Schedule!O:O,2025Schedule!E:E,H334,2025Schedule!N:N,A334)-AVERAGEIFS(2025Schedule!O:O,2025Schedule!E:E,J334,2025Schedule!N:N,B334),0)</f>
        <v/>
      </c>
      <c r="P334" s="156">
        <f>IFERROR(VLOOKUP(H334,Matrix!A:D,2,0)-VLOOKUP(J334,Matrix!A:D,2,0),"")</f>
        <v/>
      </c>
      <c r="Q334" s="156">
        <f>IFERROR(VLOOKUP(H334,Matrix!A:AC,15,0)-VLOOKUP(J334,Matrix!A:AC,15,0),"")</f>
        <v/>
      </c>
      <c r="R334" s="156">
        <f>IFERROR(VLOOKUP(H334,Matrix!A:AC,16,0)-VLOOKUP(J334,Matrix!A:AC,16,0),"")</f>
        <v/>
      </c>
      <c r="S334" s="195">
        <f>H334</f>
        <v/>
      </c>
      <c r="T334" s="195">
        <f>IFERROR(VLOOKUP(G334&amp;H334,2025Schedule!A:F,6,0),"")</f>
        <v/>
      </c>
      <c r="U334" s="264">
        <f>J334</f>
        <v/>
      </c>
      <c r="V334" s="195">
        <f>IFERROR(VLOOKUP(G334&amp;J334,2025Schedule!A:F,6,0),"")</f>
        <v/>
      </c>
    </row>
    <row r="335" ht="14.4" customHeight="1" s="152">
      <c r="A335" s="241">
        <f>H335&amp;I335</f>
        <v/>
      </c>
      <c r="B335" s="241">
        <f>J335&amp;C335</f>
        <v/>
      </c>
      <c r="C335" s="241">
        <f>IFERROR(IF(I335="Home","Away",IF(I335="Away","Home","")),"")</f>
        <v/>
      </c>
      <c r="D335" s="242">
        <f>H335</f>
        <v/>
      </c>
      <c r="E335" s="157">
        <f>IFERROR(IF(AND(F335&gt;0,T335&gt;V335),"Yes",IF(AND(F335&gt;0,T335&lt;V335),"No",IF(AND(F335&lt;0,T335&lt;V335),"Yes",IF(AND(F335&lt;0,T335&gt;V335),"No",0)))),"")</f>
        <v/>
      </c>
      <c r="F335" s="263">
        <f>IFERROR((N335/MAX(N:N)*_MOVw)+(O335/MAX(O:O)*_WINw)+(P335/MAX(P:P)*_PPGw)+(Q335/MAX(Q:Q)*_ORw)+(R335/MAX(R:R)*_DRw),"")</f>
        <v/>
      </c>
      <c r="N335" s="156">
        <f>IFERROR(VLOOKUP(H335,Matrix!A:AC,12,0)-VLOOKUP(J335,Matrix!A:AC,12,0),"")</f>
        <v/>
      </c>
      <c r="O335" s="182">
        <f>IFERROR(AVERAGEIFS(2025Schedule!O:O,2025Schedule!E:E,H335,2025Schedule!N:N,A335)-AVERAGEIFS(2025Schedule!O:O,2025Schedule!E:E,J335,2025Schedule!N:N,B335),0)</f>
        <v/>
      </c>
      <c r="P335" s="156">
        <f>IFERROR(VLOOKUP(H335,Matrix!A:D,2,0)-VLOOKUP(J335,Matrix!A:D,2,0),"")</f>
        <v/>
      </c>
      <c r="Q335" s="156">
        <f>IFERROR(VLOOKUP(H335,Matrix!A:AC,15,0)-VLOOKUP(J335,Matrix!A:AC,15,0),"")</f>
        <v/>
      </c>
      <c r="R335" s="156">
        <f>IFERROR(VLOOKUP(H335,Matrix!A:AC,16,0)-VLOOKUP(J335,Matrix!A:AC,16,0),"")</f>
        <v/>
      </c>
      <c r="S335" s="195">
        <f>H335</f>
        <v/>
      </c>
      <c r="T335" s="195">
        <f>IFERROR(VLOOKUP(G335&amp;H335,2025Schedule!A:F,6,0),"")</f>
        <v/>
      </c>
      <c r="U335" s="264">
        <f>J335</f>
        <v/>
      </c>
      <c r="V335" s="195">
        <f>IFERROR(VLOOKUP(G335&amp;J335,2025Schedule!A:F,6,0),"")</f>
        <v/>
      </c>
    </row>
    <row r="336" ht="14.4" customHeight="1" s="152">
      <c r="A336" s="241">
        <f>H336&amp;I336</f>
        <v/>
      </c>
      <c r="B336" s="241">
        <f>J336&amp;C336</f>
        <v/>
      </c>
      <c r="C336" s="241">
        <f>IFERROR(IF(I336="Home","Away",IF(I336="Away","Home","")),"")</f>
        <v/>
      </c>
      <c r="D336" s="242">
        <f>H336</f>
        <v/>
      </c>
      <c r="E336" s="157">
        <f>IFERROR(IF(AND(F336&gt;0,T336&gt;V336),"Yes",IF(AND(F336&gt;0,T336&lt;V336),"No",IF(AND(F336&lt;0,T336&lt;V336),"Yes",IF(AND(F336&lt;0,T336&gt;V336),"No",0)))),"")</f>
        <v/>
      </c>
      <c r="F336" s="263">
        <f>IFERROR((N336/MAX(N:N)*_MOVw)+(O336/MAX(O:O)*_WINw)+(P336/MAX(P:P)*_PPGw)+(Q336/MAX(Q:Q)*_ORw)+(R336/MAX(R:R)*_DRw),"")</f>
        <v/>
      </c>
      <c r="N336" s="156">
        <f>IFERROR(VLOOKUP(H336,Matrix!A:AC,12,0)-VLOOKUP(J336,Matrix!A:AC,12,0),"")</f>
        <v/>
      </c>
      <c r="O336" s="182">
        <f>IFERROR(AVERAGEIFS(2025Schedule!O:O,2025Schedule!E:E,H336,2025Schedule!N:N,A336)-AVERAGEIFS(2025Schedule!O:O,2025Schedule!E:E,J336,2025Schedule!N:N,B336),0)</f>
        <v/>
      </c>
      <c r="P336" s="156">
        <f>IFERROR(VLOOKUP(H336,Matrix!A:D,2,0)-VLOOKUP(J336,Matrix!A:D,2,0),"")</f>
        <v/>
      </c>
      <c r="Q336" s="156">
        <f>IFERROR(VLOOKUP(H336,Matrix!A:AC,15,0)-VLOOKUP(J336,Matrix!A:AC,15,0),"")</f>
        <v/>
      </c>
      <c r="R336" s="156">
        <f>IFERROR(VLOOKUP(H336,Matrix!A:AC,16,0)-VLOOKUP(J336,Matrix!A:AC,16,0),"")</f>
        <v/>
      </c>
      <c r="S336" s="195">
        <f>H336</f>
        <v/>
      </c>
      <c r="T336" s="195">
        <f>IFERROR(VLOOKUP(G336&amp;H336,2025Schedule!A:F,6,0),"")</f>
        <v/>
      </c>
      <c r="U336" s="264">
        <f>J336</f>
        <v/>
      </c>
      <c r="V336" s="195">
        <f>IFERROR(VLOOKUP(G336&amp;J336,2025Schedule!A:F,6,0),"")</f>
        <v/>
      </c>
    </row>
    <row r="337" ht="14.4" customHeight="1" s="152">
      <c r="A337" s="241">
        <f>H337&amp;I337</f>
        <v/>
      </c>
      <c r="B337" s="241">
        <f>J337&amp;C337</f>
        <v/>
      </c>
      <c r="C337" s="241">
        <f>IFERROR(IF(I337="Home","Away",IF(I337="Away","Home","")),"")</f>
        <v/>
      </c>
      <c r="D337" s="242">
        <f>H337</f>
        <v/>
      </c>
      <c r="E337" s="157">
        <f>IFERROR(IF(AND(F337&gt;0,T337&gt;V337),"Yes",IF(AND(F337&gt;0,T337&lt;V337),"No",IF(AND(F337&lt;0,T337&lt;V337),"Yes",IF(AND(F337&lt;0,T337&gt;V337),"No",0)))),"")</f>
        <v/>
      </c>
      <c r="F337" s="263">
        <f>IFERROR((N337/MAX(N:N)*_MOVw)+(O337/MAX(O:O)*_WINw)+(P337/MAX(P:P)*_PPGw)+(Q337/MAX(Q:Q)*_ORw)+(R337/MAX(R:R)*_DRw),"")</f>
        <v/>
      </c>
      <c r="N337" s="156">
        <f>IFERROR(VLOOKUP(H337,Matrix!A:AC,12,0)-VLOOKUP(J337,Matrix!A:AC,12,0),"")</f>
        <v/>
      </c>
      <c r="O337" s="182">
        <f>IFERROR(AVERAGEIFS(2025Schedule!O:O,2025Schedule!E:E,H337,2025Schedule!N:N,A337)-AVERAGEIFS(2025Schedule!O:O,2025Schedule!E:E,J337,2025Schedule!N:N,B337),0)</f>
        <v/>
      </c>
      <c r="P337" s="156">
        <f>IFERROR(VLOOKUP(H337,Matrix!A:D,2,0)-VLOOKUP(J337,Matrix!A:D,2,0),"")</f>
        <v/>
      </c>
      <c r="Q337" s="156">
        <f>IFERROR(VLOOKUP(H337,Matrix!A:AC,15,0)-VLOOKUP(J337,Matrix!A:AC,15,0),"")</f>
        <v/>
      </c>
      <c r="R337" s="156">
        <f>IFERROR(VLOOKUP(H337,Matrix!A:AC,16,0)-VLOOKUP(J337,Matrix!A:AC,16,0),"")</f>
        <v/>
      </c>
      <c r="S337" s="195">
        <f>H337</f>
        <v/>
      </c>
      <c r="T337" s="195">
        <f>IFERROR(VLOOKUP(G337&amp;H337,2025Schedule!A:F,6,0),"")</f>
        <v/>
      </c>
      <c r="U337" s="264">
        <f>J337</f>
        <v/>
      </c>
      <c r="V337" s="195">
        <f>IFERROR(VLOOKUP(G337&amp;J337,2025Schedule!A:F,6,0),"")</f>
        <v/>
      </c>
    </row>
    <row r="338" ht="14.4" customHeight="1" s="152">
      <c r="A338" s="241">
        <f>H338&amp;I338</f>
        <v/>
      </c>
      <c r="B338" s="241">
        <f>J338&amp;C338</f>
        <v/>
      </c>
      <c r="C338" s="241">
        <f>IFERROR(IF(I338="Home","Away",IF(I338="Away","Home","")),"")</f>
        <v/>
      </c>
      <c r="D338" s="242">
        <f>H338</f>
        <v/>
      </c>
      <c r="E338" s="157">
        <f>IFERROR(IF(AND(F338&gt;0,T338&gt;V338),"Yes",IF(AND(F338&gt;0,T338&lt;V338),"No",IF(AND(F338&lt;0,T338&lt;V338),"Yes",IF(AND(F338&lt;0,T338&gt;V338),"No",0)))),"")</f>
        <v/>
      </c>
      <c r="F338" s="263">
        <f>IFERROR((N338/MAX(N:N)*_MOVw)+(O338/MAX(O:O)*_WINw)+(P338/MAX(P:P)*_PPGw)+(Q338/MAX(Q:Q)*_ORw)+(R338/MAX(R:R)*_DRw),"")</f>
        <v/>
      </c>
      <c r="N338" s="156">
        <f>IFERROR(VLOOKUP(H338,Matrix!A:AC,12,0)-VLOOKUP(J338,Matrix!A:AC,12,0),"")</f>
        <v/>
      </c>
      <c r="O338" s="182">
        <f>IFERROR(AVERAGEIFS(2025Schedule!O:O,2025Schedule!E:E,H338,2025Schedule!N:N,A338)-AVERAGEIFS(2025Schedule!O:O,2025Schedule!E:E,J338,2025Schedule!N:N,B338),0)</f>
        <v/>
      </c>
      <c r="P338" s="156">
        <f>IFERROR(VLOOKUP(H338,Matrix!A:D,2,0)-VLOOKUP(J338,Matrix!A:D,2,0),"")</f>
        <v/>
      </c>
      <c r="Q338" s="156">
        <f>IFERROR(VLOOKUP(H338,Matrix!A:AC,15,0)-VLOOKUP(J338,Matrix!A:AC,15,0),"")</f>
        <v/>
      </c>
      <c r="R338" s="156">
        <f>IFERROR(VLOOKUP(H338,Matrix!A:AC,16,0)-VLOOKUP(J338,Matrix!A:AC,16,0),"")</f>
        <v/>
      </c>
      <c r="S338" s="195">
        <f>H338</f>
        <v/>
      </c>
      <c r="T338" s="195">
        <f>IFERROR(VLOOKUP(G338&amp;H338,2025Schedule!A:F,6,0),"")</f>
        <v/>
      </c>
      <c r="U338" s="264">
        <f>J338</f>
        <v/>
      </c>
      <c r="V338" s="195">
        <f>IFERROR(VLOOKUP(G338&amp;J338,2025Schedule!A:F,6,0),"")</f>
        <v/>
      </c>
    </row>
    <row r="339" ht="14.4" customHeight="1" s="152">
      <c r="A339" s="241">
        <f>H339&amp;I339</f>
        <v/>
      </c>
      <c r="B339" s="241">
        <f>J339&amp;C339</f>
        <v/>
      </c>
      <c r="C339" s="241">
        <f>IFERROR(IF(I339="Home","Away",IF(I339="Away","Home","")),"")</f>
        <v/>
      </c>
      <c r="D339" s="242">
        <f>H339</f>
        <v/>
      </c>
      <c r="E339" s="157">
        <f>IFERROR(IF(AND(F339&gt;0,T339&gt;V339),"Yes",IF(AND(F339&gt;0,T339&lt;V339),"No",IF(AND(F339&lt;0,T339&lt;V339),"Yes",IF(AND(F339&lt;0,T339&gt;V339),"No",0)))),"")</f>
        <v/>
      </c>
      <c r="F339" s="263">
        <f>IFERROR((N339/MAX(N:N)*_MOVw)+(O339/MAX(O:O)*_WINw)+(P339/MAX(P:P)*_PPGw)+(Q339/MAX(Q:Q)*_ORw)+(R339/MAX(R:R)*_DRw),"")</f>
        <v/>
      </c>
      <c r="N339" s="156">
        <f>IFERROR(VLOOKUP(H339,Matrix!A:AC,12,0)-VLOOKUP(J339,Matrix!A:AC,12,0),"")</f>
        <v/>
      </c>
      <c r="O339" s="182">
        <f>IFERROR(AVERAGEIFS(2025Schedule!O:O,2025Schedule!E:E,H339,2025Schedule!N:N,A339)-AVERAGEIFS(2025Schedule!O:O,2025Schedule!E:E,J339,2025Schedule!N:N,B339),0)</f>
        <v/>
      </c>
      <c r="P339" s="156">
        <f>IFERROR(VLOOKUP(H339,Matrix!A:D,2,0)-VLOOKUP(J339,Matrix!A:D,2,0),"")</f>
        <v/>
      </c>
      <c r="Q339" s="156">
        <f>IFERROR(VLOOKUP(H339,Matrix!A:AC,15,0)-VLOOKUP(J339,Matrix!A:AC,15,0),"")</f>
        <v/>
      </c>
      <c r="R339" s="156">
        <f>IFERROR(VLOOKUP(H339,Matrix!A:AC,16,0)-VLOOKUP(J339,Matrix!A:AC,16,0),"")</f>
        <v/>
      </c>
      <c r="S339" s="195">
        <f>H339</f>
        <v/>
      </c>
      <c r="T339" s="195">
        <f>IFERROR(VLOOKUP(G339&amp;H339,2025Schedule!A:F,6,0),"")</f>
        <v/>
      </c>
      <c r="U339" s="264">
        <f>J339</f>
        <v/>
      </c>
      <c r="V339" s="195">
        <f>IFERROR(VLOOKUP(G339&amp;J339,2025Schedule!A:F,6,0),"")</f>
        <v/>
      </c>
    </row>
    <row r="340" ht="14.4" customHeight="1" s="152">
      <c r="A340" s="241">
        <f>H340&amp;I340</f>
        <v/>
      </c>
      <c r="B340" s="241">
        <f>J340&amp;C340</f>
        <v/>
      </c>
      <c r="C340" s="241">
        <f>IFERROR(IF(I340="Home","Away",IF(I340="Away","Home","")),"")</f>
        <v/>
      </c>
      <c r="D340" s="242">
        <f>H340</f>
        <v/>
      </c>
      <c r="E340" s="157">
        <f>IFERROR(IF(AND(F340&gt;0,T340&gt;V340),"Yes",IF(AND(F340&gt;0,T340&lt;V340),"No",IF(AND(F340&lt;0,T340&lt;V340),"Yes",IF(AND(F340&lt;0,T340&gt;V340),"No",0)))),"")</f>
        <v/>
      </c>
      <c r="F340" s="263">
        <f>IFERROR((N340/MAX(N:N)*_MOVw)+(O340/MAX(O:O)*_WINw)+(P340/MAX(P:P)*_PPGw)+(Q340/MAX(Q:Q)*_ORw)+(R340/MAX(R:R)*_DRw),"")</f>
        <v/>
      </c>
      <c r="N340" s="156">
        <f>IFERROR(VLOOKUP(H340,Matrix!A:AC,12,0)-VLOOKUP(J340,Matrix!A:AC,12,0),"")</f>
        <v/>
      </c>
      <c r="O340" s="182">
        <f>IFERROR(AVERAGEIFS(2025Schedule!O:O,2025Schedule!E:E,H340,2025Schedule!N:N,A340)-AVERAGEIFS(2025Schedule!O:O,2025Schedule!E:E,J340,2025Schedule!N:N,B340),0)</f>
        <v/>
      </c>
      <c r="P340" s="156">
        <f>IFERROR(VLOOKUP(H340,Matrix!A:D,2,0)-VLOOKUP(J340,Matrix!A:D,2,0),"")</f>
        <v/>
      </c>
      <c r="Q340" s="156">
        <f>IFERROR(VLOOKUP(H340,Matrix!A:AC,15,0)-VLOOKUP(J340,Matrix!A:AC,15,0),"")</f>
        <v/>
      </c>
      <c r="R340" s="156">
        <f>IFERROR(VLOOKUP(H340,Matrix!A:AC,16,0)-VLOOKUP(J340,Matrix!A:AC,16,0),"")</f>
        <v/>
      </c>
      <c r="S340" s="195">
        <f>H340</f>
        <v/>
      </c>
      <c r="T340" s="195">
        <f>IFERROR(VLOOKUP(G340&amp;H340,2025Schedule!A:F,6,0),"")</f>
        <v/>
      </c>
      <c r="U340" s="264">
        <f>J340</f>
        <v/>
      </c>
      <c r="V340" s="195">
        <f>IFERROR(VLOOKUP(G340&amp;J340,2025Schedule!A:F,6,0),"")</f>
        <v/>
      </c>
    </row>
    <row r="341" ht="14.4" customHeight="1" s="152">
      <c r="A341" s="241">
        <f>H341&amp;I341</f>
        <v/>
      </c>
      <c r="B341" s="241">
        <f>J341&amp;C341</f>
        <v/>
      </c>
      <c r="C341" s="241">
        <f>IFERROR(IF(I341="Home","Away",IF(I341="Away","Home","")),"")</f>
        <v/>
      </c>
      <c r="D341" s="242">
        <f>H341</f>
        <v/>
      </c>
      <c r="E341" s="157">
        <f>IFERROR(IF(AND(F341&gt;0,T341&gt;V341),"Yes",IF(AND(F341&gt;0,T341&lt;V341),"No",IF(AND(F341&lt;0,T341&lt;V341),"Yes",IF(AND(F341&lt;0,T341&gt;V341),"No",0)))),"")</f>
        <v/>
      </c>
      <c r="F341" s="263">
        <f>IFERROR((N341/MAX(N:N)*_MOVw)+(O341/MAX(O:O)*_WINw)+(P341/MAX(P:P)*_PPGw)+(Q341/MAX(Q:Q)*_ORw)+(R341/MAX(R:R)*_DRw),"")</f>
        <v/>
      </c>
      <c r="N341" s="156">
        <f>IFERROR(VLOOKUP(H341,Matrix!A:AC,12,0)-VLOOKUP(J341,Matrix!A:AC,12,0),"")</f>
        <v/>
      </c>
      <c r="O341" s="182">
        <f>IFERROR(AVERAGEIFS(2025Schedule!O:O,2025Schedule!E:E,H341,2025Schedule!N:N,A341)-AVERAGEIFS(2025Schedule!O:O,2025Schedule!E:E,J341,2025Schedule!N:N,B341),0)</f>
        <v/>
      </c>
      <c r="P341" s="156">
        <f>IFERROR(VLOOKUP(H341,Matrix!A:D,2,0)-VLOOKUP(J341,Matrix!A:D,2,0),"")</f>
        <v/>
      </c>
      <c r="Q341" s="156">
        <f>IFERROR(VLOOKUP(H341,Matrix!A:AC,15,0)-VLOOKUP(J341,Matrix!A:AC,15,0),"")</f>
        <v/>
      </c>
      <c r="R341" s="156">
        <f>IFERROR(VLOOKUP(H341,Matrix!A:AC,16,0)-VLOOKUP(J341,Matrix!A:AC,16,0),"")</f>
        <v/>
      </c>
      <c r="S341" s="195">
        <f>H341</f>
        <v/>
      </c>
      <c r="T341" s="195">
        <f>IFERROR(VLOOKUP(G341&amp;H341,2025Schedule!A:F,6,0),"")</f>
        <v/>
      </c>
      <c r="U341" s="264">
        <f>J341</f>
        <v/>
      </c>
      <c r="V341" s="195">
        <f>IFERROR(VLOOKUP(G341&amp;J341,2025Schedule!A:F,6,0),"")</f>
        <v/>
      </c>
    </row>
    <row r="342" ht="14.4" customHeight="1" s="152">
      <c r="A342" s="241">
        <f>H342&amp;I342</f>
        <v/>
      </c>
      <c r="B342" s="241">
        <f>J342&amp;C342</f>
        <v/>
      </c>
      <c r="C342" s="241">
        <f>IFERROR(IF(I342="Home","Away",IF(I342="Away","Home","")),"")</f>
        <v/>
      </c>
      <c r="D342" s="242">
        <f>H342</f>
        <v/>
      </c>
      <c r="E342" s="157">
        <f>IFERROR(IF(AND(F342&gt;0,T342&gt;V342),"Yes",IF(AND(F342&gt;0,T342&lt;V342),"No",IF(AND(F342&lt;0,T342&lt;V342),"Yes",IF(AND(F342&lt;0,T342&gt;V342),"No",0)))),"")</f>
        <v/>
      </c>
      <c r="F342" s="263">
        <f>IFERROR((N342/MAX(N:N)*_MOVw)+(O342/MAX(O:O)*_WINw)+(P342/MAX(P:P)*_PPGw)+(Q342/MAX(Q:Q)*_ORw)+(R342/MAX(R:R)*_DRw),"")</f>
        <v/>
      </c>
      <c r="N342" s="156">
        <f>IFERROR(VLOOKUP(H342,Matrix!A:AC,12,0)-VLOOKUP(J342,Matrix!A:AC,12,0),"")</f>
        <v/>
      </c>
      <c r="O342" s="182">
        <f>IFERROR(AVERAGEIFS(2025Schedule!O:O,2025Schedule!E:E,H342,2025Schedule!N:N,A342)-AVERAGEIFS(2025Schedule!O:O,2025Schedule!E:E,J342,2025Schedule!N:N,B342),0)</f>
        <v/>
      </c>
      <c r="P342" s="156">
        <f>IFERROR(VLOOKUP(H342,Matrix!A:D,2,0)-VLOOKUP(J342,Matrix!A:D,2,0),"")</f>
        <v/>
      </c>
      <c r="Q342" s="156">
        <f>IFERROR(VLOOKUP(H342,Matrix!A:AC,15,0)-VLOOKUP(J342,Matrix!A:AC,15,0),"")</f>
        <v/>
      </c>
      <c r="R342" s="156">
        <f>IFERROR(VLOOKUP(H342,Matrix!A:AC,16,0)-VLOOKUP(J342,Matrix!A:AC,16,0),"")</f>
        <v/>
      </c>
      <c r="S342" s="195">
        <f>H342</f>
        <v/>
      </c>
      <c r="T342" s="195">
        <f>IFERROR(VLOOKUP(G342&amp;H342,2025Schedule!A:F,6,0),"")</f>
        <v/>
      </c>
      <c r="U342" s="264">
        <f>J342</f>
        <v/>
      </c>
      <c r="V342" s="195">
        <f>IFERROR(VLOOKUP(G342&amp;J342,2025Schedule!A:F,6,0),"")</f>
        <v/>
      </c>
    </row>
    <row r="343" ht="14.4" customHeight="1" s="152">
      <c r="A343" s="241">
        <f>H343&amp;I343</f>
        <v/>
      </c>
      <c r="B343" s="241">
        <f>J343&amp;C343</f>
        <v/>
      </c>
      <c r="C343" s="241">
        <f>IFERROR(IF(I343="Home","Away",IF(I343="Away","Home","")),"")</f>
        <v/>
      </c>
      <c r="D343" s="242">
        <f>H343</f>
        <v/>
      </c>
      <c r="E343" s="157">
        <f>IFERROR(IF(AND(F343&gt;0,T343&gt;V343),"Yes",IF(AND(F343&gt;0,T343&lt;V343),"No",IF(AND(F343&lt;0,T343&lt;V343),"Yes",IF(AND(F343&lt;0,T343&gt;V343),"No",0)))),"")</f>
        <v/>
      </c>
      <c r="F343" s="263">
        <f>IFERROR((N343/MAX(N:N)*_MOVw)+(O343/MAX(O:O)*_WINw)+(P343/MAX(P:P)*_PPGw)+(Q343/MAX(Q:Q)*_ORw)+(R343/MAX(R:R)*_DRw),"")</f>
        <v/>
      </c>
      <c r="N343" s="156">
        <f>IFERROR(VLOOKUP(H343,Matrix!A:AC,12,0)-VLOOKUP(J343,Matrix!A:AC,12,0),"")</f>
        <v/>
      </c>
      <c r="O343" s="182">
        <f>IFERROR(AVERAGEIFS(2025Schedule!O:O,2025Schedule!E:E,H343,2025Schedule!N:N,A343)-AVERAGEIFS(2025Schedule!O:O,2025Schedule!E:E,J343,2025Schedule!N:N,B343),0)</f>
        <v/>
      </c>
      <c r="P343" s="156">
        <f>IFERROR(VLOOKUP(H343,Matrix!A:D,2,0)-VLOOKUP(J343,Matrix!A:D,2,0),"")</f>
        <v/>
      </c>
      <c r="Q343" s="156">
        <f>IFERROR(VLOOKUP(H343,Matrix!A:AC,15,0)-VLOOKUP(J343,Matrix!A:AC,15,0),"")</f>
        <v/>
      </c>
      <c r="R343" s="156">
        <f>IFERROR(VLOOKUP(H343,Matrix!A:AC,16,0)-VLOOKUP(J343,Matrix!A:AC,16,0),"")</f>
        <v/>
      </c>
      <c r="S343" s="195">
        <f>H343</f>
        <v/>
      </c>
      <c r="T343" s="195">
        <f>IFERROR(VLOOKUP(G343&amp;H343,2025Schedule!A:F,6,0),"")</f>
        <v/>
      </c>
      <c r="U343" s="264">
        <f>J343</f>
        <v/>
      </c>
      <c r="V343" s="195">
        <f>IFERROR(VLOOKUP(G343&amp;J343,2025Schedule!A:F,6,0),"")</f>
        <v/>
      </c>
    </row>
    <row r="344" ht="14.4" customHeight="1" s="152">
      <c r="A344" s="241">
        <f>H344&amp;I344</f>
        <v/>
      </c>
      <c r="B344" s="241">
        <f>J344&amp;C344</f>
        <v/>
      </c>
      <c r="C344" s="241">
        <f>IFERROR(IF(I344="Home","Away",IF(I344="Away","Home","")),"")</f>
        <v/>
      </c>
      <c r="D344" s="242">
        <f>H344</f>
        <v/>
      </c>
      <c r="E344" s="157">
        <f>IFERROR(IF(AND(F344&gt;0,T344&gt;V344),"Yes",IF(AND(F344&gt;0,T344&lt;V344),"No",IF(AND(F344&lt;0,T344&lt;V344),"Yes",IF(AND(F344&lt;0,T344&gt;V344),"No",0)))),"")</f>
        <v/>
      </c>
      <c r="F344" s="263">
        <f>IFERROR((N344/MAX(N:N)*_MOVw)+(O344/MAX(O:O)*_WINw)+(P344/MAX(P:P)*_PPGw)+(Q344/MAX(Q:Q)*_ORw)+(R344/MAX(R:R)*_DRw),"")</f>
        <v/>
      </c>
      <c r="N344" s="156">
        <f>IFERROR(VLOOKUP(H344,Matrix!A:AC,12,0)-VLOOKUP(J344,Matrix!A:AC,12,0),"")</f>
        <v/>
      </c>
      <c r="O344" s="182">
        <f>IFERROR(AVERAGEIFS(2025Schedule!O:O,2025Schedule!E:E,H344,2025Schedule!N:N,A344)-AVERAGEIFS(2025Schedule!O:O,2025Schedule!E:E,J344,2025Schedule!N:N,B344),0)</f>
        <v/>
      </c>
      <c r="P344" s="156">
        <f>IFERROR(VLOOKUP(H344,Matrix!A:D,2,0)-VLOOKUP(J344,Matrix!A:D,2,0),"")</f>
        <v/>
      </c>
      <c r="Q344" s="156">
        <f>IFERROR(VLOOKUP(H344,Matrix!A:AC,15,0)-VLOOKUP(J344,Matrix!A:AC,15,0),"")</f>
        <v/>
      </c>
      <c r="R344" s="156">
        <f>IFERROR(VLOOKUP(H344,Matrix!A:AC,16,0)-VLOOKUP(J344,Matrix!A:AC,16,0),"")</f>
        <v/>
      </c>
      <c r="S344" s="195">
        <f>H344</f>
        <v/>
      </c>
      <c r="T344" s="195">
        <f>IFERROR(VLOOKUP(G344&amp;H344,2025Schedule!A:F,6,0),"")</f>
        <v/>
      </c>
      <c r="U344" s="264">
        <f>J344</f>
        <v/>
      </c>
      <c r="V344" s="195">
        <f>IFERROR(VLOOKUP(G344&amp;J344,2025Schedule!A:F,6,0),"")</f>
        <v/>
      </c>
    </row>
    <row r="345" ht="14.4" customHeight="1" s="152">
      <c r="A345" s="241">
        <f>H345&amp;I345</f>
        <v/>
      </c>
      <c r="B345" s="241">
        <f>J345&amp;C345</f>
        <v/>
      </c>
      <c r="C345" s="241">
        <f>IFERROR(IF(I345="Home","Away",IF(I345="Away","Home","")),"")</f>
        <v/>
      </c>
      <c r="D345" s="242">
        <f>H345</f>
        <v/>
      </c>
      <c r="E345" s="157">
        <f>IFERROR(IF(AND(F345&gt;0,T345&gt;V345),"Yes",IF(AND(F345&gt;0,T345&lt;V345),"No",IF(AND(F345&lt;0,T345&lt;V345),"Yes",IF(AND(F345&lt;0,T345&gt;V345),"No",0)))),"")</f>
        <v/>
      </c>
      <c r="F345" s="263">
        <f>IFERROR((N345/MAX(N:N)*_MOVw)+(O345/MAX(O:O)*_WINw)+(P345/MAX(P:P)*_PPGw)+(Q345/MAX(Q:Q)*_ORw)+(R345/MAX(R:R)*_DRw),"")</f>
        <v/>
      </c>
      <c r="N345" s="156">
        <f>IFERROR(VLOOKUP(H345,Matrix!A:AC,12,0)-VLOOKUP(J345,Matrix!A:AC,12,0),"")</f>
        <v/>
      </c>
      <c r="O345" s="182">
        <f>IFERROR(AVERAGEIFS(2025Schedule!O:O,2025Schedule!E:E,H345,2025Schedule!N:N,A345)-AVERAGEIFS(2025Schedule!O:O,2025Schedule!E:E,J345,2025Schedule!N:N,B345),0)</f>
        <v/>
      </c>
      <c r="P345" s="156">
        <f>IFERROR(VLOOKUP(H345,Matrix!A:D,2,0)-VLOOKUP(J345,Matrix!A:D,2,0),"")</f>
        <v/>
      </c>
      <c r="Q345" s="156">
        <f>IFERROR(VLOOKUP(H345,Matrix!A:AC,15,0)-VLOOKUP(J345,Matrix!A:AC,15,0),"")</f>
        <v/>
      </c>
      <c r="R345" s="156">
        <f>IFERROR(VLOOKUP(H345,Matrix!A:AC,16,0)-VLOOKUP(J345,Matrix!A:AC,16,0),"")</f>
        <v/>
      </c>
      <c r="S345" s="195">
        <f>H345</f>
        <v/>
      </c>
      <c r="T345" s="195">
        <f>IFERROR(VLOOKUP(G345&amp;H345,2025Schedule!A:F,6,0),"")</f>
        <v/>
      </c>
      <c r="U345" s="264">
        <f>J345</f>
        <v/>
      </c>
      <c r="V345" s="195">
        <f>IFERROR(VLOOKUP(G345&amp;J345,2025Schedule!A:F,6,0),"")</f>
        <v/>
      </c>
    </row>
    <row r="346" ht="14.4" customHeight="1" s="152">
      <c r="A346" s="241">
        <f>H346&amp;I346</f>
        <v/>
      </c>
      <c r="B346" s="241">
        <f>J346&amp;C346</f>
        <v/>
      </c>
      <c r="C346" s="241">
        <f>IFERROR(IF(I346="Home","Away",IF(I346="Away","Home","")),"")</f>
        <v/>
      </c>
      <c r="D346" s="242">
        <f>H346</f>
        <v/>
      </c>
      <c r="E346" s="157">
        <f>IFERROR(IF(AND(F346&gt;0,T346&gt;V346),"Yes",IF(AND(F346&gt;0,T346&lt;V346),"No",IF(AND(F346&lt;0,T346&lt;V346),"Yes",IF(AND(F346&lt;0,T346&gt;V346),"No",0)))),"")</f>
        <v/>
      </c>
      <c r="F346" s="263">
        <f>IFERROR((N346/MAX(N:N)*_MOVw)+(O346/MAX(O:O)*_WINw)+(P346/MAX(P:P)*_PPGw)+(Q346/MAX(Q:Q)*_ORw)+(R346/MAX(R:R)*_DRw),"")</f>
        <v/>
      </c>
      <c r="N346" s="156">
        <f>IFERROR(VLOOKUP(H346,Matrix!A:AC,12,0)-VLOOKUP(J346,Matrix!A:AC,12,0),"")</f>
        <v/>
      </c>
      <c r="O346" s="182">
        <f>IFERROR(AVERAGEIFS(2025Schedule!O:O,2025Schedule!E:E,H346,2025Schedule!N:N,A346)-AVERAGEIFS(2025Schedule!O:O,2025Schedule!E:E,J346,2025Schedule!N:N,B346),0)</f>
        <v/>
      </c>
      <c r="P346" s="156">
        <f>IFERROR(VLOOKUP(H346,Matrix!A:D,2,0)-VLOOKUP(J346,Matrix!A:D,2,0),"")</f>
        <v/>
      </c>
      <c r="Q346" s="156">
        <f>IFERROR(VLOOKUP(H346,Matrix!A:AC,15,0)-VLOOKUP(J346,Matrix!A:AC,15,0),"")</f>
        <v/>
      </c>
      <c r="R346" s="156">
        <f>IFERROR(VLOOKUP(H346,Matrix!A:AC,16,0)-VLOOKUP(J346,Matrix!A:AC,16,0),"")</f>
        <v/>
      </c>
      <c r="S346" s="195">
        <f>H346</f>
        <v/>
      </c>
      <c r="T346" s="195">
        <f>IFERROR(VLOOKUP(G346&amp;H346,2025Schedule!A:F,6,0),"")</f>
        <v/>
      </c>
      <c r="U346" s="264">
        <f>J346</f>
        <v/>
      </c>
      <c r="V346" s="195">
        <f>IFERROR(VLOOKUP(G346&amp;J346,2025Schedule!A:F,6,0),"")</f>
        <v/>
      </c>
    </row>
    <row r="347" ht="14.4" customHeight="1" s="152">
      <c r="A347" s="241">
        <f>H347&amp;I347</f>
        <v/>
      </c>
      <c r="B347" s="241">
        <f>J347&amp;C347</f>
        <v/>
      </c>
      <c r="C347" s="241">
        <f>IFERROR(IF(I347="Home","Away",IF(I347="Away","Home","")),"")</f>
        <v/>
      </c>
      <c r="D347" s="242">
        <f>H347</f>
        <v/>
      </c>
      <c r="E347" s="157">
        <f>IFERROR(IF(AND(F347&gt;0,T347&gt;V347),"Yes",IF(AND(F347&gt;0,T347&lt;V347),"No",IF(AND(F347&lt;0,T347&lt;V347),"Yes",IF(AND(F347&lt;0,T347&gt;V347),"No",0)))),"")</f>
        <v/>
      </c>
      <c r="F347" s="263">
        <f>IFERROR((N347/MAX(N:N)*_MOVw)+(O347/MAX(O:O)*_WINw)+(P347/MAX(P:P)*_PPGw)+(Q347/MAX(Q:Q)*_ORw)+(R347/MAX(R:R)*_DRw),"")</f>
        <v/>
      </c>
      <c r="N347" s="156">
        <f>IFERROR(VLOOKUP(H347,Matrix!A:AC,12,0)-VLOOKUP(J347,Matrix!A:AC,12,0),"")</f>
        <v/>
      </c>
      <c r="O347" s="182">
        <f>IFERROR(AVERAGEIFS(2025Schedule!O:O,2025Schedule!E:E,H347,2025Schedule!N:N,A347)-AVERAGEIFS(2025Schedule!O:O,2025Schedule!E:E,J347,2025Schedule!N:N,B347),0)</f>
        <v/>
      </c>
      <c r="P347" s="156">
        <f>IFERROR(VLOOKUP(H347,Matrix!A:D,2,0)-VLOOKUP(J347,Matrix!A:D,2,0),"")</f>
        <v/>
      </c>
      <c r="Q347" s="156">
        <f>IFERROR(VLOOKUP(H347,Matrix!A:AC,15,0)-VLOOKUP(J347,Matrix!A:AC,15,0),"")</f>
        <v/>
      </c>
      <c r="R347" s="156">
        <f>IFERROR(VLOOKUP(H347,Matrix!A:AC,16,0)-VLOOKUP(J347,Matrix!A:AC,16,0),"")</f>
        <v/>
      </c>
      <c r="S347" s="195">
        <f>H347</f>
        <v/>
      </c>
      <c r="T347" s="195">
        <f>IFERROR(VLOOKUP(G347&amp;H347,2025Schedule!A:F,6,0),"")</f>
        <v/>
      </c>
      <c r="U347" s="264">
        <f>J347</f>
        <v/>
      </c>
      <c r="V347" s="195">
        <f>IFERROR(VLOOKUP(G347&amp;J347,2025Schedule!A:F,6,0),"")</f>
        <v/>
      </c>
    </row>
    <row r="348" ht="14.4" customHeight="1" s="152">
      <c r="A348" s="241">
        <f>H348&amp;I348</f>
        <v/>
      </c>
      <c r="B348" s="241">
        <f>J348&amp;C348</f>
        <v/>
      </c>
      <c r="C348" s="241">
        <f>IFERROR(IF(I348="Home","Away",IF(I348="Away","Home","")),"")</f>
        <v/>
      </c>
      <c r="D348" s="242">
        <f>H348</f>
        <v/>
      </c>
      <c r="E348" s="157">
        <f>IFERROR(IF(AND(F348&gt;0,T348&gt;V348),"Yes",IF(AND(F348&gt;0,T348&lt;V348),"No",IF(AND(F348&lt;0,T348&lt;V348),"Yes",IF(AND(F348&lt;0,T348&gt;V348),"No",0)))),"")</f>
        <v/>
      </c>
      <c r="F348" s="263">
        <f>IFERROR((N348/MAX(N:N)*_MOVw)+(O348/MAX(O:O)*_WINw)+(P348/MAX(P:P)*_PPGw)+(Q348/MAX(Q:Q)*_ORw)+(R348/MAX(R:R)*_DRw),"")</f>
        <v/>
      </c>
      <c r="N348" s="156">
        <f>IFERROR(VLOOKUP(H348,Matrix!A:AC,12,0)-VLOOKUP(J348,Matrix!A:AC,12,0),"")</f>
        <v/>
      </c>
      <c r="O348" s="182">
        <f>IFERROR(AVERAGEIFS(2025Schedule!O:O,2025Schedule!E:E,H348,2025Schedule!N:N,A348)-AVERAGEIFS(2025Schedule!O:O,2025Schedule!E:E,J348,2025Schedule!N:N,B348),0)</f>
        <v/>
      </c>
      <c r="P348" s="156">
        <f>IFERROR(VLOOKUP(H348,Matrix!A:D,2,0)-VLOOKUP(J348,Matrix!A:D,2,0),"")</f>
        <v/>
      </c>
      <c r="Q348" s="156">
        <f>IFERROR(VLOOKUP(H348,Matrix!A:AC,15,0)-VLOOKUP(J348,Matrix!A:AC,15,0),"")</f>
        <v/>
      </c>
      <c r="R348" s="156">
        <f>IFERROR(VLOOKUP(H348,Matrix!A:AC,16,0)-VLOOKUP(J348,Matrix!A:AC,16,0),"")</f>
        <v/>
      </c>
      <c r="S348" s="195">
        <f>H348</f>
        <v/>
      </c>
      <c r="T348" s="195">
        <f>IFERROR(VLOOKUP(G348&amp;H348,2025Schedule!A:F,6,0),"")</f>
        <v/>
      </c>
      <c r="U348" s="264">
        <f>J348</f>
        <v/>
      </c>
      <c r="V348" s="195">
        <f>IFERROR(VLOOKUP(G348&amp;J348,2025Schedule!A:F,6,0),"")</f>
        <v/>
      </c>
    </row>
    <row r="349" ht="14.4" customHeight="1" s="152">
      <c r="A349" s="241">
        <f>H349&amp;I349</f>
        <v/>
      </c>
      <c r="B349" s="241">
        <f>J349&amp;C349</f>
        <v/>
      </c>
      <c r="C349" s="241">
        <f>IFERROR(IF(I349="Home","Away",IF(I349="Away","Home","")),"")</f>
        <v/>
      </c>
      <c r="D349" s="242">
        <f>H349</f>
        <v/>
      </c>
      <c r="E349" s="157">
        <f>IFERROR(IF(AND(F349&gt;0,T349&gt;V349),"Yes",IF(AND(F349&gt;0,T349&lt;V349),"No",IF(AND(F349&lt;0,T349&lt;V349),"Yes",IF(AND(F349&lt;0,T349&gt;V349),"No",0)))),"")</f>
        <v/>
      </c>
      <c r="F349" s="263">
        <f>IFERROR((N349/MAX(N:N)*_MOVw)+(O349/MAX(O:O)*_WINw)+(P349/MAX(P:P)*_PPGw)+(Q349/MAX(Q:Q)*_ORw)+(R349/MAX(R:R)*_DRw),"")</f>
        <v/>
      </c>
      <c r="N349" s="156">
        <f>IFERROR(VLOOKUP(H349,Matrix!A:AC,12,0)-VLOOKUP(J349,Matrix!A:AC,12,0),"")</f>
        <v/>
      </c>
      <c r="O349" s="182">
        <f>IFERROR(AVERAGEIFS(2025Schedule!O:O,2025Schedule!E:E,H349,2025Schedule!N:N,A349)-AVERAGEIFS(2025Schedule!O:O,2025Schedule!E:E,J349,2025Schedule!N:N,B349),0)</f>
        <v/>
      </c>
      <c r="P349" s="156">
        <f>IFERROR(VLOOKUP(H349,Matrix!A:D,2,0)-VLOOKUP(J349,Matrix!A:D,2,0),"")</f>
        <v/>
      </c>
      <c r="Q349" s="156">
        <f>IFERROR(VLOOKUP(H349,Matrix!A:AC,15,0)-VLOOKUP(J349,Matrix!A:AC,15,0),"")</f>
        <v/>
      </c>
      <c r="R349" s="156">
        <f>IFERROR(VLOOKUP(H349,Matrix!A:AC,16,0)-VLOOKUP(J349,Matrix!A:AC,16,0),"")</f>
        <v/>
      </c>
      <c r="S349" s="195">
        <f>H349</f>
        <v/>
      </c>
      <c r="T349" s="195">
        <f>IFERROR(VLOOKUP(G349&amp;H349,2025Schedule!A:F,6,0),"")</f>
        <v/>
      </c>
      <c r="U349" s="264">
        <f>J349</f>
        <v/>
      </c>
      <c r="V349" s="195">
        <f>IFERROR(VLOOKUP(G349&amp;J349,2025Schedule!A:F,6,0),"")</f>
        <v/>
      </c>
    </row>
    <row r="350" ht="14.4" customHeight="1" s="152">
      <c r="A350" s="241">
        <f>H350&amp;I350</f>
        <v/>
      </c>
      <c r="B350" s="241">
        <f>J350&amp;C350</f>
        <v/>
      </c>
      <c r="C350" s="241">
        <f>IFERROR(IF(I350="Home","Away",IF(I350="Away","Home","")),"")</f>
        <v/>
      </c>
      <c r="D350" s="242">
        <f>H350</f>
        <v/>
      </c>
      <c r="E350" s="157">
        <f>IFERROR(IF(AND(F350&gt;0,T350&gt;V350),"Yes",IF(AND(F350&gt;0,T350&lt;V350),"No",IF(AND(F350&lt;0,T350&lt;V350),"Yes",IF(AND(F350&lt;0,T350&gt;V350),"No",0)))),"")</f>
        <v/>
      </c>
      <c r="F350" s="263">
        <f>IFERROR((N350/MAX(N:N)*_MOVw)+(O350/MAX(O:O)*_WINw)+(P350/MAX(P:P)*_PPGw)+(Q350/MAX(Q:Q)*_ORw)+(R350/MAX(R:R)*_DRw),"")</f>
        <v/>
      </c>
      <c r="N350" s="156">
        <f>IFERROR(VLOOKUP(H350,Matrix!A:AC,12,0)-VLOOKUP(J350,Matrix!A:AC,12,0),"")</f>
        <v/>
      </c>
      <c r="O350" s="182">
        <f>IFERROR(AVERAGEIFS(2025Schedule!O:O,2025Schedule!E:E,H350,2025Schedule!N:N,A350)-AVERAGEIFS(2025Schedule!O:O,2025Schedule!E:E,J350,2025Schedule!N:N,B350),0)</f>
        <v/>
      </c>
      <c r="P350" s="156">
        <f>IFERROR(VLOOKUP(H350,Matrix!A:D,2,0)-VLOOKUP(J350,Matrix!A:D,2,0),"")</f>
        <v/>
      </c>
      <c r="Q350" s="156">
        <f>IFERROR(VLOOKUP(H350,Matrix!A:AC,15,0)-VLOOKUP(J350,Matrix!A:AC,15,0),"")</f>
        <v/>
      </c>
      <c r="R350" s="156">
        <f>IFERROR(VLOOKUP(H350,Matrix!A:AC,16,0)-VLOOKUP(J350,Matrix!A:AC,16,0),"")</f>
        <v/>
      </c>
      <c r="S350" s="195">
        <f>H350</f>
        <v/>
      </c>
      <c r="T350" s="195">
        <f>IFERROR(VLOOKUP(G350&amp;H350,2025Schedule!A:F,6,0),"")</f>
        <v/>
      </c>
      <c r="U350" s="264">
        <f>J350</f>
        <v/>
      </c>
      <c r="V350" s="195">
        <f>IFERROR(VLOOKUP(G350&amp;J350,2025Schedule!A:F,6,0),"")</f>
        <v/>
      </c>
    </row>
    <row r="351" ht="14.4" customHeight="1" s="152">
      <c r="A351" s="241">
        <f>H351&amp;I351</f>
        <v/>
      </c>
      <c r="B351" s="241">
        <f>J351&amp;C351</f>
        <v/>
      </c>
      <c r="C351" s="241">
        <f>IFERROR(IF(I351="Home","Away",IF(I351="Away","Home","")),"")</f>
        <v/>
      </c>
      <c r="D351" s="242">
        <f>H351</f>
        <v/>
      </c>
      <c r="E351" s="157">
        <f>IFERROR(IF(AND(F351&gt;0,T351&gt;V351),"Yes",IF(AND(F351&gt;0,T351&lt;V351),"No",IF(AND(F351&lt;0,T351&lt;V351),"Yes",IF(AND(F351&lt;0,T351&gt;V351),"No",0)))),"")</f>
        <v/>
      </c>
      <c r="F351" s="263">
        <f>IFERROR((N351/MAX(N:N)*_MOVw)+(O351/MAX(O:O)*_WINw)+(P351/MAX(P:P)*_PPGw)+(Q351/MAX(Q:Q)*_ORw)+(R351/MAX(R:R)*_DRw),"")</f>
        <v/>
      </c>
      <c r="N351" s="156">
        <f>IFERROR(VLOOKUP(H351,Matrix!A:AC,12,0)-VLOOKUP(J351,Matrix!A:AC,12,0),"")</f>
        <v/>
      </c>
      <c r="O351" s="182">
        <f>IFERROR(AVERAGEIFS(2025Schedule!O:O,2025Schedule!E:E,H351,2025Schedule!N:N,A351)-AVERAGEIFS(2025Schedule!O:O,2025Schedule!E:E,J351,2025Schedule!N:N,B351),0)</f>
        <v/>
      </c>
      <c r="P351" s="156">
        <f>IFERROR(VLOOKUP(H351,Matrix!A:D,2,0)-VLOOKUP(J351,Matrix!A:D,2,0),"")</f>
        <v/>
      </c>
      <c r="Q351" s="156">
        <f>IFERROR(VLOOKUP(H351,Matrix!A:AC,15,0)-VLOOKUP(J351,Matrix!A:AC,15,0),"")</f>
        <v/>
      </c>
      <c r="R351" s="156">
        <f>IFERROR(VLOOKUP(H351,Matrix!A:AC,16,0)-VLOOKUP(J351,Matrix!A:AC,16,0),"")</f>
        <v/>
      </c>
      <c r="S351" s="195">
        <f>H351</f>
        <v/>
      </c>
      <c r="T351" s="195">
        <f>IFERROR(VLOOKUP(G351&amp;H351,2025Schedule!A:F,6,0),"")</f>
        <v/>
      </c>
      <c r="U351" s="264">
        <f>J351</f>
        <v/>
      </c>
      <c r="V351" s="195">
        <f>IFERROR(VLOOKUP(G351&amp;J351,2025Schedule!A:F,6,0),"")</f>
        <v/>
      </c>
    </row>
    <row r="352" ht="14.4" customHeight="1" s="152">
      <c r="A352" s="241">
        <f>H352&amp;I352</f>
        <v/>
      </c>
      <c r="B352" s="241">
        <f>J352&amp;C352</f>
        <v/>
      </c>
      <c r="C352" s="241">
        <f>IFERROR(IF(I352="Home","Away",IF(I352="Away","Home","")),"")</f>
        <v/>
      </c>
      <c r="D352" s="242">
        <f>H352</f>
        <v/>
      </c>
      <c r="E352" s="157">
        <f>IFERROR(IF(AND(F352&gt;0,T352&gt;V352),"Yes",IF(AND(F352&gt;0,T352&lt;V352),"No",IF(AND(F352&lt;0,T352&lt;V352),"Yes",IF(AND(F352&lt;0,T352&gt;V352),"No",0)))),"")</f>
        <v/>
      </c>
      <c r="F352" s="263">
        <f>IFERROR((N352/MAX(N:N)*_MOVw)+(O352/MAX(O:O)*_WINw)+(P352/MAX(P:P)*_PPGw)+(Q352/MAX(Q:Q)*_ORw)+(R352/MAX(R:R)*_DRw),"")</f>
        <v/>
      </c>
      <c r="N352" s="156">
        <f>IFERROR(VLOOKUP(H352,Matrix!A:AC,12,0)-VLOOKUP(J352,Matrix!A:AC,12,0),"")</f>
        <v/>
      </c>
      <c r="O352" s="182">
        <f>IFERROR(AVERAGEIFS(2025Schedule!O:O,2025Schedule!E:E,H352,2025Schedule!N:N,A352)-AVERAGEIFS(2025Schedule!O:O,2025Schedule!E:E,J352,2025Schedule!N:N,B352),0)</f>
        <v/>
      </c>
      <c r="P352" s="156">
        <f>IFERROR(VLOOKUP(H352,Matrix!A:D,2,0)-VLOOKUP(J352,Matrix!A:D,2,0),"")</f>
        <v/>
      </c>
      <c r="Q352" s="156">
        <f>IFERROR(VLOOKUP(H352,Matrix!A:AC,15,0)-VLOOKUP(J352,Matrix!A:AC,15,0),"")</f>
        <v/>
      </c>
      <c r="R352" s="156">
        <f>IFERROR(VLOOKUP(H352,Matrix!A:AC,16,0)-VLOOKUP(J352,Matrix!A:AC,16,0),"")</f>
        <v/>
      </c>
      <c r="S352" s="195">
        <f>H352</f>
        <v/>
      </c>
      <c r="T352" s="195">
        <f>IFERROR(VLOOKUP(G352&amp;H352,2025Schedule!A:F,6,0),"")</f>
        <v/>
      </c>
      <c r="U352" s="264">
        <f>J352</f>
        <v/>
      </c>
      <c r="V352" s="195">
        <f>IFERROR(VLOOKUP(G352&amp;J352,2025Schedule!A:F,6,0),"")</f>
        <v/>
      </c>
    </row>
    <row r="353" ht="14.4" customHeight="1" s="152">
      <c r="A353" s="241">
        <f>H353&amp;I353</f>
        <v/>
      </c>
      <c r="B353" s="241">
        <f>J353&amp;C353</f>
        <v/>
      </c>
      <c r="C353" s="241">
        <f>IFERROR(IF(I353="Home","Away",IF(I353="Away","Home","")),"")</f>
        <v/>
      </c>
      <c r="D353" s="242">
        <f>H353</f>
        <v/>
      </c>
      <c r="E353" s="157">
        <f>IFERROR(IF(AND(F353&gt;0,T353&gt;V353),"Yes",IF(AND(F353&gt;0,T353&lt;V353),"No",IF(AND(F353&lt;0,T353&lt;V353),"Yes",IF(AND(F353&lt;0,T353&gt;V353),"No",0)))),"")</f>
        <v/>
      </c>
      <c r="F353" s="263">
        <f>IFERROR((N353/MAX(N:N)*_MOVw)+(O353/MAX(O:O)*_WINw)+(P353/MAX(P:P)*_PPGw)+(Q353/MAX(Q:Q)*_ORw)+(R353/MAX(R:R)*_DRw),"")</f>
        <v/>
      </c>
      <c r="N353" s="156">
        <f>IFERROR(VLOOKUP(H353,Matrix!A:AC,12,0)-VLOOKUP(J353,Matrix!A:AC,12,0),"")</f>
        <v/>
      </c>
      <c r="O353" s="182">
        <f>IFERROR(AVERAGEIFS(2025Schedule!O:O,2025Schedule!E:E,H353,2025Schedule!N:N,A353)-AVERAGEIFS(2025Schedule!O:O,2025Schedule!E:E,J353,2025Schedule!N:N,B353),0)</f>
        <v/>
      </c>
      <c r="P353" s="156">
        <f>IFERROR(VLOOKUP(H353,Matrix!A:D,2,0)-VLOOKUP(J353,Matrix!A:D,2,0),"")</f>
        <v/>
      </c>
      <c r="Q353" s="156">
        <f>IFERROR(VLOOKUP(H353,Matrix!A:AC,15,0)-VLOOKUP(J353,Matrix!A:AC,15,0),"")</f>
        <v/>
      </c>
      <c r="R353" s="156">
        <f>IFERROR(VLOOKUP(H353,Matrix!A:AC,16,0)-VLOOKUP(J353,Matrix!A:AC,16,0),"")</f>
        <v/>
      </c>
      <c r="S353" s="195">
        <f>H353</f>
        <v/>
      </c>
      <c r="T353" s="195">
        <f>IFERROR(VLOOKUP(G353&amp;H353,2025Schedule!A:F,6,0),"")</f>
        <v/>
      </c>
      <c r="U353" s="264">
        <f>J353</f>
        <v/>
      </c>
      <c r="V353" s="195">
        <f>IFERROR(VLOOKUP(G353&amp;J353,2025Schedule!A:F,6,0),"")</f>
        <v/>
      </c>
    </row>
    <row r="354" ht="14.4" customHeight="1" s="152">
      <c r="A354" s="241">
        <f>H354&amp;I354</f>
        <v/>
      </c>
      <c r="B354" s="241">
        <f>J354&amp;C354</f>
        <v/>
      </c>
      <c r="C354" s="241">
        <f>IFERROR(IF(I354="Home","Away",IF(I354="Away","Home","")),"")</f>
        <v/>
      </c>
      <c r="D354" s="242">
        <f>H354</f>
        <v/>
      </c>
      <c r="E354" s="157">
        <f>IFERROR(IF(AND(F354&gt;0,T354&gt;V354),"Yes",IF(AND(F354&gt;0,T354&lt;V354),"No",IF(AND(F354&lt;0,T354&lt;V354),"Yes",IF(AND(F354&lt;0,T354&gt;V354),"No",0)))),"")</f>
        <v/>
      </c>
      <c r="F354" s="263">
        <f>IFERROR((N354/MAX(N:N)*_MOVw)+(O354/MAX(O:O)*_WINw)+(P354/MAX(P:P)*_PPGw)+(Q354/MAX(Q:Q)*_ORw)+(R354/MAX(R:R)*_DRw),"")</f>
        <v/>
      </c>
      <c r="N354" s="156">
        <f>IFERROR(VLOOKUP(H354,Matrix!A:AC,12,0)-VLOOKUP(J354,Matrix!A:AC,12,0),"")</f>
        <v/>
      </c>
      <c r="O354" s="182">
        <f>IFERROR(AVERAGEIFS(2025Schedule!O:O,2025Schedule!E:E,H354,2025Schedule!N:N,A354)-AVERAGEIFS(2025Schedule!O:O,2025Schedule!E:E,J354,2025Schedule!N:N,B354),0)</f>
        <v/>
      </c>
      <c r="P354" s="156">
        <f>IFERROR(VLOOKUP(H354,Matrix!A:D,2,0)-VLOOKUP(J354,Matrix!A:D,2,0),"")</f>
        <v/>
      </c>
      <c r="Q354" s="156">
        <f>IFERROR(VLOOKUP(H354,Matrix!A:AC,15,0)-VLOOKUP(J354,Matrix!A:AC,15,0),"")</f>
        <v/>
      </c>
      <c r="R354" s="156">
        <f>IFERROR(VLOOKUP(H354,Matrix!A:AC,16,0)-VLOOKUP(J354,Matrix!A:AC,16,0),"")</f>
        <v/>
      </c>
      <c r="S354" s="195">
        <f>H354</f>
        <v/>
      </c>
      <c r="T354" s="195">
        <f>IFERROR(VLOOKUP(G354&amp;H354,2025Schedule!A:F,6,0),"")</f>
        <v/>
      </c>
      <c r="U354" s="264">
        <f>J354</f>
        <v/>
      </c>
      <c r="V354" s="195">
        <f>IFERROR(VLOOKUP(G354&amp;J354,2025Schedule!A:F,6,0),"")</f>
        <v/>
      </c>
    </row>
    <row r="355" ht="14.4" customHeight="1" s="152">
      <c r="A355" s="241">
        <f>H355&amp;I355</f>
        <v/>
      </c>
      <c r="B355" s="241">
        <f>J355&amp;C355</f>
        <v/>
      </c>
      <c r="C355" s="241">
        <f>IFERROR(IF(I355="Home","Away",IF(I355="Away","Home","")),"")</f>
        <v/>
      </c>
      <c r="D355" s="242">
        <f>H355</f>
        <v/>
      </c>
      <c r="E355" s="157">
        <f>IFERROR(IF(AND(F355&gt;0,T355&gt;V355),"Yes",IF(AND(F355&gt;0,T355&lt;V355),"No",IF(AND(F355&lt;0,T355&lt;V355),"Yes",IF(AND(F355&lt;0,T355&gt;V355),"No",0)))),"")</f>
        <v/>
      </c>
      <c r="F355" s="263">
        <f>IFERROR((N355/MAX(N:N)*_MOVw)+(O355/MAX(O:O)*_WINw)+(P355/MAX(P:P)*_PPGw)+(Q355/MAX(Q:Q)*_ORw)+(R355/MAX(R:R)*_DRw),"")</f>
        <v/>
      </c>
      <c r="N355" s="156">
        <f>IFERROR(VLOOKUP(H355,Matrix!A:AC,12,0)-VLOOKUP(J355,Matrix!A:AC,12,0),"")</f>
        <v/>
      </c>
      <c r="O355" s="182">
        <f>IFERROR(AVERAGEIFS(2025Schedule!O:O,2025Schedule!E:E,H355,2025Schedule!N:N,A355)-AVERAGEIFS(2025Schedule!O:O,2025Schedule!E:E,J355,2025Schedule!N:N,B355),0)</f>
        <v/>
      </c>
      <c r="P355" s="156">
        <f>IFERROR(VLOOKUP(H355,Matrix!A:D,2,0)-VLOOKUP(J355,Matrix!A:D,2,0),"")</f>
        <v/>
      </c>
      <c r="Q355" s="156">
        <f>IFERROR(VLOOKUP(H355,Matrix!A:AC,15,0)-VLOOKUP(J355,Matrix!A:AC,15,0),"")</f>
        <v/>
      </c>
      <c r="R355" s="156">
        <f>IFERROR(VLOOKUP(H355,Matrix!A:AC,16,0)-VLOOKUP(J355,Matrix!A:AC,16,0),"")</f>
        <v/>
      </c>
      <c r="S355" s="195">
        <f>H355</f>
        <v/>
      </c>
      <c r="T355" s="195">
        <f>IFERROR(VLOOKUP(G355&amp;H355,2025Schedule!A:F,6,0),"")</f>
        <v/>
      </c>
      <c r="U355" s="264">
        <f>J355</f>
        <v/>
      </c>
      <c r="V355" s="195">
        <f>IFERROR(VLOOKUP(G355&amp;J355,2025Schedule!A:F,6,0),"")</f>
        <v/>
      </c>
    </row>
    <row r="356" ht="14.4" customHeight="1" s="152">
      <c r="A356" s="241">
        <f>H356&amp;I356</f>
        <v/>
      </c>
      <c r="B356" s="241">
        <f>J356&amp;C356</f>
        <v/>
      </c>
      <c r="C356" s="241">
        <f>IFERROR(IF(I356="Home","Away",IF(I356="Away","Home","")),"")</f>
        <v/>
      </c>
      <c r="D356" s="242">
        <f>H356</f>
        <v/>
      </c>
      <c r="E356" s="157">
        <f>IFERROR(IF(AND(F356&gt;0,T356&gt;V356),"Yes",IF(AND(F356&gt;0,T356&lt;V356),"No",IF(AND(F356&lt;0,T356&lt;V356),"Yes",IF(AND(F356&lt;0,T356&gt;V356),"No",0)))),"")</f>
        <v/>
      </c>
      <c r="F356" s="263">
        <f>IFERROR((N356/MAX(N:N)*_MOVw)+(O356/MAX(O:O)*_WINw)+(P356/MAX(P:P)*_PPGw)+(Q356/MAX(Q:Q)*_ORw)+(R356/MAX(R:R)*_DRw),"")</f>
        <v/>
      </c>
      <c r="N356" s="156">
        <f>IFERROR(VLOOKUP(H356,Matrix!A:AC,12,0)-VLOOKUP(J356,Matrix!A:AC,12,0),"")</f>
        <v/>
      </c>
      <c r="O356" s="182">
        <f>IFERROR(AVERAGEIFS(2025Schedule!O:O,2025Schedule!E:E,H356,2025Schedule!N:N,A356)-AVERAGEIFS(2025Schedule!O:O,2025Schedule!E:E,J356,2025Schedule!N:N,B356),0)</f>
        <v/>
      </c>
      <c r="P356" s="156">
        <f>IFERROR(VLOOKUP(H356,Matrix!A:D,2,0)-VLOOKUP(J356,Matrix!A:D,2,0),"")</f>
        <v/>
      </c>
      <c r="Q356" s="156">
        <f>IFERROR(VLOOKUP(H356,Matrix!A:AC,15,0)-VLOOKUP(J356,Matrix!A:AC,15,0),"")</f>
        <v/>
      </c>
      <c r="R356" s="156">
        <f>IFERROR(VLOOKUP(H356,Matrix!A:AC,16,0)-VLOOKUP(J356,Matrix!A:AC,16,0),"")</f>
        <v/>
      </c>
      <c r="S356" s="195">
        <f>H356</f>
        <v/>
      </c>
      <c r="T356" s="195">
        <f>IFERROR(VLOOKUP(G356&amp;H356,2025Schedule!A:F,6,0),"")</f>
        <v/>
      </c>
      <c r="U356" s="264">
        <f>J356</f>
        <v/>
      </c>
      <c r="V356" s="195">
        <f>IFERROR(VLOOKUP(G356&amp;J356,2025Schedule!A:F,6,0),"")</f>
        <v/>
      </c>
    </row>
    <row r="357" ht="14.4" customHeight="1" s="152">
      <c r="A357" s="241">
        <f>H357&amp;I357</f>
        <v/>
      </c>
      <c r="B357" s="241">
        <f>J357&amp;C357</f>
        <v/>
      </c>
      <c r="C357" s="241">
        <f>IFERROR(IF(I357="Home","Away",IF(I357="Away","Home","")),"")</f>
        <v/>
      </c>
      <c r="D357" s="242">
        <f>H357</f>
        <v/>
      </c>
      <c r="E357" s="157">
        <f>IFERROR(IF(AND(F357&gt;0,T357&gt;V357),"Yes",IF(AND(F357&gt;0,T357&lt;V357),"No",IF(AND(F357&lt;0,T357&lt;V357),"Yes",IF(AND(F357&lt;0,T357&gt;V357),"No",0)))),"")</f>
        <v/>
      </c>
      <c r="F357" s="263">
        <f>IFERROR((N357/MAX(N:N)*_MOVw)+(O357/MAX(O:O)*_WINw)+(P357/MAX(P:P)*_PPGw)+(Q357/MAX(Q:Q)*_ORw)+(R357/MAX(R:R)*_DRw),"")</f>
        <v/>
      </c>
      <c r="N357" s="156">
        <f>IFERROR(VLOOKUP(H357,Matrix!A:AC,12,0)-VLOOKUP(J357,Matrix!A:AC,12,0),"")</f>
        <v/>
      </c>
      <c r="O357" s="182">
        <f>IFERROR(AVERAGEIFS(2025Schedule!O:O,2025Schedule!E:E,H357,2025Schedule!N:N,A357)-AVERAGEIFS(2025Schedule!O:O,2025Schedule!E:E,J357,2025Schedule!N:N,B357),0)</f>
        <v/>
      </c>
      <c r="P357" s="156">
        <f>IFERROR(VLOOKUP(H357,Matrix!A:D,2,0)-VLOOKUP(J357,Matrix!A:D,2,0),"")</f>
        <v/>
      </c>
      <c r="Q357" s="156">
        <f>IFERROR(VLOOKUP(H357,Matrix!A:AC,15,0)-VLOOKUP(J357,Matrix!A:AC,15,0),"")</f>
        <v/>
      </c>
      <c r="R357" s="156">
        <f>IFERROR(VLOOKUP(H357,Matrix!A:AC,16,0)-VLOOKUP(J357,Matrix!A:AC,16,0),"")</f>
        <v/>
      </c>
      <c r="S357" s="195">
        <f>H357</f>
        <v/>
      </c>
      <c r="T357" s="195">
        <f>IFERROR(VLOOKUP(G357&amp;H357,2025Schedule!A:F,6,0),"")</f>
        <v/>
      </c>
      <c r="U357" s="264">
        <f>J357</f>
        <v/>
      </c>
      <c r="V357" s="195">
        <f>IFERROR(VLOOKUP(G357&amp;J357,2025Schedule!A:F,6,0),"")</f>
        <v/>
      </c>
    </row>
    <row r="358" ht="14.4" customHeight="1" s="152">
      <c r="A358" s="241">
        <f>H358&amp;I358</f>
        <v/>
      </c>
      <c r="B358" s="241">
        <f>J358&amp;C358</f>
        <v/>
      </c>
      <c r="C358" s="241">
        <f>IFERROR(IF(I358="Home","Away",IF(I358="Away","Home","")),"")</f>
        <v/>
      </c>
      <c r="D358" s="242">
        <f>H358</f>
        <v/>
      </c>
      <c r="E358" s="157">
        <f>IFERROR(IF(AND(F358&gt;0,T358&gt;V358),"Yes",IF(AND(F358&gt;0,T358&lt;V358),"No",IF(AND(F358&lt;0,T358&lt;V358),"Yes",IF(AND(F358&lt;0,T358&gt;V358),"No",0)))),"")</f>
        <v/>
      </c>
      <c r="F358" s="263">
        <f>IFERROR((N358/MAX(N:N)*_MOVw)+(O358/MAX(O:O)*_WINw)+(P358/MAX(P:P)*_PPGw)+(Q358/MAX(Q:Q)*_ORw)+(R358/MAX(R:R)*_DRw),"")</f>
        <v/>
      </c>
      <c r="N358" s="156">
        <f>IFERROR(VLOOKUP(H358,Matrix!A:AC,12,0)-VLOOKUP(J358,Matrix!A:AC,12,0),"")</f>
        <v/>
      </c>
      <c r="O358" s="182">
        <f>IFERROR(AVERAGEIFS(2025Schedule!O:O,2025Schedule!E:E,H358,2025Schedule!N:N,A358)-AVERAGEIFS(2025Schedule!O:O,2025Schedule!E:E,J358,2025Schedule!N:N,B358),0)</f>
        <v/>
      </c>
      <c r="P358" s="156">
        <f>IFERROR(VLOOKUP(H358,Matrix!A:D,2,0)-VLOOKUP(J358,Matrix!A:D,2,0),"")</f>
        <v/>
      </c>
      <c r="Q358" s="156">
        <f>IFERROR(VLOOKUP(H358,Matrix!A:AC,15,0)-VLOOKUP(J358,Matrix!A:AC,15,0),"")</f>
        <v/>
      </c>
      <c r="R358" s="156">
        <f>IFERROR(VLOOKUP(H358,Matrix!A:AC,16,0)-VLOOKUP(J358,Matrix!A:AC,16,0),"")</f>
        <v/>
      </c>
      <c r="S358" s="195">
        <f>H358</f>
        <v/>
      </c>
      <c r="T358" s="195">
        <f>IFERROR(VLOOKUP(G358&amp;H358,2025Schedule!A:F,6,0),"")</f>
        <v/>
      </c>
      <c r="U358" s="264">
        <f>J358</f>
        <v/>
      </c>
      <c r="V358" s="195">
        <f>IFERROR(VLOOKUP(G358&amp;J358,2025Schedule!A:F,6,0),"")</f>
        <v/>
      </c>
    </row>
    <row r="359" ht="14.4" customHeight="1" s="152">
      <c r="A359" s="241">
        <f>H359&amp;I359</f>
        <v/>
      </c>
      <c r="B359" s="241">
        <f>J359&amp;C359</f>
        <v/>
      </c>
      <c r="C359" s="241">
        <f>IFERROR(IF(I359="Home","Away",IF(I359="Away","Home","")),"")</f>
        <v/>
      </c>
      <c r="D359" s="242">
        <f>H359</f>
        <v/>
      </c>
      <c r="E359" s="157">
        <f>IFERROR(IF(AND(F359&gt;0,T359&gt;V359),"Yes",IF(AND(F359&gt;0,T359&lt;V359),"No",IF(AND(F359&lt;0,T359&lt;V359),"Yes",IF(AND(F359&lt;0,T359&gt;V359),"No",0)))),"")</f>
        <v/>
      </c>
      <c r="F359" s="263">
        <f>IFERROR((N359/MAX(N:N)*_MOVw)+(O359/MAX(O:O)*_WINw)+(P359/MAX(P:P)*_PPGw)+(Q359/MAX(Q:Q)*_ORw)+(R359/MAX(R:R)*_DRw),"")</f>
        <v/>
      </c>
      <c r="N359" s="156">
        <f>IFERROR(VLOOKUP(H359,Matrix!A:AC,12,0)-VLOOKUP(J359,Matrix!A:AC,12,0),"")</f>
        <v/>
      </c>
      <c r="O359" s="182">
        <f>IFERROR(AVERAGEIFS(2025Schedule!O:O,2025Schedule!E:E,H359,2025Schedule!N:N,A359)-AVERAGEIFS(2025Schedule!O:O,2025Schedule!E:E,J359,2025Schedule!N:N,B359),0)</f>
        <v/>
      </c>
      <c r="P359" s="156">
        <f>IFERROR(VLOOKUP(H359,Matrix!A:D,2,0)-VLOOKUP(J359,Matrix!A:D,2,0),"")</f>
        <v/>
      </c>
      <c r="Q359" s="156">
        <f>IFERROR(VLOOKUP(H359,Matrix!A:AC,15,0)-VLOOKUP(J359,Matrix!A:AC,15,0),"")</f>
        <v/>
      </c>
      <c r="R359" s="156">
        <f>IFERROR(VLOOKUP(H359,Matrix!A:AC,16,0)-VLOOKUP(J359,Matrix!A:AC,16,0),"")</f>
        <v/>
      </c>
      <c r="S359" s="195">
        <f>H359</f>
        <v/>
      </c>
      <c r="T359" s="195">
        <f>IFERROR(VLOOKUP(G359&amp;H359,2025Schedule!A:F,6,0),"")</f>
        <v/>
      </c>
      <c r="U359" s="264">
        <f>J359</f>
        <v/>
      </c>
      <c r="V359" s="195">
        <f>IFERROR(VLOOKUP(G359&amp;J359,2025Schedule!A:F,6,0),"")</f>
        <v/>
      </c>
    </row>
    <row r="360" ht="14.4" customHeight="1" s="152">
      <c r="A360" s="241">
        <f>H360&amp;I360</f>
        <v/>
      </c>
      <c r="B360" s="241">
        <f>J360&amp;C360</f>
        <v/>
      </c>
      <c r="C360" s="241">
        <f>IFERROR(IF(I360="Home","Away",IF(I360="Away","Home","")),"")</f>
        <v/>
      </c>
      <c r="D360" s="242">
        <f>H360</f>
        <v/>
      </c>
      <c r="E360" s="157">
        <f>IFERROR(IF(AND(F360&gt;0,T360&gt;V360),"Yes",IF(AND(F360&gt;0,T360&lt;V360),"No",IF(AND(F360&lt;0,T360&lt;V360),"Yes",IF(AND(F360&lt;0,T360&gt;V360),"No",0)))),"")</f>
        <v/>
      </c>
      <c r="F360" s="263">
        <f>IFERROR((N360/MAX(N:N)*_MOVw)+(O360/MAX(O:O)*_WINw)+(P360/MAX(P:P)*_PPGw)+(Q360/MAX(Q:Q)*_ORw)+(R360/MAX(R:R)*_DRw),"")</f>
        <v/>
      </c>
      <c r="N360" s="156">
        <f>IFERROR(VLOOKUP(H360,Matrix!A:AC,12,0)-VLOOKUP(J360,Matrix!A:AC,12,0),"")</f>
        <v/>
      </c>
      <c r="O360" s="182">
        <f>IFERROR(AVERAGEIFS(2025Schedule!O:O,2025Schedule!E:E,H360,2025Schedule!N:N,A360)-AVERAGEIFS(2025Schedule!O:O,2025Schedule!E:E,J360,2025Schedule!N:N,B360),0)</f>
        <v/>
      </c>
      <c r="P360" s="156">
        <f>IFERROR(VLOOKUP(H360,Matrix!A:D,2,0)-VLOOKUP(J360,Matrix!A:D,2,0),"")</f>
        <v/>
      </c>
      <c r="Q360" s="156">
        <f>IFERROR(VLOOKUP(H360,Matrix!A:AC,15,0)-VLOOKUP(J360,Matrix!A:AC,15,0),"")</f>
        <v/>
      </c>
      <c r="R360" s="156">
        <f>IFERROR(VLOOKUP(H360,Matrix!A:AC,16,0)-VLOOKUP(J360,Matrix!A:AC,16,0),"")</f>
        <v/>
      </c>
      <c r="S360" s="195">
        <f>H360</f>
        <v/>
      </c>
      <c r="T360" s="195">
        <f>IFERROR(VLOOKUP(G360&amp;H360,2025Schedule!A:F,6,0),"")</f>
        <v/>
      </c>
      <c r="U360" s="264">
        <f>J360</f>
        <v/>
      </c>
      <c r="V360" s="195">
        <f>IFERROR(VLOOKUP(G360&amp;J360,2025Schedule!A:F,6,0),"")</f>
        <v/>
      </c>
    </row>
    <row r="361" ht="14.4" customHeight="1" s="152">
      <c r="A361" s="241">
        <f>H361&amp;I361</f>
        <v/>
      </c>
      <c r="B361" s="241">
        <f>J361&amp;C361</f>
        <v/>
      </c>
      <c r="C361" s="241">
        <f>IFERROR(IF(I361="Home","Away",IF(I361="Away","Home","")),"")</f>
        <v/>
      </c>
      <c r="D361" s="242">
        <f>H361</f>
        <v/>
      </c>
      <c r="E361" s="157">
        <f>IFERROR(IF(AND(F361&gt;0,T361&gt;V361),"Yes",IF(AND(F361&gt;0,T361&lt;V361),"No",IF(AND(F361&lt;0,T361&lt;V361),"Yes",IF(AND(F361&lt;0,T361&gt;V361),"No",0)))),"")</f>
        <v/>
      </c>
      <c r="F361" s="263">
        <f>IFERROR((N361/MAX(N:N)*_MOVw)+(O361/MAX(O:O)*_WINw)+(P361/MAX(P:P)*_PPGw)+(Q361/MAX(Q:Q)*_ORw)+(R361/MAX(R:R)*_DRw),"")</f>
        <v/>
      </c>
      <c r="N361" s="156">
        <f>IFERROR(VLOOKUP(H361,Matrix!A:AC,12,0)-VLOOKUP(J361,Matrix!A:AC,12,0),"")</f>
        <v/>
      </c>
      <c r="O361" s="182">
        <f>IFERROR(AVERAGEIFS(2025Schedule!O:O,2025Schedule!E:E,H361,2025Schedule!N:N,A361)-AVERAGEIFS(2025Schedule!O:O,2025Schedule!E:E,J361,2025Schedule!N:N,B361),0)</f>
        <v/>
      </c>
      <c r="P361" s="156">
        <f>IFERROR(VLOOKUP(H361,Matrix!A:D,2,0)-VLOOKUP(J361,Matrix!A:D,2,0),"")</f>
        <v/>
      </c>
      <c r="Q361" s="156">
        <f>IFERROR(VLOOKUP(H361,Matrix!A:AC,15,0)-VLOOKUP(J361,Matrix!A:AC,15,0),"")</f>
        <v/>
      </c>
      <c r="R361" s="156">
        <f>IFERROR(VLOOKUP(H361,Matrix!A:AC,16,0)-VLOOKUP(J361,Matrix!A:AC,16,0),"")</f>
        <v/>
      </c>
      <c r="S361" s="195">
        <f>H361</f>
        <v/>
      </c>
      <c r="T361" s="195">
        <f>IFERROR(VLOOKUP(G361&amp;H361,2025Schedule!A:F,6,0),"")</f>
        <v/>
      </c>
      <c r="U361" s="264">
        <f>J361</f>
        <v/>
      </c>
      <c r="V361" s="195">
        <f>IFERROR(VLOOKUP(G361&amp;J361,2025Schedule!A:F,6,0),"")</f>
        <v/>
      </c>
    </row>
    <row r="362" ht="14.4" customHeight="1" s="152">
      <c r="A362" s="241">
        <f>H362&amp;I362</f>
        <v/>
      </c>
      <c r="B362" s="241">
        <f>J362&amp;C362</f>
        <v/>
      </c>
      <c r="C362" s="241">
        <f>IFERROR(IF(I362="Home","Away",IF(I362="Away","Home","")),"")</f>
        <v/>
      </c>
      <c r="D362" s="242">
        <f>H362</f>
        <v/>
      </c>
      <c r="E362" s="157">
        <f>IFERROR(IF(AND(F362&gt;0,T362&gt;V362),"Yes",IF(AND(F362&gt;0,T362&lt;V362),"No",IF(AND(F362&lt;0,T362&lt;V362),"Yes",IF(AND(F362&lt;0,T362&gt;V362),"No",0)))),"")</f>
        <v/>
      </c>
      <c r="F362" s="263">
        <f>IFERROR((N362/MAX(N:N)*_MOVw)+(O362/MAX(O:O)*_WINw)+(P362/MAX(P:P)*_PPGw)+(Q362/MAX(Q:Q)*_ORw)+(R362/MAX(R:R)*_DRw),"")</f>
        <v/>
      </c>
      <c r="N362" s="156">
        <f>IFERROR(VLOOKUP(H362,Matrix!A:AC,12,0)-VLOOKUP(J362,Matrix!A:AC,12,0),"")</f>
        <v/>
      </c>
      <c r="O362" s="182">
        <f>IFERROR(AVERAGEIFS(2025Schedule!O:O,2025Schedule!E:E,H362,2025Schedule!N:N,A362)-AVERAGEIFS(2025Schedule!O:O,2025Schedule!E:E,J362,2025Schedule!N:N,B362),0)</f>
        <v/>
      </c>
      <c r="P362" s="156">
        <f>IFERROR(VLOOKUP(H362,Matrix!A:D,2,0)-VLOOKUP(J362,Matrix!A:D,2,0),"")</f>
        <v/>
      </c>
      <c r="Q362" s="156">
        <f>IFERROR(VLOOKUP(H362,Matrix!A:AC,15,0)-VLOOKUP(J362,Matrix!A:AC,15,0),"")</f>
        <v/>
      </c>
      <c r="R362" s="156">
        <f>IFERROR(VLOOKUP(H362,Matrix!A:AC,16,0)-VLOOKUP(J362,Matrix!A:AC,16,0),"")</f>
        <v/>
      </c>
      <c r="S362" s="195">
        <f>H362</f>
        <v/>
      </c>
      <c r="T362" s="195">
        <f>IFERROR(VLOOKUP(G362&amp;H362,2025Schedule!A:F,6,0),"")</f>
        <v/>
      </c>
      <c r="U362" s="264">
        <f>J362</f>
        <v/>
      </c>
      <c r="V362" s="195">
        <f>IFERROR(VLOOKUP(G362&amp;J362,2025Schedule!A:F,6,0),"")</f>
        <v/>
      </c>
    </row>
    <row r="363" ht="14.4" customHeight="1" s="152">
      <c r="A363" s="241">
        <f>H363&amp;I363</f>
        <v/>
      </c>
      <c r="B363" s="241">
        <f>J363&amp;C363</f>
        <v/>
      </c>
      <c r="C363" s="241">
        <f>IFERROR(IF(I363="Home","Away",IF(I363="Away","Home","")),"")</f>
        <v/>
      </c>
      <c r="D363" s="242">
        <f>H363</f>
        <v/>
      </c>
      <c r="E363" s="157">
        <f>IFERROR(IF(AND(F363&gt;0,T363&gt;V363),"Yes",IF(AND(F363&gt;0,T363&lt;V363),"No",IF(AND(F363&lt;0,T363&lt;V363),"Yes",IF(AND(F363&lt;0,T363&gt;V363),"No",0)))),"")</f>
        <v/>
      </c>
      <c r="F363" s="263">
        <f>IFERROR((N363/MAX(N:N)*_MOVw)+(O363/MAX(O:O)*_WINw)+(P363/MAX(P:P)*_PPGw)+(Q363/MAX(Q:Q)*_ORw)+(R363/MAX(R:R)*_DRw),"")</f>
        <v/>
      </c>
      <c r="N363" s="156">
        <f>IFERROR(VLOOKUP(H363,Matrix!A:AC,12,0)-VLOOKUP(J363,Matrix!A:AC,12,0),"")</f>
        <v/>
      </c>
      <c r="O363" s="182">
        <f>IFERROR(AVERAGEIFS(2025Schedule!O:O,2025Schedule!E:E,H363,2025Schedule!N:N,A363)-AVERAGEIFS(2025Schedule!O:O,2025Schedule!E:E,J363,2025Schedule!N:N,B363),0)</f>
        <v/>
      </c>
      <c r="P363" s="156">
        <f>IFERROR(VLOOKUP(H363,Matrix!A:D,2,0)-VLOOKUP(J363,Matrix!A:D,2,0),"")</f>
        <v/>
      </c>
      <c r="Q363" s="156">
        <f>IFERROR(VLOOKUP(H363,Matrix!A:AC,15,0)-VLOOKUP(J363,Matrix!A:AC,15,0),"")</f>
        <v/>
      </c>
      <c r="R363" s="156">
        <f>IFERROR(VLOOKUP(H363,Matrix!A:AC,16,0)-VLOOKUP(J363,Matrix!A:AC,16,0),"")</f>
        <v/>
      </c>
      <c r="S363" s="195">
        <f>H363</f>
        <v/>
      </c>
      <c r="T363" s="195">
        <f>IFERROR(VLOOKUP(G363&amp;H363,2025Schedule!A:F,6,0),"")</f>
        <v/>
      </c>
      <c r="U363" s="264">
        <f>J363</f>
        <v/>
      </c>
      <c r="V363" s="195">
        <f>IFERROR(VLOOKUP(G363&amp;J363,2025Schedule!A:F,6,0),"")</f>
        <v/>
      </c>
    </row>
    <row r="364" ht="14.4" customHeight="1" s="152">
      <c r="A364" s="241">
        <f>H364&amp;I364</f>
        <v/>
      </c>
      <c r="B364" s="241">
        <f>J364&amp;C364</f>
        <v/>
      </c>
      <c r="C364" s="241">
        <f>IFERROR(IF(I364="Home","Away",IF(I364="Away","Home","")),"")</f>
        <v/>
      </c>
      <c r="D364" s="242">
        <f>H364</f>
        <v/>
      </c>
      <c r="E364" s="157">
        <f>IFERROR(IF(AND(F364&gt;0,T364&gt;V364),"Yes",IF(AND(F364&gt;0,T364&lt;V364),"No",IF(AND(F364&lt;0,T364&lt;V364),"Yes",IF(AND(F364&lt;0,T364&gt;V364),"No",0)))),"")</f>
        <v/>
      </c>
      <c r="F364" s="263">
        <f>IFERROR((N364/MAX(N:N)*_MOVw)+(O364/MAX(O:O)*_WINw)+(P364/MAX(P:P)*_PPGw)+(Q364/MAX(Q:Q)*_ORw)+(R364/MAX(R:R)*_DRw),"")</f>
        <v/>
      </c>
      <c r="N364" s="156">
        <f>IFERROR(VLOOKUP(H364,Matrix!A:AC,12,0)-VLOOKUP(J364,Matrix!A:AC,12,0),"")</f>
        <v/>
      </c>
      <c r="O364" s="182">
        <f>IFERROR(AVERAGEIFS(2025Schedule!O:O,2025Schedule!E:E,H364,2025Schedule!N:N,A364)-AVERAGEIFS(2025Schedule!O:O,2025Schedule!E:E,J364,2025Schedule!N:N,B364),0)</f>
        <v/>
      </c>
      <c r="P364" s="156">
        <f>IFERROR(VLOOKUP(H364,Matrix!A:D,2,0)-VLOOKUP(J364,Matrix!A:D,2,0),"")</f>
        <v/>
      </c>
      <c r="Q364" s="156">
        <f>IFERROR(VLOOKUP(H364,Matrix!A:AC,15,0)-VLOOKUP(J364,Matrix!A:AC,15,0),"")</f>
        <v/>
      </c>
      <c r="R364" s="156">
        <f>IFERROR(VLOOKUP(H364,Matrix!A:AC,16,0)-VLOOKUP(J364,Matrix!A:AC,16,0),"")</f>
        <v/>
      </c>
      <c r="S364" s="195">
        <f>H364</f>
        <v/>
      </c>
      <c r="T364" s="195">
        <f>IFERROR(VLOOKUP(G364&amp;H364,2025Schedule!A:F,6,0),"")</f>
        <v/>
      </c>
      <c r="U364" s="264">
        <f>J364</f>
        <v/>
      </c>
      <c r="V364" s="195">
        <f>IFERROR(VLOOKUP(G364&amp;J364,2025Schedule!A:F,6,0),"")</f>
        <v/>
      </c>
    </row>
    <row r="365" ht="14.4" customHeight="1" s="152">
      <c r="A365" s="241">
        <f>H365&amp;I365</f>
        <v/>
      </c>
      <c r="B365" s="241">
        <f>J365&amp;C365</f>
        <v/>
      </c>
      <c r="C365" s="241">
        <f>IFERROR(IF(I365="Home","Away",IF(I365="Away","Home","")),"")</f>
        <v/>
      </c>
      <c r="D365" s="242">
        <f>H365</f>
        <v/>
      </c>
      <c r="E365" s="157">
        <f>IFERROR(IF(AND(F365&gt;0,T365&gt;V365),"Yes",IF(AND(F365&gt;0,T365&lt;V365),"No",IF(AND(F365&lt;0,T365&lt;V365),"Yes",IF(AND(F365&lt;0,T365&gt;V365),"No",0)))),"")</f>
        <v/>
      </c>
      <c r="F365" s="263">
        <f>IFERROR((N365/MAX(N:N)*_MOVw)+(O365/MAX(O:O)*_WINw)+(P365/MAX(P:P)*_PPGw)+(Q365/MAX(Q:Q)*_ORw)+(R365/MAX(R:R)*_DRw),"")</f>
        <v/>
      </c>
      <c r="N365" s="156">
        <f>IFERROR(VLOOKUP(H365,Matrix!A:AC,12,0)-VLOOKUP(J365,Matrix!A:AC,12,0),"")</f>
        <v/>
      </c>
      <c r="O365" s="182">
        <f>IFERROR(AVERAGEIFS(2025Schedule!O:O,2025Schedule!E:E,H365,2025Schedule!N:N,A365)-AVERAGEIFS(2025Schedule!O:O,2025Schedule!E:E,J365,2025Schedule!N:N,B365),0)</f>
        <v/>
      </c>
      <c r="P365" s="156">
        <f>IFERROR(VLOOKUP(H365,Matrix!A:D,2,0)-VLOOKUP(J365,Matrix!A:D,2,0),"")</f>
        <v/>
      </c>
      <c r="Q365" s="156">
        <f>IFERROR(VLOOKUP(H365,Matrix!A:AC,15,0)-VLOOKUP(J365,Matrix!A:AC,15,0),"")</f>
        <v/>
      </c>
      <c r="R365" s="156">
        <f>IFERROR(VLOOKUP(H365,Matrix!A:AC,16,0)-VLOOKUP(J365,Matrix!A:AC,16,0),"")</f>
        <v/>
      </c>
      <c r="S365" s="195">
        <f>H365</f>
        <v/>
      </c>
      <c r="T365" s="195">
        <f>IFERROR(VLOOKUP(G365&amp;H365,2025Schedule!A:F,6,0),"")</f>
        <v/>
      </c>
      <c r="U365" s="264">
        <f>J365</f>
        <v/>
      </c>
      <c r="V365" s="195">
        <f>IFERROR(VLOOKUP(G365&amp;J365,2025Schedule!A:F,6,0),"")</f>
        <v/>
      </c>
    </row>
    <row r="366" ht="14.4" customHeight="1" s="152">
      <c r="A366" s="241">
        <f>H366&amp;I366</f>
        <v/>
      </c>
      <c r="B366" s="241">
        <f>J366&amp;C366</f>
        <v/>
      </c>
      <c r="C366" s="241">
        <f>IFERROR(IF(I366="Home","Away",IF(I366="Away","Home","")),"")</f>
        <v/>
      </c>
      <c r="D366" s="242">
        <f>H366</f>
        <v/>
      </c>
      <c r="E366" s="157">
        <f>IFERROR(IF(AND(F366&gt;0,T366&gt;V366),"Yes",IF(AND(F366&gt;0,T366&lt;V366),"No",IF(AND(F366&lt;0,T366&lt;V366),"Yes",IF(AND(F366&lt;0,T366&gt;V366),"No",0)))),"")</f>
        <v/>
      </c>
      <c r="F366" s="263">
        <f>IFERROR((N366/MAX(N:N)*_MOVw)+(O366/MAX(O:O)*_WINw)+(P366/MAX(P:P)*_PPGw)+(Q366/MAX(Q:Q)*_ORw)+(R366/MAX(R:R)*_DRw),"")</f>
        <v/>
      </c>
      <c r="N366" s="156">
        <f>IFERROR(VLOOKUP(H366,Matrix!A:AC,12,0)-VLOOKUP(J366,Matrix!A:AC,12,0),"")</f>
        <v/>
      </c>
      <c r="O366" s="182">
        <f>IFERROR(AVERAGEIFS(2025Schedule!O:O,2025Schedule!E:E,H366,2025Schedule!N:N,A366)-AVERAGEIFS(2025Schedule!O:O,2025Schedule!E:E,J366,2025Schedule!N:N,B366),0)</f>
        <v/>
      </c>
      <c r="P366" s="156">
        <f>IFERROR(VLOOKUP(H366,Matrix!A:D,2,0)-VLOOKUP(J366,Matrix!A:D,2,0),"")</f>
        <v/>
      </c>
      <c r="Q366" s="156">
        <f>IFERROR(VLOOKUP(H366,Matrix!A:AC,15,0)-VLOOKUP(J366,Matrix!A:AC,15,0),"")</f>
        <v/>
      </c>
      <c r="R366" s="156">
        <f>IFERROR(VLOOKUP(H366,Matrix!A:AC,16,0)-VLOOKUP(J366,Matrix!A:AC,16,0),"")</f>
        <v/>
      </c>
      <c r="S366" s="195">
        <f>H366</f>
        <v/>
      </c>
      <c r="T366" s="195">
        <f>IFERROR(VLOOKUP(G366&amp;H366,2025Schedule!A:F,6,0),"")</f>
        <v/>
      </c>
      <c r="U366" s="264">
        <f>J366</f>
        <v/>
      </c>
      <c r="V366" s="195">
        <f>IFERROR(VLOOKUP(G366&amp;J366,2025Schedule!A:F,6,0),"")</f>
        <v/>
      </c>
    </row>
    <row r="367" ht="14.4" customHeight="1" s="152">
      <c r="A367" s="241">
        <f>H367&amp;I367</f>
        <v/>
      </c>
      <c r="B367" s="241">
        <f>J367&amp;C367</f>
        <v/>
      </c>
      <c r="C367" s="241">
        <f>IFERROR(IF(I367="Home","Away",IF(I367="Away","Home","")),"")</f>
        <v/>
      </c>
      <c r="D367" s="242">
        <f>H367</f>
        <v/>
      </c>
      <c r="E367" s="157">
        <f>IFERROR(IF(AND(F367&gt;0,T367&gt;V367),"Yes",IF(AND(F367&gt;0,T367&lt;V367),"No",IF(AND(F367&lt;0,T367&lt;V367),"Yes",IF(AND(F367&lt;0,T367&gt;V367),"No",0)))),"")</f>
        <v/>
      </c>
      <c r="F367" s="263">
        <f>IFERROR((N367/MAX(N:N)*_MOVw)+(O367/MAX(O:O)*_WINw)+(P367/MAX(P:P)*_PPGw)+(Q367/MAX(Q:Q)*_ORw)+(R367/MAX(R:R)*_DRw),"")</f>
        <v/>
      </c>
      <c r="N367" s="156">
        <f>IFERROR(VLOOKUP(H367,Matrix!A:AC,12,0)-VLOOKUP(J367,Matrix!A:AC,12,0),"")</f>
        <v/>
      </c>
      <c r="O367" s="182">
        <f>IFERROR(AVERAGEIFS(2025Schedule!O:O,2025Schedule!E:E,H367,2025Schedule!N:N,A367)-AVERAGEIFS(2025Schedule!O:O,2025Schedule!E:E,J367,2025Schedule!N:N,B367),0)</f>
        <v/>
      </c>
      <c r="P367" s="156">
        <f>IFERROR(VLOOKUP(H367,Matrix!A:D,2,0)-VLOOKUP(J367,Matrix!A:D,2,0),"")</f>
        <v/>
      </c>
      <c r="Q367" s="156">
        <f>IFERROR(VLOOKUP(H367,Matrix!A:AC,15,0)-VLOOKUP(J367,Matrix!A:AC,15,0),"")</f>
        <v/>
      </c>
      <c r="R367" s="156">
        <f>IFERROR(VLOOKUP(H367,Matrix!A:AC,16,0)-VLOOKUP(J367,Matrix!A:AC,16,0),"")</f>
        <v/>
      </c>
      <c r="S367" s="195">
        <f>H367</f>
        <v/>
      </c>
      <c r="T367" s="195">
        <f>IFERROR(VLOOKUP(G367&amp;H367,2025Schedule!A:F,6,0),"")</f>
        <v/>
      </c>
      <c r="U367" s="264">
        <f>J367</f>
        <v/>
      </c>
      <c r="V367" s="195">
        <f>IFERROR(VLOOKUP(G367&amp;J367,2025Schedule!A:F,6,0),"")</f>
        <v/>
      </c>
    </row>
    <row r="368" ht="14.4" customHeight="1" s="152">
      <c r="A368" s="241">
        <f>H368&amp;I368</f>
        <v/>
      </c>
      <c r="B368" s="241">
        <f>J368&amp;C368</f>
        <v/>
      </c>
      <c r="C368" s="241">
        <f>IFERROR(IF(I368="Home","Away",IF(I368="Away","Home","")),"")</f>
        <v/>
      </c>
      <c r="D368" s="242">
        <f>H368</f>
        <v/>
      </c>
      <c r="E368" s="157">
        <f>IFERROR(IF(AND(F368&gt;0,T368&gt;V368),"Yes",IF(AND(F368&gt;0,T368&lt;V368),"No",IF(AND(F368&lt;0,T368&lt;V368),"Yes",IF(AND(F368&lt;0,T368&gt;V368),"No",0)))),"")</f>
        <v/>
      </c>
      <c r="F368" s="263">
        <f>IFERROR((N368/MAX(N:N)*_MOVw)+(O368/MAX(O:O)*_WINw)+(P368/MAX(P:P)*_PPGw)+(Q368/MAX(Q:Q)*_ORw)+(R368/MAX(R:R)*_DRw),"")</f>
        <v/>
      </c>
      <c r="N368" s="156">
        <f>IFERROR(VLOOKUP(H368,Matrix!A:AC,12,0)-VLOOKUP(J368,Matrix!A:AC,12,0),"")</f>
        <v/>
      </c>
      <c r="O368" s="182">
        <f>IFERROR(AVERAGEIFS(2025Schedule!O:O,2025Schedule!E:E,H368,2025Schedule!N:N,A368)-AVERAGEIFS(2025Schedule!O:O,2025Schedule!E:E,J368,2025Schedule!N:N,B368),0)</f>
        <v/>
      </c>
      <c r="P368" s="156">
        <f>IFERROR(VLOOKUP(H368,Matrix!A:D,2,0)-VLOOKUP(J368,Matrix!A:D,2,0),"")</f>
        <v/>
      </c>
      <c r="Q368" s="156">
        <f>IFERROR(VLOOKUP(H368,Matrix!A:AC,15,0)-VLOOKUP(J368,Matrix!A:AC,15,0),"")</f>
        <v/>
      </c>
      <c r="R368" s="156">
        <f>IFERROR(VLOOKUP(H368,Matrix!A:AC,16,0)-VLOOKUP(J368,Matrix!A:AC,16,0),"")</f>
        <v/>
      </c>
      <c r="S368" s="195">
        <f>H368</f>
        <v/>
      </c>
      <c r="T368" s="195">
        <f>IFERROR(VLOOKUP(G368&amp;H368,2025Schedule!A:F,6,0),"")</f>
        <v/>
      </c>
      <c r="U368" s="264">
        <f>J368</f>
        <v/>
      </c>
      <c r="V368" s="195">
        <f>IFERROR(VLOOKUP(G368&amp;J368,2025Schedule!A:F,6,0),"")</f>
        <v/>
      </c>
    </row>
    <row r="369" ht="14.4" customHeight="1" s="152">
      <c r="A369" s="241">
        <f>H369&amp;I369</f>
        <v/>
      </c>
      <c r="B369" s="241">
        <f>J369&amp;C369</f>
        <v/>
      </c>
      <c r="C369" s="241">
        <f>IFERROR(IF(I369="Home","Away",IF(I369="Away","Home","")),"")</f>
        <v/>
      </c>
      <c r="D369" s="242">
        <f>H369</f>
        <v/>
      </c>
      <c r="E369" s="157">
        <f>IFERROR(IF(AND(F369&gt;0,T369&gt;V369),"Yes",IF(AND(F369&gt;0,T369&lt;V369),"No",IF(AND(F369&lt;0,T369&lt;V369),"Yes",IF(AND(F369&lt;0,T369&gt;V369),"No",0)))),"")</f>
        <v/>
      </c>
      <c r="F369" s="263">
        <f>IFERROR((N369/MAX(N:N)*_MOVw)+(O369/MAX(O:O)*_WINw)+(P369/MAX(P:P)*_PPGw)+(Q369/MAX(Q:Q)*_ORw)+(R369/MAX(R:R)*_DRw),"")</f>
        <v/>
      </c>
      <c r="N369" s="156">
        <f>IFERROR(VLOOKUP(H369,Matrix!A:AC,12,0)-VLOOKUP(J369,Matrix!A:AC,12,0),"")</f>
        <v/>
      </c>
      <c r="O369" s="182">
        <f>IFERROR(AVERAGEIFS(2025Schedule!O:O,2025Schedule!E:E,H369,2025Schedule!N:N,A369)-AVERAGEIFS(2025Schedule!O:O,2025Schedule!E:E,J369,2025Schedule!N:N,B369),0)</f>
        <v/>
      </c>
      <c r="P369" s="156">
        <f>IFERROR(VLOOKUP(H369,Matrix!A:D,2,0)-VLOOKUP(J369,Matrix!A:D,2,0),"")</f>
        <v/>
      </c>
      <c r="Q369" s="156">
        <f>IFERROR(VLOOKUP(H369,Matrix!A:AC,15,0)-VLOOKUP(J369,Matrix!A:AC,15,0),"")</f>
        <v/>
      </c>
      <c r="R369" s="156">
        <f>IFERROR(VLOOKUP(H369,Matrix!A:AC,16,0)-VLOOKUP(J369,Matrix!A:AC,16,0),"")</f>
        <v/>
      </c>
      <c r="S369" s="195">
        <f>H369</f>
        <v/>
      </c>
      <c r="T369" s="195">
        <f>IFERROR(VLOOKUP(G369&amp;H369,2025Schedule!A:F,6,0),"")</f>
        <v/>
      </c>
      <c r="U369" s="264">
        <f>J369</f>
        <v/>
      </c>
      <c r="V369" s="195">
        <f>IFERROR(VLOOKUP(G369&amp;J369,2025Schedule!A:F,6,0),"")</f>
        <v/>
      </c>
    </row>
    <row r="370" ht="14.4" customHeight="1" s="152">
      <c r="A370" s="241">
        <f>H370&amp;I370</f>
        <v/>
      </c>
      <c r="B370" s="241">
        <f>J370&amp;C370</f>
        <v/>
      </c>
      <c r="C370" s="241">
        <f>IFERROR(IF(I370="Home","Away",IF(I370="Away","Home","")),"")</f>
        <v/>
      </c>
      <c r="D370" s="242">
        <f>H370</f>
        <v/>
      </c>
      <c r="E370" s="157">
        <f>IFERROR(IF(AND(F370&gt;0,T370&gt;V370),"Yes",IF(AND(F370&gt;0,T370&lt;V370),"No",IF(AND(F370&lt;0,T370&lt;V370),"Yes",IF(AND(F370&lt;0,T370&gt;V370),"No",0)))),"")</f>
        <v/>
      </c>
      <c r="F370" s="263">
        <f>IFERROR((N370/MAX(N:N)*_MOVw)+(O370/MAX(O:O)*_WINw)+(P370/MAX(P:P)*_PPGw)+(Q370/MAX(Q:Q)*_ORw)+(R370/MAX(R:R)*_DRw),"")</f>
        <v/>
      </c>
      <c r="N370" s="156">
        <f>IFERROR(VLOOKUP(H370,Matrix!A:AC,12,0)-VLOOKUP(J370,Matrix!A:AC,12,0),"")</f>
        <v/>
      </c>
      <c r="O370" s="182">
        <f>IFERROR(AVERAGEIFS(2025Schedule!O:O,2025Schedule!E:E,H370,2025Schedule!N:N,A370)-AVERAGEIFS(2025Schedule!O:O,2025Schedule!E:E,J370,2025Schedule!N:N,B370),0)</f>
        <v/>
      </c>
      <c r="P370" s="156">
        <f>IFERROR(VLOOKUP(H370,Matrix!A:D,2,0)-VLOOKUP(J370,Matrix!A:D,2,0),"")</f>
        <v/>
      </c>
      <c r="Q370" s="156">
        <f>IFERROR(VLOOKUP(H370,Matrix!A:AC,15,0)-VLOOKUP(J370,Matrix!A:AC,15,0),"")</f>
        <v/>
      </c>
      <c r="R370" s="156">
        <f>IFERROR(VLOOKUP(H370,Matrix!A:AC,16,0)-VLOOKUP(J370,Matrix!A:AC,16,0),"")</f>
        <v/>
      </c>
      <c r="S370" s="195">
        <f>H370</f>
        <v/>
      </c>
      <c r="T370" s="195">
        <f>IFERROR(VLOOKUP(G370&amp;H370,2025Schedule!A:F,6,0),"")</f>
        <v/>
      </c>
      <c r="U370" s="264">
        <f>J370</f>
        <v/>
      </c>
      <c r="V370" s="195">
        <f>IFERROR(VLOOKUP(G370&amp;J370,2025Schedule!A:F,6,0),"")</f>
        <v/>
      </c>
    </row>
    <row r="371" ht="14.4" customHeight="1" s="152">
      <c r="A371" s="241">
        <f>H371&amp;I371</f>
        <v/>
      </c>
      <c r="B371" s="241">
        <f>J371&amp;C371</f>
        <v/>
      </c>
      <c r="C371" s="241">
        <f>IFERROR(IF(I371="Home","Away",IF(I371="Away","Home","")),"")</f>
        <v/>
      </c>
      <c r="D371" s="242">
        <f>H371</f>
        <v/>
      </c>
      <c r="E371" s="157">
        <f>IFERROR(IF(AND(F371&gt;0,T371&gt;V371),"Yes",IF(AND(F371&gt;0,T371&lt;V371),"No",IF(AND(F371&lt;0,T371&lt;V371),"Yes",IF(AND(F371&lt;0,T371&gt;V371),"No",0)))),"")</f>
        <v/>
      </c>
      <c r="F371" s="263">
        <f>IFERROR((N371/MAX(N:N)*_MOVw)+(O371/MAX(O:O)*_WINw)+(P371/MAX(P:P)*_PPGw)+(Q371/MAX(Q:Q)*_ORw)+(R371/MAX(R:R)*_DRw),"")</f>
        <v/>
      </c>
      <c r="N371" s="156">
        <f>IFERROR(VLOOKUP(H371,Matrix!A:AC,12,0)-VLOOKUP(J371,Matrix!A:AC,12,0),"")</f>
        <v/>
      </c>
      <c r="O371" s="182">
        <f>IFERROR(AVERAGEIFS(2025Schedule!O:O,2025Schedule!E:E,H371,2025Schedule!N:N,A371)-AVERAGEIFS(2025Schedule!O:O,2025Schedule!E:E,J371,2025Schedule!N:N,B371),0)</f>
        <v/>
      </c>
      <c r="P371" s="156">
        <f>IFERROR(VLOOKUP(H371,Matrix!A:D,2,0)-VLOOKUP(J371,Matrix!A:D,2,0),"")</f>
        <v/>
      </c>
      <c r="Q371" s="156">
        <f>IFERROR(VLOOKUP(H371,Matrix!A:AC,15,0)-VLOOKUP(J371,Matrix!A:AC,15,0),"")</f>
        <v/>
      </c>
      <c r="R371" s="156">
        <f>IFERROR(VLOOKUP(H371,Matrix!A:AC,16,0)-VLOOKUP(J371,Matrix!A:AC,16,0),"")</f>
        <v/>
      </c>
      <c r="S371" s="195">
        <f>H371</f>
        <v/>
      </c>
      <c r="T371" s="195">
        <f>IFERROR(VLOOKUP(G371&amp;H371,2025Schedule!A:F,6,0),"")</f>
        <v/>
      </c>
      <c r="U371" s="264">
        <f>J371</f>
        <v/>
      </c>
      <c r="V371" s="195">
        <f>IFERROR(VLOOKUP(G371&amp;J371,2025Schedule!A:F,6,0),"")</f>
        <v/>
      </c>
    </row>
    <row r="372" ht="14.4" customHeight="1" s="152">
      <c r="A372" s="241">
        <f>H372&amp;I372</f>
        <v/>
      </c>
      <c r="B372" s="241">
        <f>J372&amp;C372</f>
        <v/>
      </c>
      <c r="C372" s="241">
        <f>IFERROR(IF(I372="Home","Away",IF(I372="Away","Home","")),"")</f>
        <v/>
      </c>
      <c r="D372" s="242">
        <f>H372</f>
        <v/>
      </c>
      <c r="E372" s="157">
        <f>IFERROR(IF(AND(F372&gt;0,T372&gt;V372),"Yes",IF(AND(F372&gt;0,T372&lt;V372),"No",IF(AND(F372&lt;0,T372&lt;V372),"Yes",IF(AND(F372&lt;0,T372&gt;V372),"No",0)))),"")</f>
        <v/>
      </c>
      <c r="F372" s="263">
        <f>IFERROR((N372/MAX(N:N)*_MOVw)+(O372/MAX(O:O)*_WINw)+(P372/MAX(P:P)*_PPGw)+(Q372/MAX(Q:Q)*_ORw)+(R372/MAX(R:R)*_DRw),"")</f>
        <v/>
      </c>
      <c r="N372" s="156">
        <f>IFERROR(VLOOKUP(H372,Matrix!A:AC,12,0)-VLOOKUP(J372,Matrix!A:AC,12,0),"")</f>
        <v/>
      </c>
      <c r="O372" s="182">
        <f>IFERROR(AVERAGEIFS(2025Schedule!O:O,2025Schedule!E:E,H372,2025Schedule!N:N,A372)-AVERAGEIFS(2025Schedule!O:O,2025Schedule!E:E,J372,2025Schedule!N:N,B372),0)</f>
        <v/>
      </c>
      <c r="P372" s="156">
        <f>IFERROR(VLOOKUP(H372,Matrix!A:D,2,0)-VLOOKUP(J372,Matrix!A:D,2,0),"")</f>
        <v/>
      </c>
      <c r="Q372" s="156">
        <f>IFERROR(VLOOKUP(H372,Matrix!A:AC,15,0)-VLOOKUP(J372,Matrix!A:AC,15,0),"")</f>
        <v/>
      </c>
      <c r="R372" s="156">
        <f>IFERROR(VLOOKUP(H372,Matrix!A:AC,16,0)-VLOOKUP(J372,Matrix!A:AC,16,0),"")</f>
        <v/>
      </c>
      <c r="S372" s="195">
        <f>H372</f>
        <v/>
      </c>
      <c r="T372" s="195">
        <f>IFERROR(VLOOKUP(G372&amp;H372,2025Schedule!A:F,6,0),"")</f>
        <v/>
      </c>
      <c r="U372" s="264">
        <f>J372</f>
        <v/>
      </c>
      <c r="V372" s="195">
        <f>IFERROR(VLOOKUP(G372&amp;J372,2025Schedule!A:F,6,0),"")</f>
        <v/>
      </c>
    </row>
    <row r="373" ht="14.4" customHeight="1" s="152">
      <c r="A373" s="241">
        <f>H373&amp;I373</f>
        <v/>
      </c>
      <c r="B373" s="241">
        <f>J373&amp;C373</f>
        <v/>
      </c>
      <c r="C373" s="241">
        <f>IFERROR(IF(I373="Home","Away",IF(I373="Away","Home","")),"")</f>
        <v/>
      </c>
      <c r="D373" s="242">
        <f>H373</f>
        <v/>
      </c>
      <c r="E373" s="157">
        <f>IFERROR(IF(AND(F373&gt;0,T373&gt;V373),"Yes",IF(AND(F373&gt;0,T373&lt;V373),"No",IF(AND(F373&lt;0,T373&lt;V373),"Yes",IF(AND(F373&lt;0,T373&gt;V373),"No",0)))),"")</f>
        <v/>
      </c>
      <c r="F373" s="263">
        <f>IFERROR((N373/MAX(N:N)*_MOVw)+(O373/MAX(O:O)*_WINw)+(P373/MAX(P:P)*_PPGw)+(Q373/MAX(Q:Q)*_ORw)+(R373/MAX(R:R)*_DRw),"")</f>
        <v/>
      </c>
      <c r="N373" s="156">
        <f>IFERROR(VLOOKUP(H373,Matrix!A:AC,12,0)-VLOOKUP(J373,Matrix!A:AC,12,0),"")</f>
        <v/>
      </c>
      <c r="O373" s="182">
        <f>IFERROR(AVERAGEIFS(2025Schedule!O:O,2025Schedule!E:E,H373,2025Schedule!N:N,A373)-AVERAGEIFS(2025Schedule!O:O,2025Schedule!E:E,J373,2025Schedule!N:N,B373),0)</f>
        <v/>
      </c>
      <c r="P373" s="156">
        <f>IFERROR(VLOOKUP(H373,Matrix!A:D,2,0)-VLOOKUP(J373,Matrix!A:D,2,0),"")</f>
        <v/>
      </c>
      <c r="Q373" s="156">
        <f>IFERROR(VLOOKUP(H373,Matrix!A:AC,15,0)-VLOOKUP(J373,Matrix!A:AC,15,0),"")</f>
        <v/>
      </c>
      <c r="R373" s="156">
        <f>IFERROR(VLOOKUP(H373,Matrix!A:AC,16,0)-VLOOKUP(J373,Matrix!A:AC,16,0),"")</f>
        <v/>
      </c>
      <c r="S373" s="195">
        <f>H373</f>
        <v/>
      </c>
      <c r="T373" s="195">
        <f>IFERROR(VLOOKUP(G373&amp;H373,2025Schedule!A:F,6,0),"")</f>
        <v/>
      </c>
      <c r="U373" s="264">
        <f>J373</f>
        <v/>
      </c>
      <c r="V373" s="195">
        <f>IFERROR(VLOOKUP(G373&amp;J373,2025Schedule!A:F,6,0),"")</f>
        <v/>
      </c>
    </row>
    <row r="374" ht="14.4" customHeight="1" s="152">
      <c r="A374" s="241">
        <f>H374&amp;I374</f>
        <v/>
      </c>
      <c r="B374" s="241">
        <f>J374&amp;C374</f>
        <v/>
      </c>
      <c r="C374" s="241">
        <f>IFERROR(IF(I374="Home","Away",IF(I374="Away","Home","")),"")</f>
        <v/>
      </c>
      <c r="D374" s="242">
        <f>H374</f>
        <v/>
      </c>
      <c r="E374" s="157">
        <f>IFERROR(IF(AND(F374&gt;0,T374&gt;V374),"Yes",IF(AND(F374&gt;0,T374&lt;V374),"No",IF(AND(F374&lt;0,T374&lt;V374),"Yes",IF(AND(F374&lt;0,T374&gt;V374),"No",0)))),"")</f>
        <v/>
      </c>
      <c r="F374" s="263">
        <f>IFERROR((N374/MAX(N:N)*_MOVw)+(O374/MAX(O:O)*_WINw)+(P374/MAX(P:P)*_PPGw)+(Q374/MAX(Q:Q)*_ORw)+(R374/MAX(R:R)*_DRw),"")</f>
        <v/>
      </c>
      <c r="N374" s="156">
        <f>IFERROR(VLOOKUP(H374,Matrix!A:AC,12,0)-VLOOKUP(J374,Matrix!A:AC,12,0),"")</f>
        <v/>
      </c>
      <c r="O374" s="182">
        <f>IFERROR(AVERAGEIFS(2025Schedule!O:O,2025Schedule!E:E,H374,2025Schedule!N:N,A374)-AVERAGEIFS(2025Schedule!O:O,2025Schedule!E:E,J374,2025Schedule!N:N,B374),0)</f>
        <v/>
      </c>
      <c r="P374" s="156">
        <f>IFERROR(VLOOKUP(H374,Matrix!A:D,2,0)-VLOOKUP(J374,Matrix!A:D,2,0),"")</f>
        <v/>
      </c>
      <c r="Q374" s="156">
        <f>IFERROR(VLOOKUP(H374,Matrix!A:AC,15,0)-VLOOKUP(J374,Matrix!A:AC,15,0),"")</f>
        <v/>
      </c>
      <c r="R374" s="156">
        <f>IFERROR(VLOOKUP(H374,Matrix!A:AC,16,0)-VLOOKUP(J374,Matrix!A:AC,16,0),"")</f>
        <v/>
      </c>
      <c r="S374" s="195">
        <f>H374</f>
        <v/>
      </c>
      <c r="T374" s="195">
        <f>IFERROR(VLOOKUP(G374&amp;H374,2025Schedule!A:F,6,0),"")</f>
        <v/>
      </c>
      <c r="U374" s="264">
        <f>J374</f>
        <v/>
      </c>
      <c r="V374" s="195">
        <f>IFERROR(VLOOKUP(G374&amp;J374,2025Schedule!A:F,6,0),"")</f>
        <v/>
      </c>
    </row>
    <row r="375" ht="14.4" customHeight="1" s="152">
      <c r="A375" s="241">
        <f>H375&amp;I375</f>
        <v/>
      </c>
      <c r="B375" s="241">
        <f>J375&amp;C375</f>
        <v/>
      </c>
      <c r="C375" s="241">
        <f>IFERROR(IF(I375="Home","Away",IF(I375="Away","Home","")),"")</f>
        <v/>
      </c>
      <c r="D375" s="242">
        <f>H375</f>
        <v/>
      </c>
      <c r="E375" s="157">
        <f>IFERROR(IF(AND(F375&gt;0,T375&gt;V375),"Yes",IF(AND(F375&gt;0,T375&lt;V375),"No",IF(AND(F375&lt;0,T375&lt;V375),"Yes",IF(AND(F375&lt;0,T375&gt;V375),"No",0)))),"")</f>
        <v/>
      </c>
      <c r="F375" s="263">
        <f>IFERROR((N375/MAX(N:N)*_MOVw)+(O375/MAX(O:O)*_WINw)+(P375/MAX(P:P)*_PPGw)+(Q375/MAX(Q:Q)*_ORw)+(R375/MAX(R:R)*_DRw),"")</f>
        <v/>
      </c>
      <c r="N375" s="156">
        <f>IFERROR(VLOOKUP(H375,Matrix!A:AC,12,0)-VLOOKUP(J375,Matrix!A:AC,12,0),"")</f>
        <v/>
      </c>
      <c r="O375" s="182">
        <f>IFERROR(AVERAGEIFS(2025Schedule!O:O,2025Schedule!E:E,H375,2025Schedule!N:N,A375)-AVERAGEIFS(2025Schedule!O:O,2025Schedule!E:E,J375,2025Schedule!N:N,B375),0)</f>
        <v/>
      </c>
      <c r="P375" s="156">
        <f>IFERROR(VLOOKUP(H375,Matrix!A:D,2,0)-VLOOKUP(J375,Matrix!A:D,2,0),"")</f>
        <v/>
      </c>
      <c r="Q375" s="156">
        <f>IFERROR(VLOOKUP(H375,Matrix!A:AC,15,0)-VLOOKUP(J375,Matrix!A:AC,15,0),"")</f>
        <v/>
      </c>
      <c r="R375" s="156">
        <f>IFERROR(VLOOKUP(H375,Matrix!A:AC,16,0)-VLOOKUP(J375,Matrix!A:AC,16,0),"")</f>
        <v/>
      </c>
      <c r="S375" s="195">
        <f>H375</f>
        <v/>
      </c>
      <c r="T375" s="195">
        <f>IFERROR(VLOOKUP(G375&amp;H375,2025Schedule!A:F,6,0),"")</f>
        <v/>
      </c>
      <c r="U375" s="264">
        <f>J375</f>
        <v/>
      </c>
      <c r="V375" s="195">
        <f>IFERROR(VLOOKUP(G375&amp;J375,2025Schedule!A:F,6,0),"")</f>
        <v/>
      </c>
    </row>
    <row r="376" ht="14.4" customHeight="1" s="152">
      <c r="A376" s="241">
        <f>H376&amp;I376</f>
        <v/>
      </c>
      <c r="B376" s="241">
        <f>J376&amp;C376</f>
        <v/>
      </c>
      <c r="C376" s="241">
        <f>IFERROR(IF(I376="Home","Away",IF(I376="Away","Home","")),"")</f>
        <v/>
      </c>
      <c r="D376" s="242">
        <f>H376</f>
        <v/>
      </c>
      <c r="E376" s="157">
        <f>IFERROR(IF(AND(F376&gt;0,T376&gt;V376),"Yes",IF(AND(F376&gt;0,T376&lt;V376),"No",IF(AND(F376&lt;0,T376&lt;V376),"Yes",IF(AND(F376&lt;0,T376&gt;V376),"No",0)))),"")</f>
        <v/>
      </c>
      <c r="F376" s="263">
        <f>IFERROR((N376/MAX(N:N)*_MOVw)+(O376/MAX(O:O)*_WINw)+(P376/MAX(P:P)*_PPGw)+(Q376/MAX(Q:Q)*_ORw)+(R376/MAX(R:R)*_DRw),"")</f>
        <v/>
      </c>
      <c r="N376" s="156">
        <f>IFERROR(VLOOKUP(H376,Matrix!A:AC,12,0)-VLOOKUP(J376,Matrix!A:AC,12,0),"")</f>
        <v/>
      </c>
      <c r="O376" s="182">
        <f>IFERROR(AVERAGEIFS(2025Schedule!O:O,2025Schedule!E:E,H376,2025Schedule!N:N,A376)-AVERAGEIFS(2025Schedule!O:O,2025Schedule!E:E,J376,2025Schedule!N:N,B376),0)</f>
        <v/>
      </c>
      <c r="P376" s="156">
        <f>IFERROR(VLOOKUP(H376,Matrix!A:D,2,0)-VLOOKUP(J376,Matrix!A:D,2,0),"")</f>
        <v/>
      </c>
      <c r="Q376" s="156">
        <f>IFERROR(VLOOKUP(H376,Matrix!A:AC,15,0)-VLOOKUP(J376,Matrix!A:AC,15,0),"")</f>
        <v/>
      </c>
      <c r="R376" s="156">
        <f>IFERROR(VLOOKUP(H376,Matrix!A:AC,16,0)-VLOOKUP(J376,Matrix!A:AC,16,0),"")</f>
        <v/>
      </c>
      <c r="S376" s="195">
        <f>H376</f>
        <v/>
      </c>
      <c r="T376" s="195">
        <f>IFERROR(VLOOKUP(G376&amp;H376,2025Schedule!A:F,6,0),"")</f>
        <v/>
      </c>
      <c r="U376" s="264">
        <f>J376</f>
        <v/>
      </c>
      <c r="V376" s="195">
        <f>IFERROR(VLOOKUP(G376&amp;J376,2025Schedule!A:F,6,0),"")</f>
        <v/>
      </c>
    </row>
    <row r="377" ht="14.4" customHeight="1" s="152">
      <c r="A377" s="241">
        <f>H377&amp;I377</f>
        <v/>
      </c>
      <c r="B377" s="241">
        <f>J377&amp;C377</f>
        <v/>
      </c>
      <c r="C377" s="241">
        <f>IFERROR(IF(I377="Home","Away",IF(I377="Away","Home","")),"")</f>
        <v/>
      </c>
      <c r="D377" s="242">
        <f>H377</f>
        <v/>
      </c>
      <c r="E377" s="157">
        <f>IFERROR(IF(AND(F377&gt;0,T377&gt;V377),"Yes",IF(AND(F377&gt;0,T377&lt;V377),"No",IF(AND(F377&lt;0,T377&lt;V377),"Yes",IF(AND(F377&lt;0,T377&gt;V377),"No",0)))),"")</f>
        <v/>
      </c>
      <c r="F377" s="263">
        <f>IFERROR((N377/MAX(N:N)*_MOVw)+(O377/MAX(O:O)*_WINw)+(P377/MAX(P:P)*_PPGw)+(Q377/MAX(Q:Q)*_ORw)+(R377/MAX(R:R)*_DRw),"")</f>
        <v/>
      </c>
      <c r="N377" s="156">
        <f>IFERROR(VLOOKUP(H377,Matrix!A:AC,12,0)-VLOOKUP(J377,Matrix!A:AC,12,0),"")</f>
        <v/>
      </c>
      <c r="O377" s="182">
        <f>IFERROR(AVERAGEIFS(2025Schedule!O:O,2025Schedule!E:E,H377,2025Schedule!N:N,A377)-AVERAGEIFS(2025Schedule!O:O,2025Schedule!E:E,J377,2025Schedule!N:N,B377),0)</f>
        <v/>
      </c>
      <c r="P377" s="156">
        <f>IFERROR(VLOOKUP(H377,Matrix!A:D,2,0)-VLOOKUP(J377,Matrix!A:D,2,0),"")</f>
        <v/>
      </c>
      <c r="Q377" s="156">
        <f>IFERROR(VLOOKUP(H377,Matrix!A:AC,15,0)-VLOOKUP(J377,Matrix!A:AC,15,0),"")</f>
        <v/>
      </c>
      <c r="R377" s="156">
        <f>IFERROR(VLOOKUP(H377,Matrix!A:AC,16,0)-VLOOKUP(J377,Matrix!A:AC,16,0),"")</f>
        <v/>
      </c>
      <c r="S377" s="195">
        <f>H377</f>
        <v/>
      </c>
      <c r="T377" s="195">
        <f>IFERROR(VLOOKUP(G377&amp;H377,2025Schedule!A:F,6,0),"")</f>
        <v/>
      </c>
      <c r="U377" s="264">
        <f>J377</f>
        <v/>
      </c>
      <c r="V377" s="195">
        <f>IFERROR(VLOOKUP(G377&amp;J377,2025Schedule!A:F,6,0),"")</f>
        <v/>
      </c>
    </row>
    <row r="378" ht="14.4" customHeight="1" s="152">
      <c r="A378" s="241">
        <f>H378&amp;I378</f>
        <v/>
      </c>
      <c r="B378" s="241">
        <f>J378&amp;C378</f>
        <v/>
      </c>
      <c r="C378" s="241">
        <f>IFERROR(IF(I378="Home","Away",IF(I378="Away","Home","")),"")</f>
        <v/>
      </c>
      <c r="D378" s="242">
        <f>H378</f>
        <v/>
      </c>
      <c r="E378" s="157">
        <f>IFERROR(IF(AND(F378&gt;0,T378&gt;V378),"Yes",IF(AND(F378&gt;0,T378&lt;V378),"No",IF(AND(F378&lt;0,T378&lt;V378),"Yes",IF(AND(F378&lt;0,T378&gt;V378),"No",0)))),"")</f>
        <v/>
      </c>
      <c r="F378" s="263">
        <f>IFERROR((N378/MAX(N:N)*_MOVw)+(O378/MAX(O:O)*_WINw)+(P378/MAX(P:P)*_PPGw)+(Q378/MAX(Q:Q)*_ORw)+(R378/MAX(R:R)*_DRw),"")</f>
        <v/>
      </c>
      <c r="N378" s="156">
        <f>IFERROR(VLOOKUP(H378,Matrix!A:AC,12,0)-VLOOKUP(J378,Matrix!A:AC,12,0),"")</f>
        <v/>
      </c>
      <c r="O378" s="182">
        <f>IFERROR(AVERAGEIFS(2025Schedule!O:O,2025Schedule!E:E,H378,2025Schedule!N:N,A378)-AVERAGEIFS(2025Schedule!O:O,2025Schedule!E:E,J378,2025Schedule!N:N,B378),0)</f>
        <v/>
      </c>
      <c r="P378" s="156">
        <f>IFERROR(VLOOKUP(H378,Matrix!A:D,2,0)-VLOOKUP(J378,Matrix!A:D,2,0),"")</f>
        <v/>
      </c>
      <c r="Q378" s="156">
        <f>IFERROR(VLOOKUP(H378,Matrix!A:AC,15,0)-VLOOKUP(J378,Matrix!A:AC,15,0),"")</f>
        <v/>
      </c>
      <c r="R378" s="156">
        <f>IFERROR(VLOOKUP(H378,Matrix!A:AC,16,0)-VLOOKUP(J378,Matrix!A:AC,16,0),"")</f>
        <v/>
      </c>
      <c r="S378" s="195">
        <f>H378</f>
        <v/>
      </c>
      <c r="T378" s="195">
        <f>IFERROR(VLOOKUP(G378&amp;H378,2025Schedule!A:F,6,0),"")</f>
        <v/>
      </c>
      <c r="U378" s="264">
        <f>J378</f>
        <v/>
      </c>
      <c r="V378" s="195">
        <f>IFERROR(VLOOKUP(G378&amp;J378,2025Schedule!A:F,6,0),"")</f>
        <v/>
      </c>
    </row>
    <row r="379" ht="14.4" customHeight="1" s="152">
      <c r="A379" s="241">
        <f>H379&amp;I379</f>
        <v/>
      </c>
      <c r="B379" s="241">
        <f>J379&amp;C379</f>
        <v/>
      </c>
      <c r="C379" s="241">
        <f>IFERROR(IF(I379="Home","Away",IF(I379="Away","Home","")),"")</f>
        <v/>
      </c>
      <c r="D379" s="242">
        <f>H379</f>
        <v/>
      </c>
      <c r="E379" s="157">
        <f>IFERROR(IF(AND(F379&gt;0,T379&gt;V379),"Yes",IF(AND(F379&gt;0,T379&lt;V379),"No",IF(AND(F379&lt;0,T379&lt;V379),"Yes",IF(AND(F379&lt;0,T379&gt;V379),"No",0)))),"")</f>
        <v/>
      </c>
      <c r="F379" s="263">
        <f>IFERROR((N379/MAX(N:N)*_MOVw)+(O379/MAX(O:O)*_WINw)+(P379/MAX(P:P)*_PPGw)+(Q379/MAX(Q:Q)*_ORw)+(R379/MAX(R:R)*_DRw),"")</f>
        <v/>
      </c>
      <c r="N379" s="156">
        <f>IFERROR(VLOOKUP(H379,Matrix!A:AC,12,0)-VLOOKUP(J379,Matrix!A:AC,12,0),"")</f>
        <v/>
      </c>
      <c r="O379" s="182">
        <f>IFERROR(AVERAGEIFS(2025Schedule!O:O,2025Schedule!E:E,H379,2025Schedule!N:N,A379)-AVERAGEIFS(2025Schedule!O:O,2025Schedule!E:E,J379,2025Schedule!N:N,B379),0)</f>
        <v/>
      </c>
      <c r="P379" s="156">
        <f>IFERROR(VLOOKUP(H379,Matrix!A:D,2,0)-VLOOKUP(J379,Matrix!A:D,2,0),"")</f>
        <v/>
      </c>
      <c r="Q379" s="156">
        <f>IFERROR(VLOOKUP(H379,Matrix!A:AC,15,0)-VLOOKUP(J379,Matrix!A:AC,15,0),"")</f>
        <v/>
      </c>
      <c r="R379" s="156">
        <f>IFERROR(VLOOKUP(H379,Matrix!A:AC,16,0)-VLOOKUP(J379,Matrix!A:AC,16,0),"")</f>
        <v/>
      </c>
      <c r="S379" s="195">
        <f>H379</f>
        <v/>
      </c>
      <c r="T379" s="195">
        <f>IFERROR(VLOOKUP(G379&amp;H379,2025Schedule!A:F,6,0),"")</f>
        <v/>
      </c>
      <c r="U379" s="264">
        <f>J379</f>
        <v/>
      </c>
      <c r="V379" s="195">
        <f>IFERROR(VLOOKUP(G379&amp;J379,2025Schedule!A:F,6,0),"")</f>
        <v/>
      </c>
    </row>
    <row r="380" ht="14.4" customHeight="1" s="152">
      <c r="A380" s="241">
        <f>H380&amp;I380</f>
        <v/>
      </c>
      <c r="B380" s="241">
        <f>J380&amp;C380</f>
        <v/>
      </c>
      <c r="C380" s="241">
        <f>IFERROR(IF(I380="Home","Away",IF(I380="Away","Home","")),"")</f>
        <v/>
      </c>
      <c r="D380" s="242">
        <f>H380</f>
        <v/>
      </c>
      <c r="E380" s="157">
        <f>IFERROR(IF(AND(F380&gt;0,T380&gt;V380),"Yes",IF(AND(F380&gt;0,T380&lt;V380),"No",IF(AND(F380&lt;0,T380&lt;V380),"Yes",IF(AND(F380&lt;0,T380&gt;V380),"No",0)))),"")</f>
        <v/>
      </c>
      <c r="F380" s="263">
        <f>IFERROR((N380/MAX(N:N)*_MOVw)+(O380/MAX(O:O)*_WINw)+(P380/MAX(P:P)*_PPGw)+(Q380/MAX(Q:Q)*_ORw)+(R380/MAX(R:R)*_DRw),"")</f>
        <v/>
      </c>
      <c r="N380" s="156">
        <f>IFERROR(VLOOKUP(H380,Matrix!A:AC,12,0)-VLOOKUP(J380,Matrix!A:AC,12,0),"")</f>
        <v/>
      </c>
      <c r="O380" s="182">
        <f>IFERROR(AVERAGEIFS(2025Schedule!O:O,2025Schedule!E:E,H380,2025Schedule!N:N,A380)-AVERAGEIFS(2025Schedule!O:O,2025Schedule!E:E,J380,2025Schedule!N:N,B380),0)</f>
        <v/>
      </c>
      <c r="P380" s="156">
        <f>IFERROR(VLOOKUP(H380,Matrix!A:D,2,0)-VLOOKUP(J380,Matrix!A:D,2,0),"")</f>
        <v/>
      </c>
      <c r="Q380" s="156">
        <f>IFERROR(VLOOKUP(H380,Matrix!A:AC,15,0)-VLOOKUP(J380,Matrix!A:AC,15,0),"")</f>
        <v/>
      </c>
      <c r="R380" s="156">
        <f>IFERROR(VLOOKUP(H380,Matrix!A:AC,16,0)-VLOOKUP(J380,Matrix!A:AC,16,0),"")</f>
        <v/>
      </c>
      <c r="S380" s="195">
        <f>H380</f>
        <v/>
      </c>
      <c r="T380" s="195">
        <f>IFERROR(VLOOKUP(G380&amp;H380,2025Schedule!A:F,6,0),"")</f>
        <v/>
      </c>
      <c r="U380" s="264">
        <f>J380</f>
        <v/>
      </c>
      <c r="V380" s="195">
        <f>IFERROR(VLOOKUP(G380&amp;J380,2025Schedule!A:F,6,0),"")</f>
        <v/>
      </c>
    </row>
    <row r="381" ht="14.4" customHeight="1" s="152">
      <c r="A381" s="241">
        <f>H381&amp;I381</f>
        <v/>
      </c>
      <c r="B381" s="241">
        <f>J381&amp;C381</f>
        <v/>
      </c>
      <c r="C381" s="241">
        <f>IFERROR(IF(I381="Home","Away",IF(I381="Away","Home","")),"")</f>
        <v/>
      </c>
      <c r="D381" s="242">
        <f>H381</f>
        <v/>
      </c>
      <c r="E381" s="157">
        <f>IFERROR(IF(AND(F381&gt;0,T381&gt;V381),"Yes",IF(AND(F381&gt;0,T381&lt;V381),"No",IF(AND(F381&lt;0,T381&lt;V381),"Yes",IF(AND(F381&lt;0,T381&gt;V381),"No",0)))),"")</f>
        <v/>
      </c>
      <c r="F381" s="263">
        <f>IFERROR((N381/MAX(N:N)*_MOVw)+(O381/MAX(O:O)*_WINw)+(P381/MAX(P:P)*_PPGw)+(Q381/MAX(Q:Q)*_ORw)+(R381/MAX(R:R)*_DRw),"")</f>
        <v/>
      </c>
      <c r="N381" s="156">
        <f>IFERROR(VLOOKUP(H381,Matrix!A:AC,12,0)-VLOOKUP(J381,Matrix!A:AC,12,0),"")</f>
        <v/>
      </c>
      <c r="O381" s="182">
        <f>IFERROR(AVERAGEIFS(2025Schedule!O:O,2025Schedule!E:E,H381,2025Schedule!N:N,A381)-AVERAGEIFS(2025Schedule!O:O,2025Schedule!E:E,J381,2025Schedule!N:N,B381),0)</f>
        <v/>
      </c>
      <c r="P381" s="156">
        <f>IFERROR(VLOOKUP(H381,Matrix!A:D,2,0)-VLOOKUP(J381,Matrix!A:D,2,0),"")</f>
        <v/>
      </c>
      <c r="Q381" s="156">
        <f>IFERROR(VLOOKUP(H381,Matrix!A:AC,15,0)-VLOOKUP(J381,Matrix!A:AC,15,0),"")</f>
        <v/>
      </c>
      <c r="R381" s="156">
        <f>IFERROR(VLOOKUP(H381,Matrix!A:AC,16,0)-VLOOKUP(J381,Matrix!A:AC,16,0),"")</f>
        <v/>
      </c>
      <c r="S381" s="195">
        <f>H381</f>
        <v/>
      </c>
      <c r="T381" s="195">
        <f>IFERROR(VLOOKUP(G381&amp;H381,2025Schedule!A:F,6,0),"")</f>
        <v/>
      </c>
      <c r="U381" s="264">
        <f>J381</f>
        <v/>
      </c>
      <c r="V381" s="195">
        <f>IFERROR(VLOOKUP(G381&amp;J381,2025Schedule!A:F,6,0),"")</f>
        <v/>
      </c>
    </row>
    <row r="382" ht="14.4" customHeight="1" s="152">
      <c r="A382" s="241">
        <f>H382&amp;I382</f>
        <v/>
      </c>
      <c r="B382" s="241">
        <f>J382&amp;C382</f>
        <v/>
      </c>
      <c r="C382" s="241">
        <f>IFERROR(IF(I382="Home","Away",IF(I382="Away","Home","")),"")</f>
        <v/>
      </c>
      <c r="D382" s="242">
        <f>H382</f>
        <v/>
      </c>
      <c r="E382" s="157">
        <f>IFERROR(IF(AND(F382&gt;0,T382&gt;V382),"Yes",IF(AND(F382&gt;0,T382&lt;V382),"No",IF(AND(F382&lt;0,T382&lt;V382),"Yes",IF(AND(F382&lt;0,T382&gt;V382),"No",0)))),"")</f>
        <v/>
      </c>
      <c r="F382" s="263">
        <f>IFERROR((N382/MAX(N:N)*_MOVw)+(O382/MAX(O:O)*_WINw)+(P382/MAX(P:P)*_PPGw)+(Q382/MAX(Q:Q)*_ORw)+(R382/MAX(R:R)*_DRw),"")</f>
        <v/>
      </c>
      <c r="N382" s="156">
        <f>IFERROR(VLOOKUP(H382,Matrix!A:AC,12,0)-VLOOKUP(J382,Matrix!A:AC,12,0),"")</f>
        <v/>
      </c>
      <c r="O382" s="182">
        <f>IFERROR(AVERAGEIFS(2025Schedule!O:O,2025Schedule!E:E,H382,2025Schedule!N:N,A382)-AVERAGEIFS(2025Schedule!O:O,2025Schedule!E:E,J382,2025Schedule!N:N,B382),0)</f>
        <v/>
      </c>
      <c r="P382" s="156">
        <f>IFERROR(VLOOKUP(H382,Matrix!A:D,2,0)-VLOOKUP(J382,Matrix!A:D,2,0),"")</f>
        <v/>
      </c>
      <c r="Q382" s="156">
        <f>IFERROR(VLOOKUP(H382,Matrix!A:AC,15,0)-VLOOKUP(J382,Matrix!A:AC,15,0),"")</f>
        <v/>
      </c>
      <c r="R382" s="156">
        <f>IFERROR(VLOOKUP(H382,Matrix!A:AC,16,0)-VLOOKUP(J382,Matrix!A:AC,16,0),"")</f>
        <v/>
      </c>
      <c r="S382" s="195">
        <f>H382</f>
        <v/>
      </c>
      <c r="T382" s="195">
        <f>IFERROR(VLOOKUP(G382&amp;H382,2025Schedule!A:F,6,0),"")</f>
        <v/>
      </c>
      <c r="U382" s="264">
        <f>J382</f>
        <v/>
      </c>
      <c r="V382" s="195">
        <f>IFERROR(VLOOKUP(G382&amp;J382,2025Schedule!A:F,6,0),"")</f>
        <v/>
      </c>
    </row>
    <row r="383" ht="14.4" customHeight="1" s="152">
      <c r="A383" s="241">
        <f>H383&amp;I383</f>
        <v/>
      </c>
      <c r="B383" s="241">
        <f>J383&amp;C383</f>
        <v/>
      </c>
      <c r="C383" s="241">
        <f>IFERROR(IF(I383="Home","Away",IF(I383="Away","Home","")),"")</f>
        <v/>
      </c>
      <c r="D383" s="242">
        <f>H383</f>
        <v/>
      </c>
      <c r="E383" s="157">
        <f>IFERROR(IF(AND(F383&gt;0,T383&gt;V383),"Yes",IF(AND(F383&gt;0,T383&lt;V383),"No",IF(AND(F383&lt;0,T383&lt;V383),"Yes",IF(AND(F383&lt;0,T383&gt;V383),"No",0)))),"")</f>
        <v/>
      </c>
      <c r="F383" s="263">
        <f>IFERROR((N383/MAX(N:N)*_MOVw)+(O383/MAX(O:O)*_WINw)+(P383/MAX(P:P)*_PPGw)+(Q383/MAX(Q:Q)*_ORw)+(R383/MAX(R:R)*_DRw),"")</f>
        <v/>
      </c>
      <c r="N383" s="156">
        <f>IFERROR(VLOOKUP(H383,Matrix!A:AC,12,0)-VLOOKUP(J383,Matrix!A:AC,12,0),"")</f>
        <v/>
      </c>
      <c r="O383" s="182">
        <f>IFERROR(AVERAGEIFS(2025Schedule!O:O,2025Schedule!E:E,H383,2025Schedule!N:N,A383)-AVERAGEIFS(2025Schedule!O:O,2025Schedule!E:E,J383,2025Schedule!N:N,B383),0)</f>
        <v/>
      </c>
      <c r="P383" s="156">
        <f>IFERROR(VLOOKUP(H383,Matrix!A:D,2,0)-VLOOKUP(J383,Matrix!A:D,2,0),"")</f>
        <v/>
      </c>
      <c r="Q383" s="156">
        <f>IFERROR(VLOOKUP(H383,Matrix!A:AC,15,0)-VLOOKUP(J383,Matrix!A:AC,15,0),"")</f>
        <v/>
      </c>
      <c r="R383" s="156">
        <f>IFERROR(VLOOKUP(H383,Matrix!A:AC,16,0)-VLOOKUP(J383,Matrix!A:AC,16,0),"")</f>
        <v/>
      </c>
      <c r="S383" s="195">
        <f>H383</f>
        <v/>
      </c>
      <c r="T383" s="195">
        <f>IFERROR(VLOOKUP(G383&amp;H383,2025Schedule!A:F,6,0),"")</f>
        <v/>
      </c>
      <c r="U383" s="264">
        <f>J383</f>
        <v/>
      </c>
      <c r="V383" s="195">
        <f>IFERROR(VLOOKUP(G383&amp;J383,2025Schedule!A:F,6,0),"")</f>
        <v/>
      </c>
    </row>
    <row r="384" ht="14.4" customHeight="1" s="152">
      <c r="A384" s="241">
        <f>H384&amp;I384</f>
        <v/>
      </c>
      <c r="B384" s="241">
        <f>J384&amp;C384</f>
        <v/>
      </c>
      <c r="C384" s="241">
        <f>IFERROR(IF(I384="Home","Away",IF(I384="Away","Home","")),"")</f>
        <v/>
      </c>
      <c r="D384" s="242">
        <f>H384</f>
        <v/>
      </c>
      <c r="E384" s="157">
        <f>IFERROR(IF(AND(F384&gt;0,T384&gt;V384),"Yes",IF(AND(F384&gt;0,T384&lt;V384),"No",IF(AND(F384&lt;0,T384&lt;V384),"Yes",IF(AND(F384&lt;0,T384&gt;V384),"No",0)))),"")</f>
        <v/>
      </c>
      <c r="F384" s="263">
        <f>IFERROR((N384/MAX(N:N)*_MOVw)+(O384/MAX(O:O)*_WINw)+(P384/MAX(P:P)*_PPGw)+(Q384/MAX(Q:Q)*_ORw)+(R384/MAX(R:R)*_DRw),"")</f>
        <v/>
      </c>
      <c r="N384" s="156">
        <f>IFERROR(VLOOKUP(H384,Matrix!A:AC,12,0)-VLOOKUP(J384,Matrix!A:AC,12,0),"")</f>
        <v/>
      </c>
      <c r="O384" s="182">
        <f>IFERROR(AVERAGEIFS(2025Schedule!O:O,2025Schedule!E:E,H384,2025Schedule!N:N,A384)-AVERAGEIFS(2025Schedule!O:O,2025Schedule!E:E,J384,2025Schedule!N:N,B384),0)</f>
        <v/>
      </c>
      <c r="P384" s="156">
        <f>IFERROR(VLOOKUP(H384,Matrix!A:D,2,0)-VLOOKUP(J384,Matrix!A:D,2,0),"")</f>
        <v/>
      </c>
      <c r="Q384" s="156">
        <f>IFERROR(VLOOKUP(H384,Matrix!A:AC,15,0)-VLOOKUP(J384,Matrix!A:AC,15,0),"")</f>
        <v/>
      </c>
      <c r="R384" s="156">
        <f>IFERROR(VLOOKUP(H384,Matrix!A:AC,16,0)-VLOOKUP(J384,Matrix!A:AC,16,0),"")</f>
        <v/>
      </c>
      <c r="S384" s="195">
        <f>H384</f>
        <v/>
      </c>
      <c r="T384" s="195">
        <f>IFERROR(VLOOKUP(G384&amp;H384,2025Schedule!A:F,6,0),"")</f>
        <v/>
      </c>
      <c r="U384" s="264">
        <f>J384</f>
        <v/>
      </c>
      <c r="V384" s="195">
        <f>IFERROR(VLOOKUP(G384&amp;J384,2025Schedule!A:F,6,0),"")</f>
        <v/>
      </c>
    </row>
    <row r="385" ht="14.4" customHeight="1" s="152">
      <c r="A385" s="241">
        <f>H385&amp;I385</f>
        <v/>
      </c>
      <c r="B385" s="241">
        <f>J385&amp;C385</f>
        <v/>
      </c>
      <c r="C385" s="241">
        <f>IFERROR(IF(I385="Home","Away",IF(I385="Away","Home","")),"")</f>
        <v/>
      </c>
      <c r="D385" s="242">
        <f>H385</f>
        <v/>
      </c>
      <c r="E385" s="157">
        <f>IFERROR(IF(AND(F385&gt;0,T385&gt;V385),"Yes",IF(AND(F385&gt;0,T385&lt;V385),"No",IF(AND(F385&lt;0,T385&lt;V385),"Yes",IF(AND(F385&lt;0,T385&gt;V385),"No",0)))),"")</f>
        <v/>
      </c>
      <c r="F385" s="263">
        <f>IFERROR((N385/MAX(N:N)*_MOVw)+(O385/MAX(O:O)*_WINw)+(P385/MAX(P:P)*_PPGw)+(Q385/MAX(Q:Q)*_ORw)+(R385/MAX(R:R)*_DRw),"")</f>
        <v/>
      </c>
      <c r="N385" s="156">
        <f>IFERROR(VLOOKUP(H385,Matrix!A:AC,12,0)-VLOOKUP(J385,Matrix!A:AC,12,0),"")</f>
        <v/>
      </c>
      <c r="O385" s="182">
        <f>IFERROR(AVERAGEIFS(2025Schedule!O:O,2025Schedule!E:E,H385,2025Schedule!N:N,A385)-AVERAGEIFS(2025Schedule!O:O,2025Schedule!E:E,J385,2025Schedule!N:N,B385),0)</f>
        <v/>
      </c>
      <c r="P385" s="156">
        <f>IFERROR(VLOOKUP(H385,Matrix!A:D,2,0)-VLOOKUP(J385,Matrix!A:D,2,0),"")</f>
        <v/>
      </c>
      <c r="Q385" s="156">
        <f>IFERROR(VLOOKUP(H385,Matrix!A:AC,15,0)-VLOOKUP(J385,Matrix!A:AC,15,0),"")</f>
        <v/>
      </c>
      <c r="R385" s="156">
        <f>IFERROR(VLOOKUP(H385,Matrix!A:AC,16,0)-VLOOKUP(J385,Matrix!A:AC,16,0),"")</f>
        <v/>
      </c>
      <c r="S385" s="195">
        <f>H385</f>
        <v/>
      </c>
      <c r="T385" s="195">
        <f>IFERROR(VLOOKUP(G385&amp;H385,2025Schedule!A:F,6,0),"")</f>
        <v/>
      </c>
      <c r="U385" s="264">
        <f>J385</f>
        <v/>
      </c>
      <c r="V385" s="195">
        <f>IFERROR(VLOOKUP(G385&amp;J385,2025Schedule!A:F,6,0),"")</f>
        <v/>
      </c>
    </row>
    <row r="386" ht="14.4" customHeight="1" s="152">
      <c r="A386" s="241">
        <f>H386&amp;I386</f>
        <v/>
      </c>
      <c r="B386" s="241">
        <f>J386&amp;C386</f>
        <v/>
      </c>
      <c r="C386" s="241">
        <f>IFERROR(IF(I386="Home","Away",IF(I386="Away","Home","")),"")</f>
        <v/>
      </c>
      <c r="D386" s="242">
        <f>H386</f>
        <v/>
      </c>
      <c r="E386" s="157">
        <f>IFERROR(IF(AND(F386&gt;0,T386&gt;V386),"Yes",IF(AND(F386&gt;0,T386&lt;V386),"No",IF(AND(F386&lt;0,T386&lt;V386),"Yes",IF(AND(F386&lt;0,T386&gt;V386),"No",0)))),"")</f>
        <v/>
      </c>
      <c r="F386" s="263">
        <f>IFERROR((N386/MAX(N:N)*_MOVw)+(O386/MAX(O:O)*_WINw)+(P386/MAX(P:P)*_PPGw)+(Q386/MAX(Q:Q)*_ORw)+(R386/MAX(R:R)*_DRw),"")</f>
        <v/>
      </c>
      <c r="N386" s="156">
        <f>IFERROR(VLOOKUP(H386,Matrix!A:AC,12,0)-VLOOKUP(J386,Matrix!A:AC,12,0),"")</f>
        <v/>
      </c>
      <c r="O386" s="182">
        <f>IFERROR(AVERAGEIFS(2025Schedule!O:O,2025Schedule!E:E,H386,2025Schedule!N:N,A386)-AVERAGEIFS(2025Schedule!O:O,2025Schedule!E:E,J386,2025Schedule!N:N,B386),0)</f>
        <v/>
      </c>
      <c r="P386" s="156">
        <f>IFERROR(VLOOKUP(H386,Matrix!A:D,2,0)-VLOOKUP(J386,Matrix!A:D,2,0),"")</f>
        <v/>
      </c>
      <c r="Q386" s="156">
        <f>IFERROR(VLOOKUP(H386,Matrix!A:AC,15,0)-VLOOKUP(J386,Matrix!A:AC,15,0),"")</f>
        <v/>
      </c>
      <c r="R386" s="156">
        <f>IFERROR(VLOOKUP(H386,Matrix!A:AC,16,0)-VLOOKUP(J386,Matrix!A:AC,16,0),"")</f>
        <v/>
      </c>
      <c r="S386" s="195">
        <f>H386</f>
        <v/>
      </c>
      <c r="T386" s="195">
        <f>IFERROR(VLOOKUP(G386&amp;H386,2025Schedule!A:F,6,0),"")</f>
        <v/>
      </c>
      <c r="U386" s="264">
        <f>J386</f>
        <v/>
      </c>
      <c r="V386" s="195">
        <f>IFERROR(VLOOKUP(G386&amp;J386,2025Schedule!A:F,6,0),"")</f>
        <v/>
      </c>
    </row>
    <row r="387" ht="14.4" customHeight="1" s="152">
      <c r="A387" s="241">
        <f>H387&amp;I387</f>
        <v/>
      </c>
      <c r="B387" s="241">
        <f>J387&amp;C387</f>
        <v/>
      </c>
      <c r="C387" s="241">
        <f>IFERROR(IF(I387="Home","Away",IF(I387="Away","Home","")),"")</f>
        <v/>
      </c>
      <c r="D387" s="242">
        <f>H387</f>
        <v/>
      </c>
      <c r="E387" s="157">
        <f>IFERROR(IF(AND(F387&gt;0,T387&gt;V387),"Yes",IF(AND(F387&gt;0,T387&lt;V387),"No",IF(AND(F387&lt;0,T387&lt;V387),"Yes",IF(AND(F387&lt;0,T387&gt;V387),"No",0)))),"")</f>
        <v/>
      </c>
      <c r="F387" s="263">
        <f>IFERROR((N387/MAX(N:N)*_MOVw)+(O387/MAX(O:O)*_WINw)+(P387/MAX(P:P)*_PPGw)+(Q387/MAX(Q:Q)*_ORw)+(R387/MAX(R:R)*_DRw),"")</f>
        <v/>
      </c>
      <c r="N387" s="156">
        <f>IFERROR(VLOOKUP(H387,Matrix!A:AC,12,0)-VLOOKUP(J387,Matrix!A:AC,12,0),"")</f>
        <v/>
      </c>
      <c r="O387" s="182">
        <f>IFERROR(AVERAGEIFS(2025Schedule!O:O,2025Schedule!E:E,H387,2025Schedule!N:N,A387)-AVERAGEIFS(2025Schedule!O:O,2025Schedule!E:E,J387,2025Schedule!N:N,B387),0)</f>
        <v/>
      </c>
      <c r="P387" s="156">
        <f>IFERROR(VLOOKUP(H387,Matrix!A:D,2,0)-VLOOKUP(J387,Matrix!A:D,2,0),"")</f>
        <v/>
      </c>
      <c r="Q387" s="156">
        <f>IFERROR(VLOOKUP(H387,Matrix!A:AC,15,0)-VLOOKUP(J387,Matrix!A:AC,15,0),"")</f>
        <v/>
      </c>
      <c r="R387" s="156">
        <f>IFERROR(VLOOKUP(H387,Matrix!A:AC,16,0)-VLOOKUP(J387,Matrix!A:AC,16,0),"")</f>
        <v/>
      </c>
      <c r="S387" s="195">
        <f>H387</f>
        <v/>
      </c>
      <c r="T387" s="195">
        <f>IFERROR(VLOOKUP(G387&amp;H387,2025Schedule!A:F,6,0),"")</f>
        <v/>
      </c>
      <c r="U387" s="264">
        <f>J387</f>
        <v/>
      </c>
      <c r="V387" s="195">
        <f>IFERROR(VLOOKUP(G387&amp;J387,2025Schedule!A:F,6,0),"")</f>
        <v/>
      </c>
    </row>
    <row r="388" ht="14.4" customHeight="1" s="152">
      <c r="A388" s="241">
        <f>H388&amp;I388</f>
        <v/>
      </c>
      <c r="B388" s="241">
        <f>J388&amp;C388</f>
        <v/>
      </c>
      <c r="C388" s="241">
        <f>IFERROR(IF(I388="Home","Away",IF(I388="Away","Home","")),"")</f>
        <v/>
      </c>
      <c r="D388" s="242">
        <f>H388</f>
        <v/>
      </c>
      <c r="E388" s="157">
        <f>IFERROR(IF(AND(F388&gt;0,T388&gt;V388),"Yes",IF(AND(F388&gt;0,T388&lt;V388),"No",IF(AND(F388&lt;0,T388&lt;V388),"Yes",IF(AND(F388&lt;0,T388&gt;V388),"No",0)))),"")</f>
        <v/>
      </c>
      <c r="F388" s="263">
        <f>IFERROR((N388/MAX(N:N)*_MOVw)+(O388/MAX(O:O)*_WINw)+(P388/MAX(P:P)*_PPGw)+(Q388/MAX(Q:Q)*_ORw)+(R388/MAX(R:R)*_DRw),"")</f>
        <v/>
      </c>
      <c r="N388" s="156">
        <f>IFERROR(VLOOKUP(H388,Matrix!A:AC,12,0)-VLOOKUP(J388,Matrix!A:AC,12,0),"")</f>
        <v/>
      </c>
      <c r="O388" s="182">
        <f>IFERROR(AVERAGEIFS(2025Schedule!O:O,2025Schedule!E:E,H388,2025Schedule!N:N,A388)-AVERAGEIFS(2025Schedule!O:O,2025Schedule!E:E,J388,2025Schedule!N:N,B388),0)</f>
        <v/>
      </c>
      <c r="P388" s="156">
        <f>IFERROR(VLOOKUP(H388,Matrix!A:D,2,0)-VLOOKUP(J388,Matrix!A:D,2,0),"")</f>
        <v/>
      </c>
      <c r="Q388" s="156">
        <f>IFERROR(VLOOKUP(H388,Matrix!A:AC,15,0)-VLOOKUP(J388,Matrix!A:AC,15,0),"")</f>
        <v/>
      </c>
      <c r="R388" s="156">
        <f>IFERROR(VLOOKUP(H388,Matrix!A:AC,16,0)-VLOOKUP(J388,Matrix!A:AC,16,0),"")</f>
        <v/>
      </c>
      <c r="S388" s="195">
        <f>H388</f>
        <v/>
      </c>
      <c r="T388" s="195">
        <f>IFERROR(VLOOKUP(G388&amp;H388,2025Schedule!A:F,6,0),"")</f>
        <v/>
      </c>
      <c r="U388" s="264">
        <f>J388</f>
        <v/>
      </c>
      <c r="V388" s="195">
        <f>IFERROR(VLOOKUP(G388&amp;J388,2025Schedule!A:F,6,0),"")</f>
        <v/>
      </c>
    </row>
    <row r="389" ht="14.4" customHeight="1" s="152">
      <c r="A389" s="241">
        <f>H389&amp;I389</f>
        <v/>
      </c>
      <c r="B389" s="241">
        <f>J389&amp;C389</f>
        <v/>
      </c>
      <c r="C389" s="241">
        <f>IFERROR(IF(I389="Home","Away",IF(I389="Away","Home","")),"")</f>
        <v/>
      </c>
      <c r="D389" s="242">
        <f>H389</f>
        <v/>
      </c>
      <c r="E389" s="157">
        <f>IFERROR(IF(AND(F389&gt;0,T389&gt;V389),"Yes",IF(AND(F389&gt;0,T389&lt;V389),"No",IF(AND(F389&lt;0,T389&lt;V389),"Yes",IF(AND(F389&lt;0,T389&gt;V389),"No",0)))),"")</f>
        <v/>
      </c>
      <c r="F389" s="263">
        <f>IFERROR((N389/MAX(N:N)*_MOVw)+(O389/MAX(O:O)*_WINw)+(P389/MAX(P:P)*_PPGw)+(Q389/MAX(Q:Q)*_ORw)+(R389/MAX(R:R)*_DRw),"")</f>
        <v/>
      </c>
      <c r="N389" s="156">
        <f>IFERROR(VLOOKUP(H389,Matrix!A:AC,12,0)-VLOOKUP(J389,Matrix!A:AC,12,0),"")</f>
        <v/>
      </c>
      <c r="O389" s="182">
        <f>IFERROR(AVERAGEIFS(2025Schedule!O:O,2025Schedule!E:E,H389,2025Schedule!N:N,A389)-AVERAGEIFS(2025Schedule!O:O,2025Schedule!E:E,J389,2025Schedule!N:N,B389),0)</f>
        <v/>
      </c>
      <c r="P389" s="156">
        <f>IFERROR(VLOOKUP(H389,Matrix!A:D,2,0)-VLOOKUP(J389,Matrix!A:D,2,0),"")</f>
        <v/>
      </c>
      <c r="Q389" s="156">
        <f>IFERROR(VLOOKUP(H389,Matrix!A:AC,15,0)-VLOOKUP(J389,Matrix!A:AC,15,0),"")</f>
        <v/>
      </c>
      <c r="R389" s="156">
        <f>IFERROR(VLOOKUP(H389,Matrix!A:AC,16,0)-VLOOKUP(J389,Matrix!A:AC,16,0),"")</f>
        <v/>
      </c>
      <c r="S389" s="195">
        <f>H389</f>
        <v/>
      </c>
      <c r="T389" s="195">
        <f>IFERROR(VLOOKUP(G389&amp;H389,2025Schedule!A:F,6,0),"")</f>
        <v/>
      </c>
      <c r="U389" s="264">
        <f>J389</f>
        <v/>
      </c>
      <c r="V389" s="195">
        <f>IFERROR(VLOOKUP(G389&amp;J389,2025Schedule!A:F,6,0),"")</f>
        <v/>
      </c>
    </row>
    <row r="390" ht="14.4" customHeight="1" s="152">
      <c r="A390" s="241">
        <f>H390&amp;I390</f>
        <v/>
      </c>
      <c r="B390" s="241">
        <f>J390&amp;C390</f>
        <v/>
      </c>
      <c r="C390" s="241">
        <f>IFERROR(IF(I390="Home","Away",IF(I390="Away","Home","")),"")</f>
        <v/>
      </c>
      <c r="D390" s="242">
        <f>H390</f>
        <v/>
      </c>
      <c r="E390" s="157">
        <f>IFERROR(IF(AND(F390&gt;0,T390&gt;V390),"Yes",IF(AND(F390&gt;0,T390&lt;V390),"No",IF(AND(F390&lt;0,T390&lt;V390),"Yes",IF(AND(F390&lt;0,T390&gt;V390),"No",0)))),"")</f>
        <v/>
      </c>
      <c r="F390" s="263">
        <f>IFERROR((N390/MAX(N:N)*_MOVw)+(O390/MAX(O:O)*_WINw)+(P390/MAX(P:P)*_PPGw)+(Q390/MAX(Q:Q)*_ORw)+(R390/MAX(R:R)*_DRw),"")</f>
        <v/>
      </c>
      <c r="N390" s="156">
        <f>IFERROR(VLOOKUP(H390,Matrix!A:AC,12,0)-VLOOKUP(J390,Matrix!A:AC,12,0),"")</f>
        <v/>
      </c>
      <c r="O390" s="182">
        <f>IFERROR(AVERAGEIFS(2025Schedule!O:O,2025Schedule!E:E,H390,2025Schedule!N:N,A390)-AVERAGEIFS(2025Schedule!O:O,2025Schedule!E:E,J390,2025Schedule!N:N,B390),0)</f>
        <v/>
      </c>
      <c r="P390" s="156">
        <f>IFERROR(VLOOKUP(H390,Matrix!A:D,2,0)-VLOOKUP(J390,Matrix!A:D,2,0),"")</f>
        <v/>
      </c>
      <c r="Q390" s="156">
        <f>IFERROR(VLOOKUP(H390,Matrix!A:AC,15,0)-VLOOKUP(J390,Matrix!A:AC,15,0),"")</f>
        <v/>
      </c>
      <c r="R390" s="156">
        <f>IFERROR(VLOOKUP(H390,Matrix!A:AC,16,0)-VLOOKUP(J390,Matrix!A:AC,16,0),"")</f>
        <v/>
      </c>
      <c r="S390" s="195">
        <f>H390</f>
        <v/>
      </c>
      <c r="T390" s="195">
        <f>IFERROR(VLOOKUP(G390&amp;H390,2025Schedule!A:F,6,0),"")</f>
        <v/>
      </c>
      <c r="U390" s="264">
        <f>J390</f>
        <v/>
      </c>
      <c r="V390" s="195">
        <f>IFERROR(VLOOKUP(G390&amp;J390,2025Schedule!A:F,6,0),"")</f>
        <v/>
      </c>
    </row>
    <row r="391" ht="14.4" customHeight="1" s="152">
      <c r="A391" s="241">
        <f>H391&amp;I391</f>
        <v/>
      </c>
      <c r="B391" s="241">
        <f>J391&amp;C391</f>
        <v/>
      </c>
      <c r="C391" s="241">
        <f>IFERROR(IF(I391="Home","Away",IF(I391="Away","Home","")),"")</f>
        <v/>
      </c>
      <c r="D391" s="242">
        <f>H391</f>
        <v/>
      </c>
      <c r="E391" s="157">
        <f>IFERROR(IF(AND(F391&gt;0,T391&gt;V391),"Yes",IF(AND(F391&gt;0,T391&lt;V391),"No",IF(AND(F391&lt;0,T391&lt;V391),"Yes",IF(AND(F391&lt;0,T391&gt;V391),"No",0)))),"")</f>
        <v/>
      </c>
      <c r="F391" s="263">
        <f>IFERROR((N391/MAX(N:N)*_MOVw)+(O391/MAX(O:O)*_WINw)+(P391/MAX(P:P)*_PPGw)+(Q391/MAX(Q:Q)*_ORw)+(R391/MAX(R:R)*_DRw),"")</f>
        <v/>
      </c>
      <c r="N391" s="156">
        <f>IFERROR(VLOOKUP(H391,Matrix!A:AC,12,0)-VLOOKUP(J391,Matrix!A:AC,12,0),"")</f>
        <v/>
      </c>
      <c r="O391" s="182">
        <f>IFERROR(AVERAGEIFS(2025Schedule!O:O,2025Schedule!E:E,H391,2025Schedule!N:N,A391)-AVERAGEIFS(2025Schedule!O:O,2025Schedule!E:E,J391,2025Schedule!N:N,B391),0)</f>
        <v/>
      </c>
      <c r="P391" s="156">
        <f>IFERROR(VLOOKUP(H391,Matrix!A:D,2,0)-VLOOKUP(J391,Matrix!A:D,2,0),"")</f>
        <v/>
      </c>
      <c r="Q391" s="156">
        <f>IFERROR(VLOOKUP(H391,Matrix!A:AC,15,0)-VLOOKUP(J391,Matrix!A:AC,15,0),"")</f>
        <v/>
      </c>
      <c r="R391" s="156">
        <f>IFERROR(VLOOKUP(H391,Matrix!A:AC,16,0)-VLOOKUP(J391,Matrix!A:AC,16,0),"")</f>
        <v/>
      </c>
      <c r="S391" s="195">
        <f>H391</f>
        <v/>
      </c>
      <c r="T391" s="195">
        <f>IFERROR(VLOOKUP(G391&amp;H391,2025Schedule!A:F,6,0),"")</f>
        <v/>
      </c>
      <c r="U391" s="264">
        <f>J391</f>
        <v/>
      </c>
      <c r="V391" s="195">
        <f>IFERROR(VLOOKUP(G391&amp;J391,2025Schedule!A:F,6,0),"")</f>
        <v/>
      </c>
    </row>
    <row r="392" ht="14.4" customHeight="1" s="152">
      <c r="A392" s="241">
        <f>H392&amp;I392</f>
        <v/>
      </c>
      <c r="B392" s="241">
        <f>J392&amp;C392</f>
        <v/>
      </c>
      <c r="C392" s="241">
        <f>IFERROR(IF(I392="Home","Away",IF(I392="Away","Home","")),"")</f>
        <v/>
      </c>
      <c r="D392" s="242">
        <f>H392</f>
        <v/>
      </c>
      <c r="E392" s="157">
        <f>IFERROR(IF(AND(F392&gt;0,T392&gt;V392),"Yes",IF(AND(F392&gt;0,T392&lt;V392),"No",IF(AND(F392&lt;0,T392&lt;V392),"Yes",IF(AND(F392&lt;0,T392&gt;V392),"No",0)))),"")</f>
        <v/>
      </c>
      <c r="F392" s="263">
        <f>IFERROR((N392/MAX(N:N)*_MOVw)+(O392/MAX(O:O)*_WINw)+(P392/MAX(P:P)*_PPGw)+(Q392/MAX(Q:Q)*_ORw)+(R392/MAX(R:R)*_DRw),"")</f>
        <v/>
      </c>
      <c r="N392" s="156">
        <f>IFERROR(VLOOKUP(H392,Matrix!A:AC,12,0)-VLOOKUP(J392,Matrix!A:AC,12,0),"")</f>
        <v/>
      </c>
      <c r="O392" s="182">
        <f>IFERROR(AVERAGEIFS(2025Schedule!O:O,2025Schedule!E:E,H392,2025Schedule!N:N,A392)-AVERAGEIFS(2025Schedule!O:O,2025Schedule!E:E,J392,2025Schedule!N:N,B392),0)</f>
        <v/>
      </c>
      <c r="P392" s="156">
        <f>IFERROR(VLOOKUP(H392,Matrix!A:D,2,0)-VLOOKUP(J392,Matrix!A:D,2,0),"")</f>
        <v/>
      </c>
      <c r="Q392" s="156">
        <f>IFERROR(VLOOKUP(H392,Matrix!A:AC,15,0)-VLOOKUP(J392,Matrix!A:AC,15,0),"")</f>
        <v/>
      </c>
      <c r="R392" s="156">
        <f>IFERROR(VLOOKUP(H392,Matrix!A:AC,16,0)-VLOOKUP(J392,Matrix!A:AC,16,0),"")</f>
        <v/>
      </c>
      <c r="S392" s="195">
        <f>H392</f>
        <v/>
      </c>
      <c r="T392" s="195">
        <f>IFERROR(VLOOKUP(G392&amp;H392,2025Schedule!A:F,6,0),"")</f>
        <v/>
      </c>
      <c r="U392" s="264">
        <f>J392</f>
        <v/>
      </c>
      <c r="V392" s="195">
        <f>IFERROR(VLOOKUP(G392&amp;J392,2025Schedule!A:F,6,0),"")</f>
        <v/>
      </c>
    </row>
    <row r="393" ht="14.4" customHeight="1" s="152">
      <c r="A393" s="241">
        <f>H393&amp;I393</f>
        <v/>
      </c>
      <c r="B393" s="241">
        <f>J393&amp;C393</f>
        <v/>
      </c>
      <c r="C393" s="241">
        <f>IFERROR(IF(I393="Home","Away",IF(I393="Away","Home","")),"")</f>
        <v/>
      </c>
      <c r="D393" s="242">
        <f>H393</f>
        <v/>
      </c>
      <c r="E393" s="157">
        <f>IFERROR(IF(AND(F393&gt;0,T393&gt;V393),"Yes",IF(AND(F393&gt;0,T393&lt;V393),"No",IF(AND(F393&lt;0,T393&lt;V393),"Yes",IF(AND(F393&lt;0,T393&gt;V393),"No",0)))),"")</f>
        <v/>
      </c>
      <c r="F393" s="263">
        <f>IFERROR((N393/MAX(N:N)*_MOVw)+(O393/MAX(O:O)*_WINw)+(P393/MAX(P:P)*_PPGw)+(Q393/MAX(Q:Q)*_ORw)+(R393/MAX(R:R)*_DRw),"")</f>
        <v/>
      </c>
      <c r="N393" s="156">
        <f>IFERROR(VLOOKUP(H393,Matrix!A:AC,12,0)-VLOOKUP(J393,Matrix!A:AC,12,0),"")</f>
        <v/>
      </c>
      <c r="O393" s="182">
        <f>IFERROR(AVERAGEIFS(2025Schedule!O:O,2025Schedule!E:E,H393,2025Schedule!N:N,A393)-AVERAGEIFS(2025Schedule!O:O,2025Schedule!E:E,J393,2025Schedule!N:N,B393),0)</f>
        <v/>
      </c>
      <c r="P393" s="156">
        <f>IFERROR(VLOOKUP(H393,Matrix!A:D,2,0)-VLOOKUP(J393,Matrix!A:D,2,0),"")</f>
        <v/>
      </c>
      <c r="Q393" s="156">
        <f>IFERROR(VLOOKUP(H393,Matrix!A:AC,15,0)-VLOOKUP(J393,Matrix!A:AC,15,0),"")</f>
        <v/>
      </c>
      <c r="R393" s="156">
        <f>IFERROR(VLOOKUP(H393,Matrix!A:AC,16,0)-VLOOKUP(J393,Matrix!A:AC,16,0),"")</f>
        <v/>
      </c>
      <c r="S393" s="195">
        <f>H393</f>
        <v/>
      </c>
      <c r="T393" s="195">
        <f>IFERROR(VLOOKUP(G393&amp;H393,2025Schedule!A:F,6,0),"")</f>
        <v/>
      </c>
      <c r="U393" s="264">
        <f>J393</f>
        <v/>
      </c>
      <c r="V393" s="195">
        <f>IFERROR(VLOOKUP(G393&amp;J393,2025Schedule!A:F,6,0),"")</f>
        <v/>
      </c>
    </row>
    <row r="394" ht="14.4" customHeight="1" s="152">
      <c r="A394" s="241">
        <f>H394&amp;I394</f>
        <v/>
      </c>
      <c r="B394" s="241">
        <f>J394&amp;C394</f>
        <v/>
      </c>
      <c r="C394" s="241">
        <f>IFERROR(IF(I394="Home","Away",IF(I394="Away","Home","")),"")</f>
        <v/>
      </c>
      <c r="D394" s="242">
        <f>H394</f>
        <v/>
      </c>
      <c r="E394" s="157">
        <f>IFERROR(IF(AND(F394&gt;0,T394&gt;V394),"Yes",IF(AND(F394&gt;0,T394&lt;V394),"No",IF(AND(F394&lt;0,T394&lt;V394),"Yes",IF(AND(F394&lt;0,T394&gt;V394),"No",0)))),"")</f>
        <v/>
      </c>
      <c r="F394" s="263">
        <f>IFERROR((N394/MAX(N:N)*_MOVw)+(O394/MAX(O:O)*_WINw)+(P394/MAX(P:P)*_PPGw)+(Q394/MAX(Q:Q)*_ORw)+(R394/MAX(R:R)*_DRw),"")</f>
        <v/>
      </c>
      <c r="N394" s="156">
        <f>IFERROR(VLOOKUP(H394,Matrix!A:AC,12,0)-VLOOKUP(J394,Matrix!A:AC,12,0),"")</f>
        <v/>
      </c>
      <c r="O394" s="182">
        <f>IFERROR(AVERAGEIFS(2025Schedule!O:O,2025Schedule!E:E,H394,2025Schedule!N:N,A394)-AVERAGEIFS(2025Schedule!O:O,2025Schedule!E:E,J394,2025Schedule!N:N,B394),0)</f>
        <v/>
      </c>
      <c r="P394" s="156">
        <f>IFERROR(VLOOKUP(H394,Matrix!A:D,2,0)-VLOOKUP(J394,Matrix!A:D,2,0),"")</f>
        <v/>
      </c>
      <c r="Q394" s="156">
        <f>IFERROR(VLOOKUP(H394,Matrix!A:AC,15,0)-VLOOKUP(J394,Matrix!A:AC,15,0),"")</f>
        <v/>
      </c>
      <c r="R394" s="156">
        <f>IFERROR(VLOOKUP(H394,Matrix!A:AC,16,0)-VLOOKUP(J394,Matrix!A:AC,16,0),"")</f>
        <v/>
      </c>
      <c r="S394" s="195">
        <f>H394</f>
        <v/>
      </c>
      <c r="T394" s="195">
        <f>IFERROR(VLOOKUP(G394&amp;H394,2025Schedule!A:F,6,0),"")</f>
        <v/>
      </c>
      <c r="U394" s="264">
        <f>J394</f>
        <v/>
      </c>
      <c r="V394" s="195">
        <f>IFERROR(VLOOKUP(G394&amp;J394,2025Schedule!A:F,6,0),"")</f>
        <v/>
      </c>
    </row>
    <row r="395" ht="14.4" customHeight="1" s="152">
      <c r="A395" s="241">
        <f>H395&amp;I395</f>
        <v/>
      </c>
      <c r="B395" s="241">
        <f>J395&amp;C395</f>
        <v/>
      </c>
      <c r="C395" s="241">
        <f>IFERROR(IF(I395="Home","Away",IF(I395="Away","Home","")),"")</f>
        <v/>
      </c>
      <c r="D395" s="242">
        <f>H395</f>
        <v/>
      </c>
      <c r="E395" s="157">
        <f>IFERROR(IF(AND(F395&gt;0,T395&gt;V395),"Yes",IF(AND(F395&gt;0,T395&lt;V395),"No",IF(AND(F395&lt;0,T395&lt;V395),"Yes",IF(AND(F395&lt;0,T395&gt;V395),"No",0)))),"")</f>
        <v/>
      </c>
      <c r="F395" s="263">
        <f>IFERROR((N395/MAX(N:N)*_MOVw)+(O395/MAX(O:O)*_WINw)+(P395/MAX(P:P)*_PPGw)+(Q395/MAX(Q:Q)*_ORw)+(R395/MAX(R:R)*_DRw),"")</f>
        <v/>
      </c>
      <c r="N395" s="156">
        <f>IFERROR(VLOOKUP(H395,Matrix!A:AC,12,0)-VLOOKUP(J395,Matrix!A:AC,12,0),"")</f>
        <v/>
      </c>
      <c r="O395" s="182">
        <f>IFERROR(AVERAGEIFS(2025Schedule!O:O,2025Schedule!E:E,H395,2025Schedule!N:N,A395)-AVERAGEIFS(2025Schedule!O:O,2025Schedule!E:E,J395,2025Schedule!N:N,B395),0)</f>
        <v/>
      </c>
      <c r="P395" s="156">
        <f>IFERROR(VLOOKUP(H395,Matrix!A:D,2,0)-VLOOKUP(J395,Matrix!A:D,2,0),"")</f>
        <v/>
      </c>
      <c r="Q395" s="156">
        <f>IFERROR(VLOOKUP(H395,Matrix!A:AC,15,0)-VLOOKUP(J395,Matrix!A:AC,15,0),"")</f>
        <v/>
      </c>
      <c r="R395" s="156">
        <f>IFERROR(VLOOKUP(H395,Matrix!A:AC,16,0)-VLOOKUP(J395,Matrix!A:AC,16,0),"")</f>
        <v/>
      </c>
      <c r="S395" s="195">
        <f>H395</f>
        <v/>
      </c>
      <c r="T395" s="195">
        <f>IFERROR(VLOOKUP(G395&amp;H395,2025Schedule!A:F,6,0),"")</f>
        <v/>
      </c>
      <c r="U395" s="264">
        <f>J395</f>
        <v/>
      </c>
      <c r="V395" s="195">
        <f>IFERROR(VLOOKUP(G395&amp;J395,2025Schedule!A:F,6,0),"")</f>
        <v/>
      </c>
    </row>
    <row r="396" ht="14.4" customHeight="1" s="152">
      <c r="A396" s="241">
        <f>H396&amp;I396</f>
        <v/>
      </c>
      <c r="B396" s="241">
        <f>J396&amp;C396</f>
        <v/>
      </c>
      <c r="C396" s="241">
        <f>IFERROR(IF(I396="Home","Away",IF(I396="Away","Home","")),"")</f>
        <v/>
      </c>
      <c r="D396" s="242">
        <f>H396</f>
        <v/>
      </c>
      <c r="E396" s="157">
        <f>IFERROR(IF(AND(F396&gt;0,T396&gt;V396),"Yes",IF(AND(F396&gt;0,T396&lt;V396),"No",IF(AND(F396&lt;0,T396&lt;V396),"Yes",IF(AND(F396&lt;0,T396&gt;V396),"No",0)))),"")</f>
        <v/>
      </c>
      <c r="F396" s="263">
        <f>IFERROR((N396/MAX(N:N)*_MOVw)+(O396/MAX(O:O)*_WINw)+(P396/MAX(P:P)*_PPGw)+(Q396/MAX(Q:Q)*_ORw)+(R396/MAX(R:R)*_DRw),"")</f>
        <v/>
      </c>
      <c r="N396" s="156">
        <f>IFERROR(VLOOKUP(H396,Matrix!A:AC,12,0)-VLOOKUP(J396,Matrix!A:AC,12,0),"")</f>
        <v/>
      </c>
      <c r="O396" s="182">
        <f>IFERROR(AVERAGEIFS(2025Schedule!O:O,2025Schedule!E:E,H396,2025Schedule!N:N,A396)-AVERAGEIFS(2025Schedule!O:O,2025Schedule!E:E,J396,2025Schedule!N:N,B396),0)</f>
        <v/>
      </c>
      <c r="P396" s="156">
        <f>IFERROR(VLOOKUP(H396,Matrix!A:D,2,0)-VLOOKUP(J396,Matrix!A:D,2,0),"")</f>
        <v/>
      </c>
      <c r="Q396" s="156">
        <f>IFERROR(VLOOKUP(H396,Matrix!A:AC,15,0)-VLOOKUP(J396,Matrix!A:AC,15,0),"")</f>
        <v/>
      </c>
      <c r="R396" s="156">
        <f>IFERROR(VLOOKUP(H396,Matrix!A:AC,16,0)-VLOOKUP(J396,Matrix!A:AC,16,0),"")</f>
        <v/>
      </c>
      <c r="S396" s="195">
        <f>H396</f>
        <v/>
      </c>
      <c r="T396" s="195">
        <f>IFERROR(VLOOKUP(G396&amp;H396,2025Schedule!A:F,6,0),"")</f>
        <v/>
      </c>
      <c r="U396" s="264">
        <f>J396</f>
        <v/>
      </c>
      <c r="V396" s="195">
        <f>IFERROR(VLOOKUP(G396&amp;J396,2025Schedule!A:F,6,0),"")</f>
        <v/>
      </c>
    </row>
    <row r="397" ht="14.4" customHeight="1" s="152">
      <c r="A397" s="241">
        <f>H397&amp;I397</f>
        <v/>
      </c>
      <c r="B397" s="241">
        <f>J397&amp;C397</f>
        <v/>
      </c>
      <c r="C397" s="241">
        <f>IFERROR(IF(I397="Home","Away",IF(I397="Away","Home","")),"")</f>
        <v/>
      </c>
      <c r="D397" s="242">
        <f>H397</f>
        <v/>
      </c>
      <c r="E397" s="157">
        <f>IFERROR(IF(AND(F397&gt;0,T397&gt;V397),"Yes",IF(AND(F397&gt;0,T397&lt;V397),"No",IF(AND(F397&lt;0,T397&lt;V397),"Yes",IF(AND(F397&lt;0,T397&gt;V397),"No",0)))),"")</f>
        <v/>
      </c>
      <c r="F397" s="263">
        <f>IFERROR((N397/MAX(N:N)*_MOVw)+(O397/MAX(O:O)*_WINw)+(P397/MAX(P:P)*_PPGw)+(Q397/MAX(Q:Q)*_ORw)+(R397/MAX(R:R)*_DRw),"")</f>
        <v/>
      </c>
      <c r="N397" s="156">
        <f>IFERROR(VLOOKUP(H397,Matrix!A:AC,12,0)-VLOOKUP(J397,Matrix!A:AC,12,0),"")</f>
        <v/>
      </c>
      <c r="O397" s="182">
        <f>IFERROR(AVERAGEIFS(2025Schedule!O:O,2025Schedule!E:E,H397,2025Schedule!N:N,A397)-AVERAGEIFS(2025Schedule!O:O,2025Schedule!E:E,J397,2025Schedule!N:N,B397),0)</f>
        <v/>
      </c>
      <c r="P397" s="156">
        <f>IFERROR(VLOOKUP(H397,Matrix!A:D,2,0)-VLOOKUP(J397,Matrix!A:D,2,0),"")</f>
        <v/>
      </c>
      <c r="Q397" s="156">
        <f>IFERROR(VLOOKUP(H397,Matrix!A:AC,15,0)-VLOOKUP(J397,Matrix!A:AC,15,0),"")</f>
        <v/>
      </c>
      <c r="R397" s="156">
        <f>IFERROR(VLOOKUP(H397,Matrix!A:AC,16,0)-VLOOKUP(J397,Matrix!A:AC,16,0),"")</f>
        <v/>
      </c>
      <c r="S397" s="195">
        <f>H397</f>
        <v/>
      </c>
      <c r="T397" s="195">
        <f>IFERROR(VLOOKUP(G397&amp;H397,2025Schedule!A:F,6,0),"")</f>
        <v/>
      </c>
      <c r="U397" s="264">
        <f>J397</f>
        <v/>
      </c>
      <c r="V397" s="195">
        <f>IFERROR(VLOOKUP(G397&amp;J397,2025Schedule!A:F,6,0),"")</f>
        <v/>
      </c>
    </row>
    <row r="398" ht="14.4" customHeight="1" s="152">
      <c r="A398" s="241">
        <f>H398&amp;I398</f>
        <v/>
      </c>
      <c r="B398" s="241">
        <f>J398&amp;C398</f>
        <v/>
      </c>
      <c r="C398" s="241">
        <f>IFERROR(IF(I398="Home","Away",IF(I398="Away","Home","")),"")</f>
        <v/>
      </c>
      <c r="D398" s="242">
        <f>H398</f>
        <v/>
      </c>
      <c r="E398" s="157">
        <f>IFERROR(IF(AND(F398&gt;0,T398&gt;V398),"Yes",IF(AND(F398&gt;0,T398&lt;V398),"No",IF(AND(F398&lt;0,T398&lt;V398),"Yes",IF(AND(F398&lt;0,T398&gt;V398),"No",0)))),"")</f>
        <v/>
      </c>
      <c r="F398" s="263">
        <f>IFERROR((N398/MAX(N:N)*_MOVw)+(O398/MAX(O:O)*_WINw)+(P398/MAX(P:P)*_PPGw)+(Q398/MAX(Q:Q)*_ORw)+(R398/MAX(R:R)*_DRw),"")</f>
        <v/>
      </c>
      <c r="N398" s="156">
        <f>IFERROR(VLOOKUP(H398,Matrix!A:AC,12,0)-VLOOKUP(J398,Matrix!A:AC,12,0),"")</f>
        <v/>
      </c>
      <c r="O398" s="182">
        <f>IFERROR(AVERAGEIFS(2025Schedule!O:O,2025Schedule!E:E,H398,2025Schedule!N:N,A398)-AVERAGEIFS(2025Schedule!O:O,2025Schedule!E:E,J398,2025Schedule!N:N,B398),0)</f>
        <v/>
      </c>
      <c r="P398" s="156">
        <f>IFERROR(VLOOKUP(H398,Matrix!A:D,2,0)-VLOOKUP(J398,Matrix!A:D,2,0),"")</f>
        <v/>
      </c>
      <c r="Q398" s="156">
        <f>IFERROR(VLOOKUP(H398,Matrix!A:AC,15,0)-VLOOKUP(J398,Matrix!A:AC,15,0),"")</f>
        <v/>
      </c>
      <c r="R398" s="156">
        <f>IFERROR(VLOOKUP(H398,Matrix!A:AC,16,0)-VLOOKUP(J398,Matrix!A:AC,16,0),"")</f>
        <v/>
      </c>
      <c r="S398" s="195">
        <f>H398</f>
        <v/>
      </c>
      <c r="T398" s="195">
        <f>IFERROR(VLOOKUP(G398&amp;H398,2025Schedule!A:F,6,0),"")</f>
        <v/>
      </c>
      <c r="U398" s="264">
        <f>J398</f>
        <v/>
      </c>
      <c r="V398" s="195">
        <f>IFERROR(VLOOKUP(G398&amp;J398,2025Schedule!A:F,6,0),"")</f>
        <v/>
      </c>
    </row>
    <row r="399" ht="14.4" customHeight="1" s="152">
      <c r="A399" s="241">
        <f>H399&amp;I399</f>
        <v/>
      </c>
      <c r="B399" s="241">
        <f>J399&amp;C399</f>
        <v/>
      </c>
      <c r="C399" s="241">
        <f>IFERROR(IF(I399="Home","Away",IF(I399="Away","Home","")),"")</f>
        <v/>
      </c>
      <c r="D399" s="242">
        <f>H399</f>
        <v/>
      </c>
      <c r="E399" s="157">
        <f>IFERROR(IF(AND(F399&gt;0,T399&gt;V399),"Yes",IF(AND(F399&gt;0,T399&lt;V399),"No",IF(AND(F399&lt;0,T399&lt;V399),"Yes",IF(AND(F399&lt;0,T399&gt;V399),"No",0)))),"")</f>
        <v/>
      </c>
      <c r="F399" s="263">
        <f>IFERROR((N399/MAX(N:N)*_MOVw)+(O399/MAX(O:O)*_WINw)+(P399/MAX(P:P)*_PPGw)+(Q399/MAX(Q:Q)*_ORw)+(R399/MAX(R:R)*_DRw),"")</f>
        <v/>
      </c>
      <c r="N399" s="156">
        <f>IFERROR(VLOOKUP(H399,Matrix!A:AC,12,0)-VLOOKUP(J399,Matrix!A:AC,12,0),"")</f>
        <v/>
      </c>
      <c r="O399" s="182">
        <f>IFERROR(AVERAGEIFS(2025Schedule!O:O,2025Schedule!E:E,H399,2025Schedule!N:N,A399)-AVERAGEIFS(2025Schedule!O:O,2025Schedule!E:E,J399,2025Schedule!N:N,B399),0)</f>
        <v/>
      </c>
      <c r="P399" s="156">
        <f>IFERROR(VLOOKUP(H399,Matrix!A:D,2,0)-VLOOKUP(J399,Matrix!A:D,2,0),"")</f>
        <v/>
      </c>
      <c r="Q399" s="156">
        <f>IFERROR(VLOOKUP(H399,Matrix!A:AC,15,0)-VLOOKUP(J399,Matrix!A:AC,15,0),"")</f>
        <v/>
      </c>
      <c r="R399" s="156">
        <f>IFERROR(VLOOKUP(H399,Matrix!A:AC,16,0)-VLOOKUP(J399,Matrix!A:AC,16,0),"")</f>
        <v/>
      </c>
      <c r="S399" s="195">
        <f>H399</f>
        <v/>
      </c>
      <c r="T399" s="195">
        <f>IFERROR(VLOOKUP(G399&amp;H399,2025Schedule!A:F,6,0),"")</f>
        <v/>
      </c>
      <c r="U399" s="264">
        <f>J399</f>
        <v/>
      </c>
      <c r="V399" s="195">
        <f>IFERROR(VLOOKUP(G399&amp;J399,2025Schedule!A:F,6,0),"")</f>
        <v/>
      </c>
    </row>
    <row r="400" ht="14.4" customHeight="1" s="152">
      <c r="A400" s="241">
        <f>H400&amp;I400</f>
        <v/>
      </c>
      <c r="B400" s="241">
        <f>J400&amp;C400</f>
        <v/>
      </c>
      <c r="C400" s="241">
        <f>IFERROR(IF(I400="Home","Away",IF(I400="Away","Home","")),"")</f>
        <v/>
      </c>
      <c r="D400" s="242">
        <f>H400</f>
        <v/>
      </c>
      <c r="E400" s="157">
        <f>IFERROR(IF(AND(F400&gt;0,T400&gt;V400),"Yes",IF(AND(F400&gt;0,T400&lt;V400),"No",IF(AND(F400&lt;0,T400&lt;V400),"Yes",IF(AND(F400&lt;0,T400&gt;V400),"No",0)))),"")</f>
        <v/>
      </c>
      <c r="F400" s="263">
        <f>IFERROR((N400/MAX(N:N)*_MOVw)+(O400/MAX(O:O)*_WINw)+(P400/MAX(P:P)*_PPGw)+(Q400/MAX(Q:Q)*_ORw)+(R400/MAX(R:R)*_DRw),"")</f>
        <v/>
      </c>
      <c r="N400" s="156">
        <f>IFERROR(VLOOKUP(H400,Matrix!A:AC,12,0)-VLOOKUP(J400,Matrix!A:AC,12,0),"")</f>
        <v/>
      </c>
      <c r="O400" s="182">
        <f>IFERROR(AVERAGEIFS(2025Schedule!O:O,2025Schedule!E:E,H400,2025Schedule!N:N,A400)-AVERAGEIFS(2025Schedule!O:O,2025Schedule!E:E,J400,2025Schedule!N:N,B400),0)</f>
        <v/>
      </c>
      <c r="P400" s="156">
        <f>IFERROR(VLOOKUP(H400,Matrix!A:D,2,0)-VLOOKUP(J400,Matrix!A:D,2,0),"")</f>
        <v/>
      </c>
      <c r="Q400" s="156">
        <f>IFERROR(VLOOKUP(H400,Matrix!A:AC,15,0)-VLOOKUP(J400,Matrix!A:AC,15,0),"")</f>
        <v/>
      </c>
      <c r="R400" s="156">
        <f>IFERROR(VLOOKUP(H400,Matrix!A:AC,16,0)-VLOOKUP(J400,Matrix!A:AC,16,0),"")</f>
        <v/>
      </c>
      <c r="S400" s="195">
        <f>H400</f>
        <v/>
      </c>
      <c r="T400" s="195">
        <f>IFERROR(VLOOKUP(G400&amp;H400,2025Schedule!A:F,6,0),"")</f>
        <v/>
      </c>
      <c r="U400" s="264">
        <f>J400</f>
        <v/>
      </c>
      <c r="V400" s="195">
        <f>IFERROR(VLOOKUP(G400&amp;J400,2025Schedule!A:F,6,0),"")</f>
        <v/>
      </c>
    </row>
    <row r="401" ht="14.4" customHeight="1" s="152">
      <c r="A401" s="241">
        <f>H401&amp;I401</f>
        <v/>
      </c>
      <c r="B401" s="241">
        <f>J401&amp;C401</f>
        <v/>
      </c>
      <c r="C401" s="241">
        <f>IFERROR(IF(I401="Home","Away",IF(I401="Away","Home","")),"")</f>
        <v/>
      </c>
      <c r="D401" s="242">
        <f>H401</f>
        <v/>
      </c>
      <c r="E401" s="157">
        <f>IFERROR(IF(AND(F401&gt;0,T401&gt;V401),"Yes",IF(AND(F401&gt;0,T401&lt;V401),"No",IF(AND(F401&lt;0,T401&lt;V401),"Yes",IF(AND(F401&lt;0,T401&gt;V401),"No",0)))),"")</f>
        <v/>
      </c>
      <c r="F401" s="263">
        <f>IFERROR((N401/MAX(N:N)*_MOVw)+(O401/MAX(O:O)*_WINw)+(P401/MAX(P:P)*_PPGw)+(Q401/MAX(Q:Q)*_ORw)+(R401/MAX(R:R)*_DRw),"")</f>
        <v/>
      </c>
      <c r="N401" s="156">
        <f>IFERROR(VLOOKUP(H401,Matrix!A:AC,12,0)-VLOOKUP(J401,Matrix!A:AC,12,0),"")</f>
        <v/>
      </c>
      <c r="O401" s="182">
        <f>IFERROR(AVERAGEIFS(2025Schedule!O:O,2025Schedule!E:E,H401,2025Schedule!N:N,A401)-AVERAGEIFS(2025Schedule!O:O,2025Schedule!E:E,J401,2025Schedule!N:N,B401),0)</f>
        <v/>
      </c>
      <c r="P401" s="156">
        <f>IFERROR(VLOOKUP(H401,Matrix!A:D,2,0)-VLOOKUP(J401,Matrix!A:D,2,0),"")</f>
        <v/>
      </c>
      <c r="Q401" s="156">
        <f>IFERROR(VLOOKUP(H401,Matrix!A:AC,15,0)-VLOOKUP(J401,Matrix!A:AC,15,0),"")</f>
        <v/>
      </c>
      <c r="R401" s="156">
        <f>IFERROR(VLOOKUP(H401,Matrix!A:AC,16,0)-VLOOKUP(J401,Matrix!A:AC,16,0),"")</f>
        <v/>
      </c>
      <c r="S401" s="195">
        <f>H401</f>
        <v/>
      </c>
      <c r="T401" s="195">
        <f>IFERROR(VLOOKUP(G401&amp;H401,2025Schedule!A:F,6,0),"")</f>
        <v/>
      </c>
      <c r="U401" s="264">
        <f>J401</f>
        <v/>
      </c>
      <c r="V401" s="195">
        <f>IFERROR(VLOOKUP(G401&amp;J401,2025Schedule!A:F,6,0),"")</f>
        <v/>
      </c>
    </row>
    <row r="402" ht="14.4" customHeight="1" s="152">
      <c r="A402" s="241">
        <f>H402&amp;I402</f>
        <v/>
      </c>
      <c r="B402" s="241">
        <f>J402&amp;C402</f>
        <v/>
      </c>
      <c r="C402" s="241">
        <f>IFERROR(IF(I402="Home","Away",IF(I402="Away","Home","")),"")</f>
        <v/>
      </c>
      <c r="D402" s="242">
        <f>H402</f>
        <v/>
      </c>
      <c r="E402" s="157">
        <f>IFERROR(IF(AND(F402&gt;0,T402&gt;V402),"Yes",IF(AND(F402&gt;0,T402&lt;V402),"No",IF(AND(F402&lt;0,T402&lt;V402),"Yes",IF(AND(F402&lt;0,T402&gt;V402),"No",0)))),"")</f>
        <v/>
      </c>
      <c r="F402" s="263">
        <f>IFERROR((N402/MAX(N:N)*_MOVw)+(O402/MAX(O:O)*_WINw)+(P402/MAX(P:P)*_PPGw)+(Q402/MAX(Q:Q)*_ORw)+(R402/MAX(R:R)*_DRw),"")</f>
        <v/>
      </c>
      <c r="N402" s="156">
        <f>IFERROR(VLOOKUP(H402,Matrix!A:AC,12,0)-VLOOKUP(J402,Matrix!A:AC,12,0),"")</f>
        <v/>
      </c>
      <c r="O402" s="182">
        <f>IFERROR(AVERAGEIFS(2025Schedule!O:O,2025Schedule!E:E,H402,2025Schedule!N:N,A402)-AVERAGEIFS(2025Schedule!O:O,2025Schedule!E:E,J402,2025Schedule!N:N,B402),0)</f>
        <v/>
      </c>
      <c r="P402" s="156">
        <f>IFERROR(VLOOKUP(H402,Matrix!A:D,2,0)-VLOOKUP(J402,Matrix!A:D,2,0),"")</f>
        <v/>
      </c>
      <c r="Q402" s="156">
        <f>IFERROR(VLOOKUP(H402,Matrix!A:AC,15,0)-VLOOKUP(J402,Matrix!A:AC,15,0),"")</f>
        <v/>
      </c>
      <c r="R402" s="156">
        <f>IFERROR(VLOOKUP(H402,Matrix!A:AC,16,0)-VLOOKUP(J402,Matrix!A:AC,16,0),"")</f>
        <v/>
      </c>
      <c r="S402" s="195">
        <f>H402</f>
        <v/>
      </c>
      <c r="T402" s="195">
        <f>IFERROR(VLOOKUP(G402&amp;H402,2025Schedule!A:F,6,0),"")</f>
        <v/>
      </c>
      <c r="U402" s="264">
        <f>J402</f>
        <v/>
      </c>
      <c r="V402" s="195">
        <f>IFERROR(VLOOKUP(G402&amp;J402,2025Schedule!A:F,6,0),"")</f>
        <v/>
      </c>
    </row>
    <row r="403" ht="14.4" customHeight="1" s="152">
      <c r="A403" s="241">
        <f>H403&amp;I403</f>
        <v/>
      </c>
      <c r="B403" s="241">
        <f>J403&amp;C403</f>
        <v/>
      </c>
      <c r="C403" s="241">
        <f>IFERROR(IF(I403="Home","Away",IF(I403="Away","Home","")),"")</f>
        <v/>
      </c>
      <c r="D403" s="242">
        <f>H403</f>
        <v/>
      </c>
      <c r="E403" s="157">
        <f>IFERROR(IF(AND(F403&gt;0,T403&gt;V403),"Yes",IF(AND(F403&gt;0,T403&lt;V403),"No",IF(AND(F403&lt;0,T403&lt;V403),"Yes",IF(AND(F403&lt;0,T403&gt;V403),"No",0)))),"")</f>
        <v/>
      </c>
      <c r="F403" s="263">
        <f>IFERROR((N403/MAX(N:N)*_MOVw)+(O403/MAX(O:O)*_WINw)+(P403/MAX(P:P)*_PPGw)+(Q403/MAX(Q:Q)*_ORw)+(R403/MAX(R:R)*_DRw),"")</f>
        <v/>
      </c>
      <c r="N403" s="156">
        <f>IFERROR(VLOOKUP(H403,Matrix!A:AC,12,0)-VLOOKUP(J403,Matrix!A:AC,12,0),"")</f>
        <v/>
      </c>
      <c r="O403" s="182">
        <f>IFERROR(AVERAGEIFS(2025Schedule!O:O,2025Schedule!E:E,H403,2025Schedule!N:N,A403)-AVERAGEIFS(2025Schedule!O:O,2025Schedule!E:E,J403,2025Schedule!N:N,B403),0)</f>
        <v/>
      </c>
      <c r="P403" s="156">
        <f>IFERROR(VLOOKUP(H403,Matrix!A:D,2,0)-VLOOKUP(J403,Matrix!A:D,2,0),"")</f>
        <v/>
      </c>
      <c r="Q403" s="156">
        <f>IFERROR(VLOOKUP(H403,Matrix!A:AC,15,0)-VLOOKUP(J403,Matrix!A:AC,15,0),"")</f>
        <v/>
      </c>
      <c r="R403" s="156">
        <f>IFERROR(VLOOKUP(H403,Matrix!A:AC,16,0)-VLOOKUP(J403,Matrix!A:AC,16,0),"")</f>
        <v/>
      </c>
      <c r="S403" s="195">
        <f>H403</f>
        <v/>
      </c>
      <c r="T403" s="195">
        <f>IFERROR(VLOOKUP(G403&amp;H403,2025Schedule!A:F,6,0),"")</f>
        <v/>
      </c>
      <c r="U403" s="264">
        <f>J403</f>
        <v/>
      </c>
      <c r="V403" s="195">
        <f>IFERROR(VLOOKUP(G403&amp;J403,2025Schedule!A:F,6,0),"")</f>
        <v/>
      </c>
    </row>
    <row r="404" ht="14.4" customHeight="1" s="152">
      <c r="A404" s="241">
        <f>H404&amp;I404</f>
        <v/>
      </c>
      <c r="B404" s="241">
        <f>J404&amp;C404</f>
        <v/>
      </c>
      <c r="C404" s="241">
        <f>IFERROR(IF(I404="Home","Away",IF(I404="Away","Home","")),"")</f>
        <v/>
      </c>
      <c r="D404" s="242">
        <f>H404</f>
        <v/>
      </c>
      <c r="E404" s="157">
        <f>IFERROR(IF(AND(F404&gt;0,T404&gt;V404),"Yes",IF(AND(F404&gt;0,T404&lt;V404),"No",IF(AND(F404&lt;0,T404&lt;V404),"Yes",IF(AND(F404&lt;0,T404&gt;V404),"No",0)))),"")</f>
        <v/>
      </c>
      <c r="F404" s="263">
        <f>IFERROR((N404/MAX(N:N)*_MOVw)+(O404/MAX(O:O)*_WINw)+(P404/MAX(P:P)*_PPGw)+(Q404/MAX(Q:Q)*_ORw)+(R404/MAX(R:R)*_DRw),"")</f>
        <v/>
      </c>
      <c r="N404" s="156">
        <f>IFERROR(VLOOKUP(H404,Matrix!A:AC,12,0)-VLOOKUP(J404,Matrix!A:AC,12,0),"")</f>
        <v/>
      </c>
      <c r="O404" s="182">
        <f>IFERROR(AVERAGEIFS(2025Schedule!O:O,2025Schedule!E:E,H404,2025Schedule!N:N,A404)-AVERAGEIFS(2025Schedule!O:O,2025Schedule!E:E,J404,2025Schedule!N:N,B404),0)</f>
        <v/>
      </c>
      <c r="P404" s="156">
        <f>IFERROR(VLOOKUP(H404,Matrix!A:D,2,0)-VLOOKUP(J404,Matrix!A:D,2,0),"")</f>
        <v/>
      </c>
      <c r="Q404" s="156">
        <f>IFERROR(VLOOKUP(H404,Matrix!A:AC,15,0)-VLOOKUP(J404,Matrix!A:AC,15,0),"")</f>
        <v/>
      </c>
      <c r="R404" s="156">
        <f>IFERROR(VLOOKUP(H404,Matrix!A:AC,16,0)-VLOOKUP(J404,Matrix!A:AC,16,0),"")</f>
        <v/>
      </c>
      <c r="S404" s="195">
        <f>H404</f>
        <v/>
      </c>
      <c r="T404" s="195">
        <f>IFERROR(VLOOKUP(G404&amp;H404,2025Schedule!A:F,6,0),"")</f>
        <v/>
      </c>
      <c r="U404" s="264">
        <f>J404</f>
        <v/>
      </c>
      <c r="V404" s="195">
        <f>IFERROR(VLOOKUP(G404&amp;J404,2025Schedule!A:F,6,0),"")</f>
        <v/>
      </c>
    </row>
    <row r="405" ht="14.4" customHeight="1" s="152">
      <c r="A405" s="241">
        <f>H405&amp;I405</f>
        <v/>
      </c>
      <c r="B405" s="241">
        <f>J405&amp;C405</f>
        <v/>
      </c>
      <c r="C405" s="241">
        <f>IFERROR(IF(I405="Home","Away",IF(I405="Away","Home","")),"")</f>
        <v/>
      </c>
      <c r="D405" s="242">
        <f>H405</f>
        <v/>
      </c>
      <c r="E405" s="157">
        <f>IFERROR(IF(AND(F405&gt;0,T405&gt;V405),"Yes",IF(AND(F405&gt;0,T405&lt;V405),"No",IF(AND(F405&lt;0,T405&lt;V405),"Yes",IF(AND(F405&lt;0,T405&gt;V405),"No",0)))),"")</f>
        <v/>
      </c>
      <c r="F405" s="263">
        <f>IFERROR((N405/MAX(N:N)*_MOVw)+(O405/MAX(O:O)*_WINw)+(P405/MAX(P:P)*_PPGw)+(Q405/MAX(Q:Q)*_ORw)+(R405/MAX(R:R)*_DRw),"")</f>
        <v/>
      </c>
      <c r="N405" s="156">
        <f>IFERROR(VLOOKUP(H405,Matrix!A:AC,12,0)-VLOOKUP(J405,Matrix!A:AC,12,0),"")</f>
        <v/>
      </c>
      <c r="O405" s="182">
        <f>IFERROR(AVERAGEIFS(2025Schedule!O:O,2025Schedule!E:E,H405,2025Schedule!N:N,A405)-AVERAGEIFS(2025Schedule!O:O,2025Schedule!E:E,J405,2025Schedule!N:N,B405),0)</f>
        <v/>
      </c>
      <c r="P405" s="156">
        <f>IFERROR(VLOOKUP(H405,Matrix!A:D,2,0)-VLOOKUP(J405,Matrix!A:D,2,0),"")</f>
        <v/>
      </c>
      <c r="Q405" s="156">
        <f>IFERROR(VLOOKUP(H405,Matrix!A:AC,15,0)-VLOOKUP(J405,Matrix!A:AC,15,0),"")</f>
        <v/>
      </c>
      <c r="R405" s="156">
        <f>IFERROR(VLOOKUP(H405,Matrix!A:AC,16,0)-VLOOKUP(J405,Matrix!A:AC,16,0),"")</f>
        <v/>
      </c>
      <c r="S405" s="195">
        <f>H405</f>
        <v/>
      </c>
      <c r="T405" s="195">
        <f>IFERROR(VLOOKUP(G405&amp;H405,2025Schedule!A:F,6,0),"")</f>
        <v/>
      </c>
      <c r="U405" s="264">
        <f>J405</f>
        <v/>
      </c>
      <c r="V405" s="195">
        <f>IFERROR(VLOOKUP(G405&amp;J405,2025Schedule!A:F,6,0),"")</f>
        <v/>
      </c>
    </row>
    <row r="406" ht="14.4" customHeight="1" s="152">
      <c r="A406" s="241">
        <f>H406&amp;I406</f>
        <v/>
      </c>
      <c r="B406" s="241">
        <f>J406&amp;C406</f>
        <v/>
      </c>
      <c r="C406" s="241">
        <f>IFERROR(IF(I406="Home","Away",IF(I406="Away","Home","")),"")</f>
        <v/>
      </c>
      <c r="D406" s="242">
        <f>H406</f>
        <v/>
      </c>
      <c r="E406" s="157">
        <f>IFERROR(IF(AND(F406&gt;0,T406&gt;V406),"Yes",IF(AND(F406&gt;0,T406&lt;V406),"No",IF(AND(F406&lt;0,T406&lt;V406),"Yes",IF(AND(F406&lt;0,T406&gt;V406),"No",0)))),"")</f>
        <v/>
      </c>
      <c r="F406" s="263">
        <f>IFERROR((N406/MAX(N:N)*_MOVw)+(O406/MAX(O:O)*_WINw)+(P406/MAX(P:P)*_PPGw)+(Q406/MAX(Q:Q)*_ORw)+(R406/MAX(R:R)*_DRw),"")</f>
        <v/>
      </c>
      <c r="N406" s="156">
        <f>IFERROR(VLOOKUP(H406,Matrix!A:AC,12,0)-VLOOKUP(J406,Matrix!A:AC,12,0),"")</f>
        <v/>
      </c>
      <c r="O406" s="182">
        <f>IFERROR(AVERAGEIFS(2025Schedule!O:O,2025Schedule!E:E,H406,2025Schedule!N:N,A406)-AVERAGEIFS(2025Schedule!O:O,2025Schedule!E:E,J406,2025Schedule!N:N,B406),0)</f>
        <v/>
      </c>
      <c r="P406" s="156">
        <f>IFERROR(VLOOKUP(H406,Matrix!A:D,2,0)-VLOOKUP(J406,Matrix!A:D,2,0),"")</f>
        <v/>
      </c>
      <c r="Q406" s="156">
        <f>IFERROR(VLOOKUP(H406,Matrix!A:AC,15,0)-VLOOKUP(J406,Matrix!A:AC,15,0),"")</f>
        <v/>
      </c>
      <c r="R406" s="156">
        <f>IFERROR(VLOOKUP(H406,Matrix!A:AC,16,0)-VLOOKUP(J406,Matrix!A:AC,16,0),"")</f>
        <v/>
      </c>
      <c r="S406" s="195">
        <f>H406</f>
        <v/>
      </c>
      <c r="T406" s="195">
        <f>IFERROR(VLOOKUP(G406&amp;H406,2025Schedule!A:F,6,0),"")</f>
        <v/>
      </c>
      <c r="U406" s="264">
        <f>J406</f>
        <v/>
      </c>
      <c r="V406" s="195">
        <f>IFERROR(VLOOKUP(G406&amp;J406,2025Schedule!A:F,6,0),"")</f>
        <v/>
      </c>
    </row>
    <row r="407" ht="14.4" customHeight="1" s="152">
      <c r="A407" s="241">
        <f>H407&amp;I407</f>
        <v/>
      </c>
      <c r="B407" s="241">
        <f>J407&amp;C407</f>
        <v/>
      </c>
      <c r="C407" s="241">
        <f>IFERROR(IF(I407="Home","Away",IF(I407="Away","Home","")),"")</f>
        <v/>
      </c>
      <c r="D407" s="242">
        <f>H407</f>
        <v/>
      </c>
      <c r="E407" s="157">
        <f>IFERROR(IF(AND(F407&gt;0,T407&gt;V407),"Yes",IF(AND(F407&gt;0,T407&lt;V407),"No",IF(AND(F407&lt;0,T407&lt;V407),"Yes",IF(AND(F407&lt;0,T407&gt;V407),"No",0)))),"")</f>
        <v/>
      </c>
      <c r="F407" s="263">
        <f>IFERROR((N407/MAX(N:N)*_MOVw)+(O407/MAX(O:O)*_WINw)+(P407/MAX(P:P)*_PPGw)+(Q407/MAX(Q:Q)*_ORw)+(R407/MAX(R:R)*_DRw),"")</f>
        <v/>
      </c>
      <c r="N407" s="156">
        <f>IFERROR(VLOOKUP(H407,Matrix!A:AC,12,0)-VLOOKUP(J407,Matrix!A:AC,12,0),"")</f>
        <v/>
      </c>
      <c r="O407" s="182">
        <f>IFERROR(AVERAGEIFS(2025Schedule!O:O,2025Schedule!E:E,H407,2025Schedule!N:N,A407)-AVERAGEIFS(2025Schedule!O:O,2025Schedule!E:E,J407,2025Schedule!N:N,B407),0)</f>
        <v/>
      </c>
      <c r="P407" s="156">
        <f>IFERROR(VLOOKUP(H407,Matrix!A:D,2,0)-VLOOKUP(J407,Matrix!A:D,2,0),"")</f>
        <v/>
      </c>
      <c r="Q407" s="156">
        <f>IFERROR(VLOOKUP(H407,Matrix!A:AC,15,0)-VLOOKUP(J407,Matrix!A:AC,15,0),"")</f>
        <v/>
      </c>
      <c r="R407" s="156">
        <f>IFERROR(VLOOKUP(H407,Matrix!A:AC,16,0)-VLOOKUP(J407,Matrix!A:AC,16,0),"")</f>
        <v/>
      </c>
      <c r="S407" s="195">
        <f>H407</f>
        <v/>
      </c>
      <c r="T407" s="195">
        <f>IFERROR(VLOOKUP(G407&amp;H407,2025Schedule!A:F,6,0),"")</f>
        <v/>
      </c>
      <c r="U407" s="264">
        <f>J407</f>
        <v/>
      </c>
      <c r="V407" s="195">
        <f>IFERROR(VLOOKUP(G407&amp;J407,2025Schedule!A:F,6,0),"")</f>
        <v/>
      </c>
    </row>
    <row r="408" ht="14.4" customHeight="1" s="152">
      <c r="A408" s="241">
        <f>H408&amp;I408</f>
        <v/>
      </c>
      <c r="B408" s="241">
        <f>J408&amp;C408</f>
        <v/>
      </c>
      <c r="C408" s="241">
        <f>IFERROR(IF(I408="Home","Away",IF(I408="Away","Home","")),"")</f>
        <v/>
      </c>
      <c r="D408" s="242">
        <f>H408</f>
        <v/>
      </c>
      <c r="E408" s="157">
        <f>IFERROR(IF(AND(F408&gt;0,T408&gt;V408),"Yes",IF(AND(F408&gt;0,T408&lt;V408),"No",IF(AND(F408&lt;0,T408&lt;V408),"Yes",IF(AND(F408&lt;0,T408&gt;V408),"No",0)))),"")</f>
        <v/>
      </c>
      <c r="F408" s="263">
        <f>IFERROR((N408/MAX(N:N)*_MOVw)+(O408/MAX(O:O)*_WINw)+(P408/MAX(P:P)*_PPGw)+(Q408/MAX(Q:Q)*_ORw)+(R408/MAX(R:R)*_DRw),"")</f>
        <v/>
      </c>
      <c r="N408" s="156">
        <f>IFERROR(VLOOKUP(H408,Matrix!A:AC,12,0)-VLOOKUP(J408,Matrix!A:AC,12,0),"")</f>
        <v/>
      </c>
      <c r="O408" s="182">
        <f>IFERROR(AVERAGEIFS(2025Schedule!O:O,2025Schedule!E:E,H408,2025Schedule!N:N,A408)-AVERAGEIFS(2025Schedule!O:O,2025Schedule!E:E,J408,2025Schedule!N:N,B408),0)</f>
        <v/>
      </c>
      <c r="P408" s="156">
        <f>IFERROR(VLOOKUP(H408,Matrix!A:D,2,0)-VLOOKUP(J408,Matrix!A:D,2,0),"")</f>
        <v/>
      </c>
      <c r="Q408" s="156">
        <f>IFERROR(VLOOKUP(H408,Matrix!A:AC,15,0)-VLOOKUP(J408,Matrix!A:AC,15,0),"")</f>
        <v/>
      </c>
      <c r="R408" s="156">
        <f>IFERROR(VLOOKUP(H408,Matrix!A:AC,16,0)-VLOOKUP(J408,Matrix!A:AC,16,0),"")</f>
        <v/>
      </c>
      <c r="S408" s="195">
        <f>H408</f>
        <v/>
      </c>
      <c r="T408" s="195">
        <f>IFERROR(VLOOKUP(G408&amp;H408,2025Schedule!A:F,6,0),"")</f>
        <v/>
      </c>
      <c r="U408" s="264">
        <f>J408</f>
        <v/>
      </c>
      <c r="V408" s="195">
        <f>IFERROR(VLOOKUP(G408&amp;J408,2025Schedule!A:F,6,0),"")</f>
        <v/>
      </c>
    </row>
    <row r="409" ht="14.4" customHeight="1" s="152">
      <c r="A409" s="241">
        <f>H409&amp;I409</f>
        <v/>
      </c>
      <c r="B409" s="241">
        <f>J409&amp;C409</f>
        <v/>
      </c>
      <c r="C409" s="241">
        <f>IFERROR(IF(I409="Home","Away",IF(I409="Away","Home","")),"")</f>
        <v/>
      </c>
      <c r="D409" s="242">
        <f>H409</f>
        <v/>
      </c>
      <c r="E409" s="157">
        <f>IFERROR(IF(AND(F409&gt;0,T409&gt;V409),"Yes",IF(AND(F409&gt;0,T409&lt;V409),"No",IF(AND(F409&lt;0,T409&lt;V409),"Yes",IF(AND(F409&lt;0,T409&gt;V409),"No",0)))),"")</f>
        <v/>
      </c>
      <c r="F409" s="263">
        <f>IFERROR((N409/MAX(N:N)*_MOVw)+(O409/MAX(O:O)*_WINw)+(P409/MAX(P:P)*_PPGw)+(Q409/MAX(Q:Q)*_ORw)+(R409/MAX(R:R)*_DRw),"")</f>
        <v/>
      </c>
      <c r="N409" s="156">
        <f>IFERROR(VLOOKUP(H409,Matrix!A:AC,12,0)-VLOOKUP(J409,Matrix!A:AC,12,0),"")</f>
        <v/>
      </c>
      <c r="O409" s="182">
        <f>IFERROR(AVERAGEIFS(2025Schedule!O:O,2025Schedule!E:E,H409,2025Schedule!N:N,A409)-AVERAGEIFS(2025Schedule!O:O,2025Schedule!E:E,J409,2025Schedule!N:N,B409),0)</f>
        <v/>
      </c>
      <c r="P409" s="156">
        <f>IFERROR(VLOOKUP(H409,Matrix!A:D,2,0)-VLOOKUP(J409,Matrix!A:D,2,0),"")</f>
        <v/>
      </c>
      <c r="Q409" s="156">
        <f>IFERROR(VLOOKUP(H409,Matrix!A:AC,15,0)-VLOOKUP(J409,Matrix!A:AC,15,0),"")</f>
        <v/>
      </c>
      <c r="R409" s="156">
        <f>IFERROR(VLOOKUP(H409,Matrix!A:AC,16,0)-VLOOKUP(J409,Matrix!A:AC,16,0),"")</f>
        <v/>
      </c>
      <c r="S409" s="195">
        <f>H409</f>
        <v/>
      </c>
      <c r="T409" s="195">
        <f>IFERROR(VLOOKUP(G409&amp;H409,2025Schedule!A:F,6,0),"")</f>
        <v/>
      </c>
      <c r="U409" s="264">
        <f>J409</f>
        <v/>
      </c>
      <c r="V409" s="195">
        <f>IFERROR(VLOOKUP(G409&amp;J409,2025Schedule!A:F,6,0),"")</f>
        <v/>
      </c>
    </row>
    <row r="410" ht="14.4" customHeight="1" s="152">
      <c r="A410" s="241">
        <f>H410&amp;I410</f>
        <v/>
      </c>
      <c r="B410" s="241">
        <f>J410&amp;C410</f>
        <v/>
      </c>
      <c r="C410" s="241">
        <f>IFERROR(IF(I410="Home","Away",IF(I410="Away","Home","")),"")</f>
        <v/>
      </c>
      <c r="D410" s="242">
        <f>H410</f>
        <v/>
      </c>
      <c r="E410" s="157">
        <f>IFERROR(IF(AND(F410&gt;0,T410&gt;V410),"Yes",IF(AND(F410&gt;0,T410&lt;V410),"No",IF(AND(F410&lt;0,T410&lt;V410),"Yes",IF(AND(F410&lt;0,T410&gt;V410),"No",0)))),"")</f>
        <v/>
      </c>
      <c r="F410" s="263">
        <f>IFERROR((N410/MAX(N:N)*_MOVw)+(O410/MAX(O:O)*_WINw)+(P410/MAX(P:P)*_PPGw)+(Q410/MAX(Q:Q)*_ORw)+(R410/MAX(R:R)*_DRw),"")</f>
        <v/>
      </c>
      <c r="N410" s="156">
        <f>IFERROR(VLOOKUP(H410,Matrix!A:AC,12,0)-VLOOKUP(J410,Matrix!A:AC,12,0),"")</f>
        <v/>
      </c>
      <c r="O410" s="182">
        <f>IFERROR(AVERAGEIFS(2025Schedule!O:O,2025Schedule!E:E,H410,2025Schedule!N:N,A410)-AVERAGEIFS(2025Schedule!O:O,2025Schedule!E:E,J410,2025Schedule!N:N,B410),0)</f>
        <v/>
      </c>
      <c r="P410" s="156">
        <f>IFERROR(VLOOKUP(H410,Matrix!A:D,2,0)-VLOOKUP(J410,Matrix!A:D,2,0),"")</f>
        <v/>
      </c>
      <c r="Q410" s="156">
        <f>IFERROR(VLOOKUP(H410,Matrix!A:AC,15,0)-VLOOKUP(J410,Matrix!A:AC,15,0),"")</f>
        <v/>
      </c>
      <c r="R410" s="156">
        <f>IFERROR(VLOOKUP(H410,Matrix!A:AC,16,0)-VLOOKUP(J410,Matrix!A:AC,16,0),"")</f>
        <v/>
      </c>
      <c r="S410" s="195">
        <f>H410</f>
        <v/>
      </c>
      <c r="T410" s="195">
        <f>IFERROR(VLOOKUP(G410&amp;H410,2025Schedule!A:F,6,0),"")</f>
        <v/>
      </c>
      <c r="U410" s="264">
        <f>J410</f>
        <v/>
      </c>
      <c r="V410" s="195">
        <f>IFERROR(VLOOKUP(G410&amp;J410,2025Schedule!A:F,6,0),"")</f>
        <v/>
      </c>
    </row>
    <row r="411" ht="14.4" customHeight="1" s="152">
      <c r="A411" s="241">
        <f>H411&amp;I411</f>
        <v/>
      </c>
      <c r="B411" s="241">
        <f>J411&amp;C411</f>
        <v/>
      </c>
      <c r="C411" s="241">
        <f>IFERROR(IF(I411="Home","Away",IF(I411="Away","Home","")),"")</f>
        <v/>
      </c>
      <c r="D411" s="242">
        <f>H411</f>
        <v/>
      </c>
      <c r="E411" s="157">
        <f>IFERROR(IF(AND(F411&gt;0,T411&gt;V411),"Yes",IF(AND(F411&gt;0,T411&lt;V411),"No",IF(AND(F411&lt;0,T411&lt;V411),"Yes",IF(AND(F411&lt;0,T411&gt;V411),"No",0)))),"")</f>
        <v/>
      </c>
      <c r="F411" s="263">
        <f>IFERROR((N411/MAX(N:N)*_MOVw)+(O411/MAX(O:O)*_WINw)+(P411/MAX(P:P)*_PPGw)+(Q411/MAX(Q:Q)*_ORw)+(R411/MAX(R:R)*_DRw),"")</f>
        <v/>
      </c>
      <c r="N411" s="156">
        <f>IFERROR(VLOOKUP(H411,Matrix!A:AC,12,0)-VLOOKUP(J411,Matrix!A:AC,12,0),"")</f>
        <v/>
      </c>
      <c r="O411" s="182">
        <f>IFERROR(AVERAGEIFS(2025Schedule!O:O,2025Schedule!E:E,H411,2025Schedule!N:N,A411)-AVERAGEIFS(2025Schedule!O:O,2025Schedule!E:E,J411,2025Schedule!N:N,B411),0)</f>
        <v/>
      </c>
      <c r="P411" s="156">
        <f>IFERROR(VLOOKUP(H411,Matrix!A:D,2,0)-VLOOKUP(J411,Matrix!A:D,2,0),"")</f>
        <v/>
      </c>
      <c r="Q411" s="156">
        <f>IFERROR(VLOOKUP(H411,Matrix!A:AC,15,0)-VLOOKUP(J411,Matrix!A:AC,15,0),"")</f>
        <v/>
      </c>
      <c r="R411" s="156">
        <f>IFERROR(VLOOKUP(H411,Matrix!A:AC,16,0)-VLOOKUP(J411,Matrix!A:AC,16,0),"")</f>
        <v/>
      </c>
      <c r="S411" s="195">
        <f>H411</f>
        <v/>
      </c>
      <c r="T411" s="195">
        <f>IFERROR(VLOOKUP(G411&amp;H411,2025Schedule!A:F,6,0),"")</f>
        <v/>
      </c>
      <c r="U411" s="264">
        <f>J411</f>
        <v/>
      </c>
      <c r="V411" s="195">
        <f>IFERROR(VLOOKUP(G411&amp;J411,2025Schedule!A:F,6,0),"")</f>
        <v/>
      </c>
    </row>
    <row r="412" ht="14.4" customHeight="1" s="152">
      <c r="A412" s="241">
        <f>H412&amp;I412</f>
        <v/>
      </c>
      <c r="B412" s="241">
        <f>J412&amp;C412</f>
        <v/>
      </c>
      <c r="C412" s="241">
        <f>IFERROR(IF(I412="Home","Away",IF(I412="Away","Home","")),"")</f>
        <v/>
      </c>
      <c r="D412" s="242">
        <f>H412</f>
        <v/>
      </c>
      <c r="E412" s="157">
        <f>IFERROR(IF(AND(F412&gt;0,T412&gt;V412),"Yes",IF(AND(F412&gt;0,T412&lt;V412),"No",IF(AND(F412&lt;0,T412&lt;V412),"Yes",IF(AND(F412&lt;0,T412&gt;V412),"No",0)))),"")</f>
        <v/>
      </c>
      <c r="F412" s="263">
        <f>IFERROR((N412/MAX(N:N)*_MOVw)+(O412/MAX(O:O)*_WINw)+(P412/MAX(P:P)*_PPGw)+(Q412/MAX(Q:Q)*_ORw)+(R412/MAX(R:R)*_DRw),"")</f>
        <v/>
      </c>
      <c r="N412" s="156">
        <f>IFERROR(VLOOKUP(H412,Matrix!A:AC,12,0)-VLOOKUP(J412,Matrix!A:AC,12,0),"")</f>
        <v/>
      </c>
      <c r="O412" s="182">
        <f>IFERROR(AVERAGEIFS(2025Schedule!O:O,2025Schedule!E:E,H412,2025Schedule!N:N,A412)-AVERAGEIFS(2025Schedule!O:O,2025Schedule!E:E,J412,2025Schedule!N:N,B412),0)</f>
        <v/>
      </c>
      <c r="P412" s="156">
        <f>IFERROR(VLOOKUP(H412,Matrix!A:D,2,0)-VLOOKUP(J412,Matrix!A:D,2,0),"")</f>
        <v/>
      </c>
      <c r="Q412" s="156">
        <f>IFERROR(VLOOKUP(H412,Matrix!A:AC,15,0)-VLOOKUP(J412,Matrix!A:AC,15,0),"")</f>
        <v/>
      </c>
      <c r="R412" s="156">
        <f>IFERROR(VLOOKUP(H412,Matrix!A:AC,16,0)-VLOOKUP(J412,Matrix!A:AC,16,0),"")</f>
        <v/>
      </c>
      <c r="S412" s="195">
        <f>H412</f>
        <v/>
      </c>
      <c r="T412" s="195">
        <f>IFERROR(VLOOKUP(G412&amp;H412,2025Schedule!A:F,6,0),"")</f>
        <v/>
      </c>
      <c r="U412" s="264">
        <f>J412</f>
        <v/>
      </c>
      <c r="V412" s="195">
        <f>IFERROR(VLOOKUP(G412&amp;J412,2025Schedule!A:F,6,0),"")</f>
        <v/>
      </c>
    </row>
    <row r="413" ht="14.4" customHeight="1" s="152">
      <c r="A413" s="241">
        <f>H413&amp;I413</f>
        <v/>
      </c>
      <c r="B413" s="241">
        <f>J413&amp;C413</f>
        <v/>
      </c>
      <c r="C413" s="241">
        <f>IFERROR(IF(I413="Home","Away",IF(I413="Away","Home","")),"")</f>
        <v/>
      </c>
      <c r="D413" s="242">
        <f>H413</f>
        <v/>
      </c>
      <c r="E413" s="157">
        <f>IFERROR(IF(AND(F413&gt;0,T413&gt;V413),"Yes",IF(AND(F413&gt;0,T413&lt;V413),"No",IF(AND(F413&lt;0,T413&lt;V413),"Yes",IF(AND(F413&lt;0,T413&gt;V413),"No",0)))),"")</f>
        <v/>
      </c>
      <c r="F413" s="263">
        <f>IFERROR((N413/MAX(N:N)*_MOVw)+(O413/MAX(O:O)*_WINw)+(P413/MAX(P:P)*_PPGw)+(Q413/MAX(Q:Q)*_ORw)+(R413/MAX(R:R)*_DRw),"")</f>
        <v/>
      </c>
      <c r="N413" s="156">
        <f>IFERROR(VLOOKUP(H413,Matrix!A:AC,12,0)-VLOOKUP(J413,Matrix!A:AC,12,0),"")</f>
        <v/>
      </c>
      <c r="O413" s="182">
        <f>IFERROR(AVERAGEIFS(2025Schedule!O:O,2025Schedule!E:E,H413,2025Schedule!N:N,A413)-AVERAGEIFS(2025Schedule!O:O,2025Schedule!E:E,J413,2025Schedule!N:N,B413),0)</f>
        <v/>
      </c>
      <c r="P413" s="156">
        <f>IFERROR(VLOOKUP(H413,Matrix!A:D,2,0)-VLOOKUP(J413,Matrix!A:D,2,0),"")</f>
        <v/>
      </c>
      <c r="Q413" s="156">
        <f>IFERROR(VLOOKUP(H413,Matrix!A:AC,15,0)-VLOOKUP(J413,Matrix!A:AC,15,0),"")</f>
        <v/>
      </c>
      <c r="R413" s="156">
        <f>IFERROR(VLOOKUP(H413,Matrix!A:AC,16,0)-VLOOKUP(J413,Matrix!A:AC,16,0),"")</f>
        <v/>
      </c>
      <c r="S413" s="195">
        <f>H413</f>
        <v/>
      </c>
      <c r="T413" s="195">
        <f>IFERROR(VLOOKUP(G413&amp;H413,2025Schedule!A:F,6,0),"")</f>
        <v/>
      </c>
      <c r="U413" s="264">
        <f>J413</f>
        <v/>
      </c>
      <c r="V413" s="195">
        <f>IFERROR(VLOOKUP(G413&amp;J413,2025Schedule!A:F,6,0),"")</f>
        <v/>
      </c>
    </row>
    <row r="414" ht="14.4" customHeight="1" s="152">
      <c r="A414" s="241">
        <f>H414&amp;I414</f>
        <v/>
      </c>
      <c r="B414" s="241">
        <f>J414&amp;C414</f>
        <v/>
      </c>
      <c r="C414" s="241">
        <f>IFERROR(IF(I414="Home","Away",IF(I414="Away","Home","")),"")</f>
        <v/>
      </c>
      <c r="D414" s="242">
        <f>H414</f>
        <v/>
      </c>
      <c r="E414" s="157">
        <f>IFERROR(IF(AND(F414&gt;0,T414&gt;V414),"Yes",IF(AND(F414&gt;0,T414&lt;V414),"No",IF(AND(F414&lt;0,T414&lt;V414),"Yes",IF(AND(F414&lt;0,T414&gt;V414),"No",0)))),"")</f>
        <v/>
      </c>
      <c r="F414" s="263">
        <f>IFERROR((N414/MAX(N:N)*_MOVw)+(O414/MAX(O:O)*_WINw)+(P414/MAX(P:P)*_PPGw)+(Q414/MAX(Q:Q)*_ORw)+(R414/MAX(R:R)*_DRw),"")</f>
        <v/>
      </c>
      <c r="N414" s="156">
        <f>IFERROR(VLOOKUP(H414,Matrix!A:AC,12,0)-VLOOKUP(J414,Matrix!A:AC,12,0),"")</f>
        <v/>
      </c>
      <c r="O414" s="182">
        <f>IFERROR(AVERAGEIFS(2025Schedule!O:O,2025Schedule!E:E,H414,2025Schedule!N:N,A414)-AVERAGEIFS(2025Schedule!O:O,2025Schedule!E:E,J414,2025Schedule!N:N,B414),0)</f>
        <v/>
      </c>
      <c r="P414" s="156">
        <f>IFERROR(VLOOKUP(H414,Matrix!A:D,2,0)-VLOOKUP(J414,Matrix!A:D,2,0),"")</f>
        <v/>
      </c>
      <c r="Q414" s="156">
        <f>IFERROR(VLOOKUP(H414,Matrix!A:AC,15,0)-VLOOKUP(J414,Matrix!A:AC,15,0),"")</f>
        <v/>
      </c>
      <c r="R414" s="156">
        <f>IFERROR(VLOOKUP(H414,Matrix!A:AC,16,0)-VLOOKUP(J414,Matrix!A:AC,16,0),"")</f>
        <v/>
      </c>
      <c r="S414" s="195">
        <f>H414</f>
        <v/>
      </c>
      <c r="T414" s="195">
        <f>IFERROR(VLOOKUP(G414&amp;H414,2025Schedule!A:F,6,0),"")</f>
        <v/>
      </c>
      <c r="U414" s="264">
        <f>J414</f>
        <v/>
      </c>
      <c r="V414" s="195">
        <f>IFERROR(VLOOKUP(G414&amp;J414,2025Schedule!A:F,6,0),"")</f>
        <v/>
      </c>
    </row>
    <row r="415" ht="14.4" customHeight="1" s="152">
      <c r="A415" s="241">
        <f>H415&amp;I415</f>
        <v/>
      </c>
      <c r="B415" s="241">
        <f>J415&amp;C415</f>
        <v/>
      </c>
      <c r="C415" s="241">
        <f>IFERROR(IF(I415="Home","Away",IF(I415="Away","Home","")),"")</f>
        <v/>
      </c>
      <c r="D415" s="242">
        <f>H415</f>
        <v/>
      </c>
      <c r="E415" s="157">
        <f>IFERROR(IF(AND(F415&gt;0,T415&gt;V415),"Yes",IF(AND(F415&gt;0,T415&lt;V415),"No",IF(AND(F415&lt;0,T415&lt;V415),"Yes",IF(AND(F415&lt;0,T415&gt;V415),"No",0)))),"")</f>
        <v/>
      </c>
      <c r="F415" s="263">
        <f>IFERROR((N415/MAX(N:N)*_MOVw)+(O415/MAX(O:O)*_WINw)+(P415/MAX(P:P)*_PPGw)+(Q415/MAX(Q:Q)*_ORw)+(R415/MAX(R:R)*_DRw),"")</f>
        <v/>
      </c>
      <c r="N415" s="156">
        <f>IFERROR(VLOOKUP(H415,Matrix!A:AC,12,0)-VLOOKUP(J415,Matrix!A:AC,12,0),"")</f>
        <v/>
      </c>
      <c r="O415" s="182">
        <f>IFERROR(AVERAGEIFS(2025Schedule!O:O,2025Schedule!E:E,H415,2025Schedule!N:N,A415)-AVERAGEIFS(2025Schedule!O:O,2025Schedule!E:E,J415,2025Schedule!N:N,B415),0)</f>
        <v/>
      </c>
      <c r="P415" s="156">
        <f>IFERROR(VLOOKUP(H415,Matrix!A:D,2,0)-VLOOKUP(J415,Matrix!A:D,2,0),"")</f>
        <v/>
      </c>
      <c r="Q415" s="156">
        <f>IFERROR(VLOOKUP(H415,Matrix!A:AC,15,0)-VLOOKUP(J415,Matrix!A:AC,15,0),"")</f>
        <v/>
      </c>
      <c r="R415" s="156">
        <f>IFERROR(VLOOKUP(H415,Matrix!A:AC,16,0)-VLOOKUP(J415,Matrix!A:AC,16,0),"")</f>
        <v/>
      </c>
      <c r="S415" s="195">
        <f>H415</f>
        <v/>
      </c>
      <c r="T415" s="195">
        <f>IFERROR(VLOOKUP(G415&amp;H415,2025Schedule!A:F,6,0),"")</f>
        <v/>
      </c>
      <c r="U415" s="264">
        <f>J415</f>
        <v/>
      </c>
      <c r="V415" s="195">
        <f>IFERROR(VLOOKUP(G415&amp;J415,2025Schedule!A:F,6,0),"")</f>
        <v/>
      </c>
    </row>
    <row r="416" ht="14.4" customHeight="1" s="152">
      <c r="A416" s="241">
        <f>H416&amp;I416</f>
        <v/>
      </c>
      <c r="B416" s="241">
        <f>J416&amp;C416</f>
        <v/>
      </c>
      <c r="C416" s="241">
        <f>IFERROR(IF(I416="Home","Away",IF(I416="Away","Home","")),"")</f>
        <v/>
      </c>
      <c r="D416" s="242">
        <f>H416</f>
        <v/>
      </c>
      <c r="E416" s="157">
        <f>IFERROR(IF(AND(F416&gt;0,T416&gt;V416),"Yes",IF(AND(F416&gt;0,T416&lt;V416),"No",IF(AND(F416&lt;0,T416&lt;V416),"Yes",IF(AND(F416&lt;0,T416&gt;V416),"No",0)))),"")</f>
        <v/>
      </c>
      <c r="F416" s="263">
        <f>IFERROR((N416/MAX(N:N)*_MOVw)+(O416/MAX(O:O)*_WINw)+(P416/MAX(P:P)*_PPGw)+(Q416/MAX(Q:Q)*_ORw)+(R416/MAX(R:R)*_DRw),"")</f>
        <v/>
      </c>
      <c r="N416" s="156">
        <f>IFERROR(VLOOKUP(H416,Matrix!A:AC,12,0)-VLOOKUP(J416,Matrix!A:AC,12,0),"")</f>
        <v/>
      </c>
      <c r="O416" s="182">
        <f>IFERROR(AVERAGEIFS(2025Schedule!O:O,2025Schedule!E:E,H416,2025Schedule!N:N,A416)-AVERAGEIFS(2025Schedule!O:O,2025Schedule!E:E,J416,2025Schedule!N:N,B416),0)</f>
        <v/>
      </c>
      <c r="P416" s="156">
        <f>IFERROR(VLOOKUP(H416,Matrix!A:D,2,0)-VLOOKUP(J416,Matrix!A:D,2,0),"")</f>
        <v/>
      </c>
      <c r="Q416" s="156">
        <f>IFERROR(VLOOKUP(H416,Matrix!A:AC,15,0)-VLOOKUP(J416,Matrix!A:AC,15,0),"")</f>
        <v/>
      </c>
      <c r="R416" s="156">
        <f>IFERROR(VLOOKUP(H416,Matrix!A:AC,16,0)-VLOOKUP(J416,Matrix!A:AC,16,0),"")</f>
        <v/>
      </c>
      <c r="S416" s="195">
        <f>H416</f>
        <v/>
      </c>
      <c r="T416" s="195">
        <f>IFERROR(VLOOKUP(G416&amp;H416,2025Schedule!A:F,6,0),"")</f>
        <v/>
      </c>
      <c r="U416" s="264">
        <f>J416</f>
        <v/>
      </c>
      <c r="V416" s="195">
        <f>IFERROR(VLOOKUP(G416&amp;J416,2025Schedule!A:F,6,0),"")</f>
        <v/>
      </c>
    </row>
    <row r="417" ht="14.4" customHeight="1" s="152">
      <c r="A417" s="241">
        <f>H417&amp;I417</f>
        <v/>
      </c>
      <c r="B417" s="241">
        <f>J417&amp;C417</f>
        <v/>
      </c>
      <c r="C417" s="241">
        <f>IFERROR(IF(I417="Home","Away",IF(I417="Away","Home","")),"")</f>
        <v/>
      </c>
      <c r="D417" s="242">
        <f>H417</f>
        <v/>
      </c>
      <c r="E417" s="157">
        <f>IFERROR(IF(AND(F417&gt;0,T417&gt;V417),"Yes",IF(AND(F417&gt;0,T417&lt;V417),"No",IF(AND(F417&lt;0,T417&lt;V417),"Yes",IF(AND(F417&lt;0,T417&gt;V417),"No",0)))),"")</f>
        <v/>
      </c>
      <c r="F417" s="263">
        <f>IFERROR((N417/MAX(N:N)*_MOVw)+(O417/MAX(O:O)*_WINw)+(P417/MAX(P:P)*_PPGw)+(Q417/MAX(Q:Q)*_ORw)+(R417/MAX(R:R)*_DRw),"")</f>
        <v/>
      </c>
      <c r="N417" s="156">
        <f>IFERROR(VLOOKUP(H417,Matrix!A:AC,12,0)-VLOOKUP(J417,Matrix!A:AC,12,0),"")</f>
        <v/>
      </c>
      <c r="O417" s="182">
        <f>IFERROR(AVERAGEIFS(2025Schedule!O:O,2025Schedule!E:E,H417,2025Schedule!N:N,A417)-AVERAGEIFS(2025Schedule!O:O,2025Schedule!E:E,J417,2025Schedule!N:N,B417),0)</f>
        <v/>
      </c>
      <c r="P417" s="156">
        <f>IFERROR(VLOOKUP(H417,Matrix!A:D,2,0)-VLOOKUP(J417,Matrix!A:D,2,0),"")</f>
        <v/>
      </c>
      <c r="Q417" s="156">
        <f>IFERROR(VLOOKUP(H417,Matrix!A:AC,15,0)-VLOOKUP(J417,Matrix!A:AC,15,0),"")</f>
        <v/>
      </c>
      <c r="R417" s="156">
        <f>IFERROR(VLOOKUP(H417,Matrix!A:AC,16,0)-VLOOKUP(J417,Matrix!A:AC,16,0),"")</f>
        <v/>
      </c>
      <c r="S417" s="195">
        <f>H417</f>
        <v/>
      </c>
      <c r="T417" s="195">
        <f>IFERROR(VLOOKUP(G417&amp;H417,2025Schedule!A:F,6,0),"")</f>
        <v/>
      </c>
      <c r="U417" s="264">
        <f>J417</f>
        <v/>
      </c>
      <c r="V417" s="195">
        <f>IFERROR(VLOOKUP(G417&amp;J417,2025Schedule!A:F,6,0),"")</f>
        <v/>
      </c>
    </row>
    <row r="418" ht="14.4" customHeight="1" s="152">
      <c r="A418" s="241">
        <f>H418&amp;I418</f>
        <v/>
      </c>
      <c r="B418" s="241">
        <f>J418&amp;C418</f>
        <v/>
      </c>
      <c r="C418" s="241">
        <f>IFERROR(IF(I418="Home","Away",IF(I418="Away","Home","")),"")</f>
        <v/>
      </c>
      <c r="D418" s="242">
        <f>H418</f>
        <v/>
      </c>
      <c r="E418" s="157">
        <f>IFERROR(IF(AND(F418&gt;0,T418&gt;V418),"Yes",IF(AND(F418&gt;0,T418&lt;V418),"No",IF(AND(F418&lt;0,T418&lt;V418),"Yes",IF(AND(F418&lt;0,T418&gt;V418),"No",0)))),"")</f>
        <v/>
      </c>
      <c r="F418" s="263">
        <f>IFERROR((N418/MAX(N:N)*_MOVw)+(O418/MAX(O:O)*_WINw)+(P418/MAX(P:P)*_PPGw)+(Q418/MAX(Q:Q)*_ORw)+(R418/MAX(R:R)*_DRw),"")</f>
        <v/>
      </c>
      <c r="N418" s="156">
        <f>IFERROR(VLOOKUP(H418,Matrix!A:AC,12,0)-VLOOKUP(J418,Matrix!A:AC,12,0),"")</f>
        <v/>
      </c>
      <c r="O418" s="182">
        <f>IFERROR(AVERAGEIFS(2025Schedule!O:O,2025Schedule!E:E,H418,2025Schedule!N:N,A418)-AVERAGEIFS(2025Schedule!O:O,2025Schedule!E:E,J418,2025Schedule!N:N,B418),0)</f>
        <v/>
      </c>
      <c r="P418" s="156">
        <f>IFERROR(VLOOKUP(H418,Matrix!A:D,2,0)-VLOOKUP(J418,Matrix!A:D,2,0),"")</f>
        <v/>
      </c>
      <c r="Q418" s="156">
        <f>IFERROR(VLOOKUP(H418,Matrix!A:AC,15,0)-VLOOKUP(J418,Matrix!A:AC,15,0),"")</f>
        <v/>
      </c>
      <c r="R418" s="156">
        <f>IFERROR(VLOOKUP(H418,Matrix!A:AC,16,0)-VLOOKUP(J418,Matrix!A:AC,16,0),"")</f>
        <v/>
      </c>
      <c r="S418" s="195">
        <f>H418</f>
        <v/>
      </c>
      <c r="T418" s="195">
        <f>IFERROR(VLOOKUP(G418&amp;H418,2025Schedule!A:F,6,0),"")</f>
        <v/>
      </c>
      <c r="U418" s="264">
        <f>J418</f>
        <v/>
      </c>
      <c r="V418" s="195">
        <f>IFERROR(VLOOKUP(G418&amp;J418,2025Schedule!A:F,6,0),"")</f>
        <v/>
      </c>
    </row>
    <row r="419" ht="14.4" customHeight="1" s="152">
      <c r="A419" s="241">
        <f>H419&amp;I419</f>
        <v/>
      </c>
      <c r="B419" s="241">
        <f>J419&amp;C419</f>
        <v/>
      </c>
      <c r="C419" s="241">
        <f>IFERROR(IF(I419="Home","Away",IF(I419="Away","Home","")),"")</f>
        <v/>
      </c>
      <c r="D419" s="242">
        <f>H419</f>
        <v/>
      </c>
      <c r="E419" s="157">
        <f>IFERROR(IF(AND(F419&gt;0,T419&gt;V419),"Yes",IF(AND(F419&gt;0,T419&lt;V419),"No",IF(AND(F419&lt;0,T419&lt;V419),"Yes",IF(AND(F419&lt;0,T419&gt;V419),"No",0)))),"")</f>
        <v/>
      </c>
      <c r="F419" s="263">
        <f>IFERROR((N419/MAX(N:N)*_MOVw)+(O419/MAX(O:O)*_WINw)+(P419/MAX(P:P)*_PPGw)+(Q419/MAX(Q:Q)*_ORw)+(R419/MAX(R:R)*_DRw),"")</f>
        <v/>
      </c>
      <c r="N419" s="156">
        <f>IFERROR(VLOOKUP(H419,Matrix!A:AC,12,0)-VLOOKUP(J419,Matrix!A:AC,12,0),"")</f>
        <v/>
      </c>
      <c r="O419" s="182">
        <f>IFERROR(AVERAGEIFS(2025Schedule!O:O,2025Schedule!E:E,H419,2025Schedule!N:N,A419)-AVERAGEIFS(2025Schedule!O:O,2025Schedule!E:E,J419,2025Schedule!N:N,B419),0)</f>
        <v/>
      </c>
      <c r="P419" s="156">
        <f>IFERROR(VLOOKUP(H419,Matrix!A:D,2,0)-VLOOKUP(J419,Matrix!A:D,2,0),"")</f>
        <v/>
      </c>
      <c r="Q419" s="156">
        <f>IFERROR(VLOOKUP(H419,Matrix!A:AC,15,0)-VLOOKUP(J419,Matrix!A:AC,15,0),"")</f>
        <v/>
      </c>
      <c r="R419" s="156">
        <f>IFERROR(VLOOKUP(H419,Matrix!A:AC,16,0)-VLOOKUP(J419,Matrix!A:AC,16,0),"")</f>
        <v/>
      </c>
      <c r="S419" s="195">
        <f>H419</f>
        <v/>
      </c>
      <c r="T419" s="195">
        <f>IFERROR(VLOOKUP(G419&amp;H419,2025Schedule!A:F,6,0),"")</f>
        <v/>
      </c>
      <c r="U419" s="264">
        <f>J419</f>
        <v/>
      </c>
      <c r="V419" s="195">
        <f>IFERROR(VLOOKUP(G419&amp;J419,2025Schedule!A:F,6,0),"")</f>
        <v/>
      </c>
    </row>
    <row r="420" ht="14.4" customHeight="1" s="152">
      <c r="A420" s="241">
        <f>H420&amp;I420</f>
        <v/>
      </c>
      <c r="B420" s="241">
        <f>J420&amp;C420</f>
        <v/>
      </c>
      <c r="C420" s="241">
        <f>IFERROR(IF(I420="Home","Away",IF(I420="Away","Home","")),"")</f>
        <v/>
      </c>
      <c r="D420" s="242">
        <f>H420</f>
        <v/>
      </c>
      <c r="E420" s="157">
        <f>IFERROR(IF(AND(F420&gt;0,T420&gt;V420),"Yes",IF(AND(F420&gt;0,T420&lt;V420),"No",IF(AND(F420&lt;0,T420&lt;V420),"Yes",IF(AND(F420&lt;0,T420&gt;V420),"No",0)))),"")</f>
        <v/>
      </c>
      <c r="F420" s="263">
        <f>IFERROR((N420/MAX(N:N)*_MOVw)+(O420/MAX(O:O)*_WINw)+(P420/MAX(P:P)*_PPGw)+(Q420/MAX(Q:Q)*_ORw)+(R420/MAX(R:R)*_DRw),"")</f>
        <v/>
      </c>
      <c r="N420" s="156">
        <f>IFERROR(VLOOKUP(H420,Matrix!A:AC,12,0)-VLOOKUP(J420,Matrix!A:AC,12,0),"")</f>
        <v/>
      </c>
      <c r="O420" s="182">
        <f>IFERROR(AVERAGEIFS(2025Schedule!O:O,2025Schedule!E:E,H420,2025Schedule!N:N,A420)-AVERAGEIFS(2025Schedule!O:O,2025Schedule!E:E,J420,2025Schedule!N:N,B420),0)</f>
        <v/>
      </c>
      <c r="P420" s="156">
        <f>IFERROR(VLOOKUP(H420,Matrix!A:D,2,0)-VLOOKUP(J420,Matrix!A:D,2,0),"")</f>
        <v/>
      </c>
      <c r="Q420" s="156">
        <f>IFERROR(VLOOKUP(H420,Matrix!A:AC,15,0)-VLOOKUP(J420,Matrix!A:AC,15,0),"")</f>
        <v/>
      </c>
      <c r="R420" s="156">
        <f>IFERROR(VLOOKUP(H420,Matrix!A:AC,16,0)-VLOOKUP(J420,Matrix!A:AC,16,0),"")</f>
        <v/>
      </c>
      <c r="S420" s="195">
        <f>H420</f>
        <v/>
      </c>
      <c r="T420" s="195">
        <f>IFERROR(VLOOKUP(G420&amp;H420,2025Schedule!A:F,6,0),"")</f>
        <v/>
      </c>
      <c r="U420" s="264">
        <f>J420</f>
        <v/>
      </c>
      <c r="V420" s="195">
        <f>IFERROR(VLOOKUP(G420&amp;J420,2025Schedule!A:F,6,0),"")</f>
        <v/>
      </c>
    </row>
    <row r="421" ht="14.4" customHeight="1" s="152">
      <c r="A421" s="241">
        <f>H421&amp;I421</f>
        <v/>
      </c>
      <c r="B421" s="241">
        <f>J421&amp;C421</f>
        <v/>
      </c>
      <c r="C421" s="241">
        <f>IFERROR(IF(I421="Home","Away",IF(I421="Away","Home","")),"")</f>
        <v/>
      </c>
      <c r="D421" s="242">
        <f>H421</f>
        <v/>
      </c>
      <c r="E421" s="157">
        <f>IFERROR(IF(AND(F421&gt;0,T421&gt;V421),"Yes",IF(AND(F421&gt;0,T421&lt;V421),"No",IF(AND(F421&lt;0,T421&lt;V421),"Yes",IF(AND(F421&lt;0,T421&gt;V421),"No",0)))),"")</f>
        <v/>
      </c>
      <c r="F421" s="263">
        <f>IFERROR((N421/MAX(N:N)*_MOVw)+(O421/MAX(O:O)*_WINw)+(P421/MAX(P:P)*_PPGw)+(Q421/MAX(Q:Q)*_ORw)+(R421/MAX(R:R)*_DRw),"")</f>
        <v/>
      </c>
      <c r="N421" s="156">
        <f>IFERROR(VLOOKUP(H421,Matrix!A:AC,12,0)-VLOOKUP(J421,Matrix!A:AC,12,0),"")</f>
        <v/>
      </c>
      <c r="O421" s="182">
        <f>IFERROR(AVERAGEIFS(2025Schedule!O:O,2025Schedule!E:E,H421,2025Schedule!N:N,A421)-AVERAGEIFS(2025Schedule!O:O,2025Schedule!E:E,J421,2025Schedule!N:N,B421),0)</f>
        <v/>
      </c>
      <c r="P421" s="156">
        <f>IFERROR(VLOOKUP(H421,Matrix!A:D,2,0)-VLOOKUP(J421,Matrix!A:D,2,0),"")</f>
        <v/>
      </c>
      <c r="Q421" s="156">
        <f>IFERROR(VLOOKUP(H421,Matrix!A:AC,15,0)-VLOOKUP(J421,Matrix!A:AC,15,0),"")</f>
        <v/>
      </c>
      <c r="R421" s="156">
        <f>IFERROR(VLOOKUP(H421,Matrix!A:AC,16,0)-VLOOKUP(J421,Matrix!A:AC,16,0),"")</f>
        <v/>
      </c>
      <c r="S421" s="195">
        <f>H421</f>
        <v/>
      </c>
      <c r="T421" s="195">
        <f>IFERROR(VLOOKUP(G421&amp;H421,2025Schedule!A:F,6,0),"")</f>
        <v/>
      </c>
      <c r="U421" s="264">
        <f>J421</f>
        <v/>
      </c>
      <c r="V421" s="195">
        <f>IFERROR(VLOOKUP(G421&amp;J421,2025Schedule!A:F,6,0),"")</f>
        <v/>
      </c>
    </row>
    <row r="422" ht="14.4" customHeight="1" s="152">
      <c r="A422" s="241">
        <f>H422&amp;I422</f>
        <v/>
      </c>
      <c r="B422" s="241">
        <f>J422&amp;C422</f>
        <v/>
      </c>
      <c r="C422" s="241">
        <f>IFERROR(IF(I422="Home","Away",IF(I422="Away","Home","")),"")</f>
        <v/>
      </c>
      <c r="D422" s="242">
        <f>H422</f>
        <v/>
      </c>
      <c r="E422" s="157">
        <f>IFERROR(IF(AND(F422&gt;0,T422&gt;V422),"Yes",IF(AND(F422&gt;0,T422&lt;V422),"No",IF(AND(F422&lt;0,T422&lt;V422),"Yes",IF(AND(F422&lt;0,T422&gt;V422),"No",0)))),"")</f>
        <v/>
      </c>
      <c r="F422" s="263">
        <f>IFERROR((N422/MAX(N:N)*_MOVw)+(O422/MAX(O:O)*_WINw)+(P422/MAX(P:P)*_PPGw)+(Q422/MAX(Q:Q)*_ORw)+(R422/MAX(R:R)*_DRw),"")</f>
        <v/>
      </c>
      <c r="N422" s="156">
        <f>IFERROR(VLOOKUP(H422,Matrix!A:AC,12,0)-VLOOKUP(J422,Matrix!A:AC,12,0),"")</f>
        <v/>
      </c>
      <c r="O422" s="182">
        <f>IFERROR(AVERAGEIFS(2025Schedule!O:O,2025Schedule!E:E,H422,2025Schedule!N:N,A422)-AVERAGEIFS(2025Schedule!O:O,2025Schedule!E:E,J422,2025Schedule!N:N,B422),0)</f>
        <v/>
      </c>
      <c r="P422" s="156">
        <f>IFERROR(VLOOKUP(H422,Matrix!A:D,2,0)-VLOOKUP(J422,Matrix!A:D,2,0),"")</f>
        <v/>
      </c>
      <c r="Q422" s="156">
        <f>IFERROR(VLOOKUP(H422,Matrix!A:AC,15,0)-VLOOKUP(J422,Matrix!A:AC,15,0),"")</f>
        <v/>
      </c>
      <c r="R422" s="156">
        <f>IFERROR(VLOOKUP(H422,Matrix!A:AC,16,0)-VLOOKUP(J422,Matrix!A:AC,16,0),"")</f>
        <v/>
      </c>
      <c r="S422" s="195">
        <f>H422</f>
        <v/>
      </c>
      <c r="T422" s="195">
        <f>IFERROR(VLOOKUP(G422&amp;H422,2025Schedule!A:F,6,0),"")</f>
        <v/>
      </c>
      <c r="U422" s="264">
        <f>J422</f>
        <v/>
      </c>
      <c r="V422" s="195">
        <f>IFERROR(VLOOKUP(G422&amp;J422,2025Schedule!A:F,6,0),"")</f>
        <v/>
      </c>
    </row>
    <row r="423" ht="14.4" customHeight="1" s="152">
      <c r="A423" s="241">
        <f>H423&amp;I423</f>
        <v/>
      </c>
      <c r="B423" s="241">
        <f>J423&amp;C423</f>
        <v/>
      </c>
      <c r="C423" s="241">
        <f>IFERROR(IF(I423="Home","Away",IF(I423="Away","Home","")),"")</f>
        <v/>
      </c>
      <c r="D423" s="242">
        <f>H423</f>
        <v/>
      </c>
      <c r="E423" s="157">
        <f>IFERROR(IF(AND(F423&gt;0,T423&gt;V423),"Yes",IF(AND(F423&gt;0,T423&lt;V423),"No",IF(AND(F423&lt;0,T423&lt;V423),"Yes",IF(AND(F423&lt;0,T423&gt;V423),"No",0)))),"")</f>
        <v/>
      </c>
      <c r="F423" s="263">
        <f>IFERROR((N423/MAX(N:N)*_MOVw)+(O423/MAX(O:O)*_WINw)+(P423/MAX(P:P)*_PPGw)+(Q423/MAX(Q:Q)*_ORw)+(R423/MAX(R:R)*_DRw),"")</f>
        <v/>
      </c>
      <c r="N423" s="156">
        <f>IFERROR(VLOOKUP(H423,Matrix!A:AC,12,0)-VLOOKUP(J423,Matrix!A:AC,12,0),"")</f>
        <v/>
      </c>
      <c r="O423" s="182">
        <f>IFERROR(AVERAGEIFS(2025Schedule!O:O,2025Schedule!E:E,H423,2025Schedule!N:N,A423)-AVERAGEIFS(2025Schedule!O:O,2025Schedule!E:E,J423,2025Schedule!N:N,B423),0)</f>
        <v/>
      </c>
      <c r="P423" s="156">
        <f>IFERROR(VLOOKUP(H423,Matrix!A:D,2,0)-VLOOKUP(J423,Matrix!A:D,2,0),"")</f>
        <v/>
      </c>
      <c r="Q423" s="156">
        <f>IFERROR(VLOOKUP(H423,Matrix!A:AC,15,0)-VLOOKUP(J423,Matrix!A:AC,15,0),"")</f>
        <v/>
      </c>
      <c r="R423" s="156">
        <f>IFERROR(VLOOKUP(H423,Matrix!A:AC,16,0)-VLOOKUP(J423,Matrix!A:AC,16,0),"")</f>
        <v/>
      </c>
      <c r="S423" s="195">
        <f>H423</f>
        <v/>
      </c>
      <c r="T423" s="195">
        <f>IFERROR(VLOOKUP(G423&amp;H423,2025Schedule!A:F,6,0),"")</f>
        <v/>
      </c>
      <c r="U423" s="264">
        <f>J423</f>
        <v/>
      </c>
      <c r="V423" s="195">
        <f>IFERROR(VLOOKUP(G423&amp;J423,2025Schedule!A:F,6,0),"")</f>
        <v/>
      </c>
    </row>
    <row r="424" ht="14.4" customHeight="1" s="152">
      <c r="A424" s="241">
        <f>H424&amp;I424</f>
        <v/>
      </c>
      <c r="B424" s="241">
        <f>J424&amp;C424</f>
        <v/>
      </c>
      <c r="C424" s="241">
        <f>IFERROR(IF(I424="Home","Away",IF(I424="Away","Home","")),"")</f>
        <v/>
      </c>
      <c r="D424" s="242">
        <f>H424</f>
        <v/>
      </c>
      <c r="E424" s="157">
        <f>IFERROR(IF(AND(F424&gt;0,T424&gt;V424),"Yes",IF(AND(F424&gt;0,T424&lt;V424),"No",IF(AND(F424&lt;0,T424&lt;V424),"Yes",IF(AND(F424&lt;0,T424&gt;V424),"No",0)))),"")</f>
        <v/>
      </c>
      <c r="F424" s="263">
        <f>IFERROR((N424/MAX(N:N)*_MOVw)+(O424/MAX(O:O)*_WINw)+(P424/MAX(P:P)*_PPGw)+(Q424/MAX(Q:Q)*_ORw)+(R424/MAX(R:R)*_DRw),"")</f>
        <v/>
      </c>
      <c r="N424" s="156">
        <f>IFERROR(VLOOKUP(H424,Matrix!A:AC,12,0)-VLOOKUP(J424,Matrix!A:AC,12,0),"")</f>
        <v/>
      </c>
      <c r="O424" s="182">
        <f>IFERROR(AVERAGEIFS(2025Schedule!O:O,2025Schedule!E:E,H424,2025Schedule!N:N,A424)-AVERAGEIFS(2025Schedule!O:O,2025Schedule!E:E,J424,2025Schedule!N:N,B424),0)</f>
        <v/>
      </c>
      <c r="P424" s="156">
        <f>IFERROR(VLOOKUP(H424,Matrix!A:D,2,0)-VLOOKUP(J424,Matrix!A:D,2,0),"")</f>
        <v/>
      </c>
      <c r="Q424" s="156">
        <f>IFERROR(VLOOKUP(H424,Matrix!A:AC,15,0)-VLOOKUP(J424,Matrix!A:AC,15,0),"")</f>
        <v/>
      </c>
      <c r="R424" s="156">
        <f>IFERROR(VLOOKUP(H424,Matrix!A:AC,16,0)-VLOOKUP(J424,Matrix!A:AC,16,0),"")</f>
        <v/>
      </c>
      <c r="S424" s="195">
        <f>H424</f>
        <v/>
      </c>
      <c r="T424" s="195">
        <f>IFERROR(VLOOKUP(G424&amp;H424,2025Schedule!A:F,6,0),"")</f>
        <v/>
      </c>
      <c r="U424" s="264">
        <f>J424</f>
        <v/>
      </c>
      <c r="V424" s="195">
        <f>IFERROR(VLOOKUP(G424&amp;J424,2025Schedule!A:F,6,0),"")</f>
        <v/>
      </c>
    </row>
    <row r="425" ht="14.4" customHeight="1" s="152">
      <c r="A425" s="241">
        <f>H425&amp;I425</f>
        <v/>
      </c>
      <c r="B425" s="241">
        <f>J425&amp;C425</f>
        <v/>
      </c>
      <c r="C425" s="241">
        <f>IFERROR(IF(I425="Home","Away",IF(I425="Away","Home","")),"")</f>
        <v/>
      </c>
      <c r="D425" s="242">
        <f>H425</f>
        <v/>
      </c>
      <c r="E425" s="157">
        <f>IFERROR(IF(AND(F425&gt;0,T425&gt;V425),"Yes",IF(AND(F425&gt;0,T425&lt;V425),"No",IF(AND(F425&lt;0,T425&lt;V425),"Yes",IF(AND(F425&lt;0,T425&gt;V425),"No",0)))),"")</f>
        <v/>
      </c>
      <c r="F425" s="263">
        <f>IFERROR((N425/MAX(N:N)*_MOVw)+(O425/MAX(O:O)*_WINw)+(P425/MAX(P:P)*_PPGw)+(Q425/MAX(Q:Q)*_ORw)+(R425/MAX(R:R)*_DRw),"")</f>
        <v/>
      </c>
      <c r="N425" s="156">
        <f>IFERROR(VLOOKUP(H425,Matrix!A:AC,12,0)-VLOOKUP(J425,Matrix!A:AC,12,0),"")</f>
        <v/>
      </c>
      <c r="O425" s="182">
        <f>IFERROR(AVERAGEIFS(2025Schedule!O:O,2025Schedule!E:E,H425,2025Schedule!N:N,A425)-AVERAGEIFS(2025Schedule!O:O,2025Schedule!E:E,J425,2025Schedule!N:N,B425),0)</f>
        <v/>
      </c>
      <c r="P425" s="156">
        <f>IFERROR(VLOOKUP(H425,Matrix!A:D,2,0)-VLOOKUP(J425,Matrix!A:D,2,0),"")</f>
        <v/>
      </c>
      <c r="Q425" s="156">
        <f>IFERROR(VLOOKUP(H425,Matrix!A:AC,15,0)-VLOOKUP(J425,Matrix!A:AC,15,0),"")</f>
        <v/>
      </c>
      <c r="R425" s="156">
        <f>IFERROR(VLOOKUP(H425,Matrix!A:AC,16,0)-VLOOKUP(J425,Matrix!A:AC,16,0),"")</f>
        <v/>
      </c>
      <c r="S425" s="195">
        <f>H425</f>
        <v/>
      </c>
      <c r="T425" s="195">
        <f>IFERROR(VLOOKUP(G425&amp;H425,2025Schedule!A:F,6,0),"")</f>
        <v/>
      </c>
      <c r="U425" s="264">
        <f>J425</f>
        <v/>
      </c>
      <c r="V425" s="195">
        <f>IFERROR(VLOOKUP(G425&amp;J425,2025Schedule!A:F,6,0),"")</f>
        <v/>
      </c>
    </row>
    <row r="426" ht="14.4" customHeight="1" s="152">
      <c r="A426" s="241">
        <f>H426&amp;I426</f>
        <v/>
      </c>
      <c r="B426" s="241">
        <f>J426&amp;C426</f>
        <v/>
      </c>
      <c r="C426" s="241">
        <f>IFERROR(IF(I426="Home","Away",IF(I426="Away","Home","")),"")</f>
        <v/>
      </c>
      <c r="D426" s="242">
        <f>H426</f>
        <v/>
      </c>
      <c r="E426" s="157">
        <f>IFERROR(IF(AND(F426&gt;0,T426&gt;V426),"Yes",IF(AND(F426&gt;0,T426&lt;V426),"No",IF(AND(F426&lt;0,T426&lt;V426),"Yes",IF(AND(F426&lt;0,T426&gt;V426),"No",0)))),"")</f>
        <v/>
      </c>
      <c r="F426" s="263">
        <f>IFERROR((N426/MAX(N:N)*_MOVw)+(O426/MAX(O:O)*_WINw)+(P426/MAX(P:P)*_PPGw)+(Q426/MAX(Q:Q)*_ORw)+(R426/MAX(R:R)*_DRw),"")</f>
        <v/>
      </c>
      <c r="N426" s="156">
        <f>IFERROR(VLOOKUP(H426,Matrix!A:AC,12,0)-VLOOKUP(J426,Matrix!A:AC,12,0),"")</f>
        <v/>
      </c>
      <c r="O426" s="182">
        <f>IFERROR(AVERAGEIFS(2025Schedule!O:O,2025Schedule!E:E,H426,2025Schedule!N:N,A426)-AVERAGEIFS(2025Schedule!O:O,2025Schedule!E:E,J426,2025Schedule!N:N,B426),0)</f>
        <v/>
      </c>
      <c r="P426" s="156">
        <f>IFERROR(VLOOKUP(H426,Matrix!A:D,2,0)-VLOOKUP(J426,Matrix!A:D,2,0),"")</f>
        <v/>
      </c>
      <c r="Q426" s="156">
        <f>IFERROR(VLOOKUP(H426,Matrix!A:AC,15,0)-VLOOKUP(J426,Matrix!A:AC,15,0),"")</f>
        <v/>
      </c>
      <c r="R426" s="156">
        <f>IFERROR(VLOOKUP(H426,Matrix!A:AC,16,0)-VLOOKUP(J426,Matrix!A:AC,16,0),"")</f>
        <v/>
      </c>
      <c r="S426" s="195">
        <f>H426</f>
        <v/>
      </c>
      <c r="T426" s="195">
        <f>IFERROR(VLOOKUP(G426&amp;H426,2025Schedule!A:F,6,0),"")</f>
        <v/>
      </c>
      <c r="U426" s="264">
        <f>J426</f>
        <v/>
      </c>
      <c r="V426" s="195">
        <f>IFERROR(VLOOKUP(G426&amp;J426,2025Schedule!A:F,6,0),"")</f>
        <v/>
      </c>
    </row>
    <row r="427" ht="14.4" customHeight="1" s="152">
      <c r="A427" s="241">
        <f>H427&amp;I427</f>
        <v/>
      </c>
      <c r="B427" s="241">
        <f>J427&amp;C427</f>
        <v/>
      </c>
      <c r="C427" s="241">
        <f>IFERROR(IF(I427="Home","Away",IF(I427="Away","Home","")),"")</f>
        <v/>
      </c>
      <c r="D427" s="242">
        <f>H427</f>
        <v/>
      </c>
      <c r="E427" s="157">
        <f>IFERROR(IF(AND(F427&gt;0,T427&gt;V427),"Yes",IF(AND(F427&gt;0,T427&lt;V427),"No",IF(AND(F427&lt;0,T427&lt;V427),"Yes",IF(AND(F427&lt;0,T427&gt;V427),"No",0)))),"")</f>
        <v/>
      </c>
      <c r="F427" s="263">
        <f>IFERROR((N427/MAX(N:N)*_MOVw)+(O427/MAX(O:O)*_WINw)+(P427/MAX(P:P)*_PPGw)+(Q427/MAX(Q:Q)*_ORw)+(R427/MAX(R:R)*_DRw),"")</f>
        <v/>
      </c>
      <c r="N427" s="156">
        <f>IFERROR(VLOOKUP(H427,Matrix!A:AC,12,0)-VLOOKUP(J427,Matrix!A:AC,12,0),"")</f>
        <v/>
      </c>
      <c r="O427" s="182">
        <f>IFERROR(AVERAGEIFS(2025Schedule!O:O,2025Schedule!E:E,H427,2025Schedule!N:N,A427)-AVERAGEIFS(2025Schedule!O:O,2025Schedule!E:E,J427,2025Schedule!N:N,B427),0)</f>
        <v/>
      </c>
      <c r="P427" s="156">
        <f>IFERROR(VLOOKUP(H427,Matrix!A:D,2,0)-VLOOKUP(J427,Matrix!A:D,2,0),"")</f>
        <v/>
      </c>
      <c r="Q427" s="156">
        <f>IFERROR(VLOOKUP(H427,Matrix!A:AC,15,0)-VLOOKUP(J427,Matrix!A:AC,15,0),"")</f>
        <v/>
      </c>
      <c r="R427" s="156">
        <f>IFERROR(VLOOKUP(H427,Matrix!A:AC,16,0)-VLOOKUP(J427,Matrix!A:AC,16,0),"")</f>
        <v/>
      </c>
      <c r="S427" s="195">
        <f>H427</f>
        <v/>
      </c>
      <c r="T427" s="195">
        <f>IFERROR(VLOOKUP(G427&amp;H427,2025Schedule!A:F,6,0),"")</f>
        <v/>
      </c>
      <c r="U427" s="264">
        <f>J427</f>
        <v/>
      </c>
      <c r="V427" s="195">
        <f>IFERROR(VLOOKUP(G427&amp;J427,2025Schedule!A:F,6,0),"")</f>
        <v/>
      </c>
    </row>
    <row r="428" ht="14.4" customHeight="1" s="152">
      <c r="A428" s="241">
        <f>H428&amp;I428</f>
        <v/>
      </c>
      <c r="B428" s="241">
        <f>J428&amp;C428</f>
        <v/>
      </c>
      <c r="C428" s="241">
        <f>IFERROR(IF(I428="Home","Away",IF(I428="Away","Home","")),"")</f>
        <v/>
      </c>
      <c r="D428" s="242">
        <f>H428</f>
        <v/>
      </c>
      <c r="E428" s="157">
        <f>IFERROR(IF(AND(F428&gt;0,T428&gt;V428),"Yes",IF(AND(F428&gt;0,T428&lt;V428),"No",IF(AND(F428&lt;0,T428&lt;V428),"Yes",IF(AND(F428&lt;0,T428&gt;V428),"No",0)))),"")</f>
        <v/>
      </c>
      <c r="F428" s="263">
        <f>IFERROR((N428/MAX(N:N)*_MOVw)+(O428/MAX(O:O)*_WINw)+(P428/MAX(P:P)*_PPGw)+(Q428/MAX(Q:Q)*_ORw)+(R428/MAX(R:R)*_DRw),"")</f>
        <v/>
      </c>
      <c r="N428" s="156">
        <f>IFERROR(VLOOKUP(H428,Matrix!A:AC,12,0)-VLOOKUP(J428,Matrix!A:AC,12,0),"")</f>
        <v/>
      </c>
      <c r="O428" s="182">
        <f>IFERROR(AVERAGEIFS(2025Schedule!O:O,2025Schedule!E:E,H428,2025Schedule!N:N,A428)-AVERAGEIFS(2025Schedule!O:O,2025Schedule!E:E,J428,2025Schedule!N:N,B428),0)</f>
        <v/>
      </c>
      <c r="P428" s="156">
        <f>IFERROR(VLOOKUP(H428,Matrix!A:D,2,0)-VLOOKUP(J428,Matrix!A:D,2,0),"")</f>
        <v/>
      </c>
      <c r="Q428" s="156">
        <f>IFERROR(VLOOKUP(H428,Matrix!A:AC,15,0)-VLOOKUP(J428,Matrix!A:AC,15,0),"")</f>
        <v/>
      </c>
      <c r="R428" s="156">
        <f>IFERROR(VLOOKUP(H428,Matrix!A:AC,16,0)-VLOOKUP(J428,Matrix!A:AC,16,0),"")</f>
        <v/>
      </c>
      <c r="S428" s="195">
        <f>H428</f>
        <v/>
      </c>
      <c r="T428" s="195">
        <f>IFERROR(VLOOKUP(G428&amp;H428,2025Schedule!A:F,6,0),"")</f>
        <v/>
      </c>
      <c r="U428" s="264">
        <f>J428</f>
        <v/>
      </c>
      <c r="V428" s="195">
        <f>IFERROR(VLOOKUP(G428&amp;J428,2025Schedule!A:F,6,0),"")</f>
        <v/>
      </c>
    </row>
    <row r="429" ht="14.4" customHeight="1" s="152">
      <c r="A429" s="241">
        <f>H429&amp;I429</f>
        <v/>
      </c>
      <c r="B429" s="241">
        <f>J429&amp;C429</f>
        <v/>
      </c>
      <c r="C429" s="241">
        <f>IFERROR(IF(I429="Home","Away",IF(I429="Away","Home","")),"")</f>
        <v/>
      </c>
      <c r="D429" s="242">
        <f>H429</f>
        <v/>
      </c>
      <c r="E429" s="157">
        <f>IFERROR(IF(AND(F429&gt;0,T429&gt;V429),"Yes",IF(AND(F429&gt;0,T429&lt;V429),"No",IF(AND(F429&lt;0,T429&lt;V429),"Yes",IF(AND(F429&lt;0,T429&gt;V429),"No",0)))),"")</f>
        <v/>
      </c>
      <c r="F429" s="263">
        <f>IFERROR((N429/MAX(N:N)*_MOVw)+(O429/MAX(O:O)*_WINw)+(P429/MAX(P:P)*_PPGw)+(Q429/MAX(Q:Q)*_ORw)+(R429/MAX(R:R)*_DRw),"")</f>
        <v/>
      </c>
      <c r="N429" s="156">
        <f>IFERROR(VLOOKUP(H429,Matrix!A:AC,12,0)-VLOOKUP(J429,Matrix!A:AC,12,0),"")</f>
        <v/>
      </c>
      <c r="O429" s="182">
        <f>IFERROR(AVERAGEIFS(2025Schedule!O:O,2025Schedule!E:E,H429,2025Schedule!N:N,A429)-AVERAGEIFS(2025Schedule!O:O,2025Schedule!E:E,J429,2025Schedule!N:N,B429),0)</f>
        <v/>
      </c>
      <c r="P429" s="156">
        <f>IFERROR(VLOOKUP(H429,Matrix!A:D,2,0)-VLOOKUP(J429,Matrix!A:D,2,0),"")</f>
        <v/>
      </c>
      <c r="Q429" s="156">
        <f>IFERROR(VLOOKUP(H429,Matrix!A:AC,15,0)-VLOOKUP(J429,Matrix!A:AC,15,0),"")</f>
        <v/>
      </c>
      <c r="R429" s="156">
        <f>IFERROR(VLOOKUP(H429,Matrix!A:AC,16,0)-VLOOKUP(J429,Matrix!A:AC,16,0),"")</f>
        <v/>
      </c>
      <c r="S429" s="195">
        <f>H429</f>
        <v/>
      </c>
      <c r="T429" s="195">
        <f>IFERROR(VLOOKUP(G429&amp;H429,2025Schedule!A:F,6,0),"")</f>
        <v/>
      </c>
      <c r="U429" s="264">
        <f>J429</f>
        <v/>
      </c>
      <c r="V429" s="195">
        <f>IFERROR(VLOOKUP(G429&amp;J429,2025Schedule!A:F,6,0),"")</f>
        <v/>
      </c>
    </row>
    <row r="430" ht="14.4" customHeight="1" s="152">
      <c r="A430" s="241">
        <f>H430&amp;I430</f>
        <v/>
      </c>
      <c r="B430" s="241">
        <f>J430&amp;C430</f>
        <v/>
      </c>
      <c r="C430" s="241">
        <f>IFERROR(IF(I430="Home","Away",IF(I430="Away","Home","")),"")</f>
        <v/>
      </c>
      <c r="D430" s="242">
        <f>H430</f>
        <v/>
      </c>
      <c r="E430" s="157">
        <f>IFERROR(IF(AND(F430&gt;0,T430&gt;V430),"Yes",IF(AND(F430&gt;0,T430&lt;V430),"No",IF(AND(F430&lt;0,T430&lt;V430),"Yes",IF(AND(F430&lt;0,T430&gt;V430),"No",0)))),"")</f>
        <v/>
      </c>
      <c r="F430" s="263">
        <f>IFERROR((N430/MAX(N:N)*_MOVw)+(O430/MAX(O:O)*_WINw)+(P430/MAX(P:P)*_PPGw)+(Q430/MAX(Q:Q)*_ORw)+(R430/MAX(R:R)*_DRw),"")</f>
        <v/>
      </c>
      <c r="N430" s="156">
        <f>IFERROR(VLOOKUP(H430,Matrix!A:AC,12,0)-VLOOKUP(J430,Matrix!A:AC,12,0),"")</f>
        <v/>
      </c>
      <c r="O430" s="182">
        <f>IFERROR(AVERAGEIFS(2025Schedule!O:O,2025Schedule!E:E,H430,2025Schedule!N:N,A430)-AVERAGEIFS(2025Schedule!O:O,2025Schedule!E:E,J430,2025Schedule!N:N,B430),0)</f>
        <v/>
      </c>
      <c r="P430" s="156">
        <f>IFERROR(VLOOKUP(H430,Matrix!A:D,2,0)-VLOOKUP(J430,Matrix!A:D,2,0),"")</f>
        <v/>
      </c>
      <c r="Q430" s="156">
        <f>IFERROR(VLOOKUP(H430,Matrix!A:AC,15,0)-VLOOKUP(J430,Matrix!A:AC,15,0),"")</f>
        <v/>
      </c>
      <c r="R430" s="156">
        <f>IFERROR(VLOOKUP(H430,Matrix!A:AC,16,0)-VLOOKUP(J430,Matrix!A:AC,16,0),"")</f>
        <v/>
      </c>
      <c r="S430" s="195">
        <f>H430</f>
        <v/>
      </c>
      <c r="T430" s="195">
        <f>IFERROR(VLOOKUP(G430&amp;H430,2025Schedule!A:F,6,0),"")</f>
        <v/>
      </c>
      <c r="U430" s="264">
        <f>J430</f>
        <v/>
      </c>
      <c r="V430" s="195">
        <f>IFERROR(VLOOKUP(G430&amp;J430,2025Schedule!A:F,6,0),"")</f>
        <v/>
      </c>
    </row>
    <row r="431" ht="14.4" customHeight="1" s="152">
      <c r="A431" s="241">
        <f>H431&amp;I431</f>
        <v/>
      </c>
      <c r="B431" s="241">
        <f>J431&amp;C431</f>
        <v/>
      </c>
      <c r="C431" s="241">
        <f>IFERROR(IF(I431="Home","Away",IF(I431="Away","Home","")),"")</f>
        <v/>
      </c>
      <c r="D431" s="242">
        <f>H431</f>
        <v/>
      </c>
      <c r="E431" s="157">
        <f>IFERROR(IF(AND(F431&gt;0,T431&gt;V431),"Yes",IF(AND(F431&gt;0,T431&lt;V431),"No",IF(AND(F431&lt;0,T431&lt;V431),"Yes",IF(AND(F431&lt;0,T431&gt;V431),"No",0)))),"")</f>
        <v/>
      </c>
      <c r="F431" s="263">
        <f>IFERROR((N431/MAX(N:N)*_MOVw)+(O431/MAX(O:O)*_WINw)+(P431/MAX(P:P)*_PPGw)+(Q431/MAX(Q:Q)*_ORw)+(R431/MAX(R:R)*_DRw),"")</f>
        <v/>
      </c>
      <c r="N431" s="156">
        <f>IFERROR(VLOOKUP(H431,Matrix!A:AC,12,0)-VLOOKUP(J431,Matrix!A:AC,12,0),"")</f>
        <v/>
      </c>
      <c r="O431" s="182">
        <f>IFERROR(AVERAGEIFS(2025Schedule!O:O,2025Schedule!E:E,H431,2025Schedule!N:N,A431)-AVERAGEIFS(2025Schedule!O:O,2025Schedule!E:E,J431,2025Schedule!N:N,B431),0)</f>
        <v/>
      </c>
      <c r="P431" s="156">
        <f>IFERROR(VLOOKUP(H431,Matrix!A:D,2,0)-VLOOKUP(J431,Matrix!A:D,2,0),"")</f>
        <v/>
      </c>
      <c r="Q431" s="156">
        <f>IFERROR(VLOOKUP(H431,Matrix!A:AC,15,0)-VLOOKUP(J431,Matrix!A:AC,15,0),"")</f>
        <v/>
      </c>
      <c r="R431" s="156">
        <f>IFERROR(VLOOKUP(H431,Matrix!A:AC,16,0)-VLOOKUP(J431,Matrix!A:AC,16,0),"")</f>
        <v/>
      </c>
      <c r="S431" s="195">
        <f>H431</f>
        <v/>
      </c>
      <c r="T431" s="195">
        <f>IFERROR(VLOOKUP(G431&amp;H431,2025Schedule!A:F,6,0),"")</f>
        <v/>
      </c>
      <c r="U431" s="264">
        <f>J431</f>
        <v/>
      </c>
      <c r="V431" s="195">
        <f>IFERROR(VLOOKUP(G431&amp;J431,2025Schedule!A:F,6,0),"")</f>
        <v/>
      </c>
    </row>
    <row r="432" ht="14.4" customHeight="1" s="152">
      <c r="A432" s="241">
        <f>H432&amp;I432</f>
        <v/>
      </c>
      <c r="B432" s="241">
        <f>J432&amp;C432</f>
        <v/>
      </c>
      <c r="C432" s="241">
        <f>IFERROR(IF(I432="Home","Away",IF(I432="Away","Home","")),"")</f>
        <v/>
      </c>
      <c r="D432" s="242">
        <f>H432</f>
        <v/>
      </c>
      <c r="E432" s="157">
        <f>IFERROR(IF(AND(F432&gt;0,T432&gt;V432),"Yes",IF(AND(F432&gt;0,T432&lt;V432),"No",IF(AND(F432&lt;0,T432&lt;V432),"Yes",IF(AND(F432&lt;0,T432&gt;V432),"No",0)))),"")</f>
        <v/>
      </c>
      <c r="F432" s="263">
        <f>IFERROR((N432/MAX(N:N)*_MOVw)+(O432/MAX(O:O)*_WINw)+(P432/MAX(P:P)*_PPGw)+(Q432/MAX(Q:Q)*_ORw)+(R432/MAX(R:R)*_DRw),"")</f>
        <v/>
      </c>
      <c r="N432" s="156">
        <f>IFERROR(VLOOKUP(H432,Matrix!A:AC,12,0)-VLOOKUP(J432,Matrix!A:AC,12,0),"")</f>
        <v/>
      </c>
      <c r="O432" s="182">
        <f>IFERROR(AVERAGEIFS(2025Schedule!O:O,2025Schedule!E:E,H432,2025Schedule!N:N,A432)-AVERAGEIFS(2025Schedule!O:O,2025Schedule!E:E,J432,2025Schedule!N:N,B432),0)</f>
        <v/>
      </c>
      <c r="P432" s="156">
        <f>IFERROR(VLOOKUP(H432,Matrix!A:D,2,0)-VLOOKUP(J432,Matrix!A:D,2,0),"")</f>
        <v/>
      </c>
      <c r="Q432" s="156">
        <f>IFERROR(VLOOKUP(H432,Matrix!A:AC,15,0)-VLOOKUP(J432,Matrix!A:AC,15,0),"")</f>
        <v/>
      </c>
      <c r="R432" s="156">
        <f>IFERROR(VLOOKUP(H432,Matrix!A:AC,16,0)-VLOOKUP(J432,Matrix!A:AC,16,0),"")</f>
        <v/>
      </c>
      <c r="S432" s="195">
        <f>H432</f>
        <v/>
      </c>
      <c r="T432" s="195">
        <f>IFERROR(VLOOKUP(G432&amp;H432,2025Schedule!A:F,6,0),"")</f>
        <v/>
      </c>
      <c r="U432" s="264">
        <f>J432</f>
        <v/>
      </c>
      <c r="V432" s="195">
        <f>IFERROR(VLOOKUP(G432&amp;J432,2025Schedule!A:F,6,0),"")</f>
        <v/>
      </c>
    </row>
    <row r="433" ht="14.4" customHeight="1" s="152">
      <c r="A433" s="241">
        <f>H433&amp;I433</f>
        <v/>
      </c>
      <c r="B433" s="241">
        <f>J433&amp;C433</f>
        <v/>
      </c>
      <c r="C433" s="241">
        <f>IFERROR(IF(I433="Home","Away",IF(I433="Away","Home","")),"")</f>
        <v/>
      </c>
      <c r="D433" s="242">
        <f>H433</f>
        <v/>
      </c>
      <c r="E433" s="157">
        <f>IFERROR(IF(AND(F433&gt;0,T433&gt;V433),"Yes",IF(AND(F433&gt;0,T433&lt;V433),"No",IF(AND(F433&lt;0,T433&lt;V433),"Yes",IF(AND(F433&lt;0,T433&gt;V433),"No",0)))),"")</f>
        <v/>
      </c>
      <c r="F433" s="263">
        <f>IFERROR((N433/MAX(N:N)*_MOVw)+(O433/MAX(O:O)*_WINw)+(P433/MAX(P:P)*_PPGw)+(Q433/MAX(Q:Q)*_ORw)+(R433/MAX(R:R)*_DRw),"")</f>
        <v/>
      </c>
      <c r="N433" s="156">
        <f>IFERROR(VLOOKUP(H433,Matrix!A:AC,12,0)-VLOOKUP(J433,Matrix!A:AC,12,0),"")</f>
        <v/>
      </c>
      <c r="O433" s="182">
        <f>IFERROR(AVERAGEIFS(2025Schedule!O:O,2025Schedule!E:E,H433,2025Schedule!N:N,A433)-AVERAGEIFS(2025Schedule!O:O,2025Schedule!E:E,J433,2025Schedule!N:N,B433),0)</f>
        <v/>
      </c>
      <c r="P433" s="156">
        <f>IFERROR(VLOOKUP(H433,Matrix!A:D,2,0)-VLOOKUP(J433,Matrix!A:D,2,0),"")</f>
        <v/>
      </c>
      <c r="Q433" s="156">
        <f>IFERROR(VLOOKUP(H433,Matrix!A:AC,15,0)-VLOOKUP(J433,Matrix!A:AC,15,0),"")</f>
        <v/>
      </c>
      <c r="R433" s="156">
        <f>IFERROR(VLOOKUP(H433,Matrix!A:AC,16,0)-VLOOKUP(J433,Matrix!A:AC,16,0),"")</f>
        <v/>
      </c>
      <c r="S433" s="195">
        <f>H433</f>
        <v/>
      </c>
      <c r="T433" s="195">
        <f>IFERROR(VLOOKUP(G433&amp;H433,2025Schedule!A:F,6,0),"")</f>
        <v/>
      </c>
      <c r="U433" s="264">
        <f>J433</f>
        <v/>
      </c>
      <c r="V433" s="195">
        <f>IFERROR(VLOOKUP(G433&amp;J433,2025Schedule!A:F,6,0),"")</f>
        <v/>
      </c>
    </row>
    <row r="434" ht="14.4" customHeight="1" s="152">
      <c r="A434" s="241">
        <f>H434&amp;I434</f>
        <v/>
      </c>
      <c r="B434" s="241">
        <f>J434&amp;C434</f>
        <v/>
      </c>
      <c r="C434" s="241">
        <f>IFERROR(IF(I434="Home","Away",IF(I434="Away","Home","")),"")</f>
        <v/>
      </c>
      <c r="D434" s="242">
        <f>H434</f>
        <v/>
      </c>
      <c r="E434" s="157">
        <f>IFERROR(IF(AND(F434&gt;0,T434&gt;V434),"Yes",IF(AND(F434&gt;0,T434&lt;V434),"No",IF(AND(F434&lt;0,T434&lt;V434),"Yes",IF(AND(F434&lt;0,T434&gt;V434),"No",0)))),"")</f>
        <v/>
      </c>
      <c r="F434" s="263">
        <f>IFERROR((N434/MAX(N:N)*_MOVw)+(O434/MAX(O:O)*_WINw)+(P434/MAX(P:P)*_PPGw)+(Q434/MAX(Q:Q)*_ORw)+(R434/MAX(R:R)*_DRw),"")</f>
        <v/>
      </c>
      <c r="N434" s="156">
        <f>IFERROR(VLOOKUP(H434,Matrix!A:AC,12,0)-VLOOKUP(J434,Matrix!A:AC,12,0),"")</f>
        <v/>
      </c>
      <c r="O434" s="182">
        <f>IFERROR(AVERAGEIFS(2025Schedule!O:O,2025Schedule!E:E,H434,2025Schedule!N:N,A434)-AVERAGEIFS(2025Schedule!O:O,2025Schedule!E:E,J434,2025Schedule!N:N,B434),0)</f>
        <v/>
      </c>
      <c r="P434" s="156">
        <f>IFERROR(VLOOKUP(H434,Matrix!A:D,2,0)-VLOOKUP(J434,Matrix!A:D,2,0),"")</f>
        <v/>
      </c>
      <c r="Q434" s="156">
        <f>IFERROR(VLOOKUP(H434,Matrix!A:AC,15,0)-VLOOKUP(J434,Matrix!A:AC,15,0),"")</f>
        <v/>
      </c>
      <c r="R434" s="156">
        <f>IFERROR(VLOOKUP(H434,Matrix!A:AC,16,0)-VLOOKUP(J434,Matrix!A:AC,16,0),"")</f>
        <v/>
      </c>
      <c r="S434" s="195">
        <f>H434</f>
        <v/>
      </c>
      <c r="T434" s="195">
        <f>IFERROR(VLOOKUP(G434&amp;H434,2025Schedule!A:F,6,0),"")</f>
        <v/>
      </c>
      <c r="U434" s="264">
        <f>J434</f>
        <v/>
      </c>
      <c r="V434" s="195">
        <f>IFERROR(VLOOKUP(G434&amp;J434,2025Schedule!A:F,6,0),"")</f>
        <v/>
      </c>
    </row>
    <row r="435" ht="14.4" customHeight="1" s="152">
      <c r="A435" s="241">
        <f>H435&amp;I435</f>
        <v/>
      </c>
      <c r="B435" s="241">
        <f>J435&amp;C435</f>
        <v/>
      </c>
      <c r="C435" s="241">
        <f>IFERROR(IF(I435="Home","Away",IF(I435="Away","Home","")),"")</f>
        <v/>
      </c>
      <c r="D435" s="242">
        <f>H435</f>
        <v/>
      </c>
      <c r="E435" s="157">
        <f>IFERROR(IF(AND(F435&gt;0,T435&gt;V435),"Yes",IF(AND(F435&gt;0,T435&lt;V435),"No",IF(AND(F435&lt;0,T435&lt;V435),"Yes",IF(AND(F435&lt;0,T435&gt;V435),"No",0)))),"")</f>
        <v/>
      </c>
      <c r="F435" s="263">
        <f>IFERROR((N435/MAX(N:N)*_MOVw)+(O435/MAX(O:O)*_WINw)+(P435/MAX(P:P)*_PPGw)+(Q435/MAX(Q:Q)*_ORw)+(R435/MAX(R:R)*_DRw),"")</f>
        <v/>
      </c>
      <c r="N435" s="156">
        <f>IFERROR(VLOOKUP(H435,Matrix!A:AC,12,0)-VLOOKUP(J435,Matrix!A:AC,12,0),"")</f>
        <v/>
      </c>
      <c r="O435" s="182">
        <f>IFERROR(AVERAGEIFS(2025Schedule!O:O,2025Schedule!E:E,H435,2025Schedule!N:N,A435)-AVERAGEIFS(2025Schedule!O:O,2025Schedule!E:E,J435,2025Schedule!N:N,B435),0)</f>
        <v/>
      </c>
      <c r="P435" s="156">
        <f>IFERROR(VLOOKUP(H435,Matrix!A:D,2,0)-VLOOKUP(J435,Matrix!A:D,2,0),"")</f>
        <v/>
      </c>
      <c r="Q435" s="156">
        <f>IFERROR(VLOOKUP(H435,Matrix!A:AC,15,0)-VLOOKUP(J435,Matrix!A:AC,15,0),"")</f>
        <v/>
      </c>
      <c r="R435" s="156">
        <f>IFERROR(VLOOKUP(H435,Matrix!A:AC,16,0)-VLOOKUP(J435,Matrix!A:AC,16,0),"")</f>
        <v/>
      </c>
      <c r="S435" s="195">
        <f>H435</f>
        <v/>
      </c>
      <c r="T435" s="195">
        <f>IFERROR(VLOOKUP(G435&amp;H435,2025Schedule!A:F,6,0),"")</f>
        <v/>
      </c>
      <c r="U435" s="264">
        <f>J435</f>
        <v/>
      </c>
      <c r="V435" s="195">
        <f>IFERROR(VLOOKUP(G435&amp;J435,2025Schedule!A:F,6,0),"")</f>
        <v/>
      </c>
    </row>
    <row r="436" ht="14.4" customHeight="1" s="152">
      <c r="A436" s="241">
        <f>H436&amp;I436</f>
        <v/>
      </c>
      <c r="B436" s="241">
        <f>J436&amp;C436</f>
        <v/>
      </c>
      <c r="C436" s="241">
        <f>IFERROR(IF(I436="Home","Away",IF(I436="Away","Home","")),"")</f>
        <v/>
      </c>
      <c r="D436" s="242">
        <f>H436</f>
        <v/>
      </c>
      <c r="E436" s="157">
        <f>IFERROR(IF(AND(F436&gt;0,T436&gt;V436),"Yes",IF(AND(F436&gt;0,T436&lt;V436),"No",IF(AND(F436&lt;0,T436&lt;V436),"Yes",IF(AND(F436&lt;0,T436&gt;V436),"No",0)))),"")</f>
        <v/>
      </c>
      <c r="F436" s="263">
        <f>IFERROR((N436/MAX(N:N)*_MOVw)+(O436/MAX(O:O)*_WINw)+(P436/MAX(P:P)*_PPGw)+(Q436/MAX(Q:Q)*_ORw)+(R436/MAX(R:R)*_DRw),"")</f>
        <v/>
      </c>
      <c r="N436" s="156">
        <f>IFERROR(VLOOKUP(H436,Matrix!A:AC,12,0)-VLOOKUP(J436,Matrix!A:AC,12,0),"")</f>
        <v/>
      </c>
      <c r="O436" s="182">
        <f>IFERROR(AVERAGEIFS(2025Schedule!O:O,2025Schedule!E:E,H436,2025Schedule!N:N,A436)-AVERAGEIFS(2025Schedule!O:O,2025Schedule!E:E,J436,2025Schedule!N:N,B436),0)</f>
        <v/>
      </c>
      <c r="P436" s="156">
        <f>IFERROR(VLOOKUP(H436,Matrix!A:D,2,0)-VLOOKUP(J436,Matrix!A:D,2,0),"")</f>
        <v/>
      </c>
      <c r="Q436" s="156">
        <f>IFERROR(VLOOKUP(H436,Matrix!A:AC,15,0)-VLOOKUP(J436,Matrix!A:AC,15,0),"")</f>
        <v/>
      </c>
      <c r="R436" s="156">
        <f>IFERROR(VLOOKUP(H436,Matrix!A:AC,16,0)-VLOOKUP(J436,Matrix!A:AC,16,0),"")</f>
        <v/>
      </c>
      <c r="S436" s="195">
        <f>H436</f>
        <v/>
      </c>
      <c r="T436" s="195">
        <f>IFERROR(VLOOKUP(G436&amp;H436,2025Schedule!A:F,6,0),"")</f>
        <v/>
      </c>
      <c r="U436" s="264">
        <f>J436</f>
        <v/>
      </c>
      <c r="V436" s="195">
        <f>IFERROR(VLOOKUP(G436&amp;J436,2025Schedule!A:F,6,0),"")</f>
        <v/>
      </c>
    </row>
    <row r="437" ht="14.4" customHeight="1" s="152">
      <c r="A437" s="241">
        <f>H437&amp;I437</f>
        <v/>
      </c>
      <c r="B437" s="241">
        <f>J437&amp;C437</f>
        <v/>
      </c>
      <c r="C437" s="241">
        <f>IFERROR(IF(I437="Home","Away",IF(I437="Away","Home","")),"")</f>
        <v/>
      </c>
      <c r="D437" s="242">
        <f>H437</f>
        <v/>
      </c>
      <c r="E437" s="157">
        <f>IFERROR(IF(AND(F437&gt;0,T437&gt;V437),"Yes",IF(AND(F437&gt;0,T437&lt;V437),"No",IF(AND(F437&lt;0,T437&lt;V437),"Yes",IF(AND(F437&lt;0,T437&gt;V437),"No",0)))),"")</f>
        <v/>
      </c>
      <c r="F437" s="263">
        <f>IFERROR((N437/MAX(N:N)*_MOVw)+(O437/MAX(O:O)*_WINw)+(P437/MAX(P:P)*_PPGw)+(Q437/MAX(Q:Q)*_ORw)+(R437/MAX(R:R)*_DRw),"")</f>
        <v/>
      </c>
      <c r="N437" s="156">
        <f>IFERROR(VLOOKUP(H437,Matrix!A:AC,12,0)-VLOOKUP(J437,Matrix!A:AC,12,0),"")</f>
        <v/>
      </c>
      <c r="O437" s="182">
        <f>IFERROR(AVERAGEIFS(2025Schedule!O:O,2025Schedule!E:E,H437,2025Schedule!N:N,A437)-AVERAGEIFS(2025Schedule!O:O,2025Schedule!E:E,J437,2025Schedule!N:N,B437),0)</f>
        <v/>
      </c>
      <c r="P437" s="156">
        <f>IFERROR(VLOOKUP(H437,Matrix!A:D,2,0)-VLOOKUP(J437,Matrix!A:D,2,0),"")</f>
        <v/>
      </c>
      <c r="Q437" s="156">
        <f>IFERROR(VLOOKUP(H437,Matrix!A:AC,15,0)-VLOOKUP(J437,Matrix!A:AC,15,0),"")</f>
        <v/>
      </c>
      <c r="R437" s="156">
        <f>IFERROR(VLOOKUP(H437,Matrix!A:AC,16,0)-VLOOKUP(J437,Matrix!A:AC,16,0),"")</f>
        <v/>
      </c>
      <c r="S437" s="195">
        <f>H437</f>
        <v/>
      </c>
      <c r="T437" s="195">
        <f>IFERROR(VLOOKUP(G437&amp;H437,2025Schedule!A:F,6,0),"")</f>
        <v/>
      </c>
      <c r="U437" s="264">
        <f>J437</f>
        <v/>
      </c>
      <c r="V437" s="195">
        <f>IFERROR(VLOOKUP(G437&amp;J437,2025Schedule!A:F,6,0),"")</f>
        <v/>
      </c>
    </row>
    <row r="438" ht="14.4" customHeight="1" s="152">
      <c r="A438" s="241">
        <f>H438&amp;I438</f>
        <v/>
      </c>
      <c r="B438" s="241">
        <f>J438&amp;C438</f>
        <v/>
      </c>
      <c r="C438" s="241">
        <f>IFERROR(IF(I438="Home","Away",IF(I438="Away","Home","")),"")</f>
        <v/>
      </c>
      <c r="D438" s="242">
        <f>H438</f>
        <v/>
      </c>
      <c r="E438" s="157">
        <f>IFERROR(IF(AND(F438&gt;0,T438&gt;V438),"Yes",IF(AND(F438&gt;0,T438&lt;V438),"No",IF(AND(F438&lt;0,T438&lt;V438),"Yes",IF(AND(F438&lt;0,T438&gt;V438),"No",0)))),"")</f>
        <v/>
      </c>
      <c r="F438" s="263">
        <f>IFERROR((N438/MAX(N:N)*_MOVw)+(O438/MAX(O:O)*_WINw)+(P438/MAX(P:P)*_PPGw)+(Q438/MAX(Q:Q)*_ORw)+(R438/MAX(R:R)*_DRw),"")</f>
        <v/>
      </c>
      <c r="N438" s="156">
        <f>IFERROR(VLOOKUP(H438,Matrix!A:AC,12,0)-VLOOKUP(J438,Matrix!A:AC,12,0),"")</f>
        <v/>
      </c>
      <c r="O438" s="182">
        <f>IFERROR(AVERAGEIFS(2025Schedule!O:O,2025Schedule!E:E,H438,2025Schedule!N:N,A438)-AVERAGEIFS(2025Schedule!O:O,2025Schedule!E:E,J438,2025Schedule!N:N,B438),0)</f>
        <v/>
      </c>
      <c r="P438" s="156">
        <f>IFERROR(VLOOKUP(H438,Matrix!A:D,2,0)-VLOOKUP(J438,Matrix!A:D,2,0),"")</f>
        <v/>
      </c>
      <c r="Q438" s="156">
        <f>IFERROR(VLOOKUP(H438,Matrix!A:AC,15,0)-VLOOKUP(J438,Matrix!A:AC,15,0),"")</f>
        <v/>
      </c>
      <c r="R438" s="156">
        <f>IFERROR(VLOOKUP(H438,Matrix!A:AC,16,0)-VLOOKUP(J438,Matrix!A:AC,16,0),"")</f>
        <v/>
      </c>
      <c r="S438" s="195">
        <f>H438</f>
        <v/>
      </c>
      <c r="T438" s="195">
        <f>IFERROR(VLOOKUP(G438&amp;H438,2025Schedule!A:F,6,0),"")</f>
        <v/>
      </c>
      <c r="U438" s="264">
        <f>J438</f>
        <v/>
      </c>
      <c r="V438" s="195">
        <f>IFERROR(VLOOKUP(G438&amp;J438,2025Schedule!A:F,6,0),"")</f>
        <v/>
      </c>
    </row>
    <row r="439" ht="14.4" customHeight="1" s="152">
      <c r="A439" s="241">
        <f>H439&amp;I439</f>
        <v/>
      </c>
      <c r="B439" s="241">
        <f>J439&amp;C439</f>
        <v/>
      </c>
      <c r="C439" s="241">
        <f>IFERROR(IF(I439="Home","Away",IF(I439="Away","Home","")),"")</f>
        <v/>
      </c>
      <c r="D439" s="242">
        <f>H439</f>
        <v/>
      </c>
      <c r="E439" s="157">
        <f>IFERROR(IF(AND(F439&gt;0,T439&gt;V439),"Yes",IF(AND(F439&gt;0,T439&lt;V439),"No",IF(AND(F439&lt;0,T439&lt;V439),"Yes",IF(AND(F439&lt;0,T439&gt;V439),"No",0)))),"")</f>
        <v/>
      </c>
      <c r="F439" s="263">
        <f>IFERROR((N439/MAX(N:N)*_MOVw)+(O439/MAX(O:O)*_WINw)+(P439/MAX(P:P)*_PPGw)+(Q439/MAX(Q:Q)*_ORw)+(R439/MAX(R:R)*_DRw),"")</f>
        <v/>
      </c>
      <c r="N439" s="156">
        <f>IFERROR(VLOOKUP(H439,Matrix!A:AC,12,0)-VLOOKUP(J439,Matrix!A:AC,12,0),"")</f>
        <v/>
      </c>
      <c r="O439" s="182">
        <f>IFERROR(AVERAGEIFS(2025Schedule!O:O,2025Schedule!E:E,H439,2025Schedule!N:N,A439)-AVERAGEIFS(2025Schedule!O:O,2025Schedule!E:E,J439,2025Schedule!N:N,B439),0)</f>
        <v/>
      </c>
      <c r="P439" s="156">
        <f>IFERROR(VLOOKUP(H439,Matrix!A:D,2,0)-VLOOKUP(J439,Matrix!A:D,2,0),"")</f>
        <v/>
      </c>
      <c r="Q439" s="156">
        <f>IFERROR(VLOOKUP(H439,Matrix!A:AC,15,0)-VLOOKUP(J439,Matrix!A:AC,15,0),"")</f>
        <v/>
      </c>
      <c r="R439" s="156">
        <f>IFERROR(VLOOKUP(H439,Matrix!A:AC,16,0)-VLOOKUP(J439,Matrix!A:AC,16,0),"")</f>
        <v/>
      </c>
      <c r="S439" s="195">
        <f>H439</f>
        <v/>
      </c>
      <c r="T439" s="195">
        <f>IFERROR(VLOOKUP(G439&amp;H439,2025Schedule!A:F,6,0),"")</f>
        <v/>
      </c>
      <c r="U439" s="264">
        <f>J439</f>
        <v/>
      </c>
      <c r="V439" s="195">
        <f>IFERROR(VLOOKUP(G439&amp;J439,2025Schedule!A:F,6,0),"")</f>
        <v/>
      </c>
    </row>
    <row r="440" ht="14.4" customHeight="1" s="152">
      <c r="A440" s="241">
        <f>H440&amp;I440</f>
        <v/>
      </c>
      <c r="B440" s="241">
        <f>J440&amp;C440</f>
        <v/>
      </c>
      <c r="C440" s="241">
        <f>IFERROR(IF(I440="Home","Away",IF(I440="Away","Home","")),"")</f>
        <v/>
      </c>
      <c r="D440" s="242">
        <f>H440</f>
        <v/>
      </c>
      <c r="E440" s="157">
        <f>IFERROR(IF(AND(F440&gt;0,T440&gt;V440),"Yes",IF(AND(F440&gt;0,T440&lt;V440),"No",IF(AND(F440&lt;0,T440&lt;V440),"Yes",IF(AND(F440&lt;0,T440&gt;V440),"No",0)))),"")</f>
        <v/>
      </c>
      <c r="F440" s="263">
        <f>IFERROR((N440/MAX(N:N)*_MOVw)+(O440/MAX(O:O)*_WINw)+(P440/MAX(P:P)*_PPGw)+(Q440/MAX(Q:Q)*_ORw)+(R440/MAX(R:R)*_DRw),"")</f>
        <v/>
      </c>
      <c r="N440" s="156">
        <f>IFERROR(VLOOKUP(H440,Matrix!A:AC,12,0)-VLOOKUP(J440,Matrix!A:AC,12,0),"")</f>
        <v/>
      </c>
      <c r="O440" s="182">
        <f>IFERROR(AVERAGEIFS(2025Schedule!O:O,2025Schedule!E:E,H440,2025Schedule!N:N,A440)-AVERAGEIFS(2025Schedule!O:O,2025Schedule!E:E,J440,2025Schedule!N:N,B440),0)</f>
        <v/>
      </c>
      <c r="P440" s="156">
        <f>IFERROR(VLOOKUP(H440,Matrix!A:D,2,0)-VLOOKUP(J440,Matrix!A:D,2,0),"")</f>
        <v/>
      </c>
      <c r="Q440" s="156">
        <f>IFERROR(VLOOKUP(H440,Matrix!A:AC,15,0)-VLOOKUP(J440,Matrix!A:AC,15,0),"")</f>
        <v/>
      </c>
      <c r="R440" s="156">
        <f>IFERROR(VLOOKUP(H440,Matrix!A:AC,16,0)-VLOOKUP(J440,Matrix!A:AC,16,0),"")</f>
        <v/>
      </c>
      <c r="S440" s="195">
        <f>H440</f>
        <v/>
      </c>
      <c r="T440" s="195">
        <f>IFERROR(VLOOKUP(G440&amp;H440,2025Schedule!A:F,6,0),"")</f>
        <v/>
      </c>
      <c r="U440" s="264">
        <f>J440</f>
        <v/>
      </c>
      <c r="V440" s="195">
        <f>IFERROR(VLOOKUP(G440&amp;J440,2025Schedule!A:F,6,0),"")</f>
        <v/>
      </c>
    </row>
    <row r="441" ht="14.4" customHeight="1" s="152">
      <c r="A441" s="241">
        <f>H441&amp;I441</f>
        <v/>
      </c>
      <c r="B441" s="241">
        <f>J441&amp;C441</f>
        <v/>
      </c>
      <c r="C441" s="241">
        <f>IFERROR(IF(I441="Home","Away",IF(I441="Away","Home","")),"")</f>
        <v/>
      </c>
      <c r="D441" s="242">
        <f>H441</f>
        <v/>
      </c>
      <c r="E441" s="157">
        <f>IFERROR(IF(AND(F441&gt;0,T441&gt;V441),"Yes",IF(AND(F441&gt;0,T441&lt;V441),"No",IF(AND(F441&lt;0,T441&lt;V441),"Yes",IF(AND(F441&lt;0,T441&gt;V441),"No",0)))),"")</f>
        <v/>
      </c>
      <c r="F441" s="263">
        <f>IFERROR((N441/MAX(N:N)*_MOVw)+(O441/MAX(O:O)*_WINw)+(P441/MAX(P:P)*_PPGw)+(Q441/MAX(Q:Q)*_ORw)+(R441/MAX(R:R)*_DRw),"")</f>
        <v/>
      </c>
      <c r="N441" s="156">
        <f>IFERROR(VLOOKUP(H441,Matrix!A:AC,12,0)-VLOOKUP(J441,Matrix!A:AC,12,0),"")</f>
        <v/>
      </c>
      <c r="O441" s="182">
        <f>IFERROR(AVERAGEIFS(2025Schedule!O:O,2025Schedule!E:E,H441,2025Schedule!N:N,A441)-AVERAGEIFS(2025Schedule!O:O,2025Schedule!E:E,J441,2025Schedule!N:N,B441),0)</f>
        <v/>
      </c>
      <c r="P441" s="156">
        <f>IFERROR(VLOOKUP(H441,Matrix!A:D,2,0)-VLOOKUP(J441,Matrix!A:D,2,0),"")</f>
        <v/>
      </c>
      <c r="Q441" s="156">
        <f>IFERROR(VLOOKUP(H441,Matrix!A:AC,15,0)-VLOOKUP(J441,Matrix!A:AC,15,0),"")</f>
        <v/>
      </c>
      <c r="R441" s="156">
        <f>IFERROR(VLOOKUP(H441,Matrix!A:AC,16,0)-VLOOKUP(J441,Matrix!A:AC,16,0),"")</f>
        <v/>
      </c>
      <c r="S441" s="195">
        <f>H441</f>
        <v/>
      </c>
      <c r="T441" s="195">
        <f>IFERROR(VLOOKUP(G441&amp;H441,2025Schedule!A:F,6,0),"")</f>
        <v/>
      </c>
      <c r="U441" s="264">
        <f>J441</f>
        <v/>
      </c>
      <c r="V441" s="195">
        <f>IFERROR(VLOOKUP(G441&amp;J441,2025Schedule!A:F,6,0),"")</f>
        <v/>
      </c>
    </row>
    <row r="442" ht="14.4" customHeight="1" s="152">
      <c r="A442" s="241">
        <f>H442&amp;I442</f>
        <v/>
      </c>
      <c r="B442" s="241">
        <f>J442&amp;C442</f>
        <v/>
      </c>
      <c r="C442" s="241">
        <f>IFERROR(IF(I442="Home","Away",IF(I442="Away","Home","")),"")</f>
        <v/>
      </c>
      <c r="D442" s="242">
        <f>H442</f>
        <v/>
      </c>
      <c r="E442" s="157">
        <f>IFERROR(IF(AND(F442&gt;0,T442&gt;V442),"Yes",IF(AND(F442&gt;0,T442&lt;V442),"No",IF(AND(F442&lt;0,T442&lt;V442),"Yes",IF(AND(F442&lt;0,T442&gt;V442),"No",0)))),"")</f>
        <v/>
      </c>
      <c r="F442" s="263">
        <f>IFERROR((N442/MAX(N:N)*_MOVw)+(O442/MAX(O:O)*_WINw)+(P442/MAX(P:P)*_PPGw)+(Q442/MAX(Q:Q)*_ORw)+(R442/MAX(R:R)*_DRw),"")</f>
        <v/>
      </c>
      <c r="N442" s="156">
        <f>IFERROR(VLOOKUP(H442,Matrix!A:AC,12,0)-VLOOKUP(J442,Matrix!A:AC,12,0),"")</f>
        <v/>
      </c>
      <c r="O442" s="182">
        <f>IFERROR(AVERAGEIFS(2025Schedule!O:O,2025Schedule!E:E,H442,2025Schedule!N:N,A442)-AVERAGEIFS(2025Schedule!O:O,2025Schedule!E:E,J442,2025Schedule!N:N,B442),0)</f>
        <v/>
      </c>
      <c r="P442" s="156">
        <f>IFERROR(VLOOKUP(H442,Matrix!A:D,2,0)-VLOOKUP(J442,Matrix!A:D,2,0),"")</f>
        <v/>
      </c>
      <c r="Q442" s="156">
        <f>IFERROR(VLOOKUP(H442,Matrix!A:AC,15,0)-VLOOKUP(J442,Matrix!A:AC,15,0),"")</f>
        <v/>
      </c>
      <c r="R442" s="156">
        <f>IFERROR(VLOOKUP(H442,Matrix!A:AC,16,0)-VLOOKUP(J442,Matrix!A:AC,16,0),"")</f>
        <v/>
      </c>
      <c r="S442" s="195">
        <f>H442</f>
        <v/>
      </c>
      <c r="T442" s="195">
        <f>IFERROR(VLOOKUP(G442&amp;H442,2025Schedule!A:F,6,0),"")</f>
        <v/>
      </c>
      <c r="U442" s="264">
        <f>J442</f>
        <v/>
      </c>
      <c r="V442" s="195">
        <f>IFERROR(VLOOKUP(G442&amp;J442,2025Schedule!A:F,6,0),"")</f>
        <v/>
      </c>
    </row>
    <row r="443" ht="14.4" customHeight="1" s="152">
      <c r="A443" s="241">
        <f>H443&amp;I443</f>
        <v/>
      </c>
      <c r="B443" s="241">
        <f>J443&amp;C443</f>
        <v/>
      </c>
      <c r="C443" s="241">
        <f>IFERROR(IF(I443="Home","Away",IF(I443="Away","Home","")),"")</f>
        <v/>
      </c>
      <c r="D443" s="242">
        <f>H443</f>
        <v/>
      </c>
      <c r="E443" s="157">
        <f>IFERROR(IF(AND(F443&gt;0,T443&gt;V443),"Yes",IF(AND(F443&gt;0,T443&lt;V443),"No",IF(AND(F443&lt;0,T443&lt;V443),"Yes",IF(AND(F443&lt;0,T443&gt;V443),"No",0)))),"")</f>
        <v/>
      </c>
      <c r="F443" s="263">
        <f>IFERROR((N443/MAX(N:N)*_MOVw)+(O443/MAX(O:O)*_WINw)+(P443/MAX(P:P)*_PPGw)+(Q443/MAX(Q:Q)*_ORw)+(R443/MAX(R:R)*_DRw),"")</f>
        <v/>
      </c>
      <c r="N443" s="156">
        <f>IFERROR(VLOOKUP(H443,Matrix!A:AC,12,0)-VLOOKUP(J443,Matrix!A:AC,12,0),"")</f>
        <v/>
      </c>
      <c r="O443" s="182">
        <f>IFERROR(AVERAGEIFS(2025Schedule!O:O,2025Schedule!E:E,H443,2025Schedule!N:N,A443)-AVERAGEIFS(2025Schedule!O:O,2025Schedule!E:E,J443,2025Schedule!N:N,B443),0)</f>
        <v/>
      </c>
      <c r="P443" s="156">
        <f>IFERROR(VLOOKUP(H443,Matrix!A:D,2,0)-VLOOKUP(J443,Matrix!A:D,2,0),"")</f>
        <v/>
      </c>
      <c r="Q443" s="156">
        <f>IFERROR(VLOOKUP(H443,Matrix!A:AC,15,0)-VLOOKUP(J443,Matrix!A:AC,15,0),"")</f>
        <v/>
      </c>
      <c r="R443" s="156">
        <f>IFERROR(VLOOKUP(H443,Matrix!A:AC,16,0)-VLOOKUP(J443,Matrix!A:AC,16,0),"")</f>
        <v/>
      </c>
      <c r="S443" s="195">
        <f>H443</f>
        <v/>
      </c>
      <c r="T443" s="195">
        <f>IFERROR(VLOOKUP(G443&amp;H443,2025Schedule!A:F,6,0),"")</f>
        <v/>
      </c>
      <c r="U443" s="264">
        <f>J443</f>
        <v/>
      </c>
      <c r="V443" s="195">
        <f>IFERROR(VLOOKUP(G443&amp;J443,2025Schedule!A:F,6,0),"")</f>
        <v/>
      </c>
    </row>
    <row r="444" ht="14.4" customHeight="1" s="152">
      <c r="A444" s="241">
        <f>H444&amp;I444</f>
        <v/>
      </c>
      <c r="B444" s="241">
        <f>J444&amp;C444</f>
        <v/>
      </c>
      <c r="C444" s="241">
        <f>IFERROR(IF(I444="Home","Away",IF(I444="Away","Home","")),"")</f>
        <v/>
      </c>
      <c r="D444" s="242">
        <f>H444</f>
        <v/>
      </c>
      <c r="E444" s="157">
        <f>IFERROR(IF(AND(F444&gt;0,T444&gt;V444),"Yes",IF(AND(F444&gt;0,T444&lt;V444),"No",IF(AND(F444&lt;0,T444&lt;V444),"Yes",IF(AND(F444&lt;0,T444&gt;V444),"No",0)))),"")</f>
        <v/>
      </c>
      <c r="F444" s="263">
        <f>IFERROR((N444/MAX(N:N)*_MOVw)+(O444/MAX(O:O)*_WINw)+(P444/MAX(P:P)*_PPGw)+(Q444/MAX(Q:Q)*_ORw)+(R444/MAX(R:R)*_DRw),"")</f>
        <v/>
      </c>
      <c r="N444" s="156">
        <f>IFERROR(VLOOKUP(H444,Matrix!A:AC,12,0)-VLOOKUP(J444,Matrix!A:AC,12,0),"")</f>
        <v/>
      </c>
      <c r="O444" s="182">
        <f>IFERROR(AVERAGEIFS(2025Schedule!O:O,2025Schedule!E:E,H444,2025Schedule!N:N,A444)-AVERAGEIFS(2025Schedule!O:O,2025Schedule!E:E,J444,2025Schedule!N:N,B444),0)</f>
        <v/>
      </c>
      <c r="P444" s="156">
        <f>IFERROR(VLOOKUP(H444,Matrix!A:D,2,0)-VLOOKUP(J444,Matrix!A:D,2,0),"")</f>
        <v/>
      </c>
      <c r="Q444" s="156">
        <f>IFERROR(VLOOKUP(H444,Matrix!A:AC,15,0)-VLOOKUP(J444,Matrix!A:AC,15,0),"")</f>
        <v/>
      </c>
      <c r="R444" s="156">
        <f>IFERROR(VLOOKUP(H444,Matrix!A:AC,16,0)-VLOOKUP(J444,Matrix!A:AC,16,0),"")</f>
        <v/>
      </c>
      <c r="S444" s="195">
        <f>H444</f>
        <v/>
      </c>
      <c r="T444" s="195">
        <f>IFERROR(VLOOKUP(G444&amp;H444,2025Schedule!A:F,6,0),"")</f>
        <v/>
      </c>
      <c r="U444" s="264">
        <f>J444</f>
        <v/>
      </c>
      <c r="V444" s="195">
        <f>IFERROR(VLOOKUP(G444&amp;J444,2025Schedule!A:F,6,0),"")</f>
        <v/>
      </c>
    </row>
    <row r="445" ht="14.4" customHeight="1" s="152">
      <c r="A445" s="241">
        <f>H445&amp;I445</f>
        <v/>
      </c>
      <c r="B445" s="241">
        <f>J445&amp;C445</f>
        <v/>
      </c>
      <c r="C445" s="241">
        <f>IFERROR(IF(I445="Home","Away",IF(I445="Away","Home","")),"")</f>
        <v/>
      </c>
      <c r="D445" s="242">
        <f>H445</f>
        <v/>
      </c>
      <c r="E445" s="157">
        <f>IFERROR(IF(AND(F445&gt;0,T445&gt;V445),"Yes",IF(AND(F445&gt;0,T445&lt;V445),"No",IF(AND(F445&lt;0,T445&lt;V445),"Yes",IF(AND(F445&lt;0,T445&gt;V445),"No",0)))),"")</f>
        <v/>
      </c>
      <c r="F445" s="263">
        <f>IFERROR((N445/MAX(N:N)*_MOVw)+(O445/MAX(O:O)*_WINw)+(P445/MAX(P:P)*_PPGw)+(Q445/MAX(Q:Q)*_ORw)+(R445/MAX(R:R)*_DRw),"")</f>
        <v/>
      </c>
      <c r="N445" s="156">
        <f>IFERROR(VLOOKUP(H445,Matrix!A:AC,12,0)-VLOOKUP(J445,Matrix!A:AC,12,0),"")</f>
        <v/>
      </c>
      <c r="O445" s="182">
        <f>IFERROR(AVERAGEIFS(2025Schedule!O:O,2025Schedule!E:E,H445,2025Schedule!N:N,A445)-AVERAGEIFS(2025Schedule!O:O,2025Schedule!E:E,J445,2025Schedule!N:N,B445),0)</f>
        <v/>
      </c>
      <c r="P445" s="156">
        <f>IFERROR(VLOOKUP(H445,Matrix!A:D,2,0)-VLOOKUP(J445,Matrix!A:D,2,0),"")</f>
        <v/>
      </c>
      <c r="Q445" s="156">
        <f>IFERROR(VLOOKUP(H445,Matrix!A:AC,15,0)-VLOOKUP(J445,Matrix!A:AC,15,0),"")</f>
        <v/>
      </c>
      <c r="R445" s="156">
        <f>IFERROR(VLOOKUP(H445,Matrix!A:AC,16,0)-VLOOKUP(J445,Matrix!A:AC,16,0),"")</f>
        <v/>
      </c>
      <c r="S445" s="195">
        <f>H445</f>
        <v/>
      </c>
      <c r="T445" s="195">
        <f>IFERROR(VLOOKUP(G445&amp;H445,2025Schedule!A:F,6,0),"")</f>
        <v/>
      </c>
      <c r="U445" s="264">
        <f>J445</f>
        <v/>
      </c>
      <c r="V445" s="195">
        <f>IFERROR(VLOOKUP(G445&amp;J445,2025Schedule!A:F,6,0),"")</f>
        <v/>
      </c>
    </row>
    <row r="446" ht="14.4" customHeight="1" s="152">
      <c r="A446" s="241">
        <f>H446&amp;I446</f>
        <v/>
      </c>
      <c r="B446" s="241">
        <f>J446&amp;C446</f>
        <v/>
      </c>
      <c r="C446" s="241">
        <f>IFERROR(IF(I446="Home","Away",IF(I446="Away","Home","")),"")</f>
        <v/>
      </c>
      <c r="D446" s="242">
        <f>H446</f>
        <v/>
      </c>
      <c r="E446" s="157">
        <f>IFERROR(IF(AND(F446&gt;0,T446&gt;V446),"Yes",IF(AND(F446&gt;0,T446&lt;V446),"No",IF(AND(F446&lt;0,T446&lt;V446),"Yes",IF(AND(F446&lt;0,T446&gt;V446),"No",0)))),"")</f>
        <v/>
      </c>
      <c r="F446" s="263">
        <f>IFERROR((N446/MAX(N:N)*_MOVw)+(O446/MAX(O:O)*_WINw)+(P446/MAX(P:P)*_PPGw)+(Q446/MAX(Q:Q)*_ORw)+(R446/MAX(R:R)*_DRw),"")</f>
        <v/>
      </c>
      <c r="N446" s="156">
        <f>IFERROR(VLOOKUP(H446,Matrix!A:AC,12,0)-VLOOKUP(J446,Matrix!A:AC,12,0),"")</f>
        <v/>
      </c>
      <c r="O446" s="182">
        <f>IFERROR(AVERAGEIFS(2025Schedule!O:O,2025Schedule!E:E,H446,2025Schedule!N:N,A446)-AVERAGEIFS(2025Schedule!O:O,2025Schedule!E:E,J446,2025Schedule!N:N,B446),0)</f>
        <v/>
      </c>
      <c r="P446" s="156">
        <f>IFERROR(VLOOKUP(H446,Matrix!A:D,2,0)-VLOOKUP(J446,Matrix!A:D,2,0),"")</f>
        <v/>
      </c>
      <c r="Q446" s="156">
        <f>IFERROR(VLOOKUP(H446,Matrix!A:AC,15,0)-VLOOKUP(J446,Matrix!A:AC,15,0),"")</f>
        <v/>
      </c>
      <c r="R446" s="156">
        <f>IFERROR(VLOOKUP(H446,Matrix!A:AC,16,0)-VLOOKUP(J446,Matrix!A:AC,16,0),"")</f>
        <v/>
      </c>
      <c r="S446" s="195">
        <f>H446</f>
        <v/>
      </c>
      <c r="T446" s="195">
        <f>IFERROR(VLOOKUP(G446&amp;H446,2025Schedule!A:F,6,0),"")</f>
        <v/>
      </c>
      <c r="U446" s="264">
        <f>J446</f>
        <v/>
      </c>
      <c r="V446" s="195">
        <f>IFERROR(VLOOKUP(G446&amp;J446,2025Schedule!A:F,6,0),"")</f>
        <v/>
      </c>
    </row>
    <row r="447" ht="14.4" customHeight="1" s="152">
      <c r="A447" s="241">
        <f>H447&amp;I447</f>
        <v/>
      </c>
      <c r="B447" s="241">
        <f>J447&amp;C447</f>
        <v/>
      </c>
      <c r="C447" s="241">
        <f>IFERROR(IF(I447="Home","Away",IF(I447="Away","Home","")),"")</f>
        <v/>
      </c>
      <c r="D447" s="242">
        <f>H447</f>
        <v/>
      </c>
      <c r="E447" s="157">
        <f>IFERROR(IF(AND(F447&gt;0,T447&gt;V447),"Yes",IF(AND(F447&gt;0,T447&lt;V447),"No",IF(AND(F447&lt;0,T447&lt;V447),"Yes",IF(AND(F447&lt;0,T447&gt;V447),"No",0)))),"")</f>
        <v/>
      </c>
      <c r="F447" s="263">
        <f>IFERROR((N447/MAX(N:N)*_MOVw)+(O447/MAX(O:O)*_WINw)+(P447/MAX(P:P)*_PPGw)+(Q447/MAX(Q:Q)*_ORw)+(R447/MAX(R:R)*_DRw),"")</f>
        <v/>
      </c>
      <c r="N447" s="156">
        <f>IFERROR(VLOOKUP(H447,Matrix!A:AC,12,0)-VLOOKUP(J447,Matrix!A:AC,12,0),"")</f>
        <v/>
      </c>
      <c r="O447" s="182">
        <f>IFERROR(AVERAGEIFS(2025Schedule!O:O,2025Schedule!E:E,H447,2025Schedule!N:N,A447)-AVERAGEIFS(2025Schedule!O:O,2025Schedule!E:E,J447,2025Schedule!N:N,B447),0)</f>
        <v/>
      </c>
      <c r="P447" s="156">
        <f>IFERROR(VLOOKUP(H447,Matrix!A:D,2,0)-VLOOKUP(J447,Matrix!A:D,2,0),"")</f>
        <v/>
      </c>
      <c r="Q447" s="156">
        <f>IFERROR(VLOOKUP(H447,Matrix!A:AC,15,0)-VLOOKUP(J447,Matrix!A:AC,15,0),"")</f>
        <v/>
      </c>
      <c r="R447" s="156">
        <f>IFERROR(VLOOKUP(H447,Matrix!A:AC,16,0)-VLOOKUP(J447,Matrix!A:AC,16,0),"")</f>
        <v/>
      </c>
      <c r="S447" s="195">
        <f>H447</f>
        <v/>
      </c>
      <c r="T447" s="195">
        <f>IFERROR(VLOOKUP(G447&amp;H447,2025Schedule!A:F,6,0),"")</f>
        <v/>
      </c>
      <c r="U447" s="264">
        <f>J447</f>
        <v/>
      </c>
      <c r="V447" s="195">
        <f>IFERROR(VLOOKUP(G447&amp;J447,2025Schedule!A:F,6,0),"")</f>
        <v/>
      </c>
    </row>
    <row r="448" ht="14.4" customHeight="1" s="152">
      <c r="A448" s="241">
        <f>H448&amp;I448</f>
        <v/>
      </c>
      <c r="B448" s="241">
        <f>J448&amp;C448</f>
        <v/>
      </c>
      <c r="C448" s="241">
        <f>IFERROR(IF(I448="Home","Away",IF(I448="Away","Home","")),"")</f>
        <v/>
      </c>
      <c r="D448" s="242">
        <f>H448</f>
        <v/>
      </c>
      <c r="E448" s="157">
        <f>IFERROR(IF(AND(F448&gt;0,T448&gt;V448),"Yes",IF(AND(F448&gt;0,T448&lt;V448),"No",IF(AND(F448&lt;0,T448&lt;V448),"Yes",IF(AND(F448&lt;0,T448&gt;V448),"No",0)))),"")</f>
        <v/>
      </c>
      <c r="F448" s="263">
        <f>IFERROR((N448/MAX(N:N)*_MOVw)+(O448/MAX(O:O)*_WINw)+(P448/MAX(P:P)*_PPGw)+(Q448/MAX(Q:Q)*_ORw)+(R448/MAX(R:R)*_DRw),"")</f>
        <v/>
      </c>
      <c r="N448" s="156">
        <f>IFERROR(VLOOKUP(H448,Matrix!A:AC,12,0)-VLOOKUP(J448,Matrix!A:AC,12,0),"")</f>
        <v/>
      </c>
      <c r="O448" s="182">
        <f>IFERROR(AVERAGEIFS(2025Schedule!O:O,2025Schedule!E:E,H448,2025Schedule!N:N,A448)-AVERAGEIFS(2025Schedule!O:O,2025Schedule!E:E,J448,2025Schedule!N:N,B448),0)</f>
        <v/>
      </c>
      <c r="P448" s="156">
        <f>IFERROR(VLOOKUP(H448,Matrix!A:D,2,0)-VLOOKUP(J448,Matrix!A:D,2,0),"")</f>
        <v/>
      </c>
      <c r="Q448" s="156">
        <f>IFERROR(VLOOKUP(H448,Matrix!A:AC,15,0)-VLOOKUP(J448,Matrix!A:AC,15,0),"")</f>
        <v/>
      </c>
      <c r="R448" s="156">
        <f>IFERROR(VLOOKUP(H448,Matrix!A:AC,16,0)-VLOOKUP(J448,Matrix!A:AC,16,0),"")</f>
        <v/>
      </c>
      <c r="S448" s="195">
        <f>H448</f>
        <v/>
      </c>
      <c r="T448" s="195">
        <f>IFERROR(VLOOKUP(G448&amp;H448,2025Schedule!A:F,6,0),"")</f>
        <v/>
      </c>
      <c r="U448" s="264">
        <f>J448</f>
        <v/>
      </c>
      <c r="V448" s="195">
        <f>IFERROR(VLOOKUP(G448&amp;J448,2025Schedule!A:F,6,0),"")</f>
        <v/>
      </c>
    </row>
    <row r="449" ht="14.4" customHeight="1" s="152">
      <c r="A449" s="241">
        <f>H449&amp;I449</f>
        <v/>
      </c>
      <c r="B449" s="241">
        <f>J449&amp;C449</f>
        <v/>
      </c>
      <c r="C449" s="241">
        <f>IFERROR(IF(I449="Home","Away",IF(I449="Away","Home","")),"")</f>
        <v/>
      </c>
      <c r="D449" s="242">
        <f>H449</f>
        <v/>
      </c>
      <c r="E449" s="157">
        <f>IFERROR(IF(AND(F449&gt;0,T449&gt;V449),"Yes",IF(AND(F449&gt;0,T449&lt;V449),"No",IF(AND(F449&lt;0,T449&lt;V449),"Yes",IF(AND(F449&lt;0,T449&gt;V449),"No",0)))),"")</f>
        <v/>
      </c>
      <c r="F449" s="263">
        <f>IFERROR((N449/MAX(N:N)*_MOVw)+(O449/MAX(O:O)*_WINw)+(P449/MAX(P:P)*_PPGw)+(Q449/MAX(Q:Q)*_ORw)+(R449/MAX(R:R)*_DRw),"")</f>
        <v/>
      </c>
      <c r="N449" s="156">
        <f>IFERROR(VLOOKUP(H449,Matrix!A:AC,12,0)-VLOOKUP(J449,Matrix!A:AC,12,0),"")</f>
        <v/>
      </c>
      <c r="O449" s="182">
        <f>IFERROR(AVERAGEIFS(2025Schedule!O:O,2025Schedule!E:E,H449,2025Schedule!N:N,A449)-AVERAGEIFS(2025Schedule!O:O,2025Schedule!E:E,J449,2025Schedule!N:N,B449),0)</f>
        <v/>
      </c>
      <c r="P449" s="156">
        <f>IFERROR(VLOOKUP(H449,Matrix!A:D,2,0)-VLOOKUP(J449,Matrix!A:D,2,0),"")</f>
        <v/>
      </c>
      <c r="Q449" s="156">
        <f>IFERROR(VLOOKUP(H449,Matrix!A:AC,15,0)-VLOOKUP(J449,Matrix!A:AC,15,0),"")</f>
        <v/>
      </c>
      <c r="R449" s="156">
        <f>IFERROR(VLOOKUP(H449,Matrix!A:AC,16,0)-VLOOKUP(J449,Matrix!A:AC,16,0),"")</f>
        <v/>
      </c>
      <c r="S449" s="195">
        <f>H449</f>
        <v/>
      </c>
      <c r="T449" s="195">
        <f>IFERROR(VLOOKUP(G449&amp;H449,2025Schedule!A:F,6,0),"")</f>
        <v/>
      </c>
      <c r="U449" s="264">
        <f>J449</f>
        <v/>
      </c>
      <c r="V449" s="195">
        <f>IFERROR(VLOOKUP(G449&amp;J449,2025Schedule!A:F,6,0),"")</f>
        <v/>
      </c>
    </row>
    <row r="450" ht="14.4" customHeight="1" s="152">
      <c r="A450" s="241">
        <f>H450&amp;I450</f>
        <v/>
      </c>
      <c r="B450" s="241">
        <f>J450&amp;C450</f>
        <v/>
      </c>
      <c r="C450" s="241">
        <f>IFERROR(IF(I450="Home","Away",IF(I450="Away","Home","")),"")</f>
        <v/>
      </c>
      <c r="D450" s="242">
        <f>H450</f>
        <v/>
      </c>
      <c r="E450" s="157">
        <f>IFERROR(IF(AND(F450&gt;0,T450&gt;V450),"Yes",IF(AND(F450&gt;0,T450&lt;V450),"No",IF(AND(F450&lt;0,T450&lt;V450),"Yes",IF(AND(F450&lt;0,T450&gt;V450),"No",0)))),"")</f>
        <v/>
      </c>
      <c r="F450" s="263">
        <f>IFERROR((N450/MAX(N:N)*_MOVw)+(O450/MAX(O:O)*_WINw)+(P450/MAX(P:P)*_PPGw)+(Q450/MAX(Q:Q)*_ORw)+(R450/MAX(R:R)*_DRw),"")</f>
        <v/>
      </c>
      <c r="N450" s="156">
        <f>IFERROR(VLOOKUP(H450,Matrix!A:AC,12,0)-VLOOKUP(J450,Matrix!A:AC,12,0),"")</f>
        <v/>
      </c>
      <c r="O450" s="182">
        <f>IFERROR(AVERAGEIFS(2025Schedule!O:O,2025Schedule!E:E,H450,2025Schedule!N:N,A450)-AVERAGEIFS(2025Schedule!O:O,2025Schedule!E:E,J450,2025Schedule!N:N,B450),0)</f>
        <v/>
      </c>
      <c r="P450" s="156">
        <f>IFERROR(VLOOKUP(H450,Matrix!A:D,2,0)-VLOOKUP(J450,Matrix!A:D,2,0),"")</f>
        <v/>
      </c>
      <c r="Q450" s="156">
        <f>IFERROR(VLOOKUP(H450,Matrix!A:AC,15,0)-VLOOKUP(J450,Matrix!A:AC,15,0),"")</f>
        <v/>
      </c>
      <c r="R450" s="156">
        <f>IFERROR(VLOOKUP(H450,Matrix!A:AC,16,0)-VLOOKUP(J450,Matrix!A:AC,16,0),"")</f>
        <v/>
      </c>
      <c r="S450" s="195">
        <f>H450</f>
        <v/>
      </c>
      <c r="T450" s="195">
        <f>IFERROR(VLOOKUP(G450&amp;H450,2025Schedule!A:F,6,0),"")</f>
        <v/>
      </c>
      <c r="U450" s="264">
        <f>J450</f>
        <v/>
      </c>
      <c r="V450" s="195">
        <f>IFERROR(VLOOKUP(G450&amp;J450,2025Schedule!A:F,6,0),"")</f>
        <v/>
      </c>
    </row>
    <row r="451" ht="14.4" customHeight="1" s="152">
      <c r="A451" s="241">
        <f>H451&amp;I451</f>
        <v/>
      </c>
      <c r="B451" s="241">
        <f>J451&amp;C451</f>
        <v/>
      </c>
      <c r="C451" s="241">
        <f>IFERROR(IF(I451="Home","Away",IF(I451="Away","Home","")),"")</f>
        <v/>
      </c>
      <c r="D451" s="242">
        <f>H451</f>
        <v/>
      </c>
      <c r="E451" s="157">
        <f>IFERROR(IF(AND(F451&gt;0,T451&gt;V451),"Yes",IF(AND(F451&gt;0,T451&lt;V451),"No",IF(AND(F451&lt;0,T451&lt;V451),"Yes",IF(AND(F451&lt;0,T451&gt;V451),"No",0)))),"")</f>
        <v/>
      </c>
      <c r="F451" s="263">
        <f>IFERROR((N451/MAX(N:N)*_MOVw)+(O451/MAX(O:O)*_WINw)+(P451/MAX(P:P)*_PPGw)+(Q451/MAX(Q:Q)*_ORw)+(R451/MAX(R:R)*_DRw),"")</f>
        <v/>
      </c>
      <c r="N451" s="156">
        <f>IFERROR(VLOOKUP(H451,Matrix!A:AC,12,0)-VLOOKUP(J451,Matrix!A:AC,12,0),"")</f>
        <v/>
      </c>
      <c r="O451" s="182">
        <f>IFERROR(AVERAGEIFS(2025Schedule!O:O,2025Schedule!E:E,H451,2025Schedule!N:N,A451)-AVERAGEIFS(2025Schedule!O:O,2025Schedule!E:E,J451,2025Schedule!N:N,B451),0)</f>
        <v/>
      </c>
      <c r="P451" s="156">
        <f>IFERROR(VLOOKUP(H451,Matrix!A:D,2,0)-VLOOKUP(J451,Matrix!A:D,2,0),"")</f>
        <v/>
      </c>
      <c r="Q451" s="156">
        <f>IFERROR(VLOOKUP(H451,Matrix!A:AC,15,0)-VLOOKUP(J451,Matrix!A:AC,15,0),"")</f>
        <v/>
      </c>
      <c r="R451" s="156">
        <f>IFERROR(VLOOKUP(H451,Matrix!A:AC,16,0)-VLOOKUP(J451,Matrix!A:AC,16,0),"")</f>
        <v/>
      </c>
      <c r="S451" s="195">
        <f>H451</f>
        <v/>
      </c>
      <c r="T451" s="195">
        <f>IFERROR(VLOOKUP(G451&amp;H451,2025Schedule!A:F,6,0),"")</f>
        <v/>
      </c>
      <c r="U451" s="264">
        <f>J451</f>
        <v/>
      </c>
      <c r="V451" s="195">
        <f>IFERROR(VLOOKUP(G451&amp;J451,2025Schedule!A:F,6,0),"")</f>
        <v/>
      </c>
    </row>
    <row r="452" ht="14.4" customHeight="1" s="152">
      <c r="A452" s="241">
        <f>H452&amp;I452</f>
        <v/>
      </c>
      <c r="B452" s="241">
        <f>J452&amp;C452</f>
        <v/>
      </c>
      <c r="C452" s="241">
        <f>IFERROR(IF(I452="Home","Away",IF(I452="Away","Home","")),"")</f>
        <v/>
      </c>
      <c r="D452" s="242">
        <f>H452</f>
        <v/>
      </c>
      <c r="E452" s="157">
        <f>IFERROR(IF(AND(F452&gt;0,T452&gt;V452),"Yes",IF(AND(F452&gt;0,T452&lt;V452),"No",IF(AND(F452&lt;0,T452&lt;V452),"Yes",IF(AND(F452&lt;0,T452&gt;V452),"No",0)))),"")</f>
        <v/>
      </c>
      <c r="F452" s="263">
        <f>IFERROR((N452/MAX(N:N)*_MOVw)+(O452/MAX(O:O)*_WINw)+(P452/MAX(P:P)*_PPGw)+(Q452/MAX(Q:Q)*_ORw)+(R452/MAX(R:R)*_DRw),"")</f>
        <v/>
      </c>
      <c r="N452" s="156">
        <f>IFERROR(VLOOKUP(H452,Matrix!A:AC,12,0)-VLOOKUP(J452,Matrix!A:AC,12,0),"")</f>
        <v/>
      </c>
      <c r="O452" s="182">
        <f>IFERROR(AVERAGEIFS(2025Schedule!O:O,2025Schedule!E:E,H452,2025Schedule!N:N,A452)-AVERAGEIFS(2025Schedule!O:O,2025Schedule!E:E,J452,2025Schedule!N:N,B452),0)</f>
        <v/>
      </c>
      <c r="P452" s="156">
        <f>IFERROR(VLOOKUP(H452,Matrix!A:D,2,0)-VLOOKUP(J452,Matrix!A:D,2,0),"")</f>
        <v/>
      </c>
      <c r="Q452" s="156">
        <f>IFERROR(VLOOKUP(H452,Matrix!A:AC,15,0)-VLOOKUP(J452,Matrix!A:AC,15,0),"")</f>
        <v/>
      </c>
      <c r="R452" s="156">
        <f>IFERROR(VLOOKUP(H452,Matrix!A:AC,16,0)-VLOOKUP(J452,Matrix!A:AC,16,0),"")</f>
        <v/>
      </c>
      <c r="S452" s="195">
        <f>H452</f>
        <v/>
      </c>
      <c r="T452" s="195">
        <f>IFERROR(VLOOKUP(G452&amp;H452,2025Schedule!A:F,6,0),"")</f>
        <v/>
      </c>
      <c r="U452" s="264">
        <f>J452</f>
        <v/>
      </c>
      <c r="V452" s="195">
        <f>IFERROR(VLOOKUP(G452&amp;J452,2025Schedule!A:F,6,0),"")</f>
        <v/>
      </c>
    </row>
    <row r="453" ht="14.4" customHeight="1" s="152">
      <c r="A453" s="241">
        <f>H453&amp;I453</f>
        <v/>
      </c>
      <c r="B453" s="241">
        <f>J453&amp;C453</f>
        <v/>
      </c>
      <c r="C453" s="241">
        <f>IFERROR(IF(I453="Home","Away",IF(I453="Away","Home","")),"")</f>
        <v/>
      </c>
      <c r="D453" s="242">
        <f>H453</f>
        <v/>
      </c>
      <c r="E453" s="157">
        <f>IFERROR(IF(AND(F453&gt;0,T453&gt;V453),"Yes",IF(AND(F453&gt;0,T453&lt;V453),"No",IF(AND(F453&lt;0,T453&lt;V453),"Yes",IF(AND(F453&lt;0,T453&gt;V453),"No",0)))),"")</f>
        <v/>
      </c>
      <c r="F453" s="263">
        <f>IFERROR((N453/MAX(N:N)*_MOVw)+(O453/MAX(O:O)*_WINw)+(P453/MAX(P:P)*_PPGw)+(Q453/MAX(Q:Q)*_ORw)+(R453/MAX(R:R)*_DRw),"")</f>
        <v/>
      </c>
      <c r="N453" s="156">
        <f>IFERROR(VLOOKUP(H453,Matrix!A:AC,12,0)-VLOOKUP(J453,Matrix!A:AC,12,0),"")</f>
        <v/>
      </c>
      <c r="O453" s="182">
        <f>IFERROR(AVERAGEIFS(2025Schedule!O:O,2025Schedule!E:E,H453,2025Schedule!N:N,A453)-AVERAGEIFS(2025Schedule!O:O,2025Schedule!E:E,J453,2025Schedule!N:N,B453),0)</f>
        <v/>
      </c>
      <c r="P453" s="156">
        <f>IFERROR(VLOOKUP(H453,Matrix!A:D,2,0)-VLOOKUP(J453,Matrix!A:D,2,0),"")</f>
        <v/>
      </c>
      <c r="Q453" s="156">
        <f>IFERROR(VLOOKUP(H453,Matrix!A:AC,15,0)-VLOOKUP(J453,Matrix!A:AC,15,0),"")</f>
        <v/>
      </c>
      <c r="R453" s="156">
        <f>IFERROR(VLOOKUP(H453,Matrix!A:AC,16,0)-VLOOKUP(J453,Matrix!A:AC,16,0),"")</f>
        <v/>
      </c>
      <c r="S453" s="195">
        <f>H453</f>
        <v/>
      </c>
      <c r="T453" s="195">
        <f>IFERROR(VLOOKUP(G453&amp;H453,2025Schedule!A:F,6,0),"")</f>
        <v/>
      </c>
      <c r="U453" s="264">
        <f>J453</f>
        <v/>
      </c>
      <c r="V453" s="195">
        <f>IFERROR(VLOOKUP(G453&amp;J453,2025Schedule!A:F,6,0),"")</f>
        <v/>
      </c>
    </row>
    <row r="454" ht="14.4" customHeight="1" s="152">
      <c r="A454" s="241">
        <f>H454&amp;I454</f>
        <v/>
      </c>
      <c r="B454" s="241">
        <f>J454&amp;C454</f>
        <v/>
      </c>
      <c r="C454" s="241">
        <f>IFERROR(IF(I454="Home","Away",IF(I454="Away","Home","")),"")</f>
        <v/>
      </c>
      <c r="D454" s="242">
        <f>H454</f>
        <v/>
      </c>
      <c r="E454" s="157">
        <f>IFERROR(IF(AND(F454&gt;0,T454&gt;V454),"Yes",IF(AND(F454&gt;0,T454&lt;V454),"No",IF(AND(F454&lt;0,T454&lt;V454),"Yes",IF(AND(F454&lt;0,T454&gt;V454),"No",0)))),"")</f>
        <v/>
      </c>
      <c r="F454" s="263">
        <f>IFERROR((N454/MAX(N:N)*_MOVw)+(O454/MAX(O:O)*_WINw)+(P454/MAX(P:P)*_PPGw)+(Q454/MAX(Q:Q)*_ORw)+(R454/MAX(R:R)*_DRw),"")</f>
        <v/>
      </c>
      <c r="N454" s="156">
        <f>IFERROR(VLOOKUP(H454,Matrix!A:AC,12,0)-VLOOKUP(J454,Matrix!A:AC,12,0),"")</f>
        <v/>
      </c>
      <c r="O454" s="182">
        <f>IFERROR(AVERAGEIFS(2025Schedule!O:O,2025Schedule!E:E,H454,2025Schedule!N:N,A454)-AVERAGEIFS(2025Schedule!O:O,2025Schedule!E:E,J454,2025Schedule!N:N,B454),0)</f>
        <v/>
      </c>
      <c r="P454" s="156">
        <f>IFERROR(VLOOKUP(H454,Matrix!A:D,2,0)-VLOOKUP(J454,Matrix!A:D,2,0),"")</f>
        <v/>
      </c>
      <c r="Q454" s="156">
        <f>IFERROR(VLOOKUP(H454,Matrix!A:AC,15,0)-VLOOKUP(J454,Matrix!A:AC,15,0),"")</f>
        <v/>
      </c>
      <c r="R454" s="156">
        <f>IFERROR(VLOOKUP(H454,Matrix!A:AC,16,0)-VLOOKUP(J454,Matrix!A:AC,16,0),"")</f>
        <v/>
      </c>
      <c r="S454" s="195">
        <f>H454</f>
        <v/>
      </c>
      <c r="T454" s="195">
        <f>IFERROR(VLOOKUP(G454&amp;H454,2025Schedule!A:F,6,0),"")</f>
        <v/>
      </c>
      <c r="U454" s="264">
        <f>J454</f>
        <v/>
      </c>
      <c r="V454" s="195">
        <f>IFERROR(VLOOKUP(G454&amp;J454,2025Schedule!A:F,6,0),"")</f>
        <v/>
      </c>
    </row>
    <row r="455" ht="14.4" customHeight="1" s="152">
      <c r="A455" s="241">
        <f>H455&amp;I455</f>
        <v/>
      </c>
      <c r="B455" s="241">
        <f>J455&amp;C455</f>
        <v/>
      </c>
      <c r="C455" s="241">
        <f>IFERROR(IF(I455="Home","Away",IF(I455="Away","Home","")),"")</f>
        <v/>
      </c>
      <c r="D455" s="242">
        <f>H455</f>
        <v/>
      </c>
      <c r="E455" s="157">
        <f>IFERROR(IF(AND(F455&gt;0,T455&gt;V455),"Yes",IF(AND(F455&gt;0,T455&lt;V455),"No",IF(AND(F455&lt;0,T455&lt;V455),"Yes",IF(AND(F455&lt;0,T455&gt;V455),"No",0)))),"")</f>
        <v/>
      </c>
      <c r="F455" s="263">
        <f>IFERROR((N455/MAX(N:N)*_MOVw)+(O455/MAX(O:O)*_WINw)+(P455/MAX(P:P)*_PPGw)+(Q455/MAX(Q:Q)*_ORw)+(R455/MAX(R:R)*_DRw),"")</f>
        <v/>
      </c>
      <c r="N455" s="156">
        <f>IFERROR(VLOOKUP(H455,Matrix!A:AC,12,0)-VLOOKUP(J455,Matrix!A:AC,12,0),"")</f>
        <v/>
      </c>
      <c r="O455" s="182">
        <f>IFERROR(AVERAGEIFS(2025Schedule!O:O,2025Schedule!E:E,H455,2025Schedule!N:N,A455)-AVERAGEIFS(2025Schedule!O:O,2025Schedule!E:E,J455,2025Schedule!N:N,B455),0)</f>
        <v/>
      </c>
      <c r="P455" s="156">
        <f>IFERROR(VLOOKUP(H455,Matrix!A:D,2,0)-VLOOKUP(J455,Matrix!A:D,2,0),"")</f>
        <v/>
      </c>
      <c r="Q455" s="156">
        <f>IFERROR(VLOOKUP(H455,Matrix!A:AC,15,0)-VLOOKUP(J455,Matrix!A:AC,15,0),"")</f>
        <v/>
      </c>
      <c r="R455" s="156">
        <f>IFERROR(VLOOKUP(H455,Matrix!A:AC,16,0)-VLOOKUP(J455,Matrix!A:AC,16,0),"")</f>
        <v/>
      </c>
      <c r="S455" s="195">
        <f>H455</f>
        <v/>
      </c>
      <c r="T455" s="195">
        <f>IFERROR(VLOOKUP(G455&amp;H455,2025Schedule!A:F,6,0),"")</f>
        <v/>
      </c>
      <c r="U455" s="264">
        <f>J455</f>
        <v/>
      </c>
      <c r="V455" s="195">
        <f>IFERROR(VLOOKUP(G455&amp;J455,2025Schedule!A:F,6,0),"")</f>
        <v/>
      </c>
    </row>
    <row r="456" ht="14.4" customHeight="1" s="152">
      <c r="A456" s="241">
        <f>H456&amp;I456</f>
        <v/>
      </c>
      <c r="B456" s="241">
        <f>J456&amp;C456</f>
        <v/>
      </c>
      <c r="C456" s="241">
        <f>IFERROR(IF(I456="Home","Away",IF(I456="Away","Home","")),"")</f>
        <v/>
      </c>
      <c r="D456" s="242">
        <f>H456</f>
        <v/>
      </c>
      <c r="E456" s="157">
        <f>IFERROR(IF(AND(F456&gt;0,T456&gt;V456),"Yes",IF(AND(F456&gt;0,T456&lt;V456),"No",IF(AND(F456&lt;0,T456&lt;V456),"Yes",IF(AND(F456&lt;0,T456&gt;V456),"No",0)))),"")</f>
        <v/>
      </c>
      <c r="F456" s="263">
        <f>IFERROR((N456/MAX(N:N)*_MOVw)+(O456/MAX(O:O)*_WINw)+(P456/MAX(P:P)*_PPGw)+(Q456/MAX(Q:Q)*_ORw)+(R456/MAX(R:R)*_DRw),"")</f>
        <v/>
      </c>
      <c r="N456" s="156">
        <f>IFERROR(VLOOKUP(H456,Matrix!A:AC,12,0)-VLOOKUP(J456,Matrix!A:AC,12,0),"")</f>
        <v/>
      </c>
      <c r="O456" s="182">
        <f>IFERROR(AVERAGEIFS(2025Schedule!O:O,2025Schedule!E:E,H456,2025Schedule!N:N,A456)-AVERAGEIFS(2025Schedule!O:O,2025Schedule!E:E,J456,2025Schedule!N:N,B456),0)</f>
        <v/>
      </c>
      <c r="P456" s="156">
        <f>IFERROR(VLOOKUP(H456,Matrix!A:D,2,0)-VLOOKUP(J456,Matrix!A:D,2,0),"")</f>
        <v/>
      </c>
      <c r="Q456" s="156">
        <f>IFERROR(VLOOKUP(H456,Matrix!A:AC,15,0)-VLOOKUP(J456,Matrix!A:AC,15,0),"")</f>
        <v/>
      </c>
      <c r="R456" s="156">
        <f>IFERROR(VLOOKUP(H456,Matrix!A:AC,16,0)-VLOOKUP(J456,Matrix!A:AC,16,0),"")</f>
        <v/>
      </c>
      <c r="S456" s="195">
        <f>H456</f>
        <v/>
      </c>
      <c r="T456" s="195">
        <f>IFERROR(VLOOKUP(G456&amp;H456,2025Schedule!A:F,6,0),"")</f>
        <v/>
      </c>
      <c r="U456" s="264">
        <f>J456</f>
        <v/>
      </c>
      <c r="V456" s="195">
        <f>IFERROR(VLOOKUP(G456&amp;J456,2025Schedule!A:F,6,0),"")</f>
        <v/>
      </c>
    </row>
    <row r="457" ht="14.4" customHeight="1" s="152">
      <c r="A457" s="241">
        <f>H457&amp;I457</f>
        <v/>
      </c>
      <c r="B457" s="241">
        <f>J457&amp;C457</f>
        <v/>
      </c>
      <c r="C457" s="241">
        <f>IFERROR(IF(I457="Home","Away",IF(I457="Away","Home","")),"")</f>
        <v/>
      </c>
      <c r="D457" s="242">
        <f>H457</f>
        <v/>
      </c>
      <c r="E457" s="157">
        <f>IFERROR(IF(AND(F457&gt;0,T457&gt;V457),"Yes",IF(AND(F457&gt;0,T457&lt;V457),"No",IF(AND(F457&lt;0,T457&lt;V457),"Yes",IF(AND(F457&lt;0,T457&gt;V457),"No",0)))),"")</f>
        <v/>
      </c>
      <c r="F457" s="263">
        <f>IFERROR((N457/MAX(N:N)*_MOVw)+(O457/MAX(O:O)*_WINw)+(P457/MAX(P:P)*_PPGw)+(Q457/MAX(Q:Q)*_ORw)+(R457/MAX(R:R)*_DRw),"")</f>
        <v/>
      </c>
      <c r="N457" s="156">
        <f>IFERROR(VLOOKUP(H457,Matrix!A:AC,12,0)-VLOOKUP(J457,Matrix!A:AC,12,0),"")</f>
        <v/>
      </c>
      <c r="O457" s="182">
        <f>IFERROR(AVERAGEIFS(2025Schedule!O:O,2025Schedule!E:E,H457,2025Schedule!N:N,A457)-AVERAGEIFS(2025Schedule!O:O,2025Schedule!E:E,J457,2025Schedule!N:N,B457),0)</f>
        <v/>
      </c>
      <c r="P457" s="156">
        <f>IFERROR(VLOOKUP(H457,Matrix!A:D,2,0)-VLOOKUP(J457,Matrix!A:D,2,0),"")</f>
        <v/>
      </c>
      <c r="Q457" s="156">
        <f>IFERROR(VLOOKUP(H457,Matrix!A:AC,15,0)-VLOOKUP(J457,Matrix!A:AC,15,0),"")</f>
        <v/>
      </c>
      <c r="R457" s="156">
        <f>IFERROR(VLOOKUP(H457,Matrix!A:AC,16,0)-VLOOKUP(J457,Matrix!A:AC,16,0),"")</f>
        <v/>
      </c>
      <c r="S457" s="195">
        <f>H457</f>
        <v/>
      </c>
      <c r="T457" s="195">
        <f>IFERROR(VLOOKUP(G457&amp;H457,2025Schedule!A:F,6,0),"")</f>
        <v/>
      </c>
      <c r="U457" s="264">
        <f>J457</f>
        <v/>
      </c>
      <c r="V457" s="195">
        <f>IFERROR(VLOOKUP(G457&amp;J457,2025Schedule!A:F,6,0),"")</f>
        <v/>
      </c>
    </row>
    <row r="458" ht="14.4" customHeight="1" s="152">
      <c r="A458" s="241">
        <f>H458&amp;I458</f>
        <v/>
      </c>
      <c r="B458" s="241">
        <f>J458&amp;C458</f>
        <v/>
      </c>
      <c r="C458" s="241">
        <f>IFERROR(IF(I458="Home","Away",IF(I458="Away","Home","")),"")</f>
        <v/>
      </c>
      <c r="D458" s="242">
        <f>H458</f>
        <v/>
      </c>
      <c r="E458" s="157">
        <f>IFERROR(IF(AND(F458&gt;0,T458&gt;V458),"Yes",IF(AND(F458&gt;0,T458&lt;V458),"No",IF(AND(F458&lt;0,T458&lt;V458),"Yes",IF(AND(F458&lt;0,T458&gt;V458),"No",0)))),"")</f>
        <v/>
      </c>
      <c r="F458" s="263">
        <f>IFERROR((N458/MAX(N:N)*_MOVw)+(O458/MAX(O:O)*_WINw)+(P458/MAX(P:P)*_PPGw)+(Q458/MAX(Q:Q)*_ORw)+(R458/MAX(R:R)*_DRw),"")</f>
        <v/>
      </c>
      <c r="N458" s="156">
        <f>IFERROR(VLOOKUP(H458,Matrix!A:AC,12,0)-VLOOKUP(J458,Matrix!A:AC,12,0),"")</f>
        <v/>
      </c>
      <c r="O458" s="182">
        <f>IFERROR(AVERAGEIFS(2025Schedule!O:O,2025Schedule!E:E,H458,2025Schedule!N:N,A458)-AVERAGEIFS(2025Schedule!O:O,2025Schedule!E:E,J458,2025Schedule!N:N,B458),0)</f>
        <v/>
      </c>
      <c r="P458" s="156">
        <f>IFERROR(VLOOKUP(H458,Matrix!A:D,2,0)-VLOOKUP(J458,Matrix!A:D,2,0),"")</f>
        <v/>
      </c>
      <c r="Q458" s="156">
        <f>IFERROR(VLOOKUP(H458,Matrix!A:AC,15,0)-VLOOKUP(J458,Matrix!A:AC,15,0),"")</f>
        <v/>
      </c>
      <c r="R458" s="156">
        <f>IFERROR(VLOOKUP(H458,Matrix!A:AC,16,0)-VLOOKUP(J458,Matrix!A:AC,16,0),"")</f>
        <v/>
      </c>
      <c r="S458" s="195">
        <f>H458</f>
        <v/>
      </c>
      <c r="T458" s="195">
        <f>IFERROR(VLOOKUP(G458&amp;H458,2025Schedule!A:F,6,0),"")</f>
        <v/>
      </c>
      <c r="U458" s="264">
        <f>J458</f>
        <v/>
      </c>
      <c r="V458" s="195">
        <f>IFERROR(VLOOKUP(G458&amp;J458,2025Schedule!A:F,6,0),"")</f>
        <v/>
      </c>
    </row>
    <row r="459" ht="14.4" customHeight="1" s="152">
      <c r="A459" s="241">
        <f>H459&amp;I459</f>
        <v/>
      </c>
      <c r="B459" s="241">
        <f>J459&amp;C459</f>
        <v/>
      </c>
      <c r="C459" s="241">
        <f>IFERROR(IF(I459="Home","Away",IF(I459="Away","Home","")),"")</f>
        <v/>
      </c>
      <c r="D459" s="242">
        <f>H459</f>
        <v/>
      </c>
      <c r="E459" s="157">
        <f>IFERROR(IF(AND(F459&gt;0,T459&gt;V459),"Yes",IF(AND(F459&gt;0,T459&lt;V459),"No",IF(AND(F459&lt;0,T459&lt;V459),"Yes",IF(AND(F459&lt;0,T459&gt;V459),"No",0)))),"")</f>
        <v/>
      </c>
      <c r="F459" s="263">
        <f>IFERROR((N459/MAX(N:N)*_MOVw)+(O459/MAX(O:O)*_WINw)+(P459/MAX(P:P)*_PPGw)+(Q459/MAX(Q:Q)*_ORw)+(R459/MAX(R:R)*_DRw),"")</f>
        <v/>
      </c>
      <c r="N459" s="156">
        <f>IFERROR(VLOOKUP(H459,Matrix!A:AC,12,0)-VLOOKUP(J459,Matrix!A:AC,12,0),"")</f>
        <v/>
      </c>
      <c r="O459" s="182">
        <f>IFERROR(AVERAGEIFS(2025Schedule!O:O,2025Schedule!E:E,H459,2025Schedule!N:N,A459)-AVERAGEIFS(2025Schedule!O:O,2025Schedule!E:E,J459,2025Schedule!N:N,B459),0)</f>
        <v/>
      </c>
      <c r="P459" s="156">
        <f>IFERROR(VLOOKUP(H459,Matrix!A:D,2,0)-VLOOKUP(J459,Matrix!A:D,2,0),"")</f>
        <v/>
      </c>
      <c r="Q459" s="156">
        <f>IFERROR(VLOOKUP(H459,Matrix!A:AC,15,0)-VLOOKUP(J459,Matrix!A:AC,15,0),"")</f>
        <v/>
      </c>
      <c r="R459" s="156">
        <f>IFERROR(VLOOKUP(H459,Matrix!A:AC,16,0)-VLOOKUP(J459,Matrix!A:AC,16,0),"")</f>
        <v/>
      </c>
      <c r="S459" s="195">
        <f>H459</f>
        <v/>
      </c>
      <c r="T459" s="195">
        <f>IFERROR(VLOOKUP(G459&amp;H459,2025Schedule!A:F,6,0),"")</f>
        <v/>
      </c>
      <c r="U459" s="264">
        <f>J459</f>
        <v/>
      </c>
      <c r="V459" s="195">
        <f>IFERROR(VLOOKUP(G459&amp;J459,2025Schedule!A:F,6,0),"")</f>
        <v/>
      </c>
    </row>
    <row r="460" ht="14.4" customHeight="1" s="152">
      <c r="A460" s="241">
        <f>H460&amp;I460</f>
        <v/>
      </c>
      <c r="B460" s="241">
        <f>J460&amp;C460</f>
        <v/>
      </c>
      <c r="C460" s="241">
        <f>IFERROR(IF(I460="Home","Away",IF(I460="Away","Home","")),"")</f>
        <v/>
      </c>
      <c r="D460" s="242">
        <f>H460</f>
        <v/>
      </c>
      <c r="E460" s="157">
        <f>IFERROR(IF(AND(F460&gt;0,T460&gt;V460),"Yes",IF(AND(F460&gt;0,T460&lt;V460),"No",IF(AND(F460&lt;0,T460&lt;V460),"Yes",IF(AND(F460&lt;0,T460&gt;V460),"No",0)))),"")</f>
        <v/>
      </c>
      <c r="F460" s="263">
        <f>IFERROR((N460/MAX(N:N)*_MOVw)+(O460/MAX(O:O)*_WINw)+(P460/MAX(P:P)*_PPGw)+(Q460/MAX(Q:Q)*_ORw)+(R460/MAX(R:R)*_DRw),"")</f>
        <v/>
      </c>
      <c r="N460" s="156">
        <f>IFERROR(VLOOKUP(H460,Matrix!A:AC,12,0)-VLOOKUP(J460,Matrix!A:AC,12,0),"")</f>
        <v/>
      </c>
      <c r="O460" s="182">
        <f>IFERROR(AVERAGEIFS(2025Schedule!O:O,2025Schedule!E:E,H460,2025Schedule!N:N,A460)-AVERAGEIFS(2025Schedule!O:O,2025Schedule!E:E,J460,2025Schedule!N:N,B460),0)</f>
        <v/>
      </c>
      <c r="P460" s="156">
        <f>IFERROR(VLOOKUP(H460,Matrix!A:D,2,0)-VLOOKUP(J460,Matrix!A:D,2,0),"")</f>
        <v/>
      </c>
      <c r="Q460" s="156">
        <f>IFERROR(VLOOKUP(H460,Matrix!A:AC,15,0)-VLOOKUP(J460,Matrix!A:AC,15,0),"")</f>
        <v/>
      </c>
      <c r="R460" s="156">
        <f>IFERROR(VLOOKUP(H460,Matrix!A:AC,16,0)-VLOOKUP(J460,Matrix!A:AC,16,0),"")</f>
        <v/>
      </c>
      <c r="S460" s="195">
        <f>H460</f>
        <v/>
      </c>
      <c r="T460" s="195">
        <f>IFERROR(VLOOKUP(G460&amp;H460,2025Schedule!A:F,6,0),"")</f>
        <v/>
      </c>
      <c r="U460" s="264">
        <f>J460</f>
        <v/>
      </c>
      <c r="V460" s="195">
        <f>IFERROR(VLOOKUP(G460&amp;J460,2025Schedule!A:F,6,0),"")</f>
        <v/>
      </c>
    </row>
    <row r="461" ht="14.4" customHeight="1" s="152">
      <c r="A461" s="241">
        <f>H461&amp;I461</f>
        <v/>
      </c>
      <c r="B461" s="241">
        <f>J461&amp;C461</f>
        <v/>
      </c>
      <c r="C461" s="241">
        <f>IFERROR(IF(I461="Home","Away",IF(I461="Away","Home","")),"")</f>
        <v/>
      </c>
      <c r="D461" s="242">
        <f>H461</f>
        <v/>
      </c>
      <c r="E461" s="157">
        <f>IFERROR(IF(AND(F461&gt;0,T461&gt;V461),"Yes",IF(AND(F461&gt;0,T461&lt;V461),"No",IF(AND(F461&lt;0,T461&lt;V461),"Yes",IF(AND(F461&lt;0,T461&gt;V461),"No",0)))),"")</f>
        <v/>
      </c>
      <c r="F461" s="263">
        <f>IFERROR((N461/MAX(N:N)*_MOVw)+(O461/MAX(O:O)*_WINw)+(P461/MAX(P:P)*_PPGw)+(Q461/MAX(Q:Q)*_ORw)+(R461/MAX(R:R)*_DRw),"")</f>
        <v/>
      </c>
      <c r="N461" s="156">
        <f>IFERROR(VLOOKUP(H461,Matrix!A:AC,12,0)-VLOOKUP(J461,Matrix!A:AC,12,0),"")</f>
        <v/>
      </c>
      <c r="O461" s="182">
        <f>IFERROR(AVERAGEIFS(2025Schedule!O:O,2025Schedule!E:E,H461,2025Schedule!N:N,A461)-AVERAGEIFS(2025Schedule!O:O,2025Schedule!E:E,J461,2025Schedule!N:N,B461),0)</f>
        <v/>
      </c>
      <c r="P461" s="156">
        <f>IFERROR(VLOOKUP(H461,Matrix!A:D,2,0)-VLOOKUP(J461,Matrix!A:D,2,0),"")</f>
        <v/>
      </c>
      <c r="Q461" s="156">
        <f>IFERROR(VLOOKUP(H461,Matrix!A:AC,15,0)-VLOOKUP(J461,Matrix!A:AC,15,0),"")</f>
        <v/>
      </c>
      <c r="R461" s="156">
        <f>IFERROR(VLOOKUP(H461,Matrix!A:AC,16,0)-VLOOKUP(J461,Matrix!A:AC,16,0),"")</f>
        <v/>
      </c>
      <c r="S461" s="195">
        <f>H461</f>
        <v/>
      </c>
      <c r="T461" s="195">
        <f>IFERROR(VLOOKUP(G461&amp;H461,2025Schedule!A:F,6,0),"")</f>
        <v/>
      </c>
      <c r="U461" s="264">
        <f>J461</f>
        <v/>
      </c>
      <c r="V461" s="195">
        <f>IFERROR(VLOOKUP(G461&amp;J461,2025Schedule!A:F,6,0),"")</f>
        <v/>
      </c>
    </row>
    <row r="462" ht="14.4" customHeight="1" s="152">
      <c r="A462" s="241">
        <f>H462&amp;I462</f>
        <v/>
      </c>
      <c r="B462" s="241">
        <f>J462&amp;C462</f>
        <v/>
      </c>
      <c r="C462" s="241">
        <f>IFERROR(IF(I462="Home","Away",IF(I462="Away","Home","")),"")</f>
        <v/>
      </c>
      <c r="D462" s="242">
        <f>H462</f>
        <v/>
      </c>
      <c r="E462" s="157">
        <f>IFERROR(IF(AND(F462&gt;0,T462&gt;V462),"Yes",IF(AND(F462&gt;0,T462&lt;V462),"No",IF(AND(F462&lt;0,T462&lt;V462),"Yes",IF(AND(F462&lt;0,T462&gt;V462),"No",0)))),"")</f>
        <v/>
      </c>
      <c r="F462" s="263">
        <f>IFERROR((N462/MAX(N:N)*_MOVw)+(O462/MAX(O:O)*_WINw)+(P462/MAX(P:P)*_PPGw)+(Q462/MAX(Q:Q)*_ORw)+(R462/MAX(R:R)*_DRw),"")</f>
        <v/>
      </c>
      <c r="N462" s="156">
        <f>IFERROR(VLOOKUP(H462,Matrix!A:AC,12,0)-VLOOKUP(J462,Matrix!A:AC,12,0),"")</f>
        <v/>
      </c>
      <c r="O462" s="182">
        <f>IFERROR(AVERAGEIFS(2025Schedule!O:O,2025Schedule!E:E,H462,2025Schedule!N:N,A462)-AVERAGEIFS(2025Schedule!O:O,2025Schedule!E:E,J462,2025Schedule!N:N,B462),0)</f>
        <v/>
      </c>
      <c r="P462" s="156">
        <f>IFERROR(VLOOKUP(H462,Matrix!A:D,2,0)-VLOOKUP(J462,Matrix!A:D,2,0),"")</f>
        <v/>
      </c>
      <c r="Q462" s="156">
        <f>IFERROR(VLOOKUP(H462,Matrix!A:AC,15,0)-VLOOKUP(J462,Matrix!A:AC,15,0),"")</f>
        <v/>
      </c>
      <c r="R462" s="156">
        <f>IFERROR(VLOOKUP(H462,Matrix!A:AC,16,0)-VLOOKUP(J462,Matrix!A:AC,16,0),"")</f>
        <v/>
      </c>
      <c r="S462" s="195">
        <f>H462</f>
        <v/>
      </c>
      <c r="T462" s="195">
        <f>IFERROR(VLOOKUP(G462&amp;H462,2025Schedule!A:F,6,0),"")</f>
        <v/>
      </c>
      <c r="U462" s="264">
        <f>J462</f>
        <v/>
      </c>
      <c r="V462" s="195">
        <f>IFERROR(VLOOKUP(G462&amp;J462,2025Schedule!A:F,6,0),"")</f>
        <v/>
      </c>
    </row>
    <row r="463" ht="14.4" customHeight="1" s="152">
      <c r="A463" s="241">
        <f>H463&amp;I463</f>
        <v/>
      </c>
      <c r="B463" s="241">
        <f>J463&amp;C463</f>
        <v/>
      </c>
      <c r="C463" s="241">
        <f>IFERROR(IF(I463="Home","Away",IF(I463="Away","Home","")),"")</f>
        <v/>
      </c>
      <c r="D463" s="242">
        <f>H463</f>
        <v/>
      </c>
      <c r="E463" s="157">
        <f>IFERROR(IF(AND(F463&gt;0,T463&gt;V463),"Yes",IF(AND(F463&gt;0,T463&lt;V463),"No",IF(AND(F463&lt;0,T463&lt;V463),"Yes",IF(AND(F463&lt;0,T463&gt;V463),"No",0)))),"")</f>
        <v/>
      </c>
      <c r="F463" s="263">
        <f>IFERROR((N463/MAX(N:N)*_MOVw)+(O463/MAX(O:O)*_WINw)+(P463/MAX(P:P)*_PPGw)+(Q463/MAX(Q:Q)*_ORw)+(R463/MAX(R:R)*_DRw),"")</f>
        <v/>
      </c>
      <c r="N463" s="156">
        <f>IFERROR(VLOOKUP(H463,Matrix!A:AC,12,0)-VLOOKUP(J463,Matrix!A:AC,12,0),"")</f>
        <v/>
      </c>
      <c r="O463" s="182">
        <f>IFERROR(AVERAGEIFS(2025Schedule!O:O,2025Schedule!E:E,H463,2025Schedule!N:N,A463)-AVERAGEIFS(2025Schedule!O:O,2025Schedule!E:E,J463,2025Schedule!N:N,B463),0)</f>
        <v/>
      </c>
      <c r="P463" s="156">
        <f>IFERROR(VLOOKUP(H463,Matrix!A:D,2,0)-VLOOKUP(J463,Matrix!A:D,2,0),"")</f>
        <v/>
      </c>
      <c r="Q463" s="156">
        <f>IFERROR(VLOOKUP(H463,Matrix!A:AC,15,0)-VLOOKUP(J463,Matrix!A:AC,15,0),"")</f>
        <v/>
      </c>
      <c r="R463" s="156">
        <f>IFERROR(VLOOKUP(H463,Matrix!A:AC,16,0)-VLOOKUP(J463,Matrix!A:AC,16,0),"")</f>
        <v/>
      </c>
      <c r="S463" s="195">
        <f>H463</f>
        <v/>
      </c>
      <c r="T463" s="195">
        <f>IFERROR(VLOOKUP(G463&amp;H463,2025Schedule!A:F,6,0),"")</f>
        <v/>
      </c>
      <c r="U463" s="264">
        <f>J463</f>
        <v/>
      </c>
      <c r="V463" s="195">
        <f>IFERROR(VLOOKUP(G463&amp;J463,2025Schedule!A:F,6,0),"")</f>
        <v/>
      </c>
    </row>
    <row r="464" ht="14.4" customHeight="1" s="152">
      <c r="A464" s="241">
        <f>H464&amp;I464</f>
        <v/>
      </c>
      <c r="B464" s="241">
        <f>J464&amp;C464</f>
        <v/>
      </c>
      <c r="C464" s="241">
        <f>IFERROR(IF(I464="Home","Away",IF(I464="Away","Home","")),"")</f>
        <v/>
      </c>
      <c r="D464" s="242">
        <f>H464</f>
        <v/>
      </c>
      <c r="E464" s="157">
        <f>IFERROR(IF(AND(F464&gt;0,T464&gt;V464),"Yes",IF(AND(F464&gt;0,T464&lt;V464),"No",IF(AND(F464&lt;0,T464&lt;V464),"Yes",IF(AND(F464&lt;0,T464&gt;V464),"No",0)))),"")</f>
        <v/>
      </c>
      <c r="F464" s="263">
        <f>IFERROR((N464/MAX(N:N)*_MOVw)+(O464/MAX(O:O)*_WINw)+(P464/MAX(P:P)*_PPGw)+(Q464/MAX(Q:Q)*_ORw)+(R464/MAX(R:R)*_DRw),"")</f>
        <v/>
      </c>
      <c r="N464" s="156">
        <f>IFERROR(VLOOKUP(H464,Matrix!A:AC,12,0)-VLOOKUP(J464,Matrix!A:AC,12,0),"")</f>
        <v/>
      </c>
      <c r="O464" s="182">
        <f>IFERROR(AVERAGEIFS(2025Schedule!O:O,2025Schedule!E:E,H464,2025Schedule!N:N,A464)-AVERAGEIFS(2025Schedule!O:O,2025Schedule!E:E,J464,2025Schedule!N:N,B464),0)</f>
        <v/>
      </c>
      <c r="P464" s="156">
        <f>IFERROR(VLOOKUP(H464,Matrix!A:D,2,0)-VLOOKUP(J464,Matrix!A:D,2,0),"")</f>
        <v/>
      </c>
      <c r="Q464" s="156">
        <f>IFERROR(VLOOKUP(H464,Matrix!A:AC,15,0)-VLOOKUP(J464,Matrix!A:AC,15,0),"")</f>
        <v/>
      </c>
      <c r="R464" s="156">
        <f>IFERROR(VLOOKUP(H464,Matrix!A:AC,16,0)-VLOOKUP(J464,Matrix!A:AC,16,0),"")</f>
        <v/>
      </c>
      <c r="S464" s="195">
        <f>H464</f>
        <v/>
      </c>
      <c r="T464" s="195">
        <f>IFERROR(VLOOKUP(G464&amp;H464,2025Schedule!A:F,6,0),"")</f>
        <v/>
      </c>
      <c r="U464" s="264">
        <f>J464</f>
        <v/>
      </c>
      <c r="V464" s="195">
        <f>IFERROR(VLOOKUP(G464&amp;J464,2025Schedule!A:F,6,0),"")</f>
        <v/>
      </c>
    </row>
    <row r="465" ht="14.4" customHeight="1" s="152">
      <c r="A465" s="241">
        <f>H465&amp;I465</f>
        <v/>
      </c>
      <c r="B465" s="241">
        <f>J465&amp;C465</f>
        <v/>
      </c>
      <c r="C465" s="241">
        <f>IFERROR(IF(I465="Home","Away",IF(I465="Away","Home","")),"")</f>
        <v/>
      </c>
      <c r="D465" s="242">
        <f>H465</f>
        <v/>
      </c>
      <c r="E465" s="157">
        <f>IFERROR(IF(AND(F465&gt;0,T465&gt;V465),"Yes",IF(AND(F465&gt;0,T465&lt;V465),"No",IF(AND(F465&lt;0,T465&lt;V465),"Yes",IF(AND(F465&lt;0,T465&gt;V465),"No",0)))),"")</f>
        <v/>
      </c>
      <c r="F465" s="263">
        <f>IFERROR((N465/MAX(N:N)*_MOVw)+(O465/MAX(O:O)*_WINw)+(P465/MAX(P:P)*_PPGw)+(Q465/MAX(Q:Q)*_ORw)+(R465/MAX(R:R)*_DRw),"")</f>
        <v/>
      </c>
      <c r="N465" s="156">
        <f>IFERROR(VLOOKUP(H465,Matrix!A:AC,12,0)-VLOOKUP(J465,Matrix!A:AC,12,0),"")</f>
        <v/>
      </c>
      <c r="O465" s="182">
        <f>IFERROR(AVERAGEIFS(2025Schedule!O:O,2025Schedule!E:E,H465,2025Schedule!N:N,A465)-AVERAGEIFS(2025Schedule!O:O,2025Schedule!E:E,J465,2025Schedule!N:N,B465),0)</f>
        <v/>
      </c>
      <c r="P465" s="156">
        <f>IFERROR(VLOOKUP(H465,Matrix!A:D,2,0)-VLOOKUP(J465,Matrix!A:D,2,0),"")</f>
        <v/>
      </c>
      <c r="Q465" s="156">
        <f>IFERROR(VLOOKUP(H465,Matrix!A:AC,15,0)-VLOOKUP(J465,Matrix!A:AC,15,0),"")</f>
        <v/>
      </c>
      <c r="R465" s="156">
        <f>IFERROR(VLOOKUP(H465,Matrix!A:AC,16,0)-VLOOKUP(J465,Matrix!A:AC,16,0),"")</f>
        <v/>
      </c>
      <c r="S465" s="195">
        <f>H465</f>
        <v/>
      </c>
      <c r="T465" s="195">
        <f>IFERROR(VLOOKUP(G465&amp;H465,2025Schedule!A:F,6,0),"")</f>
        <v/>
      </c>
      <c r="U465" s="264">
        <f>J465</f>
        <v/>
      </c>
      <c r="V465" s="195">
        <f>IFERROR(VLOOKUP(G465&amp;J465,2025Schedule!A:F,6,0),"")</f>
        <v/>
      </c>
    </row>
    <row r="466" ht="14.4" customHeight="1" s="152">
      <c r="A466" s="241">
        <f>H466&amp;I466</f>
        <v/>
      </c>
      <c r="B466" s="241">
        <f>J466&amp;C466</f>
        <v/>
      </c>
      <c r="C466" s="241">
        <f>IFERROR(IF(I466="Home","Away",IF(I466="Away","Home","")),"")</f>
        <v/>
      </c>
      <c r="D466" s="242">
        <f>H466</f>
        <v/>
      </c>
      <c r="E466" s="157">
        <f>IFERROR(IF(AND(F466&gt;0,T466&gt;V466),"Yes",IF(AND(F466&gt;0,T466&lt;V466),"No",IF(AND(F466&lt;0,T466&lt;V466),"Yes",IF(AND(F466&lt;0,T466&gt;V466),"No",0)))),"")</f>
        <v/>
      </c>
      <c r="F466" s="263">
        <f>IFERROR((N466/MAX(N:N)*_MOVw)+(O466/MAX(O:O)*_WINw)+(P466/MAX(P:P)*_PPGw)+(Q466/MAX(Q:Q)*_ORw)+(R466/MAX(R:R)*_DRw),"")</f>
        <v/>
      </c>
      <c r="N466" s="156">
        <f>IFERROR(VLOOKUP(H466,Matrix!A:AC,12,0)-VLOOKUP(J466,Matrix!A:AC,12,0),"")</f>
        <v/>
      </c>
      <c r="O466" s="182">
        <f>IFERROR(AVERAGEIFS(2025Schedule!O:O,2025Schedule!E:E,H466,2025Schedule!N:N,A466)-AVERAGEIFS(2025Schedule!O:O,2025Schedule!E:E,J466,2025Schedule!N:N,B466),0)</f>
        <v/>
      </c>
      <c r="P466" s="156">
        <f>IFERROR(VLOOKUP(H466,Matrix!A:D,2,0)-VLOOKUP(J466,Matrix!A:D,2,0),"")</f>
        <v/>
      </c>
      <c r="Q466" s="156">
        <f>IFERROR(VLOOKUP(H466,Matrix!A:AC,15,0)-VLOOKUP(J466,Matrix!A:AC,15,0),"")</f>
        <v/>
      </c>
      <c r="R466" s="156">
        <f>IFERROR(VLOOKUP(H466,Matrix!A:AC,16,0)-VLOOKUP(J466,Matrix!A:AC,16,0),"")</f>
        <v/>
      </c>
      <c r="S466" s="195">
        <f>H466</f>
        <v/>
      </c>
      <c r="T466" s="195">
        <f>IFERROR(VLOOKUP(G466&amp;H466,2025Schedule!A:F,6,0),"")</f>
        <v/>
      </c>
      <c r="U466" s="264">
        <f>J466</f>
        <v/>
      </c>
      <c r="V466" s="195">
        <f>IFERROR(VLOOKUP(G466&amp;J466,2025Schedule!A:F,6,0),"")</f>
        <v/>
      </c>
    </row>
    <row r="467" ht="14.4" customHeight="1" s="152">
      <c r="A467" s="241">
        <f>H467&amp;I467</f>
        <v/>
      </c>
      <c r="B467" s="241">
        <f>J467&amp;C467</f>
        <v/>
      </c>
      <c r="C467" s="241">
        <f>IFERROR(IF(I467="Home","Away",IF(I467="Away","Home","")),"")</f>
        <v/>
      </c>
      <c r="D467" s="242">
        <f>H467</f>
        <v/>
      </c>
      <c r="E467" s="157">
        <f>IFERROR(IF(AND(F467&gt;0,T467&gt;V467),"Yes",IF(AND(F467&gt;0,T467&lt;V467),"No",IF(AND(F467&lt;0,T467&lt;V467),"Yes",IF(AND(F467&lt;0,T467&gt;V467),"No",0)))),"")</f>
        <v/>
      </c>
      <c r="F467" s="263">
        <f>IFERROR((N467/MAX(N:N)*_MOVw)+(O467/MAX(O:O)*_WINw)+(P467/MAX(P:P)*_PPGw)+(Q467/MAX(Q:Q)*_ORw)+(R467/MAX(R:R)*_DRw),"")</f>
        <v/>
      </c>
      <c r="N467" s="156">
        <f>IFERROR(VLOOKUP(H467,Matrix!A:AC,12,0)-VLOOKUP(J467,Matrix!A:AC,12,0),"")</f>
        <v/>
      </c>
      <c r="O467" s="182">
        <f>IFERROR(AVERAGEIFS(2025Schedule!O:O,2025Schedule!E:E,H467,2025Schedule!N:N,A467)-AVERAGEIFS(2025Schedule!O:O,2025Schedule!E:E,J467,2025Schedule!N:N,B467),0)</f>
        <v/>
      </c>
      <c r="P467" s="156">
        <f>IFERROR(VLOOKUP(H467,Matrix!A:D,2,0)-VLOOKUP(J467,Matrix!A:D,2,0),"")</f>
        <v/>
      </c>
      <c r="Q467" s="156">
        <f>IFERROR(VLOOKUP(H467,Matrix!A:AC,15,0)-VLOOKUP(J467,Matrix!A:AC,15,0),"")</f>
        <v/>
      </c>
      <c r="R467" s="156">
        <f>IFERROR(VLOOKUP(H467,Matrix!A:AC,16,0)-VLOOKUP(J467,Matrix!A:AC,16,0),"")</f>
        <v/>
      </c>
      <c r="S467" s="195">
        <f>H467</f>
        <v/>
      </c>
      <c r="T467" s="195">
        <f>IFERROR(VLOOKUP(G467&amp;H467,2025Schedule!A:F,6,0),"")</f>
        <v/>
      </c>
      <c r="U467" s="264">
        <f>J467</f>
        <v/>
      </c>
      <c r="V467" s="195">
        <f>IFERROR(VLOOKUP(G467&amp;J467,2025Schedule!A:F,6,0),"")</f>
        <v/>
      </c>
    </row>
    <row r="468" ht="14.4" customHeight="1" s="152">
      <c r="A468" s="241">
        <f>H468&amp;I468</f>
        <v/>
      </c>
      <c r="B468" s="241">
        <f>J468&amp;C468</f>
        <v/>
      </c>
      <c r="C468" s="241">
        <f>IFERROR(IF(I468="Home","Away",IF(I468="Away","Home","")),"")</f>
        <v/>
      </c>
      <c r="D468" s="242">
        <f>H468</f>
        <v/>
      </c>
      <c r="E468" s="157">
        <f>IFERROR(IF(AND(F468&gt;0,T468&gt;V468),"Yes",IF(AND(F468&gt;0,T468&lt;V468),"No",IF(AND(F468&lt;0,T468&lt;V468),"Yes",IF(AND(F468&lt;0,T468&gt;V468),"No",0)))),"")</f>
        <v/>
      </c>
      <c r="F468" s="263">
        <f>IFERROR((N468/MAX(N:N)*_MOVw)+(O468/MAX(O:O)*_WINw)+(P468/MAX(P:P)*_PPGw)+(Q468/MAX(Q:Q)*_ORw)+(R468/MAX(R:R)*_DRw),"")</f>
        <v/>
      </c>
      <c r="N468" s="156">
        <f>IFERROR(VLOOKUP(H468,Matrix!A:AC,12,0)-VLOOKUP(J468,Matrix!A:AC,12,0),"")</f>
        <v/>
      </c>
      <c r="O468" s="182">
        <f>IFERROR(AVERAGEIFS(2025Schedule!O:O,2025Schedule!E:E,H468,2025Schedule!N:N,A468)-AVERAGEIFS(2025Schedule!O:O,2025Schedule!E:E,J468,2025Schedule!N:N,B468),0)</f>
        <v/>
      </c>
      <c r="P468" s="156">
        <f>IFERROR(VLOOKUP(H468,Matrix!A:D,2,0)-VLOOKUP(J468,Matrix!A:D,2,0),"")</f>
        <v/>
      </c>
      <c r="Q468" s="156">
        <f>IFERROR(VLOOKUP(H468,Matrix!A:AC,15,0)-VLOOKUP(J468,Matrix!A:AC,15,0),"")</f>
        <v/>
      </c>
      <c r="R468" s="156">
        <f>IFERROR(VLOOKUP(H468,Matrix!A:AC,16,0)-VLOOKUP(J468,Matrix!A:AC,16,0),"")</f>
        <v/>
      </c>
      <c r="S468" s="195">
        <f>H468</f>
        <v/>
      </c>
      <c r="T468" s="195">
        <f>IFERROR(VLOOKUP(G468&amp;H468,2025Schedule!A:F,6,0),"")</f>
        <v/>
      </c>
      <c r="U468" s="264">
        <f>J468</f>
        <v/>
      </c>
      <c r="V468" s="195">
        <f>IFERROR(VLOOKUP(G468&amp;J468,2025Schedule!A:F,6,0),"")</f>
        <v/>
      </c>
    </row>
    <row r="469" ht="14.4" customHeight="1" s="152">
      <c r="A469" s="241">
        <f>H469&amp;I469</f>
        <v/>
      </c>
      <c r="B469" s="241">
        <f>J469&amp;C469</f>
        <v/>
      </c>
      <c r="C469" s="241">
        <f>IFERROR(IF(I469="Home","Away",IF(I469="Away","Home","")),"")</f>
        <v/>
      </c>
      <c r="D469" s="242">
        <f>H469</f>
        <v/>
      </c>
      <c r="E469" s="157">
        <f>IFERROR(IF(AND(F469&gt;0,T469&gt;V469),"Yes",IF(AND(F469&gt;0,T469&lt;V469),"No",IF(AND(F469&lt;0,T469&lt;V469),"Yes",IF(AND(F469&lt;0,T469&gt;V469),"No",0)))),"")</f>
        <v/>
      </c>
      <c r="F469" s="263">
        <f>IFERROR((N469/MAX(N:N)*_MOVw)+(O469/MAX(O:O)*_WINw)+(P469/MAX(P:P)*_PPGw)+(Q469/MAX(Q:Q)*_ORw)+(R469/MAX(R:R)*_DRw),"")</f>
        <v/>
      </c>
      <c r="N469" s="156">
        <f>IFERROR(VLOOKUP(H469,Matrix!A:AC,12,0)-VLOOKUP(J469,Matrix!A:AC,12,0),"")</f>
        <v/>
      </c>
      <c r="O469" s="182">
        <f>IFERROR(AVERAGEIFS(2025Schedule!O:O,2025Schedule!E:E,H469,2025Schedule!N:N,A469)-AVERAGEIFS(2025Schedule!O:O,2025Schedule!E:E,J469,2025Schedule!N:N,B469),0)</f>
        <v/>
      </c>
      <c r="P469" s="156">
        <f>IFERROR(VLOOKUP(H469,Matrix!A:D,2,0)-VLOOKUP(J469,Matrix!A:D,2,0),"")</f>
        <v/>
      </c>
      <c r="Q469" s="156">
        <f>IFERROR(VLOOKUP(H469,Matrix!A:AC,15,0)-VLOOKUP(J469,Matrix!A:AC,15,0),"")</f>
        <v/>
      </c>
      <c r="R469" s="156">
        <f>IFERROR(VLOOKUP(H469,Matrix!A:AC,16,0)-VLOOKUP(J469,Matrix!A:AC,16,0),"")</f>
        <v/>
      </c>
      <c r="S469" s="195">
        <f>H469</f>
        <v/>
      </c>
      <c r="T469" s="195">
        <f>IFERROR(VLOOKUP(G469&amp;H469,2025Schedule!A:F,6,0),"")</f>
        <v/>
      </c>
      <c r="U469" s="264">
        <f>J469</f>
        <v/>
      </c>
      <c r="V469" s="195">
        <f>IFERROR(VLOOKUP(G469&amp;J469,2025Schedule!A:F,6,0),"")</f>
        <v/>
      </c>
    </row>
    <row r="470" ht="14.4" customHeight="1" s="152">
      <c r="A470" s="241">
        <f>H470&amp;I470</f>
        <v/>
      </c>
      <c r="B470" s="241">
        <f>J470&amp;C470</f>
        <v/>
      </c>
      <c r="C470" s="241">
        <f>IFERROR(IF(I470="Home","Away",IF(I470="Away","Home","")),"")</f>
        <v/>
      </c>
      <c r="D470" s="242">
        <f>H470</f>
        <v/>
      </c>
      <c r="E470" s="157">
        <f>IFERROR(IF(AND(F470&gt;0,T470&gt;V470),"Yes",IF(AND(F470&gt;0,T470&lt;V470),"No",IF(AND(F470&lt;0,T470&lt;V470),"Yes",IF(AND(F470&lt;0,T470&gt;V470),"No",0)))),"")</f>
        <v/>
      </c>
      <c r="F470" s="263">
        <f>IFERROR((N470/MAX(N:N)*_MOVw)+(O470/MAX(O:O)*_WINw)+(P470/MAX(P:P)*_PPGw)+(Q470/MAX(Q:Q)*_ORw)+(R470/MAX(R:R)*_DRw),"")</f>
        <v/>
      </c>
      <c r="N470" s="156">
        <f>IFERROR(VLOOKUP(H470,Matrix!A:AC,12,0)-VLOOKUP(J470,Matrix!A:AC,12,0),"")</f>
        <v/>
      </c>
      <c r="O470" s="182">
        <f>IFERROR(AVERAGEIFS(2025Schedule!O:O,2025Schedule!E:E,H470,2025Schedule!N:N,A470)-AVERAGEIFS(2025Schedule!O:O,2025Schedule!E:E,J470,2025Schedule!N:N,B470),0)</f>
        <v/>
      </c>
      <c r="P470" s="156">
        <f>IFERROR(VLOOKUP(H470,Matrix!A:D,2,0)-VLOOKUP(J470,Matrix!A:D,2,0),"")</f>
        <v/>
      </c>
      <c r="Q470" s="156">
        <f>IFERROR(VLOOKUP(H470,Matrix!A:AC,15,0)-VLOOKUP(J470,Matrix!A:AC,15,0),"")</f>
        <v/>
      </c>
      <c r="R470" s="156">
        <f>IFERROR(VLOOKUP(H470,Matrix!A:AC,16,0)-VLOOKUP(J470,Matrix!A:AC,16,0),"")</f>
        <v/>
      </c>
      <c r="S470" s="195">
        <f>H470</f>
        <v/>
      </c>
      <c r="T470" s="195">
        <f>IFERROR(VLOOKUP(G470&amp;H470,2025Schedule!A:F,6,0),"")</f>
        <v/>
      </c>
      <c r="U470" s="264">
        <f>J470</f>
        <v/>
      </c>
      <c r="V470" s="195">
        <f>IFERROR(VLOOKUP(G470&amp;J470,2025Schedule!A:F,6,0),"")</f>
        <v/>
      </c>
    </row>
    <row r="471" ht="14.4" customHeight="1" s="152">
      <c r="A471" s="241">
        <f>H471&amp;I471</f>
        <v/>
      </c>
      <c r="B471" s="241">
        <f>J471&amp;C471</f>
        <v/>
      </c>
      <c r="C471" s="241">
        <f>IFERROR(IF(I471="Home","Away",IF(I471="Away","Home","")),"")</f>
        <v/>
      </c>
      <c r="D471" s="242">
        <f>H471</f>
        <v/>
      </c>
      <c r="E471" s="157">
        <f>IFERROR(IF(AND(F471&gt;0,T471&gt;V471),"Yes",IF(AND(F471&gt;0,T471&lt;V471),"No",IF(AND(F471&lt;0,T471&lt;V471),"Yes",IF(AND(F471&lt;0,T471&gt;V471),"No",0)))),"")</f>
        <v/>
      </c>
      <c r="F471" s="263">
        <f>IFERROR((N471/MAX(N:N)*_MOVw)+(O471/MAX(O:O)*_WINw)+(P471/MAX(P:P)*_PPGw)+(Q471/MAX(Q:Q)*_ORw)+(R471/MAX(R:R)*_DRw),"")</f>
        <v/>
      </c>
      <c r="N471" s="156">
        <f>IFERROR(VLOOKUP(H471,Matrix!A:AC,12,0)-VLOOKUP(J471,Matrix!A:AC,12,0),"")</f>
        <v/>
      </c>
      <c r="O471" s="182">
        <f>IFERROR(AVERAGEIFS(2025Schedule!O:O,2025Schedule!E:E,H471,2025Schedule!N:N,A471)-AVERAGEIFS(2025Schedule!O:O,2025Schedule!E:E,J471,2025Schedule!N:N,B471),0)</f>
        <v/>
      </c>
      <c r="P471" s="156">
        <f>IFERROR(VLOOKUP(H471,Matrix!A:D,2,0)-VLOOKUP(J471,Matrix!A:D,2,0),"")</f>
        <v/>
      </c>
      <c r="Q471" s="156">
        <f>IFERROR(VLOOKUP(H471,Matrix!A:AC,15,0)-VLOOKUP(J471,Matrix!A:AC,15,0),"")</f>
        <v/>
      </c>
      <c r="R471" s="156">
        <f>IFERROR(VLOOKUP(H471,Matrix!A:AC,16,0)-VLOOKUP(J471,Matrix!A:AC,16,0),"")</f>
        <v/>
      </c>
      <c r="S471" s="195">
        <f>H471</f>
        <v/>
      </c>
      <c r="T471" s="195">
        <f>IFERROR(VLOOKUP(G471&amp;H471,2025Schedule!A:F,6,0),"")</f>
        <v/>
      </c>
      <c r="U471" s="264">
        <f>J471</f>
        <v/>
      </c>
      <c r="V471" s="195">
        <f>IFERROR(VLOOKUP(G471&amp;J471,2025Schedule!A:F,6,0),"")</f>
        <v/>
      </c>
    </row>
    <row r="472" ht="14.4" customHeight="1" s="152">
      <c r="A472" s="241">
        <f>H472&amp;I472</f>
        <v/>
      </c>
      <c r="B472" s="241">
        <f>J472&amp;C472</f>
        <v/>
      </c>
      <c r="C472" s="241">
        <f>IFERROR(IF(I472="Home","Away",IF(I472="Away","Home","")),"")</f>
        <v/>
      </c>
      <c r="D472" s="242">
        <f>H472</f>
        <v/>
      </c>
      <c r="E472" s="157">
        <f>IFERROR(IF(AND(F472&gt;0,T472&gt;V472),"Yes",IF(AND(F472&gt;0,T472&lt;V472),"No",IF(AND(F472&lt;0,T472&lt;V472),"Yes",IF(AND(F472&lt;0,T472&gt;V472),"No",0)))),"")</f>
        <v/>
      </c>
      <c r="F472" s="263">
        <f>IFERROR((N472/MAX(N:N)*_MOVw)+(O472/MAX(O:O)*_WINw)+(P472/MAX(P:P)*_PPGw)+(Q472/MAX(Q:Q)*_ORw)+(R472/MAX(R:R)*_DRw),"")</f>
        <v/>
      </c>
      <c r="N472" s="156">
        <f>IFERROR(VLOOKUP(H472,Matrix!A:AC,12,0)-VLOOKUP(J472,Matrix!A:AC,12,0),"")</f>
        <v/>
      </c>
      <c r="O472" s="182">
        <f>IFERROR(AVERAGEIFS(2025Schedule!O:O,2025Schedule!E:E,H472,2025Schedule!N:N,A472)-AVERAGEIFS(2025Schedule!O:O,2025Schedule!E:E,J472,2025Schedule!N:N,B472),0)</f>
        <v/>
      </c>
      <c r="P472" s="156">
        <f>IFERROR(VLOOKUP(H472,Matrix!A:D,2,0)-VLOOKUP(J472,Matrix!A:D,2,0),"")</f>
        <v/>
      </c>
      <c r="Q472" s="156">
        <f>IFERROR(VLOOKUP(H472,Matrix!A:AC,15,0)-VLOOKUP(J472,Matrix!A:AC,15,0),"")</f>
        <v/>
      </c>
      <c r="R472" s="156">
        <f>IFERROR(VLOOKUP(H472,Matrix!A:AC,16,0)-VLOOKUP(J472,Matrix!A:AC,16,0),"")</f>
        <v/>
      </c>
      <c r="S472" s="195">
        <f>H472</f>
        <v/>
      </c>
      <c r="T472" s="195">
        <f>IFERROR(VLOOKUP(G472&amp;H472,2025Schedule!A:F,6,0),"")</f>
        <v/>
      </c>
      <c r="U472" s="264">
        <f>J472</f>
        <v/>
      </c>
      <c r="V472" s="195">
        <f>IFERROR(VLOOKUP(G472&amp;J472,2025Schedule!A:F,6,0),"")</f>
        <v/>
      </c>
    </row>
    <row r="473" ht="14.4" customHeight="1" s="152">
      <c r="A473" s="241">
        <f>H473&amp;I473</f>
        <v/>
      </c>
      <c r="B473" s="241">
        <f>J473&amp;C473</f>
        <v/>
      </c>
      <c r="C473" s="241">
        <f>IFERROR(IF(I473="Home","Away",IF(I473="Away","Home","")),"")</f>
        <v/>
      </c>
      <c r="D473" s="242">
        <f>H473</f>
        <v/>
      </c>
      <c r="E473" s="157">
        <f>IFERROR(IF(AND(F473&gt;0,T473&gt;V473),"Yes",IF(AND(F473&gt;0,T473&lt;V473),"No",IF(AND(F473&lt;0,T473&lt;V473),"Yes",IF(AND(F473&lt;0,T473&gt;V473),"No",0)))),"")</f>
        <v/>
      </c>
      <c r="F473" s="263">
        <f>IFERROR((N473/MAX(N:N)*_MOVw)+(O473/MAX(O:O)*_WINw)+(P473/MAX(P:P)*_PPGw)+(Q473/MAX(Q:Q)*_ORw)+(R473/MAX(R:R)*_DRw),"")</f>
        <v/>
      </c>
      <c r="N473" s="156">
        <f>IFERROR(VLOOKUP(H473,Matrix!A:AC,12,0)-VLOOKUP(J473,Matrix!A:AC,12,0),"")</f>
        <v/>
      </c>
      <c r="O473" s="182">
        <f>IFERROR(AVERAGEIFS(2025Schedule!O:O,2025Schedule!E:E,H473,2025Schedule!N:N,A473)-AVERAGEIFS(2025Schedule!O:O,2025Schedule!E:E,J473,2025Schedule!N:N,B473),0)</f>
        <v/>
      </c>
      <c r="P473" s="156">
        <f>IFERROR(VLOOKUP(H473,Matrix!A:D,2,0)-VLOOKUP(J473,Matrix!A:D,2,0),"")</f>
        <v/>
      </c>
      <c r="Q473" s="156">
        <f>IFERROR(VLOOKUP(H473,Matrix!A:AC,15,0)-VLOOKUP(J473,Matrix!A:AC,15,0),"")</f>
        <v/>
      </c>
      <c r="R473" s="156">
        <f>IFERROR(VLOOKUP(H473,Matrix!A:AC,16,0)-VLOOKUP(J473,Matrix!A:AC,16,0),"")</f>
        <v/>
      </c>
      <c r="S473" s="195">
        <f>H473</f>
        <v/>
      </c>
      <c r="T473" s="195">
        <f>IFERROR(VLOOKUP(G473&amp;H473,2025Schedule!A:F,6,0),"")</f>
        <v/>
      </c>
      <c r="U473" s="264">
        <f>J473</f>
        <v/>
      </c>
      <c r="V473" s="195">
        <f>IFERROR(VLOOKUP(G473&amp;J473,2025Schedule!A:F,6,0),"")</f>
        <v/>
      </c>
    </row>
    <row r="474" ht="14.4" customHeight="1" s="152">
      <c r="A474" s="241">
        <f>H474&amp;I474</f>
        <v/>
      </c>
      <c r="B474" s="241">
        <f>J474&amp;C474</f>
        <v/>
      </c>
      <c r="C474" s="241">
        <f>IFERROR(IF(I474="Home","Away",IF(I474="Away","Home","")),"")</f>
        <v/>
      </c>
      <c r="D474" s="242">
        <f>H474</f>
        <v/>
      </c>
      <c r="E474" s="157">
        <f>IFERROR(IF(AND(F474&gt;0,T474&gt;V474),"Yes",IF(AND(F474&gt;0,T474&lt;V474),"No",IF(AND(F474&lt;0,T474&lt;V474),"Yes",IF(AND(F474&lt;0,T474&gt;V474),"No",0)))),"")</f>
        <v/>
      </c>
      <c r="F474" s="263">
        <f>IFERROR((N474/MAX(N:N)*_MOVw)+(O474/MAX(O:O)*_WINw)+(P474/MAX(P:P)*_PPGw)+(Q474/MAX(Q:Q)*_ORw)+(R474/MAX(R:R)*_DRw),"")</f>
        <v/>
      </c>
      <c r="N474" s="156">
        <f>IFERROR(VLOOKUP(H474,Matrix!A:AC,12,0)-VLOOKUP(J474,Matrix!A:AC,12,0),"")</f>
        <v/>
      </c>
      <c r="O474" s="182">
        <f>IFERROR(AVERAGEIFS(2025Schedule!O:O,2025Schedule!E:E,H474,2025Schedule!N:N,A474)-AVERAGEIFS(2025Schedule!O:O,2025Schedule!E:E,J474,2025Schedule!N:N,B474),0)</f>
        <v/>
      </c>
      <c r="P474" s="156">
        <f>IFERROR(VLOOKUP(H474,Matrix!A:D,2,0)-VLOOKUP(J474,Matrix!A:D,2,0),"")</f>
        <v/>
      </c>
      <c r="Q474" s="156">
        <f>IFERROR(VLOOKUP(H474,Matrix!A:AC,15,0)-VLOOKUP(J474,Matrix!A:AC,15,0),"")</f>
        <v/>
      </c>
      <c r="R474" s="156">
        <f>IFERROR(VLOOKUP(H474,Matrix!A:AC,16,0)-VLOOKUP(J474,Matrix!A:AC,16,0),"")</f>
        <v/>
      </c>
      <c r="S474" s="195">
        <f>H474</f>
        <v/>
      </c>
      <c r="T474" s="195">
        <f>IFERROR(VLOOKUP(G474&amp;H474,2025Schedule!A:F,6,0),"")</f>
        <v/>
      </c>
      <c r="U474" s="264">
        <f>J474</f>
        <v/>
      </c>
      <c r="V474" s="195">
        <f>IFERROR(VLOOKUP(G474&amp;J474,2025Schedule!A:F,6,0),"")</f>
        <v/>
      </c>
    </row>
    <row r="475" ht="14.4" customHeight="1" s="152">
      <c r="A475" s="241">
        <f>H475&amp;I475</f>
        <v/>
      </c>
      <c r="B475" s="241">
        <f>J475&amp;C475</f>
        <v/>
      </c>
      <c r="C475" s="241">
        <f>IFERROR(IF(I475="Home","Away",IF(I475="Away","Home","")),"")</f>
        <v/>
      </c>
      <c r="D475" s="242">
        <f>H475</f>
        <v/>
      </c>
      <c r="E475" s="157">
        <f>IFERROR(IF(AND(F475&gt;0,T475&gt;V475),"Yes",IF(AND(F475&gt;0,T475&lt;V475),"No",IF(AND(F475&lt;0,T475&lt;V475),"Yes",IF(AND(F475&lt;0,T475&gt;V475),"No",0)))),"")</f>
        <v/>
      </c>
      <c r="F475" s="263">
        <f>IFERROR((N475/MAX(N:N)*_MOVw)+(O475/MAX(O:O)*_WINw)+(P475/MAX(P:P)*_PPGw)+(Q475/MAX(Q:Q)*_ORw)+(R475/MAX(R:R)*_DRw),"")</f>
        <v/>
      </c>
      <c r="N475" s="156">
        <f>IFERROR(VLOOKUP(H475,Matrix!A:AC,12,0)-VLOOKUP(J475,Matrix!A:AC,12,0),"")</f>
        <v/>
      </c>
      <c r="O475" s="182">
        <f>IFERROR(AVERAGEIFS(2025Schedule!O:O,2025Schedule!E:E,H475,2025Schedule!N:N,A475)-AVERAGEIFS(2025Schedule!O:O,2025Schedule!E:E,J475,2025Schedule!N:N,B475),0)</f>
        <v/>
      </c>
      <c r="P475" s="156">
        <f>IFERROR(VLOOKUP(H475,Matrix!A:D,2,0)-VLOOKUP(J475,Matrix!A:D,2,0),"")</f>
        <v/>
      </c>
      <c r="Q475" s="156">
        <f>IFERROR(VLOOKUP(H475,Matrix!A:AC,15,0)-VLOOKUP(J475,Matrix!A:AC,15,0),"")</f>
        <v/>
      </c>
      <c r="R475" s="156">
        <f>IFERROR(VLOOKUP(H475,Matrix!A:AC,16,0)-VLOOKUP(J475,Matrix!A:AC,16,0),"")</f>
        <v/>
      </c>
      <c r="S475" s="195">
        <f>H475</f>
        <v/>
      </c>
      <c r="T475" s="195">
        <f>IFERROR(VLOOKUP(G475&amp;H475,2025Schedule!A:F,6,0),"")</f>
        <v/>
      </c>
      <c r="U475" s="264">
        <f>J475</f>
        <v/>
      </c>
      <c r="V475" s="195">
        <f>IFERROR(VLOOKUP(G475&amp;J475,2025Schedule!A:F,6,0),"")</f>
        <v/>
      </c>
    </row>
    <row r="476" ht="14.4" customHeight="1" s="152">
      <c r="A476" s="241">
        <f>H476&amp;I476</f>
        <v/>
      </c>
      <c r="B476" s="241">
        <f>J476&amp;C476</f>
        <v/>
      </c>
      <c r="C476" s="241">
        <f>IFERROR(IF(I476="Home","Away",IF(I476="Away","Home","")),"")</f>
        <v/>
      </c>
      <c r="D476" s="242">
        <f>H476</f>
        <v/>
      </c>
      <c r="E476" s="157">
        <f>IFERROR(IF(AND(F476&gt;0,T476&gt;V476),"Yes",IF(AND(F476&gt;0,T476&lt;V476),"No",IF(AND(F476&lt;0,T476&lt;V476),"Yes",IF(AND(F476&lt;0,T476&gt;V476),"No",0)))),"")</f>
        <v/>
      </c>
      <c r="F476" s="263">
        <f>IFERROR((N476/MAX(N:N)*_MOVw)+(O476/MAX(O:O)*_WINw)+(P476/MAX(P:P)*_PPGw)+(Q476/MAX(Q:Q)*_ORw)+(R476/MAX(R:R)*_DRw),"")</f>
        <v/>
      </c>
      <c r="N476" s="156">
        <f>IFERROR(VLOOKUP(H476,Matrix!A:AC,12,0)-VLOOKUP(J476,Matrix!A:AC,12,0),"")</f>
        <v/>
      </c>
      <c r="O476" s="182">
        <f>IFERROR(AVERAGEIFS(2025Schedule!O:O,2025Schedule!E:E,H476,2025Schedule!N:N,A476)-AVERAGEIFS(2025Schedule!O:O,2025Schedule!E:E,J476,2025Schedule!N:N,B476),0)</f>
        <v/>
      </c>
      <c r="P476" s="156">
        <f>IFERROR(VLOOKUP(H476,Matrix!A:D,2,0)-VLOOKUP(J476,Matrix!A:D,2,0),"")</f>
        <v/>
      </c>
      <c r="Q476" s="156">
        <f>IFERROR(VLOOKUP(H476,Matrix!A:AC,15,0)-VLOOKUP(J476,Matrix!A:AC,15,0),"")</f>
        <v/>
      </c>
      <c r="R476" s="156">
        <f>IFERROR(VLOOKUP(H476,Matrix!A:AC,16,0)-VLOOKUP(J476,Matrix!A:AC,16,0),"")</f>
        <v/>
      </c>
      <c r="S476" s="195">
        <f>H476</f>
        <v/>
      </c>
      <c r="T476" s="195">
        <f>IFERROR(VLOOKUP(G476&amp;H476,2025Schedule!A:F,6,0),"")</f>
        <v/>
      </c>
      <c r="U476" s="264">
        <f>J476</f>
        <v/>
      </c>
      <c r="V476" s="195">
        <f>IFERROR(VLOOKUP(G476&amp;J476,2025Schedule!A:F,6,0),"")</f>
        <v/>
      </c>
    </row>
    <row r="477" ht="14.4" customHeight="1" s="152">
      <c r="A477" s="241">
        <f>H477&amp;I477</f>
        <v/>
      </c>
      <c r="B477" s="241">
        <f>J477&amp;C477</f>
        <v/>
      </c>
      <c r="C477" s="241">
        <f>IFERROR(IF(I477="Home","Away",IF(I477="Away","Home","")),"")</f>
        <v/>
      </c>
      <c r="D477" s="242">
        <f>H477</f>
        <v/>
      </c>
      <c r="E477" s="157">
        <f>IFERROR(IF(AND(F477&gt;0,T477&gt;V477),"Yes",IF(AND(F477&gt;0,T477&lt;V477),"No",IF(AND(F477&lt;0,T477&lt;V477),"Yes",IF(AND(F477&lt;0,T477&gt;V477),"No",0)))),"")</f>
        <v/>
      </c>
      <c r="F477" s="263">
        <f>IFERROR((N477/MAX(N:N)*_MOVw)+(O477/MAX(O:O)*_WINw)+(P477/MAX(P:P)*_PPGw)+(Q477/MAX(Q:Q)*_ORw)+(R477/MAX(R:R)*_DRw),"")</f>
        <v/>
      </c>
      <c r="N477" s="156">
        <f>IFERROR(VLOOKUP(H477,Matrix!A:AC,12,0)-VLOOKUP(J477,Matrix!A:AC,12,0),"")</f>
        <v/>
      </c>
      <c r="O477" s="182">
        <f>IFERROR(AVERAGEIFS(2025Schedule!O:O,2025Schedule!E:E,H477,2025Schedule!N:N,A477)-AVERAGEIFS(2025Schedule!O:O,2025Schedule!E:E,J477,2025Schedule!N:N,B477),0)</f>
        <v/>
      </c>
      <c r="P477" s="156">
        <f>IFERROR(VLOOKUP(H477,Matrix!A:D,2,0)-VLOOKUP(J477,Matrix!A:D,2,0),"")</f>
        <v/>
      </c>
      <c r="Q477" s="156">
        <f>IFERROR(VLOOKUP(H477,Matrix!A:AC,15,0)-VLOOKUP(J477,Matrix!A:AC,15,0),"")</f>
        <v/>
      </c>
      <c r="R477" s="156">
        <f>IFERROR(VLOOKUP(H477,Matrix!A:AC,16,0)-VLOOKUP(J477,Matrix!A:AC,16,0),"")</f>
        <v/>
      </c>
      <c r="S477" s="195">
        <f>H477</f>
        <v/>
      </c>
      <c r="T477" s="195">
        <f>IFERROR(VLOOKUP(G477&amp;H477,2025Schedule!A:F,6,0),"")</f>
        <v/>
      </c>
      <c r="U477" s="264">
        <f>J477</f>
        <v/>
      </c>
      <c r="V477" s="195">
        <f>IFERROR(VLOOKUP(G477&amp;J477,2025Schedule!A:F,6,0),"")</f>
        <v/>
      </c>
    </row>
    <row r="478" ht="14.4" customHeight="1" s="152">
      <c r="A478" s="241">
        <f>H478&amp;I478</f>
        <v/>
      </c>
      <c r="B478" s="241">
        <f>J478&amp;C478</f>
        <v/>
      </c>
      <c r="C478" s="241">
        <f>IFERROR(IF(I478="Home","Away",IF(I478="Away","Home","")),"")</f>
        <v/>
      </c>
      <c r="D478" s="242">
        <f>H478</f>
        <v/>
      </c>
      <c r="E478" s="157">
        <f>IFERROR(IF(AND(F478&gt;0,T478&gt;V478),"Yes",IF(AND(F478&gt;0,T478&lt;V478),"No",IF(AND(F478&lt;0,T478&lt;V478),"Yes",IF(AND(F478&lt;0,T478&gt;V478),"No",0)))),"")</f>
        <v/>
      </c>
      <c r="F478" s="263">
        <f>IFERROR((N478/MAX(N:N)*_MOVw)+(O478/MAX(O:O)*_WINw)+(P478/MAX(P:P)*_PPGw)+(Q478/MAX(Q:Q)*_ORw)+(R478/MAX(R:R)*_DRw),"")</f>
        <v/>
      </c>
      <c r="N478" s="156">
        <f>IFERROR(VLOOKUP(H478,Matrix!A:AC,12,0)-VLOOKUP(J478,Matrix!A:AC,12,0),"")</f>
        <v/>
      </c>
      <c r="O478" s="182">
        <f>IFERROR(AVERAGEIFS(2025Schedule!O:O,2025Schedule!E:E,H478,2025Schedule!N:N,A478)-AVERAGEIFS(2025Schedule!O:O,2025Schedule!E:E,J478,2025Schedule!N:N,B478),0)</f>
        <v/>
      </c>
      <c r="P478" s="156">
        <f>IFERROR(VLOOKUP(H478,Matrix!A:D,2,0)-VLOOKUP(J478,Matrix!A:D,2,0),"")</f>
        <v/>
      </c>
      <c r="Q478" s="156">
        <f>IFERROR(VLOOKUP(H478,Matrix!A:AC,15,0)-VLOOKUP(J478,Matrix!A:AC,15,0),"")</f>
        <v/>
      </c>
      <c r="R478" s="156">
        <f>IFERROR(VLOOKUP(H478,Matrix!A:AC,16,0)-VLOOKUP(J478,Matrix!A:AC,16,0),"")</f>
        <v/>
      </c>
      <c r="S478" s="195">
        <f>H478</f>
        <v/>
      </c>
      <c r="T478" s="195">
        <f>IFERROR(VLOOKUP(G478&amp;H478,2025Schedule!A:F,6,0),"")</f>
        <v/>
      </c>
      <c r="U478" s="264">
        <f>J478</f>
        <v/>
      </c>
      <c r="V478" s="195">
        <f>IFERROR(VLOOKUP(G478&amp;J478,2025Schedule!A:F,6,0),"")</f>
        <v/>
      </c>
    </row>
    <row r="479" ht="14.4" customHeight="1" s="152">
      <c r="A479" s="241">
        <f>H479&amp;I479</f>
        <v/>
      </c>
      <c r="B479" s="241">
        <f>J479&amp;C479</f>
        <v/>
      </c>
      <c r="C479" s="241">
        <f>IFERROR(IF(I479="Home","Away",IF(I479="Away","Home","")),"")</f>
        <v/>
      </c>
      <c r="D479" s="242">
        <f>H479</f>
        <v/>
      </c>
      <c r="E479" s="157">
        <f>IFERROR(IF(AND(F479&gt;0,T479&gt;V479),"Yes",IF(AND(F479&gt;0,T479&lt;V479),"No",IF(AND(F479&lt;0,T479&lt;V479),"Yes",IF(AND(F479&lt;0,T479&gt;V479),"No",0)))),"")</f>
        <v/>
      </c>
      <c r="F479" s="263">
        <f>IFERROR((N479/MAX(N:N)*_MOVw)+(O479/MAX(O:O)*_WINw)+(P479/MAX(P:P)*_PPGw)+(Q479/MAX(Q:Q)*_ORw)+(R479/MAX(R:R)*_DRw),"")</f>
        <v/>
      </c>
      <c r="N479" s="156">
        <f>IFERROR(VLOOKUP(H479,Matrix!A:AC,12,0)-VLOOKUP(J479,Matrix!A:AC,12,0),"")</f>
        <v/>
      </c>
      <c r="O479" s="182">
        <f>IFERROR(AVERAGEIFS(2025Schedule!O:O,2025Schedule!E:E,H479,2025Schedule!N:N,A479)-AVERAGEIFS(2025Schedule!O:O,2025Schedule!E:E,J479,2025Schedule!N:N,B479),0)</f>
        <v/>
      </c>
      <c r="P479" s="156">
        <f>IFERROR(VLOOKUP(H479,Matrix!A:D,2,0)-VLOOKUP(J479,Matrix!A:D,2,0),"")</f>
        <v/>
      </c>
      <c r="Q479" s="156">
        <f>IFERROR(VLOOKUP(H479,Matrix!A:AC,15,0)-VLOOKUP(J479,Matrix!A:AC,15,0),"")</f>
        <v/>
      </c>
      <c r="R479" s="156">
        <f>IFERROR(VLOOKUP(H479,Matrix!A:AC,16,0)-VLOOKUP(J479,Matrix!A:AC,16,0),"")</f>
        <v/>
      </c>
      <c r="S479" s="195">
        <f>H479</f>
        <v/>
      </c>
      <c r="T479" s="195">
        <f>IFERROR(VLOOKUP(G479&amp;H479,2025Schedule!A:F,6,0),"")</f>
        <v/>
      </c>
      <c r="U479" s="264">
        <f>J479</f>
        <v/>
      </c>
      <c r="V479" s="195">
        <f>IFERROR(VLOOKUP(G479&amp;J479,2025Schedule!A:F,6,0),"")</f>
        <v/>
      </c>
    </row>
    <row r="480" ht="14.4" customHeight="1" s="152">
      <c r="A480" s="241">
        <f>H480&amp;I480</f>
        <v/>
      </c>
      <c r="B480" s="241">
        <f>J480&amp;C480</f>
        <v/>
      </c>
      <c r="C480" s="241">
        <f>IFERROR(IF(I480="Home","Away",IF(I480="Away","Home","")),"")</f>
        <v/>
      </c>
      <c r="D480" s="242">
        <f>H480</f>
        <v/>
      </c>
      <c r="E480" s="157">
        <f>IFERROR(IF(AND(F480&gt;0,T480&gt;V480),"Yes",IF(AND(F480&gt;0,T480&lt;V480),"No",IF(AND(F480&lt;0,T480&lt;V480),"Yes",IF(AND(F480&lt;0,T480&gt;V480),"No",0)))),"")</f>
        <v/>
      </c>
      <c r="F480" s="263">
        <f>IFERROR((N480/MAX(N:N)*_MOVw)+(O480/MAX(O:O)*_WINw)+(P480/MAX(P:P)*_PPGw)+(Q480/MAX(Q:Q)*_ORw)+(R480/MAX(R:R)*_DRw),"")</f>
        <v/>
      </c>
      <c r="N480" s="156">
        <f>IFERROR(VLOOKUP(H480,Matrix!A:AC,12,0)-VLOOKUP(J480,Matrix!A:AC,12,0),"")</f>
        <v/>
      </c>
      <c r="O480" s="182">
        <f>IFERROR(AVERAGEIFS(2025Schedule!O:O,2025Schedule!E:E,H480,2025Schedule!N:N,A480)-AVERAGEIFS(2025Schedule!O:O,2025Schedule!E:E,J480,2025Schedule!N:N,B480),0)</f>
        <v/>
      </c>
      <c r="P480" s="156">
        <f>IFERROR(VLOOKUP(H480,Matrix!A:D,2,0)-VLOOKUP(J480,Matrix!A:D,2,0),"")</f>
        <v/>
      </c>
      <c r="Q480" s="156">
        <f>IFERROR(VLOOKUP(H480,Matrix!A:AC,15,0)-VLOOKUP(J480,Matrix!A:AC,15,0),"")</f>
        <v/>
      </c>
      <c r="R480" s="156">
        <f>IFERROR(VLOOKUP(H480,Matrix!A:AC,16,0)-VLOOKUP(J480,Matrix!A:AC,16,0),"")</f>
        <v/>
      </c>
      <c r="S480" s="195">
        <f>H480</f>
        <v/>
      </c>
      <c r="T480" s="195">
        <f>IFERROR(VLOOKUP(G480&amp;H480,2025Schedule!A:F,6,0),"")</f>
        <v/>
      </c>
      <c r="U480" s="264">
        <f>J480</f>
        <v/>
      </c>
      <c r="V480" s="195">
        <f>IFERROR(VLOOKUP(G480&amp;J480,2025Schedule!A:F,6,0),"")</f>
        <v/>
      </c>
    </row>
    <row r="481" ht="14.4" customHeight="1" s="152">
      <c r="A481" s="241">
        <f>H481&amp;I481</f>
        <v/>
      </c>
      <c r="B481" s="241">
        <f>J481&amp;C481</f>
        <v/>
      </c>
      <c r="C481" s="241">
        <f>IFERROR(IF(I481="Home","Away",IF(I481="Away","Home","")),"")</f>
        <v/>
      </c>
      <c r="D481" s="242">
        <f>H481</f>
        <v/>
      </c>
      <c r="E481" s="157">
        <f>IFERROR(IF(AND(F481&gt;0,T481&gt;V481),"Yes",IF(AND(F481&gt;0,T481&lt;V481),"No",IF(AND(F481&lt;0,T481&lt;V481),"Yes",IF(AND(F481&lt;0,T481&gt;V481),"No",0)))),"")</f>
        <v/>
      </c>
      <c r="F481" s="263">
        <f>IFERROR((N481/MAX(N:N)*_MOVw)+(O481/MAX(O:O)*_WINw)+(P481/MAX(P:P)*_PPGw)+(Q481/MAX(Q:Q)*_ORw)+(R481/MAX(R:R)*_DRw),"")</f>
        <v/>
      </c>
      <c r="N481" s="156">
        <f>IFERROR(VLOOKUP(H481,Matrix!A:AC,12,0)-VLOOKUP(J481,Matrix!A:AC,12,0),"")</f>
        <v/>
      </c>
      <c r="O481" s="182">
        <f>IFERROR(AVERAGEIFS(2025Schedule!O:O,2025Schedule!E:E,H481,2025Schedule!N:N,A481)-AVERAGEIFS(2025Schedule!O:O,2025Schedule!E:E,J481,2025Schedule!N:N,B481),0)</f>
        <v/>
      </c>
      <c r="P481" s="156">
        <f>IFERROR(VLOOKUP(H481,Matrix!A:D,2,0)-VLOOKUP(J481,Matrix!A:D,2,0),"")</f>
        <v/>
      </c>
      <c r="Q481" s="156">
        <f>IFERROR(VLOOKUP(H481,Matrix!A:AC,15,0)-VLOOKUP(J481,Matrix!A:AC,15,0),"")</f>
        <v/>
      </c>
      <c r="R481" s="156">
        <f>IFERROR(VLOOKUP(H481,Matrix!A:AC,16,0)-VLOOKUP(J481,Matrix!A:AC,16,0),"")</f>
        <v/>
      </c>
      <c r="S481" s="195">
        <f>H481</f>
        <v/>
      </c>
      <c r="T481" s="195">
        <f>IFERROR(VLOOKUP(G481&amp;H481,2025Schedule!A:F,6,0),"")</f>
        <v/>
      </c>
      <c r="U481" s="264">
        <f>J481</f>
        <v/>
      </c>
      <c r="V481" s="195">
        <f>IFERROR(VLOOKUP(G481&amp;J481,2025Schedule!A:F,6,0),"")</f>
        <v/>
      </c>
    </row>
    <row r="482" ht="14.4" customHeight="1" s="152">
      <c r="A482" s="241">
        <f>H482&amp;I482</f>
        <v/>
      </c>
      <c r="B482" s="241">
        <f>J482&amp;C482</f>
        <v/>
      </c>
      <c r="C482" s="241">
        <f>IFERROR(IF(I482="Home","Away",IF(I482="Away","Home","")),"")</f>
        <v/>
      </c>
      <c r="D482" s="242">
        <f>H482</f>
        <v/>
      </c>
      <c r="E482" s="157">
        <f>IFERROR(IF(AND(F482&gt;0,T482&gt;V482),"Yes",IF(AND(F482&gt;0,T482&lt;V482),"No",IF(AND(F482&lt;0,T482&lt;V482),"Yes",IF(AND(F482&lt;0,T482&gt;V482),"No",0)))),"")</f>
        <v/>
      </c>
      <c r="F482" s="263">
        <f>IFERROR((N482/MAX(N:N)*_MOVw)+(O482/MAX(O:O)*_WINw)+(P482/MAX(P:P)*_PPGw)+(Q482/MAX(Q:Q)*_ORw)+(R482/MAX(R:R)*_DRw),"")</f>
        <v/>
      </c>
      <c r="N482" s="156">
        <f>IFERROR(VLOOKUP(H482,Matrix!A:AC,12,0)-VLOOKUP(J482,Matrix!A:AC,12,0),"")</f>
        <v/>
      </c>
      <c r="O482" s="182">
        <f>IFERROR(AVERAGEIFS(2025Schedule!O:O,2025Schedule!E:E,H482,2025Schedule!N:N,A482)-AVERAGEIFS(2025Schedule!O:O,2025Schedule!E:E,J482,2025Schedule!N:N,B482),0)</f>
        <v/>
      </c>
      <c r="P482" s="156">
        <f>IFERROR(VLOOKUP(H482,Matrix!A:D,2,0)-VLOOKUP(J482,Matrix!A:D,2,0),"")</f>
        <v/>
      </c>
      <c r="Q482" s="156">
        <f>IFERROR(VLOOKUP(H482,Matrix!A:AC,15,0)-VLOOKUP(J482,Matrix!A:AC,15,0),"")</f>
        <v/>
      </c>
      <c r="R482" s="156">
        <f>IFERROR(VLOOKUP(H482,Matrix!A:AC,16,0)-VLOOKUP(J482,Matrix!A:AC,16,0),"")</f>
        <v/>
      </c>
      <c r="S482" s="195">
        <f>H482</f>
        <v/>
      </c>
      <c r="T482" s="195">
        <f>IFERROR(VLOOKUP(G482&amp;H482,2025Schedule!A:F,6,0),"")</f>
        <v/>
      </c>
      <c r="U482" s="264">
        <f>J482</f>
        <v/>
      </c>
      <c r="V482" s="195">
        <f>IFERROR(VLOOKUP(G482&amp;J482,2025Schedule!A:F,6,0),"")</f>
        <v/>
      </c>
    </row>
    <row r="483" ht="14.4" customHeight="1" s="152">
      <c r="A483" s="241">
        <f>H483&amp;I483</f>
        <v/>
      </c>
      <c r="B483" s="241">
        <f>J483&amp;C483</f>
        <v/>
      </c>
      <c r="C483" s="241">
        <f>IFERROR(IF(I483="Home","Away",IF(I483="Away","Home","")),"")</f>
        <v/>
      </c>
      <c r="D483" s="242">
        <f>H483</f>
        <v/>
      </c>
      <c r="E483" s="157">
        <f>IFERROR(IF(AND(F483&gt;0,T483&gt;V483),"Yes",IF(AND(F483&gt;0,T483&lt;V483),"No",IF(AND(F483&lt;0,T483&lt;V483),"Yes",IF(AND(F483&lt;0,T483&gt;V483),"No",0)))),"")</f>
        <v/>
      </c>
      <c r="F483" s="263">
        <f>IFERROR((N483/MAX(N:N)*_MOVw)+(O483/MAX(O:O)*_WINw)+(P483/MAX(P:P)*_PPGw)+(Q483/MAX(Q:Q)*_ORw)+(R483/MAX(R:R)*_DRw),"")</f>
        <v/>
      </c>
      <c r="N483" s="156">
        <f>IFERROR(VLOOKUP(H483,Matrix!A:AC,12,0)-VLOOKUP(J483,Matrix!A:AC,12,0),"")</f>
        <v/>
      </c>
      <c r="O483" s="182">
        <f>IFERROR(AVERAGEIFS(2025Schedule!O:O,2025Schedule!E:E,H483,2025Schedule!N:N,A483)-AVERAGEIFS(2025Schedule!O:O,2025Schedule!E:E,J483,2025Schedule!N:N,B483),0)</f>
        <v/>
      </c>
      <c r="P483" s="156">
        <f>IFERROR(VLOOKUP(H483,Matrix!A:D,2,0)-VLOOKUP(J483,Matrix!A:D,2,0),"")</f>
        <v/>
      </c>
      <c r="Q483" s="156">
        <f>IFERROR(VLOOKUP(H483,Matrix!A:AC,15,0)-VLOOKUP(J483,Matrix!A:AC,15,0),"")</f>
        <v/>
      </c>
      <c r="R483" s="156">
        <f>IFERROR(VLOOKUP(H483,Matrix!A:AC,16,0)-VLOOKUP(J483,Matrix!A:AC,16,0),"")</f>
        <v/>
      </c>
      <c r="S483" s="195">
        <f>H483</f>
        <v/>
      </c>
      <c r="T483" s="195">
        <f>IFERROR(VLOOKUP(G483&amp;H483,2025Schedule!A:F,6,0),"")</f>
        <v/>
      </c>
      <c r="U483" s="264">
        <f>J483</f>
        <v/>
      </c>
      <c r="V483" s="195">
        <f>IFERROR(VLOOKUP(G483&amp;J483,2025Schedule!A:F,6,0),"")</f>
        <v/>
      </c>
    </row>
    <row r="484" ht="14.4" customHeight="1" s="152">
      <c r="A484" s="241">
        <f>H484&amp;I484</f>
        <v/>
      </c>
      <c r="B484" s="241">
        <f>J484&amp;C484</f>
        <v/>
      </c>
      <c r="C484" s="241">
        <f>IFERROR(IF(I484="Home","Away",IF(I484="Away","Home","")),"")</f>
        <v/>
      </c>
      <c r="D484" s="242">
        <f>H484</f>
        <v/>
      </c>
      <c r="E484" s="157">
        <f>IFERROR(IF(AND(F484&gt;0,T484&gt;V484),"Yes",IF(AND(F484&gt;0,T484&lt;V484),"No",IF(AND(F484&lt;0,T484&lt;V484),"Yes",IF(AND(F484&lt;0,T484&gt;V484),"No",0)))),"")</f>
        <v/>
      </c>
      <c r="F484" s="263">
        <f>IFERROR((N484/MAX(N:N)*_MOVw)+(O484/MAX(O:O)*_WINw)+(P484/MAX(P:P)*_PPGw)+(Q484/MAX(Q:Q)*_ORw)+(R484/MAX(R:R)*_DRw),"")</f>
        <v/>
      </c>
      <c r="N484" s="156">
        <f>IFERROR(VLOOKUP(H484,Matrix!A:AC,12,0)-VLOOKUP(J484,Matrix!A:AC,12,0),"")</f>
        <v/>
      </c>
      <c r="O484" s="182">
        <f>IFERROR(AVERAGEIFS(2025Schedule!O:O,2025Schedule!E:E,H484,2025Schedule!N:N,A484)-AVERAGEIFS(2025Schedule!O:O,2025Schedule!E:E,J484,2025Schedule!N:N,B484),0)</f>
        <v/>
      </c>
      <c r="P484" s="156">
        <f>IFERROR(VLOOKUP(H484,Matrix!A:D,2,0)-VLOOKUP(J484,Matrix!A:D,2,0),"")</f>
        <v/>
      </c>
      <c r="Q484" s="156">
        <f>IFERROR(VLOOKUP(H484,Matrix!A:AC,15,0)-VLOOKUP(J484,Matrix!A:AC,15,0),"")</f>
        <v/>
      </c>
      <c r="R484" s="156">
        <f>IFERROR(VLOOKUP(H484,Matrix!A:AC,16,0)-VLOOKUP(J484,Matrix!A:AC,16,0),"")</f>
        <v/>
      </c>
      <c r="S484" s="195">
        <f>H484</f>
        <v/>
      </c>
      <c r="T484" s="195">
        <f>IFERROR(VLOOKUP(G484&amp;H484,2025Schedule!A:F,6,0),"")</f>
        <v/>
      </c>
      <c r="U484" s="264">
        <f>J484</f>
        <v/>
      </c>
      <c r="V484" s="195">
        <f>IFERROR(VLOOKUP(G484&amp;J484,2025Schedule!A:F,6,0),"")</f>
        <v/>
      </c>
    </row>
    <row r="485" ht="14.4" customHeight="1" s="152">
      <c r="A485" s="241">
        <f>H485&amp;I485</f>
        <v/>
      </c>
      <c r="B485" s="241">
        <f>J485&amp;C485</f>
        <v/>
      </c>
      <c r="C485" s="241">
        <f>IFERROR(IF(I485="Home","Away",IF(I485="Away","Home","")),"")</f>
        <v/>
      </c>
      <c r="D485" s="242">
        <f>H485</f>
        <v/>
      </c>
      <c r="E485" s="157">
        <f>IFERROR(IF(AND(F485&gt;0,T485&gt;V485),"Yes",IF(AND(F485&gt;0,T485&lt;V485),"No",IF(AND(F485&lt;0,T485&lt;V485),"Yes",IF(AND(F485&lt;0,T485&gt;V485),"No",0)))),"")</f>
        <v/>
      </c>
      <c r="F485" s="263">
        <f>IFERROR((N485/MAX(N:N)*_MOVw)+(O485/MAX(O:O)*_WINw)+(P485/MAX(P:P)*_PPGw)+(Q485/MAX(Q:Q)*_ORw)+(R485/MAX(R:R)*_DRw),"")</f>
        <v/>
      </c>
      <c r="N485" s="156">
        <f>IFERROR(VLOOKUP(H485,Matrix!A:AC,12,0)-VLOOKUP(J485,Matrix!A:AC,12,0),"")</f>
        <v/>
      </c>
      <c r="O485" s="182">
        <f>IFERROR(AVERAGEIFS(2025Schedule!O:O,2025Schedule!E:E,H485,2025Schedule!N:N,A485)-AVERAGEIFS(2025Schedule!O:O,2025Schedule!E:E,J485,2025Schedule!N:N,B485),0)</f>
        <v/>
      </c>
      <c r="P485" s="156">
        <f>IFERROR(VLOOKUP(H485,Matrix!A:D,2,0)-VLOOKUP(J485,Matrix!A:D,2,0),"")</f>
        <v/>
      </c>
      <c r="Q485" s="156">
        <f>IFERROR(VLOOKUP(H485,Matrix!A:AC,15,0)-VLOOKUP(J485,Matrix!A:AC,15,0),"")</f>
        <v/>
      </c>
      <c r="R485" s="156">
        <f>IFERROR(VLOOKUP(H485,Matrix!A:AC,16,0)-VLOOKUP(J485,Matrix!A:AC,16,0),"")</f>
        <v/>
      </c>
      <c r="S485" s="195">
        <f>H485</f>
        <v/>
      </c>
      <c r="T485" s="195">
        <f>IFERROR(VLOOKUP(G485&amp;H485,2025Schedule!A:F,6,0),"")</f>
        <v/>
      </c>
      <c r="U485" s="264">
        <f>J485</f>
        <v/>
      </c>
      <c r="V485" s="195">
        <f>IFERROR(VLOOKUP(G485&amp;J485,2025Schedule!A:F,6,0),"")</f>
        <v/>
      </c>
    </row>
    <row r="486" ht="14.4" customHeight="1" s="152">
      <c r="A486" s="241">
        <f>H486&amp;I486</f>
        <v/>
      </c>
      <c r="B486" s="241">
        <f>J486&amp;C486</f>
        <v/>
      </c>
      <c r="C486" s="241">
        <f>IFERROR(IF(I486="Home","Away",IF(I486="Away","Home","")),"")</f>
        <v/>
      </c>
      <c r="D486" s="242">
        <f>H486</f>
        <v/>
      </c>
      <c r="E486" s="157">
        <f>IFERROR(IF(AND(F486&gt;0,T486&gt;V486),"Yes",IF(AND(F486&gt;0,T486&lt;V486),"No",IF(AND(F486&lt;0,T486&lt;V486),"Yes",IF(AND(F486&lt;0,T486&gt;V486),"No",0)))),"")</f>
        <v/>
      </c>
      <c r="F486" s="263">
        <f>IFERROR((N486/MAX(N:N)*_MOVw)+(O486/MAX(O:O)*_WINw)+(P486/MAX(P:P)*_PPGw)+(Q486/MAX(Q:Q)*_ORw)+(R486/MAX(R:R)*_DRw),"")</f>
        <v/>
      </c>
      <c r="N486" s="156">
        <f>IFERROR(VLOOKUP(H486,Matrix!A:AC,12,0)-VLOOKUP(J486,Matrix!A:AC,12,0),"")</f>
        <v/>
      </c>
      <c r="O486" s="182">
        <f>IFERROR(AVERAGEIFS(2025Schedule!O:O,2025Schedule!E:E,H486,2025Schedule!N:N,A486)-AVERAGEIFS(2025Schedule!O:O,2025Schedule!E:E,J486,2025Schedule!N:N,B486),0)</f>
        <v/>
      </c>
      <c r="P486" s="156">
        <f>IFERROR(VLOOKUP(H486,Matrix!A:D,2,0)-VLOOKUP(J486,Matrix!A:D,2,0),"")</f>
        <v/>
      </c>
      <c r="Q486" s="156">
        <f>IFERROR(VLOOKUP(H486,Matrix!A:AC,15,0)-VLOOKUP(J486,Matrix!A:AC,15,0),"")</f>
        <v/>
      </c>
      <c r="R486" s="156">
        <f>IFERROR(VLOOKUP(H486,Matrix!A:AC,16,0)-VLOOKUP(J486,Matrix!A:AC,16,0),"")</f>
        <v/>
      </c>
      <c r="S486" s="195">
        <f>H486</f>
        <v/>
      </c>
      <c r="T486" s="195">
        <f>IFERROR(VLOOKUP(G486&amp;H486,2025Schedule!A:F,6,0),"")</f>
        <v/>
      </c>
      <c r="U486" s="264">
        <f>J486</f>
        <v/>
      </c>
      <c r="V486" s="195">
        <f>IFERROR(VLOOKUP(G486&amp;J486,2025Schedule!A:F,6,0),"")</f>
        <v/>
      </c>
    </row>
    <row r="487" ht="14.4" customHeight="1" s="152">
      <c r="A487" s="241">
        <f>H487&amp;I487</f>
        <v/>
      </c>
      <c r="B487" s="241">
        <f>J487&amp;C487</f>
        <v/>
      </c>
      <c r="C487" s="241">
        <f>IFERROR(IF(I487="Home","Away",IF(I487="Away","Home","")),"")</f>
        <v/>
      </c>
      <c r="D487" s="242">
        <f>H487</f>
        <v/>
      </c>
      <c r="E487" s="157">
        <f>IFERROR(IF(AND(F487&gt;0,T487&gt;V487),"Yes",IF(AND(F487&gt;0,T487&lt;V487),"No",IF(AND(F487&lt;0,T487&lt;V487),"Yes",IF(AND(F487&lt;0,T487&gt;V487),"No",0)))),"")</f>
        <v/>
      </c>
      <c r="F487" s="263">
        <f>IFERROR((N487/MAX(N:N)*_MOVw)+(O487/MAX(O:O)*_WINw)+(P487/MAX(P:P)*_PPGw)+(Q487/MAX(Q:Q)*_ORw)+(R487/MAX(R:R)*_DRw),"")</f>
        <v/>
      </c>
      <c r="N487" s="156">
        <f>IFERROR(VLOOKUP(H487,Matrix!A:AC,12,0)-VLOOKUP(J487,Matrix!A:AC,12,0),"")</f>
        <v/>
      </c>
      <c r="O487" s="182">
        <f>IFERROR(AVERAGEIFS(2025Schedule!O:O,2025Schedule!E:E,H487,2025Schedule!N:N,A487)-AVERAGEIFS(2025Schedule!O:O,2025Schedule!E:E,J487,2025Schedule!N:N,B487),0)</f>
        <v/>
      </c>
      <c r="P487" s="156">
        <f>IFERROR(VLOOKUP(H487,Matrix!A:D,2,0)-VLOOKUP(J487,Matrix!A:D,2,0),"")</f>
        <v/>
      </c>
      <c r="Q487" s="156">
        <f>IFERROR(VLOOKUP(H487,Matrix!A:AC,15,0)-VLOOKUP(J487,Matrix!A:AC,15,0),"")</f>
        <v/>
      </c>
      <c r="R487" s="156">
        <f>IFERROR(VLOOKUP(H487,Matrix!A:AC,16,0)-VLOOKUP(J487,Matrix!A:AC,16,0),"")</f>
        <v/>
      </c>
      <c r="S487" s="195">
        <f>H487</f>
        <v/>
      </c>
      <c r="T487" s="195">
        <f>IFERROR(VLOOKUP(G487&amp;H487,2025Schedule!A:F,6,0),"")</f>
        <v/>
      </c>
      <c r="U487" s="264">
        <f>J487</f>
        <v/>
      </c>
      <c r="V487" s="195">
        <f>IFERROR(VLOOKUP(G487&amp;J487,2025Schedule!A:F,6,0),"")</f>
        <v/>
      </c>
    </row>
    <row r="488" ht="14.4" customHeight="1" s="152">
      <c r="A488" s="241">
        <f>H488&amp;I488</f>
        <v/>
      </c>
      <c r="B488" s="241">
        <f>J488&amp;C488</f>
        <v/>
      </c>
      <c r="C488" s="241">
        <f>IFERROR(IF(I488="Home","Away",IF(I488="Away","Home","")),"")</f>
        <v/>
      </c>
      <c r="D488" s="242">
        <f>H488</f>
        <v/>
      </c>
      <c r="E488" s="157">
        <f>IFERROR(IF(AND(F488&gt;0,T488&gt;V488),"Yes",IF(AND(F488&gt;0,T488&lt;V488),"No",IF(AND(F488&lt;0,T488&lt;V488),"Yes",IF(AND(F488&lt;0,T488&gt;V488),"No",0)))),"")</f>
        <v/>
      </c>
      <c r="F488" s="263">
        <f>IFERROR((N488/MAX(N:N)*_MOVw)+(O488/MAX(O:O)*_WINw)+(P488/MAX(P:P)*_PPGw)+(Q488/MAX(Q:Q)*_ORw)+(R488/MAX(R:R)*_DRw),"")</f>
        <v/>
      </c>
      <c r="N488" s="156">
        <f>IFERROR(VLOOKUP(H488,Matrix!A:AC,12,0)-VLOOKUP(J488,Matrix!A:AC,12,0),"")</f>
        <v/>
      </c>
      <c r="O488" s="182">
        <f>IFERROR(AVERAGEIFS(2025Schedule!O:O,2025Schedule!E:E,H488,2025Schedule!N:N,A488)-AVERAGEIFS(2025Schedule!O:O,2025Schedule!E:E,J488,2025Schedule!N:N,B488),0)</f>
        <v/>
      </c>
      <c r="P488" s="156">
        <f>IFERROR(VLOOKUP(H488,Matrix!A:D,2,0)-VLOOKUP(J488,Matrix!A:D,2,0),"")</f>
        <v/>
      </c>
      <c r="Q488" s="156">
        <f>IFERROR(VLOOKUP(H488,Matrix!A:AC,15,0)-VLOOKUP(J488,Matrix!A:AC,15,0),"")</f>
        <v/>
      </c>
      <c r="R488" s="156">
        <f>IFERROR(VLOOKUP(H488,Matrix!A:AC,16,0)-VLOOKUP(J488,Matrix!A:AC,16,0),"")</f>
        <v/>
      </c>
      <c r="S488" s="195">
        <f>H488</f>
        <v/>
      </c>
      <c r="T488" s="195">
        <f>IFERROR(VLOOKUP(G488&amp;H488,2025Schedule!A:F,6,0),"")</f>
        <v/>
      </c>
      <c r="U488" s="264">
        <f>J488</f>
        <v/>
      </c>
      <c r="V488" s="195">
        <f>IFERROR(VLOOKUP(G488&amp;J488,2025Schedule!A:F,6,0),"")</f>
        <v/>
      </c>
    </row>
    <row r="489" ht="14.4" customHeight="1" s="152">
      <c r="A489" s="241">
        <f>H489&amp;I489</f>
        <v/>
      </c>
      <c r="B489" s="241">
        <f>J489&amp;C489</f>
        <v/>
      </c>
      <c r="C489" s="241">
        <f>IFERROR(IF(I489="Home","Away",IF(I489="Away","Home","")),"")</f>
        <v/>
      </c>
      <c r="D489" s="242">
        <f>H489</f>
        <v/>
      </c>
      <c r="E489" s="157">
        <f>IFERROR(IF(AND(F489&gt;0,T489&gt;V489),"Yes",IF(AND(F489&gt;0,T489&lt;V489),"No",IF(AND(F489&lt;0,T489&lt;V489),"Yes",IF(AND(F489&lt;0,T489&gt;V489),"No",0)))),"")</f>
        <v/>
      </c>
      <c r="F489" s="263">
        <f>IFERROR((N489/MAX(N:N)*_MOVw)+(O489/MAX(O:O)*_WINw)+(P489/MAX(P:P)*_PPGw)+(Q489/MAX(Q:Q)*_ORw)+(R489/MAX(R:R)*_DRw),"")</f>
        <v/>
      </c>
      <c r="N489" s="156">
        <f>IFERROR(VLOOKUP(H489,Matrix!A:AC,12,0)-VLOOKUP(J489,Matrix!A:AC,12,0),"")</f>
        <v/>
      </c>
      <c r="O489" s="182">
        <f>IFERROR(AVERAGEIFS(2025Schedule!O:O,2025Schedule!E:E,H489,2025Schedule!N:N,A489)-AVERAGEIFS(2025Schedule!O:O,2025Schedule!E:E,J489,2025Schedule!N:N,B489),0)</f>
        <v/>
      </c>
      <c r="P489" s="156">
        <f>IFERROR(VLOOKUP(H489,Matrix!A:D,2,0)-VLOOKUP(J489,Matrix!A:D,2,0),"")</f>
        <v/>
      </c>
      <c r="Q489" s="156">
        <f>IFERROR(VLOOKUP(H489,Matrix!A:AC,15,0)-VLOOKUP(J489,Matrix!A:AC,15,0),"")</f>
        <v/>
      </c>
      <c r="R489" s="156">
        <f>IFERROR(VLOOKUP(H489,Matrix!A:AC,16,0)-VLOOKUP(J489,Matrix!A:AC,16,0),"")</f>
        <v/>
      </c>
      <c r="S489" s="195">
        <f>H489</f>
        <v/>
      </c>
      <c r="T489" s="195">
        <f>IFERROR(VLOOKUP(G489&amp;H489,2025Schedule!A:F,6,0),"")</f>
        <v/>
      </c>
      <c r="U489" s="264">
        <f>J489</f>
        <v/>
      </c>
      <c r="V489" s="195">
        <f>IFERROR(VLOOKUP(G489&amp;J489,2025Schedule!A:F,6,0),"")</f>
        <v/>
      </c>
    </row>
    <row r="490" ht="14.4" customHeight="1" s="152">
      <c r="A490" s="241">
        <f>H490&amp;I490</f>
        <v/>
      </c>
      <c r="B490" s="241">
        <f>J490&amp;C490</f>
        <v/>
      </c>
      <c r="C490" s="241">
        <f>IFERROR(IF(I490="Home","Away",IF(I490="Away","Home","")),"")</f>
        <v/>
      </c>
      <c r="D490" s="242">
        <f>H490</f>
        <v/>
      </c>
      <c r="E490" s="157">
        <f>IFERROR(IF(AND(F490&gt;0,T490&gt;V490),"Yes",IF(AND(F490&gt;0,T490&lt;V490),"No",IF(AND(F490&lt;0,T490&lt;V490),"Yes",IF(AND(F490&lt;0,T490&gt;V490),"No",0)))),"")</f>
        <v/>
      </c>
      <c r="F490" s="263">
        <f>IFERROR((N490/MAX(N:N)*_MOVw)+(O490/MAX(O:O)*_WINw)+(P490/MAX(P:P)*_PPGw)+(Q490/MAX(Q:Q)*_ORw)+(R490/MAX(R:R)*_DRw),"")</f>
        <v/>
      </c>
      <c r="N490" s="156">
        <f>IFERROR(VLOOKUP(H490,Matrix!A:AC,12,0)-VLOOKUP(J490,Matrix!A:AC,12,0),"")</f>
        <v/>
      </c>
      <c r="O490" s="182">
        <f>IFERROR(AVERAGEIFS(2025Schedule!O:O,2025Schedule!E:E,H490,2025Schedule!N:N,A490)-AVERAGEIFS(2025Schedule!O:O,2025Schedule!E:E,J490,2025Schedule!N:N,B490),0)</f>
        <v/>
      </c>
      <c r="P490" s="156">
        <f>IFERROR(VLOOKUP(H490,Matrix!A:D,2,0)-VLOOKUP(J490,Matrix!A:D,2,0),"")</f>
        <v/>
      </c>
      <c r="Q490" s="156">
        <f>IFERROR(VLOOKUP(H490,Matrix!A:AC,15,0)-VLOOKUP(J490,Matrix!A:AC,15,0),"")</f>
        <v/>
      </c>
      <c r="R490" s="156">
        <f>IFERROR(VLOOKUP(H490,Matrix!A:AC,16,0)-VLOOKUP(J490,Matrix!A:AC,16,0),"")</f>
        <v/>
      </c>
      <c r="S490" s="195">
        <f>H490</f>
        <v/>
      </c>
      <c r="T490" s="195">
        <f>IFERROR(VLOOKUP(G490&amp;H490,2025Schedule!A:F,6,0),"")</f>
        <v/>
      </c>
      <c r="U490" s="264">
        <f>J490</f>
        <v/>
      </c>
      <c r="V490" s="195">
        <f>IFERROR(VLOOKUP(G490&amp;J490,2025Schedule!A:F,6,0),"")</f>
        <v/>
      </c>
    </row>
    <row r="491" ht="14.4" customHeight="1" s="152">
      <c r="A491" s="241">
        <f>H491&amp;I491</f>
        <v/>
      </c>
      <c r="B491" s="241">
        <f>J491&amp;C491</f>
        <v/>
      </c>
      <c r="C491" s="241">
        <f>IFERROR(IF(I491="Home","Away",IF(I491="Away","Home","")),"")</f>
        <v/>
      </c>
      <c r="D491" s="242">
        <f>H491</f>
        <v/>
      </c>
      <c r="E491" s="157">
        <f>IFERROR(IF(AND(F491&gt;0,T491&gt;V491),"Yes",IF(AND(F491&gt;0,T491&lt;V491),"No",IF(AND(F491&lt;0,T491&lt;V491),"Yes",IF(AND(F491&lt;0,T491&gt;V491),"No",0)))),"")</f>
        <v/>
      </c>
      <c r="F491" s="263">
        <f>IFERROR((N491/MAX(N:N)*_MOVw)+(O491/MAX(O:O)*_WINw)+(P491/MAX(P:P)*_PPGw)+(Q491/MAX(Q:Q)*_ORw)+(R491/MAX(R:R)*_DRw),"")</f>
        <v/>
      </c>
      <c r="N491" s="156">
        <f>IFERROR(VLOOKUP(H491,Matrix!A:AC,12,0)-VLOOKUP(J491,Matrix!A:AC,12,0),"")</f>
        <v/>
      </c>
      <c r="O491" s="182">
        <f>IFERROR(AVERAGEIFS(2025Schedule!O:O,2025Schedule!E:E,H491,2025Schedule!N:N,A491)-AVERAGEIFS(2025Schedule!O:O,2025Schedule!E:E,J491,2025Schedule!N:N,B491),0)</f>
        <v/>
      </c>
      <c r="P491" s="156">
        <f>IFERROR(VLOOKUP(H491,Matrix!A:D,2,0)-VLOOKUP(J491,Matrix!A:D,2,0),"")</f>
        <v/>
      </c>
      <c r="Q491" s="156">
        <f>IFERROR(VLOOKUP(H491,Matrix!A:AC,15,0)-VLOOKUP(J491,Matrix!A:AC,15,0),"")</f>
        <v/>
      </c>
      <c r="R491" s="156">
        <f>IFERROR(VLOOKUP(H491,Matrix!A:AC,16,0)-VLOOKUP(J491,Matrix!A:AC,16,0),"")</f>
        <v/>
      </c>
      <c r="S491" s="195">
        <f>H491</f>
        <v/>
      </c>
      <c r="T491" s="195">
        <f>IFERROR(VLOOKUP(G491&amp;H491,2025Schedule!A:F,6,0),"")</f>
        <v/>
      </c>
      <c r="U491" s="264">
        <f>J491</f>
        <v/>
      </c>
      <c r="V491" s="195">
        <f>IFERROR(VLOOKUP(G491&amp;J491,2025Schedule!A:F,6,0),"")</f>
        <v/>
      </c>
    </row>
    <row r="492" ht="14.4" customHeight="1" s="152">
      <c r="A492" s="241">
        <f>H492&amp;I492</f>
        <v/>
      </c>
      <c r="B492" s="241">
        <f>J492&amp;C492</f>
        <v/>
      </c>
      <c r="C492" s="241">
        <f>IFERROR(IF(I492="Home","Away",IF(I492="Away","Home","")),"")</f>
        <v/>
      </c>
      <c r="D492" s="242">
        <f>H492</f>
        <v/>
      </c>
      <c r="E492" s="157">
        <f>IFERROR(IF(AND(F492&gt;0,T492&gt;V492),"Yes",IF(AND(F492&gt;0,T492&lt;V492),"No",IF(AND(F492&lt;0,T492&lt;V492),"Yes",IF(AND(F492&lt;0,T492&gt;V492),"No",0)))),"")</f>
        <v/>
      </c>
      <c r="F492" s="263">
        <f>IFERROR((N492/MAX(N:N)*_MOVw)+(O492/MAX(O:O)*_WINw)+(P492/MAX(P:P)*_PPGw)+(Q492/MAX(Q:Q)*_ORw)+(R492/MAX(R:R)*_DRw),"")</f>
        <v/>
      </c>
      <c r="N492" s="156">
        <f>IFERROR(VLOOKUP(H492,Matrix!A:AC,12,0)-VLOOKUP(J492,Matrix!A:AC,12,0),"")</f>
        <v/>
      </c>
      <c r="O492" s="182">
        <f>IFERROR(AVERAGEIFS(2025Schedule!O:O,2025Schedule!E:E,H492,2025Schedule!N:N,A492)-AVERAGEIFS(2025Schedule!O:O,2025Schedule!E:E,J492,2025Schedule!N:N,B492),0)</f>
        <v/>
      </c>
      <c r="P492" s="156">
        <f>IFERROR(VLOOKUP(H492,Matrix!A:D,2,0)-VLOOKUP(J492,Matrix!A:D,2,0),"")</f>
        <v/>
      </c>
      <c r="Q492" s="156">
        <f>IFERROR(VLOOKUP(H492,Matrix!A:AC,15,0)-VLOOKUP(J492,Matrix!A:AC,15,0),"")</f>
        <v/>
      </c>
      <c r="R492" s="156">
        <f>IFERROR(VLOOKUP(H492,Matrix!A:AC,16,0)-VLOOKUP(J492,Matrix!A:AC,16,0),"")</f>
        <v/>
      </c>
      <c r="S492" s="195">
        <f>H492</f>
        <v/>
      </c>
      <c r="T492" s="195">
        <f>IFERROR(VLOOKUP(G492&amp;H492,2025Schedule!A:F,6,0),"")</f>
        <v/>
      </c>
      <c r="U492" s="264">
        <f>J492</f>
        <v/>
      </c>
      <c r="V492" s="195">
        <f>IFERROR(VLOOKUP(G492&amp;J492,2025Schedule!A:F,6,0),"")</f>
        <v/>
      </c>
    </row>
    <row r="493" ht="14.4" customHeight="1" s="152">
      <c r="A493" s="241">
        <f>H493&amp;I493</f>
        <v/>
      </c>
      <c r="B493" s="241">
        <f>J493&amp;C493</f>
        <v/>
      </c>
      <c r="C493" s="241">
        <f>IFERROR(IF(I493="Home","Away",IF(I493="Away","Home","")),"")</f>
        <v/>
      </c>
      <c r="D493" s="242">
        <f>H493</f>
        <v/>
      </c>
      <c r="E493" s="157">
        <f>IFERROR(IF(AND(F493&gt;0,T493&gt;V493),"Yes",IF(AND(F493&gt;0,T493&lt;V493),"No",IF(AND(F493&lt;0,T493&lt;V493),"Yes",IF(AND(F493&lt;0,T493&gt;V493),"No",0)))),"")</f>
        <v/>
      </c>
      <c r="F493" s="263">
        <f>IFERROR((N493/MAX(N:N)*_MOVw)+(O493/MAX(O:O)*_WINw)+(P493/MAX(P:P)*_PPGw)+(Q493/MAX(Q:Q)*_ORw)+(R493/MAX(R:R)*_DRw),"")</f>
        <v/>
      </c>
      <c r="N493" s="156">
        <f>IFERROR(VLOOKUP(H493,Matrix!A:AC,12,0)-VLOOKUP(J493,Matrix!A:AC,12,0),"")</f>
        <v/>
      </c>
      <c r="O493" s="182">
        <f>IFERROR(AVERAGEIFS(2025Schedule!O:O,2025Schedule!E:E,H493,2025Schedule!N:N,A493)-AVERAGEIFS(2025Schedule!O:O,2025Schedule!E:E,J493,2025Schedule!N:N,B493),0)</f>
        <v/>
      </c>
      <c r="P493" s="156">
        <f>IFERROR(VLOOKUP(H493,Matrix!A:D,2,0)-VLOOKUP(J493,Matrix!A:D,2,0),"")</f>
        <v/>
      </c>
      <c r="Q493" s="156">
        <f>IFERROR(VLOOKUP(H493,Matrix!A:AC,15,0)-VLOOKUP(J493,Matrix!A:AC,15,0),"")</f>
        <v/>
      </c>
      <c r="R493" s="156">
        <f>IFERROR(VLOOKUP(H493,Matrix!A:AC,16,0)-VLOOKUP(J493,Matrix!A:AC,16,0),"")</f>
        <v/>
      </c>
      <c r="S493" s="195">
        <f>H493</f>
        <v/>
      </c>
      <c r="T493" s="195">
        <f>IFERROR(VLOOKUP(G493&amp;H493,2025Schedule!A:F,6,0),"")</f>
        <v/>
      </c>
      <c r="U493" s="264">
        <f>J493</f>
        <v/>
      </c>
      <c r="V493" s="195">
        <f>IFERROR(VLOOKUP(G493&amp;J493,2025Schedule!A:F,6,0),"")</f>
        <v/>
      </c>
    </row>
    <row r="494" ht="14.4" customHeight="1" s="152">
      <c r="A494" s="241">
        <f>H494&amp;I494</f>
        <v/>
      </c>
      <c r="B494" s="241">
        <f>J494&amp;C494</f>
        <v/>
      </c>
      <c r="C494" s="241">
        <f>IFERROR(IF(I494="Home","Away",IF(I494="Away","Home","")),"")</f>
        <v/>
      </c>
      <c r="D494" s="242">
        <f>H494</f>
        <v/>
      </c>
      <c r="E494" s="157">
        <f>IFERROR(IF(AND(F494&gt;0,T494&gt;V494),"Yes",IF(AND(F494&gt;0,T494&lt;V494),"No",IF(AND(F494&lt;0,T494&lt;V494),"Yes",IF(AND(F494&lt;0,T494&gt;V494),"No",0)))),"")</f>
        <v/>
      </c>
      <c r="F494" s="263">
        <f>IFERROR((N494/MAX(N:N)*_MOVw)+(O494/MAX(O:O)*_WINw)+(P494/MAX(P:P)*_PPGw)+(Q494/MAX(Q:Q)*_ORw)+(R494/MAX(R:R)*_DRw),"")</f>
        <v/>
      </c>
      <c r="N494" s="156">
        <f>IFERROR(VLOOKUP(H494,Matrix!A:AC,12,0)-VLOOKUP(J494,Matrix!A:AC,12,0),"")</f>
        <v/>
      </c>
      <c r="O494" s="182">
        <f>IFERROR(AVERAGEIFS(2025Schedule!O:O,2025Schedule!E:E,H494,2025Schedule!N:N,A494)-AVERAGEIFS(2025Schedule!O:O,2025Schedule!E:E,J494,2025Schedule!N:N,B494),0)</f>
        <v/>
      </c>
      <c r="P494" s="156">
        <f>IFERROR(VLOOKUP(H494,Matrix!A:D,2,0)-VLOOKUP(J494,Matrix!A:D,2,0),"")</f>
        <v/>
      </c>
      <c r="Q494" s="156">
        <f>IFERROR(VLOOKUP(H494,Matrix!A:AC,15,0)-VLOOKUP(J494,Matrix!A:AC,15,0),"")</f>
        <v/>
      </c>
      <c r="R494" s="156">
        <f>IFERROR(VLOOKUP(H494,Matrix!A:AC,16,0)-VLOOKUP(J494,Matrix!A:AC,16,0),"")</f>
        <v/>
      </c>
      <c r="S494" s="195">
        <f>H494</f>
        <v/>
      </c>
      <c r="T494" s="195">
        <f>IFERROR(VLOOKUP(G494&amp;H494,2025Schedule!A:F,6,0),"")</f>
        <v/>
      </c>
      <c r="U494" s="264">
        <f>J494</f>
        <v/>
      </c>
      <c r="V494" s="195">
        <f>IFERROR(VLOOKUP(G494&amp;J494,2025Schedule!A:F,6,0),"")</f>
        <v/>
      </c>
    </row>
    <row r="495" ht="14.4" customHeight="1" s="152">
      <c r="A495" s="241">
        <f>H495&amp;I495</f>
        <v/>
      </c>
      <c r="B495" s="241">
        <f>J495&amp;C495</f>
        <v/>
      </c>
      <c r="C495" s="241">
        <f>IFERROR(IF(I495="Home","Away",IF(I495="Away","Home","")),"")</f>
        <v/>
      </c>
      <c r="D495" s="242">
        <f>H495</f>
        <v/>
      </c>
      <c r="E495" s="157">
        <f>IFERROR(IF(AND(F495&gt;0,T495&gt;V495),"Yes",IF(AND(F495&gt;0,T495&lt;V495),"No",IF(AND(F495&lt;0,T495&lt;V495),"Yes",IF(AND(F495&lt;0,T495&gt;V495),"No",0)))),"")</f>
        <v/>
      </c>
      <c r="F495" s="263">
        <f>IFERROR((N495/MAX(N:N)*_MOVw)+(O495/MAX(O:O)*_WINw)+(P495/MAX(P:P)*_PPGw)+(Q495/MAX(Q:Q)*_ORw)+(R495/MAX(R:R)*_DRw),"")</f>
        <v/>
      </c>
      <c r="N495" s="156">
        <f>IFERROR(VLOOKUP(H495,Matrix!A:AC,12,0)-VLOOKUP(J495,Matrix!A:AC,12,0),"")</f>
        <v/>
      </c>
      <c r="O495" s="182">
        <f>IFERROR(AVERAGEIFS(2025Schedule!O:O,2025Schedule!E:E,H495,2025Schedule!N:N,A495)-AVERAGEIFS(2025Schedule!O:O,2025Schedule!E:E,J495,2025Schedule!N:N,B495),0)</f>
        <v/>
      </c>
      <c r="P495" s="156">
        <f>IFERROR(VLOOKUP(H495,Matrix!A:D,2,0)-VLOOKUP(J495,Matrix!A:D,2,0),"")</f>
        <v/>
      </c>
      <c r="Q495" s="156">
        <f>IFERROR(VLOOKUP(H495,Matrix!A:AC,15,0)-VLOOKUP(J495,Matrix!A:AC,15,0),"")</f>
        <v/>
      </c>
      <c r="R495" s="156">
        <f>IFERROR(VLOOKUP(H495,Matrix!A:AC,16,0)-VLOOKUP(J495,Matrix!A:AC,16,0),"")</f>
        <v/>
      </c>
      <c r="S495" s="195">
        <f>H495</f>
        <v/>
      </c>
      <c r="T495" s="195">
        <f>IFERROR(VLOOKUP(G495&amp;H495,2025Schedule!A:F,6,0),"")</f>
        <v/>
      </c>
      <c r="U495" s="264">
        <f>J495</f>
        <v/>
      </c>
      <c r="V495" s="195">
        <f>IFERROR(VLOOKUP(G495&amp;J495,2025Schedule!A:F,6,0),"")</f>
        <v/>
      </c>
    </row>
    <row r="496" ht="14.4" customHeight="1" s="152">
      <c r="A496" s="241">
        <f>H496&amp;I496</f>
        <v/>
      </c>
      <c r="B496" s="241">
        <f>J496&amp;C496</f>
        <v/>
      </c>
      <c r="C496" s="241">
        <f>IFERROR(IF(I496="Home","Away",IF(I496="Away","Home","")),"")</f>
        <v/>
      </c>
      <c r="D496" s="242">
        <f>H496</f>
        <v/>
      </c>
      <c r="E496" s="157">
        <f>IFERROR(IF(AND(F496&gt;0,T496&gt;V496),"Yes",IF(AND(F496&gt;0,T496&lt;V496),"No",IF(AND(F496&lt;0,T496&lt;V496),"Yes",IF(AND(F496&lt;0,T496&gt;V496),"No",0)))),"")</f>
        <v/>
      </c>
      <c r="F496" s="263">
        <f>IFERROR((N496/MAX(N:N)*_MOVw)+(O496/MAX(O:O)*_WINw)+(P496/MAX(P:P)*_PPGw)+(Q496/MAX(Q:Q)*_ORw)+(R496/MAX(R:R)*_DRw),"")</f>
        <v/>
      </c>
      <c r="N496" s="156">
        <f>IFERROR(VLOOKUP(H496,Matrix!A:AC,12,0)-VLOOKUP(J496,Matrix!A:AC,12,0),"")</f>
        <v/>
      </c>
      <c r="O496" s="182">
        <f>IFERROR(AVERAGEIFS(2025Schedule!O:O,2025Schedule!E:E,H496,2025Schedule!N:N,A496)-AVERAGEIFS(2025Schedule!O:O,2025Schedule!E:E,J496,2025Schedule!N:N,B496),0)</f>
        <v/>
      </c>
      <c r="P496" s="156">
        <f>IFERROR(VLOOKUP(H496,Matrix!A:D,2,0)-VLOOKUP(J496,Matrix!A:D,2,0),"")</f>
        <v/>
      </c>
      <c r="Q496" s="156">
        <f>IFERROR(VLOOKUP(H496,Matrix!A:AC,15,0)-VLOOKUP(J496,Matrix!A:AC,15,0),"")</f>
        <v/>
      </c>
      <c r="R496" s="156">
        <f>IFERROR(VLOOKUP(H496,Matrix!A:AC,16,0)-VLOOKUP(J496,Matrix!A:AC,16,0),"")</f>
        <v/>
      </c>
      <c r="S496" s="195">
        <f>H496</f>
        <v/>
      </c>
      <c r="T496" s="195">
        <f>IFERROR(VLOOKUP(G496&amp;H496,2025Schedule!A:F,6,0),"")</f>
        <v/>
      </c>
      <c r="U496" s="264">
        <f>J496</f>
        <v/>
      </c>
      <c r="V496" s="195">
        <f>IFERROR(VLOOKUP(G496&amp;J496,2025Schedule!A:F,6,0),"")</f>
        <v/>
      </c>
    </row>
    <row r="497" ht="14.4" customHeight="1" s="152">
      <c r="A497" s="241">
        <f>H497&amp;I497</f>
        <v/>
      </c>
      <c r="B497" s="241">
        <f>J497&amp;C497</f>
        <v/>
      </c>
      <c r="C497" s="241">
        <f>IFERROR(IF(I497="Home","Away",IF(I497="Away","Home","")),"")</f>
        <v/>
      </c>
      <c r="D497" s="242">
        <f>H497</f>
        <v/>
      </c>
      <c r="E497" s="157">
        <f>IFERROR(IF(AND(F497&gt;0,T497&gt;V497),"Yes",IF(AND(F497&gt;0,T497&lt;V497),"No",IF(AND(F497&lt;0,T497&lt;V497),"Yes",IF(AND(F497&lt;0,T497&gt;V497),"No",0)))),"")</f>
        <v/>
      </c>
      <c r="F497" s="263">
        <f>IFERROR((N497/MAX(N:N)*_MOVw)+(O497/MAX(O:O)*_WINw)+(P497/MAX(P:P)*_PPGw)+(Q497/MAX(Q:Q)*_ORw)+(R497/MAX(R:R)*_DRw),"")</f>
        <v/>
      </c>
      <c r="N497" s="156">
        <f>IFERROR(VLOOKUP(H497,Matrix!A:AC,12,0)-VLOOKUP(J497,Matrix!A:AC,12,0),"")</f>
        <v/>
      </c>
      <c r="O497" s="182">
        <f>IFERROR(AVERAGEIFS(2025Schedule!O:O,2025Schedule!E:E,H497,2025Schedule!N:N,A497)-AVERAGEIFS(2025Schedule!O:O,2025Schedule!E:E,J497,2025Schedule!N:N,B497),0)</f>
        <v/>
      </c>
      <c r="P497" s="156">
        <f>IFERROR(VLOOKUP(H497,Matrix!A:D,2,0)-VLOOKUP(J497,Matrix!A:D,2,0),"")</f>
        <v/>
      </c>
      <c r="Q497" s="156">
        <f>IFERROR(VLOOKUP(H497,Matrix!A:AC,15,0)-VLOOKUP(J497,Matrix!A:AC,15,0),"")</f>
        <v/>
      </c>
      <c r="R497" s="156">
        <f>IFERROR(VLOOKUP(H497,Matrix!A:AC,16,0)-VLOOKUP(J497,Matrix!A:AC,16,0),"")</f>
        <v/>
      </c>
      <c r="S497" s="195">
        <f>H497</f>
        <v/>
      </c>
      <c r="T497" s="195">
        <f>IFERROR(VLOOKUP(G497&amp;H497,2025Schedule!A:F,6,0),"")</f>
        <v/>
      </c>
      <c r="U497" s="264">
        <f>J497</f>
        <v/>
      </c>
      <c r="V497" s="195">
        <f>IFERROR(VLOOKUP(G497&amp;J497,2025Schedule!A:F,6,0),"")</f>
        <v/>
      </c>
    </row>
    <row r="498" ht="14.4" customHeight="1" s="152">
      <c r="A498" s="241">
        <f>H498&amp;I498</f>
        <v/>
      </c>
      <c r="B498" s="241">
        <f>J498&amp;C498</f>
        <v/>
      </c>
      <c r="C498" s="241">
        <f>IFERROR(IF(I498="Home","Away",IF(I498="Away","Home","")),"")</f>
        <v/>
      </c>
      <c r="D498" s="242">
        <f>H498</f>
        <v/>
      </c>
      <c r="E498" s="157">
        <f>IFERROR(IF(AND(F498&gt;0,T498&gt;V498),"Yes",IF(AND(F498&gt;0,T498&lt;V498),"No",IF(AND(F498&lt;0,T498&lt;V498),"Yes",IF(AND(F498&lt;0,T498&gt;V498),"No",0)))),"")</f>
        <v/>
      </c>
      <c r="F498" s="263">
        <f>IFERROR((N498/MAX(N:N)*_MOVw)+(O498/MAX(O:O)*_WINw)+(P498/MAX(P:P)*_PPGw)+(Q498/MAX(Q:Q)*_ORw)+(R498/MAX(R:R)*_DRw),"")</f>
        <v/>
      </c>
      <c r="N498" s="156">
        <f>IFERROR(VLOOKUP(H498,Matrix!A:AC,12,0)-VLOOKUP(J498,Matrix!A:AC,12,0),"")</f>
        <v/>
      </c>
      <c r="O498" s="182">
        <f>IFERROR(AVERAGEIFS(2025Schedule!O:O,2025Schedule!E:E,H498,2025Schedule!N:N,A498)-AVERAGEIFS(2025Schedule!O:O,2025Schedule!E:E,J498,2025Schedule!N:N,B498),0)</f>
        <v/>
      </c>
      <c r="P498" s="156">
        <f>IFERROR(VLOOKUP(H498,Matrix!A:D,2,0)-VLOOKUP(J498,Matrix!A:D,2,0),"")</f>
        <v/>
      </c>
      <c r="Q498" s="156">
        <f>IFERROR(VLOOKUP(H498,Matrix!A:AC,15,0)-VLOOKUP(J498,Matrix!A:AC,15,0),"")</f>
        <v/>
      </c>
      <c r="R498" s="156">
        <f>IFERROR(VLOOKUP(H498,Matrix!A:AC,16,0)-VLOOKUP(J498,Matrix!A:AC,16,0),"")</f>
        <v/>
      </c>
      <c r="S498" s="195">
        <f>H498</f>
        <v/>
      </c>
      <c r="T498" s="195">
        <f>IFERROR(VLOOKUP(G498&amp;H498,2025Schedule!A:F,6,0),"")</f>
        <v/>
      </c>
      <c r="U498" s="264">
        <f>J498</f>
        <v/>
      </c>
      <c r="V498" s="195">
        <f>IFERROR(VLOOKUP(G498&amp;J498,2025Schedule!A:F,6,0),"")</f>
        <v/>
      </c>
    </row>
    <row r="499" ht="14.4" customHeight="1" s="152">
      <c r="A499" s="241">
        <f>H499&amp;I499</f>
        <v/>
      </c>
      <c r="B499" s="241">
        <f>J499&amp;C499</f>
        <v/>
      </c>
      <c r="C499" s="241">
        <f>IFERROR(IF(I499="Home","Away",IF(I499="Away","Home","")),"")</f>
        <v/>
      </c>
      <c r="D499" s="242">
        <f>H499</f>
        <v/>
      </c>
      <c r="E499" s="157">
        <f>IFERROR(IF(AND(F499&gt;0,T499&gt;V499),"Yes",IF(AND(F499&gt;0,T499&lt;V499),"No",IF(AND(F499&lt;0,T499&lt;V499),"Yes",IF(AND(F499&lt;0,T499&gt;V499),"No",0)))),"")</f>
        <v/>
      </c>
      <c r="F499" s="263">
        <f>IFERROR((N499/MAX(N:N)*_MOVw)+(O499/MAX(O:O)*_WINw)+(P499/MAX(P:P)*_PPGw)+(Q499/MAX(Q:Q)*_ORw)+(R499/MAX(R:R)*_DRw),"")</f>
        <v/>
      </c>
      <c r="N499" s="156">
        <f>IFERROR(VLOOKUP(H499,Matrix!A:AC,12,0)-VLOOKUP(J499,Matrix!A:AC,12,0),"")</f>
        <v/>
      </c>
      <c r="O499" s="182">
        <f>IFERROR(AVERAGEIFS(2025Schedule!O:O,2025Schedule!E:E,H499,2025Schedule!N:N,A499)-AVERAGEIFS(2025Schedule!O:O,2025Schedule!E:E,J499,2025Schedule!N:N,B499),0)</f>
        <v/>
      </c>
      <c r="P499" s="156">
        <f>IFERROR(VLOOKUP(H499,Matrix!A:D,2,0)-VLOOKUP(J499,Matrix!A:D,2,0),"")</f>
        <v/>
      </c>
      <c r="Q499" s="156">
        <f>IFERROR(VLOOKUP(H499,Matrix!A:AC,15,0)-VLOOKUP(J499,Matrix!A:AC,15,0),"")</f>
        <v/>
      </c>
      <c r="R499" s="156">
        <f>IFERROR(VLOOKUP(H499,Matrix!A:AC,16,0)-VLOOKUP(J499,Matrix!A:AC,16,0),"")</f>
        <v/>
      </c>
      <c r="S499" s="195">
        <f>H499</f>
        <v/>
      </c>
      <c r="T499" s="195">
        <f>IFERROR(VLOOKUP(G499&amp;H499,2025Schedule!A:F,6,0),"")</f>
        <v/>
      </c>
      <c r="U499" s="264">
        <f>J499</f>
        <v/>
      </c>
      <c r="V499" s="195">
        <f>IFERROR(VLOOKUP(G499&amp;J499,2025Schedule!A:F,6,0),"")</f>
        <v/>
      </c>
    </row>
    <row r="500" ht="14.4" customHeight="1" s="152">
      <c r="A500" s="241">
        <f>H500&amp;I500</f>
        <v/>
      </c>
      <c r="B500" s="241">
        <f>J500&amp;C500</f>
        <v/>
      </c>
      <c r="C500" s="241">
        <f>IFERROR(IF(I500="Home","Away",IF(I500="Away","Home","")),"")</f>
        <v/>
      </c>
      <c r="D500" s="242">
        <f>H500</f>
        <v/>
      </c>
      <c r="E500" s="157">
        <f>IFERROR(IF(AND(F500&gt;0,T500&gt;V500),"Yes",IF(AND(F500&gt;0,T500&lt;V500),"No",IF(AND(F500&lt;0,T500&lt;V500),"Yes",IF(AND(F500&lt;0,T500&gt;V500),"No",0)))),"")</f>
        <v/>
      </c>
      <c r="F500" s="263">
        <f>IFERROR((N500/MAX(N:N)*_MOVw)+(O500/MAX(O:O)*_WINw)+(P500/MAX(P:P)*_PPGw)+(Q500/MAX(Q:Q)*_ORw)+(R500/MAX(R:R)*_DRw),"")</f>
        <v/>
      </c>
      <c r="N500" s="156">
        <f>IFERROR(VLOOKUP(H500,Matrix!A:AC,12,0)-VLOOKUP(J500,Matrix!A:AC,12,0),"")</f>
        <v/>
      </c>
      <c r="O500" s="182">
        <f>IFERROR(AVERAGEIFS(2025Schedule!O:O,2025Schedule!E:E,H500,2025Schedule!N:N,A500)-AVERAGEIFS(2025Schedule!O:O,2025Schedule!E:E,J500,2025Schedule!N:N,B500),0)</f>
        <v/>
      </c>
      <c r="P500" s="156">
        <f>IFERROR(VLOOKUP(H500,Matrix!A:D,2,0)-VLOOKUP(J500,Matrix!A:D,2,0),"")</f>
        <v/>
      </c>
      <c r="Q500" s="156">
        <f>IFERROR(VLOOKUP(H500,Matrix!A:AC,15,0)-VLOOKUP(J500,Matrix!A:AC,15,0),"")</f>
        <v/>
      </c>
      <c r="R500" s="156">
        <f>IFERROR(VLOOKUP(H500,Matrix!A:AC,16,0)-VLOOKUP(J500,Matrix!A:AC,16,0),"")</f>
        <v/>
      </c>
      <c r="S500" s="195">
        <f>H500</f>
        <v/>
      </c>
      <c r="T500" s="195">
        <f>IFERROR(VLOOKUP(G500&amp;H500,2025Schedule!A:F,6,0),"")</f>
        <v/>
      </c>
      <c r="U500" s="264">
        <f>J500</f>
        <v/>
      </c>
      <c r="V500" s="195">
        <f>IFERROR(VLOOKUP(G500&amp;J500,2025Schedule!A:F,6,0),"")</f>
        <v/>
      </c>
    </row>
    <row r="501" ht="14.4" customHeight="1" s="152">
      <c r="A501" s="241">
        <f>H501&amp;I501</f>
        <v/>
      </c>
      <c r="B501" s="241">
        <f>J501&amp;C501</f>
        <v/>
      </c>
      <c r="C501" s="241">
        <f>IFERROR(IF(I501="Home","Away",IF(I501="Away","Home","")),"")</f>
        <v/>
      </c>
      <c r="D501" s="242">
        <f>H501</f>
        <v/>
      </c>
      <c r="E501" s="157">
        <f>IFERROR(IF(AND(F501&gt;0,T501&gt;V501),"Yes",IF(AND(F501&gt;0,T501&lt;V501),"No",IF(AND(F501&lt;0,T501&lt;V501),"Yes",IF(AND(F501&lt;0,T501&gt;V501),"No",0)))),"")</f>
        <v/>
      </c>
      <c r="F501" s="263">
        <f>IFERROR((N501/MAX(N:N)*_MOVw)+(O501/MAX(O:O)*_WINw)+(P501/MAX(P:P)*_PPGw)+(Q501/MAX(Q:Q)*_ORw)+(R501/MAX(R:R)*_DRw),"")</f>
        <v/>
      </c>
      <c r="N501" s="156">
        <f>IFERROR(VLOOKUP(H501,Matrix!A:AC,12,0)-VLOOKUP(J501,Matrix!A:AC,12,0),"")</f>
        <v/>
      </c>
      <c r="O501" s="182">
        <f>IFERROR(AVERAGEIFS(2025Schedule!O:O,2025Schedule!E:E,H501,2025Schedule!N:N,A501)-AVERAGEIFS(2025Schedule!O:O,2025Schedule!E:E,J501,2025Schedule!N:N,B501),0)</f>
        <v/>
      </c>
      <c r="P501" s="156">
        <f>IFERROR(VLOOKUP(H501,Matrix!A:D,2,0)-VLOOKUP(J501,Matrix!A:D,2,0),"")</f>
        <v/>
      </c>
      <c r="Q501" s="156">
        <f>IFERROR(VLOOKUP(H501,Matrix!A:AC,15,0)-VLOOKUP(J501,Matrix!A:AC,15,0),"")</f>
        <v/>
      </c>
      <c r="R501" s="156">
        <f>IFERROR(VLOOKUP(H501,Matrix!A:AC,16,0)-VLOOKUP(J501,Matrix!A:AC,16,0),"")</f>
        <v/>
      </c>
      <c r="S501" s="195">
        <f>H501</f>
        <v/>
      </c>
      <c r="T501" s="195">
        <f>IFERROR(VLOOKUP(G501&amp;H501,2025Schedule!A:F,6,0),"")</f>
        <v/>
      </c>
      <c r="U501" s="264">
        <f>J501</f>
        <v/>
      </c>
      <c r="V501" s="195">
        <f>IFERROR(VLOOKUP(G501&amp;J501,2025Schedule!A:F,6,0),"")</f>
        <v/>
      </c>
    </row>
    <row r="502" ht="14.4" customHeight="1" s="152">
      <c r="A502" s="241">
        <f>H502&amp;I502</f>
        <v/>
      </c>
      <c r="B502" s="241">
        <f>J502&amp;C502</f>
        <v/>
      </c>
      <c r="C502" s="241">
        <f>IFERROR(IF(I502="Home","Away",IF(I502="Away","Home","")),"")</f>
        <v/>
      </c>
      <c r="D502" s="242">
        <f>H502</f>
        <v/>
      </c>
      <c r="E502" s="157">
        <f>IFERROR(IF(AND(F502&gt;0,T502&gt;V502),"Yes",IF(AND(F502&gt;0,T502&lt;V502),"No",IF(AND(F502&lt;0,T502&lt;V502),"Yes",IF(AND(F502&lt;0,T502&gt;V502),"No",0)))),"")</f>
        <v/>
      </c>
      <c r="F502" s="263">
        <f>IFERROR((N502/MAX(N:N)*_MOVw)+(O502/MAX(O:O)*_WINw)+(P502/MAX(P:P)*_PPGw)+(Q502/MAX(Q:Q)*_ORw)+(R502/MAX(R:R)*_DRw),"")</f>
        <v/>
      </c>
      <c r="N502" s="156">
        <f>IFERROR(VLOOKUP(H502,Matrix!A:AC,12,0)-VLOOKUP(J502,Matrix!A:AC,12,0),"")</f>
        <v/>
      </c>
      <c r="O502" s="182">
        <f>IFERROR(AVERAGEIFS(2025Schedule!O:O,2025Schedule!E:E,H502,2025Schedule!N:N,A502)-AVERAGEIFS(2025Schedule!O:O,2025Schedule!E:E,J502,2025Schedule!N:N,B502),0)</f>
        <v/>
      </c>
      <c r="P502" s="156">
        <f>IFERROR(VLOOKUP(H502,Matrix!A:D,2,0)-VLOOKUP(J502,Matrix!A:D,2,0),"")</f>
        <v/>
      </c>
      <c r="Q502" s="156">
        <f>IFERROR(VLOOKUP(H502,Matrix!A:AC,15,0)-VLOOKUP(J502,Matrix!A:AC,15,0),"")</f>
        <v/>
      </c>
      <c r="R502" s="156">
        <f>IFERROR(VLOOKUP(H502,Matrix!A:AC,16,0)-VLOOKUP(J502,Matrix!A:AC,16,0),"")</f>
        <v/>
      </c>
      <c r="S502" s="195">
        <f>H502</f>
        <v/>
      </c>
      <c r="T502" s="195">
        <f>IFERROR(VLOOKUP(G502&amp;H502,2025Schedule!A:F,6,0),"")</f>
        <v/>
      </c>
      <c r="U502" s="264">
        <f>J502</f>
        <v/>
      </c>
      <c r="V502" s="195">
        <f>IFERROR(VLOOKUP(G502&amp;J502,2025Schedule!A:F,6,0),"")</f>
        <v/>
      </c>
    </row>
    <row r="503" ht="14.4" customHeight="1" s="152">
      <c r="A503" s="241">
        <f>H503&amp;I503</f>
        <v/>
      </c>
      <c r="B503" s="241">
        <f>J503&amp;C503</f>
        <v/>
      </c>
      <c r="C503" s="241">
        <f>IFERROR(IF(I503="Home","Away",IF(I503="Away","Home","")),"")</f>
        <v/>
      </c>
      <c r="D503" s="242">
        <f>H503</f>
        <v/>
      </c>
      <c r="E503" s="157">
        <f>IFERROR(IF(AND(F503&gt;0,T503&gt;V503),"Yes",IF(AND(F503&gt;0,T503&lt;V503),"No",IF(AND(F503&lt;0,T503&lt;V503),"Yes",IF(AND(F503&lt;0,T503&gt;V503),"No",0)))),"")</f>
        <v/>
      </c>
      <c r="F503" s="263">
        <f>IFERROR((N503/MAX(N:N)*_MOVw)+(O503/MAX(O:O)*_WINw)+(P503/MAX(P:P)*_PPGw)+(Q503/MAX(Q:Q)*_ORw)+(R503/MAX(R:R)*_DRw),"")</f>
        <v/>
      </c>
      <c r="N503" s="156">
        <f>IFERROR(VLOOKUP(H503,Matrix!A:AC,12,0)-VLOOKUP(J503,Matrix!A:AC,12,0),"")</f>
        <v/>
      </c>
      <c r="O503" s="182">
        <f>IFERROR(AVERAGEIFS(2025Schedule!O:O,2025Schedule!E:E,H503,2025Schedule!N:N,A503)-AVERAGEIFS(2025Schedule!O:O,2025Schedule!E:E,J503,2025Schedule!N:N,B503),0)</f>
        <v/>
      </c>
      <c r="P503" s="156">
        <f>IFERROR(VLOOKUP(H503,Matrix!A:D,2,0)-VLOOKUP(J503,Matrix!A:D,2,0),"")</f>
        <v/>
      </c>
      <c r="Q503" s="156">
        <f>IFERROR(VLOOKUP(H503,Matrix!A:AC,15,0)-VLOOKUP(J503,Matrix!A:AC,15,0),"")</f>
        <v/>
      </c>
      <c r="R503" s="156">
        <f>IFERROR(VLOOKUP(H503,Matrix!A:AC,16,0)-VLOOKUP(J503,Matrix!A:AC,16,0),"")</f>
        <v/>
      </c>
      <c r="S503" s="195">
        <f>H503</f>
        <v/>
      </c>
      <c r="T503" s="195">
        <f>IFERROR(VLOOKUP(G503&amp;H503,2025Schedule!A:F,6,0),"")</f>
        <v/>
      </c>
      <c r="U503" s="264">
        <f>J503</f>
        <v/>
      </c>
      <c r="V503" s="195">
        <f>IFERROR(VLOOKUP(G503&amp;J503,2025Schedule!A:F,6,0),"")</f>
        <v/>
      </c>
    </row>
    <row r="504" ht="14.4" customHeight="1" s="152">
      <c r="A504" s="241">
        <f>H504&amp;I504</f>
        <v/>
      </c>
      <c r="B504" s="241">
        <f>J504&amp;C504</f>
        <v/>
      </c>
      <c r="C504" s="241">
        <f>IFERROR(IF(I504="Home","Away",IF(I504="Away","Home","")),"")</f>
        <v/>
      </c>
      <c r="D504" s="242">
        <f>H504</f>
        <v/>
      </c>
      <c r="E504" s="157">
        <f>IFERROR(IF(AND(F504&gt;0,T504&gt;V504),"Yes",IF(AND(F504&gt;0,T504&lt;V504),"No",IF(AND(F504&lt;0,T504&lt;V504),"Yes",IF(AND(F504&lt;0,T504&gt;V504),"No",0)))),"")</f>
        <v/>
      </c>
      <c r="F504" s="263">
        <f>IFERROR((N504/MAX(N:N)*_MOVw)+(O504/MAX(O:O)*_WINw)+(P504/MAX(P:P)*_PPGw)+(Q504/MAX(Q:Q)*_ORw)+(R504/MAX(R:R)*_DRw),"")</f>
        <v/>
      </c>
      <c r="N504" s="156">
        <f>IFERROR(VLOOKUP(H504,Matrix!A:AC,12,0)-VLOOKUP(J504,Matrix!A:AC,12,0),"")</f>
        <v/>
      </c>
      <c r="O504" s="182">
        <f>IFERROR(AVERAGEIFS(2025Schedule!O:O,2025Schedule!E:E,H504,2025Schedule!N:N,A504)-AVERAGEIFS(2025Schedule!O:O,2025Schedule!E:E,J504,2025Schedule!N:N,B504),0)</f>
        <v/>
      </c>
      <c r="P504" s="156">
        <f>IFERROR(VLOOKUP(H504,Matrix!A:D,2,0)-VLOOKUP(J504,Matrix!A:D,2,0),"")</f>
        <v/>
      </c>
      <c r="Q504" s="156">
        <f>IFERROR(VLOOKUP(H504,Matrix!A:AC,15,0)-VLOOKUP(J504,Matrix!A:AC,15,0),"")</f>
        <v/>
      </c>
      <c r="R504" s="156">
        <f>IFERROR(VLOOKUP(H504,Matrix!A:AC,16,0)-VLOOKUP(J504,Matrix!A:AC,16,0),"")</f>
        <v/>
      </c>
      <c r="S504" s="195">
        <f>H504</f>
        <v/>
      </c>
      <c r="T504" s="195">
        <f>IFERROR(VLOOKUP(G504&amp;H504,2025Schedule!A:F,6,0),"")</f>
        <v/>
      </c>
      <c r="U504" s="264">
        <f>J504</f>
        <v/>
      </c>
      <c r="V504" s="195">
        <f>IFERROR(VLOOKUP(G504&amp;J504,2025Schedule!A:F,6,0),"")</f>
        <v/>
      </c>
    </row>
    <row r="505" ht="14.4" customHeight="1" s="152">
      <c r="A505" s="241">
        <f>H505&amp;I505</f>
        <v/>
      </c>
      <c r="B505" s="241">
        <f>J505&amp;C505</f>
        <v/>
      </c>
      <c r="C505" s="241">
        <f>IFERROR(IF(I505="Home","Away",IF(I505="Away","Home","")),"")</f>
        <v/>
      </c>
      <c r="D505" s="242">
        <f>H505</f>
        <v/>
      </c>
      <c r="E505" s="157">
        <f>IFERROR(IF(AND(F505&gt;0,T505&gt;V505),"Yes",IF(AND(F505&gt;0,T505&lt;V505),"No",IF(AND(F505&lt;0,T505&lt;V505),"Yes",IF(AND(F505&lt;0,T505&gt;V505),"No",0)))),"")</f>
        <v/>
      </c>
      <c r="F505" s="263">
        <f>IFERROR((N505/MAX(N:N)*_MOVw)+(O505/MAX(O:O)*_WINw)+(P505/MAX(P:P)*_PPGw)+(Q505/MAX(Q:Q)*_ORw)+(R505/MAX(R:R)*_DRw),"")</f>
        <v/>
      </c>
      <c r="N505" s="156">
        <f>IFERROR(VLOOKUP(H505,Matrix!A:AC,12,0)-VLOOKUP(J505,Matrix!A:AC,12,0),"")</f>
        <v/>
      </c>
      <c r="O505" s="182">
        <f>IFERROR(AVERAGEIFS(2025Schedule!O:O,2025Schedule!E:E,H505,2025Schedule!N:N,A505)-AVERAGEIFS(2025Schedule!O:O,2025Schedule!E:E,J505,2025Schedule!N:N,B505),0)</f>
        <v/>
      </c>
      <c r="P505" s="156">
        <f>IFERROR(VLOOKUP(H505,Matrix!A:D,2,0)-VLOOKUP(J505,Matrix!A:D,2,0),"")</f>
        <v/>
      </c>
      <c r="Q505" s="156">
        <f>IFERROR(VLOOKUP(H505,Matrix!A:AC,15,0)-VLOOKUP(J505,Matrix!A:AC,15,0),"")</f>
        <v/>
      </c>
      <c r="R505" s="156">
        <f>IFERROR(VLOOKUP(H505,Matrix!A:AC,16,0)-VLOOKUP(J505,Matrix!A:AC,16,0),"")</f>
        <v/>
      </c>
      <c r="S505" s="195">
        <f>H505</f>
        <v/>
      </c>
      <c r="T505" s="195">
        <f>IFERROR(VLOOKUP(G505&amp;H505,2025Schedule!A:F,6,0),"")</f>
        <v/>
      </c>
      <c r="U505" s="264">
        <f>J505</f>
        <v/>
      </c>
      <c r="V505" s="195">
        <f>IFERROR(VLOOKUP(G505&amp;J505,2025Schedule!A:F,6,0),"")</f>
        <v/>
      </c>
    </row>
    <row r="506" ht="14.4" customHeight="1" s="152">
      <c r="A506" s="241">
        <f>H506&amp;I506</f>
        <v/>
      </c>
      <c r="B506" s="241">
        <f>J506&amp;C506</f>
        <v/>
      </c>
      <c r="C506" s="241">
        <f>IFERROR(IF(I506="Home","Away",IF(I506="Away","Home","")),"")</f>
        <v/>
      </c>
      <c r="D506" s="242">
        <f>H506</f>
        <v/>
      </c>
      <c r="E506" s="157">
        <f>IFERROR(IF(AND(F506&gt;0,T506&gt;V506),"Yes",IF(AND(F506&gt;0,T506&lt;V506),"No",IF(AND(F506&lt;0,T506&lt;V506),"Yes",IF(AND(F506&lt;0,T506&gt;V506),"No",0)))),"")</f>
        <v/>
      </c>
      <c r="F506" s="263">
        <f>IFERROR((N506/MAX(N:N)*_MOVw)+(O506/MAX(O:O)*_WINw)+(P506/MAX(P:P)*_PPGw)+(Q506/MAX(Q:Q)*_ORw)+(R506/MAX(R:R)*_DRw),"")</f>
        <v/>
      </c>
      <c r="N506" s="156">
        <f>IFERROR(VLOOKUP(H506,Matrix!A:AC,12,0)-VLOOKUP(J506,Matrix!A:AC,12,0),"")</f>
        <v/>
      </c>
      <c r="O506" s="182">
        <f>IFERROR(AVERAGEIFS(2025Schedule!O:O,2025Schedule!E:E,H506,2025Schedule!N:N,A506)-AVERAGEIFS(2025Schedule!O:O,2025Schedule!E:E,J506,2025Schedule!N:N,B506),0)</f>
        <v/>
      </c>
      <c r="P506" s="156">
        <f>IFERROR(VLOOKUP(H506,Matrix!A:D,2,0)-VLOOKUP(J506,Matrix!A:D,2,0),"")</f>
        <v/>
      </c>
      <c r="Q506" s="156">
        <f>IFERROR(VLOOKUP(H506,Matrix!A:AC,15,0)-VLOOKUP(J506,Matrix!A:AC,15,0),"")</f>
        <v/>
      </c>
      <c r="R506" s="156">
        <f>IFERROR(VLOOKUP(H506,Matrix!A:AC,16,0)-VLOOKUP(J506,Matrix!A:AC,16,0),"")</f>
        <v/>
      </c>
      <c r="S506" s="195">
        <f>H506</f>
        <v/>
      </c>
      <c r="T506" s="195">
        <f>IFERROR(VLOOKUP(G506&amp;H506,2025Schedule!A:F,6,0),"")</f>
        <v/>
      </c>
      <c r="U506" s="264">
        <f>J506</f>
        <v/>
      </c>
      <c r="V506" s="195">
        <f>IFERROR(VLOOKUP(G506&amp;J506,2025Schedule!A:F,6,0),"")</f>
        <v/>
      </c>
    </row>
    <row r="507" ht="14.4" customHeight="1" s="152">
      <c r="A507" s="241">
        <f>H507&amp;I507</f>
        <v/>
      </c>
      <c r="B507" s="241">
        <f>J507&amp;C507</f>
        <v/>
      </c>
      <c r="C507" s="241">
        <f>IFERROR(IF(I507="Home","Away",IF(I507="Away","Home","")),"")</f>
        <v/>
      </c>
      <c r="D507" s="242">
        <f>H507</f>
        <v/>
      </c>
      <c r="E507" s="157">
        <f>IFERROR(IF(AND(F507&gt;0,T507&gt;V507),"Yes",IF(AND(F507&gt;0,T507&lt;V507),"No",IF(AND(F507&lt;0,T507&lt;V507),"Yes",IF(AND(F507&lt;0,T507&gt;V507),"No",0)))),"")</f>
        <v/>
      </c>
      <c r="F507" s="263">
        <f>IFERROR((N507/MAX(N:N)*_MOVw)+(O507/MAX(O:O)*_WINw)+(P507/MAX(P:P)*_PPGw)+(Q507/MAX(Q:Q)*_ORw)+(R507/MAX(R:R)*_DRw),"")</f>
        <v/>
      </c>
      <c r="N507" s="156">
        <f>IFERROR(VLOOKUP(H507,Matrix!A:AC,12,0)-VLOOKUP(J507,Matrix!A:AC,12,0),"")</f>
        <v/>
      </c>
      <c r="O507" s="182">
        <f>IFERROR(AVERAGEIFS(2025Schedule!O:O,2025Schedule!E:E,H507,2025Schedule!N:N,A507)-AVERAGEIFS(2025Schedule!O:O,2025Schedule!E:E,J507,2025Schedule!N:N,B507),0)</f>
        <v/>
      </c>
      <c r="P507" s="156">
        <f>IFERROR(VLOOKUP(H507,Matrix!A:D,2,0)-VLOOKUP(J507,Matrix!A:D,2,0),"")</f>
        <v/>
      </c>
      <c r="Q507" s="156">
        <f>IFERROR(VLOOKUP(H507,Matrix!A:AC,15,0)-VLOOKUP(J507,Matrix!A:AC,15,0),"")</f>
        <v/>
      </c>
      <c r="R507" s="156">
        <f>IFERROR(VLOOKUP(H507,Matrix!A:AC,16,0)-VLOOKUP(J507,Matrix!A:AC,16,0),"")</f>
        <v/>
      </c>
      <c r="S507" s="195">
        <f>H507</f>
        <v/>
      </c>
      <c r="T507" s="195">
        <f>IFERROR(VLOOKUP(G507&amp;H507,2025Schedule!A:F,6,0),"")</f>
        <v/>
      </c>
      <c r="U507" s="264">
        <f>J507</f>
        <v/>
      </c>
      <c r="V507" s="195">
        <f>IFERROR(VLOOKUP(G507&amp;J507,2025Schedule!A:F,6,0),"")</f>
        <v/>
      </c>
    </row>
    <row r="508" ht="14.4" customHeight="1" s="152">
      <c r="A508" s="241">
        <f>H508&amp;I508</f>
        <v/>
      </c>
      <c r="B508" s="241">
        <f>J508&amp;C508</f>
        <v/>
      </c>
      <c r="C508" s="241">
        <f>IFERROR(IF(I508="Home","Away",IF(I508="Away","Home","")),"")</f>
        <v/>
      </c>
      <c r="D508" s="242">
        <f>H508</f>
        <v/>
      </c>
      <c r="E508" s="157">
        <f>IFERROR(IF(AND(F508&gt;0,T508&gt;V508),"Yes",IF(AND(F508&gt;0,T508&lt;V508),"No",IF(AND(F508&lt;0,T508&lt;V508),"Yes",IF(AND(F508&lt;0,T508&gt;V508),"No",0)))),"")</f>
        <v/>
      </c>
      <c r="F508" s="263">
        <f>IFERROR((N508/MAX(N:N)*_MOVw)+(O508/MAX(O:O)*_WINw)+(P508/MAX(P:P)*_PPGw)+(Q508/MAX(Q:Q)*_ORw)+(R508/MAX(R:R)*_DRw),"")</f>
        <v/>
      </c>
      <c r="N508" s="156">
        <f>IFERROR(VLOOKUP(H508,Matrix!A:AC,12,0)-VLOOKUP(J508,Matrix!A:AC,12,0),"")</f>
        <v/>
      </c>
      <c r="O508" s="182">
        <f>IFERROR(AVERAGEIFS(2025Schedule!O:O,2025Schedule!E:E,H508,2025Schedule!N:N,A508)-AVERAGEIFS(2025Schedule!O:O,2025Schedule!E:E,J508,2025Schedule!N:N,B508),0)</f>
        <v/>
      </c>
      <c r="P508" s="156">
        <f>IFERROR(VLOOKUP(H508,Matrix!A:D,2,0)-VLOOKUP(J508,Matrix!A:D,2,0),"")</f>
        <v/>
      </c>
      <c r="Q508" s="156">
        <f>IFERROR(VLOOKUP(H508,Matrix!A:AC,15,0)-VLOOKUP(J508,Matrix!A:AC,15,0),"")</f>
        <v/>
      </c>
      <c r="R508" s="156">
        <f>IFERROR(VLOOKUP(H508,Matrix!A:AC,16,0)-VLOOKUP(J508,Matrix!A:AC,16,0),"")</f>
        <v/>
      </c>
      <c r="S508" s="195">
        <f>H508</f>
        <v/>
      </c>
      <c r="T508" s="195">
        <f>IFERROR(VLOOKUP(G508&amp;H508,2025Schedule!A:F,6,0),"")</f>
        <v/>
      </c>
      <c r="U508" s="264">
        <f>J508</f>
        <v/>
      </c>
      <c r="V508" s="195">
        <f>IFERROR(VLOOKUP(G508&amp;J508,2025Schedule!A:F,6,0),"")</f>
        <v/>
      </c>
    </row>
    <row r="509" ht="14.4" customHeight="1" s="152">
      <c r="A509" s="241">
        <f>H509&amp;I509</f>
        <v/>
      </c>
      <c r="B509" s="241">
        <f>J509&amp;C509</f>
        <v/>
      </c>
      <c r="C509" s="241">
        <f>IFERROR(IF(I509="Home","Away",IF(I509="Away","Home","")),"")</f>
        <v/>
      </c>
      <c r="D509" s="242">
        <f>H509</f>
        <v/>
      </c>
      <c r="E509" s="157">
        <f>IFERROR(IF(AND(F509&gt;0,T509&gt;V509),"Yes",IF(AND(F509&gt;0,T509&lt;V509),"No",IF(AND(F509&lt;0,T509&lt;V509),"Yes",IF(AND(F509&lt;0,T509&gt;V509),"No",0)))),"")</f>
        <v/>
      </c>
      <c r="F509" s="263">
        <f>IFERROR((N509/MAX(N:N)*_MOVw)+(O509/MAX(O:O)*_WINw)+(P509/MAX(P:P)*_PPGw)+(Q509/MAX(Q:Q)*_ORw)+(R509/MAX(R:R)*_DRw),"")</f>
        <v/>
      </c>
      <c r="N509" s="156">
        <f>IFERROR(VLOOKUP(H509,Matrix!A:AC,12,0)-VLOOKUP(J509,Matrix!A:AC,12,0),"")</f>
        <v/>
      </c>
      <c r="O509" s="182">
        <f>IFERROR(AVERAGEIFS(2025Schedule!O:O,2025Schedule!E:E,H509,2025Schedule!N:N,A509)-AVERAGEIFS(2025Schedule!O:O,2025Schedule!E:E,J509,2025Schedule!N:N,B509),0)</f>
        <v/>
      </c>
      <c r="P509" s="156">
        <f>IFERROR(VLOOKUP(H509,Matrix!A:D,2,0)-VLOOKUP(J509,Matrix!A:D,2,0),"")</f>
        <v/>
      </c>
      <c r="Q509" s="156">
        <f>IFERROR(VLOOKUP(H509,Matrix!A:AC,15,0)-VLOOKUP(J509,Matrix!A:AC,15,0),"")</f>
        <v/>
      </c>
      <c r="R509" s="156">
        <f>IFERROR(VLOOKUP(H509,Matrix!A:AC,16,0)-VLOOKUP(J509,Matrix!A:AC,16,0),"")</f>
        <v/>
      </c>
      <c r="S509" s="195">
        <f>H509</f>
        <v/>
      </c>
      <c r="T509" s="195">
        <f>IFERROR(VLOOKUP(G509&amp;H509,2025Schedule!A:F,6,0),"")</f>
        <v/>
      </c>
      <c r="U509" s="264">
        <f>J509</f>
        <v/>
      </c>
      <c r="V509" s="195">
        <f>IFERROR(VLOOKUP(G509&amp;J509,2025Schedule!A:F,6,0),"")</f>
        <v/>
      </c>
    </row>
    <row r="510" ht="14.4" customHeight="1" s="152">
      <c r="A510" s="241">
        <f>H510&amp;I510</f>
        <v/>
      </c>
      <c r="B510" s="241">
        <f>J510&amp;C510</f>
        <v/>
      </c>
      <c r="C510" s="241">
        <f>IFERROR(IF(I510="Home","Away",IF(I510="Away","Home","")),"")</f>
        <v/>
      </c>
      <c r="D510" s="242">
        <f>H510</f>
        <v/>
      </c>
      <c r="E510" s="157">
        <f>IFERROR(IF(AND(F510&gt;0,T510&gt;V510),"Yes",IF(AND(F510&gt;0,T510&lt;V510),"No",IF(AND(F510&lt;0,T510&lt;V510),"Yes",IF(AND(F510&lt;0,T510&gt;V510),"No",0)))),"")</f>
        <v/>
      </c>
      <c r="F510" s="263">
        <f>IFERROR((N510/MAX(N:N)*_MOVw)+(O510/MAX(O:O)*_WINw)+(P510/MAX(P:P)*_PPGw)+(Q510/MAX(Q:Q)*_ORw)+(R510/MAX(R:R)*_DRw),"")</f>
        <v/>
      </c>
      <c r="N510" s="156">
        <f>IFERROR(VLOOKUP(H510,Matrix!A:AC,12,0)-VLOOKUP(J510,Matrix!A:AC,12,0),"")</f>
        <v/>
      </c>
      <c r="O510" s="182">
        <f>IFERROR(AVERAGEIFS(2025Schedule!O:O,2025Schedule!E:E,H510,2025Schedule!N:N,A510)-AVERAGEIFS(2025Schedule!O:O,2025Schedule!E:E,J510,2025Schedule!N:N,B510),0)</f>
        <v/>
      </c>
      <c r="P510" s="156">
        <f>IFERROR(VLOOKUP(H510,Matrix!A:D,2,0)-VLOOKUP(J510,Matrix!A:D,2,0),"")</f>
        <v/>
      </c>
      <c r="Q510" s="156">
        <f>IFERROR(VLOOKUP(H510,Matrix!A:AC,15,0)-VLOOKUP(J510,Matrix!A:AC,15,0),"")</f>
        <v/>
      </c>
      <c r="R510" s="156">
        <f>IFERROR(VLOOKUP(H510,Matrix!A:AC,16,0)-VLOOKUP(J510,Matrix!A:AC,16,0),"")</f>
        <v/>
      </c>
      <c r="S510" s="195">
        <f>H510</f>
        <v/>
      </c>
      <c r="T510" s="195">
        <f>IFERROR(VLOOKUP(G510&amp;H510,2025Schedule!A:F,6,0),"")</f>
        <v/>
      </c>
      <c r="U510" s="264">
        <f>J510</f>
        <v/>
      </c>
      <c r="V510" s="195">
        <f>IFERROR(VLOOKUP(G510&amp;J510,2025Schedule!A:F,6,0),"")</f>
        <v/>
      </c>
    </row>
    <row r="511" ht="14.4" customHeight="1" s="152">
      <c r="A511" s="241">
        <f>H511&amp;I511</f>
        <v/>
      </c>
      <c r="B511" s="241">
        <f>J511&amp;C511</f>
        <v/>
      </c>
      <c r="C511" s="241">
        <f>IFERROR(IF(I511="Home","Away",IF(I511="Away","Home","")),"")</f>
        <v/>
      </c>
      <c r="D511" s="242">
        <f>H511</f>
        <v/>
      </c>
      <c r="E511" s="157">
        <f>IFERROR(IF(AND(F511&gt;0,T511&gt;V511),"Yes",IF(AND(F511&gt;0,T511&lt;V511),"No",IF(AND(F511&lt;0,T511&lt;V511),"Yes",IF(AND(F511&lt;0,T511&gt;V511),"No",0)))),"")</f>
        <v/>
      </c>
      <c r="F511" s="263">
        <f>IFERROR((N511/MAX(N:N)*_MOVw)+(O511/MAX(O:O)*_WINw)+(P511/MAX(P:P)*_PPGw)+(Q511/MAX(Q:Q)*_ORw)+(R511/MAX(R:R)*_DRw),"")</f>
        <v/>
      </c>
      <c r="N511" s="156">
        <f>IFERROR(VLOOKUP(H511,Matrix!A:AC,12,0)-VLOOKUP(J511,Matrix!A:AC,12,0),"")</f>
        <v/>
      </c>
      <c r="O511" s="182">
        <f>IFERROR(AVERAGEIFS(2025Schedule!O:O,2025Schedule!E:E,H511,2025Schedule!N:N,A511)-AVERAGEIFS(2025Schedule!O:O,2025Schedule!E:E,J511,2025Schedule!N:N,B511),0)</f>
        <v/>
      </c>
      <c r="P511" s="156">
        <f>IFERROR(VLOOKUP(H511,Matrix!A:D,2,0)-VLOOKUP(J511,Matrix!A:D,2,0),"")</f>
        <v/>
      </c>
      <c r="Q511" s="156">
        <f>IFERROR(VLOOKUP(H511,Matrix!A:AC,15,0)-VLOOKUP(J511,Matrix!A:AC,15,0),"")</f>
        <v/>
      </c>
      <c r="R511" s="156">
        <f>IFERROR(VLOOKUP(H511,Matrix!A:AC,16,0)-VLOOKUP(J511,Matrix!A:AC,16,0),"")</f>
        <v/>
      </c>
      <c r="S511" s="195">
        <f>H511</f>
        <v/>
      </c>
      <c r="T511" s="195">
        <f>IFERROR(VLOOKUP(G511&amp;H511,2025Schedule!A:F,6,0),"")</f>
        <v/>
      </c>
      <c r="U511" s="264">
        <f>J511</f>
        <v/>
      </c>
      <c r="V511" s="195">
        <f>IFERROR(VLOOKUP(G511&amp;J511,2025Schedule!A:F,6,0),"")</f>
        <v/>
      </c>
    </row>
    <row r="512" ht="14.4" customHeight="1" s="152">
      <c r="A512" s="241">
        <f>H512&amp;I512</f>
        <v/>
      </c>
      <c r="B512" s="241">
        <f>J512&amp;C512</f>
        <v/>
      </c>
      <c r="C512" s="241">
        <f>IFERROR(IF(I512="Home","Away",IF(I512="Away","Home","")),"")</f>
        <v/>
      </c>
      <c r="D512" s="242">
        <f>H512</f>
        <v/>
      </c>
      <c r="E512" s="157">
        <f>IFERROR(IF(AND(F512&gt;0,T512&gt;V512),"Yes",IF(AND(F512&gt;0,T512&lt;V512),"No",IF(AND(F512&lt;0,T512&lt;V512),"Yes",IF(AND(F512&lt;0,T512&gt;V512),"No",0)))),"")</f>
        <v/>
      </c>
      <c r="F512" s="263">
        <f>IFERROR((N512/MAX(N:N)*_MOVw)+(O512/MAX(O:O)*_WINw)+(P512/MAX(P:P)*_PPGw)+(Q512/MAX(Q:Q)*_ORw)+(R512/MAX(R:R)*_DRw),"")</f>
        <v/>
      </c>
      <c r="N512" s="156">
        <f>IFERROR(VLOOKUP(H512,Matrix!A:AC,12,0)-VLOOKUP(J512,Matrix!A:AC,12,0),"")</f>
        <v/>
      </c>
      <c r="O512" s="182">
        <f>IFERROR(AVERAGEIFS(2025Schedule!O:O,2025Schedule!E:E,H512,2025Schedule!N:N,A512)-AVERAGEIFS(2025Schedule!O:O,2025Schedule!E:E,J512,2025Schedule!N:N,B512),0)</f>
        <v/>
      </c>
      <c r="P512" s="156">
        <f>IFERROR(VLOOKUP(H512,Matrix!A:D,2,0)-VLOOKUP(J512,Matrix!A:D,2,0),"")</f>
        <v/>
      </c>
      <c r="Q512" s="156">
        <f>IFERROR(VLOOKUP(H512,Matrix!A:AC,15,0)-VLOOKUP(J512,Matrix!A:AC,15,0),"")</f>
        <v/>
      </c>
      <c r="R512" s="156">
        <f>IFERROR(VLOOKUP(H512,Matrix!A:AC,16,0)-VLOOKUP(J512,Matrix!A:AC,16,0),"")</f>
        <v/>
      </c>
      <c r="S512" s="195">
        <f>H512</f>
        <v/>
      </c>
      <c r="T512" s="195">
        <f>IFERROR(VLOOKUP(G512&amp;H512,2025Schedule!A:F,6,0),"")</f>
        <v/>
      </c>
      <c r="U512" s="264">
        <f>J512</f>
        <v/>
      </c>
      <c r="V512" s="195">
        <f>IFERROR(VLOOKUP(G512&amp;J512,2025Schedule!A:F,6,0),"")</f>
        <v/>
      </c>
    </row>
    <row r="513" ht="14.4" customHeight="1" s="152">
      <c r="A513" s="241">
        <f>H513&amp;I513</f>
        <v/>
      </c>
      <c r="B513" s="241">
        <f>J513&amp;C513</f>
        <v/>
      </c>
      <c r="C513" s="241">
        <f>IFERROR(IF(I513="Home","Away",IF(I513="Away","Home","")),"")</f>
        <v/>
      </c>
      <c r="D513" s="242">
        <f>H513</f>
        <v/>
      </c>
      <c r="E513" s="157">
        <f>IFERROR(IF(AND(F513&gt;0,T513&gt;V513),"Yes",IF(AND(F513&gt;0,T513&lt;V513),"No",IF(AND(F513&lt;0,T513&lt;V513),"Yes",IF(AND(F513&lt;0,T513&gt;V513),"No",0)))),"")</f>
        <v/>
      </c>
      <c r="F513" s="263">
        <f>IFERROR((N513/MAX(N:N)*_MOVw)+(O513/MAX(O:O)*_WINw)+(P513/MAX(P:P)*_PPGw)+(Q513/MAX(Q:Q)*_ORw)+(R513/MAX(R:R)*_DRw),"")</f>
        <v/>
      </c>
      <c r="N513" s="156">
        <f>IFERROR(VLOOKUP(H513,Matrix!A:AC,12,0)-VLOOKUP(J513,Matrix!A:AC,12,0),"")</f>
        <v/>
      </c>
      <c r="O513" s="182">
        <f>IFERROR(AVERAGEIFS(2025Schedule!O:O,2025Schedule!E:E,H513,2025Schedule!N:N,A513)-AVERAGEIFS(2025Schedule!O:O,2025Schedule!E:E,J513,2025Schedule!N:N,B513),0)</f>
        <v/>
      </c>
      <c r="P513" s="156">
        <f>IFERROR(VLOOKUP(H513,Matrix!A:D,2,0)-VLOOKUP(J513,Matrix!A:D,2,0),"")</f>
        <v/>
      </c>
      <c r="Q513" s="156">
        <f>IFERROR(VLOOKUP(H513,Matrix!A:AC,15,0)-VLOOKUP(J513,Matrix!A:AC,15,0),"")</f>
        <v/>
      </c>
      <c r="R513" s="156">
        <f>IFERROR(VLOOKUP(H513,Matrix!A:AC,16,0)-VLOOKUP(J513,Matrix!A:AC,16,0),"")</f>
        <v/>
      </c>
      <c r="S513" s="195">
        <f>H513</f>
        <v/>
      </c>
      <c r="T513" s="195">
        <f>IFERROR(VLOOKUP(G513&amp;H513,2025Schedule!A:F,6,0),"")</f>
        <v/>
      </c>
      <c r="U513" s="264">
        <f>J513</f>
        <v/>
      </c>
      <c r="V513" s="195">
        <f>IFERROR(VLOOKUP(G513&amp;J513,2025Schedule!A:F,6,0),"")</f>
        <v/>
      </c>
    </row>
    <row r="514" ht="14.4" customHeight="1" s="152">
      <c r="A514" s="241">
        <f>H514&amp;I514</f>
        <v/>
      </c>
      <c r="B514" s="241">
        <f>J514&amp;C514</f>
        <v/>
      </c>
      <c r="C514" s="241">
        <f>IFERROR(IF(I514="Home","Away",IF(I514="Away","Home","")),"")</f>
        <v/>
      </c>
      <c r="D514" s="242">
        <f>H514</f>
        <v/>
      </c>
      <c r="E514" s="157">
        <f>IFERROR(IF(AND(F514&gt;0,T514&gt;V514),"Yes",IF(AND(F514&gt;0,T514&lt;V514),"No",IF(AND(F514&lt;0,T514&lt;V514),"Yes",IF(AND(F514&lt;0,T514&gt;V514),"No",0)))),"")</f>
        <v/>
      </c>
      <c r="F514" s="263">
        <f>IFERROR((N514/MAX(N:N)*_MOVw)+(O514/MAX(O:O)*_WINw)+(P514/MAX(P:P)*_PPGw)+(Q514/MAX(Q:Q)*_ORw)+(R514/MAX(R:R)*_DRw),"")</f>
        <v/>
      </c>
      <c r="N514" s="156">
        <f>IFERROR(VLOOKUP(H514,Matrix!A:AC,12,0)-VLOOKUP(J514,Matrix!A:AC,12,0),"")</f>
        <v/>
      </c>
      <c r="O514" s="182">
        <f>IFERROR(AVERAGEIFS(2025Schedule!O:O,2025Schedule!E:E,H514,2025Schedule!N:N,A514)-AVERAGEIFS(2025Schedule!O:O,2025Schedule!E:E,J514,2025Schedule!N:N,B514),0)</f>
        <v/>
      </c>
      <c r="P514" s="156">
        <f>IFERROR(VLOOKUP(H514,Matrix!A:D,2,0)-VLOOKUP(J514,Matrix!A:D,2,0),"")</f>
        <v/>
      </c>
      <c r="Q514" s="156">
        <f>IFERROR(VLOOKUP(H514,Matrix!A:AC,15,0)-VLOOKUP(J514,Matrix!A:AC,15,0),"")</f>
        <v/>
      </c>
      <c r="R514" s="156">
        <f>IFERROR(VLOOKUP(H514,Matrix!A:AC,16,0)-VLOOKUP(J514,Matrix!A:AC,16,0),"")</f>
        <v/>
      </c>
      <c r="S514" s="195">
        <f>H514</f>
        <v/>
      </c>
      <c r="T514" s="195">
        <f>IFERROR(VLOOKUP(G514&amp;H514,2025Schedule!A:F,6,0),"")</f>
        <v/>
      </c>
      <c r="U514" s="264">
        <f>J514</f>
        <v/>
      </c>
      <c r="V514" s="195">
        <f>IFERROR(VLOOKUP(G514&amp;J514,2025Schedule!A:F,6,0),"")</f>
        <v/>
      </c>
    </row>
    <row r="515" ht="14.4" customHeight="1" s="152">
      <c r="A515" s="241">
        <f>H515&amp;I515</f>
        <v/>
      </c>
      <c r="B515" s="241">
        <f>J515&amp;C515</f>
        <v/>
      </c>
      <c r="C515" s="241">
        <f>IFERROR(IF(I515="Home","Away",IF(I515="Away","Home","")),"")</f>
        <v/>
      </c>
      <c r="D515" s="242">
        <f>H515</f>
        <v/>
      </c>
      <c r="E515" s="157">
        <f>IFERROR(IF(AND(F515&gt;0,T515&gt;V515),"Yes",IF(AND(F515&gt;0,T515&lt;V515),"No",IF(AND(F515&lt;0,T515&lt;V515),"Yes",IF(AND(F515&lt;0,T515&gt;V515),"No",0)))),"")</f>
        <v/>
      </c>
      <c r="F515" s="263">
        <f>IFERROR((N515/MAX(N:N)*_MOVw)+(O515/MAX(O:O)*_WINw)+(P515/MAX(P:P)*_PPGw)+(Q515/MAX(Q:Q)*_ORw)+(R515/MAX(R:R)*_DRw),"")</f>
        <v/>
      </c>
      <c r="N515" s="156">
        <f>IFERROR(VLOOKUP(H515,Matrix!A:AC,12,0)-VLOOKUP(J515,Matrix!A:AC,12,0),"")</f>
        <v/>
      </c>
      <c r="O515" s="182">
        <f>IFERROR(AVERAGEIFS(2025Schedule!O:O,2025Schedule!E:E,H515,2025Schedule!N:N,A515)-AVERAGEIFS(2025Schedule!O:O,2025Schedule!E:E,J515,2025Schedule!N:N,B515),0)</f>
        <v/>
      </c>
      <c r="P515" s="156">
        <f>IFERROR(VLOOKUP(H515,Matrix!A:D,2,0)-VLOOKUP(J515,Matrix!A:D,2,0),"")</f>
        <v/>
      </c>
      <c r="Q515" s="156">
        <f>IFERROR(VLOOKUP(H515,Matrix!A:AC,15,0)-VLOOKUP(J515,Matrix!A:AC,15,0),"")</f>
        <v/>
      </c>
      <c r="R515" s="156">
        <f>IFERROR(VLOOKUP(H515,Matrix!A:AC,16,0)-VLOOKUP(J515,Matrix!A:AC,16,0),"")</f>
        <v/>
      </c>
      <c r="S515" s="195">
        <f>H515</f>
        <v/>
      </c>
      <c r="T515" s="195">
        <f>IFERROR(VLOOKUP(G515&amp;H515,2025Schedule!A:F,6,0),"")</f>
        <v/>
      </c>
      <c r="U515" s="264">
        <f>J515</f>
        <v/>
      </c>
      <c r="V515" s="195">
        <f>IFERROR(VLOOKUP(G515&amp;J515,2025Schedule!A:F,6,0),"")</f>
        <v/>
      </c>
    </row>
    <row r="516" ht="14.4" customHeight="1" s="152">
      <c r="A516" s="241">
        <f>H516&amp;I516</f>
        <v/>
      </c>
      <c r="B516" s="241">
        <f>J516&amp;C516</f>
        <v/>
      </c>
      <c r="C516" s="241">
        <f>IFERROR(IF(I516="Home","Away",IF(I516="Away","Home","")),"")</f>
        <v/>
      </c>
      <c r="D516" s="242">
        <f>H516</f>
        <v/>
      </c>
      <c r="E516" s="157">
        <f>IFERROR(IF(AND(F516&gt;0,T516&gt;V516),"Yes",IF(AND(F516&gt;0,T516&lt;V516),"No",IF(AND(F516&lt;0,T516&lt;V516),"Yes",IF(AND(F516&lt;0,T516&gt;V516),"No",0)))),"")</f>
        <v/>
      </c>
      <c r="F516" s="263">
        <f>IFERROR((N516/MAX(N:N)*_MOVw)+(O516/MAX(O:O)*_WINw)+(P516/MAX(P:P)*_PPGw)+(Q516/MAX(Q:Q)*_ORw)+(R516/MAX(R:R)*_DRw),"")</f>
        <v/>
      </c>
      <c r="N516" s="156">
        <f>IFERROR(VLOOKUP(H516,Matrix!A:AC,12,0)-VLOOKUP(J516,Matrix!A:AC,12,0),"")</f>
        <v/>
      </c>
      <c r="O516" s="182">
        <f>IFERROR(AVERAGEIFS(2025Schedule!O:O,2025Schedule!E:E,H516,2025Schedule!N:N,A516)-AVERAGEIFS(2025Schedule!O:O,2025Schedule!E:E,J516,2025Schedule!N:N,B516),0)</f>
        <v/>
      </c>
      <c r="P516" s="156">
        <f>IFERROR(VLOOKUP(H516,Matrix!A:D,2,0)-VLOOKUP(J516,Matrix!A:D,2,0),"")</f>
        <v/>
      </c>
      <c r="Q516" s="156">
        <f>IFERROR(VLOOKUP(H516,Matrix!A:AC,15,0)-VLOOKUP(J516,Matrix!A:AC,15,0),"")</f>
        <v/>
      </c>
      <c r="R516" s="156">
        <f>IFERROR(VLOOKUP(H516,Matrix!A:AC,16,0)-VLOOKUP(J516,Matrix!A:AC,16,0),"")</f>
        <v/>
      </c>
      <c r="S516" s="195">
        <f>H516</f>
        <v/>
      </c>
      <c r="T516" s="195">
        <f>IFERROR(VLOOKUP(G516&amp;H516,2025Schedule!A:F,6,0),"")</f>
        <v/>
      </c>
      <c r="U516" s="264">
        <f>J516</f>
        <v/>
      </c>
      <c r="V516" s="195">
        <f>IFERROR(VLOOKUP(G516&amp;J516,2025Schedule!A:F,6,0),"")</f>
        <v/>
      </c>
    </row>
    <row r="517" ht="14.4" customHeight="1" s="152">
      <c r="A517" s="241">
        <f>H517&amp;I517</f>
        <v/>
      </c>
      <c r="B517" s="241">
        <f>J517&amp;C517</f>
        <v/>
      </c>
      <c r="C517" s="241">
        <f>IFERROR(IF(I517="Home","Away",IF(I517="Away","Home","")),"")</f>
        <v/>
      </c>
      <c r="D517" s="242">
        <f>H517</f>
        <v/>
      </c>
      <c r="E517" s="157">
        <f>IFERROR(IF(AND(F517&gt;0,T517&gt;V517),"Yes",IF(AND(F517&gt;0,T517&lt;V517),"No",IF(AND(F517&lt;0,T517&lt;V517),"Yes",IF(AND(F517&lt;0,T517&gt;V517),"No",0)))),"")</f>
        <v/>
      </c>
      <c r="F517" s="263">
        <f>IFERROR((N517/MAX(N:N)*_MOVw)+(O517/MAX(O:O)*_WINw)+(P517/MAX(P:P)*_PPGw)+(Q517/MAX(Q:Q)*_ORw)+(R517/MAX(R:R)*_DRw),"")</f>
        <v/>
      </c>
      <c r="N517" s="156">
        <f>IFERROR(VLOOKUP(H517,Matrix!A:AC,12,0)-VLOOKUP(J517,Matrix!A:AC,12,0),"")</f>
        <v/>
      </c>
      <c r="O517" s="182">
        <f>IFERROR(AVERAGEIFS(2025Schedule!O:O,2025Schedule!E:E,H517,2025Schedule!N:N,A517)-AVERAGEIFS(2025Schedule!O:O,2025Schedule!E:E,J517,2025Schedule!N:N,B517),0)</f>
        <v/>
      </c>
      <c r="P517" s="156">
        <f>IFERROR(VLOOKUP(H517,Matrix!A:D,2,0)-VLOOKUP(J517,Matrix!A:D,2,0),"")</f>
        <v/>
      </c>
      <c r="Q517" s="156">
        <f>IFERROR(VLOOKUP(H517,Matrix!A:AC,15,0)-VLOOKUP(J517,Matrix!A:AC,15,0),"")</f>
        <v/>
      </c>
      <c r="R517" s="156">
        <f>IFERROR(VLOOKUP(H517,Matrix!A:AC,16,0)-VLOOKUP(J517,Matrix!A:AC,16,0),"")</f>
        <v/>
      </c>
      <c r="S517" s="195">
        <f>H517</f>
        <v/>
      </c>
      <c r="T517" s="195">
        <f>IFERROR(VLOOKUP(G517&amp;H517,2025Schedule!A:F,6,0),"")</f>
        <v/>
      </c>
      <c r="U517" s="264">
        <f>J517</f>
        <v/>
      </c>
      <c r="V517" s="195">
        <f>IFERROR(VLOOKUP(G517&amp;J517,2025Schedule!A:F,6,0),"")</f>
        <v/>
      </c>
    </row>
    <row r="518" ht="14.4" customHeight="1" s="152">
      <c r="A518" s="241">
        <f>H518&amp;I518</f>
        <v/>
      </c>
      <c r="B518" s="241">
        <f>J518&amp;C518</f>
        <v/>
      </c>
      <c r="C518" s="241">
        <f>IFERROR(IF(I518="Home","Away",IF(I518="Away","Home","")),"")</f>
        <v/>
      </c>
      <c r="D518" s="242">
        <f>H518</f>
        <v/>
      </c>
      <c r="E518" s="157">
        <f>IFERROR(IF(AND(F518&gt;0,T518&gt;V518),"Yes",IF(AND(F518&gt;0,T518&lt;V518),"No",IF(AND(F518&lt;0,T518&lt;V518),"Yes",IF(AND(F518&lt;0,T518&gt;V518),"No",0)))),"")</f>
        <v/>
      </c>
      <c r="F518" s="263">
        <f>IFERROR((N518/MAX(N:N)*_MOVw)+(O518/MAX(O:O)*_WINw)+(P518/MAX(P:P)*_PPGw)+(Q518/MAX(Q:Q)*_ORw)+(R518/MAX(R:R)*_DRw),"")</f>
        <v/>
      </c>
      <c r="N518" s="156">
        <f>IFERROR(VLOOKUP(H518,Matrix!A:AC,12,0)-VLOOKUP(J518,Matrix!A:AC,12,0),"")</f>
        <v/>
      </c>
      <c r="O518" s="182">
        <f>IFERROR(AVERAGEIFS(2025Schedule!O:O,2025Schedule!E:E,H518,2025Schedule!N:N,A518)-AVERAGEIFS(2025Schedule!O:O,2025Schedule!E:E,J518,2025Schedule!N:N,B518),0)</f>
        <v/>
      </c>
      <c r="P518" s="156">
        <f>IFERROR(VLOOKUP(H518,Matrix!A:D,2,0)-VLOOKUP(J518,Matrix!A:D,2,0),"")</f>
        <v/>
      </c>
      <c r="Q518" s="156">
        <f>IFERROR(VLOOKUP(H518,Matrix!A:AC,15,0)-VLOOKUP(J518,Matrix!A:AC,15,0),"")</f>
        <v/>
      </c>
      <c r="R518" s="156">
        <f>IFERROR(VLOOKUP(H518,Matrix!A:AC,16,0)-VLOOKUP(J518,Matrix!A:AC,16,0),"")</f>
        <v/>
      </c>
      <c r="S518" s="195">
        <f>H518</f>
        <v/>
      </c>
      <c r="T518" s="195">
        <f>IFERROR(VLOOKUP(G518&amp;H518,2025Schedule!A:F,6,0),"")</f>
        <v/>
      </c>
      <c r="U518" s="264">
        <f>J518</f>
        <v/>
      </c>
      <c r="V518" s="195">
        <f>IFERROR(VLOOKUP(G518&amp;J518,2025Schedule!A:F,6,0),"")</f>
        <v/>
      </c>
    </row>
    <row r="519" ht="14.4" customHeight="1" s="152">
      <c r="A519" s="241">
        <f>H519&amp;I519</f>
        <v/>
      </c>
      <c r="B519" s="241">
        <f>J519&amp;C519</f>
        <v/>
      </c>
      <c r="C519" s="241">
        <f>IFERROR(IF(I519="Home","Away",IF(I519="Away","Home","")),"")</f>
        <v/>
      </c>
      <c r="D519" s="242">
        <f>H519</f>
        <v/>
      </c>
      <c r="E519" s="157">
        <f>IFERROR(IF(AND(F519&gt;0,T519&gt;V519),"Yes",IF(AND(F519&gt;0,T519&lt;V519),"No",IF(AND(F519&lt;0,T519&lt;V519),"Yes",IF(AND(F519&lt;0,T519&gt;V519),"No",0)))),"")</f>
        <v/>
      </c>
      <c r="F519" s="263">
        <f>IFERROR((N519/MAX(N:N)*_MOVw)+(O519/MAX(O:O)*_WINw)+(P519/MAX(P:P)*_PPGw)+(Q519/MAX(Q:Q)*_ORw)+(R519/MAX(R:R)*_DRw),"")</f>
        <v/>
      </c>
      <c r="N519" s="156">
        <f>IFERROR(VLOOKUP(H519,Matrix!A:AC,12,0)-VLOOKUP(J519,Matrix!A:AC,12,0),"")</f>
        <v/>
      </c>
      <c r="O519" s="182">
        <f>IFERROR(AVERAGEIFS(2025Schedule!O:O,2025Schedule!E:E,H519,2025Schedule!N:N,A519)-AVERAGEIFS(2025Schedule!O:O,2025Schedule!E:E,J519,2025Schedule!N:N,B519),0)</f>
        <v/>
      </c>
      <c r="P519" s="156">
        <f>IFERROR(VLOOKUP(H519,Matrix!A:D,2,0)-VLOOKUP(J519,Matrix!A:D,2,0),"")</f>
        <v/>
      </c>
      <c r="Q519" s="156">
        <f>IFERROR(VLOOKUP(H519,Matrix!A:AC,15,0)-VLOOKUP(J519,Matrix!A:AC,15,0),"")</f>
        <v/>
      </c>
      <c r="R519" s="156">
        <f>IFERROR(VLOOKUP(H519,Matrix!A:AC,16,0)-VLOOKUP(J519,Matrix!A:AC,16,0),"")</f>
        <v/>
      </c>
      <c r="S519" s="195">
        <f>H519</f>
        <v/>
      </c>
      <c r="T519" s="195">
        <f>IFERROR(VLOOKUP(G519&amp;H519,2025Schedule!A:F,6,0),"")</f>
        <v/>
      </c>
      <c r="U519" s="264">
        <f>J519</f>
        <v/>
      </c>
      <c r="V519" s="195">
        <f>IFERROR(VLOOKUP(G519&amp;J519,2025Schedule!A:F,6,0),"")</f>
        <v/>
      </c>
    </row>
    <row r="520" ht="14.4" customHeight="1" s="152">
      <c r="A520" s="241">
        <f>H520&amp;I520</f>
        <v/>
      </c>
      <c r="B520" s="241">
        <f>J520&amp;C520</f>
        <v/>
      </c>
      <c r="C520" s="241">
        <f>IFERROR(IF(I520="Home","Away",IF(I520="Away","Home","")),"")</f>
        <v/>
      </c>
      <c r="D520" s="242">
        <f>H520</f>
        <v/>
      </c>
      <c r="E520" s="157">
        <f>IFERROR(IF(AND(F520&gt;0,T520&gt;V520),"Yes",IF(AND(F520&gt;0,T520&lt;V520),"No",IF(AND(F520&lt;0,T520&lt;V520),"Yes",IF(AND(F520&lt;0,T520&gt;V520),"No",0)))),"")</f>
        <v/>
      </c>
      <c r="F520" s="263">
        <f>IFERROR((N520/MAX(N:N)*_MOVw)+(O520/MAX(O:O)*_WINw)+(P520/MAX(P:P)*_PPGw)+(Q520/MAX(Q:Q)*_ORw)+(R520/MAX(R:R)*_DRw),"")</f>
        <v/>
      </c>
      <c r="N520" s="156">
        <f>IFERROR(VLOOKUP(H520,Matrix!A:AC,12,0)-VLOOKUP(J520,Matrix!A:AC,12,0),"")</f>
        <v/>
      </c>
      <c r="O520" s="182">
        <f>IFERROR(AVERAGEIFS(2025Schedule!O:O,2025Schedule!E:E,H520,2025Schedule!N:N,A520)-AVERAGEIFS(2025Schedule!O:O,2025Schedule!E:E,J520,2025Schedule!N:N,B520),0)</f>
        <v/>
      </c>
      <c r="P520" s="156">
        <f>IFERROR(VLOOKUP(H520,Matrix!A:D,2,0)-VLOOKUP(J520,Matrix!A:D,2,0),"")</f>
        <v/>
      </c>
      <c r="Q520" s="156">
        <f>IFERROR(VLOOKUP(H520,Matrix!A:AC,15,0)-VLOOKUP(J520,Matrix!A:AC,15,0),"")</f>
        <v/>
      </c>
      <c r="R520" s="156">
        <f>IFERROR(VLOOKUP(H520,Matrix!A:AC,16,0)-VLOOKUP(J520,Matrix!A:AC,16,0),"")</f>
        <v/>
      </c>
      <c r="S520" s="195">
        <f>H520</f>
        <v/>
      </c>
      <c r="T520" s="195">
        <f>IFERROR(VLOOKUP(G520&amp;H520,2025Schedule!A:F,6,0),"")</f>
        <v/>
      </c>
      <c r="U520" s="264">
        <f>J520</f>
        <v/>
      </c>
      <c r="V520" s="195">
        <f>IFERROR(VLOOKUP(G520&amp;J520,2025Schedule!A:F,6,0),"")</f>
        <v/>
      </c>
    </row>
    <row r="521" ht="14.4" customHeight="1" s="152">
      <c r="A521" s="241">
        <f>H521&amp;I521</f>
        <v/>
      </c>
      <c r="B521" s="241">
        <f>J521&amp;C521</f>
        <v/>
      </c>
      <c r="C521" s="241">
        <f>IFERROR(IF(I521="Home","Away",IF(I521="Away","Home","")),"")</f>
        <v/>
      </c>
      <c r="D521" s="242">
        <f>H521</f>
        <v/>
      </c>
      <c r="E521" s="157">
        <f>IFERROR(IF(AND(F521&gt;0,T521&gt;V521),"Yes",IF(AND(F521&gt;0,T521&lt;V521),"No",IF(AND(F521&lt;0,T521&lt;V521),"Yes",IF(AND(F521&lt;0,T521&gt;V521),"No",0)))),"")</f>
        <v/>
      </c>
      <c r="F521" s="263">
        <f>IFERROR((N521/MAX(N:N)*_MOVw)+(O521/MAX(O:O)*_WINw)+(P521/MAX(P:P)*_PPGw)+(Q521/MAX(Q:Q)*_ORw)+(R521/MAX(R:R)*_DRw),"")</f>
        <v/>
      </c>
      <c r="N521" s="156">
        <f>IFERROR(VLOOKUP(H521,Matrix!A:AC,12,0)-VLOOKUP(J521,Matrix!A:AC,12,0),"")</f>
        <v/>
      </c>
      <c r="O521" s="182">
        <f>IFERROR(AVERAGEIFS(2025Schedule!O:O,2025Schedule!E:E,H521,2025Schedule!N:N,A521)-AVERAGEIFS(2025Schedule!O:O,2025Schedule!E:E,J521,2025Schedule!N:N,B521),0)</f>
        <v/>
      </c>
      <c r="P521" s="156">
        <f>IFERROR(VLOOKUP(H521,Matrix!A:D,2,0)-VLOOKUP(J521,Matrix!A:D,2,0),"")</f>
        <v/>
      </c>
      <c r="Q521" s="156">
        <f>IFERROR(VLOOKUP(H521,Matrix!A:AC,15,0)-VLOOKUP(J521,Matrix!A:AC,15,0),"")</f>
        <v/>
      </c>
      <c r="R521" s="156">
        <f>IFERROR(VLOOKUP(H521,Matrix!A:AC,16,0)-VLOOKUP(J521,Matrix!A:AC,16,0),"")</f>
        <v/>
      </c>
      <c r="S521" s="195">
        <f>H521</f>
        <v/>
      </c>
      <c r="T521" s="195">
        <f>IFERROR(VLOOKUP(G521&amp;H521,2025Schedule!A:F,6,0),"")</f>
        <v/>
      </c>
      <c r="U521" s="264">
        <f>J521</f>
        <v/>
      </c>
      <c r="V521" s="195">
        <f>IFERROR(VLOOKUP(G521&amp;J521,2025Schedule!A:F,6,0),"")</f>
        <v/>
      </c>
    </row>
    <row r="522" ht="14.4" customHeight="1" s="152">
      <c r="A522" s="241">
        <f>H522&amp;I522</f>
        <v/>
      </c>
      <c r="B522" s="241">
        <f>J522&amp;C522</f>
        <v/>
      </c>
      <c r="C522" s="241">
        <f>IFERROR(IF(I522="Home","Away",IF(I522="Away","Home","")),"")</f>
        <v/>
      </c>
      <c r="D522" s="242">
        <f>H522</f>
        <v/>
      </c>
      <c r="E522" s="157">
        <f>IFERROR(IF(AND(F522&gt;0,T522&gt;V522),"Yes",IF(AND(F522&gt;0,T522&lt;V522),"No",IF(AND(F522&lt;0,T522&lt;V522),"Yes",IF(AND(F522&lt;0,T522&gt;V522),"No",0)))),"")</f>
        <v/>
      </c>
      <c r="F522" s="263">
        <f>IFERROR((N522/MAX(N:N)*_MOVw)+(O522/MAX(O:O)*_WINw)+(P522/MAX(P:P)*_PPGw)+(Q522/MAX(Q:Q)*_ORw)+(R522/MAX(R:R)*_DRw),"")</f>
        <v/>
      </c>
      <c r="N522" s="156">
        <f>IFERROR(VLOOKUP(H522,Matrix!A:AC,12,0)-VLOOKUP(J522,Matrix!A:AC,12,0),"")</f>
        <v/>
      </c>
      <c r="O522" s="182">
        <f>IFERROR(AVERAGEIFS(2025Schedule!O:O,2025Schedule!E:E,H522,2025Schedule!N:N,A522)-AVERAGEIFS(2025Schedule!O:O,2025Schedule!E:E,J522,2025Schedule!N:N,B522),0)</f>
        <v/>
      </c>
      <c r="P522" s="156">
        <f>IFERROR(VLOOKUP(H522,Matrix!A:D,2,0)-VLOOKUP(J522,Matrix!A:D,2,0),"")</f>
        <v/>
      </c>
      <c r="Q522" s="156">
        <f>IFERROR(VLOOKUP(H522,Matrix!A:AC,15,0)-VLOOKUP(J522,Matrix!A:AC,15,0),"")</f>
        <v/>
      </c>
      <c r="R522" s="156">
        <f>IFERROR(VLOOKUP(H522,Matrix!A:AC,16,0)-VLOOKUP(J522,Matrix!A:AC,16,0),"")</f>
        <v/>
      </c>
      <c r="S522" s="195">
        <f>H522</f>
        <v/>
      </c>
      <c r="T522" s="195">
        <f>IFERROR(VLOOKUP(G522&amp;H522,2025Schedule!A:F,6,0),"")</f>
        <v/>
      </c>
      <c r="U522" s="264">
        <f>J522</f>
        <v/>
      </c>
      <c r="V522" s="195">
        <f>IFERROR(VLOOKUP(G522&amp;J522,2025Schedule!A:F,6,0),"")</f>
        <v/>
      </c>
    </row>
    <row r="523" ht="14.4" customHeight="1" s="152">
      <c r="A523" s="241">
        <f>H523&amp;I523</f>
        <v/>
      </c>
      <c r="B523" s="241">
        <f>J523&amp;C523</f>
        <v/>
      </c>
      <c r="C523" s="241">
        <f>IFERROR(IF(I523="Home","Away",IF(I523="Away","Home","")),"")</f>
        <v/>
      </c>
      <c r="D523" s="242">
        <f>H523</f>
        <v/>
      </c>
      <c r="E523" s="157">
        <f>IFERROR(IF(AND(F523&gt;0,T523&gt;V523),"Yes",IF(AND(F523&gt;0,T523&lt;V523),"No",IF(AND(F523&lt;0,T523&lt;V523),"Yes",IF(AND(F523&lt;0,T523&gt;V523),"No",0)))),"")</f>
        <v/>
      </c>
      <c r="F523" s="263">
        <f>IFERROR((N523/MAX(N:N)*_MOVw)+(O523/MAX(O:O)*_WINw)+(P523/MAX(P:P)*_PPGw)+(Q523/MAX(Q:Q)*_ORw)+(R523/MAX(R:R)*_DRw),"")</f>
        <v/>
      </c>
      <c r="N523" s="156">
        <f>IFERROR(VLOOKUP(H523,Matrix!A:AC,12,0)-VLOOKUP(J523,Matrix!A:AC,12,0),"")</f>
        <v/>
      </c>
      <c r="O523" s="182">
        <f>IFERROR(AVERAGEIFS(2025Schedule!O:O,2025Schedule!E:E,H523,2025Schedule!N:N,A523)-AVERAGEIFS(2025Schedule!O:O,2025Schedule!E:E,J523,2025Schedule!N:N,B523),0)</f>
        <v/>
      </c>
      <c r="P523" s="156">
        <f>IFERROR(VLOOKUP(H523,Matrix!A:D,2,0)-VLOOKUP(J523,Matrix!A:D,2,0),"")</f>
        <v/>
      </c>
      <c r="Q523" s="156">
        <f>IFERROR(VLOOKUP(H523,Matrix!A:AC,15,0)-VLOOKUP(J523,Matrix!A:AC,15,0),"")</f>
        <v/>
      </c>
      <c r="R523" s="156">
        <f>IFERROR(VLOOKUP(H523,Matrix!A:AC,16,0)-VLOOKUP(J523,Matrix!A:AC,16,0),"")</f>
        <v/>
      </c>
      <c r="S523" s="195">
        <f>H523</f>
        <v/>
      </c>
      <c r="T523" s="195">
        <f>IFERROR(VLOOKUP(G523&amp;H523,2025Schedule!A:F,6,0),"")</f>
        <v/>
      </c>
      <c r="U523" s="264">
        <f>J523</f>
        <v/>
      </c>
      <c r="V523" s="195">
        <f>IFERROR(VLOOKUP(G523&amp;J523,2025Schedule!A:F,6,0),"")</f>
        <v/>
      </c>
    </row>
    <row r="524" ht="14.4" customHeight="1" s="152">
      <c r="A524" s="241">
        <f>H524&amp;I524</f>
        <v/>
      </c>
      <c r="B524" s="241">
        <f>J524&amp;C524</f>
        <v/>
      </c>
      <c r="C524" s="241">
        <f>IFERROR(IF(I524="Home","Away",IF(I524="Away","Home","")),"")</f>
        <v/>
      </c>
      <c r="D524" s="242">
        <f>H524</f>
        <v/>
      </c>
      <c r="E524" s="157">
        <f>IFERROR(IF(AND(F524&gt;0,T524&gt;V524),"Yes",IF(AND(F524&gt;0,T524&lt;V524),"No",IF(AND(F524&lt;0,T524&lt;V524),"Yes",IF(AND(F524&lt;0,T524&gt;V524),"No",0)))),"")</f>
        <v/>
      </c>
      <c r="F524" s="263">
        <f>IFERROR((N524/MAX(N:N)*_MOVw)+(O524/MAX(O:O)*_WINw)+(P524/MAX(P:P)*_PPGw)+(Q524/MAX(Q:Q)*_ORw)+(R524/MAX(R:R)*_DRw),"")</f>
        <v/>
      </c>
      <c r="N524" s="156">
        <f>IFERROR(VLOOKUP(H524,Matrix!A:AC,12,0)-VLOOKUP(J524,Matrix!A:AC,12,0),"")</f>
        <v/>
      </c>
      <c r="O524" s="182">
        <f>IFERROR(AVERAGEIFS(2025Schedule!O:O,2025Schedule!E:E,H524,2025Schedule!N:N,A524)-AVERAGEIFS(2025Schedule!O:O,2025Schedule!E:E,J524,2025Schedule!N:N,B524),0)</f>
        <v/>
      </c>
      <c r="P524" s="156">
        <f>IFERROR(VLOOKUP(H524,Matrix!A:D,2,0)-VLOOKUP(J524,Matrix!A:D,2,0),"")</f>
        <v/>
      </c>
      <c r="Q524" s="156">
        <f>IFERROR(VLOOKUP(H524,Matrix!A:AC,15,0)-VLOOKUP(J524,Matrix!A:AC,15,0),"")</f>
        <v/>
      </c>
      <c r="R524" s="156">
        <f>IFERROR(VLOOKUP(H524,Matrix!A:AC,16,0)-VLOOKUP(J524,Matrix!A:AC,16,0),"")</f>
        <v/>
      </c>
      <c r="S524" s="195">
        <f>H524</f>
        <v/>
      </c>
      <c r="T524" s="195">
        <f>IFERROR(VLOOKUP(G524&amp;H524,2025Schedule!A:F,6,0),"")</f>
        <v/>
      </c>
      <c r="U524" s="264">
        <f>J524</f>
        <v/>
      </c>
      <c r="V524" s="195">
        <f>IFERROR(VLOOKUP(G524&amp;J524,2025Schedule!A:F,6,0),"")</f>
        <v/>
      </c>
    </row>
    <row r="525" ht="14.4" customHeight="1" s="152">
      <c r="A525" s="241">
        <f>H525&amp;I525</f>
        <v/>
      </c>
      <c r="B525" s="241">
        <f>J525&amp;C525</f>
        <v/>
      </c>
      <c r="C525" s="241">
        <f>IFERROR(IF(I525="Home","Away",IF(I525="Away","Home","")),"")</f>
        <v/>
      </c>
      <c r="D525" s="242">
        <f>H525</f>
        <v/>
      </c>
      <c r="E525" s="157">
        <f>IFERROR(IF(AND(F525&gt;0,T525&gt;V525),"Yes",IF(AND(F525&gt;0,T525&lt;V525),"No",IF(AND(F525&lt;0,T525&lt;V525),"Yes",IF(AND(F525&lt;0,T525&gt;V525),"No",0)))),"")</f>
        <v/>
      </c>
      <c r="F525" s="263">
        <f>IFERROR((N525/MAX(N:N)*_MOVw)+(O525/MAX(O:O)*_WINw)+(P525/MAX(P:P)*_PPGw)+(Q525/MAX(Q:Q)*_ORw)+(R525/MAX(R:R)*_DRw),"")</f>
        <v/>
      </c>
      <c r="N525" s="156">
        <f>IFERROR(VLOOKUP(H525,Matrix!A:AC,12,0)-VLOOKUP(J525,Matrix!A:AC,12,0),"")</f>
        <v/>
      </c>
      <c r="O525" s="182">
        <f>IFERROR(AVERAGEIFS(2025Schedule!O:O,2025Schedule!E:E,H525,2025Schedule!N:N,A525)-AVERAGEIFS(2025Schedule!O:O,2025Schedule!E:E,J525,2025Schedule!N:N,B525),0)</f>
        <v/>
      </c>
      <c r="P525" s="156">
        <f>IFERROR(VLOOKUP(H525,Matrix!A:D,2,0)-VLOOKUP(J525,Matrix!A:D,2,0),"")</f>
        <v/>
      </c>
      <c r="Q525" s="156">
        <f>IFERROR(VLOOKUP(H525,Matrix!A:AC,15,0)-VLOOKUP(J525,Matrix!A:AC,15,0),"")</f>
        <v/>
      </c>
      <c r="R525" s="156">
        <f>IFERROR(VLOOKUP(H525,Matrix!A:AC,16,0)-VLOOKUP(J525,Matrix!A:AC,16,0),"")</f>
        <v/>
      </c>
      <c r="S525" s="195">
        <f>H525</f>
        <v/>
      </c>
      <c r="T525" s="195">
        <f>IFERROR(VLOOKUP(G525&amp;H525,2025Schedule!A:F,6,0),"")</f>
        <v/>
      </c>
      <c r="U525" s="264">
        <f>J525</f>
        <v/>
      </c>
      <c r="V525" s="195">
        <f>IFERROR(VLOOKUP(G525&amp;J525,2025Schedule!A:F,6,0),"")</f>
        <v/>
      </c>
    </row>
    <row r="526" ht="14.4" customHeight="1" s="152">
      <c r="A526" s="241">
        <f>H526&amp;I526</f>
        <v/>
      </c>
      <c r="B526" s="241">
        <f>J526&amp;C526</f>
        <v/>
      </c>
      <c r="C526" s="241">
        <f>IFERROR(IF(I526="Home","Away",IF(I526="Away","Home","")),"")</f>
        <v/>
      </c>
      <c r="D526" s="242">
        <f>H526</f>
        <v/>
      </c>
      <c r="E526" s="157">
        <f>IFERROR(IF(AND(F526&gt;0,T526&gt;V526),"Yes",IF(AND(F526&gt;0,T526&lt;V526),"No",IF(AND(F526&lt;0,T526&lt;V526),"Yes",IF(AND(F526&lt;0,T526&gt;V526),"No",0)))),"")</f>
        <v/>
      </c>
      <c r="F526" s="263">
        <f>IFERROR((N526/MAX(N:N)*_MOVw)+(O526/MAX(O:O)*_WINw)+(P526/MAX(P:P)*_PPGw)+(Q526/MAX(Q:Q)*_ORw)+(R526/MAX(R:R)*_DRw),"")</f>
        <v/>
      </c>
      <c r="N526" s="156">
        <f>IFERROR(VLOOKUP(H526,Matrix!A:AC,12,0)-VLOOKUP(J526,Matrix!A:AC,12,0),"")</f>
        <v/>
      </c>
      <c r="O526" s="182">
        <f>IFERROR(AVERAGEIFS(2025Schedule!O:O,2025Schedule!E:E,H526,2025Schedule!N:N,A526)-AVERAGEIFS(2025Schedule!O:O,2025Schedule!E:E,J526,2025Schedule!N:N,B526),0)</f>
        <v/>
      </c>
      <c r="P526" s="156">
        <f>IFERROR(VLOOKUP(H526,Matrix!A:D,2,0)-VLOOKUP(J526,Matrix!A:D,2,0),"")</f>
        <v/>
      </c>
      <c r="Q526" s="156">
        <f>IFERROR(VLOOKUP(H526,Matrix!A:AC,15,0)-VLOOKUP(J526,Matrix!A:AC,15,0),"")</f>
        <v/>
      </c>
      <c r="R526" s="156">
        <f>IFERROR(VLOOKUP(H526,Matrix!A:AC,16,0)-VLOOKUP(J526,Matrix!A:AC,16,0),"")</f>
        <v/>
      </c>
      <c r="S526" s="195">
        <f>H526</f>
        <v/>
      </c>
      <c r="T526" s="195">
        <f>IFERROR(VLOOKUP(G526&amp;H526,2025Schedule!A:F,6,0),"")</f>
        <v/>
      </c>
      <c r="U526" s="264">
        <f>J526</f>
        <v/>
      </c>
      <c r="V526" s="195">
        <f>IFERROR(VLOOKUP(G526&amp;J526,2025Schedule!A:F,6,0),"")</f>
        <v/>
      </c>
    </row>
    <row r="527" ht="14.4" customHeight="1" s="152">
      <c r="A527" s="241">
        <f>H527&amp;I527</f>
        <v/>
      </c>
      <c r="B527" s="241">
        <f>J527&amp;C527</f>
        <v/>
      </c>
      <c r="C527" s="241">
        <f>IFERROR(IF(I527="Home","Away",IF(I527="Away","Home","")),"")</f>
        <v/>
      </c>
      <c r="D527" s="242">
        <f>H527</f>
        <v/>
      </c>
      <c r="E527" s="157">
        <f>IFERROR(IF(AND(F527&gt;0,T527&gt;V527),"Yes",IF(AND(F527&gt;0,T527&lt;V527),"No",IF(AND(F527&lt;0,T527&lt;V527),"Yes",IF(AND(F527&lt;0,T527&gt;V527),"No",0)))),"")</f>
        <v/>
      </c>
      <c r="F527" s="263">
        <f>IFERROR((N527/MAX(N:N)*_MOVw)+(O527/MAX(O:O)*_WINw)+(P527/MAX(P:P)*_PPGw)+(Q527/MAX(Q:Q)*_ORw)+(R527/MAX(R:R)*_DRw),"")</f>
        <v/>
      </c>
      <c r="N527" s="156">
        <f>IFERROR(VLOOKUP(H527,Matrix!A:AC,12,0)-VLOOKUP(J527,Matrix!A:AC,12,0),"")</f>
        <v/>
      </c>
      <c r="O527" s="182">
        <f>IFERROR(AVERAGEIFS(2025Schedule!O:O,2025Schedule!E:E,H527,2025Schedule!N:N,A527)-AVERAGEIFS(2025Schedule!O:O,2025Schedule!E:E,J527,2025Schedule!N:N,B527),0)</f>
        <v/>
      </c>
      <c r="P527" s="156">
        <f>IFERROR(VLOOKUP(H527,Matrix!A:D,2,0)-VLOOKUP(J527,Matrix!A:D,2,0),"")</f>
        <v/>
      </c>
      <c r="Q527" s="156">
        <f>IFERROR(VLOOKUP(H527,Matrix!A:AC,15,0)-VLOOKUP(J527,Matrix!A:AC,15,0),"")</f>
        <v/>
      </c>
      <c r="R527" s="156">
        <f>IFERROR(VLOOKUP(H527,Matrix!A:AC,16,0)-VLOOKUP(J527,Matrix!A:AC,16,0),"")</f>
        <v/>
      </c>
      <c r="S527" s="195">
        <f>H527</f>
        <v/>
      </c>
      <c r="T527" s="195">
        <f>IFERROR(VLOOKUP(G527&amp;H527,2025Schedule!A:F,6,0),"")</f>
        <v/>
      </c>
      <c r="U527" s="264">
        <f>J527</f>
        <v/>
      </c>
      <c r="V527" s="195">
        <f>IFERROR(VLOOKUP(G527&amp;J527,2025Schedule!A:F,6,0),"")</f>
        <v/>
      </c>
    </row>
    <row r="528" ht="14.4" customHeight="1" s="152">
      <c r="A528" s="241">
        <f>H528&amp;I528</f>
        <v/>
      </c>
      <c r="B528" s="241">
        <f>J528&amp;C528</f>
        <v/>
      </c>
      <c r="C528" s="241">
        <f>IFERROR(IF(I528="Home","Away",IF(I528="Away","Home","")),"")</f>
        <v/>
      </c>
      <c r="D528" s="242">
        <f>H528</f>
        <v/>
      </c>
      <c r="E528" s="157">
        <f>IFERROR(IF(AND(F528&gt;0,T528&gt;V528),"Yes",IF(AND(F528&gt;0,T528&lt;V528),"No",IF(AND(F528&lt;0,T528&lt;V528),"Yes",IF(AND(F528&lt;0,T528&gt;V528),"No",0)))),"")</f>
        <v/>
      </c>
      <c r="F528" s="263">
        <f>IFERROR((N528/MAX(N:N)*_MOVw)+(O528/MAX(O:O)*_WINw)+(P528/MAX(P:P)*_PPGw)+(Q528/MAX(Q:Q)*_ORw)+(R528/MAX(R:R)*_DRw),"")</f>
        <v/>
      </c>
      <c r="N528" s="156">
        <f>IFERROR(VLOOKUP(H528,Matrix!A:AC,12,0)-VLOOKUP(J528,Matrix!A:AC,12,0),"")</f>
        <v/>
      </c>
      <c r="O528" s="182">
        <f>IFERROR(AVERAGEIFS(2025Schedule!O:O,2025Schedule!E:E,H528,2025Schedule!N:N,A528)-AVERAGEIFS(2025Schedule!O:O,2025Schedule!E:E,J528,2025Schedule!N:N,B528),0)</f>
        <v/>
      </c>
      <c r="P528" s="156">
        <f>IFERROR(VLOOKUP(H528,Matrix!A:D,2,0)-VLOOKUP(J528,Matrix!A:D,2,0),"")</f>
        <v/>
      </c>
      <c r="Q528" s="156">
        <f>IFERROR(VLOOKUP(H528,Matrix!A:AC,15,0)-VLOOKUP(J528,Matrix!A:AC,15,0),"")</f>
        <v/>
      </c>
      <c r="R528" s="156">
        <f>IFERROR(VLOOKUP(H528,Matrix!A:AC,16,0)-VLOOKUP(J528,Matrix!A:AC,16,0),"")</f>
        <v/>
      </c>
      <c r="S528" s="195">
        <f>H528</f>
        <v/>
      </c>
      <c r="T528" s="195">
        <f>IFERROR(VLOOKUP(G528&amp;H528,2025Schedule!A:F,6,0),"")</f>
        <v/>
      </c>
      <c r="U528" s="264">
        <f>J528</f>
        <v/>
      </c>
      <c r="V528" s="195">
        <f>IFERROR(VLOOKUP(G528&amp;J528,2025Schedule!A:F,6,0),"")</f>
        <v/>
      </c>
    </row>
    <row r="529" ht="14.4" customHeight="1" s="152">
      <c r="A529" s="241">
        <f>H529&amp;I529</f>
        <v/>
      </c>
      <c r="B529" s="241">
        <f>J529&amp;C529</f>
        <v/>
      </c>
      <c r="C529" s="241">
        <f>IFERROR(IF(I529="Home","Away",IF(I529="Away","Home","")),"")</f>
        <v/>
      </c>
      <c r="D529" s="242">
        <f>H529</f>
        <v/>
      </c>
      <c r="E529" s="157">
        <f>IFERROR(IF(AND(F529&gt;0,T529&gt;V529),"Yes",IF(AND(F529&gt;0,T529&lt;V529),"No",IF(AND(F529&lt;0,T529&lt;V529),"Yes",IF(AND(F529&lt;0,T529&gt;V529),"No",0)))),"")</f>
        <v/>
      </c>
      <c r="F529" s="263">
        <f>IFERROR((N529/MAX(N:N)*_MOVw)+(O529/MAX(O:O)*_WINw)+(P529/MAX(P:P)*_PPGw)+(Q529/MAX(Q:Q)*_ORw)+(R529/MAX(R:R)*_DRw),"")</f>
        <v/>
      </c>
      <c r="N529" s="156">
        <f>IFERROR(VLOOKUP(H529,Matrix!A:AC,12,0)-VLOOKUP(J529,Matrix!A:AC,12,0),"")</f>
        <v/>
      </c>
      <c r="O529" s="182">
        <f>IFERROR(AVERAGEIFS(2025Schedule!O:O,2025Schedule!E:E,H529,2025Schedule!N:N,A529)-AVERAGEIFS(2025Schedule!O:O,2025Schedule!E:E,J529,2025Schedule!N:N,B529),0)</f>
        <v/>
      </c>
      <c r="P529" s="156">
        <f>IFERROR(VLOOKUP(H529,Matrix!A:D,2,0)-VLOOKUP(J529,Matrix!A:D,2,0),"")</f>
        <v/>
      </c>
      <c r="Q529" s="156">
        <f>IFERROR(VLOOKUP(H529,Matrix!A:AC,15,0)-VLOOKUP(J529,Matrix!A:AC,15,0),"")</f>
        <v/>
      </c>
      <c r="R529" s="156">
        <f>IFERROR(VLOOKUP(H529,Matrix!A:AC,16,0)-VLOOKUP(J529,Matrix!A:AC,16,0),"")</f>
        <v/>
      </c>
      <c r="S529" s="195">
        <f>H529</f>
        <v/>
      </c>
      <c r="T529" s="195">
        <f>IFERROR(VLOOKUP(G529&amp;H529,2025Schedule!A:F,6,0),"")</f>
        <v/>
      </c>
      <c r="U529" s="264">
        <f>J529</f>
        <v/>
      </c>
      <c r="V529" s="195">
        <f>IFERROR(VLOOKUP(G529&amp;J529,2025Schedule!A:F,6,0),"")</f>
        <v/>
      </c>
    </row>
    <row r="530" ht="14.4" customHeight="1" s="152">
      <c r="A530" s="241">
        <f>H530&amp;I530</f>
        <v/>
      </c>
      <c r="B530" s="241">
        <f>J530&amp;C530</f>
        <v/>
      </c>
      <c r="C530" s="241">
        <f>IFERROR(IF(I530="Home","Away",IF(I530="Away","Home","")),"")</f>
        <v/>
      </c>
      <c r="D530" s="242">
        <f>H530</f>
        <v/>
      </c>
      <c r="E530" s="157">
        <f>IFERROR(IF(AND(F530&gt;0,T530&gt;V530),"Yes",IF(AND(F530&gt;0,T530&lt;V530),"No",IF(AND(F530&lt;0,T530&lt;V530),"Yes",IF(AND(F530&lt;0,T530&gt;V530),"No",0)))),"")</f>
        <v/>
      </c>
      <c r="F530" s="263">
        <f>IFERROR((N530/MAX(N:N)*_MOVw)+(O530/MAX(O:O)*_WINw)+(P530/MAX(P:P)*_PPGw)+(Q530/MAX(Q:Q)*_ORw)+(R530/MAX(R:R)*_DRw),"")</f>
        <v/>
      </c>
      <c r="N530" s="156">
        <f>IFERROR(VLOOKUP(H530,Matrix!A:AC,12,0)-VLOOKUP(J530,Matrix!A:AC,12,0),"")</f>
        <v/>
      </c>
      <c r="O530" s="182">
        <f>IFERROR(AVERAGEIFS(2025Schedule!O:O,2025Schedule!E:E,H530,2025Schedule!N:N,A530)-AVERAGEIFS(2025Schedule!O:O,2025Schedule!E:E,J530,2025Schedule!N:N,B530),0)</f>
        <v/>
      </c>
      <c r="P530" s="156">
        <f>IFERROR(VLOOKUP(H530,Matrix!A:D,2,0)-VLOOKUP(J530,Matrix!A:D,2,0),"")</f>
        <v/>
      </c>
      <c r="Q530" s="156">
        <f>IFERROR(VLOOKUP(H530,Matrix!A:AC,15,0)-VLOOKUP(J530,Matrix!A:AC,15,0),"")</f>
        <v/>
      </c>
      <c r="R530" s="156">
        <f>IFERROR(VLOOKUP(H530,Matrix!A:AC,16,0)-VLOOKUP(J530,Matrix!A:AC,16,0),"")</f>
        <v/>
      </c>
      <c r="S530" s="195">
        <f>H530</f>
        <v/>
      </c>
      <c r="T530" s="195">
        <f>IFERROR(VLOOKUP(G530&amp;H530,2025Schedule!A:F,6,0),"")</f>
        <v/>
      </c>
      <c r="U530" s="264">
        <f>J530</f>
        <v/>
      </c>
      <c r="V530" s="195">
        <f>IFERROR(VLOOKUP(G530&amp;J530,2025Schedule!A:F,6,0),"")</f>
        <v/>
      </c>
    </row>
    <row r="531" ht="14.4" customHeight="1" s="152">
      <c r="A531" s="241">
        <f>H531&amp;I531</f>
        <v/>
      </c>
      <c r="B531" s="241">
        <f>J531&amp;C531</f>
        <v/>
      </c>
      <c r="C531" s="241">
        <f>IFERROR(IF(I531="Home","Away",IF(I531="Away","Home","")),"")</f>
        <v/>
      </c>
      <c r="D531" s="242">
        <f>H531</f>
        <v/>
      </c>
      <c r="E531" s="157">
        <f>IFERROR(IF(AND(F531&gt;0,T531&gt;V531),"Yes",IF(AND(F531&gt;0,T531&lt;V531),"No",IF(AND(F531&lt;0,T531&lt;V531),"Yes",IF(AND(F531&lt;0,T531&gt;V531),"No",0)))),"")</f>
        <v/>
      </c>
      <c r="F531" s="263">
        <f>IFERROR((N531/MAX(N:N)*_MOVw)+(O531/MAX(O:O)*_WINw)+(P531/MAX(P:P)*_PPGw)+(Q531/MAX(Q:Q)*_ORw)+(R531/MAX(R:R)*_DRw),"")</f>
        <v/>
      </c>
      <c r="N531" s="156">
        <f>IFERROR(VLOOKUP(H531,Matrix!A:AC,12,0)-VLOOKUP(J531,Matrix!A:AC,12,0),"")</f>
        <v/>
      </c>
      <c r="O531" s="182">
        <f>IFERROR(AVERAGEIFS(2025Schedule!O:O,2025Schedule!E:E,H531,2025Schedule!N:N,A531)-AVERAGEIFS(2025Schedule!O:O,2025Schedule!E:E,J531,2025Schedule!N:N,B531),0)</f>
        <v/>
      </c>
      <c r="P531" s="156">
        <f>IFERROR(VLOOKUP(H531,Matrix!A:D,2,0)-VLOOKUP(J531,Matrix!A:D,2,0),"")</f>
        <v/>
      </c>
      <c r="Q531" s="156">
        <f>IFERROR(VLOOKUP(H531,Matrix!A:AC,15,0)-VLOOKUP(J531,Matrix!A:AC,15,0),"")</f>
        <v/>
      </c>
      <c r="R531" s="156">
        <f>IFERROR(VLOOKUP(H531,Matrix!A:AC,16,0)-VLOOKUP(J531,Matrix!A:AC,16,0),"")</f>
        <v/>
      </c>
      <c r="S531" s="195">
        <f>H531</f>
        <v/>
      </c>
      <c r="T531" s="195">
        <f>IFERROR(VLOOKUP(G531&amp;H531,2025Schedule!A:F,6,0),"")</f>
        <v/>
      </c>
      <c r="U531" s="264">
        <f>J531</f>
        <v/>
      </c>
      <c r="V531" s="195">
        <f>IFERROR(VLOOKUP(G531&amp;J531,2025Schedule!A:F,6,0),"")</f>
        <v/>
      </c>
    </row>
    <row r="532" ht="14.4" customHeight="1" s="152">
      <c r="A532" s="241">
        <f>H532&amp;I532</f>
        <v/>
      </c>
      <c r="B532" s="241">
        <f>J532&amp;C532</f>
        <v/>
      </c>
      <c r="C532" s="241">
        <f>IFERROR(IF(I532="Home","Away",IF(I532="Away","Home","")),"")</f>
        <v/>
      </c>
      <c r="D532" s="242">
        <f>H532</f>
        <v/>
      </c>
      <c r="E532" s="157">
        <f>IFERROR(IF(AND(F532&gt;0,T532&gt;V532),"Yes",IF(AND(F532&gt;0,T532&lt;V532),"No",IF(AND(F532&lt;0,T532&lt;V532),"Yes",IF(AND(F532&lt;0,T532&gt;V532),"No",0)))),"")</f>
        <v/>
      </c>
      <c r="F532" s="263">
        <f>IFERROR((N532/MAX(N:N)*_MOVw)+(O532/MAX(O:O)*_WINw)+(P532/MAX(P:P)*_PPGw)+(Q532/MAX(Q:Q)*_ORw)+(R532/MAX(R:R)*_DRw),"")</f>
        <v/>
      </c>
      <c r="N532" s="156">
        <f>IFERROR(VLOOKUP(H532,Matrix!A:AC,12,0)-VLOOKUP(J532,Matrix!A:AC,12,0),"")</f>
        <v/>
      </c>
      <c r="O532" s="182">
        <f>IFERROR(AVERAGEIFS(2025Schedule!O:O,2025Schedule!E:E,H532,2025Schedule!N:N,A532)-AVERAGEIFS(2025Schedule!O:O,2025Schedule!E:E,J532,2025Schedule!N:N,B532),0)</f>
        <v/>
      </c>
      <c r="P532" s="156">
        <f>IFERROR(VLOOKUP(H532,Matrix!A:D,2,0)-VLOOKUP(J532,Matrix!A:D,2,0),"")</f>
        <v/>
      </c>
      <c r="Q532" s="156">
        <f>IFERROR(VLOOKUP(H532,Matrix!A:AC,15,0)-VLOOKUP(J532,Matrix!A:AC,15,0),"")</f>
        <v/>
      </c>
      <c r="R532" s="156">
        <f>IFERROR(VLOOKUP(H532,Matrix!A:AC,16,0)-VLOOKUP(J532,Matrix!A:AC,16,0),"")</f>
        <v/>
      </c>
      <c r="S532" s="195">
        <f>H532</f>
        <v/>
      </c>
      <c r="T532" s="195">
        <f>IFERROR(VLOOKUP(G532&amp;H532,2025Schedule!A:F,6,0),"")</f>
        <v/>
      </c>
      <c r="U532" s="264">
        <f>J532</f>
        <v/>
      </c>
      <c r="V532" s="195">
        <f>IFERROR(VLOOKUP(G532&amp;J532,2025Schedule!A:F,6,0),"")</f>
        <v/>
      </c>
    </row>
    <row r="533" ht="14.4" customHeight="1" s="152">
      <c r="A533" s="241">
        <f>H533&amp;I533</f>
        <v/>
      </c>
      <c r="B533" s="241">
        <f>J533&amp;C533</f>
        <v/>
      </c>
      <c r="C533" s="241">
        <f>IFERROR(IF(I533="Home","Away",IF(I533="Away","Home","")),"")</f>
        <v/>
      </c>
      <c r="D533" s="242">
        <f>H533</f>
        <v/>
      </c>
      <c r="E533" s="157">
        <f>IFERROR(IF(AND(F533&gt;0,T533&gt;V533),"Yes",IF(AND(F533&gt;0,T533&lt;V533),"No",IF(AND(F533&lt;0,T533&lt;V533),"Yes",IF(AND(F533&lt;0,T533&gt;V533),"No",0)))),"")</f>
        <v/>
      </c>
      <c r="F533" s="263">
        <f>IFERROR((N533/MAX(N:N)*_MOVw)+(O533/MAX(O:O)*_WINw)+(P533/MAX(P:P)*_PPGw)+(Q533/MAX(Q:Q)*_ORw)+(R533/MAX(R:R)*_DRw),"")</f>
        <v/>
      </c>
      <c r="N533" s="156">
        <f>IFERROR(VLOOKUP(H533,Matrix!A:AC,12,0)-VLOOKUP(J533,Matrix!A:AC,12,0),"")</f>
        <v/>
      </c>
      <c r="O533" s="182">
        <f>IFERROR(AVERAGEIFS(2025Schedule!O:O,2025Schedule!E:E,H533,2025Schedule!N:N,A533)-AVERAGEIFS(2025Schedule!O:O,2025Schedule!E:E,J533,2025Schedule!N:N,B533),0)</f>
        <v/>
      </c>
      <c r="P533" s="156">
        <f>IFERROR(VLOOKUP(H533,Matrix!A:D,2,0)-VLOOKUP(J533,Matrix!A:D,2,0),"")</f>
        <v/>
      </c>
      <c r="Q533" s="156">
        <f>IFERROR(VLOOKUP(H533,Matrix!A:AC,15,0)-VLOOKUP(J533,Matrix!A:AC,15,0),"")</f>
        <v/>
      </c>
      <c r="R533" s="156">
        <f>IFERROR(VLOOKUP(H533,Matrix!A:AC,16,0)-VLOOKUP(J533,Matrix!A:AC,16,0),"")</f>
        <v/>
      </c>
      <c r="S533" s="195">
        <f>H533</f>
        <v/>
      </c>
      <c r="T533" s="195">
        <f>IFERROR(VLOOKUP(G533&amp;H533,2025Schedule!A:F,6,0),"")</f>
        <v/>
      </c>
      <c r="U533" s="264">
        <f>J533</f>
        <v/>
      </c>
      <c r="V533" s="195">
        <f>IFERROR(VLOOKUP(G533&amp;J533,2025Schedule!A:F,6,0),"")</f>
        <v/>
      </c>
    </row>
    <row r="534" ht="14.4" customHeight="1" s="152">
      <c r="A534" s="241">
        <f>H534&amp;I534</f>
        <v/>
      </c>
      <c r="B534" s="241">
        <f>J534&amp;C534</f>
        <v/>
      </c>
      <c r="C534" s="241">
        <f>IFERROR(IF(I534="Home","Away",IF(I534="Away","Home","")),"")</f>
        <v/>
      </c>
      <c r="D534" s="242">
        <f>H534</f>
        <v/>
      </c>
      <c r="E534" s="157">
        <f>IFERROR(IF(AND(F534&gt;0,T534&gt;V534),"Yes",IF(AND(F534&gt;0,T534&lt;V534),"No",IF(AND(F534&lt;0,T534&lt;V534),"Yes",IF(AND(F534&lt;0,T534&gt;V534),"No",0)))),"")</f>
        <v/>
      </c>
      <c r="F534" s="263">
        <f>IFERROR((N534/MAX(N:N)*_MOVw)+(O534/MAX(O:O)*_WINw)+(P534/MAX(P:P)*_PPGw)+(Q534/MAX(Q:Q)*_ORw)+(R534/MAX(R:R)*_DRw),"")</f>
        <v/>
      </c>
      <c r="N534" s="156">
        <f>IFERROR(VLOOKUP(H534,Matrix!A:AC,12,0)-VLOOKUP(J534,Matrix!A:AC,12,0),"")</f>
        <v/>
      </c>
      <c r="O534" s="182">
        <f>IFERROR(AVERAGEIFS(2025Schedule!O:O,2025Schedule!E:E,H534,2025Schedule!N:N,A534)-AVERAGEIFS(2025Schedule!O:O,2025Schedule!E:E,J534,2025Schedule!N:N,B534),0)</f>
        <v/>
      </c>
      <c r="P534" s="156">
        <f>IFERROR(VLOOKUP(H534,Matrix!A:D,2,0)-VLOOKUP(J534,Matrix!A:D,2,0),"")</f>
        <v/>
      </c>
      <c r="Q534" s="156">
        <f>IFERROR(VLOOKUP(H534,Matrix!A:AC,15,0)-VLOOKUP(J534,Matrix!A:AC,15,0),"")</f>
        <v/>
      </c>
      <c r="R534" s="156">
        <f>IFERROR(VLOOKUP(H534,Matrix!A:AC,16,0)-VLOOKUP(J534,Matrix!A:AC,16,0),"")</f>
        <v/>
      </c>
      <c r="S534" s="195">
        <f>H534</f>
        <v/>
      </c>
      <c r="T534" s="195">
        <f>IFERROR(VLOOKUP(G534&amp;H534,2025Schedule!A:F,6,0),"")</f>
        <v/>
      </c>
      <c r="U534" s="264">
        <f>J534</f>
        <v/>
      </c>
      <c r="V534" s="195">
        <f>IFERROR(VLOOKUP(G534&amp;J534,2025Schedule!A:F,6,0),"")</f>
        <v/>
      </c>
    </row>
    <row r="535" ht="14.4" customHeight="1" s="152">
      <c r="A535" s="241">
        <f>H535&amp;I535</f>
        <v/>
      </c>
      <c r="B535" s="241">
        <f>J535&amp;C535</f>
        <v/>
      </c>
      <c r="C535" s="241">
        <f>IFERROR(IF(I535="Home","Away",IF(I535="Away","Home","")),"")</f>
        <v/>
      </c>
      <c r="D535" s="242">
        <f>H535</f>
        <v/>
      </c>
      <c r="E535" s="157">
        <f>IFERROR(IF(AND(F535&gt;0,T535&gt;V535),"Yes",IF(AND(F535&gt;0,T535&lt;V535),"No",IF(AND(F535&lt;0,T535&lt;V535),"Yes",IF(AND(F535&lt;0,T535&gt;V535),"No",0)))),"")</f>
        <v/>
      </c>
      <c r="F535" s="263">
        <f>IFERROR((N535/MAX(N:N)*_MOVw)+(O535/MAX(O:O)*_WINw)+(P535/MAX(P:P)*_PPGw)+(Q535/MAX(Q:Q)*_ORw)+(R535/MAX(R:R)*_DRw),"")</f>
        <v/>
      </c>
      <c r="N535" s="156">
        <f>IFERROR(VLOOKUP(H535,Matrix!A:AC,12,0)-VLOOKUP(J535,Matrix!A:AC,12,0),"")</f>
        <v/>
      </c>
      <c r="O535" s="182">
        <f>IFERROR(AVERAGEIFS(2025Schedule!O:O,2025Schedule!E:E,H535,2025Schedule!N:N,A535)-AVERAGEIFS(2025Schedule!O:O,2025Schedule!E:E,J535,2025Schedule!N:N,B535),0)</f>
        <v/>
      </c>
      <c r="P535" s="156">
        <f>IFERROR(VLOOKUP(H535,Matrix!A:D,2,0)-VLOOKUP(J535,Matrix!A:D,2,0),"")</f>
        <v/>
      </c>
      <c r="Q535" s="156">
        <f>IFERROR(VLOOKUP(H535,Matrix!A:AC,15,0)-VLOOKUP(J535,Matrix!A:AC,15,0),"")</f>
        <v/>
      </c>
      <c r="R535" s="156">
        <f>IFERROR(VLOOKUP(H535,Matrix!A:AC,16,0)-VLOOKUP(J535,Matrix!A:AC,16,0),"")</f>
        <v/>
      </c>
      <c r="S535" s="195">
        <f>H535</f>
        <v/>
      </c>
      <c r="T535" s="195">
        <f>IFERROR(VLOOKUP(G535&amp;H535,2025Schedule!A:F,6,0),"")</f>
        <v/>
      </c>
      <c r="U535" s="264">
        <f>J535</f>
        <v/>
      </c>
      <c r="V535" s="195">
        <f>IFERROR(VLOOKUP(G535&amp;J535,2025Schedule!A:F,6,0),"")</f>
        <v/>
      </c>
    </row>
    <row r="536" ht="14.4" customHeight="1" s="152">
      <c r="A536" s="241">
        <f>H536&amp;I536</f>
        <v/>
      </c>
      <c r="B536" s="241">
        <f>J536&amp;C536</f>
        <v/>
      </c>
      <c r="C536" s="241">
        <f>IFERROR(IF(I536="Home","Away",IF(I536="Away","Home","")),"")</f>
        <v/>
      </c>
      <c r="D536" s="242">
        <f>H536</f>
        <v/>
      </c>
      <c r="E536" s="157">
        <f>IFERROR(IF(AND(F536&gt;0,T536&gt;V536),"Yes",IF(AND(F536&gt;0,T536&lt;V536),"No",IF(AND(F536&lt;0,T536&lt;V536),"Yes",IF(AND(F536&lt;0,T536&gt;V536),"No",0)))),"")</f>
        <v/>
      </c>
      <c r="F536" s="263">
        <f>IFERROR((N536/MAX(N:N)*_MOVw)+(O536/MAX(O:O)*_WINw)+(P536/MAX(P:P)*_PPGw)+(Q536/MAX(Q:Q)*_ORw)+(R536/MAX(R:R)*_DRw),"")</f>
        <v/>
      </c>
      <c r="N536" s="156">
        <f>IFERROR(VLOOKUP(H536,Matrix!A:AC,12,0)-VLOOKUP(J536,Matrix!A:AC,12,0),"")</f>
        <v/>
      </c>
      <c r="O536" s="182">
        <f>IFERROR(AVERAGEIFS(2025Schedule!O:O,2025Schedule!E:E,H536,2025Schedule!N:N,A536)-AVERAGEIFS(2025Schedule!O:O,2025Schedule!E:E,J536,2025Schedule!N:N,B536),0)</f>
        <v/>
      </c>
      <c r="P536" s="156">
        <f>IFERROR(VLOOKUP(H536,Matrix!A:D,2,0)-VLOOKUP(J536,Matrix!A:D,2,0),"")</f>
        <v/>
      </c>
      <c r="Q536" s="156">
        <f>IFERROR(VLOOKUP(H536,Matrix!A:AC,15,0)-VLOOKUP(J536,Matrix!A:AC,15,0),"")</f>
        <v/>
      </c>
      <c r="R536" s="156">
        <f>IFERROR(VLOOKUP(H536,Matrix!A:AC,16,0)-VLOOKUP(J536,Matrix!A:AC,16,0),"")</f>
        <v/>
      </c>
      <c r="S536" s="195">
        <f>H536</f>
        <v/>
      </c>
      <c r="T536" s="195">
        <f>IFERROR(VLOOKUP(G536&amp;H536,2025Schedule!A:F,6,0),"")</f>
        <v/>
      </c>
      <c r="U536" s="264">
        <f>J536</f>
        <v/>
      </c>
      <c r="V536" s="195">
        <f>IFERROR(VLOOKUP(G536&amp;J536,2025Schedule!A:F,6,0),"")</f>
        <v/>
      </c>
    </row>
    <row r="537" ht="14.4" customHeight="1" s="152">
      <c r="A537" s="241">
        <f>H537&amp;I537</f>
        <v/>
      </c>
      <c r="B537" s="241">
        <f>J537&amp;C537</f>
        <v/>
      </c>
      <c r="C537" s="241">
        <f>IFERROR(IF(I537="Home","Away",IF(I537="Away","Home","")),"")</f>
        <v/>
      </c>
      <c r="D537" s="242">
        <f>H537</f>
        <v/>
      </c>
      <c r="E537" s="157">
        <f>IFERROR(IF(AND(F537&gt;0,T537&gt;V537),"Yes",IF(AND(F537&gt;0,T537&lt;V537),"No",IF(AND(F537&lt;0,T537&lt;V537),"Yes",IF(AND(F537&lt;0,T537&gt;V537),"No",0)))),"")</f>
        <v/>
      </c>
      <c r="F537" s="263">
        <f>IFERROR((N537/MAX(N:N)*_MOVw)+(O537/MAX(O:O)*_WINw)+(P537/MAX(P:P)*_PPGw)+(Q537/MAX(Q:Q)*_ORw)+(R537/MAX(R:R)*_DRw),"")</f>
        <v/>
      </c>
      <c r="N537" s="156">
        <f>IFERROR(VLOOKUP(H537,Matrix!A:AC,12,0)-VLOOKUP(J537,Matrix!A:AC,12,0),"")</f>
        <v/>
      </c>
      <c r="O537" s="182">
        <f>IFERROR(AVERAGEIFS(2025Schedule!O:O,2025Schedule!E:E,H537,2025Schedule!N:N,A537)-AVERAGEIFS(2025Schedule!O:O,2025Schedule!E:E,J537,2025Schedule!N:N,B537),0)</f>
        <v/>
      </c>
      <c r="P537" s="156">
        <f>IFERROR(VLOOKUP(H537,Matrix!A:D,2,0)-VLOOKUP(J537,Matrix!A:D,2,0),"")</f>
        <v/>
      </c>
      <c r="Q537" s="156">
        <f>IFERROR(VLOOKUP(H537,Matrix!A:AC,15,0)-VLOOKUP(J537,Matrix!A:AC,15,0),"")</f>
        <v/>
      </c>
      <c r="R537" s="156">
        <f>IFERROR(VLOOKUP(H537,Matrix!A:AC,16,0)-VLOOKUP(J537,Matrix!A:AC,16,0),"")</f>
        <v/>
      </c>
      <c r="S537" s="195">
        <f>H537</f>
        <v/>
      </c>
      <c r="T537" s="195">
        <f>IFERROR(VLOOKUP(G537&amp;H537,2025Schedule!A:F,6,0),"")</f>
        <v/>
      </c>
      <c r="U537" s="264">
        <f>J537</f>
        <v/>
      </c>
      <c r="V537" s="195">
        <f>IFERROR(VLOOKUP(G537&amp;J537,2025Schedule!A:F,6,0),"")</f>
        <v/>
      </c>
    </row>
    <row r="538" ht="14.4" customHeight="1" s="152">
      <c r="A538" s="241">
        <f>H538&amp;I538</f>
        <v/>
      </c>
      <c r="B538" s="241">
        <f>J538&amp;C538</f>
        <v/>
      </c>
      <c r="C538" s="241">
        <f>IFERROR(IF(I538="Home","Away",IF(I538="Away","Home","")),"")</f>
        <v/>
      </c>
      <c r="D538" s="242">
        <f>H538</f>
        <v/>
      </c>
      <c r="E538" s="157">
        <f>IFERROR(IF(AND(F538&gt;0,T538&gt;V538),"Yes",IF(AND(F538&gt;0,T538&lt;V538),"No",IF(AND(F538&lt;0,T538&lt;V538),"Yes",IF(AND(F538&lt;0,T538&gt;V538),"No",0)))),"")</f>
        <v/>
      </c>
      <c r="F538" s="263">
        <f>IFERROR((N538/MAX(N:N)*_MOVw)+(O538/MAX(O:O)*_WINw)+(P538/MAX(P:P)*_PPGw)+(Q538/MAX(Q:Q)*_ORw)+(R538/MAX(R:R)*_DRw),"")</f>
        <v/>
      </c>
      <c r="N538" s="156">
        <f>IFERROR(VLOOKUP(H538,Matrix!A:AC,12,0)-VLOOKUP(J538,Matrix!A:AC,12,0),"")</f>
        <v/>
      </c>
      <c r="O538" s="182">
        <f>IFERROR(AVERAGEIFS(2025Schedule!O:O,2025Schedule!E:E,H538,2025Schedule!N:N,A538)-AVERAGEIFS(2025Schedule!O:O,2025Schedule!E:E,J538,2025Schedule!N:N,B538),0)</f>
        <v/>
      </c>
      <c r="P538" s="156">
        <f>IFERROR(VLOOKUP(H538,Matrix!A:D,2,0)-VLOOKUP(J538,Matrix!A:D,2,0),"")</f>
        <v/>
      </c>
      <c r="Q538" s="156">
        <f>IFERROR(VLOOKUP(H538,Matrix!A:AC,15,0)-VLOOKUP(J538,Matrix!A:AC,15,0),"")</f>
        <v/>
      </c>
      <c r="R538" s="156">
        <f>IFERROR(VLOOKUP(H538,Matrix!A:AC,16,0)-VLOOKUP(J538,Matrix!A:AC,16,0),"")</f>
        <v/>
      </c>
      <c r="S538" s="195">
        <f>H538</f>
        <v/>
      </c>
      <c r="T538" s="195">
        <f>IFERROR(VLOOKUP(G538&amp;H538,2025Schedule!A:F,6,0),"")</f>
        <v/>
      </c>
      <c r="U538" s="264">
        <f>J538</f>
        <v/>
      </c>
      <c r="V538" s="195">
        <f>IFERROR(VLOOKUP(G538&amp;J538,2025Schedule!A:F,6,0),"")</f>
        <v/>
      </c>
    </row>
    <row r="539" ht="14.4" customHeight="1" s="152">
      <c r="A539" s="241">
        <f>H539&amp;I539</f>
        <v/>
      </c>
      <c r="B539" s="241">
        <f>J539&amp;C539</f>
        <v/>
      </c>
      <c r="C539" s="241">
        <f>IFERROR(IF(I539="Home","Away",IF(I539="Away","Home","")),"")</f>
        <v/>
      </c>
      <c r="D539" s="242">
        <f>H539</f>
        <v/>
      </c>
      <c r="E539" s="157">
        <f>IFERROR(IF(AND(F539&gt;0,T539&gt;V539),"Yes",IF(AND(F539&gt;0,T539&lt;V539),"No",IF(AND(F539&lt;0,T539&lt;V539),"Yes",IF(AND(F539&lt;0,T539&gt;V539),"No",0)))),"")</f>
        <v/>
      </c>
      <c r="F539" s="263">
        <f>IFERROR((N539/MAX(N:N)*_MOVw)+(O539/MAX(O:O)*_WINw)+(P539/MAX(P:P)*_PPGw)+(Q539/MAX(Q:Q)*_ORw)+(R539/MAX(R:R)*_DRw),"")</f>
        <v/>
      </c>
      <c r="N539" s="156">
        <f>IFERROR(VLOOKUP(H539,Matrix!A:AC,12,0)-VLOOKUP(J539,Matrix!A:AC,12,0),"")</f>
        <v/>
      </c>
      <c r="O539" s="182">
        <f>IFERROR(AVERAGEIFS(2025Schedule!O:O,2025Schedule!E:E,H539,2025Schedule!N:N,A539)-AVERAGEIFS(2025Schedule!O:O,2025Schedule!E:E,J539,2025Schedule!N:N,B539),0)</f>
        <v/>
      </c>
      <c r="P539" s="156">
        <f>IFERROR(VLOOKUP(H539,Matrix!A:D,2,0)-VLOOKUP(J539,Matrix!A:D,2,0),"")</f>
        <v/>
      </c>
      <c r="Q539" s="156">
        <f>IFERROR(VLOOKUP(H539,Matrix!A:AC,15,0)-VLOOKUP(J539,Matrix!A:AC,15,0),"")</f>
        <v/>
      </c>
      <c r="R539" s="156">
        <f>IFERROR(VLOOKUP(H539,Matrix!A:AC,16,0)-VLOOKUP(J539,Matrix!A:AC,16,0),"")</f>
        <v/>
      </c>
      <c r="S539" s="195">
        <f>H539</f>
        <v/>
      </c>
      <c r="T539" s="195">
        <f>IFERROR(VLOOKUP(G539&amp;H539,2025Schedule!A:F,6,0),"")</f>
        <v/>
      </c>
      <c r="U539" s="264">
        <f>J539</f>
        <v/>
      </c>
      <c r="V539" s="195">
        <f>IFERROR(VLOOKUP(G539&amp;J539,2025Schedule!A:F,6,0),"")</f>
        <v/>
      </c>
    </row>
    <row r="540" ht="14.4" customHeight="1" s="152">
      <c r="A540" s="241">
        <f>H540&amp;I540</f>
        <v/>
      </c>
      <c r="B540" s="241">
        <f>J540&amp;C540</f>
        <v/>
      </c>
      <c r="C540" s="241">
        <f>IFERROR(IF(I540="Home","Away",IF(I540="Away","Home","")),"")</f>
        <v/>
      </c>
      <c r="D540" s="242">
        <f>H540</f>
        <v/>
      </c>
      <c r="E540" s="157">
        <f>IFERROR(IF(AND(F540&gt;0,T540&gt;V540),"Yes",IF(AND(F540&gt;0,T540&lt;V540),"No",IF(AND(F540&lt;0,T540&lt;V540),"Yes",IF(AND(F540&lt;0,T540&gt;V540),"No",0)))),"")</f>
        <v/>
      </c>
      <c r="F540" s="263">
        <f>IFERROR((N540/MAX(N:N)*_MOVw)+(O540/MAX(O:O)*_WINw)+(P540/MAX(P:P)*_PPGw)+(Q540/MAX(Q:Q)*_ORw)+(R540/MAX(R:R)*_DRw),"")</f>
        <v/>
      </c>
      <c r="N540" s="156">
        <f>IFERROR(VLOOKUP(H540,Matrix!A:AC,12,0)-VLOOKUP(J540,Matrix!A:AC,12,0),"")</f>
        <v/>
      </c>
      <c r="O540" s="182">
        <f>IFERROR(AVERAGEIFS(2025Schedule!O:O,2025Schedule!E:E,H540,2025Schedule!N:N,A540)-AVERAGEIFS(2025Schedule!O:O,2025Schedule!E:E,J540,2025Schedule!N:N,B540),0)</f>
        <v/>
      </c>
      <c r="P540" s="156">
        <f>IFERROR(VLOOKUP(H540,Matrix!A:D,2,0)-VLOOKUP(J540,Matrix!A:D,2,0),"")</f>
        <v/>
      </c>
      <c r="Q540" s="156">
        <f>IFERROR(VLOOKUP(H540,Matrix!A:AC,15,0)-VLOOKUP(J540,Matrix!A:AC,15,0),"")</f>
        <v/>
      </c>
      <c r="R540" s="156">
        <f>IFERROR(VLOOKUP(H540,Matrix!A:AC,16,0)-VLOOKUP(J540,Matrix!A:AC,16,0),"")</f>
        <v/>
      </c>
      <c r="S540" s="195">
        <f>H540</f>
        <v/>
      </c>
      <c r="T540" s="195">
        <f>IFERROR(VLOOKUP(G540&amp;H540,2025Schedule!A:F,6,0),"")</f>
        <v/>
      </c>
      <c r="U540" s="264">
        <f>J540</f>
        <v/>
      </c>
      <c r="V540" s="195">
        <f>IFERROR(VLOOKUP(G540&amp;J540,2025Schedule!A:F,6,0),"")</f>
        <v/>
      </c>
    </row>
    <row r="541" ht="14.4" customHeight="1" s="152">
      <c r="A541" s="241">
        <f>H541&amp;I541</f>
        <v/>
      </c>
      <c r="B541" s="241">
        <f>J541&amp;C541</f>
        <v/>
      </c>
      <c r="C541" s="241">
        <f>IFERROR(IF(I541="Home","Away",IF(I541="Away","Home","")),"")</f>
        <v/>
      </c>
      <c r="D541" s="242">
        <f>H541</f>
        <v/>
      </c>
      <c r="E541" s="157">
        <f>IFERROR(IF(AND(F541&gt;0,T541&gt;V541),"Yes",IF(AND(F541&gt;0,T541&lt;V541),"No",IF(AND(F541&lt;0,T541&lt;V541),"Yes",IF(AND(F541&lt;0,T541&gt;V541),"No",0)))),"")</f>
        <v/>
      </c>
      <c r="F541" s="263">
        <f>IFERROR((N541/MAX(N:N)*_MOVw)+(O541/MAX(O:O)*_WINw)+(P541/MAX(P:P)*_PPGw)+(Q541/MAX(Q:Q)*_ORw)+(R541/MAX(R:R)*_DRw),"")</f>
        <v/>
      </c>
      <c r="N541" s="156">
        <f>IFERROR(VLOOKUP(H541,Matrix!A:AC,12,0)-VLOOKUP(J541,Matrix!A:AC,12,0),"")</f>
        <v/>
      </c>
      <c r="O541" s="182">
        <f>IFERROR(AVERAGEIFS(2025Schedule!O:O,2025Schedule!E:E,H541,2025Schedule!N:N,A541)-AVERAGEIFS(2025Schedule!O:O,2025Schedule!E:E,J541,2025Schedule!N:N,B541),0)</f>
        <v/>
      </c>
      <c r="P541" s="156">
        <f>IFERROR(VLOOKUP(H541,Matrix!A:D,2,0)-VLOOKUP(J541,Matrix!A:D,2,0),"")</f>
        <v/>
      </c>
      <c r="Q541" s="156">
        <f>IFERROR(VLOOKUP(H541,Matrix!A:AC,15,0)-VLOOKUP(J541,Matrix!A:AC,15,0),"")</f>
        <v/>
      </c>
      <c r="R541" s="156">
        <f>IFERROR(VLOOKUP(H541,Matrix!A:AC,16,0)-VLOOKUP(J541,Matrix!A:AC,16,0),"")</f>
        <v/>
      </c>
      <c r="S541" s="195">
        <f>H541</f>
        <v/>
      </c>
      <c r="T541" s="195">
        <f>IFERROR(VLOOKUP(G541&amp;H541,2025Schedule!A:F,6,0),"")</f>
        <v/>
      </c>
      <c r="U541" s="264">
        <f>J541</f>
        <v/>
      </c>
      <c r="V541" s="195">
        <f>IFERROR(VLOOKUP(G541&amp;J541,2025Schedule!A:F,6,0),"")</f>
        <v/>
      </c>
    </row>
    <row r="542" ht="14.4" customHeight="1" s="152">
      <c r="A542" s="241">
        <f>H542&amp;I542</f>
        <v/>
      </c>
      <c r="B542" s="241">
        <f>J542&amp;C542</f>
        <v/>
      </c>
      <c r="C542" s="241">
        <f>IFERROR(IF(I542="Home","Away",IF(I542="Away","Home","")),"")</f>
        <v/>
      </c>
      <c r="D542" s="242">
        <f>H542</f>
        <v/>
      </c>
      <c r="E542" s="157">
        <f>IFERROR(IF(AND(F542&gt;0,T542&gt;V542),"Yes",IF(AND(F542&gt;0,T542&lt;V542),"No",IF(AND(F542&lt;0,T542&lt;V542),"Yes",IF(AND(F542&lt;0,T542&gt;V542),"No",0)))),"")</f>
        <v/>
      </c>
      <c r="F542" s="263">
        <f>IFERROR((N542/MAX(N:N)*_MOVw)+(O542/MAX(O:O)*_WINw)+(P542/MAX(P:P)*_PPGw)+(Q542/MAX(Q:Q)*_ORw)+(R542/MAX(R:R)*_DRw),"")</f>
        <v/>
      </c>
      <c r="N542" s="156">
        <f>IFERROR(VLOOKUP(H542,Matrix!A:AC,12,0)-VLOOKUP(J542,Matrix!A:AC,12,0),"")</f>
        <v/>
      </c>
      <c r="O542" s="182">
        <f>IFERROR(AVERAGEIFS(2025Schedule!O:O,2025Schedule!E:E,H542,2025Schedule!N:N,A542)-AVERAGEIFS(2025Schedule!O:O,2025Schedule!E:E,J542,2025Schedule!N:N,B542),0)</f>
        <v/>
      </c>
      <c r="P542" s="156">
        <f>IFERROR(VLOOKUP(H542,Matrix!A:D,2,0)-VLOOKUP(J542,Matrix!A:D,2,0),"")</f>
        <v/>
      </c>
      <c r="Q542" s="156">
        <f>IFERROR(VLOOKUP(H542,Matrix!A:AC,15,0)-VLOOKUP(J542,Matrix!A:AC,15,0),"")</f>
        <v/>
      </c>
      <c r="R542" s="156">
        <f>IFERROR(VLOOKUP(H542,Matrix!A:AC,16,0)-VLOOKUP(J542,Matrix!A:AC,16,0),"")</f>
        <v/>
      </c>
      <c r="S542" s="195">
        <f>H542</f>
        <v/>
      </c>
      <c r="T542" s="195">
        <f>IFERROR(VLOOKUP(G542&amp;H542,2025Schedule!A:F,6,0),"")</f>
        <v/>
      </c>
      <c r="U542" s="264">
        <f>J542</f>
        <v/>
      </c>
      <c r="V542" s="195">
        <f>IFERROR(VLOOKUP(G542&amp;J542,2025Schedule!A:F,6,0),"")</f>
        <v/>
      </c>
    </row>
    <row r="543" ht="14.4" customHeight="1" s="152">
      <c r="A543" s="241">
        <f>H543&amp;I543</f>
        <v/>
      </c>
      <c r="B543" s="241">
        <f>J543&amp;C543</f>
        <v/>
      </c>
      <c r="C543" s="241">
        <f>IFERROR(IF(I543="Home","Away",IF(I543="Away","Home","")),"")</f>
        <v/>
      </c>
      <c r="D543" s="242">
        <f>H543</f>
        <v/>
      </c>
      <c r="E543" s="157">
        <f>IFERROR(IF(AND(F543&gt;0,T543&gt;V543),"Yes",IF(AND(F543&gt;0,T543&lt;V543),"No",IF(AND(F543&lt;0,T543&lt;V543),"Yes",IF(AND(F543&lt;0,T543&gt;V543),"No",0)))),"")</f>
        <v/>
      </c>
      <c r="F543" s="263">
        <f>IFERROR((N543/MAX(N:N)*_MOVw)+(O543/MAX(O:O)*_WINw)+(P543/MAX(P:P)*_PPGw)+(Q543/MAX(Q:Q)*_ORw)+(R543/MAX(R:R)*_DRw),"")</f>
        <v/>
      </c>
      <c r="N543" s="156">
        <f>IFERROR(VLOOKUP(H543,Matrix!A:AC,12,0)-VLOOKUP(J543,Matrix!A:AC,12,0),"")</f>
        <v/>
      </c>
      <c r="O543" s="182">
        <f>IFERROR(AVERAGEIFS(2025Schedule!O:O,2025Schedule!E:E,H543,2025Schedule!N:N,A543)-AVERAGEIFS(2025Schedule!O:O,2025Schedule!E:E,J543,2025Schedule!N:N,B543),0)</f>
        <v/>
      </c>
      <c r="P543" s="156">
        <f>IFERROR(VLOOKUP(H543,Matrix!A:D,2,0)-VLOOKUP(J543,Matrix!A:D,2,0),"")</f>
        <v/>
      </c>
      <c r="Q543" s="156">
        <f>IFERROR(VLOOKUP(H543,Matrix!A:AC,15,0)-VLOOKUP(J543,Matrix!A:AC,15,0),"")</f>
        <v/>
      </c>
      <c r="R543" s="156">
        <f>IFERROR(VLOOKUP(H543,Matrix!A:AC,16,0)-VLOOKUP(J543,Matrix!A:AC,16,0),"")</f>
        <v/>
      </c>
      <c r="S543" s="195">
        <f>H543</f>
        <v/>
      </c>
      <c r="T543" s="195">
        <f>IFERROR(VLOOKUP(G543&amp;H543,2025Schedule!A:F,6,0),"")</f>
        <v/>
      </c>
      <c r="U543" s="264">
        <f>J543</f>
        <v/>
      </c>
      <c r="V543" s="195">
        <f>IFERROR(VLOOKUP(G543&amp;J543,2025Schedule!A:F,6,0),"")</f>
        <v/>
      </c>
    </row>
    <row r="544" ht="14.4" customHeight="1" s="152">
      <c r="A544" s="241">
        <f>H544&amp;I544</f>
        <v/>
      </c>
      <c r="B544" s="241">
        <f>J544&amp;C544</f>
        <v/>
      </c>
      <c r="C544" s="241">
        <f>IFERROR(IF(I544="Home","Away",IF(I544="Away","Home","")),"")</f>
        <v/>
      </c>
      <c r="D544" s="242">
        <f>H544</f>
        <v/>
      </c>
      <c r="E544" s="157">
        <f>IFERROR(IF(AND(F544&gt;0,T544&gt;V544),"Yes",IF(AND(F544&gt;0,T544&lt;V544),"No",IF(AND(F544&lt;0,T544&lt;V544),"Yes",IF(AND(F544&lt;0,T544&gt;V544),"No",0)))),"")</f>
        <v/>
      </c>
      <c r="F544" s="263">
        <f>IFERROR((N544/MAX(N:N)*_MOVw)+(O544/MAX(O:O)*_WINw)+(P544/MAX(P:P)*_PPGw)+(Q544/MAX(Q:Q)*_ORw)+(R544/MAX(R:R)*_DRw),"")</f>
        <v/>
      </c>
      <c r="N544" s="156">
        <f>IFERROR(VLOOKUP(H544,Matrix!A:AC,12,0)-VLOOKUP(J544,Matrix!A:AC,12,0),"")</f>
        <v/>
      </c>
      <c r="O544" s="182">
        <f>IFERROR(AVERAGEIFS(2025Schedule!O:O,2025Schedule!E:E,H544,2025Schedule!N:N,A544)-AVERAGEIFS(2025Schedule!O:O,2025Schedule!E:E,J544,2025Schedule!N:N,B544),0)</f>
        <v/>
      </c>
      <c r="P544" s="156">
        <f>IFERROR(VLOOKUP(H544,Matrix!A:D,2,0)-VLOOKUP(J544,Matrix!A:D,2,0),"")</f>
        <v/>
      </c>
      <c r="Q544" s="156">
        <f>IFERROR(VLOOKUP(H544,Matrix!A:AC,15,0)-VLOOKUP(J544,Matrix!A:AC,15,0),"")</f>
        <v/>
      </c>
      <c r="R544" s="156">
        <f>IFERROR(VLOOKUP(H544,Matrix!A:AC,16,0)-VLOOKUP(J544,Matrix!A:AC,16,0),"")</f>
        <v/>
      </c>
      <c r="S544" s="195">
        <f>H544</f>
        <v/>
      </c>
      <c r="T544" s="195">
        <f>IFERROR(VLOOKUP(G544&amp;H544,2025Schedule!A:F,6,0),"")</f>
        <v/>
      </c>
      <c r="U544" s="264">
        <f>J544</f>
        <v/>
      </c>
      <c r="V544" s="195">
        <f>IFERROR(VLOOKUP(G544&amp;J544,2025Schedule!A:F,6,0),"")</f>
        <v/>
      </c>
    </row>
    <row r="545" ht="14.4" customHeight="1" s="152">
      <c r="A545" s="241">
        <f>H545&amp;I545</f>
        <v/>
      </c>
      <c r="B545" s="241">
        <f>J545&amp;C545</f>
        <v/>
      </c>
      <c r="C545" s="241">
        <f>IFERROR(IF(I545="Home","Away",IF(I545="Away","Home","")),"")</f>
        <v/>
      </c>
      <c r="D545" s="242">
        <f>H545</f>
        <v/>
      </c>
      <c r="E545" s="157">
        <f>IFERROR(IF(AND(F545&gt;0,T545&gt;V545),"Yes",IF(AND(F545&gt;0,T545&lt;V545),"No",IF(AND(F545&lt;0,T545&lt;V545),"Yes",IF(AND(F545&lt;0,T545&gt;V545),"No",0)))),"")</f>
        <v/>
      </c>
      <c r="F545" s="263">
        <f>IFERROR((N545/MAX(N:N)*_MOVw)+(O545/MAX(O:O)*_WINw)+(P545/MAX(P:P)*_PPGw)+(Q545/MAX(Q:Q)*_ORw)+(R545/MAX(R:R)*_DRw),"")</f>
        <v/>
      </c>
      <c r="N545" s="156">
        <f>IFERROR(VLOOKUP(H545,Matrix!A:AC,12,0)-VLOOKUP(J545,Matrix!A:AC,12,0),"")</f>
        <v/>
      </c>
      <c r="O545" s="182">
        <f>IFERROR(AVERAGEIFS(2025Schedule!O:O,2025Schedule!E:E,H545,2025Schedule!N:N,A545)-AVERAGEIFS(2025Schedule!O:O,2025Schedule!E:E,J545,2025Schedule!N:N,B545),0)</f>
        <v/>
      </c>
      <c r="P545" s="156">
        <f>IFERROR(VLOOKUP(H545,Matrix!A:D,2,0)-VLOOKUP(J545,Matrix!A:D,2,0),"")</f>
        <v/>
      </c>
      <c r="Q545" s="156">
        <f>IFERROR(VLOOKUP(H545,Matrix!A:AC,15,0)-VLOOKUP(J545,Matrix!A:AC,15,0),"")</f>
        <v/>
      </c>
      <c r="R545" s="156">
        <f>IFERROR(VLOOKUP(H545,Matrix!A:AC,16,0)-VLOOKUP(J545,Matrix!A:AC,16,0),"")</f>
        <v/>
      </c>
      <c r="S545" s="195">
        <f>H545</f>
        <v/>
      </c>
      <c r="T545" s="195">
        <f>IFERROR(VLOOKUP(G545&amp;H545,2025Schedule!A:F,6,0),"")</f>
        <v/>
      </c>
      <c r="U545" s="264">
        <f>J545</f>
        <v/>
      </c>
      <c r="V545" s="195">
        <f>IFERROR(VLOOKUP(G545&amp;J545,2025Schedule!A:F,6,0),"")</f>
        <v/>
      </c>
    </row>
    <row r="546" ht="14.4" customHeight="1" s="152">
      <c r="A546" s="241">
        <f>H546&amp;I546</f>
        <v/>
      </c>
      <c r="B546" s="241">
        <f>J546&amp;C546</f>
        <v/>
      </c>
      <c r="C546" s="241">
        <f>IFERROR(IF(I546="Home","Away",IF(I546="Away","Home","")),"")</f>
        <v/>
      </c>
      <c r="D546" s="242">
        <f>H546</f>
        <v/>
      </c>
      <c r="E546" s="157">
        <f>IFERROR(IF(AND(F546&gt;0,T546&gt;V546),"Yes",IF(AND(F546&gt;0,T546&lt;V546),"No",IF(AND(F546&lt;0,T546&lt;V546),"Yes",IF(AND(F546&lt;0,T546&gt;V546),"No",0)))),"")</f>
        <v/>
      </c>
      <c r="F546" s="263">
        <f>IFERROR((N546/MAX(N:N)*_MOVw)+(O546/MAX(O:O)*_WINw)+(P546/MAX(P:P)*_PPGw)+(Q546/MAX(Q:Q)*_ORw)+(R546/MAX(R:R)*_DRw),"")</f>
        <v/>
      </c>
      <c r="N546" s="156">
        <f>IFERROR(VLOOKUP(H546,Matrix!A:AC,12,0)-VLOOKUP(J546,Matrix!A:AC,12,0),"")</f>
        <v/>
      </c>
      <c r="O546" s="182">
        <f>IFERROR(AVERAGEIFS(2025Schedule!O:O,2025Schedule!E:E,H546,2025Schedule!N:N,A546)-AVERAGEIFS(2025Schedule!O:O,2025Schedule!E:E,J546,2025Schedule!N:N,B546),0)</f>
        <v/>
      </c>
      <c r="P546" s="156">
        <f>IFERROR(VLOOKUP(H546,Matrix!A:D,2,0)-VLOOKUP(J546,Matrix!A:D,2,0),"")</f>
        <v/>
      </c>
      <c r="Q546" s="156">
        <f>IFERROR(VLOOKUP(H546,Matrix!A:AC,15,0)-VLOOKUP(J546,Matrix!A:AC,15,0),"")</f>
        <v/>
      </c>
      <c r="R546" s="156">
        <f>IFERROR(VLOOKUP(H546,Matrix!A:AC,16,0)-VLOOKUP(J546,Matrix!A:AC,16,0),"")</f>
        <v/>
      </c>
      <c r="S546" s="195">
        <f>H546</f>
        <v/>
      </c>
      <c r="T546" s="195">
        <f>IFERROR(VLOOKUP(G546&amp;H546,2025Schedule!A:F,6,0),"")</f>
        <v/>
      </c>
      <c r="U546" s="264">
        <f>J546</f>
        <v/>
      </c>
      <c r="V546" s="195">
        <f>IFERROR(VLOOKUP(G546&amp;J546,2025Schedule!A:F,6,0),"")</f>
        <v/>
      </c>
    </row>
    <row r="547" ht="14.4" customHeight="1" s="152">
      <c r="A547" s="241">
        <f>H547&amp;I547</f>
        <v/>
      </c>
      <c r="B547" s="241">
        <f>J547&amp;C547</f>
        <v/>
      </c>
      <c r="C547" s="241">
        <f>IFERROR(IF(I547="Home","Away",IF(I547="Away","Home","")),"")</f>
        <v/>
      </c>
      <c r="D547" s="242">
        <f>H547</f>
        <v/>
      </c>
      <c r="E547" s="157">
        <f>IFERROR(IF(AND(F547&gt;0,T547&gt;V547),"Yes",IF(AND(F547&gt;0,T547&lt;V547),"No",IF(AND(F547&lt;0,T547&lt;V547),"Yes",IF(AND(F547&lt;0,T547&gt;V547),"No",0)))),"")</f>
        <v/>
      </c>
      <c r="F547" s="263">
        <f>IFERROR((N547/MAX(N:N)*_MOVw)+(O547/MAX(O:O)*_WINw)+(P547/MAX(P:P)*_PPGw)+(Q547/MAX(Q:Q)*_ORw)+(R547/MAX(R:R)*_DRw),"")</f>
        <v/>
      </c>
      <c r="N547" s="156">
        <f>IFERROR(VLOOKUP(H547,Matrix!A:AC,12,0)-VLOOKUP(J547,Matrix!A:AC,12,0),"")</f>
        <v/>
      </c>
      <c r="O547" s="182">
        <f>IFERROR(AVERAGEIFS(2025Schedule!O:O,2025Schedule!E:E,H547,2025Schedule!N:N,A547)-AVERAGEIFS(2025Schedule!O:O,2025Schedule!E:E,J547,2025Schedule!N:N,B547),0)</f>
        <v/>
      </c>
      <c r="P547" s="156">
        <f>IFERROR(VLOOKUP(H547,Matrix!A:D,2,0)-VLOOKUP(J547,Matrix!A:D,2,0),"")</f>
        <v/>
      </c>
      <c r="Q547" s="156">
        <f>IFERROR(VLOOKUP(H547,Matrix!A:AC,15,0)-VLOOKUP(J547,Matrix!A:AC,15,0),"")</f>
        <v/>
      </c>
      <c r="R547" s="156">
        <f>IFERROR(VLOOKUP(H547,Matrix!A:AC,16,0)-VLOOKUP(J547,Matrix!A:AC,16,0),"")</f>
        <v/>
      </c>
      <c r="S547" s="195">
        <f>H547</f>
        <v/>
      </c>
      <c r="T547" s="195">
        <f>IFERROR(VLOOKUP(G547&amp;H547,2025Schedule!A:F,6,0),"")</f>
        <v/>
      </c>
      <c r="U547" s="264">
        <f>J547</f>
        <v/>
      </c>
      <c r="V547" s="195">
        <f>IFERROR(VLOOKUP(G547&amp;J547,2025Schedule!A:F,6,0),"")</f>
        <v/>
      </c>
    </row>
    <row r="548" ht="14.4" customHeight="1" s="152">
      <c r="A548" s="241">
        <f>H548&amp;I548</f>
        <v/>
      </c>
      <c r="B548" s="241">
        <f>J548&amp;C548</f>
        <v/>
      </c>
      <c r="C548" s="241">
        <f>IFERROR(IF(I548="Home","Away",IF(I548="Away","Home","")),"")</f>
        <v/>
      </c>
      <c r="D548" s="242">
        <f>H548</f>
        <v/>
      </c>
      <c r="E548" s="157">
        <f>IFERROR(IF(AND(F548&gt;0,T548&gt;V548),"Yes",IF(AND(F548&gt;0,T548&lt;V548),"No",IF(AND(F548&lt;0,T548&lt;V548),"Yes",IF(AND(F548&lt;0,T548&gt;V548),"No",0)))),"")</f>
        <v/>
      </c>
      <c r="F548" s="263">
        <f>IFERROR((N548/MAX(N:N)*_MOVw)+(O548/MAX(O:O)*_WINw)+(P548/MAX(P:P)*_PPGw)+(Q548/MAX(Q:Q)*_ORw)+(R548/MAX(R:R)*_DRw),"")</f>
        <v/>
      </c>
      <c r="N548" s="156">
        <f>IFERROR(VLOOKUP(H548,Matrix!A:AC,12,0)-VLOOKUP(J548,Matrix!A:AC,12,0),"")</f>
        <v/>
      </c>
      <c r="O548" s="182">
        <f>IFERROR(AVERAGEIFS(2025Schedule!O:O,2025Schedule!E:E,H548,2025Schedule!N:N,A548)-AVERAGEIFS(2025Schedule!O:O,2025Schedule!E:E,J548,2025Schedule!N:N,B548),0)</f>
        <v/>
      </c>
      <c r="P548" s="156">
        <f>IFERROR(VLOOKUP(H548,Matrix!A:D,2,0)-VLOOKUP(J548,Matrix!A:D,2,0),"")</f>
        <v/>
      </c>
      <c r="Q548" s="156">
        <f>IFERROR(VLOOKUP(H548,Matrix!A:AC,15,0)-VLOOKUP(J548,Matrix!A:AC,15,0),"")</f>
        <v/>
      </c>
      <c r="R548" s="156">
        <f>IFERROR(VLOOKUP(H548,Matrix!A:AC,16,0)-VLOOKUP(J548,Matrix!A:AC,16,0),"")</f>
        <v/>
      </c>
      <c r="S548" s="195">
        <f>H548</f>
        <v/>
      </c>
      <c r="T548" s="195">
        <f>IFERROR(VLOOKUP(G548&amp;H548,2025Schedule!A:F,6,0),"")</f>
        <v/>
      </c>
      <c r="U548" s="264">
        <f>J548</f>
        <v/>
      </c>
      <c r="V548" s="195">
        <f>IFERROR(VLOOKUP(G548&amp;J548,2025Schedule!A:F,6,0),"")</f>
        <v/>
      </c>
    </row>
    <row r="549" ht="14.4" customHeight="1" s="152">
      <c r="A549" s="241">
        <f>H549&amp;I549</f>
        <v/>
      </c>
      <c r="B549" s="241">
        <f>J549&amp;C549</f>
        <v/>
      </c>
      <c r="C549" s="241">
        <f>IFERROR(IF(I549="Home","Away",IF(I549="Away","Home","")),"")</f>
        <v/>
      </c>
      <c r="D549" s="242">
        <f>H549</f>
        <v/>
      </c>
      <c r="E549" s="157">
        <f>IFERROR(IF(AND(F549&gt;0,T549&gt;V549),"Yes",IF(AND(F549&gt;0,T549&lt;V549),"No",IF(AND(F549&lt;0,T549&lt;V549),"Yes",IF(AND(F549&lt;0,T549&gt;V549),"No",0)))),"")</f>
        <v/>
      </c>
      <c r="F549" s="263">
        <f>IFERROR((N549/MAX(N:N)*_MOVw)+(O549/MAX(O:O)*_WINw)+(P549/MAX(P:P)*_PPGw)+(Q549/MAX(Q:Q)*_ORw)+(R549/MAX(R:R)*_DRw),"")</f>
        <v/>
      </c>
      <c r="N549" s="156">
        <f>IFERROR(VLOOKUP(H549,Matrix!A:AC,12,0)-VLOOKUP(J549,Matrix!A:AC,12,0),"")</f>
        <v/>
      </c>
      <c r="O549" s="182">
        <f>IFERROR(AVERAGEIFS(2025Schedule!O:O,2025Schedule!E:E,H549,2025Schedule!N:N,A549)-AVERAGEIFS(2025Schedule!O:O,2025Schedule!E:E,J549,2025Schedule!N:N,B549),0)</f>
        <v/>
      </c>
      <c r="P549" s="156">
        <f>IFERROR(VLOOKUP(H549,Matrix!A:D,2,0)-VLOOKUP(J549,Matrix!A:D,2,0),"")</f>
        <v/>
      </c>
      <c r="Q549" s="156">
        <f>IFERROR(VLOOKUP(H549,Matrix!A:AC,15,0)-VLOOKUP(J549,Matrix!A:AC,15,0),"")</f>
        <v/>
      </c>
      <c r="R549" s="156">
        <f>IFERROR(VLOOKUP(H549,Matrix!A:AC,16,0)-VLOOKUP(J549,Matrix!A:AC,16,0),"")</f>
        <v/>
      </c>
      <c r="S549" s="195">
        <f>H549</f>
        <v/>
      </c>
      <c r="T549" s="195">
        <f>IFERROR(VLOOKUP(G549&amp;H549,2025Schedule!A:F,6,0),"")</f>
        <v/>
      </c>
      <c r="U549" s="264">
        <f>J549</f>
        <v/>
      </c>
      <c r="V549" s="195">
        <f>IFERROR(VLOOKUP(G549&amp;J549,2025Schedule!A:F,6,0),"")</f>
        <v/>
      </c>
    </row>
    <row r="550" ht="14.4" customHeight="1" s="152">
      <c r="A550" s="241">
        <f>H550&amp;I550</f>
        <v/>
      </c>
      <c r="B550" s="241">
        <f>J550&amp;C550</f>
        <v/>
      </c>
      <c r="C550" s="241">
        <f>IFERROR(IF(I550="Home","Away",IF(I550="Away","Home","")),"")</f>
        <v/>
      </c>
      <c r="D550" s="242">
        <f>H550</f>
        <v/>
      </c>
      <c r="E550" s="157">
        <f>IFERROR(IF(AND(F550&gt;0,T550&gt;V550),"Yes",IF(AND(F550&gt;0,T550&lt;V550),"No",IF(AND(F550&lt;0,T550&lt;V550),"Yes",IF(AND(F550&lt;0,T550&gt;V550),"No",0)))),"")</f>
        <v/>
      </c>
      <c r="F550" s="263">
        <f>IFERROR((N550/MAX(N:N)*_MOVw)+(O550/MAX(O:O)*_WINw)+(P550/MAX(P:P)*_PPGw)+(Q550/MAX(Q:Q)*_ORw)+(R550/MAX(R:R)*_DRw),"")</f>
        <v/>
      </c>
      <c r="N550" s="156">
        <f>IFERROR(VLOOKUP(H550,Matrix!A:AC,12,0)-VLOOKUP(J550,Matrix!A:AC,12,0),"")</f>
        <v/>
      </c>
      <c r="O550" s="182">
        <f>IFERROR(AVERAGEIFS(2025Schedule!O:O,2025Schedule!E:E,H550,2025Schedule!N:N,A550)-AVERAGEIFS(2025Schedule!O:O,2025Schedule!E:E,J550,2025Schedule!N:N,B550),0)</f>
        <v/>
      </c>
      <c r="P550" s="156">
        <f>IFERROR(VLOOKUP(H550,Matrix!A:D,2,0)-VLOOKUP(J550,Matrix!A:D,2,0),"")</f>
        <v/>
      </c>
      <c r="Q550" s="156">
        <f>IFERROR(VLOOKUP(H550,Matrix!A:AC,15,0)-VLOOKUP(J550,Matrix!A:AC,15,0),"")</f>
        <v/>
      </c>
      <c r="R550" s="156">
        <f>IFERROR(VLOOKUP(H550,Matrix!A:AC,16,0)-VLOOKUP(J550,Matrix!A:AC,16,0),"")</f>
        <v/>
      </c>
      <c r="S550" s="195">
        <f>H550</f>
        <v/>
      </c>
      <c r="T550" s="195">
        <f>IFERROR(VLOOKUP(G550&amp;H550,2025Schedule!A:F,6,0),"")</f>
        <v/>
      </c>
      <c r="U550" s="264">
        <f>J550</f>
        <v/>
      </c>
      <c r="V550" s="195">
        <f>IFERROR(VLOOKUP(G550&amp;J550,2025Schedule!A:F,6,0),"")</f>
        <v/>
      </c>
    </row>
    <row r="551" ht="14.4" customHeight="1" s="152">
      <c r="A551" s="241">
        <f>H551&amp;I551</f>
        <v/>
      </c>
      <c r="B551" s="241">
        <f>J551&amp;C551</f>
        <v/>
      </c>
      <c r="C551" s="241">
        <f>IFERROR(IF(I551="Home","Away",IF(I551="Away","Home","")),"")</f>
        <v/>
      </c>
      <c r="D551" s="242">
        <f>H551</f>
        <v/>
      </c>
      <c r="E551" s="157">
        <f>IFERROR(IF(AND(F551&gt;0,T551&gt;V551),"Yes",IF(AND(F551&gt;0,T551&lt;V551),"No",IF(AND(F551&lt;0,T551&lt;V551),"Yes",IF(AND(F551&lt;0,T551&gt;V551),"No",0)))),"")</f>
        <v/>
      </c>
      <c r="F551" s="263">
        <f>IFERROR((N551/MAX(N:N)*_MOVw)+(O551/MAX(O:O)*_WINw)+(P551/MAX(P:P)*_PPGw)+(Q551/MAX(Q:Q)*_ORw)+(R551/MAX(R:R)*_DRw),"")</f>
        <v/>
      </c>
      <c r="N551" s="156">
        <f>IFERROR(VLOOKUP(H551,Matrix!A:AC,12,0)-VLOOKUP(J551,Matrix!A:AC,12,0),"")</f>
        <v/>
      </c>
      <c r="O551" s="182">
        <f>IFERROR(AVERAGEIFS(2025Schedule!O:O,2025Schedule!E:E,H551,2025Schedule!N:N,A551)-AVERAGEIFS(2025Schedule!O:O,2025Schedule!E:E,J551,2025Schedule!N:N,B551),0)</f>
        <v/>
      </c>
      <c r="P551" s="156">
        <f>IFERROR(VLOOKUP(H551,Matrix!A:D,2,0)-VLOOKUP(J551,Matrix!A:D,2,0),"")</f>
        <v/>
      </c>
      <c r="Q551" s="156">
        <f>IFERROR(VLOOKUP(H551,Matrix!A:AC,15,0)-VLOOKUP(J551,Matrix!A:AC,15,0),"")</f>
        <v/>
      </c>
      <c r="R551" s="156">
        <f>IFERROR(VLOOKUP(H551,Matrix!A:AC,16,0)-VLOOKUP(J551,Matrix!A:AC,16,0),"")</f>
        <v/>
      </c>
      <c r="S551" s="195">
        <f>H551</f>
        <v/>
      </c>
      <c r="T551" s="195">
        <f>IFERROR(VLOOKUP(G551&amp;H551,2025Schedule!A:F,6,0),"")</f>
        <v/>
      </c>
      <c r="U551" s="264">
        <f>J551</f>
        <v/>
      </c>
      <c r="V551" s="195">
        <f>IFERROR(VLOOKUP(G551&amp;J551,2025Schedule!A:F,6,0),"")</f>
        <v/>
      </c>
    </row>
    <row r="552" ht="14.4" customHeight="1" s="152">
      <c r="A552" s="241">
        <f>H552&amp;I552</f>
        <v/>
      </c>
      <c r="B552" s="241">
        <f>J552&amp;C552</f>
        <v/>
      </c>
      <c r="C552" s="241">
        <f>IFERROR(IF(I552="Home","Away",IF(I552="Away","Home","")),"")</f>
        <v/>
      </c>
      <c r="D552" s="242">
        <f>H552</f>
        <v/>
      </c>
      <c r="E552" s="157">
        <f>IFERROR(IF(AND(F552&gt;0,T552&gt;V552),"Yes",IF(AND(F552&gt;0,T552&lt;V552),"No",IF(AND(F552&lt;0,T552&lt;V552),"Yes",IF(AND(F552&lt;0,T552&gt;V552),"No",0)))),"")</f>
        <v/>
      </c>
      <c r="F552" s="263">
        <f>IFERROR((N552/MAX(N:N)*_MOVw)+(O552/MAX(O:O)*_WINw)+(P552/MAX(P:P)*_PPGw)+(Q552/MAX(Q:Q)*_ORw)+(R552/MAX(R:R)*_DRw),"")</f>
        <v/>
      </c>
      <c r="N552" s="156">
        <f>IFERROR(VLOOKUP(H552,Matrix!A:AC,12,0)-VLOOKUP(J552,Matrix!A:AC,12,0),"")</f>
        <v/>
      </c>
      <c r="O552" s="182">
        <f>IFERROR(AVERAGEIFS(2025Schedule!O:O,2025Schedule!E:E,H552,2025Schedule!N:N,A552)-AVERAGEIFS(2025Schedule!O:O,2025Schedule!E:E,J552,2025Schedule!N:N,B552),0)</f>
        <v/>
      </c>
      <c r="P552" s="156">
        <f>IFERROR(VLOOKUP(H552,Matrix!A:D,2,0)-VLOOKUP(J552,Matrix!A:D,2,0),"")</f>
        <v/>
      </c>
      <c r="Q552" s="156">
        <f>IFERROR(VLOOKUP(H552,Matrix!A:AC,15,0)-VLOOKUP(J552,Matrix!A:AC,15,0),"")</f>
        <v/>
      </c>
      <c r="R552" s="156">
        <f>IFERROR(VLOOKUP(H552,Matrix!A:AC,16,0)-VLOOKUP(J552,Matrix!A:AC,16,0),"")</f>
        <v/>
      </c>
      <c r="S552" s="195">
        <f>H552</f>
        <v/>
      </c>
      <c r="T552" s="195">
        <f>IFERROR(VLOOKUP(G552&amp;H552,2025Schedule!A:F,6,0),"")</f>
        <v/>
      </c>
      <c r="U552" s="264">
        <f>J552</f>
        <v/>
      </c>
      <c r="V552" s="195">
        <f>IFERROR(VLOOKUP(G552&amp;J552,2025Schedule!A:F,6,0),"")</f>
        <v/>
      </c>
    </row>
    <row r="553" ht="14.4" customHeight="1" s="152">
      <c r="A553" s="241">
        <f>H553&amp;I553</f>
        <v/>
      </c>
      <c r="B553" s="241">
        <f>J553&amp;C553</f>
        <v/>
      </c>
      <c r="C553" s="241">
        <f>IFERROR(IF(I553="Home","Away",IF(I553="Away","Home","")),"")</f>
        <v/>
      </c>
      <c r="D553" s="242">
        <f>H553</f>
        <v/>
      </c>
      <c r="E553" s="157">
        <f>IFERROR(IF(AND(F553&gt;0,T553&gt;V553),"Yes",IF(AND(F553&gt;0,T553&lt;V553),"No",IF(AND(F553&lt;0,T553&lt;V553),"Yes",IF(AND(F553&lt;0,T553&gt;V553),"No",0)))),"")</f>
        <v/>
      </c>
      <c r="F553" s="263">
        <f>IFERROR((N553/MAX(N:N)*_MOVw)+(O553/MAX(O:O)*_WINw)+(P553/MAX(P:P)*_PPGw)+(Q553/MAX(Q:Q)*_ORw)+(R553/MAX(R:R)*_DRw),"")</f>
        <v/>
      </c>
      <c r="N553" s="156">
        <f>IFERROR(VLOOKUP(H553,Matrix!A:AC,12,0)-VLOOKUP(J553,Matrix!A:AC,12,0),"")</f>
        <v/>
      </c>
      <c r="O553" s="182">
        <f>IFERROR(AVERAGEIFS(2025Schedule!O:O,2025Schedule!E:E,H553,2025Schedule!N:N,A553)-AVERAGEIFS(2025Schedule!O:O,2025Schedule!E:E,J553,2025Schedule!N:N,B553),0)</f>
        <v/>
      </c>
      <c r="P553" s="156">
        <f>IFERROR(VLOOKUP(H553,Matrix!A:D,2,0)-VLOOKUP(J553,Matrix!A:D,2,0),"")</f>
        <v/>
      </c>
      <c r="Q553" s="156">
        <f>IFERROR(VLOOKUP(H553,Matrix!A:AC,15,0)-VLOOKUP(J553,Matrix!A:AC,15,0),"")</f>
        <v/>
      </c>
      <c r="R553" s="156">
        <f>IFERROR(VLOOKUP(H553,Matrix!A:AC,16,0)-VLOOKUP(J553,Matrix!A:AC,16,0),"")</f>
        <v/>
      </c>
      <c r="S553" s="195">
        <f>H553</f>
        <v/>
      </c>
      <c r="T553" s="195">
        <f>IFERROR(VLOOKUP(G553&amp;H553,2025Schedule!A:F,6,0),"")</f>
        <v/>
      </c>
      <c r="U553" s="264">
        <f>J553</f>
        <v/>
      </c>
      <c r="V553" s="195">
        <f>IFERROR(VLOOKUP(G553&amp;J553,2025Schedule!A:F,6,0),"")</f>
        <v/>
      </c>
    </row>
    <row r="554" ht="14.4" customHeight="1" s="152">
      <c r="A554" s="241">
        <f>H554&amp;I554</f>
        <v/>
      </c>
      <c r="B554" s="241">
        <f>J554&amp;C554</f>
        <v/>
      </c>
      <c r="C554" s="241">
        <f>IFERROR(IF(I554="Home","Away",IF(I554="Away","Home","")),"")</f>
        <v/>
      </c>
      <c r="D554" s="242">
        <f>H554</f>
        <v/>
      </c>
      <c r="E554" s="157">
        <f>IFERROR(IF(AND(F554&gt;0,T554&gt;V554),"Yes",IF(AND(F554&gt;0,T554&lt;V554),"No",IF(AND(F554&lt;0,T554&lt;V554),"Yes",IF(AND(F554&lt;0,T554&gt;V554),"No",0)))),"")</f>
        <v/>
      </c>
      <c r="F554" s="263">
        <f>IFERROR((N554/MAX(N:N)*_MOVw)+(O554/MAX(O:O)*_WINw)+(P554/MAX(P:P)*_PPGw)+(Q554/MAX(Q:Q)*_ORw)+(R554/MAX(R:R)*_DRw),"")</f>
        <v/>
      </c>
      <c r="N554" s="156">
        <f>IFERROR(VLOOKUP(H554,Matrix!A:AC,12,0)-VLOOKUP(J554,Matrix!A:AC,12,0),"")</f>
        <v/>
      </c>
      <c r="O554" s="182">
        <f>IFERROR(AVERAGEIFS(2025Schedule!O:O,2025Schedule!E:E,H554,2025Schedule!N:N,A554)-AVERAGEIFS(2025Schedule!O:O,2025Schedule!E:E,J554,2025Schedule!N:N,B554),0)</f>
        <v/>
      </c>
      <c r="P554" s="156">
        <f>IFERROR(VLOOKUP(H554,Matrix!A:D,2,0)-VLOOKUP(J554,Matrix!A:D,2,0),"")</f>
        <v/>
      </c>
      <c r="Q554" s="156">
        <f>IFERROR(VLOOKUP(H554,Matrix!A:AC,15,0)-VLOOKUP(J554,Matrix!A:AC,15,0),"")</f>
        <v/>
      </c>
      <c r="R554" s="156">
        <f>IFERROR(VLOOKUP(H554,Matrix!A:AC,16,0)-VLOOKUP(J554,Matrix!A:AC,16,0),"")</f>
        <v/>
      </c>
      <c r="S554" s="195">
        <f>H554</f>
        <v/>
      </c>
      <c r="T554" s="195">
        <f>IFERROR(VLOOKUP(G554&amp;H554,2025Schedule!A:F,6,0),"")</f>
        <v/>
      </c>
      <c r="U554" s="264">
        <f>J554</f>
        <v/>
      </c>
      <c r="V554" s="195">
        <f>IFERROR(VLOOKUP(G554&amp;J554,2025Schedule!A:F,6,0),"")</f>
        <v/>
      </c>
    </row>
    <row r="555" ht="14.4" customHeight="1" s="152">
      <c r="A555" s="241">
        <f>H555&amp;I555</f>
        <v/>
      </c>
      <c r="B555" s="241">
        <f>J555&amp;C555</f>
        <v/>
      </c>
      <c r="C555" s="241">
        <f>IFERROR(IF(I555="Home","Away",IF(I555="Away","Home","")),"")</f>
        <v/>
      </c>
      <c r="D555" s="242">
        <f>H555</f>
        <v/>
      </c>
      <c r="E555" s="157">
        <f>IFERROR(IF(AND(F555&gt;0,T555&gt;V555),"Yes",IF(AND(F555&gt;0,T555&lt;V555),"No",IF(AND(F555&lt;0,T555&lt;V555),"Yes",IF(AND(F555&lt;0,T555&gt;V555),"No",0)))),"")</f>
        <v/>
      </c>
      <c r="F555" s="263">
        <f>IFERROR((N555/MAX(N:N)*_MOVw)+(O555/MAX(O:O)*_WINw)+(P555/MAX(P:P)*_PPGw)+(Q555/MAX(Q:Q)*_ORw)+(R555/MAX(R:R)*_DRw),"")</f>
        <v/>
      </c>
      <c r="N555" s="156">
        <f>IFERROR(VLOOKUP(H555,Matrix!A:AC,12,0)-VLOOKUP(J555,Matrix!A:AC,12,0),"")</f>
        <v/>
      </c>
      <c r="O555" s="182">
        <f>IFERROR(AVERAGEIFS(2025Schedule!O:O,2025Schedule!E:E,H555,2025Schedule!N:N,A555)-AVERAGEIFS(2025Schedule!O:O,2025Schedule!E:E,J555,2025Schedule!N:N,B555),0)</f>
        <v/>
      </c>
      <c r="P555" s="156">
        <f>IFERROR(VLOOKUP(H555,Matrix!A:D,2,0)-VLOOKUP(J555,Matrix!A:D,2,0),"")</f>
        <v/>
      </c>
      <c r="Q555" s="156">
        <f>IFERROR(VLOOKUP(H555,Matrix!A:AC,15,0)-VLOOKUP(J555,Matrix!A:AC,15,0),"")</f>
        <v/>
      </c>
      <c r="R555" s="156">
        <f>IFERROR(VLOOKUP(H555,Matrix!A:AC,16,0)-VLOOKUP(J555,Matrix!A:AC,16,0),"")</f>
        <v/>
      </c>
      <c r="S555" s="195">
        <f>H555</f>
        <v/>
      </c>
      <c r="T555" s="195">
        <f>IFERROR(VLOOKUP(G555&amp;H555,2025Schedule!A:F,6,0),"")</f>
        <v/>
      </c>
      <c r="U555" s="264">
        <f>J555</f>
        <v/>
      </c>
      <c r="V555" s="195">
        <f>IFERROR(VLOOKUP(G555&amp;J555,2025Schedule!A:F,6,0),"")</f>
        <v/>
      </c>
    </row>
    <row r="556" ht="14.4" customHeight="1" s="152">
      <c r="A556" s="241">
        <f>H556&amp;I556</f>
        <v/>
      </c>
      <c r="B556" s="241">
        <f>J556&amp;C556</f>
        <v/>
      </c>
      <c r="C556" s="241">
        <f>IFERROR(IF(I556="Home","Away",IF(I556="Away","Home","")),"")</f>
        <v/>
      </c>
      <c r="D556" s="242">
        <f>H556</f>
        <v/>
      </c>
      <c r="E556" s="157">
        <f>IFERROR(IF(AND(F556&gt;0,T556&gt;V556),"Yes",IF(AND(F556&gt;0,T556&lt;V556),"No",IF(AND(F556&lt;0,T556&lt;V556),"Yes",IF(AND(F556&lt;0,T556&gt;V556),"No",0)))),"")</f>
        <v/>
      </c>
      <c r="F556" s="263">
        <f>IFERROR((N556/MAX(N:N)*_MOVw)+(O556/MAX(O:O)*_WINw)+(P556/MAX(P:P)*_PPGw)+(Q556/MAX(Q:Q)*_ORw)+(R556/MAX(R:R)*_DRw),"")</f>
        <v/>
      </c>
      <c r="N556" s="156">
        <f>IFERROR(VLOOKUP(H556,Matrix!A:AC,12,0)-VLOOKUP(J556,Matrix!A:AC,12,0),"")</f>
        <v/>
      </c>
      <c r="O556" s="182">
        <f>IFERROR(AVERAGEIFS(2025Schedule!O:O,2025Schedule!E:E,H556,2025Schedule!N:N,A556)-AVERAGEIFS(2025Schedule!O:O,2025Schedule!E:E,J556,2025Schedule!N:N,B556),0)</f>
        <v/>
      </c>
      <c r="P556" s="156">
        <f>IFERROR(VLOOKUP(H556,Matrix!A:D,2,0)-VLOOKUP(J556,Matrix!A:D,2,0),"")</f>
        <v/>
      </c>
      <c r="Q556" s="156">
        <f>IFERROR(VLOOKUP(H556,Matrix!A:AC,15,0)-VLOOKUP(J556,Matrix!A:AC,15,0),"")</f>
        <v/>
      </c>
      <c r="R556" s="156">
        <f>IFERROR(VLOOKUP(H556,Matrix!A:AC,16,0)-VLOOKUP(J556,Matrix!A:AC,16,0),"")</f>
        <v/>
      </c>
      <c r="S556" s="195">
        <f>H556</f>
        <v/>
      </c>
      <c r="T556" s="195">
        <f>IFERROR(VLOOKUP(G556&amp;H556,2025Schedule!A:F,6,0),"")</f>
        <v/>
      </c>
      <c r="U556" s="264">
        <f>J556</f>
        <v/>
      </c>
      <c r="V556" s="195">
        <f>IFERROR(VLOOKUP(G556&amp;J556,2025Schedule!A:F,6,0),"")</f>
        <v/>
      </c>
    </row>
    <row r="557" ht="14.4" customHeight="1" s="152">
      <c r="A557" s="241">
        <f>H557&amp;I557</f>
        <v/>
      </c>
      <c r="B557" s="241">
        <f>J557&amp;C557</f>
        <v/>
      </c>
      <c r="C557" s="241">
        <f>IFERROR(IF(I557="Home","Away",IF(I557="Away","Home","")),"")</f>
        <v/>
      </c>
      <c r="D557" s="242">
        <f>H557</f>
        <v/>
      </c>
      <c r="E557" s="157">
        <f>IFERROR(IF(AND(F557&gt;0,T557&gt;V557),"Yes",IF(AND(F557&gt;0,T557&lt;V557),"No",IF(AND(F557&lt;0,T557&lt;V557),"Yes",IF(AND(F557&lt;0,T557&gt;V557),"No",0)))),"")</f>
        <v/>
      </c>
      <c r="F557" s="263">
        <f>IFERROR((N557/MAX(N:N)*_MOVw)+(O557/MAX(O:O)*_WINw)+(P557/MAX(P:P)*_PPGw)+(Q557/MAX(Q:Q)*_ORw)+(R557/MAX(R:R)*_DRw),"")</f>
        <v/>
      </c>
      <c r="N557" s="156">
        <f>IFERROR(VLOOKUP(H557,Matrix!A:AC,12,0)-VLOOKUP(J557,Matrix!A:AC,12,0),"")</f>
        <v/>
      </c>
      <c r="O557" s="182">
        <f>IFERROR(AVERAGEIFS(2025Schedule!O:O,2025Schedule!E:E,H557,2025Schedule!N:N,A557)-AVERAGEIFS(2025Schedule!O:O,2025Schedule!E:E,J557,2025Schedule!N:N,B557),0)</f>
        <v/>
      </c>
      <c r="P557" s="156">
        <f>IFERROR(VLOOKUP(H557,Matrix!A:D,2,0)-VLOOKUP(J557,Matrix!A:D,2,0),"")</f>
        <v/>
      </c>
      <c r="Q557" s="156">
        <f>IFERROR(VLOOKUP(H557,Matrix!A:AC,15,0)-VLOOKUP(J557,Matrix!A:AC,15,0),"")</f>
        <v/>
      </c>
      <c r="R557" s="156">
        <f>IFERROR(VLOOKUP(H557,Matrix!A:AC,16,0)-VLOOKUP(J557,Matrix!A:AC,16,0),"")</f>
        <v/>
      </c>
      <c r="S557" s="195">
        <f>H557</f>
        <v/>
      </c>
      <c r="T557" s="195">
        <f>IFERROR(VLOOKUP(G557&amp;H557,2025Schedule!A:F,6,0),"")</f>
        <v/>
      </c>
      <c r="U557" s="264">
        <f>J557</f>
        <v/>
      </c>
      <c r="V557" s="195">
        <f>IFERROR(VLOOKUP(G557&amp;J557,2025Schedule!A:F,6,0),"")</f>
        <v/>
      </c>
    </row>
    <row r="558" ht="14.4" customHeight="1" s="152">
      <c r="A558" s="241">
        <f>H558&amp;I558</f>
        <v/>
      </c>
      <c r="B558" s="241">
        <f>J558&amp;C558</f>
        <v/>
      </c>
      <c r="C558" s="241">
        <f>IFERROR(IF(I558="Home","Away",IF(I558="Away","Home","")),"")</f>
        <v/>
      </c>
      <c r="D558" s="242">
        <f>H558</f>
        <v/>
      </c>
      <c r="E558" s="157">
        <f>IFERROR(IF(AND(F558&gt;0,T558&gt;V558),"Yes",IF(AND(F558&gt;0,T558&lt;V558),"No",IF(AND(F558&lt;0,T558&lt;V558),"Yes",IF(AND(F558&lt;0,T558&gt;V558),"No",0)))),"")</f>
        <v/>
      </c>
      <c r="F558" s="263">
        <f>IFERROR((N558/MAX(N:N)*_MOVw)+(O558/MAX(O:O)*_WINw)+(P558/MAX(P:P)*_PPGw)+(Q558/MAX(Q:Q)*_ORw)+(R558/MAX(R:R)*_DRw),"")</f>
        <v/>
      </c>
      <c r="N558" s="156">
        <f>IFERROR(VLOOKUP(H558,Matrix!A:AC,12,0)-VLOOKUP(J558,Matrix!A:AC,12,0),"")</f>
        <v/>
      </c>
      <c r="O558" s="182">
        <f>IFERROR(AVERAGEIFS(2025Schedule!O:O,2025Schedule!E:E,H558,2025Schedule!N:N,A558)-AVERAGEIFS(2025Schedule!O:O,2025Schedule!E:E,J558,2025Schedule!N:N,B558),0)</f>
        <v/>
      </c>
      <c r="P558" s="156">
        <f>IFERROR(VLOOKUP(H558,Matrix!A:D,2,0)-VLOOKUP(J558,Matrix!A:D,2,0),"")</f>
        <v/>
      </c>
      <c r="Q558" s="156">
        <f>IFERROR(VLOOKUP(H558,Matrix!A:AC,15,0)-VLOOKUP(J558,Matrix!A:AC,15,0),"")</f>
        <v/>
      </c>
      <c r="R558" s="156">
        <f>IFERROR(VLOOKUP(H558,Matrix!A:AC,16,0)-VLOOKUP(J558,Matrix!A:AC,16,0),"")</f>
        <v/>
      </c>
      <c r="S558" s="195">
        <f>H558</f>
        <v/>
      </c>
      <c r="T558" s="195">
        <f>IFERROR(VLOOKUP(G558&amp;H558,2025Schedule!A:F,6,0),"")</f>
        <v/>
      </c>
      <c r="U558" s="264">
        <f>J558</f>
        <v/>
      </c>
      <c r="V558" s="195">
        <f>IFERROR(VLOOKUP(G558&amp;J558,2025Schedule!A:F,6,0),"")</f>
        <v/>
      </c>
    </row>
    <row r="559" ht="14.4" customHeight="1" s="152">
      <c r="A559" s="241">
        <f>H559&amp;I559</f>
        <v/>
      </c>
      <c r="B559" s="241">
        <f>J559&amp;C559</f>
        <v/>
      </c>
      <c r="C559" s="241">
        <f>IFERROR(IF(I559="Home","Away",IF(I559="Away","Home","")),"")</f>
        <v/>
      </c>
      <c r="D559" s="242">
        <f>H559</f>
        <v/>
      </c>
      <c r="E559" s="157">
        <f>IFERROR(IF(AND(F559&gt;0,T559&gt;V559),"Yes",IF(AND(F559&gt;0,T559&lt;V559),"No",IF(AND(F559&lt;0,T559&lt;V559),"Yes",IF(AND(F559&lt;0,T559&gt;V559),"No",0)))),"")</f>
        <v/>
      </c>
      <c r="F559" s="263">
        <f>IFERROR((N559/MAX(N:N)*_MOVw)+(O559/MAX(O:O)*_WINw)+(P559/MAX(P:P)*_PPGw)+(Q559/MAX(Q:Q)*_ORw)+(R559/MAX(R:R)*_DRw),"")</f>
        <v/>
      </c>
      <c r="N559" s="156">
        <f>IFERROR(VLOOKUP(H559,Matrix!A:AC,12,0)-VLOOKUP(J559,Matrix!A:AC,12,0),"")</f>
        <v/>
      </c>
      <c r="O559" s="182">
        <f>IFERROR(AVERAGEIFS(2025Schedule!O:O,2025Schedule!E:E,H559,2025Schedule!N:N,A559)-AVERAGEIFS(2025Schedule!O:O,2025Schedule!E:E,J559,2025Schedule!N:N,B559),0)</f>
        <v/>
      </c>
      <c r="P559" s="156">
        <f>IFERROR(VLOOKUP(H559,Matrix!A:D,2,0)-VLOOKUP(J559,Matrix!A:D,2,0),"")</f>
        <v/>
      </c>
      <c r="Q559" s="156">
        <f>IFERROR(VLOOKUP(H559,Matrix!A:AC,15,0)-VLOOKUP(J559,Matrix!A:AC,15,0),"")</f>
        <v/>
      </c>
      <c r="R559" s="156">
        <f>IFERROR(VLOOKUP(H559,Matrix!A:AC,16,0)-VLOOKUP(J559,Matrix!A:AC,16,0),"")</f>
        <v/>
      </c>
      <c r="S559" s="195">
        <f>H559</f>
        <v/>
      </c>
      <c r="T559" s="195">
        <f>IFERROR(VLOOKUP(G559&amp;H559,2025Schedule!A:F,6,0),"")</f>
        <v/>
      </c>
      <c r="U559" s="264">
        <f>J559</f>
        <v/>
      </c>
      <c r="V559" s="195">
        <f>IFERROR(VLOOKUP(G559&amp;J559,2025Schedule!A:F,6,0),"")</f>
        <v/>
      </c>
    </row>
    <row r="560" ht="14.4" customHeight="1" s="152">
      <c r="A560" s="241">
        <f>H560&amp;I560</f>
        <v/>
      </c>
      <c r="B560" s="241">
        <f>J560&amp;C560</f>
        <v/>
      </c>
      <c r="C560" s="241">
        <f>IFERROR(IF(I560="Home","Away",IF(I560="Away","Home","")),"")</f>
        <v/>
      </c>
      <c r="D560" s="242">
        <f>H560</f>
        <v/>
      </c>
      <c r="E560" s="157">
        <f>IFERROR(IF(AND(F560&gt;0,T560&gt;V560),"Yes",IF(AND(F560&gt;0,T560&lt;V560),"No",IF(AND(F560&lt;0,T560&lt;V560),"Yes",IF(AND(F560&lt;0,T560&gt;V560),"No",0)))),"")</f>
        <v/>
      </c>
      <c r="F560" s="263">
        <f>IFERROR((N560/MAX(N:N)*_MOVw)+(O560/MAX(O:O)*_WINw)+(P560/MAX(P:P)*_PPGw)+(Q560/MAX(Q:Q)*_ORw)+(R560/MAX(R:R)*_DRw),"")</f>
        <v/>
      </c>
      <c r="N560" s="156">
        <f>IFERROR(VLOOKUP(H560,Matrix!A:AC,12,0)-VLOOKUP(J560,Matrix!A:AC,12,0),"")</f>
        <v/>
      </c>
      <c r="O560" s="182">
        <f>IFERROR(AVERAGEIFS(2025Schedule!O:O,2025Schedule!E:E,H560,2025Schedule!N:N,A560)-AVERAGEIFS(2025Schedule!O:O,2025Schedule!E:E,J560,2025Schedule!N:N,B560),0)</f>
        <v/>
      </c>
      <c r="P560" s="156">
        <f>IFERROR(VLOOKUP(H560,Matrix!A:D,2,0)-VLOOKUP(J560,Matrix!A:D,2,0),"")</f>
        <v/>
      </c>
      <c r="Q560" s="156">
        <f>IFERROR(VLOOKUP(H560,Matrix!A:AC,15,0)-VLOOKUP(J560,Matrix!A:AC,15,0),"")</f>
        <v/>
      </c>
      <c r="R560" s="156">
        <f>IFERROR(VLOOKUP(H560,Matrix!A:AC,16,0)-VLOOKUP(J560,Matrix!A:AC,16,0),"")</f>
        <v/>
      </c>
      <c r="S560" s="195">
        <f>H560</f>
        <v/>
      </c>
      <c r="T560" s="195">
        <f>IFERROR(VLOOKUP(G560&amp;H560,2025Schedule!A:F,6,0),"")</f>
        <v/>
      </c>
      <c r="U560" s="264">
        <f>J560</f>
        <v/>
      </c>
      <c r="V560" s="195">
        <f>IFERROR(VLOOKUP(G560&amp;J560,2025Schedule!A:F,6,0),"")</f>
        <v/>
      </c>
    </row>
    <row r="561" ht="14.4" customHeight="1" s="152">
      <c r="A561" s="241">
        <f>H561&amp;I561</f>
        <v/>
      </c>
      <c r="B561" s="241">
        <f>J561&amp;C561</f>
        <v/>
      </c>
      <c r="C561" s="241">
        <f>IFERROR(IF(I561="Home","Away",IF(I561="Away","Home","")),"")</f>
        <v/>
      </c>
      <c r="D561" s="242">
        <f>H561</f>
        <v/>
      </c>
      <c r="E561" s="157">
        <f>IFERROR(IF(AND(F561&gt;0,T561&gt;V561),"Yes",IF(AND(F561&gt;0,T561&lt;V561),"No",IF(AND(F561&lt;0,T561&lt;V561),"Yes",IF(AND(F561&lt;0,T561&gt;V561),"No",0)))),"")</f>
        <v/>
      </c>
      <c r="F561" s="263">
        <f>IFERROR((N561/MAX(N:N)*_MOVw)+(O561/MAX(O:O)*_WINw)+(P561/MAX(P:P)*_PPGw)+(Q561/MAX(Q:Q)*_ORw)+(R561/MAX(R:R)*_DRw),"")</f>
        <v/>
      </c>
      <c r="N561" s="156">
        <f>IFERROR(VLOOKUP(H561,Matrix!A:AC,12,0)-VLOOKUP(J561,Matrix!A:AC,12,0),"")</f>
        <v/>
      </c>
      <c r="O561" s="182">
        <f>IFERROR(AVERAGEIFS(2025Schedule!O:O,2025Schedule!E:E,H561,2025Schedule!N:N,A561)-AVERAGEIFS(2025Schedule!O:O,2025Schedule!E:E,J561,2025Schedule!N:N,B561),0)</f>
        <v/>
      </c>
      <c r="P561" s="156">
        <f>IFERROR(VLOOKUP(H561,Matrix!A:D,2,0)-VLOOKUP(J561,Matrix!A:D,2,0),"")</f>
        <v/>
      </c>
      <c r="Q561" s="156">
        <f>IFERROR(VLOOKUP(H561,Matrix!A:AC,15,0)-VLOOKUP(J561,Matrix!A:AC,15,0),"")</f>
        <v/>
      </c>
      <c r="R561" s="156">
        <f>IFERROR(VLOOKUP(H561,Matrix!A:AC,16,0)-VLOOKUP(J561,Matrix!A:AC,16,0),"")</f>
        <v/>
      </c>
      <c r="S561" s="195">
        <f>H561</f>
        <v/>
      </c>
      <c r="T561" s="195">
        <f>IFERROR(VLOOKUP(G561&amp;H561,2025Schedule!A:F,6,0),"")</f>
        <v/>
      </c>
      <c r="U561" s="264">
        <f>J561</f>
        <v/>
      </c>
      <c r="V561" s="195">
        <f>IFERROR(VLOOKUP(G561&amp;J561,2025Schedule!A:F,6,0),"")</f>
        <v/>
      </c>
    </row>
    <row r="562" ht="14.4" customHeight="1" s="152">
      <c r="A562" s="241">
        <f>H562&amp;I562</f>
        <v/>
      </c>
      <c r="B562" s="241">
        <f>J562&amp;C562</f>
        <v/>
      </c>
      <c r="C562" s="241">
        <f>IFERROR(IF(I562="Home","Away",IF(I562="Away","Home","")),"")</f>
        <v/>
      </c>
      <c r="D562" s="242">
        <f>H562</f>
        <v/>
      </c>
      <c r="E562" s="157">
        <f>IFERROR(IF(AND(F562&gt;0,T562&gt;V562),"Yes",IF(AND(F562&gt;0,T562&lt;V562),"No",IF(AND(F562&lt;0,T562&lt;V562),"Yes",IF(AND(F562&lt;0,T562&gt;V562),"No",0)))),"")</f>
        <v/>
      </c>
      <c r="F562" s="263">
        <f>IFERROR((N562/MAX(N:N)*_MOVw)+(O562/MAX(O:O)*_WINw)+(P562/MAX(P:P)*_PPGw)+(Q562/MAX(Q:Q)*_ORw)+(R562/MAX(R:R)*_DRw),"")</f>
        <v/>
      </c>
      <c r="N562" s="156">
        <f>IFERROR(VLOOKUP(H562,Matrix!A:AC,12,0)-VLOOKUP(J562,Matrix!A:AC,12,0),"")</f>
        <v/>
      </c>
      <c r="O562" s="182">
        <f>IFERROR(AVERAGEIFS(2025Schedule!O:O,2025Schedule!E:E,H562,2025Schedule!N:N,A562)-AVERAGEIFS(2025Schedule!O:O,2025Schedule!E:E,J562,2025Schedule!N:N,B562),0)</f>
        <v/>
      </c>
      <c r="P562" s="156">
        <f>IFERROR(VLOOKUP(H562,Matrix!A:D,2,0)-VLOOKUP(J562,Matrix!A:D,2,0),"")</f>
        <v/>
      </c>
      <c r="Q562" s="156">
        <f>IFERROR(VLOOKUP(H562,Matrix!A:AC,15,0)-VLOOKUP(J562,Matrix!A:AC,15,0),"")</f>
        <v/>
      </c>
      <c r="R562" s="156">
        <f>IFERROR(VLOOKUP(H562,Matrix!A:AC,16,0)-VLOOKUP(J562,Matrix!A:AC,16,0),"")</f>
        <v/>
      </c>
      <c r="S562" s="195">
        <f>H562</f>
        <v/>
      </c>
      <c r="T562" s="195">
        <f>IFERROR(VLOOKUP(G562&amp;H562,2025Schedule!A:F,6,0),"")</f>
        <v/>
      </c>
      <c r="U562" s="264">
        <f>J562</f>
        <v/>
      </c>
      <c r="V562" s="195">
        <f>IFERROR(VLOOKUP(G562&amp;J562,2025Schedule!A:F,6,0),"")</f>
        <v/>
      </c>
    </row>
    <row r="563" ht="14.4" customHeight="1" s="152">
      <c r="A563" s="241">
        <f>H563&amp;I563</f>
        <v/>
      </c>
      <c r="B563" s="241">
        <f>J563&amp;C563</f>
        <v/>
      </c>
      <c r="C563" s="241">
        <f>IFERROR(IF(I563="Home","Away",IF(I563="Away","Home","")),"")</f>
        <v/>
      </c>
      <c r="D563" s="242">
        <f>H563</f>
        <v/>
      </c>
      <c r="E563" s="157">
        <f>IFERROR(IF(AND(F563&gt;0,T563&gt;V563),"Yes",IF(AND(F563&gt;0,T563&lt;V563),"No",IF(AND(F563&lt;0,T563&lt;V563),"Yes",IF(AND(F563&lt;0,T563&gt;V563),"No",0)))),"")</f>
        <v/>
      </c>
      <c r="F563" s="263">
        <f>IFERROR((N563/MAX(N:N)*_MOVw)+(O563/MAX(O:O)*_WINw)+(P563/MAX(P:P)*_PPGw)+(Q563/MAX(Q:Q)*_ORw)+(R563/MAX(R:R)*_DRw),"")</f>
        <v/>
      </c>
      <c r="N563" s="156">
        <f>IFERROR(VLOOKUP(H563,Matrix!A:AC,12,0)-VLOOKUP(J563,Matrix!A:AC,12,0),"")</f>
        <v/>
      </c>
      <c r="O563" s="182">
        <f>IFERROR(AVERAGEIFS(2025Schedule!O:O,2025Schedule!E:E,H563,2025Schedule!N:N,A563)-AVERAGEIFS(2025Schedule!O:O,2025Schedule!E:E,J563,2025Schedule!N:N,B563),0)</f>
        <v/>
      </c>
      <c r="P563" s="156">
        <f>IFERROR(VLOOKUP(H563,Matrix!A:D,2,0)-VLOOKUP(J563,Matrix!A:D,2,0),"")</f>
        <v/>
      </c>
      <c r="Q563" s="156">
        <f>IFERROR(VLOOKUP(H563,Matrix!A:AC,15,0)-VLOOKUP(J563,Matrix!A:AC,15,0),"")</f>
        <v/>
      </c>
      <c r="R563" s="156">
        <f>IFERROR(VLOOKUP(H563,Matrix!A:AC,16,0)-VLOOKUP(J563,Matrix!A:AC,16,0),"")</f>
        <v/>
      </c>
      <c r="S563" s="195">
        <f>H563</f>
        <v/>
      </c>
      <c r="T563" s="195">
        <f>IFERROR(VLOOKUP(G563&amp;H563,2025Schedule!A:F,6,0),"")</f>
        <v/>
      </c>
      <c r="U563" s="264">
        <f>J563</f>
        <v/>
      </c>
      <c r="V563" s="195">
        <f>IFERROR(VLOOKUP(G563&amp;J563,2025Schedule!A:F,6,0),"")</f>
        <v/>
      </c>
    </row>
    <row r="564" ht="14.4" customHeight="1" s="152">
      <c r="A564" s="241">
        <f>H564&amp;I564</f>
        <v/>
      </c>
      <c r="B564" s="241">
        <f>J564&amp;C564</f>
        <v/>
      </c>
      <c r="C564" s="241">
        <f>IFERROR(IF(I564="Home","Away",IF(I564="Away","Home","")),"")</f>
        <v/>
      </c>
      <c r="D564" s="242">
        <f>H564</f>
        <v/>
      </c>
      <c r="E564" s="157">
        <f>IFERROR(IF(AND(F564&gt;0,T564&gt;V564),"Yes",IF(AND(F564&gt;0,T564&lt;V564),"No",IF(AND(F564&lt;0,T564&lt;V564),"Yes",IF(AND(F564&lt;0,T564&gt;V564),"No",0)))),"")</f>
        <v/>
      </c>
      <c r="F564" s="263">
        <f>IFERROR((N564/MAX(N:N)*_MOVw)+(O564/MAX(O:O)*_WINw)+(P564/MAX(P:P)*_PPGw)+(Q564/MAX(Q:Q)*_ORw)+(R564/MAX(R:R)*_DRw),"")</f>
        <v/>
      </c>
      <c r="N564" s="156">
        <f>IFERROR(VLOOKUP(H564,Matrix!A:AC,12,0)-VLOOKUP(J564,Matrix!A:AC,12,0),"")</f>
        <v/>
      </c>
      <c r="O564" s="182">
        <f>IFERROR(AVERAGEIFS(2025Schedule!O:O,2025Schedule!E:E,H564,2025Schedule!N:N,A564)-AVERAGEIFS(2025Schedule!O:O,2025Schedule!E:E,J564,2025Schedule!N:N,B564),0)</f>
        <v/>
      </c>
      <c r="P564" s="156">
        <f>IFERROR(VLOOKUP(H564,Matrix!A:D,2,0)-VLOOKUP(J564,Matrix!A:D,2,0),"")</f>
        <v/>
      </c>
      <c r="Q564" s="156">
        <f>IFERROR(VLOOKUP(H564,Matrix!A:AC,15,0)-VLOOKUP(J564,Matrix!A:AC,15,0),"")</f>
        <v/>
      </c>
      <c r="R564" s="156">
        <f>IFERROR(VLOOKUP(H564,Matrix!A:AC,16,0)-VLOOKUP(J564,Matrix!A:AC,16,0),"")</f>
        <v/>
      </c>
      <c r="S564" s="195">
        <f>H564</f>
        <v/>
      </c>
      <c r="T564" s="195">
        <f>IFERROR(VLOOKUP(G564&amp;H564,2025Schedule!A:F,6,0),"")</f>
        <v/>
      </c>
      <c r="U564" s="264">
        <f>J564</f>
        <v/>
      </c>
      <c r="V564" s="195">
        <f>IFERROR(VLOOKUP(G564&amp;J564,2025Schedule!A:F,6,0),"")</f>
        <v/>
      </c>
    </row>
    <row r="565" ht="14.4" customHeight="1" s="152">
      <c r="A565" s="241">
        <f>H565&amp;I565</f>
        <v/>
      </c>
      <c r="B565" s="241">
        <f>J565&amp;C565</f>
        <v/>
      </c>
      <c r="C565" s="241">
        <f>IFERROR(IF(I565="Home","Away",IF(I565="Away","Home","")),"")</f>
        <v/>
      </c>
      <c r="D565" s="242">
        <f>H565</f>
        <v/>
      </c>
      <c r="E565" s="157">
        <f>IFERROR(IF(AND(F565&gt;0,T565&gt;V565),"Yes",IF(AND(F565&gt;0,T565&lt;V565),"No",IF(AND(F565&lt;0,T565&lt;V565),"Yes",IF(AND(F565&lt;0,T565&gt;V565),"No",0)))),"")</f>
        <v/>
      </c>
      <c r="F565" s="263">
        <f>IFERROR((N565/MAX(N:N)*_MOVw)+(O565/MAX(O:O)*_WINw)+(P565/MAX(P:P)*_PPGw)+(Q565/MAX(Q:Q)*_ORw)+(R565/MAX(R:R)*_DRw),"")</f>
        <v/>
      </c>
      <c r="N565" s="156">
        <f>IFERROR(VLOOKUP(H565,Matrix!A:AC,12,0)-VLOOKUP(J565,Matrix!A:AC,12,0),"")</f>
        <v/>
      </c>
      <c r="O565" s="182">
        <f>IFERROR(AVERAGEIFS(2025Schedule!O:O,2025Schedule!E:E,H565,2025Schedule!N:N,A565)-AVERAGEIFS(2025Schedule!O:O,2025Schedule!E:E,J565,2025Schedule!N:N,B565),0)</f>
        <v/>
      </c>
      <c r="P565" s="156">
        <f>IFERROR(VLOOKUP(H565,Matrix!A:D,2,0)-VLOOKUP(J565,Matrix!A:D,2,0),"")</f>
        <v/>
      </c>
      <c r="Q565" s="156">
        <f>IFERROR(VLOOKUP(H565,Matrix!A:AC,15,0)-VLOOKUP(J565,Matrix!A:AC,15,0),"")</f>
        <v/>
      </c>
      <c r="R565" s="156">
        <f>IFERROR(VLOOKUP(H565,Matrix!A:AC,16,0)-VLOOKUP(J565,Matrix!A:AC,16,0),"")</f>
        <v/>
      </c>
      <c r="S565" s="195">
        <f>H565</f>
        <v/>
      </c>
      <c r="T565" s="195">
        <f>IFERROR(VLOOKUP(G565&amp;H565,2025Schedule!A:F,6,0),"")</f>
        <v/>
      </c>
      <c r="U565" s="264">
        <f>J565</f>
        <v/>
      </c>
      <c r="V565" s="195">
        <f>IFERROR(VLOOKUP(G565&amp;J565,2025Schedule!A:F,6,0),"")</f>
        <v/>
      </c>
    </row>
    <row r="566" ht="14.4" customHeight="1" s="152">
      <c r="A566" s="241">
        <f>H566&amp;I566</f>
        <v/>
      </c>
      <c r="B566" s="241">
        <f>J566&amp;C566</f>
        <v/>
      </c>
      <c r="C566" s="241">
        <f>IFERROR(IF(I566="Home","Away",IF(I566="Away","Home","")),"")</f>
        <v/>
      </c>
      <c r="D566" s="242">
        <f>H566</f>
        <v/>
      </c>
      <c r="E566" s="157">
        <f>IFERROR(IF(AND(F566&gt;0,T566&gt;V566),"Yes",IF(AND(F566&gt;0,T566&lt;V566),"No",IF(AND(F566&lt;0,T566&lt;V566),"Yes",IF(AND(F566&lt;0,T566&gt;V566),"No",0)))),"")</f>
        <v/>
      </c>
      <c r="F566" s="263">
        <f>IFERROR((N566/MAX(N:N)*_MOVw)+(O566/MAX(O:O)*_WINw)+(P566/MAX(P:P)*_PPGw)+(Q566/MAX(Q:Q)*_ORw)+(R566/MAX(R:R)*_DRw),"")</f>
        <v/>
      </c>
      <c r="N566" s="156">
        <f>IFERROR(VLOOKUP(H566,Matrix!A:AC,12,0)-VLOOKUP(J566,Matrix!A:AC,12,0),"")</f>
        <v/>
      </c>
      <c r="O566" s="182">
        <f>IFERROR(AVERAGEIFS(2025Schedule!O:O,2025Schedule!E:E,H566,2025Schedule!N:N,A566)-AVERAGEIFS(2025Schedule!O:O,2025Schedule!E:E,J566,2025Schedule!N:N,B566),0)</f>
        <v/>
      </c>
      <c r="P566" s="156">
        <f>IFERROR(VLOOKUP(H566,Matrix!A:D,2,0)-VLOOKUP(J566,Matrix!A:D,2,0),"")</f>
        <v/>
      </c>
      <c r="Q566" s="156">
        <f>IFERROR(VLOOKUP(H566,Matrix!A:AC,15,0)-VLOOKUP(J566,Matrix!A:AC,15,0),"")</f>
        <v/>
      </c>
      <c r="R566" s="156">
        <f>IFERROR(VLOOKUP(H566,Matrix!A:AC,16,0)-VLOOKUP(J566,Matrix!A:AC,16,0),"")</f>
        <v/>
      </c>
      <c r="S566" s="195">
        <f>H566</f>
        <v/>
      </c>
      <c r="T566" s="195">
        <f>IFERROR(VLOOKUP(G566&amp;H566,2025Schedule!A:F,6,0),"")</f>
        <v/>
      </c>
      <c r="U566" s="264">
        <f>J566</f>
        <v/>
      </c>
      <c r="V566" s="195">
        <f>IFERROR(VLOOKUP(G566&amp;J566,2025Schedule!A:F,6,0),"")</f>
        <v/>
      </c>
    </row>
    <row r="567" ht="14.4" customHeight="1" s="152">
      <c r="A567" s="241">
        <f>H567&amp;I567</f>
        <v/>
      </c>
      <c r="B567" s="241">
        <f>J567&amp;C567</f>
        <v/>
      </c>
      <c r="C567" s="241">
        <f>IFERROR(IF(I567="Home","Away",IF(I567="Away","Home","")),"")</f>
        <v/>
      </c>
      <c r="D567" s="242">
        <f>H567</f>
        <v/>
      </c>
      <c r="E567" s="157">
        <f>IFERROR(IF(AND(F567&gt;0,T567&gt;V567),"Yes",IF(AND(F567&gt;0,T567&lt;V567),"No",IF(AND(F567&lt;0,T567&lt;V567),"Yes",IF(AND(F567&lt;0,T567&gt;V567),"No",0)))),"")</f>
        <v/>
      </c>
      <c r="F567" s="263">
        <f>IFERROR((N567/MAX(N:N)*_MOVw)+(O567/MAX(O:O)*_WINw)+(P567/MAX(P:P)*_PPGw)+(Q567/MAX(Q:Q)*_ORw)+(R567/MAX(R:R)*_DRw),"")</f>
        <v/>
      </c>
      <c r="N567" s="156">
        <f>IFERROR(VLOOKUP(H567,Matrix!A:AC,12,0)-VLOOKUP(J567,Matrix!A:AC,12,0),"")</f>
        <v/>
      </c>
      <c r="O567" s="182">
        <f>IFERROR(AVERAGEIFS(2025Schedule!O:O,2025Schedule!E:E,H567,2025Schedule!N:N,A567)-AVERAGEIFS(2025Schedule!O:O,2025Schedule!E:E,J567,2025Schedule!N:N,B567),0)</f>
        <v/>
      </c>
      <c r="P567" s="156">
        <f>IFERROR(VLOOKUP(H567,Matrix!A:D,2,0)-VLOOKUP(J567,Matrix!A:D,2,0),"")</f>
        <v/>
      </c>
      <c r="Q567" s="156">
        <f>IFERROR(VLOOKUP(H567,Matrix!A:AC,15,0)-VLOOKUP(J567,Matrix!A:AC,15,0),"")</f>
        <v/>
      </c>
      <c r="R567" s="156">
        <f>IFERROR(VLOOKUP(H567,Matrix!A:AC,16,0)-VLOOKUP(J567,Matrix!A:AC,16,0),"")</f>
        <v/>
      </c>
      <c r="S567" s="195">
        <f>H567</f>
        <v/>
      </c>
      <c r="T567" s="195">
        <f>IFERROR(VLOOKUP(G567&amp;H567,2025Schedule!A:F,6,0),"")</f>
        <v/>
      </c>
      <c r="U567" s="264">
        <f>J567</f>
        <v/>
      </c>
      <c r="V567" s="195">
        <f>IFERROR(VLOOKUP(G567&amp;J567,2025Schedule!A:F,6,0),"")</f>
        <v/>
      </c>
    </row>
    <row r="568" ht="14.4" customHeight="1" s="152">
      <c r="A568" s="241">
        <f>H568&amp;I568</f>
        <v/>
      </c>
      <c r="B568" s="241">
        <f>J568&amp;C568</f>
        <v/>
      </c>
      <c r="C568" s="241">
        <f>IFERROR(IF(I568="Home","Away",IF(I568="Away","Home","")),"")</f>
        <v/>
      </c>
      <c r="D568" s="242">
        <f>H568</f>
        <v/>
      </c>
      <c r="E568" s="157">
        <f>IFERROR(IF(AND(F568&gt;0,T568&gt;V568),"Yes",IF(AND(F568&gt;0,T568&lt;V568),"No",IF(AND(F568&lt;0,T568&lt;V568),"Yes",IF(AND(F568&lt;0,T568&gt;V568),"No",0)))),"")</f>
        <v/>
      </c>
      <c r="F568" s="263">
        <f>IFERROR((N568/MAX(N:N)*_MOVw)+(O568/MAX(O:O)*_WINw)+(P568/MAX(P:P)*_PPGw)+(Q568/MAX(Q:Q)*_ORw)+(R568/MAX(R:R)*_DRw),"")</f>
        <v/>
      </c>
      <c r="N568" s="156">
        <f>IFERROR(VLOOKUP(H568,Matrix!A:AC,12,0)-VLOOKUP(J568,Matrix!A:AC,12,0),"")</f>
        <v/>
      </c>
      <c r="O568" s="182">
        <f>IFERROR(AVERAGEIFS(2025Schedule!O:O,2025Schedule!E:E,H568,2025Schedule!N:N,A568)-AVERAGEIFS(2025Schedule!O:O,2025Schedule!E:E,J568,2025Schedule!N:N,B568),0)</f>
        <v/>
      </c>
      <c r="P568" s="156">
        <f>IFERROR(VLOOKUP(H568,Matrix!A:D,2,0)-VLOOKUP(J568,Matrix!A:D,2,0),"")</f>
        <v/>
      </c>
      <c r="Q568" s="156">
        <f>IFERROR(VLOOKUP(H568,Matrix!A:AC,15,0)-VLOOKUP(J568,Matrix!A:AC,15,0),"")</f>
        <v/>
      </c>
      <c r="R568" s="156">
        <f>IFERROR(VLOOKUP(H568,Matrix!A:AC,16,0)-VLOOKUP(J568,Matrix!A:AC,16,0),"")</f>
        <v/>
      </c>
      <c r="S568" s="195">
        <f>H568</f>
        <v/>
      </c>
      <c r="T568" s="195">
        <f>IFERROR(VLOOKUP(G568&amp;H568,2025Schedule!A:F,6,0),"")</f>
        <v/>
      </c>
      <c r="U568" s="264">
        <f>J568</f>
        <v/>
      </c>
      <c r="V568" s="195">
        <f>IFERROR(VLOOKUP(G568&amp;J568,2025Schedule!A:F,6,0),"")</f>
        <v/>
      </c>
    </row>
    <row r="569" ht="14.4" customHeight="1" s="152">
      <c r="A569" s="241">
        <f>H569&amp;I569</f>
        <v/>
      </c>
      <c r="B569" s="241">
        <f>J569&amp;C569</f>
        <v/>
      </c>
      <c r="C569" s="241">
        <f>IFERROR(IF(I569="Home","Away",IF(I569="Away","Home","")),"")</f>
        <v/>
      </c>
      <c r="D569" s="242">
        <f>H569</f>
        <v/>
      </c>
      <c r="E569" s="157">
        <f>IFERROR(IF(AND(F569&gt;0,T569&gt;V569),"Yes",IF(AND(F569&gt;0,T569&lt;V569),"No",IF(AND(F569&lt;0,T569&lt;V569),"Yes",IF(AND(F569&lt;0,T569&gt;V569),"No",0)))),"")</f>
        <v/>
      </c>
      <c r="F569" s="263">
        <f>IFERROR((N569/MAX(N:N)*_MOVw)+(O569/MAX(O:O)*_WINw)+(P569/MAX(P:P)*_PPGw)+(Q569/MAX(Q:Q)*_ORw)+(R569/MAX(R:R)*_DRw),"")</f>
        <v/>
      </c>
      <c r="N569" s="156">
        <f>IFERROR(VLOOKUP(H569,Matrix!A:AC,12,0)-VLOOKUP(J569,Matrix!A:AC,12,0),"")</f>
        <v/>
      </c>
      <c r="O569" s="182">
        <f>IFERROR(AVERAGEIFS(2025Schedule!O:O,2025Schedule!E:E,H569,2025Schedule!N:N,A569)-AVERAGEIFS(2025Schedule!O:O,2025Schedule!E:E,J569,2025Schedule!N:N,B569),0)</f>
        <v/>
      </c>
      <c r="P569" s="156">
        <f>IFERROR(VLOOKUP(H569,Matrix!A:D,2,0)-VLOOKUP(J569,Matrix!A:D,2,0),"")</f>
        <v/>
      </c>
      <c r="Q569" s="156">
        <f>IFERROR(VLOOKUP(H569,Matrix!A:AC,15,0)-VLOOKUP(J569,Matrix!A:AC,15,0),"")</f>
        <v/>
      </c>
      <c r="R569" s="156">
        <f>IFERROR(VLOOKUP(H569,Matrix!A:AC,16,0)-VLOOKUP(J569,Matrix!A:AC,16,0),"")</f>
        <v/>
      </c>
      <c r="S569" s="195">
        <f>H569</f>
        <v/>
      </c>
      <c r="T569" s="195">
        <f>IFERROR(VLOOKUP(G569&amp;H569,2025Schedule!A:F,6,0),"")</f>
        <v/>
      </c>
      <c r="U569" s="264">
        <f>J569</f>
        <v/>
      </c>
      <c r="V569" s="195">
        <f>IFERROR(VLOOKUP(G569&amp;J569,2025Schedule!A:F,6,0),"")</f>
        <v/>
      </c>
    </row>
    <row r="570" ht="14.4" customHeight="1" s="152">
      <c r="A570" s="241">
        <f>H570&amp;I570</f>
        <v/>
      </c>
      <c r="B570" s="241">
        <f>J570&amp;C570</f>
        <v/>
      </c>
      <c r="C570" s="241">
        <f>IFERROR(IF(I570="Home","Away",IF(I570="Away","Home","")),"")</f>
        <v/>
      </c>
      <c r="D570" s="242">
        <f>H570</f>
        <v/>
      </c>
      <c r="E570" s="157">
        <f>IFERROR(IF(AND(F570&gt;0,T570&gt;V570),"Yes",IF(AND(F570&gt;0,T570&lt;V570),"No",IF(AND(F570&lt;0,T570&lt;V570),"Yes",IF(AND(F570&lt;0,T570&gt;V570),"No",0)))),"")</f>
        <v/>
      </c>
      <c r="F570" s="263">
        <f>IFERROR((N570/MAX(N:N)*_MOVw)+(O570/MAX(O:O)*_WINw)+(P570/MAX(P:P)*_PPGw)+(Q570/MAX(Q:Q)*_ORw)+(R570/MAX(R:R)*_DRw),"")</f>
        <v/>
      </c>
      <c r="N570" s="156">
        <f>IFERROR(VLOOKUP(H570,Matrix!A:AC,12,0)-VLOOKUP(J570,Matrix!A:AC,12,0),"")</f>
        <v/>
      </c>
      <c r="O570" s="182">
        <f>IFERROR(AVERAGEIFS(2025Schedule!O:O,2025Schedule!E:E,H570,2025Schedule!N:N,A570)-AVERAGEIFS(2025Schedule!O:O,2025Schedule!E:E,J570,2025Schedule!N:N,B570),0)</f>
        <v/>
      </c>
      <c r="P570" s="156">
        <f>IFERROR(VLOOKUP(H570,Matrix!A:D,2,0)-VLOOKUP(J570,Matrix!A:D,2,0),"")</f>
        <v/>
      </c>
      <c r="Q570" s="156">
        <f>IFERROR(VLOOKUP(H570,Matrix!A:AC,15,0)-VLOOKUP(J570,Matrix!A:AC,15,0),"")</f>
        <v/>
      </c>
      <c r="R570" s="156">
        <f>IFERROR(VLOOKUP(H570,Matrix!A:AC,16,0)-VLOOKUP(J570,Matrix!A:AC,16,0),"")</f>
        <v/>
      </c>
      <c r="S570" s="195">
        <f>H570</f>
        <v/>
      </c>
      <c r="T570" s="195">
        <f>IFERROR(VLOOKUP(G570&amp;H570,2025Schedule!A:F,6,0),"")</f>
        <v/>
      </c>
      <c r="U570" s="264">
        <f>J570</f>
        <v/>
      </c>
      <c r="V570" s="195">
        <f>IFERROR(VLOOKUP(G570&amp;J570,2025Schedule!A:F,6,0),"")</f>
        <v/>
      </c>
    </row>
    <row r="571" ht="14.4" customHeight="1" s="152">
      <c r="A571" s="241">
        <f>H571&amp;I571</f>
        <v/>
      </c>
      <c r="B571" s="241">
        <f>J571&amp;C571</f>
        <v/>
      </c>
      <c r="C571" s="241">
        <f>IFERROR(IF(I571="Home","Away",IF(I571="Away","Home","")),"")</f>
        <v/>
      </c>
      <c r="D571" s="242">
        <f>H571</f>
        <v/>
      </c>
      <c r="E571" s="157">
        <f>IFERROR(IF(AND(F571&gt;0,T571&gt;V571),"Yes",IF(AND(F571&gt;0,T571&lt;V571),"No",IF(AND(F571&lt;0,T571&lt;V571),"Yes",IF(AND(F571&lt;0,T571&gt;V571),"No",0)))),"")</f>
        <v/>
      </c>
      <c r="F571" s="263">
        <f>IFERROR((N571/MAX(N:N)*_MOVw)+(O571/MAX(O:O)*_WINw)+(P571/MAX(P:P)*_PPGw)+(Q571/MAX(Q:Q)*_ORw)+(R571/MAX(R:R)*_DRw),"")</f>
        <v/>
      </c>
      <c r="N571" s="156">
        <f>IFERROR(VLOOKUP(H571,Matrix!A:AC,12,0)-VLOOKUP(J571,Matrix!A:AC,12,0),"")</f>
        <v/>
      </c>
      <c r="O571" s="182">
        <f>IFERROR(AVERAGEIFS(2025Schedule!O:O,2025Schedule!E:E,H571,2025Schedule!N:N,A571)-AVERAGEIFS(2025Schedule!O:O,2025Schedule!E:E,J571,2025Schedule!N:N,B571),0)</f>
        <v/>
      </c>
      <c r="P571" s="156">
        <f>IFERROR(VLOOKUP(H571,Matrix!A:D,2,0)-VLOOKUP(J571,Matrix!A:D,2,0),"")</f>
        <v/>
      </c>
      <c r="Q571" s="156">
        <f>IFERROR(VLOOKUP(H571,Matrix!A:AC,15,0)-VLOOKUP(J571,Matrix!A:AC,15,0),"")</f>
        <v/>
      </c>
      <c r="R571" s="156">
        <f>IFERROR(VLOOKUP(H571,Matrix!A:AC,16,0)-VLOOKUP(J571,Matrix!A:AC,16,0),"")</f>
        <v/>
      </c>
      <c r="S571" s="195">
        <f>H571</f>
        <v/>
      </c>
      <c r="T571" s="195">
        <f>IFERROR(VLOOKUP(G571&amp;H571,2025Schedule!A:F,6,0),"")</f>
        <v/>
      </c>
      <c r="U571" s="264">
        <f>J571</f>
        <v/>
      </c>
      <c r="V571" s="195">
        <f>IFERROR(VLOOKUP(G571&amp;J571,2025Schedule!A:F,6,0),"")</f>
        <v/>
      </c>
    </row>
    <row r="572" ht="14.4" customHeight="1" s="152">
      <c r="A572" s="241">
        <f>H572&amp;I572</f>
        <v/>
      </c>
      <c r="B572" s="241">
        <f>J572&amp;C572</f>
        <v/>
      </c>
      <c r="C572" s="241">
        <f>IFERROR(IF(I572="Home","Away",IF(I572="Away","Home","")),"")</f>
        <v/>
      </c>
      <c r="D572" s="242">
        <f>H572</f>
        <v/>
      </c>
      <c r="E572" s="157">
        <f>IFERROR(IF(AND(F572&gt;0,T572&gt;V572),"Yes",IF(AND(F572&gt;0,T572&lt;V572),"No",IF(AND(F572&lt;0,T572&lt;V572),"Yes",IF(AND(F572&lt;0,T572&gt;V572),"No",0)))),"")</f>
        <v/>
      </c>
      <c r="F572" s="263">
        <f>IFERROR((N572/MAX(N:N)*_MOVw)+(O572/MAX(O:O)*_WINw)+(P572/MAX(P:P)*_PPGw)+(Q572/MAX(Q:Q)*_ORw)+(R572/MAX(R:R)*_DRw),"")</f>
        <v/>
      </c>
      <c r="N572" s="156">
        <f>IFERROR(VLOOKUP(H572,Matrix!A:AC,12,0)-VLOOKUP(J572,Matrix!A:AC,12,0),"")</f>
        <v/>
      </c>
      <c r="O572" s="182">
        <f>IFERROR(AVERAGEIFS(2025Schedule!O:O,2025Schedule!E:E,H572,2025Schedule!N:N,A572)-AVERAGEIFS(2025Schedule!O:O,2025Schedule!E:E,J572,2025Schedule!N:N,B572),0)</f>
        <v/>
      </c>
      <c r="P572" s="156">
        <f>IFERROR(VLOOKUP(H572,Matrix!A:D,2,0)-VLOOKUP(J572,Matrix!A:D,2,0),"")</f>
        <v/>
      </c>
      <c r="Q572" s="156">
        <f>IFERROR(VLOOKUP(H572,Matrix!A:AC,15,0)-VLOOKUP(J572,Matrix!A:AC,15,0),"")</f>
        <v/>
      </c>
      <c r="R572" s="156">
        <f>IFERROR(VLOOKUP(H572,Matrix!A:AC,16,0)-VLOOKUP(J572,Matrix!A:AC,16,0),"")</f>
        <v/>
      </c>
      <c r="S572" s="195">
        <f>H572</f>
        <v/>
      </c>
      <c r="T572" s="195">
        <f>IFERROR(VLOOKUP(G572&amp;H572,2025Schedule!A:F,6,0),"")</f>
        <v/>
      </c>
      <c r="U572" s="264">
        <f>J572</f>
        <v/>
      </c>
      <c r="V572" s="195">
        <f>IFERROR(VLOOKUP(G572&amp;J572,2025Schedule!A:F,6,0),"")</f>
        <v/>
      </c>
    </row>
    <row r="573" ht="14.4" customHeight="1" s="152">
      <c r="A573" s="241">
        <f>H573&amp;I573</f>
        <v/>
      </c>
      <c r="B573" s="241">
        <f>J573&amp;C573</f>
        <v/>
      </c>
      <c r="C573" s="241">
        <f>IFERROR(IF(I573="Home","Away",IF(I573="Away","Home","")),"")</f>
        <v/>
      </c>
      <c r="D573" s="242">
        <f>H573</f>
        <v/>
      </c>
      <c r="E573" s="157">
        <f>IFERROR(IF(AND(F573&gt;0,T573&gt;V573),"Yes",IF(AND(F573&gt;0,T573&lt;V573),"No",IF(AND(F573&lt;0,T573&lt;V573),"Yes",IF(AND(F573&lt;0,T573&gt;V573),"No",0)))),"")</f>
        <v/>
      </c>
      <c r="F573" s="263">
        <f>IFERROR((N573/MAX(N:N)*_MOVw)+(O573/MAX(O:O)*_WINw)+(P573/MAX(P:P)*_PPGw)+(Q573/MAX(Q:Q)*_ORw)+(R573/MAX(R:R)*_DRw),"")</f>
        <v/>
      </c>
      <c r="N573" s="156">
        <f>IFERROR(VLOOKUP(H573,Matrix!A:AC,12,0)-VLOOKUP(J573,Matrix!A:AC,12,0),"")</f>
        <v/>
      </c>
      <c r="O573" s="182">
        <f>IFERROR(AVERAGEIFS(2025Schedule!O:O,2025Schedule!E:E,H573,2025Schedule!N:N,A573)-AVERAGEIFS(2025Schedule!O:O,2025Schedule!E:E,J573,2025Schedule!N:N,B573),0)</f>
        <v/>
      </c>
      <c r="P573" s="156">
        <f>IFERROR(VLOOKUP(H573,Matrix!A:D,2,0)-VLOOKUP(J573,Matrix!A:D,2,0),"")</f>
        <v/>
      </c>
      <c r="Q573" s="156">
        <f>IFERROR(VLOOKUP(H573,Matrix!A:AC,15,0)-VLOOKUP(J573,Matrix!A:AC,15,0),"")</f>
        <v/>
      </c>
      <c r="R573" s="156">
        <f>IFERROR(VLOOKUP(H573,Matrix!A:AC,16,0)-VLOOKUP(J573,Matrix!A:AC,16,0),"")</f>
        <v/>
      </c>
      <c r="S573" s="195">
        <f>H573</f>
        <v/>
      </c>
      <c r="T573" s="195">
        <f>IFERROR(VLOOKUP(G573&amp;H573,2025Schedule!A:F,6,0),"")</f>
        <v/>
      </c>
      <c r="U573" s="264">
        <f>J573</f>
        <v/>
      </c>
      <c r="V573" s="195">
        <f>IFERROR(VLOOKUP(G573&amp;J573,2025Schedule!A:F,6,0),"")</f>
        <v/>
      </c>
    </row>
    <row r="574" ht="14.4" customHeight="1" s="152">
      <c r="A574" s="241">
        <f>H574&amp;I574</f>
        <v/>
      </c>
      <c r="B574" s="241">
        <f>J574&amp;C574</f>
        <v/>
      </c>
      <c r="C574" s="241">
        <f>IFERROR(IF(I574="Home","Away",IF(I574="Away","Home","")),"")</f>
        <v/>
      </c>
      <c r="D574" s="242">
        <f>H574</f>
        <v/>
      </c>
      <c r="E574" s="157">
        <f>IFERROR(IF(AND(F574&gt;0,T574&gt;V574),"Yes",IF(AND(F574&gt;0,T574&lt;V574),"No",IF(AND(F574&lt;0,T574&lt;V574),"Yes",IF(AND(F574&lt;0,T574&gt;V574),"No",0)))),"")</f>
        <v/>
      </c>
      <c r="F574" s="263">
        <f>IFERROR((N574/MAX(N:N)*_MOVw)+(O574/MAX(O:O)*_WINw)+(P574/MAX(P:P)*_PPGw)+(Q574/MAX(Q:Q)*_ORw)+(R574/MAX(R:R)*_DRw),"")</f>
        <v/>
      </c>
      <c r="N574" s="156">
        <f>IFERROR(VLOOKUP(H574,Matrix!A:AC,12,0)-VLOOKUP(J574,Matrix!A:AC,12,0),"")</f>
        <v/>
      </c>
      <c r="O574" s="182">
        <f>IFERROR(AVERAGEIFS(2025Schedule!O:O,2025Schedule!E:E,H574,2025Schedule!N:N,A574)-AVERAGEIFS(2025Schedule!O:O,2025Schedule!E:E,J574,2025Schedule!N:N,B574),0)</f>
        <v/>
      </c>
      <c r="P574" s="156">
        <f>IFERROR(VLOOKUP(H574,Matrix!A:D,2,0)-VLOOKUP(J574,Matrix!A:D,2,0),"")</f>
        <v/>
      </c>
      <c r="Q574" s="156">
        <f>IFERROR(VLOOKUP(H574,Matrix!A:AC,15,0)-VLOOKUP(J574,Matrix!A:AC,15,0),"")</f>
        <v/>
      </c>
      <c r="R574" s="156">
        <f>IFERROR(VLOOKUP(H574,Matrix!A:AC,16,0)-VLOOKUP(J574,Matrix!A:AC,16,0),"")</f>
        <v/>
      </c>
      <c r="S574" s="195">
        <f>H574</f>
        <v/>
      </c>
      <c r="T574" s="195">
        <f>IFERROR(VLOOKUP(G574&amp;H574,2025Schedule!A:F,6,0),"")</f>
        <v/>
      </c>
      <c r="U574" s="264">
        <f>J574</f>
        <v/>
      </c>
      <c r="V574" s="195">
        <f>IFERROR(VLOOKUP(G574&amp;J574,2025Schedule!A:F,6,0),"")</f>
        <v/>
      </c>
    </row>
    <row r="575" ht="14.4" customHeight="1" s="152">
      <c r="A575" s="241">
        <f>H575&amp;I575</f>
        <v/>
      </c>
      <c r="B575" s="241">
        <f>J575&amp;C575</f>
        <v/>
      </c>
      <c r="C575" s="241">
        <f>IFERROR(IF(I575="Home","Away",IF(I575="Away","Home","")),"")</f>
        <v/>
      </c>
      <c r="D575" s="242">
        <f>H575</f>
        <v/>
      </c>
      <c r="E575" s="157">
        <f>IFERROR(IF(AND(F575&gt;0,T575&gt;V575),"Yes",IF(AND(F575&gt;0,T575&lt;V575),"No",IF(AND(F575&lt;0,T575&lt;V575),"Yes",IF(AND(F575&lt;0,T575&gt;V575),"No",0)))),"")</f>
        <v/>
      </c>
      <c r="F575" s="263">
        <f>IFERROR((N575/MAX(N:N)*_MOVw)+(O575/MAX(O:O)*_WINw)+(P575/MAX(P:P)*_PPGw)+(Q575/MAX(Q:Q)*_ORw)+(R575/MAX(R:R)*_DRw),"")</f>
        <v/>
      </c>
      <c r="N575" s="156">
        <f>IFERROR(VLOOKUP(H575,Matrix!A:AC,12,0)-VLOOKUP(J575,Matrix!A:AC,12,0),"")</f>
        <v/>
      </c>
      <c r="O575" s="182">
        <f>IFERROR(AVERAGEIFS(2025Schedule!O:O,2025Schedule!E:E,H575,2025Schedule!N:N,A575)-AVERAGEIFS(2025Schedule!O:O,2025Schedule!E:E,J575,2025Schedule!N:N,B575),0)</f>
        <v/>
      </c>
      <c r="P575" s="156">
        <f>IFERROR(VLOOKUP(H575,Matrix!A:D,2,0)-VLOOKUP(J575,Matrix!A:D,2,0),"")</f>
        <v/>
      </c>
      <c r="Q575" s="156">
        <f>IFERROR(VLOOKUP(H575,Matrix!A:AC,15,0)-VLOOKUP(J575,Matrix!A:AC,15,0),"")</f>
        <v/>
      </c>
      <c r="R575" s="156">
        <f>IFERROR(VLOOKUP(H575,Matrix!A:AC,16,0)-VLOOKUP(J575,Matrix!A:AC,16,0),"")</f>
        <v/>
      </c>
      <c r="S575" s="195">
        <f>H575</f>
        <v/>
      </c>
      <c r="T575" s="195">
        <f>IFERROR(VLOOKUP(G575&amp;H575,2025Schedule!A:F,6,0),"")</f>
        <v/>
      </c>
      <c r="U575" s="264">
        <f>J575</f>
        <v/>
      </c>
      <c r="V575" s="195">
        <f>IFERROR(VLOOKUP(G575&amp;J575,2025Schedule!A:F,6,0),"")</f>
        <v/>
      </c>
    </row>
    <row r="576" ht="14.4" customHeight="1" s="152">
      <c r="A576" s="241">
        <f>H576&amp;I576</f>
        <v/>
      </c>
      <c r="B576" s="241">
        <f>J576&amp;C576</f>
        <v/>
      </c>
      <c r="C576" s="241">
        <f>IFERROR(IF(I576="Home","Away",IF(I576="Away","Home","")),"")</f>
        <v/>
      </c>
      <c r="D576" s="242">
        <f>H576</f>
        <v/>
      </c>
      <c r="E576" s="157">
        <f>IFERROR(IF(AND(F576&gt;0,T576&gt;V576),"Yes",IF(AND(F576&gt;0,T576&lt;V576),"No",IF(AND(F576&lt;0,T576&lt;V576),"Yes",IF(AND(F576&lt;0,T576&gt;V576),"No",0)))),"")</f>
        <v/>
      </c>
      <c r="F576" s="263">
        <f>IFERROR((N576/MAX(N:N)*_MOVw)+(O576/MAX(O:O)*_WINw)+(P576/MAX(P:P)*_PPGw)+(Q576/MAX(Q:Q)*_ORw)+(R576/MAX(R:R)*_DRw),"")</f>
        <v/>
      </c>
      <c r="N576" s="156">
        <f>IFERROR(VLOOKUP(H576,Matrix!A:AC,12,0)-VLOOKUP(J576,Matrix!A:AC,12,0),"")</f>
        <v/>
      </c>
      <c r="O576" s="182">
        <f>IFERROR(AVERAGEIFS(2025Schedule!O:O,2025Schedule!E:E,H576,2025Schedule!N:N,A576)-AVERAGEIFS(2025Schedule!O:O,2025Schedule!E:E,J576,2025Schedule!N:N,B576),0)</f>
        <v/>
      </c>
      <c r="P576" s="156">
        <f>IFERROR(VLOOKUP(H576,Matrix!A:D,2,0)-VLOOKUP(J576,Matrix!A:D,2,0),"")</f>
        <v/>
      </c>
      <c r="Q576" s="156">
        <f>IFERROR(VLOOKUP(H576,Matrix!A:AC,15,0)-VLOOKUP(J576,Matrix!A:AC,15,0),"")</f>
        <v/>
      </c>
      <c r="R576" s="156">
        <f>IFERROR(VLOOKUP(H576,Matrix!A:AC,16,0)-VLOOKUP(J576,Matrix!A:AC,16,0),"")</f>
        <v/>
      </c>
      <c r="S576" s="195">
        <f>H576</f>
        <v/>
      </c>
      <c r="T576" s="195">
        <f>IFERROR(VLOOKUP(G576&amp;H576,2025Schedule!A:F,6,0),"")</f>
        <v/>
      </c>
      <c r="U576" s="264">
        <f>J576</f>
        <v/>
      </c>
      <c r="V576" s="195">
        <f>IFERROR(VLOOKUP(G576&amp;J576,2025Schedule!A:F,6,0),"")</f>
        <v/>
      </c>
    </row>
    <row r="577" ht="14.4" customHeight="1" s="152">
      <c r="A577" s="241">
        <f>H577&amp;I577</f>
        <v/>
      </c>
      <c r="B577" s="241">
        <f>J577&amp;C577</f>
        <v/>
      </c>
      <c r="C577" s="241">
        <f>IFERROR(IF(I577="Home","Away",IF(I577="Away","Home","")),"")</f>
        <v/>
      </c>
      <c r="D577" s="242">
        <f>H577</f>
        <v/>
      </c>
      <c r="E577" s="157">
        <f>IFERROR(IF(AND(F577&gt;0,T577&gt;V577),"Yes",IF(AND(F577&gt;0,T577&lt;V577),"No",IF(AND(F577&lt;0,T577&lt;V577),"Yes",IF(AND(F577&lt;0,T577&gt;V577),"No",0)))),"")</f>
        <v/>
      </c>
      <c r="F577" s="263">
        <f>IFERROR((N577/MAX(N:N)*_MOVw)+(O577/MAX(O:O)*_WINw)+(P577/MAX(P:P)*_PPGw)+(Q577/MAX(Q:Q)*_ORw)+(R577/MAX(R:R)*_DRw),"")</f>
        <v/>
      </c>
      <c r="N577" s="156">
        <f>IFERROR(VLOOKUP(H577,Matrix!A:AC,12,0)-VLOOKUP(J577,Matrix!A:AC,12,0),"")</f>
        <v/>
      </c>
      <c r="O577" s="182">
        <f>IFERROR(AVERAGEIFS(2025Schedule!O:O,2025Schedule!E:E,H577,2025Schedule!N:N,A577)-AVERAGEIFS(2025Schedule!O:O,2025Schedule!E:E,J577,2025Schedule!N:N,B577),0)</f>
        <v/>
      </c>
      <c r="P577" s="156">
        <f>IFERROR(VLOOKUP(H577,Matrix!A:D,2,0)-VLOOKUP(J577,Matrix!A:D,2,0),"")</f>
        <v/>
      </c>
      <c r="Q577" s="156">
        <f>IFERROR(VLOOKUP(H577,Matrix!A:AC,15,0)-VLOOKUP(J577,Matrix!A:AC,15,0),"")</f>
        <v/>
      </c>
      <c r="R577" s="156">
        <f>IFERROR(VLOOKUP(H577,Matrix!A:AC,16,0)-VLOOKUP(J577,Matrix!A:AC,16,0),"")</f>
        <v/>
      </c>
      <c r="S577" s="195">
        <f>H577</f>
        <v/>
      </c>
      <c r="T577" s="195">
        <f>IFERROR(VLOOKUP(G577&amp;H577,2025Schedule!A:F,6,0),"")</f>
        <v/>
      </c>
      <c r="U577" s="264">
        <f>J577</f>
        <v/>
      </c>
      <c r="V577" s="195">
        <f>IFERROR(VLOOKUP(G577&amp;J577,2025Schedule!A:F,6,0),"")</f>
        <v/>
      </c>
    </row>
    <row r="578" ht="14.4" customHeight="1" s="152">
      <c r="A578" s="241">
        <f>H578&amp;I578</f>
        <v/>
      </c>
      <c r="B578" s="241">
        <f>J578&amp;C578</f>
        <v/>
      </c>
      <c r="C578" s="241">
        <f>IFERROR(IF(I578="Home","Away",IF(I578="Away","Home","")),"")</f>
        <v/>
      </c>
      <c r="D578" s="242">
        <f>H578</f>
        <v/>
      </c>
      <c r="E578" s="157">
        <f>IFERROR(IF(AND(F578&gt;0,T578&gt;V578),"Yes",IF(AND(F578&gt;0,T578&lt;V578),"No",IF(AND(F578&lt;0,T578&lt;V578),"Yes",IF(AND(F578&lt;0,T578&gt;V578),"No",0)))),"")</f>
        <v/>
      </c>
      <c r="F578" s="263">
        <f>IFERROR((N578/MAX(N:N)*_MOVw)+(O578/MAX(O:O)*_WINw)+(P578/MAX(P:P)*_PPGw)+(Q578/MAX(Q:Q)*_ORw)+(R578/MAX(R:R)*_DRw),"")</f>
        <v/>
      </c>
      <c r="N578" s="156">
        <f>IFERROR(VLOOKUP(H578,Matrix!A:AC,12,0)-VLOOKUP(J578,Matrix!A:AC,12,0),"")</f>
        <v/>
      </c>
      <c r="O578" s="182">
        <f>IFERROR(AVERAGEIFS(2025Schedule!O:O,2025Schedule!E:E,H578,2025Schedule!N:N,A578)-AVERAGEIFS(2025Schedule!O:O,2025Schedule!E:E,J578,2025Schedule!N:N,B578),0)</f>
        <v/>
      </c>
      <c r="P578" s="156">
        <f>IFERROR(VLOOKUP(H578,Matrix!A:D,2,0)-VLOOKUP(J578,Matrix!A:D,2,0),"")</f>
        <v/>
      </c>
      <c r="Q578" s="156">
        <f>IFERROR(VLOOKUP(H578,Matrix!A:AC,15,0)-VLOOKUP(J578,Matrix!A:AC,15,0),"")</f>
        <v/>
      </c>
      <c r="R578" s="156">
        <f>IFERROR(VLOOKUP(H578,Matrix!A:AC,16,0)-VLOOKUP(J578,Matrix!A:AC,16,0),"")</f>
        <v/>
      </c>
      <c r="S578" s="195">
        <f>H578</f>
        <v/>
      </c>
      <c r="T578" s="195">
        <f>IFERROR(VLOOKUP(G578&amp;H578,2025Schedule!A:F,6,0),"")</f>
        <v/>
      </c>
      <c r="U578" s="264">
        <f>J578</f>
        <v/>
      </c>
      <c r="V578" s="195">
        <f>IFERROR(VLOOKUP(G578&amp;J578,2025Schedule!A:F,6,0),"")</f>
        <v/>
      </c>
    </row>
    <row r="579" ht="14.4" customHeight="1" s="152">
      <c r="A579" s="241">
        <f>H579&amp;I579</f>
        <v/>
      </c>
      <c r="B579" s="241">
        <f>J579&amp;C579</f>
        <v/>
      </c>
      <c r="C579" s="241">
        <f>IFERROR(IF(I579="Home","Away",IF(I579="Away","Home","")),"")</f>
        <v/>
      </c>
      <c r="D579" s="242">
        <f>H579</f>
        <v/>
      </c>
      <c r="E579" s="157">
        <f>IFERROR(IF(AND(F579&gt;0,T579&gt;V579),"Yes",IF(AND(F579&gt;0,T579&lt;V579),"No",IF(AND(F579&lt;0,T579&lt;V579),"Yes",IF(AND(F579&lt;0,T579&gt;V579),"No",0)))),"")</f>
        <v/>
      </c>
      <c r="F579" s="263">
        <f>IFERROR((N579/MAX(N:N)*_MOVw)+(O579/MAX(O:O)*_WINw)+(P579/MAX(P:P)*_PPGw)+(Q579/MAX(Q:Q)*_ORw)+(R579/MAX(R:R)*_DRw),"")</f>
        <v/>
      </c>
      <c r="N579" s="156">
        <f>IFERROR(VLOOKUP(H579,Matrix!A:AC,12,0)-VLOOKUP(J579,Matrix!A:AC,12,0),"")</f>
        <v/>
      </c>
      <c r="O579" s="182">
        <f>IFERROR(AVERAGEIFS(2025Schedule!O:O,2025Schedule!E:E,H579,2025Schedule!N:N,A579)-AVERAGEIFS(2025Schedule!O:O,2025Schedule!E:E,J579,2025Schedule!N:N,B579),0)</f>
        <v/>
      </c>
      <c r="P579" s="156">
        <f>IFERROR(VLOOKUP(H579,Matrix!A:D,2,0)-VLOOKUP(J579,Matrix!A:D,2,0),"")</f>
        <v/>
      </c>
      <c r="Q579" s="156">
        <f>IFERROR(VLOOKUP(H579,Matrix!A:AC,15,0)-VLOOKUP(J579,Matrix!A:AC,15,0),"")</f>
        <v/>
      </c>
      <c r="R579" s="156">
        <f>IFERROR(VLOOKUP(H579,Matrix!A:AC,16,0)-VLOOKUP(J579,Matrix!A:AC,16,0),"")</f>
        <v/>
      </c>
      <c r="S579" s="195">
        <f>H579</f>
        <v/>
      </c>
      <c r="T579" s="195">
        <f>IFERROR(VLOOKUP(G579&amp;H579,2025Schedule!A:F,6,0),"")</f>
        <v/>
      </c>
      <c r="U579" s="264">
        <f>J579</f>
        <v/>
      </c>
      <c r="V579" s="195">
        <f>IFERROR(VLOOKUP(G579&amp;J579,2025Schedule!A:F,6,0),"")</f>
        <v/>
      </c>
    </row>
    <row r="580" ht="14.4" customHeight="1" s="152">
      <c r="A580" s="241">
        <f>H580&amp;I580</f>
        <v/>
      </c>
      <c r="B580" s="241">
        <f>J580&amp;C580</f>
        <v/>
      </c>
      <c r="C580" s="241">
        <f>IFERROR(IF(I580="Home","Away",IF(I580="Away","Home","")),"")</f>
        <v/>
      </c>
      <c r="D580" s="242">
        <f>H580</f>
        <v/>
      </c>
      <c r="E580" s="157">
        <f>IFERROR(IF(AND(F580&gt;0,T580&gt;V580),"Yes",IF(AND(F580&gt;0,T580&lt;V580),"No",IF(AND(F580&lt;0,T580&lt;V580),"Yes",IF(AND(F580&lt;0,T580&gt;V580),"No",0)))),"")</f>
        <v/>
      </c>
      <c r="F580" s="263">
        <f>IFERROR((N580/MAX(N:N)*_MOVw)+(O580/MAX(O:O)*_WINw)+(P580/MAX(P:P)*_PPGw)+(Q580/MAX(Q:Q)*_ORw)+(R580/MAX(R:R)*_DRw),"")</f>
        <v/>
      </c>
      <c r="N580" s="156">
        <f>IFERROR(VLOOKUP(H580,Matrix!A:AC,12,0)-VLOOKUP(J580,Matrix!A:AC,12,0),"")</f>
        <v/>
      </c>
      <c r="O580" s="182">
        <f>IFERROR(AVERAGEIFS(2025Schedule!O:O,2025Schedule!E:E,H580,2025Schedule!N:N,A580)-AVERAGEIFS(2025Schedule!O:O,2025Schedule!E:E,J580,2025Schedule!N:N,B580),0)</f>
        <v/>
      </c>
      <c r="P580" s="156">
        <f>IFERROR(VLOOKUP(H580,Matrix!A:D,2,0)-VLOOKUP(J580,Matrix!A:D,2,0),"")</f>
        <v/>
      </c>
      <c r="Q580" s="156">
        <f>IFERROR(VLOOKUP(H580,Matrix!A:AC,15,0)-VLOOKUP(J580,Matrix!A:AC,15,0),"")</f>
        <v/>
      </c>
      <c r="R580" s="156">
        <f>IFERROR(VLOOKUP(H580,Matrix!A:AC,16,0)-VLOOKUP(J580,Matrix!A:AC,16,0),"")</f>
        <v/>
      </c>
      <c r="S580" s="195">
        <f>H580</f>
        <v/>
      </c>
      <c r="T580" s="195">
        <f>IFERROR(VLOOKUP(G580&amp;H580,2025Schedule!A:F,6,0),"")</f>
        <v/>
      </c>
      <c r="U580" s="264">
        <f>J580</f>
        <v/>
      </c>
      <c r="V580" s="195">
        <f>IFERROR(VLOOKUP(G580&amp;J580,2025Schedule!A:F,6,0),"")</f>
        <v/>
      </c>
    </row>
    <row r="581" ht="14.4" customHeight="1" s="152">
      <c r="A581" s="241">
        <f>H581&amp;I581</f>
        <v/>
      </c>
      <c r="B581" s="241">
        <f>J581&amp;C581</f>
        <v/>
      </c>
      <c r="C581" s="241">
        <f>IFERROR(IF(I581="Home","Away",IF(I581="Away","Home","")),"")</f>
        <v/>
      </c>
      <c r="D581" s="242">
        <f>H581</f>
        <v/>
      </c>
      <c r="E581" s="157">
        <f>IFERROR(IF(AND(F581&gt;0,T581&gt;V581),"Yes",IF(AND(F581&gt;0,T581&lt;V581),"No",IF(AND(F581&lt;0,T581&lt;V581),"Yes",IF(AND(F581&lt;0,T581&gt;V581),"No",0)))),"")</f>
        <v/>
      </c>
      <c r="F581" s="263">
        <f>IFERROR((N581/MAX(N:N)*_MOVw)+(O581/MAX(O:O)*_WINw)+(P581/MAX(P:P)*_PPGw)+(Q581/MAX(Q:Q)*_ORw)+(R581/MAX(R:R)*_DRw),"")</f>
        <v/>
      </c>
      <c r="N581" s="156">
        <f>IFERROR(VLOOKUP(H581,Matrix!A:AC,12,0)-VLOOKUP(J581,Matrix!A:AC,12,0),"")</f>
        <v/>
      </c>
      <c r="O581" s="182">
        <f>IFERROR(AVERAGEIFS(2025Schedule!O:O,2025Schedule!E:E,H581,2025Schedule!N:N,A581)-AVERAGEIFS(2025Schedule!O:O,2025Schedule!E:E,J581,2025Schedule!N:N,B581),0)</f>
        <v/>
      </c>
      <c r="P581" s="156">
        <f>IFERROR(VLOOKUP(H581,Matrix!A:D,2,0)-VLOOKUP(J581,Matrix!A:D,2,0),"")</f>
        <v/>
      </c>
      <c r="Q581" s="156">
        <f>IFERROR(VLOOKUP(H581,Matrix!A:AC,15,0)-VLOOKUP(J581,Matrix!A:AC,15,0),"")</f>
        <v/>
      </c>
      <c r="R581" s="156">
        <f>IFERROR(VLOOKUP(H581,Matrix!A:AC,16,0)-VLOOKUP(J581,Matrix!A:AC,16,0),"")</f>
        <v/>
      </c>
      <c r="S581" s="195">
        <f>H581</f>
        <v/>
      </c>
      <c r="T581" s="195">
        <f>IFERROR(VLOOKUP(G581&amp;H581,2025Schedule!A:F,6,0),"")</f>
        <v/>
      </c>
      <c r="U581" s="264">
        <f>J581</f>
        <v/>
      </c>
      <c r="V581" s="195">
        <f>IFERROR(VLOOKUP(G581&amp;J581,2025Schedule!A:F,6,0),"")</f>
        <v/>
      </c>
    </row>
    <row r="582" ht="14.4" customHeight="1" s="152">
      <c r="A582" s="241">
        <f>H582&amp;I582</f>
        <v/>
      </c>
      <c r="B582" s="241">
        <f>J582&amp;C582</f>
        <v/>
      </c>
      <c r="C582" s="241">
        <f>IFERROR(IF(I582="Home","Away",IF(I582="Away","Home","")),"")</f>
        <v/>
      </c>
      <c r="D582" s="242">
        <f>H582</f>
        <v/>
      </c>
      <c r="E582" s="157">
        <f>IFERROR(IF(AND(F582&gt;0,T582&gt;V582),"Yes",IF(AND(F582&gt;0,T582&lt;V582),"No",IF(AND(F582&lt;0,T582&lt;V582),"Yes",IF(AND(F582&lt;0,T582&gt;V582),"No",0)))),"")</f>
        <v/>
      </c>
      <c r="F582" s="263">
        <f>IFERROR((N582/MAX(N:N)*_MOVw)+(O582/MAX(O:O)*_WINw)+(P582/MAX(P:P)*_PPGw)+(Q582/MAX(Q:Q)*_ORw)+(R582/MAX(R:R)*_DRw),"")</f>
        <v/>
      </c>
      <c r="N582" s="156">
        <f>IFERROR(VLOOKUP(H582,Matrix!A:AC,12,0)-VLOOKUP(J582,Matrix!A:AC,12,0),"")</f>
        <v/>
      </c>
      <c r="O582" s="182">
        <f>IFERROR(AVERAGEIFS(2025Schedule!O:O,2025Schedule!E:E,H582,2025Schedule!N:N,A582)-AVERAGEIFS(2025Schedule!O:O,2025Schedule!E:E,J582,2025Schedule!N:N,B582),0)</f>
        <v/>
      </c>
      <c r="P582" s="156">
        <f>IFERROR(VLOOKUP(H582,Matrix!A:D,2,0)-VLOOKUP(J582,Matrix!A:D,2,0),"")</f>
        <v/>
      </c>
      <c r="Q582" s="156">
        <f>IFERROR(VLOOKUP(H582,Matrix!A:AC,15,0)-VLOOKUP(J582,Matrix!A:AC,15,0),"")</f>
        <v/>
      </c>
      <c r="R582" s="156">
        <f>IFERROR(VLOOKUP(H582,Matrix!A:AC,16,0)-VLOOKUP(J582,Matrix!A:AC,16,0),"")</f>
        <v/>
      </c>
      <c r="S582" s="195">
        <f>H582</f>
        <v/>
      </c>
      <c r="T582" s="195">
        <f>IFERROR(VLOOKUP(G582&amp;H582,2025Schedule!A:F,6,0),"")</f>
        <v/>
      </c>
      <c r="U582" s="264">
        <f>J582</f>
        <v/>
      </c>
      <c r="V582" s="195">
        <f>IFERROR(VLOOKUP(G582&amp;J582,2025Schedule!A:F,6,0),"")</f>
        <v/>
      </c>
    </row>
    <row r="583" ht="14.4" customHeight="1" s="152">
      <c r="A583" s="241">
        <f>H583&amp;I583</f>
        <v/>
      </c>
      <c r="B583" s="241">
        <f>J583&amp;C583</f>
        <v/>
      </c>
      <c r="C583" s="241">
        <f>IFERROR(IF(I583="Home","Away",IF(I583="Away","Home","")),"")</f>
        <v/>
      </c>
      <c r="D583" s="242">
        <f>H583</f>
        <v/>
      </c>
      <c r="E583" s="157">
        <f>IFERROR(IF(AND(F583&gt;0,T583&gt;V583),"Yes",IF(AND(F583&gt;0,T583&lt;V583),"No",IF(AND(F583&lt;0,T583&lt;V583),"Yes",IF(AND(F583&lt;0,T583&gt;V583),"No",0)))),"")</f>
        <v/>
      </c>
      <c r="F583" s="263">
        <f>IFERROR((N583/MAX(N:N)*_MOVw)+(O583/MAX(O:O)*_WINw)+(P583/MAX(P:P)*_PPGw)+(Q583/MAX(Q:Q)*_ORw)+(R583/MAX(R:R)*_DRw),"")</f>
        <v/>
      </c>
      <c r="N583" s="156">
        <f>IFERROR(VLOOKUP(H583,Matrix!A:AC,12,0)-VLOOKUP(J583,Matrix!A:AC,12,0),"")</f>
        <v/>
      </c>
      <c r="O583" s="182">
        <f>IFERROR(AVERAGEIFS(2025Schedule!O:O,2025Schedule!E:E,H583,2025Schedule!N:N,A583)-AVERAGEIFS(2025Schedule!O:O,2025Schedule!E:E,J583,2025Schedule!N:N,B583),0)</f>
        <v/>
      </c>
      <c r="P583" s="156">
        <f>IFERROR(VLOOKUP(H583,Matrix!A:D,2,0)-VLOOKUP(J583,Matrix!A:D,2,0),"")</f>
        <v/>
      </c>
      <c r="Q583" s="156">
        <f>IFERROR(VLOOKUP(H583,Matrix!A:AC,15,0)-VLOOKUP(J583,Matrix!A:AC,15,0),"")</f>
        <v/>
      </c>
      <c r="R583" s="156">
        <f>IFERROR(VLOOKUP(H583,Matrix!A:AC,16,0)-VLOOKUP(J583,Matrix!A:AC,16,0),"")</f>
        <v/>
      </c>
      <c r="S583" s="195">
        <f>H583</f>
        <v/>
      </c>
      <c r="T583" s="195">
        <f>IFERROR(VLOOKUP(G583&amp;H583,2025Schedule!A:F,6,0),"")</f>
        <v/>
      </c>
      <c r="U583" s="264">
        <f>J583</f>
        <v/>
      </c>
      <c r="V583" s="195">
        <f>IFERROR(VLOOKUP(G583&amp;J583,2025Schedule!A:F,6,0),"")</f>
        <v/>
      </c>
    </row>
    <row r="584" ht="14.4" customHeight="1" s="152">
      <c r="A584" s="241">
        <f>H584&amp;I584</f>
        <v/>
      </c>
      <c r="B584" s="241">
        <f>J584&amp;C584</f>
        <v/>
      </c>
      <c r="C584" s="241">
        <f>IFERROR(IF(I584="Home","Away",IF(I584="Away","Home","")),"")</f>
        <v/>
      </c>
      <c r="D584" s="242">
        <f>H584</f>
        <v/>
      </c>
      <c r="E584" s="157">
        <f>IFERROR(IF(AND(F584&gt;0,T584&gt;V584),"Yes",IF(AND(F584&gt;0,T584&lt;V584),"No",IF(AND(F584&lt;0,T584&lt;V584),"Yes",IF(AND(F584&lt;0,T584&gt;V584),"No",0)))),"")</f>
        <v/>
      </c>
      <c r="F584" s="263">
        <f>IFERROR((N584/MAX(N:N)*_MOVw)+(O584/MAX(O:O)*_WINw)+(P584/MAX(P:P)*_PPGw)+(Q584/MAX(Q:Q)*_ORw)+(R584/MAX(R:R)*_DRw),"")</f>
        <v/>
      </c>
      <c r="N584" s="156">
        <f>IFERROR(VLOOKUP(H584,Matrix!A:AC,12,0)-VLOOKUP(J584,Matrix!A:AC,12,0),"")</f>
        <v/>
      </c>
      <c r="O584" s="182">
        <f>IFERROR(AVERAGEIFS(2025Schedule!O:O,2025Schedule!E:E,H584,2025Schedule!N:N,A584)-AVERAGEIFS(2025Schedule!O:O,2025Schedule!E:E,J584,2025Schedule!N:N,B584),0)</f>
        <v/>
      </c>
      <c r="P584" s="156">
        <f>IFERROR(VLOOKUP(H584,Matrix!A:D,2,0)-VLOOKUP(J584,Matrix!A:D,2,0),"")</f>
        <v/>
      </c>
      <c r="Q584" s="156">
        <f>IFERROR(VLOOKUP(H584,Matrix!A:AC,15,0)-VLOOKUP(J584,Matrix!A:AC,15,0),"")</f>
        <v/>
      </c>
      <c r="R584" s="156">
        <f>IFERROR(VLOOKUP(H584,Matrix!A:AC,16,0)-VLOOKUP(J584,Matrix!A:AC,16,0),"")</f>
        <v/>
      </c>
      <c r="S584" s="195">
        <f>H584</f>
        <v/>
      </c>
      <c r="T584" s="195">
        <f>IFERROR(VLOOKUP(G584&amp;H584,2025Schedule!A:F,6,0),"")</f>
        <v/>
      </c>
      <c r="U584" s="264">
        <f>J584</f>
        <v/>
      </c>
      <c r="V584" s="195">
        <f>IFERROR(VLOOKUP(G584&amp;J584,2025Schedule!A:F,6,0),"")</f>
        <v/>
      </c>
    </row>
    <row r="585" ht="14.4" customHeight="1" s="152">
      <c r="A585" s="241">
        <f>H585&amp;I585</f>
        <v/>
      </c>
      <c r="B585" s="241">
        <f>J585&amp;C585</f>
        <v/>
      </c>
      <c r="C585" s="241">
        <f>IFERROR(IF(I585="Home","Away",IF(I585="Away","Home","")),"")</f>
        <v/>
      </c>
      <c r="D585" s="242">
        <f>H585</f>
        <v/>
      </c>
      <c r="E585" s="157">
        <f>IFERROR(IF(AND(F585&gt;0,T585&gt;V585),"Yes",IF(AND(F585&gt;0,T585&lt;V585),"No",IF(AND(F585&lt;0,T585&lt;V585),"Yes",IF(AND(F585&lt;0,T585&gt;V585),"No",0)))),"")</f>
        <v/>
      </c>
      <c r="F585" s="263">
        <f>IFERROR((N585/MAX(N:N)*_MOVw)+(O585/MAX(O:O)*_WINw)+(P585/MAX(P:P)*_PPGw)+(Q585/MAX(Q:Q)*_ORw)+(R585/MAX(R:R)*_DRw),"")</f>
        <v/>
      </c>
      <c r="N585" s="156">
        <f>IFERROR(VLOOKUP(H585,Matrix!A:AC,12,0)-VLOOKUP(J585,Matrix!A:AC,12,0),"")</f>
        <v/>
      </c>
      <c r="O585" s="182">
        <f>IFERROR(AVERAGEIFS(2025Schedule!O:O,2025Schedule!E:E,H585,2025Schedule!N:N,A585)-AVERAGEIFS(2025Schedule!O:O,2025Schedule!E:E,J585,2025Schedule!N:N,B585),0)</f>
        <v/>
      </c>
      <c r="P585" s="156">
        <f>IFERROR(VLOOKUP(H585,Matrix!A:D,2,0)-VLOOKUP(J585,Matrix!A:D,2,0),"")</f>
        <v/>
      </c>
      <c r="Q585" s="156">
        <f>IFERROR(VLOOKUP(H585,Matrix!A:AC,15,0)-VLOOKUP(J585,Matrix!A:AC,15,0),"")</f>
        <v/>
      </c>
      <c r="R585" s="156">
        <f>IFERROR(VLOOKUP(H585,Matrix!A:AC,16,0)-VLOOKUP(J585,Matrix!A:AC,16,0),"")</f>
        <v/>
      </c>
      <c r="S585" s="195">
        <f>H585</f>
        <v/>
      </c>
      <c r="T585" s="195">
        <f>IFERROR(VLOOKUP(G585&amp;H585,2025Schedule!A:F,6,0),"")</f>
        <v/>
      </c>
      <c r="U585" s="264">
        <f>J585</f>
        <v/>
      </c>
      <c r="V585" s="195">
        <f>IFERROR(VLOOKUP(G585&amp;J585,2025Schedule!A:F,6,0),"")</f>
        <v/>
      </c>
    </row>
    <row r="586" ht="14.4" customHeight="1" s="152">
      <c r="A586" s="241">
        <f>H586&amp;I586</f>
        <v/>
      </c>
      <c r="B586" s="241">
        <f>J586&amp;C586</f>
        <v/>
      </c>
      <c r="C586" s="241">
        <f>IFERROR(IF(I586="Home","Away",IF(I586="Away","Home","")),"")</f>
        <v/>
      </c>
      <c r="D586" s="242">
        <f>H586</f>
        <v/>
      </c>
      <c r="E586" s="157">
        <f>IFERROR(IF(AND(F586&gt;0,T586&gt;V586),"Yes",IF(AND(F586&gt;0,T586&lt;V586),"No",IF(AND(F586&lt;0,T586&lt;V586),"Yes",IF(AND(F586&lt;0,T586&gt;V586),"No",0)))),"")</f>
        <v/>
      </c>
      <c r="F586" s="263">
        <f>IFERROR((N586/MAX(N:N)*_MOVw)+(O586/MAX(O:O)*_WINw)+(P586/MAX(P:P)*_PPGw)+(Q586/MAX(Q:Q)*_ORw)+(R586/MAX(R:R)*_DRw),"")</f>
        <v/>
      </c>
      <c r="N586" s="156">
        <f>IFERROR(VLOOKUP(H586,Matrix!A:AC,12,0)-VLOOKUP(J586,Matrix!A:AC,12,0),"")</f>
        <v/>
      </c>
      <c r="O586" s="182">
        <f>IFERROR(AVERAGEIFS(2025Schedule!O:O,2025Schedule!E:E,H586,2025Schedule!N:N,A586)-AVERAGEIFS(2025Schedule!O:O,2025Schedule!E:E,J586,2025Schedule!N:N,B586),0)</f>
        <v/>
      </c>
      <c r="P586" s="156">
        <f>IFERROR(VLOOKUP(H586,Matrix!A:D,2,0)-VLOOKUP(J586,Matrix!A:D,2,0),"")</f>
        <v/>
      </c>
      <c r="Q586" s="156">
        <f>IFERROR(VLOOKUP(H586,Matrix!A:AC,15,0)-VLOOKUP(J586,Matrix!A:AC,15,0),"")</f>
        <v/>
      </c>
      <c r="R586" s="156">
        <f>IFERROR(VLOOKUP(H586,Matrix!A:AC,16,0)-VLOOKUP(J586,Matrix!A:AC,16,0),"")</f>
        <v/>
      </c>
      <c r="S586" s="195">
        <f>H586</f>
        <v/>
      </c>
      <c r="T586" s="195">
        <f>IFERROR(VLOOKUP(G586&amp;H586,2025Schedule!A:F,6,0),"")</f>
        <v/>
      </c>
      <c r="U586" s="264">
        <f>J586</f>
        <v/>
      </c>
      <c r="V586" s="195">
        <f>IFERROR(VLOOKUP(G586&amp;J586,2025Schedule!A:F,6,0),"")</f>
        <v/>
      </c>
    </row>
    <row r="587" ht="14.4" customHeight="1" s="152">
      <c r="A587" s="241">
        <f>H587&amp;I587</f>
        <v/>
      </c>
      <c r="B587" s="241">
        <f>J587&amp;C587</f>
        <v/>
      </c>
      <c r="C587" s="241">
        <f>IFERROR(IF(I587="Home","Away",IF(I587="Away","Home","")),"")</f>
        <v/>
      </c>
      <c r="D587" s="242">
        <f>H587</f>
        <v/>
      </c>
      <c r="E587" s="157">
        <f>IFERROR(IF(AND(F587&gt;0,T587&gt;V587),"Yes",IF(AND(F587&gt;0,T587&lt;V587),"No",IF(AND(F587&lt;0,T587&lt;V587),"Yes",IF(AND(F587&lt;0,T587&gt;V587),"No",0)))),"")</f>
        <v/>
      </c>
      <c r="F587" s="263">
        <f>IFERROR((N587/MAX(N:N)*_MOVw)+(O587/MAX(O:O)*_WINw)+(P587/MAX(P:P)*_PPGw)+(Q587/MAX(Q:Q)*_ORw)+(R587/MAX(R:R)*_DRw),"")</f>
        <v/>
      </c>
      <c r="N587" s="156">
        <f>IFERROR(VLOOKUP(H587,Matrix!A:AC,12,0)-VLOOKUP(J587,Matrix!A:AC,12,0),"")</f>
        <v/>
      </c>
      <c r="O587" s="182">
        <f>IFERROR(AVERAGEIFS(2025Schedule!O:O,2025Schedule!E:E,H587,2025Schedule!N:N,A587)-AVERAGEIFS(2025Schedule!O:O,2025Schedule!E:E,J587,2025Schedule!N:N,B587),0)</f>
        <v/>
      </c>
      <c r="P587" s="156">
        <f>IFERROR(VLOOKUP(H587,Matrix!A:D,2,0)-VLOOKUP(J587,Matrix!A:D,2,0),"")</f>
        <v/>
      </c>
      <c r="Q587" s="156">
        <f>IFERROR(VLOOKUP(H587,Matrix!A:AC,15,0)-VLOOKUP(J587,Matrix!A:AC,15,0),"")</f>
        <v/>
      </c>
      <c r="R587" s="156">
        <f>IFERROR(VLOOKUP(H587,Matrix!A:AC,16,0)-VLOOKUP(J587,Matrix!A:AC,16,0),"")</f>
        <v/>
      </c>
      <c r="S587" s="195">
        <f>H587</f>
        <v/>
      </c>
      <c r="T587" s="195">
        <f>IFERROR(VLOOKUP(G587&amp;H587,2025Schedule!A:F,6,0),"")</f>
        <v/>
      </c>
      <c r="U587" s="264">
        <f>J587</f>
        <v/>
      </c>
      <c r="V587" s="195">
        <f>IFERROR(VLOOKUP(G587&amp;J587,2025Schedule!A:F,6,0),"")</f>
        <v/>
      </c>
    </row>
    <row r="588" ht="14.4" customHeight="1" s="152">
      <c r="A588" s="241">
        <f>H588&amp;I588</f>
        <v/>
      </c>
      <c r="B588" s="241">
        <f>J588&amp;C588</f>
        <v/>
      </c>
      <c r="C588" s="241">
        <f>IFERROR(IF(I588="Home","Away",IF(I588="Away","Home","")),"")</f>
        <v/>
      </c>
      <c r="D588" s="242">
        <f>H588</f>
        <v/>
      </c>
      <c r="E588" s="157">
        <f>IFERROR(IF(AND(F588&gt;0,T588&gt;V588),"Yes",IF(AND(F588&gt;0,T588&lt;V588),"No",IF(AND(F588&lt;0,T588&lt;V588),"Yes",IF(AND(F588&lt;0,T588&gt;V588),"No",0)))),"")</f>
        <v/>
      </c>
      <c r="F588" s="263">
        <f>IFERROR((N588/MAX(N:N)*_MOVw)+(O588/MAX(O:O)*_WINw)+(P588/MAX(P:P)*_PPGw)+(Q588/MAX(Q:Q)*_ORw)+(R588/MAX(R:R)*_DRw),"")</f>
        <v/>
      </c>
      <c r="N588" s="156">
        <f>IFERROR(VLOOKUP(H588,Matrix!A:AC,12,0)-VLOOKUP(J588,Matrix!A:AC,12,0),"")</f>
        <v/>
      </c>
      <c r="O588" s="182">
        <f>IFERROR(AVERAGEIFS(2025Schedule!O:O,2025Schedule!E:E,H588,2025Schedule!N:N,A588)-AVERAGEIFS(2025Schedule!O:O,2025Schedule!E:E,J588,2025Schedule!N:N,B588),0)</f>
        <v/>
      </c>
      <c r="P588" s="156">
        <f>IFERROR(VLOOKUP(H588,Matrix!A:D,2,0)-VLOOKUP(J588,Matrix!A:D,2,0),"")</f>
        <v/>
      </c>
      <c r="Q588" s="156">
        <f>IFERROR(VLOOKUP(H588,Matrix!A:AC,15,0)-VLOOKUP(J588,Matrix!A:AC,15,0),"")</f>
        <v/>
      </c>
      <c r="R588" s="156">
        <f>IFERROR(VLOOKUP(H588,Matrix!A:AC,16,0)-VLOOKUP(J588,Matrix!A:AC,16,0),"")</f>
        <v/>
      </c>
      <c r="S588" s="195">
        <f>H588</f>
        <v/>
      </c>
      <c r="T588" s="195">
        <f>IFERROR(VLOOKUP(G588&amp;H588,2025Schedule!A:F,6,0),"")</f>
        <v/>
      </c>
      <c r="U588" s="264">
        <f>J588</f>
        <v/>
      </c>
      <c r="V588" s="195">
        <f>IFERROR(VLOOKUP(G588&amp;J588,2025Schedule!A:F,6,0),"")</f>
        <v/>
      </c>
    </row>
    <row r="589" ht="14.4" customHeight="1" s="152">
      <c r="A589" s="241">
        <f>H589&amp;I589</f>
        <v/>
      </c>
      <c r="B589" s="241">
        <f>J589&amp;C589</f>
        <v/>
      </c>
      <c r="C589" s="241">
        <f>IFERROR(IF(I589="Home","Away",IF(I589="Away","Home","")),"")</f>
        <v/>
      </c>
      <c r="D589" s="242">
        <f>H589</f>
        <v/>
      </c>
      <c r="E589" s="157">
        <f>IFERROR(IF(AND(F589&gt;0,T589&gt;V589),"Yes",IF(AND(F589&gt;0,T589&lt;V589),"No",IF(AND(F589&lt;0,T589&lt;V589),"Yes",IF(AND(F589&lt;0,T589&gt;V589),"No",0)))),"")</f>
        <v/>
      </c>
      <c r="F589" s="263">
        <f>IFERROR((N589/MAX(N:N)*_MOVw)+(O589/MAX(O:O)*_WINw)+(P589/MAX(P:P)*_PPGw)+(Q589/MAX(Q:Q)*_ORw)+(R589/MAX(R:R)*_DRw),"")</f>
        <v/>
      </c>
      <c r="N589" s="156">
        <f>IFERROR(VLOOKUP(H589,Matrix!A:AC,12,0)-VLOOKUP(J589,Matrix!A:AC,12,0),"")</f>
        <v/>
      </c>
      <c r="O589" s="182">
        <f>IFERROR(AVERAGEIFS(2025Schedule!O:O,2025Schedule!E:E,H589,2025Schedule!N:N,A589)-AVERAGEIFS(2025Schedule!O:O,2025Schedule!E:E,J589,2025Schedule!N:N,B589),0)</f>
        <v/>
      </c>
      <c r="P589" s="156">
        <f>IFERROR(VLOOKUP(H589,Matrix!A:D,2,0)-VLOOKUP(J589,Matrix!A:D,2,0),"")</f>
        <v/>
      </c>
      <c r="Q589" s="156">
        <f>IFERROR(VLOOKUP(H589,Matrix!A:AC,15,0)-VLOOKUP(J589,Matrix!A:AC,15,0),"")</f>
        <v/>
      </c>
      <c r="R589" s="156">
        <f>IFERROR(VLOOKUP(H589,Matrix!A:AC,16,0)-VLOOKUP(J589,Matrix!A:AC,16,0),"")</f>
        <v/>
      </c>
      <c r="S589" s="195">
        <f>H589</f>
        <v/>
      </c>
      <c r="T589" s="195">
        <f>IFERROR(VLOOKUP(G589&amp;H589,2025Schedule!A:F,6,0),"")</f>
        <v/>
      </c>
      <c r="U589" s="264">
        <f>J589</f>
        <v/>
      </c>
      <c r="V589" s="195">
        <f>IFERROR(VLOOKUP(G589&amp;J589,2025Schedule!A:F,6,0),"")</f>
        <v/>
      </c>
    </row>
    <row r="590" ht="14.4" customHeight="1" s="152">
      <c r="A590" s="241">
        <f>H590&amp;I590</f>
        <v/>
      </c>
      <c r="B590" s="241">
        <f>J590&amp;C590</f>
        <v/>
      </c>
      <c r="C590" s="241">
        <f>IFERROR(IF(I590="Home","Away",IF(I590="Away","Home","")),"")</f>
        <v/>
      </c>
      <c r="D590" s="242">
        <f>H590</f>
        <v/>
      </c>
      <c r="E590" s="157">
        <f>IFERROR(IF(AND(F590&gt;0,T590&gt;V590),"Yes",IF(AND(F590&gt;0,T590&lt;V590),"No",IF(AND(F590&lt;0,T590&lt;V590),"Yes",IF(AND(F590&lt;0,T590&gt;V590),"No",0)))),"")</f>
        <v/>
      </c>
      <c r="F590" s="263">
        <f>IFERROR((N590/MAX(N:N)*_MOVw)+(O590/MAX(O:O)*_WINw)+(P590/MAX(P:P)*_PPGw)+(Q590/MAX(Q:Q)*_ORw)+(R590/MAX(R:R)*_DRw),"")</f>
        <v/>
      </c>
      <c r="N590" s="156">
        <f>IFERROR(VLOOKUP(H590,Matrix!A:AC,12,0)-VLOOKUP(J590,Matrix!A:AC,12,0),"")</f>
        <v/>
      </c>
      <c r="O590" s="182">
        <f>IFERROR(AVERAGEIFS(2025Schedule!O:O,2025Schedule!E:E,H590,2025Schedule!N:N,A590)-AVERAGEIFS(2025Schedule!O:O,2025Schedule!E:E,J590,2025Schedule!N:N,B590),0)</f>
        <v/>
      </c>
      <c r="P590" s="156">
        <f>IFERROR(VLOOKUP(H590,Matrix!A:D,2,0)-VLOOKUP(J590,Matrix!A:D,2,0),"")</f>
        <v/>
      </c>
      <c r="Q590" s="156">
        <f>IFERROR(VLOOKUP(H590,Matrix!A:AC,15,0)-VLOOKUP(J590,Matrix!A:AC,15,0),"")</f>
        <v/>
      </c>
      <c r="R590" s="156">
        <f>IFERROR(VLOOKUP(H590,Matrix!A:AC,16,0)-VLOOKUP(J590,Matrix!A:AC,16,0),"")</f>
        <v/>
      </c>
      <c r="S590" s="195">
        <f>H590</f>
        <v/>
      </c>
      <c r="T590" s="195">
        <f>IFERROR(VLOOKUP(G590&amp;H590,2025Schedule!A:F,6,0),"")</f>
        <v/>
      </c>
      <c r="U590" s="264">
        <f>J590</f>
        <v/>
      </c>
      <c r="V590" s="195">
        <f>IFERROR(VLOOKUP(G590&amp;J590,2025Schedule!A:F,6,0),"")</f>
        <v/>
      </c>
    </row>
    <row r="591" ht="14.4" customHeight="1" s="152">
      <c r="A591" s="241">
        <f>H591&amp;I591</f>
        <v/>
      </c>
      <c r="B591" s="241">
        <f>J591&amp;C591</f>
        <v/>
      </c>
      <c r="C591" s="241">
        <f>IFERROR(IF(I591="Home","Away",IF(I591="Away","Home","")),"")</f>
        <v/>
      </c>
      <c r="D591" s="242">
        <f>H591</f>
        <v/>
      </c>
      <c r="E591" s="157">
        <f>IFERROR(IF(AND(F591&gt;0,T591&gt;V591),"Yes",IF(AND(F591&gt;0,T591&lt;V591),"No",IF(AND(F591&lt;0,T591&lt;V591),"Yes",IF(AND(F591&lt;0,T591&gt;V591),"No",0)))),"")</f>
        <v/>
      </c>
      <c r="F591" s="263">
        <f>IFERROR((N591/MAX(N:N)*_MOVw)+(O591/MAX(O:O)*_WINw)+(P591/MAX(P:P)*_PPGw)+(Q591/MAX(Q:Q)*_ORw)+(R591/MAX(R:R)*_DRw),"")</f>
        <v/>
      </c>
      <c r="N591" s="156">
        <f>IFERROR(VLOOKUP(H591,Matrix!A:AC,12,0)-VLOOKUP(J591,Matrix!A:AC,12,0),"")</f>
        <v/>
      </c>
      <c r="O591" s="182">
        <f>IFERROR(AVERAGEIFS(2025Schedule!O:O,2025Schedule!E:E,H591,2025Schedule!N:N,A591)-AVERAGEIFS(2025Schedule!O:O,2025Schedule!E:E,J591,2025Schedule!N:N,B591),0)</f>
        <v/>
      </c>
      <c r="P591" s="156">
        <f>IFERROR(VLOOKUP(H591,Matrix!A:D,2,0)-VLOOKUP(J591,Matrix!A:D,2,0),"")</f>
        <v/>
      </c>
      <c r="Q591" s="156">
        <f>IFERROR(VLOOKUP(H591,Matrix!A:AC,15,0)-VLOOKUP(J591,Matrix!A:AC,15,0),"")</f>
        <v/>
      </c>
      <c r="R591" s="156">
        <f>IFERROR(VLOOKUP(H591,Matrix!A:AC,16,0)-VLOOKUP(J591,Matrix!A:AC,16,0),"")</f>
        <v/>
      </c>
      <c r="S591" s="195">
        <f>H591</f>
        <v/>
      </c>
      <c r="T591" s="195">
        <f>IFERROR(VLOOKUP(G591&amp;H591,2025Schedule!A:F,6,0),"")</f>
        <v/>
      </c>
      <c r="U591" s="264">
        <f>J591</f>
        <v/>
      </c>
      <c r="V591" s="195">
        <f>IFERROR(VLOOKUP(G591&amp;J591,2025Schedule!A:F,6,0),"")</f>
        <v/>
      </c>
    </row>
    <row r="592" ht="14.4" customHeight="1" s="152">
      <c r="A592" s="241">
        <f>H592&amp;I592</f>
        <v/>
      </c>
      <c r="B592" s="241">
        <f>J592&amp;C592</f>
        <v/>
      </c>
      <c r="C592" s="241">
        <f>IFERROR(IF(I592="Home","Away",IF(I592="Away","Home","")),"")</f>
        <v/>
      </c>
      <c r="D592" s="242">
        <f>H592</f>
        <v/>
      </c>
      <c r="E592" s="157">
        <f>IFERROR(IF(AND(F592&gt;0,T592&gt;V592),"Yes",IF(AND(F592&gt;0,T592&lt;V592),"No",IF(AND(F592&lt;0,T592&lt;V592),"Yes",IF(AND(F592&lt;0,T592&gt;V592),"No",0)))),"")</f>
        <v/>
      </c>
      <c r="F592" s="263">
        <f>IFERROR((N592/MAX(N:N)*_MOVw)+(O592/MAX(O:O)*_WINw)+(P592/MAX(P:P)*_PPGw)+(Q592/MAX(Q:Q)*_ORw)+(R592/MAX(R:R)*_DRw),"")</f>
        <v/>
      </c>
      <c r="N592" s="156">
        <f>IFERROR(VLOOKUP(H592,Matrix!A:AC,12,0)-VLOOKUP(J592,Matrix!A:AC,12,0),"")</f>
        <v/>
      </c>
      <c r="O592" s="182">
        <f>IFERROR(AVERAGEIFS(2025Schedule!O:O,2025Schedule!E:E,H592,2025Schedule!N:N,A592)-AVERAGEIFS(2025Schedule!O:O,2025Schedule!E:E,J592,2025Schedule!N:N,B592),0)</f>
        <v/>
      </c>
      <c r="P592" s="156">
        <f>IFERROR(VLOOKUP(H592,Matrix!A:D,2,0)-VLOOKUP(J592,Matrix!A:D,2,0),"")</f>
        <v/>
      </c>
      <c r="Q592" s="156">
        <f>IFERROR(VLOOKUP(H592,Matrix!A:AC,15,0)-VLOOKUP(J592,Matrix!A:AC,15,0),"")</f>
        <v/>
      </c>
      <c r="R592" s="156">
        <f>IFERROR(VLOOKUP(H592,Matrix!A:AC,16,0)-VLOOKUP(J592,Matrix!A:AC,16,0),"")</f>
        <v/>
      </c>
      <c r="S592" s="195">
        <f>H592</f>
        <v/>
      </c>
      <c r="T592" s="195">
        <f>IFERROR(VLOOKUP(G592&amp;H592,2025Schedule!A:F,6,0),"")</f>
        <v/>
      </c>
      <c r="U592" s="264">
        <f>J592</f>
        <v/>
      </c>
      <c r="V592" s="195">
        <f>IFERROR(VLOOKUP(G592&amp;J592,2025Schedule!A:F,6,0),"")</f>
        <v/>
      </c>
    </row>
    <row r="593" ht="14.4" customHeight="1" s="152">
      <c r="A593" s="241">
        <f>H593&amp;I593</f>
        <v/>
      </c>
      <c r="B593" s="241">
        <f>J593&amp;C593</f>
        <v/>
      </c>
      <c r="C593" s="241">
        <f>IFERROR(IF(I593="Home","Away",IF(I593="Away","Home","")),"")</f>
        <v/>
      </c>
      <c r="D593" s="242">
        <f>H593</f>
        <v/>
      </c>
      <c r="E593" s="157">
        <f>IFERROR(IF(AND(F593&gt;0,T593&gt;V593),"Yes",IF(AND(F593&gt;0,T593&lt;V593),"No",IF(AND(F593&lt;0,T593&lt;V593),"Yes",IF(AND(F593&lt;0,T593&gt;V593),"No",0)))),"")</f>
        <v/>
      </c>
      <c r="F593" s="263">
        <f>IFERROR((N593/MAX(N:N)*_MOVw)+(O593/MAX(O:O)*_WINw)+(P593/MAX(P:P)*_PPGw)+(Q593/MAX(Q:Q)*_ORw)+(R593/MAX(R:R)*_DRw),"")</f>
        <v/>
      </c>
      <c r="N593" s="156">
        <f>IFERROR(VLOOKUP(H593,Matrix!A:AC,12,0)-VLOOKUP(J593,Matrix!A:AC,12,0),"")</f>
        <v/>
      </c>
      <c r="O593" s="182">
        <f>IFERROR(AVERAGEIFS(2025Schedule!O:O,2025Schedule!E:E,H593,2025Schedule!N:N,A593)-AVERAGEIFS(2025Schedule!O:O,2025Schedule!E:E,J593,2025Schedule!N:N,B593),0)</f>
        <v/>
      </c>
      <c r="P593" s="156">
        <f>IFERROR(VLOOKUP(H593,Matrix!A:D,2,0)-VLOOKUP(J593,Matrix!A:D,2,0),"")</f>
        <v/>
      </c>
      <c r="Q593" s="156">
        <f>IFERROR(VLOOKUP(H593,Matrix!A:AC,15,0)-VLOOKUP(J593,Matrix!A:AC,15,0),"")</f>
        <v/>
      </c>
      <c r="R593" s="156">
        <f>IFERROR(VLOOKUP(H593,Matrix!A:AC,16,0)-VLOOKUP(J593,Matrix!A:AC,16,0),"")</f>
        <v/>
      </c>
      <c r="S593" s="195">
        <f>H593</f>
        <v/>
      </c>
      <c r="T593" s="195">
        <f>IFERROR(VLOOKUP(G593&amp;H593,2025Schedule!A:F,6,0),"")</f>
        <v/>
      </c>
      <c r="U593" s="264">
        <f>J593</f>
        <v/>
      </c>
      <c r="V593" s="195">
        <f>IFERROR(VLOOKUP(G593&amp;J593,2025Schedule!A:F,6,0),"")</f>
        <v/>
      </c>
    </row>
    <row r="594" ht="14.4" customHeight="1" s="152">
      <c r="A594" s="241">
        <f>H594&amp;I594</f>
        <v/>
      </c>
      <c r="B594" s="241">
        <f>J594&amp;C594</f>
        <v/>
      </c>
      <c r="C594" s="241">
        <f>IFERROR(IF(I594="Home","Away",IF(I594="Away","Home","")),"")</f>
        <v/>
      </c>
      <c r="D594" s="242">
        <f>H594</f>
        <v/>
      </c>
      <c r="E594" s="157">
        <f>IFERROR(IF(AND(F594&gt;0,T594&gt;V594),"Yes",IF(AND(F594&gt;0,T594&lt;V594),"No",IF(AND(F594&lt;0,T594&lt;V594),"Yes",IF(AND(F594&lt;0,T594&gt;V594),"No",0)))),"")</f>
        <v/>
      </c>
      <c r="F594" s="263">
        <f>IFERROR((N594/MAX(N:N)*_MOVw)+(O594/MAX(O:O)*_WINw)+(P594/MAX(P:P)*_PPGw)+(Q594/MAX(Q:Q)*_ORw)+(R594/MAX(R:R)*_DRw),"")</f>
        <v/>
      </c>
      <c r="N594" s="156">
        <f>IFERROR(VLOOKUP(H594,Matrix!A:AC,12,0)-VLOOKUP(J594,Matrix!A:AC,12,0),"")</f>
        <v/>
      </c>
      <c r="O594" s="182">
        <f>IFERROR(AVERAGEIFS(2025Schedule!O:O,2025Schedule!E:E,H594,2025Schedule!N:N,A594)-AVERAGEIFS(2025Schedule!O:O,2025Schedule!E:E,J594,2025Schedule!N:N,B594),0)</f>
        <v/>
      </c>
      <c r="P594" s="156">
        <f>IFERROR(VLOOKUP(H594,Matrix!A:D,2,0)-VLOOKUP(J594,Matrix!A:D,2,0),"")</f>
        <v/>
      </c>
      <c r="Q594" s="156">
        <f>IFERROR(VLOOKUP(H594,Matrix!A:AC,15,0)-VLOOKUP(J594,Matrix!A:AC,15,0),"")</f>
        <v/>
      </c>
      <c r="R594" s="156">
        <f>IFERROR(VLOOKUP(H594,Matrix!A:AC,16,0)-VLOOKUP(J594,Matrix!A:AC,16,0),"")</f>
        <v/>
      </c>
      <c r="S594" s="195">
        <f>H594</f>
        <v/>
      </c>
      <c r="T594" s="195">
        <f>IFERROR(VLOOKUP(G594&amp;H594,2025Schedule!A:F,6,0),"")</f>
        <v/>
      </c>
      <c r="U594" s="264">
        <f>J594</f>
        <v/>
      </c>
      <c r="V594" s="195">
        <f>IFERROR(VLOOKUP(G594&amp;J594,2025Schedule!A:F,6,0),"")</f>
        <v/>
      </c>
    </row>
    <row r="595" ht="14.4" customHeight="1" s="152">
      <c r="A595" s="241">
        <f>H595&amp;I595</f>
        <v/>
      </c>
      <c r="B595" s="241">
        <f>J595&amp;C595</f>
        <v/>
      </c>
      <c r="C595" s="241">
        <f>IFERROR(IF(I595="Home","Away",IF(I595="Away","Home","")),"")</f>
        <v/>
      </c>
      <c r="D595" s="242">
        <f>H595</f>
        <v/>
      </c>
      <c r="E595" s="157">
        <f>IFERROR(IF(AND(F595&gt;0,T595&gt;V595),"Yes",IF(AND(F595&gt;0,T595&lt;V595),"No",IF(AND(F595&lt;0,T595&lt;V595),"Yes",IF(AND(F595&lt;0,T595&gt;V595),"No",0)))),"")</f>
        <v/>
      </c>
      <c r="F595" s="263">
        <f>IFERROR((N595/MAX(N:N)*_MOVw)+(O595/MAX(O:O)*_WINw)+(P595/MAX(P:P)*_PPGw)+(Q595/MAX(Q:Q)*_ORw)+(R595/MAX(R:R)*_DRw),"")</f>
        <v/>
      </c>
      <c r="N595" s="156">
        <f>IFERROR(VLOOKUP(H595,Matrix!A:AC,12,0)-VLOOKUP(J595,Matrix!A:AC,12,0),"")</f>
        <v/>
      </c>
      <c r="O595" s="182">
        <f>IFERROR(AVERAGEIFS(2025Schedule!O:O,2025Schedule!E:E,H595,2025Schedule!N:N,A595)-AVERAGEIFS(2025Schedule!O:O,2025Schedule!E:E,J595,2025Schedule!N:N,B595),0)</f>
        <v/>
      </c>
      <c r="P595" s="156">
        <f>IFERROR(VLOOKUP(H595,Matrix!A:D,2,0)-VLOOKUP(J595,Matrix!A:D,2,0),"")</f>
        <v/>
      </c>
      <c r="Q595" s="156">
        <f>IFERROR(VLOOKUP(H595,Matrix!A:AC,15,0)-VLOOKUP(J595,Matrix!A:AC,15,0),"")</f>
        <v/>
      </c>
      <c r="R595" s="156">
        <f>IFERROR(VLOOKUP(H595,Matrix!A:AC,16,0)-VLOOKUP(J595,Matrix!A:AC,16,0),"")</f>
        <v/>
      </c>
      <c r="S595" s="195">
        <f>H595</f>
        <v/>
      </c>
      <c r="T595" s="195">
        <f>IFERROR(VLOOKUP(G595&amp;H595,2025Schedule!A:F,6,0),"")</f>
        <v/>
      </c>
      <c r="U595" s="264">
        <f>J595</f>
        <v/>
      </c>
      <c r="V595" s="195">
        <f>IFERROR(VLOOKUP(G595&amp;J595,2025Schedule!A:F,6,0),"")</f>
        <v/>
      </c>
    </row>
    <row r="596" ht="14.4" customHeight="1" s="152">
      <c r="A596" s="241">
        <f>H596&amp;I596</f>
        <v/>
      </c>
      <c r="B596" s="241">
        <f>J596&amp;C596</f>
        <v/>
      </c>
      <c r="C596" s="241">
        <f>IFERROR(IF(I596="Home","Away",IF(I596="Away","Home","")),"")</f>
        <v/>
      </c>
      <c r="D596" s="242">
        <f>H596</f>
        <v/>
      </c>
      <c r="E596" s="157">
        <f>IFERROR(IF(AND(F596&gt;0,T596&gt;V596),"Yes",IF(AND(F596&gt;0,T596&lt;V596),"No",IF(AND(F596&lt;0,T596&lt;V596),"Yes",IF(AND(F596&lt;0,T596&gt;V596),"No",0)))),"")</f>
        <v/>
      </c>
      <c r="F596" s="263">
        <f>IFERROR((N596/MAX(N:N)*_MOVw)+(O596/MAX(O:O)*_WINw)+(P596/MAX(P:P)*_PPGw)+(Q596/MAX(Q:Q)*_ORw)+(R596/MAX(R:R)*_DRw),"")</f>
        <v/>
      </c>
      <c r="N596" s="156">
        <f>IFERROR(VLOOKUP(H596,Matrix!A:AC,12,0)-VLOOKUP(J596,Matrix!A:AC,12,0),"")</f>
        <v/>
      </c>
      <c r="O596" s="182">
        <f>IFERROR(AVERAGEIFS(2025Schedule!O:O,2025Schedule!E:E,H596,2025Schedule!N:N,A596)-AVERAGEIFS(2025Schedule!O:O,2025Schedule!E:E,J596,2025Schedule!N:N,B596),0)</f>
        <v/>
      </c>
      <c r="P596" s="156">
        <f>IFERROR(VLOOKUP(H596,Matrix!A:D,2,0)-VLOOKUP(J596,Matrix!A:D,2,0),"")</f>
        <v/>
      </c>
      <c r="Q596" s="156">
        <f>IFERROR(VLOOKUP(H596,Matrix!A:AC,15,0)-VLOOKUP(J596,Matrix!A:AC,15,0),"")</f>
        <v/>
      </c>
      <c r="R596" s="156">
        <f>IFERROR(VLOOKUP(H596,Matrix!A:AC,16,0)-VLOOKUP(J596,Matrix!A:AC,16,0),"")</f>
        <v/>
      </c>
      <c r="S596" s="195">
        <f>H596</f>
        <v/>
      </c>
      <c r="T596" s="195">
        <f>IFERROR(VLOOKUP(G596&amp;H596,2025Schedule!A:F,6,0),"")</f>
        <v/>
      </c>
      <c r="U596" s="264">
        <f>J596</f>
        <v/>
      </c>
      <c r="V596" s="195">
        <f>IFERROR(VLOOKUP(G596&amp;J596,2025Schedule!A:F,6,0),"")</f>
        <v/>
      </c>
    </row>
    <row r="597" ht="14.4" customHeight="1" s="152">
      <c r="A597" s="241">
        <f>H597&amp;I597</f>
        <v/>
      </c>
      <c r="B597" s="241">
        <f>J597&amp;C597</f>
        <v/>
      </c>
      <c r="C597" s="241">
        <f>IFERROR(IF(I597="Home","Away",IF(I597="Away","Home","")),"")</f>
        <v/>
      </c>
      <c r="D597" s="242">
        <f>H597</f>
        <v/>
      </c>
      <c r="E597" s="157">
        <f>IFERROR(IF(AND(F597&gt;0,T597&gt;V597),"Yes",IF(AND(F597&gt;0,T597&lt;V597),"No",IF(AND(F597&lt;0,T597&lt;V597),"Yes",IF(AND(F597&lt;0,T597&gt;V597),"No",0)))),"")</f>
        <v/>
      </c>
      <c r="F597" s="263">
        <f>IFERROR((N597/MAX(N:N)*_MOVw)+(O597/MAX(O:O)*_WINw)+(P597/MAX(P:P)*_PPGw)+(Q597/MAX(Q:Q)*_ORw)+(R597/MAX(R:R)*_DRw),"")</f>
        <v/>
      </c>
      <c r="N597" s="156">
        <f>IFERROR(VLOOKUP(H597,Matrix!A:AC,12,0)-VLOOKUP(J597,Matrix!A:AC,12,0),"")</f>
        <v/>
      </c>
      <c r="O597" s="182">
        <f>IFERROR(AVERAGEIFS(2025Schedule!O:O,2025Schedule!E:E,H597,2025Schedule!N:N,A597)-AVERAGEIFS(2025Schedule!O:O,2025Schedule!E:E,J597,2025Schedule!N:N,B597),0)</f>
        <v/>
      </c>
      <c r="P597" s="156">
        <f>IFERROR(VLOOKUP(H597,Matrix!A:D,2,0)-VLOOKUP(J597,Matrix!A:D,2,0),"")</f>
        <v/>
      </c>
      <c r="Q597" s="156">
        <f>IFERROR(VLOOKUP(H597,Matrix!A:AC,15,0)-VLOOKUP(J597,Matrix!A:AC,15,0),"")</f>
        <v/>
      </c>
      <c r="R597" s="156">
        <f>IFERROR(VLOOKUP(H597,Matrix!A:AC,16,0)-VLOOKUP(J597,Matrix!A:AC,16,0),"")</f>
        <v/>
      </c>
      <c r="S597" s="195">
        <f>H597</f>
        <v/>
      </c>
      <c r="T597" s="195">
        <f>IFERROR(VLOOKUP(G597&amp;H597,2025Schedule!A:F,6,0),"")</f>
        <v/>
      </c>
      <c r="U597" s="264">
        <f>J597</f>
        <v/>
      </c>
      <c r="V597" s="195">
        <f>IFERROR(VLOOKUP(G597&amp;J597,2025Schedule!A:F,6,0),"")</f>
        <v/>
      </c>
    </row>
    <row r="598" ht="14.4" customHeight="1" s="152">
      <c r="A598" s="241">
        <f>H598&amp;I598</f>
        <v/>
      </c>
      <c r="B598" s="241">
        <f>J598&amp;C598</f>
        <v/>
      </c>
      <c r="C598" s="241">
        <f>IFERROR(IF(I598="Home","Away",IF(I598="Away","Home","")),"")</f>
        <v/>
      </c>
      <c r="D598" s="242">
        <f>H598</f>
        <v/>
      </c>
      <c r="E598" s="157">
        <f>IFERROR(IF(AND(F598&gt;0,T598&gt;V598),"Yes",IF(AND(F598&gt;0,T598&lt;V598),"No",IF(AND(F598&lt;0,T598&lt;V598),"Yes",IF(AND(F598&lt;0,T598&gt;V598),"No",0)))),"")</f>
        <v/>
      </c>
      <c r="F598" s="263">
        <f>IFERROR((N598/MAX(N:N)*_MOVw)+(O598/MAX(O:O)*_WINw)+(P598/MAX(P:P)*_PPGw)+(Q598/MAX(Q:Q)*_ORw)+(R598/MAX(R:R)*_DRw),"")</f>
        <v/>
      </c>
      <c r="N598" s="156">
        <f>IFERROR(VLOOKUP(H598,Matrix!A:AC,12,0)-VLOOKUP(J598,Matrix!A:AC,12,0),"")</f>
        <v/>
      </c>
      <c r="O598" s="182">
        <f>IFERROR(AVERAGEIFS(2025Schedule!O:O,2025Schedule!E:E,H598,2025Schedule!N:N,A598)-AVERAGEIFS(2025Schedule!O:O,2025Schedule!E:E,J598,2025Schedule!N:N,B598),0)</f>
        <v/>
      </c>
      <c r="P598" s="156">
        <f>IFERROR(VLOOKUP(H598,Matrix!A:D,2,0)-VLOOKUP(J598,Matrix!A:D,2,0),"")</f>
        <v/>
      </c>
      <c r="Q598" s="156">
        <f>IFERROR(VLOOKUP(H598,Matrix!A:AC,15,0)-VLOOKUP(J598,Matrix!A:AC,15,0),"")</f>
        <v/>
      </c>
      <c r="R598" s="156">
        <f>IFERROR(VLOOKUP(H598,Matrix!A:AC,16,0)-VLOOKUP(J598,Matrix!A:AC,16,0),"")</f>
        <v/>
      </c>
      <c r="S598" s="195">
        <f>H598</f>
        <v/>
      </c>
      <c r="T598" s="195">
        <f>IFERROR(VLOOKUP(G598&amp;H598,2025Schedule!A:F,6,0),"")</f>
        <v/>
      </c>
      <c r="U598" s="264">
        <f>J598</f>
        <v/>
      </c>
      <c r="V598" s="195">
        <f>IFERROR(VLOOKUP(G598&amp;J598,2025Schedule!A:F,6,0),"")</f>
        <v/>
      </c>
    </row>
    <row r="599" ht="14.4" customHeight="1" s="152">
      <c r="A599" s="241">
        <f>H599&amp;I599</f>
        <v/>
      </c>
      <c r="B599" s="241">
        <f>J599&amp;C599</f>
        <v/>
      </c>
      <c r="C599" s="241">
        <f>IFERROR(IF(I599="Home","Away",IF(I599="Away","Home","")),"")</f>
        <v/>
      </c>
      <c r="D599" s="242">
        <f>H599</f>
        <v/>
      </c>
      <c r="E599" s="157">
        <f>IFERROR(IF(AND(F599&gt;0,T599&gt;V599),"Yes",IF(AND(F599&gt;0,T599&lt;V599),"No",IF(AND(F599&lt;0,T599&lt;V599),"Yes",IF(AND(F599&lt;0,T599&gt;V599),"No",0)))),"")</f>
        <v/>
      </c>
      <c r="F599" s="263">
        <f>IFERROR((N599/MAX(N:N)*_MOVw)+(O599/MAX(O:O)*_WINw)+(P599/MAX(P:P)*_PPGw)+(Q599/MAX(Q:Q)*_ORw)+(R599/MAX(R:R)*_DRw),"")</f>
        <v/>
      </c>
      <c r="N599" s="156">
        <f>IFERROR(VLOOKUP(H599,Matrix!A:AC,12,0)-VLOOKUP(J599,Matrix!A:AC,12,0),"")</f>
        <v/>
      </c>
      <c r="O599" s="182">
        <f>IFERROR(AVERAGEIFS(2025Schedule!O:O,2025Schedule!E:E,H599,2025Schedule!N:N,A599)-AVERAGEIFS(2025Schedule!O:O,2025Schedule!E:E,J599,2025Schedule!N:N,B599),0)</f>
        <v/>
      </c>
      <c r="P599" s="156">
        <f>IFERROR(VLOOKUP(H599,Matrix!A:D,2,0)-VLOOKUP(J599,Matrix!A:D,2,0),"")</f>
        <v/>
      </c>
      <c r="Q599" s="156">
        <f>IFERROR(VLOOKUP(H599,Matrix!A:AC,15,0)-VLOOKUP(J599,Matrix!A:AC,15,0),"")</f>
        <v/>
      </c>
      <c r="R599" s="156">
        <f>IFERROR(VLOOKUP(H599,Matrix!A:AC,16,0)-VLOOKUP(J599,Matrix!A:AC,16,0),"")</f>
        <v/>
      </c>
      <c r="S599" s="195">
        <f>H599</f>
        <v/>
      </c>
      <c r="T599" s="195">
        <f>IFERROR(VLOOKUP(G599&amp;H599,2025Schedule!A:F,6,0),"")</f>
        <v/>
      </c>
      <c r="U599" s="264">
        <f>J599</f>
        <v/>
      </c>
      <c r="V599" s="195">
        <f>IFERROR(VLOOKUP(G599&amp;J599,2025Schedule!A:F,6,0),"")</f>
        <v/>
      </c>
    </row>
    <row r="600" ht="14.4" customHeight="1" s="152">
      <c r="A600" s="241">
        <f>H600&amp;I600</f>
        <v/>
      </c>
      <c r="B600" s="241">
        <f>J600&amp;C600</f>
        <v/>
      </c>
      <c r="C600" s="241">
        <f>IFERROR(IF(I600="Home","Away",IF(I600="Away","Home","")),"")</f>
        <v/>
      </c>
      <c r="D600" s="242">
        <f>H600</f>
        <v/>
      </c>
      <c r="E600" s="157">
        <f>IFERROR(IF(AND(F600&gt;0,T600&gt;V600),"Yes",IF(AND(F600&gt;0,T600&lt;V600),"No",IF(AND(F600&lt;0,T600&lt;V600),"Yes",IF(AND(F600&lt;0,T600&gt;V600),"No",0)))),"")</f>
        <v/>
      </c>
      <c r="F600" s="263">
        <f>IFERROR((N600/MAX(N:N)*_MOVw)+(O600/MAX(O:O)*_WINw)+(P600/MAX(P:P)*_PPGw)+(Q600/MAX(Q:Q)*_ORw)+(R600/MAX(R:R)*_DRw),"")</f>
        <v/>
      </c>
      <c r="N600" s="156">
        <f>IFERROR(VLOOKUP(H600,Matrix!A:AC,12,0)-VLOOKUP(J600,Matrix!A:AC,12,0),"")</f>
        <v/>
      </c>
      <c r="O600" s="182">
        <f>IFERROR(AVERAGEIFS(2025Schedule!O:O,2025Schedule!E:E,H600,2025Schedule!N:N,A600)-AVERAGEIFS(2025Schedule!O:O,2025Schedule!E:E,J600,2025Schedule!N:N,B600),0)</f>
        <v/>
      </c>
      <c r="P600" s="156">
        <f>IFERROR(VLOOKUP(H600,Matrix!A:D,2,0)-VLOOKUP(J600,Matrix!A:D,2,0),"")</f>
        <v/>
      </c>
      <c r="Q600" s="156">
        <f>IFERROR(VLOOKUP(H600,Matrix!A:AC,15,0)-VLOOKUP(J600,Matrix!A:AC,15,0),"")</f>
        <v/>
      </c>
      <c r="R600" s="156">
        <f>IFERROR(VLOOKUP(H600,Matrix!A:AC,16,0)-VLOOKUP(J600,Matrix!A:AC,16,0),"")</f>
        <v/>
      </c>
      <c r="S600" s="195">
        <f>H600</f>
        <v/>
      </c>
      <c r="T600" s="195">
        <f>IFERROR(VLOOKUP(G600&amp;H600,2025Schedule!A:F,6,0),"")</f>
        <v/>
      </c>
      <c r="U600" s="264">
        <f>J600</f>
        <v/>
      </c>
      <c r="V600" s="195">
        <f>IFERROR(VLOOKUP(G600&amp;J600,2025Schedule!A:F,6,0),"")</f>
        <v/>
      </c>
    </row>
    <row r="601" ht="14.4" customHeight="1" s="152">
      <c r="A601" s="241">
        <f>H601&amp;I601</f>
        <v/>
      </c>
      <c r="B601" s="241">
        <f>J601&amp;C601</f>
        <v/>
      </c>
      <c r="C601" s="241">
        <f>IFERROR(IF(I601="Home","Away",IF(I601="Away","Home","")),"")</f>
        <v/>
      </c>
      <c r="D601" s="242">
        <f>H601</f>
        <v/>
      </c>
      <c r="E601" s="157">
        <f>IFERROR(IF(AND(F601&gt;0,T601&gt;V601),"Yes",IF(AND(F601&gt;0,T601&lt;V601),"No",IF(AND(F601&lt;0,T601&lt;V601),"Yes",IF(AND(F601&lt;0,T601&gt;V601),"No",0)))),"")</f>
        <v/>
      </c>
      <c r="F601" s="263">
        <f>IFERROR((N601/MAX(N:N)*_MOVw)+(O601/MAX(O:O)*_WINw)+(P601/MAX(P:P)*_PPGw)+(Q601/MAX(Q:Q)*_ORw)+(R601/MAX(R:R)*_DRw),"")</f>
        <v/>
      </c>
      <c r="N601" s="156">
        <f>IFERROR(VLOOKUP(H601,Matrix!A:AC,12,0)-VLOOKUP(J601,Matrix!A:AC,12,0),"")</f>
        <v/>
      </c>
      <c r="O601" s="182">
        <f>IFERROR(AVERAGEIFS(2025Schedule!O:O,2025Schedule!E:E,H601,2025Schedule!N:N,A601)-AVERAGEIFS(2025Schedule!O:O,2025Schedule!E:E,J601,2025Schedule!N:N,B601),0)</f>
        <v/>
      </c>
      <c r="P601" s="156">
        <f>IFERROR(VLOOKUP(H601,Matrix!A:D,2,0)-VLOOKUP(J601,Matrix!A:D,2,0),"")</f>
        <v/>
      </c>
      <c r="Q601" s="156">
        <f>IFERROR(VLOOKUP(H601,Matrix!A:AC,15,0)-VLOOKUP(J601,Matrix!A:AC,15,0),"")</f>
        <v/>
      </c>
      <c r="R601" s="156">
        <f>IFERROR(VLOOKUP(H601,Matrix!A:AC,16,0)-VLOOKUP(J601,Matrix!A:AC,16,0),"")</f>
        <v/>
      </c>
      <c r="S601" s="195">
        <f>H601</f>
        <v/>
      </c>
      <c r="T601" s="195">
        <f>IFERROR(VLOOKUP(G601&amp;H601,2025Schedule!A:F,6,0),"")</f>
        <v/>
      </c>
      <c r="U601" s="264">
        <f>J601</f>
        <v/>
      </c>
      <c r="V601" s="195">
        <f>IFERROR(VLOOKUP(G601&amp;J601,2025Schedule!A:F,6,0),"")</f>
        <v/>
      </c>
    </row>
    <row r="602" ht="14.4" customHeight="1" s="152">
      <c r="A602" s="241">
        <f>H602&amp;I602</f>
        <v/>
      </c>
      <c r="B602" s="241">
        <f>J602&amp;C602</f>
        <v/>
      </c>
      <c r="C602" s="241">
        <f>IFERROR(IF(I602="Home","Away",IF(I602="Away","Home","")),"")</f>
        <v/>
      </c>
      <c r="D602" s="242">
        <f>H602</f>
        <v/>
      </c>
      <c r="E602" s="157">
        <f>IFERROR(IF(AND(F602&gt;0,T602&gt;V602),"Yes",IF(AND(F602&gt;0,T602&lt;V602),"No",IF(AND(F602&lt;0,T602&lt;V602),"Yes",IF(AND(F602&lt;0,T602&gt;V602),"No",0)))),"")</f>
        <v/>
      </c>
      <c r="F602" s="263">
        <f>IFERROR((N602/MAX(N:N)*_MOVw)+(O602/MAX(O:O)*_WINw)+(P602/MAX(P:P)*_PPGw)+(Q602/MAX(Q:Q)*_ORw)+(R602/MAX(R:R)*_DRw),"")</f>
        <v/>
      </c>
      <c r="N602" s="156">
        <f>IFERROR(VLOOKUP(H602,Matrix!A:AC,12,0)-VLOOKUP(J602,Matrix!A:AC,12,0),"")</f>
        <v/>
      </c>
      <c r="O602" s="182">
        <f>IFERROR(AVERAGEIFS(2025Schedule!O:O,2025Schedule!E:E,H602,2025Schedule!N:N,A602)-AVERAGEIFS(2025Schedule!O:O,2025Schedule!E:E,J602,2025Schedule!N:N,B602),0)</f>
        <v/>
      </c>
      <c r="P602" s="156">
        <f>IFERROR(VLOOKUP(H602,Matrix!A:D,2,0)-VLOOKUP(J602,Matrix!A:D,2,0),"")</f>
        <v/>
      </c>
      <c r="Q602" s="156">
        <f>IFERROR(VLOOKUP(H602,Matrix!A:AC,15,0)-VLOOKUP(J602,Matrix!A:AC,15,0),"")</f>
        <v/>
      </c>
      <c r="R602" s="156">
        <f>IFERROR(VLOOKUP(H602,Matrix!A:AC,16,0)-VLOOKUP(J602,Matrix!A:AC,16,0),"")</f>
        <v/>
      </c>
      <c r="S602" s="195">
        <f>H602</f>
        <v/>
      </c>
      <c r="T602" s="195">
        <f>IFERROR(VLOOKUP(G602&amp;H602,2025Schedule!A:F,6,0),"")</f>
        <v/>
      </c>
      <c r="U602" s="264">
        <f>J602</f>
        <v/>
      </c>
      <c r="V602" s="195">
        <f>IFERROR(VLOOKUP(G602&amp;J602,2025Schedule!A:F,6,0),"")</f>
        <v/>
      </c>
    </row>
    <row r="603" ht="14.4" customHeight="1" s="152">
      <c r="A603" s="241">
        <f>H603&amp;I603</f>
        <v/>
      </c>
      <c r="B603" s="241">
        <f>J603&amp;C603</f>
        <v/>
      </c>
      <c r="C603" s="241">
        <f>IFERROR(IF(I603="Home","Away",IF(I603="Away","Home","")),"")</f>
        <v/>
      </c>
      <c r="D603" s="242">
        <f>H603</f>
        <v/>
      </c>
      <c r="E603" s="157">
        <f>IFERROR(IF(AND(F603&gt;0,T603&gt;V603),"Yes",IF(AND(F603&gt;0,T603&lt;V603),"No",IF(AND(F603&lt;0,T603&lt;V603),"Yes",IF(AND(F603&lt;0,T603&gt;V603),"No",0)))),"")</f>
        <v/>
      </c>
      <c r="F603" s="263">
        <f>IFERROR((N603/MAX(N:N)*_MOVw)+(O603/MAX(O:O)*_WINw)+(P603/MAX(P:P)*_PPGw)+(Q603/MAX(Q:Q)*_ORw)+(R603/MAX(R:R)*_DRw),"")</f>
        <v/>
      </c>
      <c r="N603" s="156">
        <f>IFERROR(VLOOKUP(H603,Matrix!A:AC,12,0)-VLOOKUP(J603,Matrix!A:AC,12,0),"")</f>
        <v/>
      </c>
      <c r="O603" s="182">
        <f>IFERROR(AVERAGEIFS(2025Schedule!O:O,2025Schedule!E:E,H603,2025Schedule!N:N,A603)-AVERAGEIFS(2025Schedule!O:O,2025Schedule!E:E,J603,2025Schedule!N:N,B603),0)</f>
        <v/>
      </c>
      <c r="P603" s="156">
        <f>IFERROR(VLOOKUP(H603,Matrix!A:D,2,0)-VLOOKUP(J603,Matrix!A:D,2,0),"")</f>
        <v/>
      </c>
      <c r="Q603" s="156">
        <f>IFERROR(VLOOKUP(H603,Matrix!A:AC,15,0)-VLOOKUP(J603,Matrix!A:AC,15,0),"")</f>
        <v/>
      </c>
      <c r="R603" s="156">
        <f>IFERROR(VLOOKUP(H603,Matrix!A:AC,16,0)-VLOOKUP(J603,Matrix!A:AC,16,0),"")</f>
        <v/>
      </c>
      <c r="S603" s="195">
        <f>H603</f>
        <v/>
      </c>
      <c r="T603" s="195">
        <f>IFERROR(VLOOKUP(G603&amp;H603,2025Schedule!A:F,6,0),"")</f>
        <v/>
      </c>
      <c r="U603" s="264">
        <f>J603</f>
        <v/>
      </c>
      <c r="V603" s="195">
        <f>IFERROR(VLOOKUP(G603&amp;J603,2025Schedule!A:F,6,0),"")</f>
        <v/>
      </c>
    </row>
    <row r="604" ht="14.4" customHeight="1" s="152">
      <c r="A604" s="241">
        <f>H604&amp;I604</f>
        <v/>
      </c>
      <c r="B604" s="241">
        <f>J604&amp;C604</f>
        <v/>
      </c>
      <c r="C604" s="241">
        <f>IFERROR(IF(I604="Home","Away",IF(I604="Away","Home","")),"")</f>
        <v/>
      </c>
      <c r="D604" s="242">
        <f>H604</f>
        <v/>
      </c>
      <c r="E604" s="157">
        <f>IFERROR(IF(AND(F604&gt;0,T604&gt;V604),"Yes",IF(AND(F604&gt;0,T604&lt;V604),"No",IF(AND(F604&lt;0,T604&lt;V604),"Yes",IF(AND(F604&lt;0,T604&gt;V604),"No",0)))),"")</f>
        <v/>
      </c>
      <c r="F604" s="263">
        <f>IFERROR((N604/MAX(N:N)*_MOVw)+(O604/MAX(O:O)*_WINw)+(P604/MAX(P:P)*_PPGw)+(Q604/MAX(Q:Q)*_ORw)+(R604/MAX(R:R)*_DRw),"")</f>
        <v/>
      </c>
      <c r="N604" s="156">
        <f>IFERROR(VLOOKUP(H604,Matrix!A:AC,12,0)-VLOOKUP(J604,Matrix!A:AC,12,0),"")</f>
        <v/>
      </c>
      <c r="O604" s="182">
        <f>IFERROR(AVERAGEIFS(2025Schedule!O:O,2025Schedule!E:E,H604,2025Schedule!N:N,A604)-AVERAGEIFS(2025Schedule!O:O,2025Schedule!E:E,J604,2025Schedule!N:N,B604),0)</f>
        <v/>
      </c>
      <c r="P604" s="156">
        <f>IFERROR(VLOOKUP(H604,Matrix!A:D,2,0)-VLOOKUP(J604,Matrix!A:D,2,0),"")</f>
        <v/>
      </c>
      <c r="Q604" s="156">
        <f>IFERROR(VLOOKUP(H604,Matrix!A:AC,15,0)-VLOOKUP(J604,Matrix!A:AC,15,0),"")</f>
        <v/>
      </c>
      <c r="R604" s="156">
        <f>IFERROR(VLOOKUP(H604,Matrix!A:AC,16,0)-VLOOKUP(J604,Matrix!A:AC,16,0),"")</f>
        <v/>
      </c>
      <c r="S604" s="195">
        <f>H604</f>
        <v/>
      </c>
      <c r="T604" s="195">
        <f>IFERROR(VLOOKUP(G604&amp;H604,2025Schedule!A:F,6,0),"")</f>
        <v/>
      </c>
      <c r="U604" s="264">
        <f>J604</f>
        <v/>
      </c>
      <c r="V604" s="195">
        <f>IFERROR(VLOOKUP(G604&amp;J604,2025Schedule!A:F,6,0),"")</f>
        <v/>
      </c>
    </row>
    <row r="605" ht="14.4" customHeight="1" s="152">
      <c r="A605" s="241">
        <f>H605&amp;I605</f>
        <v/>
      </c>
      <c r="B605" s="241">
        <f>J605&amp;C605</f>
        <v/>
      </c>
      <c r="C605" s="241">
        <f>IFERROR(IF(I605="Home","Away",IF(I605="Away","Home","")),"")</f>
        <v/>
      </c>
      <c r="D605" s="242">
        <f>H605</f>
        <v/>
      </c>
      <c r="E605" s="157">
        <f>IFERROR(IF(AND(F605&gt;0,T605&gt;V605),"Yes",IF(AND(F605&gt;0,T605&lt;V605),"No",IF(AND(F605&lt;0,T605&lt;V605),"Yes",IF(AND(F605&lt;0,T605&gt;V605),"No",0)))),"")</f>
        <v/>
      </c>
      <c r="F605" s="263">
        <f>IFERROR((N605/MAX(N:N)*_MOVw)+(O605/MAX(O:O)*_WINw)+(P605/MAX(P:P)*_PPGw)+(Q605/MAX(Q:Q)*_ORw)+(R605/MAX(R:R)*_DRw),"")</f>
        <v/>
      </c>
      <c r="N605" s="156">
        <f>IFERROR(VLOOKUP(H605,Matrix!A:AC,12,0)-VLOOKUP(J605,Matrix!A:AC,12,0),"")</f>
        <v/>
      </c>
      <c r="O605" s="182">
        <f>IFERROR(AVERAGEIFS(2025Schedule!O:O,2025Schedule!E:E,H605,2025Schedule!N:N,A605)-AVERAGEIFS(2025Schedule!O:O,2025Schedule!E:E,J605,2025Schedule!N:N,B605),0)</f>
        <v/>
      </c>
      <c r="P605" s="156">
        <f>IFERROR(VLOOKUP(H605,Matrix!A:D,2,0)-VLOOKUP(J605,Matrix!A:D,2,0),"")</f>
        <v/>
      </c>
      <c r="Q605" s="156">
        <f>IFERROR(VLOOKUP(H605,Matrix!A:AC,15,0)-VLOOKUP(J605,Matrix!A:AC,15,0),"")</f>
        <v/>
      </c>
      <c r="R605" s="156">
        <f>IFERROR(VLOOKUP(H605,Matrix!A:AC,16,0)-VLOOKUP(J605,Matrix!A:AC,16,0),"")</f>
        <v/>
      </c>
      <c r="S605" s="195">
        <f>H605</f>
        <v/>
      </c>
      <c r="T605" s="195">
        <f>IFERROR(VLOOKUP(G605&amp;H605,2025Schedule!A:F,6,0),"")</f>
        <v/>
      </c>
      <c r="U605" s="264">
        <f>J605</f>
        <v/>
      </c>
      <c r="V605" s="195">
        <f>IFERROR(VLOOKUP(G605&amp;J605,2025Schedule!A:F,6,0),"")</f>
        <v/>
      </c>
    </row>
    <row r="606" ht="14.4" customHeight="1" s="152">
      <c r="A606" s="241">
        <f>H606&amp;I606</f>
        <v/>
      </c>
      <c r="B606" s="241">
        <f>J606&amp;C606</f>
        <v/>
      </c>
      <c r="C606" s="241">
        <f>IFERROR(IF(I606="Home","Away",IF(I606="Away","Home","")),"")</f>
        <v/>
      </c>
      <c r="D606" s="242">
        <f>H606</f>
        <v/>
      </c>
      <c r="E606" s="157">
        <f>IFERROR(IF(AND(F606&gt;0,T606&gt;V606),"Yes",IF(AND(F606&gt;0,T606&lt;V606),"No",IF(AND(F606&lt;0,T606&lt;V606),"Yes",IF(AND(F606&lt;0,T606&gt;V606),"No",0)))),"")</f>
        <v/>
      </c>
      <c r="F606" s="263">
        <f>IFERROR((N606/MAX(N:N)*_MOVw)+(O606/MAX(O:O)*_WINw)+(P606/MAX(P:P)*_PPGw)+(Q606/MAX(Q:Q)*_ORw)+(R606/MAX(R:R)*_DRw),"")</f>
        <v/>
      </c>
      <c r="N606" s="156">
        <f>IFERROR(VLOOKUP(H606,Matrix!A:AC,12,0)-VLOOKUP(J606,Matrix!A:AC,12,0),"")</f>
        <v/>
      </c>
      <c r="O606" s="182">
        <f>IFERROR(AVERAGEIFS(2025Schedule!O:O,2025Schedule!E:E,H606,2025Schedule!N:N,A606)-AVERAGEIFS(2025Schedule!O:O,2025Schedule!E:E,J606,2025Schedule!N:N,B606),0)</f>
        <v/>
      </c>
      <c r="P606" s="156">
        <f>IFERROR(VLOOKUP(H606,Matrix!A:D,2,0)-VLOOKUP(J606,Matrix!A:D,2,0),"")</f>
        <v/>
      </c>
      <c r="Q606" s="156">
        <f>IFERROR(VLOOKUP(H606,Matrix!A:AC,15,0)-VLOOKUP(J606,Matrix!A:AC,15,0),"")</f>
        <v/>
      </c>
      <c r="R606" s="156">
        <f>IFERROR(VLOOKUP(H606,Matrix!A:AC,16,0)-VLOOKUP(J606,Matrix!A:AC,16,0),"")</f>
        <v/>
      </c>
      <c r="S606" s="195">
        <f>H606</f>
        <v/>
      </c>
      <c r="T606" s="195">
        <f>IFERROR(VLOOKUP(G606&amp;H606,2025Schedule!A:F,6,0),"")</f>
        <v/>
      </c>
      <c r="U606" s="264">
        <f>J606</f>
        <v/>
      </c>
      <c r="V606" s="195">
        <f>IFERROR(VLOOKUP(G606&amp;J606,2025Schedule!A:F,6,0),"")</f>
        <v/>
      </c>
    </row>
    <row r="607" ht="14.4" customHeight="1" s="152">
      <c r="A607" s="241">
        <f>H607&amp;I607</f>
        <v/>
      </c>
      <c r="B607" s="241">
        <f>J607&amp;C607</f>
        <v/>
      </c>
      <c r="C607" s="241">
        <f>IFERROR(IF(I607="Home","Away",IF(I607="Away","Home","")),"")</f>
        <v/>
      </c>
      <c r="D607" s="242">
        <f>H607</f>
        <v/>
      </c>
      <c r="E607" s="157">
        <f>IFERROR(IF(AND(F607&gt;0,T607&gt;V607),"Yes",IF(AND(F607&gt;0,T607&lt;V607),"No",IF(AND(F607&lt;0,T607&lt;V607),"Yes",IF(AND(F607&lt;0,T607&gt;V607),"No",0)))),"")</f>
        <v/>
      </c>
      <c r="F607" s="263">
        <f>IFERROR((N607/MAX(N:N)*_MOVw)+(O607/MAX(O:O)*_WINw)+(P607/MAX(P:P)*_PPGw)+(Q607/MAX(Q:Q)*_ORw)+(R607/MAX(R:R)*_DRw),"")</f>
        <v/>
      </c>
      <c r="N607" s="156">
        <f>IFERROR(VLOOKUP(H607,Matrix!A:AC,12,0)-VLOOKUP(J607,Matrix!A:AC,12,0),"")</f>
        <v/>
      </c>
      <c r="O607" s="182">
        <f>IFERROR(AVERAGEIFS(2025Schedule!O:O,2025Schedule!E:E,H607,2025Schedule!N:N,A607)-AVERAGEIFS(2025Schedule!O:O,2025Schedule!E:E,J607,2025Schedule!N:N,B607),0)</f>
        <v/>
      </c>
      <c r="P607" s="156">
        <f>IFERROR(VLOOKUP(H607,Matrix!A:D,2,0)-VLOOKUP(J607,Matrix!A:D,2,0),"")</f>
        <v/>
      </c>
      <c r="Q607" s="156">
        <f>IFERROR(VLOOKUP(H607,Matrix!A:AC,15,0)-VLOOKUP(J607,Matrix!A:AC,15,0),"")</f>
        <v/>
      </c>
      <c r="R607" s="156">
        <f>IFERROR(VLOOKUP(H607,Matrix!A:AC,16,0)-VLOOKUP(J607,Matrix!A:AC,16,0),"")</f>
        <v/>
      </c>
      <c r="S607" s="195">
        <f>H607</f>
        <v/>
      </c>
      <c r="T607" s="195">
        <f>IFERROR(VLOOKUP(G607&amp;H607,2025Schedule!A:F,6,0),"")</f>
        <v/>
      </c>
      <c r="U607" s="264">
        <f>J607</f>
        <v/>
      </c>
      <c r="V607" s="195">
        <f>IFERROR(VLOOKUP(G607&amp;J607,2025Schedule!A:F,6,0),"")</f>
        <v/>
      </c>
    </row>
    <row r="608" ht="14.4" customHeight="1" s="152">
      <c r="A608" s="241">
        <f>H608&amp;I608</f>
        <v/>
      </c>
      <c r="B608" s="241">
        <f>J608&amp;C608</f>
        <v/>
      </c>
      <c r="C608" s="241">
        <f>IFERROR(IF(I608="Home","Away",IF(I608="Away","Home","")),"")</f>
        <v/>
      </c>
      <c r="D608" s="242">
        <f>H608</f>
        <v/>
      </c>
      <c r="E608" s="157">
        <f>IFERROR(IF(AND(F608&gt;0,T608&gt;V608),"Yes",IF(AND(F608&gt;0,T608&lt;V608),"No",IF(AND(F608&lt;0,T608&lt;V608),"Yes",IF(AND(F608&lt;0,T608&gt;V608),"No",0)))),"")</f>
        <v/>
      </c>
      <c r="F608" s="263">
        <f>IFERROR((N608/MAX(N:N)*_MOVw)+(O608/MAX(O:O)*_WINw)+(P608/MAX(P:P)*_PPGw)+(Q608/MAX(Q:Q)*_ORw)+(R608/MAX(R:R)*_DRw),"")</f>
        <v/>
      </c>
      <c r="N608" s="156">
        <f>IFERROR(VLOOKUP(H608,Matrix!A:AC,12,0)-VLOOKUP(J608,Matrix!A:AC,12,0),"")</f>
        <v/>
      </c>
      <c r="O608" s="182">
        <f>IFERROR(AVERAGEIFS(2025Schedule!O:O,2025Schedule!E:E,H608,2025Schedule!N:N,A608)-AVERAGEIFS(2025Schedule!O:O,2025Schedule!E:E,J608,2025Schedule!N:N,B608),0)</f>
        <v/>
      </c>
      <c r="P608" s="156">
        <f>IFERROR(VLOOKUP(H608,Matrix!A:D,2,0)-VLOOKUP(J608,Matrix!A:D,2,0),"")</f>
        <v/>
      </c>
      <c r="Q608" s="156">
        <f>IFERROR(VLOOKUP(H608,Matrix!A:AC,15,0)-VLOOKUP(J608,Matrix!A:AC,15,0),"")</f>
        <v/>
      </c>
      <c r="R608" s="156">
        <f>IFERROR(VLOOKUP(H608,Matrix!A:AC,16,0)-VLOOKUP(J608,Matrix!A:AC,16,0),"")</f>
        <v/>
      </c>
      <c r="S608" s="195">
        <f>H608</f>
        <v/>
      </c>
      <c r="T608" s="195">
        <f>IFERROR(VLOOKUP(G608&amp;H608,2025Schedule!A:F,6,0),"")</f>
        <v/>
      </c>
      <c r="U608" s="264">
        <f>J608</f>
        <v/>
      </c>
      <c r="V608" s="195">
        <f>IFERROR(VLOOKUP(G608&amp;J608,2025Schedule!A:F,6,0),"")</f>
        <v/>
      </c>
    </row>
    <row r="609" ht="14.4" customHeight="1" s="152">
      <c r="A609" s="241">
        <f>H609&amp;I609</f>
        <v/>
      </c>
      <c r="B609" s="241">
        <f>J609&amp;C609</f>
        <v/>
      </c>
      <c r="C609" s="241">
        <f>IFERROR(IF(I609="Home","Away",IF(I609="Away","Home","")),"")</f>
        <v/>
      </c>
      <c r="D609" s="242">
        <f>H609</f>
        <v/>
      </c>
      <c r="E609" s="157">
        <f>IFERROR(IF(AND(F609&gt;0,T609&gt;V609),"Yes",IF(AND(F609&gt;0,T609&lt;V609),"No",IF(AND(F609&lt;0,T609&lt;V609),"Yes",IF(AND(F609&lt;0,T609&gt;V609),"No",0)))),"")</f>
        <v/>
      </c>
      <c r="F609" s="263">
        <f>IFERROR((N609/MAX(N:N)*_MOVw)+(O609/MAX(O:O)*_WINw)+(P609/MAX(P:P)*_PPGw)+(Q609/MAX(Q:Q)*_ORw)+(R609/MAX(R:R)*_DRw),"")</f>
        <v/>
      </c>
      <c r="N609" s="156">
        <f>IFERROR(VLOOKUP(H609,Matrix!A:AC,12,0)-VLOOKUP(J609,Matrix!A:AC,12,0),"")</f>
        <v/>
      </c>
      <c r="O609" s="182">
        <f>IFERROR(AVERAGEIFS(2025Schedule!O:O,2025Schedule!E:E,H609,2025Schedule!N:N,A609)-AVERAGEIFS(2025Schedule!O:O,2025Schedule!E:E,J609,2025Schedule!N:N,B609),0)</f>
        <v/>
      </c>
      <c r="P609" s="156">
        <f>IFERROR(VLOOKUP(H609,Matrix!A:D,2,0)-VLOOKUP(J609,Matrix!A:D,2,0),"")</f>
        <v/>
      </c>
      <c r="Q609" s="156">
        <f>IFERROR(VLOOKUP(H609,Matrix!A:AC,15,0)-VLOOKUP(J609,Matrix!A:AC,15,0),"")</f>
        <v/>
      </c>
      <c r="R609" s="156">
        <f>IFERROR(VLOOKUP(H609,Matrix!A:AC,16,0)-VLOOKUP(J609,Matrix!A:AC,16,0),"")</f>
        <v/>
      </c>
      <c r="S609" s="195">
        <f>H609</f>
        <v/>
      </c>
      <c r="T609" s="195">
        <f>IFERROR(VLOOKUP(G609&amp;H609,2025Schedule!A:F,6,0),"")</f>
        <v/>
      </c>
      <c r="U609" s="264">
        <f>J609</f>
        <v/>
      </c>
      <c r="V609" s="195">
        <f>IFERROR(VLOOKUP(G609&amp;J609,2025Schedule!A:F,6,0),"")</f>
        <v/>
      </c>
    </row>
    <row r="610" ht="14.4" customHeight="1" s="152">
      <c r="A610" s="241">
        <f>H610&amp;I610</f>
        <v/>
      </c>
      <c r="B610" s="241">
        <f>J610&amp;C610</f>
        <v/>
      </c>
      <c r="C610" s="241">
        <f>IFERROR(IF(I610="Home","Away",IF(I610="Away","Home","")),"")</f>
        <v/>
      </c>
      <c r="D610" s="242">
        <f>H610</f>
        <v/>
      </c>
      <c r="E610" s="157">
        <f>IFERROR(IF(AND(F610&gt;0,T610&gt;V610),"Yes",IF(AND(F610&gt;0,T610&lt;V610),"No",IF(AND(F610&lt;0,T610&lt;V610),"Yes",IF(AND(F610&lt;0,T610&gt;V610),"No",0)))),"")</f>
        <v/>
      </c>
      <c r="F610" s="263">
        <f>IFERROR((N610/MAX(N:N)*_MOVw)+(O610/MAX(O:O)*_WINw)+(P610/MAX(P:P)*_PPGw)+(Q610/MAX(Q:Q)*_ORw)+(R610/MAX(R:R)*_DRw),"")</f>
        <v/>
      </c>
      <c r="N610" s="156">
        <f>IFERROR(VLOOKUP(H610,Matrix!A:AC,12,0)-VLOOKUP(J610,Matrix!A:AC,12,0),"")</f>
        <v/>
      </c>
      <c r="O610" s="182">
        <f>IFERROR(AVERAGEIFS(2025Schedule!O:O,2025Schedule!E:E,H610,2025Schedule!N:N,A610)-AVERAGEIFS(2025Schedule!O:O,2025Schedule!E:E,J610,2025Schedule!N:N,B610),0)</f>
        <v/>
      </c>
      <c r="P610" s="156">
        <f>IFERROR(VLOOKUP(H610,Matrix!A:D,2,0)-VLOOKUP(J610,Matrix!A:D,2,0),"")</f>
        <v/>
      </c>
      <c r="Q610" s="156">
        <f>IFERROR(VLOOKUP(H610,Matrix!A:AC,15,0)-VLOOKUP(J610,Matrix!A:AC,15,0),"")</f>
        <v/>
      </c>
      <c r="R610" s="156">
        <f>IFERROR(VLOOKUP(H610,Matrix!A:AC,16,0)-VLOOKUP(J610,Matrix!A:AC,16,0),"")</f>
        <v/>
      </c>
      <c r="S610" s="195">
        <f>H610</f>
        <v/>
      </c>
      <c r="T610" s="195">
        <f>IFERROR(VLOOKUP(G610&amp;H610,2025Schedule!A:F,6,0),"")</f>
        <v/>
      </c>
      <c r="U610" s="264">
        <f>J610</f>
        <v/>
      </c>
      <c r="V610" s="195">
        <f>IFERROR(VLOOKUP(G610&amp;J610,2025Schedule!A:F,6,0),"")</f>
        <v/>
      </c>
    </row>
    <row r="611" ht="14.4" customHeight="1" s="152">
      <c r="A611" s="241">
        <f>H611&amp;I611</f>
        <v/>
      </c>
      <c r="B611" s="241">
        <f>J611&amp;C611</f>
        <v/>
      </c>
      <c r="C611" s="241">
        <f>IFERROR(IF(I611="Home","Away",IF(I611="Away","Home","")),"")</f>
        <v/>
      </c>
      <c r="D611" s="242">
        <f>H611</f>
        <v/>
      </c>
      <c r="E611" s="157">
        <f>IFERROR(IF(AND(F611&gt;0,T611&gt;V611),"Yes",IF(AND(F611&gt;0,T611&lt;V611),"No",IF(AND(F611&lt;0,T611&lt;V611),"Yes",IF(AND(F611&lt;0,T611&gt;V611),"No",0)))),"")</f>
        <v/>
      </c>
      <c r="F611" s="263">
        <f>IFERROR((N611/MAX(N:N)*_MOVw)+(O611/MAX(O:O)*_WINw)+(P611/MAX(P:P)*_PPGw)+(Q611/MAX(Q:Q)*_ORw)+(R611/MAX(R:R)*_DRw),"")</f>
        <v/>
      </c>
      <c r="N611" s="156">
        <f>IFERROR(VLOOKUP(H611,Matrix!A:AC,12,0)-VLOOKUP(J611,Matrix!A:AC,12,0),"")</f>
        <v/>
      </c>
      <c r="O611" s="182">
        <f>IFERROR(AVERAGEIFS(2025Schedule!O:O,2025Schedule!E:E,H611,2025Schedule!N:N,A611)-AVERAGEIFS(2025Schedule!O:O,2025Schedule!E:E,J611,2025Schedule!N:N,B611),0)</f>
        <v/>
      </c>
      <c r="P611" s="156">
        <f>IFERROR(VLOOKUP(H611,Matrix!A:D,2,0)-VLOOKUP(J611,Matrix!A:D,2,0),"")</f>
        <v/>
      </c>
      <c r="Q611" s="156">
        <f>IFERROR(VLOOKUP(H611,Matrix!A:AC,15,0)-VLOOKUP(J611,Matrix!A:AC,15,0),"")</f>
        <v/>
      </c>
      <c r="R611" s="156">
        <f>IFERROR(VLOOKUP(H611,Matrix!A:AC,16,0)-VLOOKUP(J611,Matrix!A:AC,16,0),"")</f>
        <v/>
      </c>
      <c r="S611" s="195">
        <f>H611</f>
        <v/>
      </c>
      <c r="T611" s="195">
        <f>IFERROR(VLOOKUP(G611&amp;H611,2025Schedule!A:F,6,0),"")</f>
        <v/>
      </c>
      <c r="U611" s="264">
        <f>J611</f>
        <v/>
      </c>
      <c r="V611" s="195">
        <f>IFERROR(VLOOKUP(G611&amp;J611,2025Schedule!A:F,6,0),"")</f>
        <v/>
      </c>
    </row>
    <row r="612" ht="14.4" customHeight="1" s="152">
      <c r="A612" s="241">
        <f>H612&amp;I612</f>
        <v/>
      </c>
      <c r="B612" s="241">
        <f>J612&amp;C612</f>
        <v/>
      </c>
      <c r="C612" s="241">
        <f>IFERROR(IF(I612="Home","Away",IF(I612="Away","Home","")),"")</f>
        <v/>
      </c>
      <c r="D612" s="242">
        <f>H612</f>
        <v/>
      </c>
      <c r="E612" s="157">
        <f>IFERROR(IF(AND(F612&gt;0,T612&gt;V612),"Yes",IF(AND(F612&gt;0,T612&lt;V612),"No",IF(AND(F612&lt;0,T612&lt;V612),"Yes",IF(AND(F612&lt;0,T612&gt;V612),"No",0)))),"")</f>
        <v/>
      </c>
      <c r="F612" s="263">
        <f>IFERROR((N612/MAX(N:N)*_MOVw)+(O612/MAX(O:O)*_WINw)+(P612/MAX(P:P)*_PPGw)+(Q612/MAX(Q:Q)*_ORw)+(R612/MAX(R:R)*_DRw),"")</f>
        <v/>
      </c>
      <c r="N612" s="156">
        <f>IFERROR(VLOOKUP(H612,Matrix!A:AC,12,0)-VLOOKUP(J612,Matrix!A:AC,12,0),"")</f>
        <v/>
      </c>
      <c r="O612" s="182">
        <f>IFERROR(AVERAGEIFS(2025Schedule!O:O,2025Schedule!E:E,H612,2025Schedule!N:N,A612)-AVERAGEIFS(2025Schedule!O:O,2025Schedule!E:E,J612,2025Schedule!N:N,B612),0)</f>
        <v/>
      </c>
      <c r="P612" s="156">
        <f>IFERROR(VLOOKUP(H612,Matrix!A:D,2,0)-VLOOKUP(J612,Matrix!A:D,2,0),"")</f>
        <v/>
      </c>
      <c r="Q612" s="156">
        <f>IFERROR(VLOOKUP(H612,Matrix!A:AC,15,0)-VLOOKUP(J612,Matrix!A:AC,15,0),"")</f>
        <v/>
      </c>
      <c r="R612" s="156">
        <f>IFERROR(VLOOKUP(H612,Matrix!A:AC,16,0)-VLOOKUP(J612,Matrix!A:AC,16,0),"")</f>
        <v/>
      </c>
      <c r="S612" s="195">
        <f>H612</f>
        <v/>
      </c>
      <c r="T612" s="195">
        <f>IFERROR(VLOOKUP(G612&amp;H612,2025Schedule!A:F,6,0),"")</f>
        <v/>
      </c>
      <c r="U612" s="264">
        <f>J612</f>
        <v/>
      </c>
      <c r="V612" s="195">
        <f>IFERROR(VLOOKUP(G612&amp;J612,2025Schedule!A:F,6,0),"")</f>
        <v/>
      </c>
    </row>
    <row r="613" ht="14.4" customHeight="1" s="152">
      <c r="A613" s="241">
        <f>H613&amp;I613</f>
        <v/>
      </c>
      <c r="B613" s="241">
        <f>J613&amp;C613</f>
        <v/>
      </c>
      <c r="C613" s="241">
        <f>IFERROR(IF(I613="Home","Away",IF(I613="Away","Home","")),"")</f>
        <v/>
      </c>
      <c r="D613" s="242">
        <f>H613</f>
        <v/>
      </c>
      <c r="E613" s="157">
        <f>IFERROR(IF(AND(F613&gt;0,T613&gt;V613),"Yes",IF(AND(F613&gt;0,T613&lt;V613),"No",IF(AND(F613&lt;0,T613&lt;V613),"Yes",IF(AND(F613&lt;0,T613&gt;V613),"No",0)))),"")</f>
        <v/>
      </c>
      <c r="F613" s="263">
        <f>IFERROR((N613/MAX(N:N)*_MOVw)+(O613/MAX(O:O)*_WINw)+(P613/MAX(P:P)*_PPGw)+(Q613/MAX(Q:Q)*_ORw)+(R613/MAX(R:R)*_DRw),"")</f>
        <v/>
      </c>
      <c r="N613" s="156">
        <f>IFERROR(VLOOKUP(H613,Matrix!A:AC,12,0)-VLOOKUP(J613,Matrix!A:AC,12,0),"")</f>
        <v/>
      </c>
      <c r="O613" s="182">
        <f>IFERROR(AVERAGEIFS(2025Schedule!O:O,2025Schedule!E:E,H613,2025Schedule!N:N,A613)-AVERAGEIFS(2025Schedule!O:O,2025Schedule!E:E,J613,2025Schedule!N:N,B613),0)</f>
        <v/>
      </c>
      <c r="P613" s="156">
        <f>IFERROR(VLOOKUP(H613,Matrix!A:D,2,0)-VLOOKUP(J613,Matrix!A:D,2,0),"")</f>
        <v/>
      </c>
      <c r="Q613" s="156">
        <f>IFERROR(VLOOKUP(H613,Matrix!A:AC,15,0)-VLOOKUP(J613,Matrix!A:AC,15,0),"")</f>
        <v/>
      </c>
      <c r="R613" s="156">
        <f>IFERROR(VLOOKUP(H613,Matrix!A:AC,16,0)-VLOOKUP(J613,Matrix!A:AC,16,0),"")</f>
        <v/>
      </c>
      <c r="S613" s="195">
        <f>H613</f>
        <v/>
      </c>
      <c r="T613" s="195">
        <f>IFERROR(VLOOKUP(G613&amp;H613,2025Schedule!A:F,6,0),"")</f>
        <v/>
      </c>
      <c r="U613" s="264">
        <f>J613</f>
        <v/>
      </c>
      <c r="V613" s="195">
        <f>IFERROR(VLOOKUP(G613&amp;J613,2025Schedule!A:F,6,0),"")</f>
        <v/>
      </c>
    </row>
    <row r="614" ht="14.4" customHeight="1" s="152">
      <c r="A614" s="241">
        <f>H614&amp;I614</f>
        <v/>
      </c>
      <c r="B614" s="241">
        <f>J614&amp;C614</f>
        <v/>
      </c>
      <c r="C614" s="241">
        <f>IFERROR(IF(I614="Home","Away",IF(I614="Away","Home","")),"")</f>
        <v/>
      </c>
      <c r="D614" s="242">
        <f>H614</f>
        <v/>
      </c>
      <c r="E614" s="157">
        <f>IFERROR(IF(AND(F614&gt;0,T614&gt;V614),"Yes",IF(AND(F614&gt;0,T614&lt;V614),"No",IF(AND(F614&lt;0,T614&lt;V614),"Yes",IF(AND(F614&lt;0,T614&gt;V614),"No",0)))),"")</f>
        <v/>
      </c>
      <c r="F614" s="263">
        <f>IFERROR((N614/MAX(N:N)*_MOVw)+(O614/MAX(O:O)*_WINw)+(P614/MAX(P:P)*_PPGw)+(Q614/MAX(Q:Q)*_ORw)+(R614/MAX(R:R)*_DRw),"")</f>
        <v/>
      </c>
      <c r="N614" s="156">
        <f>IFERROR(VLOOKUP(H614,Matrix!A:AC,12,0)-VLOOKUP(J614,Matrix!A:AC,12,0),"")</f>
        <v/>
      </c>
      <c r="O614" s="182">
        <f>IFERROR(AVERAGEIFS(2025Schedule!O:O,2025Schedule!E:E,H614,2025Schedule!N:N,A614)-AVERAGEIFS(2025Schedule!O:O,2025Schedule!E:E,J614,2025Schedule!N:N,B614),0)</f>
        <v/>
      </c>
      <c r="P614" s="156">
        <f>IFERROR(VLOOKUP(H614,Matrix!A:D,2,0)-VLOOKUP(J614,Matrix!A:D,2,0),"")</f>
        <v/>
      </c>
      <c r="Q614" s="156">
        <f>IFERROR(VLOOKUP(H614,Matrix!A:AC,15,0)-VLOOKUP(J614,Matrix!A:AC,15,0),"")</f>
        <v/>
      </c>
      <c r="R614" s="156">
        <f>IFERROR(VLOOKUP(H614,Matrix!A:AC,16,0)-VLOOKUP(J614,Matrix!A:AC,16,0),"")</f>
        <v/>
      </c>
      <c r="S614" s="195">
        <f>H614</f>
        <v/>
      </c>
      <c r="T614" s="195">
        <f>IFERROR(VLOOKUP(G614&amp;H614,2025Schedule!A:F,6,0),"")</f>
        <v/>
      </c>
      <c r="U614" s="264">
        <f>J614</f>
        <v/>
      </c>
      <c r="V614" s="195">
        <f>IFERROR(VLOOKUP(G614&amp;J614,2025Schedule!A:F,6,0),"")</f>
        <v/>
      </c>
    </row>
    <row r="615" ht="14.4" customHeight="1" s="152">
      <c r="A615" s="241">
        <f>H615&amp;I615</f>
        <v/>
      </c>
      <c r="B615" s="241">
        <f>J615&amp;C615</f>
        <v/>
      </c>
      <c r="C615" s="241">
        <f>IFERROR(IF(I615="Home","Away",IF(I615="Away","Home","")),"")</f>
        <v/>
      </c>
      <c r="D615" s="242">
        <f>H615</f>
        <v/>
      </c>
      <c r="E615" s="157">
        <f>IFERROR(IF(AND(F615&gt;0,T615&gt;V615),"Yes",IF(AND(F615&gt;0,T615&lt;V615),"No",IF(AND(F615&lt;0,T615&lt;V615),"Yes",IF(AND(F615&lt;0,T615&gt;V615),"No",0)))),"")</f>
        <v/>
      </c>
      <c r="F615" s="263">
        <f>IFERROR((N615/MAX(N:N)*_MOVw)+(O615/MAX(O:O)*_WINw)+(P615/MAX(P:P)*_PPGw)+(Q615/MAX(Q:Q)*_ORw)+(R615/MAX(R:R)*_DRw),"")</f>
        <v/>
      </c>
      <c r="N615" s="156">
        <f>IFERROR(VLOOKUP(H615,Matrix!A:AC,12,0)-VLOOKUP(J615,Matrix!A:AC,12,0),"")</f>
        <v/>
      </c>
      <c r="O615" s="182">
        <f>IFERROR(AVERAGEIFS(2025Schedule!O:O,2025Schedule!E:E,H615,2025Schedule!N:N,A615)-AVERAGEIFS(2025Schedule!O:O,2025Schedule!E:E,J615,2025Schedule!N:N,B615),0)</f>
        <v/>
      </c>
      <c r="P615" s="156">
        <f>IFERROR(VLOOKUP(H615,Matrix!A:D,2,0)-VLOOKUP(J615,Matrix!A:D,2,0),"")</f>
        <v/>
      </c>
      <c r="Q615" s="156">
        <f>IFERROR(VLOOKUP(H615,Matrix!A:AC,15,0)-VLOOKUP(J615,Matrix!A:AC,15,0),"")</f>
        <v/>
      </c>
      <c r="R615" s="156">
        <f>IFERROR(VLOOKUP(H615,Matrix!A:AC,16,0)-VLOOKUP(J615,Matrix!A:AC,16,0),"")</f>
        <v/>
      </c>
      <c r="S615" s="195">
        <f>H615</f>
        <v/>
      </c>
      <c r="T615" s="195">
        <f>IFERROR(VLOOKUP(G615&amp;H615,2025Schedule!A:F,6,0),"")</f>
        <v/>
      </c>
      <c r="U615" s="264">
        <f>J615</f>
        <v/>
      </c>
      <c r="V615" s="195">
        <f>IFERROR(VLOOKUP(G615&amp;J615,2025Schedule!A:F,6,0),"")</f>
        <v/>
      </c>
    </row>
    <row r="616" ht="14.4" customHeight="1" s="152">
      <c r="A616" s="241">
        <f>H616&amp;I616</f>
        <v/>
      </c>
      <c r="B616" s="241">
        <f>J616&amp;C616</f>
        <v/>
      </c>
      <c r="C616" s="241">
        <f>IFERROR(IF(I616="Home","Away",IF(I616="Away","Home","")),"")</f>
        <v/>
      </c>
      <c r="D616" s="242">
        <f>H616</f>
        <v/>
      </c>
      <c r="E616" s="157">
        <f>IFERROR(IF(AND(F616&gt;0,T616&gt;V616),"Yes",IF(AND(F616&gt;0,T616&lt;V616),"No",IF(AND(F616&lt;0,T616&lt;V616),"Yes",IF(AND(F616&lt;0,T616&gt;V616),"No",0)))),"")</f>
        <v/>
      </c>
      <c r="F616" s="263">
        <f>IFERROR((N616/MAX(N:N)*_MOVw)+(O616/MAX(O:O)*_WINw)+(P616/MAX(P:P)*_PPGw)+(Q616/MAX(Q:Q)*_ORw)+(R616/MAX(R:R)*_DRw),"")</f>
        <v/>
      </c>
      <c r="N616" s="156">
        <f>IFERROR(VLOOKUP(H616,Matrix!A:AC,12,0)-VLOOKUP(J616,Matrix!A:AC,12,0),"")</f>
        <v/>
      </c>
      <c r="O616" s="182">
        <f>IFERROR(AVERAGEIFS(2025Schedule!O:O,2025Schedule!E:E,H616,2025Schedule!N:N,A616)-AVERAGEIFS(2025Schedule!O:O,2025Schedule!E:E,J616,2025Schedule!N:N,B616),0)</f>
        <v/>
      </c>
      <c r="P616" s="156">
        <f>IFERROR(VLOOKUP(H616,Matrix!A:D,2,0)-VLOOKUP(J616,Matrix!A:D,2,0),"")</f>
        <v/>
      </c>
      <c r="Q616" s="156">
        <f>IFERROR(VLOOKUP(H616,Matrix!A:AC,15,0)-VLOOKUP(J616,Matrix!A:AC,15,0),"")</f>
        <v/>
      </c>
      <c r="R616" s="156">
        <f>IFERROR(VLOOKUP(H616,Matrix!A:AC,16,0)-VLOOKUP(J616,Matrix!A:AC,16,0),"")</f>
        <v/>
      </c>
      <c r="S616" s="195">
        <f>H616</f>
        <v/>
      </c>
      <c r="T616" s="195">
        <f>IFERROR(VLOOKUP(G616&amp;H616,2025Schedule!A:F,6,0),"")</f>
        <v/>
      </c>
      <c r="U616" s="264">
        <f>J616</f>
        <v/>
      </c>
      <c r="V616" s="195">
        <f>IFERROR(VLOOKUP(G616&amp;J616,2025Schedule!A:F,6,0),"")</f>
        <v/>
      </c>
    </row>
    <row r="617" ht="14.4" customHeight="1" s="152">
      <c r="A617" s="241">
        <f>H617&amp;I617</f>
        <v/>
      </c>
      <c r="B617" s="241">
        <f>J617&amp;C617</f>
        <v/>
      </c>
      <c r="C617" s="241">
        <f>IFERROR(IF(I617="Home","Away",IF(I617="Away","Home","")),"")</f>
        <v/>
      </c>
      <c r="D617" s="242">
        <f>H617</f>
        <v/>
      </c>
      <c r="E617" s="157">
        <f>IFERROR(IF(AND(F617&gt;0,T617&gt;V617),"Yes",IF(AND(F617&gt;0,T617&lt;V617),"No",IF(AND(F617&lt;0,T617&lt;V617),"Yes",IF(AND(F617&lt;0,T617&gt;V617),"No",0)))),"")</f>
        <v/>
      </c>
      <c r="F617" s="263">
        <f>IFERROR((N617/MAX(N:N)*_MOVw)+(O617/MAX(O:O)*_WINw)+(P617/MAX(P:P)*_PPGw)+(Q617/MAX(Q:Q)*_ORw)+(R617/MAX(R:R)*_DRw),"")</f>
        <v/>
      </c>
      <c r="N617" s="156">
        <f>IFERROR(VLOOKUP(H617,Matrix!A:AC,12,0)-VLOOKUP(J617,Matrix!A:AC,12,0),"")</f>
        <v/>
      </c>
      <c r="O617" s="182">
        <f>IFERROR(AVERAGEIFS(2025Schedule!O:O,2025Schedule!E:E,H617,2025Schedule!N:N,A617)-AVERAGEIFS(2025Schedule!O:O,2025Schedule!E:E,J617,2025Schedule!N:N,B617),0)</f>
        <v/>
      </c>
      <c r="P617" s="156">
        <f>IFERROR(VLOOKUP(H617,Matrix!A:D,2,0)-VLOOKUP(J617,Matrix!A:D,2,0),"")</f>
        <v/>
      </c>
      <c r="Q617" s="156">
        <f>IFERROR(VLOOKUP(H617,Matrix!A:AC,15,0)-VLOOKUP(J617,Matrix!A:AC,15,0),"")</f>
        <v/>
      </c>
      <c r="R617" s="156">
        <f>IFERROR(VLOOKUP(H617,Matrix!A:AC,16,0)-VLOOKUP(J617,Matrix!A:AC,16,0),"")</f>
        <v/>
      </c>
      <c r="S617" s="195">
        <f>H617</f>
        <v/>
      </c>
      <c r="T617" s="195">
        <f>IFERROR(VLOOKUP(G617&amp;H617,2025Schedule!A:F,6,0),"")</f>
        <v/>
      </c>
      <c r="U617" s="264">
        <f>J617</f>
        <v/>
      </c>
      <c r="V617" s="195">
        <f>IFERROR(VLOOKUP(G617&amp;J617,2025Schedule!A:F,6,0),"")</f>
        <v/>
      </c>
    </row>
    <row r="618" ht="14.4" customHeight="1" s="152">
      <c r="A618" s="241">
        <f>H618&amp;I618</f>
        <v/>
      </c>
      <c r="B618" s="241">
        <f>J618&amp;C618</f>
        <v/>
      </c>
      <c r="C618" s="241">
        <f>IFERROR(IF(I618="Home","Away",IF(I618="Away","Home","")),"")</f>
        <v/>
      </c>
      <c r="D618" s="242">
        <f>H618</f>
        <v/>
      </c>
      <c r="E618" s="157">
        <f>IFERROR(IF(AND(F618&gt;0,T618&gt;V618),"Yes",IF(AND(F618&gt;0,T618&lt;V618),"No",IF(AND(F618&lt;0,T618&lt;V618),"Yes",IF(AND(F618&lt;0,T618&gt;V618),"No",0)))),"")</f>
        <v/>
      </c>
      <c r="F618" s="263">
        <f>IFERROR((N618/MAX(N:N)*_MOVw)+(O618/MAX(O:O)*_WINw)+(P618/MAX(P:P)*_PPGw)+(Q618/MAX(Q:Q)*_ORw)+(R618/MAX(R:R)*_DRw),"")</f>
        <v/>
      </c>
      <c r="N618" s="156">
        <f>IFERROR(VLOOKUP(H618,Matrix!A:AC,12,0)-VLOOKUP(J618,Matrix!A:AC,12,0),"")</f>
        <v/>
      </c>
      <c r="O618" s="182">
        <f>IFERROR(AVERAGEIFS(2025Schedule!O:O,2025Schedule!E:E,H618,2025Schedule!N:N,A618)-AVERAGEIFS(2025Schedule!O:O,2025Schedule!E:E,J618,2025Schedule!N:N,B618),0)</f>
        <v/>
      </c>
      <c r="P618" s="156">
        <f>IFERROR(VLOOKUP(H618,Matrix!A:D,2,0)-VLOOKUP(J618,Matrix!A:D,2,0),"")</f>
        <v/>
      </c>
      <c r="Q618" s="156">
        <f>IFERROR(VLOOKUP(H618,Matrix!A:AC,15,0)-VLOOKUP(J618,Matrix!A:AC,15,0),"")</f>
        <v/>
      </c>
      <c r="R618" s="156">
        <f>IFERROR(VLOOKUP(H618,Matrix!A:AC,16,0)-VLOOKUP(J618,Matrix!A:AC,16,0),"")</f>
        <v/>
      </c>
      <c r="S618" s="195">
        <f>H618</f>
        <v/>
      </c>
      <c r="T618" s="195">
        <f>IFERROR(VLOOKUP(G618&amp;H618,2025Schedule!A:F,6,0),"")</f>
        <v/>
      </c>
      <c r="U618" s="264">
        <f>J618</f>
        <v/>
      </c>
      <c r="V618" s="195">
        <f>IFERROR(VLOOKUP(G618&amp;J618,2025Schedule!A:F,6,0),"")</f>
        <v/>
      </c>
    </row>
    <row r="619" ht="14.4" customHeight="1" s="152">
      <c r="A619" s="241">
        <f>H619&amp;I619</f>
        <v/>
      </c>
      <c r="B619" s="241">
        <f>J619&amp;C619</f>
        <v/>
      </c>
      <c r="C619" s="241">
        <f>IFERROR(IF(I619="Home","Away",IF(I619="Away","Home","")),"")</f>
        <v/>
      </c>
      <c r="D619" s="242">
        <f>H619</f>
        <v/>
      </c>
      <c r="E619" s="157">
        <f>IFERROR(IF(AND(F619&gt;0,T619&gt;V619),"Yes",IF(AND(F619&gt;0,T619&lt;V619),"No",IF(AND(F619&lt;0,T619&lt;V619),"Yes",IF(AND(F619&lt;0,T619&gt;V619),"No",0)))),"")</f>
        <v/>
      </c>
      <c r="F619" s="263">
        <f>IFERROR((N619/MAX(N:N)*_MOVw)+(O619/MAX(O:O)*_WINw)+(P619/MAX(P:P)*_PPGw)+(Q619/MAX(Q:Q)*_ORw)+(R619/MAX(R:R)*_DRw),"")</f>
        <v/>
      </c>
      <c r="N619" s="156">
        <f>IFERROR(VLOOKUP(H619,Matrix!A:AC,12,0)-VLOOKUP(J619,Matrix!A:AC,12,0),"")</f>
        <v/>
      </c>
      <c r="O619" s="182">
        <f>IFERROR(AVERAGEIFS(2025Schedule!O:O,2025Schedule!E:E,H619,2025Schedule!N:N,A619)-AVERAGEIFS(2025Schedule!O:O,2025Schedule!E:E,J619,2025Schedule!N:N,B619),0)</f>
        <v/>
      </c>
      <c r="P619" s="156">
        <f>IFERROR(VLOOKUP(H619,Matrix!A:D,2,0)-VLOOKUP(J619,Matrix!A:D,2,0),"")</f>
        <v/>
      </c>
      <c r="Q619" s="156">
        <f>IFERROR(VLOOKUP(H619,Matrix!A:AC,15,0)-VLOOKUP(J619,Matrix!A:AC,15,0),"")</f>
        <v/>
      </c>
      <c r="R619" s="156">
        <f>IFERROR(VLOOKUP(H619,Matrix!A:AC,16,0)-VLOOKUP(J619,Matrix!A:AC,16,0),"")</f>
        <v/>
      </c>
      <c r="S619" s="195">
        <f>H619</f>
        <v/>
      </c>
      <c r="T619" s="195">
        <f>IFERROR(VLOOKUP(G619&amp;H619,2025Schedule!A:F,6,0),"")</f>
        <v/>
      </c>
      <c r="U619" s="264">
        <f>J619</f>
        <v/>
      </c>
      <c r="V619" s="195">
        <f>IFERROR(VLOOKUP(G619&amp;J619,2025Schedule!A:F,6,0),"")</f>
        <v/>
      </c>
    </row>
    <row r="620" ht="14.4" customHeight="1" s="152">
      <c r="A620" s="241">
        <f>H620&amp;I620</f>
        <v/>
      </c>
      <c r="B620" s="241">
        <f>J620&amp;C620</f>
        <v/>
      </c>
      <c r="C620" s="241">
        <f>IFERROR(IF(I620="Home","Away",IF(I620="Away","Home","")),"")</f>
        <v/>
      </c>
      <c r="D620" s="242">
        <f>H620</f>
        <v/>
      </c>
      <c r="E620" s="157">
        <f>IFERROR(IF(AND(F620&gt;0,T620&gt;V620),"Yes",IF(AND(F620&gt;0,T620&lt;V620),"No",IF(AND(F620&lt;0,T620&lt;V620),"Yes",IF(AND(F620&lt;0,T620&gt;V620),"No",0)))),"")</f>
        <v/>
      </c>
      <c r="F620" s="263">
        <f>IFERROR((N620/MAX(N:N)*_MOVw)+(O620/MAX(O:O)*_WINw)+(P620/MAX(P:P)*_PPGw)+(Q620/MAX(Q:Q)*_ORw)+(R620/MAX(R:R)*_DRw),"")</f>
        <v/>
      </c>
      <c r="N620" s="156">
        <f>IFERROR(VLOOKUP(H620,Matrix!A:AC,12,0)-VLOOKUP(J620,Matrix!A:AC,12,0),"")</f>
        <v/>
      </c>
      <c r="O620" s="182">
        <f>IFERROR(AVERAGEIFS(2025Schedule!O:O,2025Schedule!E:E,H620,2025Schedule!N:N,A620)-AVERAGEIFS(2025Schedule!O:O,2025Schedule!E:E,J620,2025Schedule!N:N,B620),0)</f>
        <v/>
      </c>
      <c r="P620" s="156">
        <f>IFERROR(VLOOKUP(H620,Matrix!A:D,2,0)-VLOOKUP(J620,Matrix!A:D,2,0),"")</f>
        <v/>
      </c>
      <c r="Q620" s="156">
        <f>IFERROR(VLOOKUP(H620,Matrix!A:AC,15,0)-VLOOKUP(J620,Matrix!A:AC,15,0),"")</f>
        <v/>
      </c>
      <c r="R620" s="156">
        <f>IFERROR(VLOOKUP(H620,Matrix!A:AC,16,0)-VLOOKUP(J620,Matrix!A:AC,16,0),"")</f>
        <v/>
      </c>
      <c r="S620" s="195">
        <f>H620</f>
        <v/>
      </c>
      <c r="T620" s="195">
        <f>IFERROR(VLOOKUP(G620&amp;H620,2025Schedule!A:F,6,0),"")</f>
        <v/>
      </c>
      <c r="U620" s="264">
        <f>J620</f>
        <v/>
      </c>
      <c r="V620" s="195">
        <f>IFERROR(VLOOKUP(G620&amp;J620,2025Schedule!A:F,6,0),"")</f>
        <v/>
      </c>
    </row>
    <row r="621" ht="14.4" customHeight="1" s="152">
      <c r="A621" s="241">
        <f>H621&amp;I621</f>
        <v/>
      </c>
      <c r="B621" s="241">
        <f>J621&amp;C621</f>
        <v/>
      </c>
      <c r="C621" s="241">
        <f>IFERROR(IF(I621="Home","Away",IF(I621="Away","Home","")),"")</f>
        <v/>
      </c>
      <c r="D621" s="242">
        <f>H621</f>
        <v/>
      </c>
      <c r="E621" s="157">
        <f>IFERROR(IF(AND(F621&gt;0,T621&gt;V621),"Yes",IF(AND(F621&gt;0,T621&lt;V621),"No",IF(AND(F621&lt;0,T621&lt;V621),"Yes",IF(AND(F621&lt;0,T621&gt;V621),"No",0)))),"")</f>
        <v/>
      </c>
      <c r="F621" s="263">
        <f>IFERROR((N621/MAX(N:N)*_MOVw)+(O621/MAX(O:O)*_WINw)+(P621/MAX(P:P)*_PPGw)+(Q621/MAX(Q:Q)*_ORw)+(R621/MAX(R:R)*_DRw),"")</f>
        <v/>
      </c>
      <c r="N621" s="156">
        <f>IFERROR(VLOOKUP(H621,Matrix!A:AC,12,0)-VLOOKUP(J621,Matrix!A:AC,12,0),"")</f>
        <v/>
      </c>
      <c r="O621" s="182">
        <f>IFERROR(AVERAGEIFS(2025Schedule!O:O,2025Schedule!E:E,H621,2025Schedule!N:N,A621)-AVERAGEIFS(2025Schedule!O:O,2025Schedule!E:E,J621,2025Schedule!N:N,B621),0)</f>
        <v/>
      </c>
      <c r="P621" s="156">
        <f>IFERROR(VLOOKUP(H621,Matrix!A:D,2,0)-VLOOKUP(J621,Matrix!A:D,2,0),"")</f>
        <v/>
      </c>
      <c r="Q621" s="156">
        <f>IFERROR(VLOOKUP(H621,Matrix!A:AC,15,0)-VLOOKUP(J621,Matrix!A:AC,15,0),"")</f>
        <v/>
      </c>
      <c r="R621" s="156">
        <f>IFERROR(VLOOKUP(H621,Matrix!A:AC,16,0)-VLOOKUP(J621,Matrix!A:AC,16,0),"")</f>
        <v/>
      </c>
      <c r="S621" s="195">
        <f>H621</f>
        <v/>
      </c>
      <c r="T621" s="195">
        <f>IFERROR(VLOOKUP(G621&amp;H621,2025Schedule!A:F,6,0),"")</f>
        <v/>
      </c>
      <c r="U621" s="264">
        <f>J621</f>
        <v/>
      </c>
      <c r="V621" s="195">
        <f>IFERROR(VLOOKUP(G621&amp;J621,2025Schedule!A:F,6,0),"")</f>
        <v/>
      </c>
    </row>
    <row r="622" ht="14.4" customHeight="1" s="152">
      <c r="A622" s="241">
        <f>H622&amp;I622</f>
        <v/>
      </c>
      <c r="B622" s="241">
        <f>J622&amp;C622</f>
        <v/>
      </c>
      <c r="C622" s="241">
        <f>IFERROR(IF(I622="Home","Away",IF(I622="Away","Home","")),"")</f>
        <v/>
      </c>
      <c r="D622" s="242">
        <f>H622</f>
        <v/>
      </c>
      <c r="E622" s="157">
        <f>IFERROR(IF(AND(F622&gt;0,T622&gt;V622),"Yes",IF(AND(F622&gt;0,T622&lt;V622),"No",IF(AND(F622&lt;0,T622&lt;V622),"Yes",IF(AND(F622&lt;0,T622&gt;V622),"No",0)))),"")</f>
        <v/>
      </c>
      <c r="F622" s="263">
        <f>IFERROR((N622/MAX(N:N)*_MOVw)+(O622/MAX(O:O)*_WINw)+(P622/MAX(P:P)*_PPGw)+(Q622/MAX(Q:Q)*_ORw)+(R622/MAX(R:R)*_DRw),"")</f>
        <v/>
      </c>
      <c r="N622" s="156">
        <f>IFERROR(VLOOKUP(H622,Matrix!A:AC,12,0)-VLOOKUP(J622,Matrix!A:AC,12,0),"")</f>
        <v/>
      </c>
      <c r="O622" s="182">
        <f>IFERROR(AVERAGEIFS(2025Schedule!O:O,2025Schedule!E:E,H622,2025Schedule!N:N,A622)-AVERAGEIFS(2025Schedule!O:O,2025Schedule!E:E,J622,2025Schedule!N:N,B622),0)</f>
        <v/>
      </c>
      <c r="P622" s="156">
        <f>IFERROR(VLOOKUP(H622,Matrix!A:D,2,0)-VLOOKUP(J622,Matrix!A:D,2,0),"")</f>
        <v/>
      </c>
      <c r="Q622" s="156">
        <f>IFERROR(VLOOKUP(H622,Matrix!A:AC,15,0)-VLOOKUP(J622,Matrix!A:AC,15,0),"")</f>
        <v/>
      </c>
      <c r="R622" s="156">
        <f>IFERROR(VLOOKUP(H622,Matrix!A:AC,16,0)-VLOOKUP(J622,Matrix!A:AC,16,0),"")</f>
        <v/>
      </c>
      <c r="S622" s="195">
        <f>H622</f>
        <v/>
      </c>
      <c r="T622" s="195">
        <f>IFERROR(VLOOKUP(G622&amp;H622,2025Schedule!A:F,6,0),"")</f>
        <v/>
      </c>
      <c r="U622" s="264">
        <f>J622</f>
        <v/>
      </c>
      <c r="V622" s="195">
        <f>IFERROR(VLOOKUP(G622&amp;J622,2025Schedule!A:F,6,0),"")</f>
        <v/>
      </c>
    </row>
    <row r="623" ht="14.4" customHeight="1" s="152">
      <c r="A623" s="241">
        <f>H623&amp;I623</f>
        <v/>
      </c>
      <c r="B623" s="241">
        <f>J623&amp;C623</f>
        <v/>
      </c>
      <c r="C623" s="241">
        <f>IFERROR(IF(I623="Home","Away",IF(I623="Away","Home","")),"")</f>
        <v/>
      </c>
      <c r="D623" s="242">
        <f>H623</f>
        <v/>
      </c>
      <c r="E623" s="157">
        <f>IFERROR(IF(AND(F623&gt;0,T623&gt;V623),"Yes",IF(AND(F623&gt;0,T623&lt;V623),"No",IF(AND(F623&lt;0,T623&lt;V623),"Yes",IF(AND(F623&lt;0,T623&gt;V623),"No",0)))),"")</f>
        <v/>
      </c>
      <c r="F623" s="263">
        <f>IFERROR((N623/MAX(N:N)*_MOVw)+(O623/MAX(O:O)*_WINw)+(P623/MAX(P:P)*_PPGw)+(Q623/MAX(Q:Q)*_ORw)+(R623/MAX(R:R)*_DRw),"")</f>
        <v/>
      </c>
      <c r="N623" s="156">
        <f>IFERROR(VLOOKUP(H623,Matrix!A:AC,12,0)-VLOOKUP(J623,Matrix!A:AC,12,0),"")</f>
        <v/>
      </c>
      <c r="O623" s="182">
        <f>IFERROR(AVERAGEIFS(2025Schedule!O:O,2025Schedule!E:E,H623,2025Schedule!N:N,A623)-AVERAGEIFS(2025Schedule!O:O,2025Schedule!E:E,J623,2025Schedule!N:N,B623),0)</f>
        <v/>
      </c>
      <c r="P623" s="156">
        <f>IFERROR(VLOOKUP(H623,Matrix!A:D,2,0)-VLOOKUP(J623,Matrix!A:D,2,0),"")</f>
        <v/>
      </c>
      <c r="Q623" s="156">
        <f>IFERROR(VLOOKUP(H623,Matrix!A:AC,15,0)-VLOOKUP(J623,Matrix!A:AC,15,0),"")</f>
        <v/>
      </c>
      <c r="R623" s="156">
        <f>IFERROR(VLOOKUP(H623,Matrix!A:AC,16,0)-VLOOKUP(J623,Matrix!A:AC,16,0),"")</f>
        <v/>
      </c>
      <c r="S623" s="195">
        <f>H623</f>
        <v/>
      </c>
      <c r="T623" s="195">
        <f>IFERROR(VLOOKUP(G623&amp;H623,2025Schedule!A:F,6,0),"")</f>
        <v/>
      </c>
      <c r="U623" s="264">
        <f>J623</f>
        <v/>
      </c>
      <c r="V623" s="195">
        <f>IFERROR(VLOOKUP(G623&amp;J623,2025Schedule!A:F,6,0),"")</f>
        <v/>
      </c>
    </row>
    <row r="624" ht="14.4" customHeight="1" s="152">
      <c r="A624" s="241">
        <f>H624&amp;I624</f>
        <v/>
      </c>
      <c r="B624" s="241">
        <f>J624&amp;C624</f>
        <v/>
      </c>
      <c r="C624" s="241">
        <f>IFERROR(IF(I624="Home","Away",IF(I624="Away","Home","")),"")</f>
        <v/>
      </c>
      <c r="D624" s="242">
        <f>H624</f>
        <v/>
      </c>
      <c r="E624" s="157">
        <f>IFERROR(IF(AND(F624&gt;0,T624&gt;V624),"Yes",IF(AND(F624&gt;0,T624&lt;V624),"No",IF(AND(F624&lt;0,T624&lt;V624),"Yes",IF(AND(F624&lt;0,T624&gt;V624),"No",0)))),"")</f>
        <v/>
      </c>
      <c r="F624" s="263">
        <f>IFERROR((N624/MAX(N:N)*_MOVw)+(O624/MAX(O:O)*_WINw)+(P624/MAX(P:P)*_PPGw)+(Q624/MAX(Q:Q)*_ORw)+(R624/MAX(R:R)*_DRw),"")</f>
        <v/>
      </c>
      <c r="N624" s="156">
        <f>IFERROR(VLOOKUP(H624,Matrix!A:AC,12,0)-VLOOKUP(J624,Matrix!A:AC,12,0),"")</f>
        <v/>
      </c>
      <c r="O624" s="182">
        <f>IFERROR(AVERAGEIFS(2025Schedule!O:O,2025Schedule!E:E,H624,2025Schedule!N:N,A624)-AVERAGEIFS(2025Schedule!O:O,2025Schedule!E:E,J624,2025Schedule!N:N,B624),0)</f>
        <v/>
      </c>
      <c r="P624" s="156">
        <f>IFERROR(VLOOKUP(H624,Matrix!A:D,2,0)-VLOOKUP(J624,Matrix!A:D,2,0),"")</f>
        <v/>
      </c>
      <c r="Q624" s="156">
        <f>IFERROR(VLOOKUP(H624,Matrix!A:AC,15,0)-VLOOKUP(J624,Matrix!A:AC,15,0),"")</f>
        <v/>
      </c>
      <c r="R624" s="156">
        <f>IFERROR(VLOOKUP(H624,Matrix!A:AC,16,0)-VLOOKUP(J624,Matrix!A:AC,16,0),"")</f>
        <v/>
      </c>
      <c r="S624" s="195">
        <f>H624</f>
        <v/>
      </c>
      <c r="T624" s="195">
        <f>IFERROR(VLOOKUP(G624&amp;H624,2025Schedule!A:F,6,0),"")</f>
        <v/>
      </c>
      <c r="U624" s="264">
        <f>J624</f>
        <v/>
      </c>
      <c r="V624" s="195">
        <f>IFERROR(VLOOKUP(G624&amp;J624,2025Schedule!A:F,6,0),"")</f>
        <v/>
      </c>
    </row>
    <row r="625" ht="14.4" customHeight="1" s="152">
      <c r="A625" s="241">
        <f>H625&amp;I625</f>
        <v/>
      </c>
      <c r="B625" s="241">
        <f>J625&amp;C625</f>
        <v/>
      </c>
      <c r="C625" s="241">
        <f>IFERROR(IF(I625="Home","Away",IF(I625="Away","Home","")),"")</f>
        <v/>
      </c>
      <c r="D625" s="242">
        <f>H625</f>
        <v/>
      </c>
      <c r="E625" s="157">
        <f>IFERROR(IF(AND(F625&gt;0,T625&gt;V625),"Yes",IF(AND(F625&gt;0,T625&lt;V625),"No",IF(AND(F625&lt;0,T625&lt;V625),"Yes",IF(AND(F625&lt;0,T625&gt;V625),"No",0)))),"")</f>
        <v/>
      </c>
      <c r="F625" s="263">
        <f>IFERROR((N625/MAX(N:N)*_MOVw)+(O625/MAX(O:O)*_WINw)+(P625/MAX(P:P)*_PPGw)+(Q625/MAX(Q:Q)*_ORw)+(R625/MAX(R:R)*_DRw),"")</f>
        <v/>
      </c>
      <c r="N625" s="156">
        <f>IFERROR(VLOOKUP(H625,Matrix!A:AC,12,0)-VLOOKUP(J625,Matrix!A:AC,12,0),"")</f>
        <v/>
      </c>
      <c r="O625" s="182">
        <f>IFERROR(AVERAGEIFS(2025Schedule!O:O,2025Schedule!E:E,H625,2025Schedule!N:N,A625)-AVERAGEIFS(2025Schedule!O:O,2025Schedule!E:E,J625,2025Schedule!N:N,B625),0)</f>
        <v/>
      </c>
      <c r="P625" s="156">
        <f>IFERROR(VLOOKUP(H625,Matrix!A:D,2,0)-VLOOKUP(J625,Matrix!A:D,2,0),"")</f>
        <v/>
      </c>
      <c r="Q625" s="156">
        <f>IFERROR(VLOOKUP(H625,Matrix!A:AC,15,0)-VLOOKUP(J625,Matrix!A:AC,15,0),"")</f>
        <v/>
      </c>
      <c r="R625" s="156">
        <f>IFERROR(VLOOKUP(H625,Matrix!A:AC,16,0)-VLOOKUP(J625,Matrix!A:AC,16,0),"")</f>
        <v/>
      </c>
      <c r="S625" s="195">
        <f>H625</f>
        <v/>
      </c>
      <c r="T625" s="195">
        <f>IFERROR(VLOOKUP(G625&amp;H625,2025Schedule!A:F,6,0),"")</f>
        <v/>
      </c>
      <c r="U625" s="264">
        <f>J625</f>
        <v/>
      </c>
      <c r="V625" s="195">
        <f>IFERROR(VLOOKUP(G625&amp;J625,2025Schedule!A:F,6,0),"")</f>
        <v/>
      </c>
    </row>
    <row r="626" ht="14.4" customHeight="1" s="152">
      <c r="A626" s="241">
        <f>H626&amp;I626</f>
        <v/>
      </c>
      <c r="B626" s="241">
        <f>J626&amp;C626</f>
        <v/>
      </c>
      <c r="C626" s="241">
        <f>IFERROR(IF(I626="Home","Away",IF(I626="Away","Home","")),"")</f>
        <v/>
      </c>
      <c r="D626" s="242">
        <f>H626</f>
        <v/>
      </c>
      <c r="E626" s="157">
        <f>IFERROR(IF(AND(F626&gt;0,T626&gt;V626),"Yes",IF(AND(F626&gt;0,T626&lt;V626),"No",IF(AND(F626&lt;0,T626&lt;V626),"Yes",IF(AND(F626&lt;0,T626&gt;V626),"No",0)))),"")</f>
        <v/>
      </c>
      <c r="F626" s="263">
        <f>IFERROR((N626/MAX(N:N)*_MOVw)+(O626/MAX(O:O)*_WINw)+(P626/MAX(P:P)*_PPGw)+(Q626/MAX(Q:Q)*_ORw)+(R626/MAX(R:R)*_DRw),"")</f>
        <v/>
      </c>
      <c r="N626" s="156">
        <f>IFERROR(VLOOKUP(H626,Matrix!A:AC,12,0)-VLOOKUP(J626,Matrix!A:AC,12,0),"")</f>
        <v/>
      </c>
      <c r="O626" s="182">
        <f>IFERROR(AVERAGEIFS(2025Schedule!O:O,2025Schedule!E:E,H626,2025Schedule!N:N,A626)-AVERAGEIFS(2025Schedule!O:O,2025Schedule!E:E,J626,2025Schedule!N:N,B626),0)</f>
        <v/>
      </c>
      <c r="P626" s="156">
        <f>IFERROR(VLOOKUP(H626,Matrix!A:D,2,0)-VLOOKUP(J626,Matrix!A:D,2,0),"")</f>
        <v/>
      </c>
      <c r="Q626" s="156">
        <f>IFERROR(VLOOKUP(H626,Matrix!A:AC,15,0)-VLOOKUP(J626,Matrix!A:AC,15,0),"")</f>
        <v/>
      </c>
      <c r="R626" s="156">
        <f>IFERROR(VLOOKUP(H626,Matrix!A:AC,16,0)-VLOOKUP(J626,Matrix!A:AC,16,0),"")</f>
        <v/>
      </c>
      <c r="S626" s="195">
        <f>H626</f>
        <v/>
      </c>
      <c r="T626" s="195">
        <f>IFERROR(VLOOKUP(G626&amp;H626,2025Schedule!A:F,6,0),"")</f>
        <v/>
      </c>
      <c r="U626" s="264">
        <f>J626</f>
        <v/>
      </c>
      <c r="V626" s="195">
        <f>IFERROR(VLOOKUP(G626&amp;J626,2025Schedule!A:F,6,0),"")</f>
        <v/>
      </c>
    </row>
    <row r="627" ht="14.4" customHeight="1" s="152">
      <c r="A627" s="241">
        <f>H627&amp;I627</f>
        <v/>
      </c>
      <c r="B627" s="241">
        <f>J627&amp;C627</f>
        <v/>
      </c>
      <c r="C627" s="241">
        <f>IFERROR(IF(I627="Home","Away",IF(I627="Away","Home","")),"")</f>
        <v/>
      </c>
      <c r="D627" s="242">
        <f>H627</f>
        <v/>
      </c>
      <c r="E627" s="157">
        <f>IFERROR(IF(AND(F627&gt;0,T627&gt;V627),"Yes",IF(AND(F627&gt;0,T627&lt;V627),"No",IF(AND(F627&lt;0,T627&lt;V627),"Yes",IF(AND(F627&lt;0,T627&gt;V627),"No",0)))),"")</f>
        <v/>
      </c>
      <c r="F627" s="263">
        <f>IFERROR((N627/MAX(N:N)*_MOVw)+(O627/MAX(O:O)*_WINw)+(P627/MAX(P:P)*_PPGw)+(Q627/MAX(Q:Q)*_ORw)+(R627/MAX(R:R)*_DRw),"")</f>
        <v/>
      </c>
      <c r="N627" s="156">
        <f>IFERROR(VLOOKUP(H627,Matrix!A:AC,12,0)-VLOOKUP(J627,Matrix!A:AC,12,0),"")</f>
        <v/>
      </c>
      <c r="O627" s="182">
        <f>IFERROR(AVERAGEIFS(2025Schedule!O:O,2025Schedule!E:E,H627,2025Schedule!N:N,A627)-AVERAGEIFS(2025Schedule!O:O,2025Schedule!E:E,J627,2025Schedule!N:N,B627),0)</f>
        <v/>
      </c>
      <c r="P627" s="156">
        <f>IFERROR(VLOOKUP(H627,Matrix!A:D,2,0)-VLOOKUP(J627,Matrix!A:D,2,0),"")</f>
        <v/>
      </c>
      <c r="Q627" s="156">
        <f>IFERROR(VLOOKUP(H627,Matrix!A:AC,15,0)-VLOOKUP(J627,Matrix!A:AC,15,0),"")</f>
        <v/>
      </c>
      <c r="R627" s="156">
        <f>IFERROR(VLOOKUP(H627,Matrix!A:AC,16,0)-VLOOKUP(J627,Matrix!A:AC,16,0),"")</f>
        <v/>
      </c>
      <c r="S627" s="195">
        <f>H627</f>
        <v/>
      </c>
      <c r="T627" s="195">
        <f>IFERROR(VLOOKUP(G627&amp;H627,2025Schedule!A:F,6,0),"")</f>
        <v/>
      </c>
      <c r="U627" s="264">
        <f>J627</f>
        <v/>
      </c>
      <c r="V627" s="195">
        <f>IFERROR(VLOOKUP(G627&amp;J627,2025Schedule!A:F,6,0),"")</f>
        <v/>
      </c>
    </row>
    <row r="628" ht="14.4" customHeight="1" s="152">
      <c r="A628" s="241">
        <f>H628&amp;I628</f>
        <v/>
      </c>
      <c r="B628" s="241">
        <f>J628&amp;C628</f>
        <v/>
      </c>
      <c r="C628" s="241">
        <f>IFERROR(IF(I628="Home","Away",IF(I628="Away","Home","")),"")</f>
        <v/>
      </c>
      <c r="D628" s="242">
        <f>H628</f>
        <v/>
      </c>
      <c r="E628" s="157">
        <f>IFERROR(IF(AND(F628&gt;0,T628&gt;V628),"Yes",IF(AND(F628&gt;0,T628&lt;V628),"No",IF(AND(F628&lt;0,T628&lt;V628),"Yes",IF(AND(F628&lt;0,T628&gt;V628),"No",0)))),"")</f>
        <v/>
      </c>
      <c r="F628" s="263">
        <f>IFERROR((N628/MAX(N:N)*_MOVw)+(O628/MAX(O:O)*_WINw)+(P628/MAX(P:P)*_PPGw)+(Q628/MAX(Q:Q)*_ORw)+(R628/MAX(R:R)*_DRw),"")</f>
        <v/>
      </c>
      <c r="N628" s="156">
        <f>IFERROR(VLOOKUP(H628,Matrix!A:AC,12,0)-VLOOKUP(J628,Matrix!A:AC,12,0),"")</f>
        <v/>
      </c>
      <c r="O628" s="182">
        <f>IFERROR(AVERAGEIFS(2025Schedule!O:O,2025Schedule!E:E,H628,2025Schedule!N:N,A628)-AVERAGEIFS(2025Schedule!O:O,2025Schedule!E:E,J628,2025Schedule!N:N,B628),0)</f>
        <v/>
      </c>
      <c r="P628" s="156">
        <f>IFERROR(VLOOKUP(H628,Matrix!A:D,2,0)-VLOOKUP(J628,Matrix!A:D,2,0),"")</f>
        <v/>
      </c>
      <c r="Q628" s="156">
        <f>IFERROR(VLOOKUP(H628,Matrix!A:AC,15,0)-VLOOKUP(J628,Matrix!A:AC,15,0),"")</f>
        <v/>
      </c>
      <c r="R628" s="156">
        <f>IFERROR(VLOOKUP(H628,Matrix!A:AC,16,0)-VLOOKUP(J628,Matrix!A:AC,16,0),"")</f>
        <v/>
      </c>
      <c r="S628" s="195">
        <f>H628</f>
        <v/>
      </c>
      <c r="T628" s="195">
        <f>IFERROR(VLOOKUP(G628&amp;H628,2025Schedule!A:F,6,0),"")</f>
        <v/>
      </c>
      <c r="U628" s="264">
        <f>J628</f>
        <v/>
      </c>
      <c r="V628" s="195">
        <f>IFERROR(VLOOKUP(G628&amp;J628,2025Schedule!A:F,6,0),"")</f>
        <v/>
      </c>
    </row>
    <row r="629" ht="14.4" customHeight="1" s="152">
      <c r="A629" s="241">
        <f>H629&amp;I629</f>
        <v/>
      </c>
      <c r="B629" s="241">
        <f>J629&amp;C629</f>
        <v/>
      </c>
      <c r="C629" s="241">
        <f>IFERROR(IF(I629="Home","Away",IF(I629="Away","Home","")),"")</f>
        <v/>
      </c>
      <c r="D629" s="242">
        <f>H629</f>
        <v/>
      </c>
      <c r="E629" s="157">
        <f>IFERROR(IF(AND(F629&gt;0,T629&gt;V629),"Yes",IF(AND(F629&gt;0,T629&lt;V629),"No",IF(AND(F629&lt;0,T629&lt;V629),"Yes",IF(AND(F629&lt;0,T629&gt;V629),"No",0)))),"")</f>
        <v/>
      </c>
      <c r="F629" s="263">
        <f>IFERROR((N629/MAX(N:N)*_MOVw)+(O629/MAX(O:O)*_WINw)+(P629/MAX(P:P)*_PPGw)+(Q629/MAX(Q:Q)*_ORw)+(R629/MAX(R:R)*_DRw),"")</f>
        <v/>
      </c>
      <c r="N629" s="156">
        <f>IFERROR(VLOOKUP(H629,Matrix!A:AC,12,0)-VLOOKUP(J629,Matrix!A:AC,12,0),"")</f>
        <v/>
      </c>
      <c r="O629" s="182">
        <f>IFERROR(AVERAGEIFS(2025Schedule!O:O,2025Schedule!E:E,H629,2025Schedule!N:N,A629)-AVERAGEIFS(2025Schedule!O:O,2025Schedule!E:E,J629,2025Schedule!N:N,B629),0)</f>
        <v/>
      </c>
      <c r="P629" s="156">
        <f>IFERROR(VLOOKUP(H629,Matrix!A:D,2,0)-VLOOKUP(J629,Matrix!A:D,2,0),"")</f>
        <v/>
      </c>
      <c r="Q629" s="156">
        <f>IFERROR(VLOOKUP(H629,Matrix!A:AC,15,0)-VLOOKUP(J629,Matrix!A:AC,15,0),"")</f>
        <v/>
      </c>
      <c r="R629" s="156">
        <f>IFERROR(VLOOKUP(H629,Matrix!A:AC,16,0)-VLOOKUP(J629,Matrix!A:AC,16,0),"")</f>
        <v/>
      </c>
      <c r="S629" s="195">
        <f>H629</f>
        <v/>
      </c>
      <c r="T629" s="195">
        <f>IFERROR(VLOOKUP(G629&amp;H629,2025Schedule!A:F,6,0),"")</f>
        <v/>
      </c>
      <c r="U629" s="264">
        <f>J629</f>
        <v/>
      </c>
      <c r="V629" s="195">
        <f>IFERROR(VLOOKUP(G629&amp;J629,2025Schedule!A:F,6,0),"")</f>
        <v/>
      </c>
    </row>
    <row r="630" ht="14.4" customHeight="1" s="152">
      <c r="A630" s="241">
        <f>H630&amp;I630</f>
        <v/>
      </c>
      <c r="B630" s="241">
        <f>J630&amp;C630</f>
        <v/>
      </c>
      <c r="C630" s="241">
        <f>IFERROR(IF(I630="Home","Away",IF(I630="Away","Home","")),"")</f>
        <v/>
      </c>
      <c r="D630" s="242">
        <f>H630</f>
        <v/>
      </c>
      <c r="E630" s="157">
        <f>IFERROR(IF(AND(F630&gt;0,T630&gt;V630),"Yes",IF(AND(F630&gt;0,T630&lt;V630),"No",IF(AND(F630&lt;0,T630&lt;V630),"Yes",IF(AND(F630&lt;0,T630&gt;V630),"No",0)))),"")</f>
        <v/>
      </c>
      <c r="F630" s="263">
        <f>IFERROR((N630/MAX(N:N)*_MOVw)+(O630/MAX(O:O)*_WINw)+(P630/MAX(P:P)*_PPGw)+(Q630/MAX(Q:Q)*_ORw)+(R630/MAX(R:R)*_DRw),"")</f>
        <v/>
      </c>
      <c r="N630" s="156">
        <f>IFERROR(VLOOKUP(H630,Matrix!A:AC,12,0)-VLOOKUP(J630,Matrix!A:AC,12,0),"")</f>
        <v/>
      </c>
      <c r="O630" s="182">
        <f>IFERROR(AVERAGEIFS(2025Schedule!O:O,2025Schedule!E:E,H630,2025Schedule!N:N,A630)-AVERAGEIFS(2025Schedule!O:O,2025Schedule!E:E,J630,2025Schedule!N:N,B630),0)</f>
        <v/>
      </c>
      <c r="P630" s="156">
        <f>IFERROR(VLOOKUP(H630,Matrix!A:D,2,0)-VLOOKUP(J630,Matrix!A:D,2,0),"")</f>
        <v/>
      </c>
      <c r="Q630" s="156">
        <f>IFERROR(VLOOKUP(H630,Matrix!A:AC,15,0)-VLOOKUP(J630,Matrix!A:AC,15,0),"")</f>
        <v/>
      </c>
      <c r="R630" s="156">
        <f>IFERROR(VLOOKUP(H630,Matrix!A:AC,16,0)-VLOOKUP(J630,Matrix!A:AC,16,0),"")</f>
        <v/>
      </c>
      <c r="S630" s="195">
        <f>H630</f>
        <v/>
      </c>
      <c r="T630" s="195">
        <f>IFERROR(VLOOKUP(G630&amp;H630,2025Schedule!A:F,6,0),"")</f>
        <v/>
      </c>
      <c r="U630" s="264">
        <f>J630</f>
        <v/>
      </c>
      <c r="V630" s="195">
        <f>IFERROR(VLOOKUP(G630&amp;J630,2025Schedule!A:F,6,0),"")</f>
        <v/>
      </c>
    </row>
    <row r="631" ht="14.4" customHeight="1" s="152">
      <c r="A631" s="241">
        <f>H631&amp;I631</f>
        <v/>
      </c>
      <c r="B631" s="241">
        <f>J631&amp;C631</f>
        <v/>
      </c>
      <c r="C631" s="241">
        <f>IFERROR(IF(I631="Home","Away",IF(I631="Away","Home","")),"")</f>
        <v/>
      </c>
      <c r="D631" s="242">
        <f>H631</f>
        <v/>
      </c>
      <c r="E631" s="157">
        <f>IFERROR(IF(AND(F631&gt;0,T631&gt;V631),"Yes",IF(AND(F631&gt;0,T631&lt;V631),"No",IF(AND(F631&lt;0,T631&lt;V631),"Yes",IF(AND(F631&lt;0,T631&gt;V631),"No",0)))),"")</f>
        <v/>
      </c>
      <c r="F631" s="263">
        <f>IFERROR((N631/MAX(N:N)*_MOVw)+(O631/MAX(O:O)*_WINw)+(P631/MAX(P:P)*_PPGw)+(Q631/MAX(Q:Q)*_ORw)+(R631/MAX(R:R)*_DRw),"")</f>
        <v/>
      </c>
      <c r="N631" s="156">
        <f>IFERROR(VLOOKUP(H631,Matrix!A:AC,12,0)-VLOOKUP(J631,Matrix!A:AC,12,0),"")</f>
        <v/>
      </c>
      <c r="O631" s="182">
        <f>IFERROR(AVERAGEIFS(2025Schedule!O:O,2025Schedule!E:E,H631,2025Schedule!N:N,A631)-AVERAGEIFS(2025Schedule!O:O,2025Schedule!E:E,J631,2025Schedule!N:N,B631),0)</f>
        <v/>
      </c>
      <c r="P631" s="156">
        <f>IFERROR(VLOOKUP(H631,Matrix!A:D,2,0)-VLOOKUP(J631,Matrix!A:D,2,0),"")</f>
        <v/>
      </c>
      <c r="Q631" s="156">
        <f>IFERROR(VLOOKUP(H631,Matrix!A:AC,15,0)-VLOOKUP(J631,Matrix!A:AC,15,0),"")</f>
        <v/>
      </c>
      <c r="R631" s="156">
        <f>IFERROR(VLOOKUP(H631,Matrix!A:AC,16,0)-VLOOKUP(J631,Matrix!A:AC,16,0),"")</f>
        <v/>
      </c>
      <c r="S631" s="195">
        <f>H631</f>
        <v/>
      </c>
      <c r="T631" s="195">
        <f>IFERROR(VLOOKUP(G631&amp;H631,2025Schedule!A:F,6,0),"")</f>
        <v/>
      </c>
      <c r="U631" s="264">
        <f>J631</f>
        <v/>
      </c>
      <c r="V631" s="195">
        <f>IFERROR(VLOOKUP(G631&amp;J631,2025Schedule!A:F,6,0),"")</f>
        <v/>
      </c>
    </row>
    <row r="632" ht="14.4" customHeight="1" s="152">
      <c r="A632" s="241">
        <f>H632&amp;I632</f>
        <v/>
      </c>
      <c r="B632" s="241">
        <f>J632&amp;C632</f>
        <v/>
      </c>
      <c r="C632" s="241">
        <f>IFERROR(IF(I632="Home","Away",IF(I632="Away","Home","")),"")</f>
        <v/>
      </c>
      <c r="D632" s="242">
        <f>H632</f>
        <v/>
      </c>
      <c r="E632" s="157">
        <f>IFERROR(IF(AND(F632&gt;0,T632&gt;V632),"Yes",IF(AND(F632&gt;0,T632&lt;V632),"No",IF(AND(F632&lt;0,T632&lt;V632),"Yes",IF(AND(F632&lt;0,T632&gt;V632),"No",0)))),"")</f>
        <v/>
      </c>
      <c r="F632" s="263">
        <f>IFERROR((N632/MAX(N:N)*_MOVw)+(O632/MAX(O:O)*_WINw)+(P632/MAX(P:P)*_PPGw)+(Q632/MAX(Q:Q)*_ORw)+(R632/MAX(R:R)*_DRw),"")</f>
        <v/>
      </c>
      <c r="N632" s="156">
        <f>IFERROR(VLOOKUP(H632,Matrix!A:AC,12,0)-VLOOKUP(J632,Matrix!A:AC,12,0),"")</f>
        <v/>
      </c>
      <c r="O632" s="182">
        <f>IFERROR(AVERAGEIFS(2025Schedule!O:O,2025Schedule!E:E,H632,2025Schedule!N:N,A632)-AVERAGEIFS(2025Schedule!O:O,2025Schedule!E:E,J632,2025Schedule!N:N,B632),0)</f>
        <v/>
      </c>
      <c r="P632" s="156">
        <f>IFERROR(VLOOKUP(H632,Matrix!A:D,2,0)-VLOOKUP(J632,Matrix!A:D,2,0),"")</f>
        <v/>
      </c>
      <c r="Q632" s="156">
        <f>IFERROR(VLOOKUP(H632,Matrix!A:AC,15,0)-VLOOKUP(J632,Matrix!A:AC,15,0),"")</f>
        <v/>
      </c>
      <c r="R632" s="156">
        <f>IFERROR(VLOOKUP(H632,Matrix!A:AC,16,0)-VLOOKUP(J632,Matrix!A:AC,16,0),"")</f>
        <v/>
      </c>
      <c r="S632" s="195">
        <f>H632</f>
        <v/>
      </c>
      <c r="T632" s="195">
        <f>IFERROR(VLOOKUP(G632&amp;H632,2025Schedule!A:F,6,0),"")</f>
        <v/>
      </c>
      <c r="U632" s="264">
        <f>J632</f>
        <v/>
      </c>
      <c r="V632" s="195">
        <f>IFERROR(VLOOKUP(G632&amp;J632,2025Schedule!A:F,6,0),"")</f>
        <v/>
      </c>
    </row>
    <row r="633" ht="14.4" customHeight="1" s="152">
      <c r="A633" s="241">
        <f>H633&amp;I633</f>
        <v/>
      </c>
      <c r="B633" s="241">
        <f>J633&amp;C633</f>
        <v/>
      </c>
      <c r="C633" s="241">
        <f>IFERROR(IF(I633="Home","Away",IF(I633="Away","Home","")),"")</f>
        <v/>
      </c>
      <c r="D633" s="242">
        <f>H633</f>
        <v/>
      </c>
      <c r="E633" s="157">
        <f>IFERROR(IF(AND(F633&gt;0,T633&gt;V633),"Yes",IF(AND(F633&gt;0,T633&lt;V633),"No",IF(AND(F633&lt;0,T633&lt;V633),"Yes",IF(AND(F633&lt;0,T633&gt;V633),"No",0)))),"")</f>
        <v/>
      </c>
      <c r="F633" s="263">
        <f>IFERROR((N633/MAX(N:N)*_MOVw)+(O633/MAX(O:O)*_WINw)+(P633/MAX(P:P)*_PPGw)+(Q633/MAX(Q:Q)*_ORw)+(R633/MAX(R:R)*_DRw),"")</f>
        <v/>
      </c>
      <c r="N633" s="156">
        <f>IFERROR(VLOOKUP(H633,Matrix!A:AC,12,0)-VLOOKUP(J633,Matrix!A:AC,12,0),"")</f>
        <v/>
      </c>
      <c r="O633" s="182">
        <f>IFERROR(AVERAGEIFS(2025Schedule!O:O,2025Schedule!E:E,H633,2025Schedule!N:N,A633)-AVERAGEIFS(2025Schedule!O:O,2025Schedule!E:E,J633,2025Schedule!N:N,B633),0)</f>
        <v/>
      </c>
      <c r="P633" s="156">
        <f>IFERROR(VLOOKUP(H633,Matrix!A:D,2,0)-VLOOKUP(J633,Matrix!A:D,2,0),"")</f>
        <v/>
      </c>
      <c r="Q633" s="156">
        <f>IFERROR(VLOOKUP(H633,Matrix!A:AC,15,0)-VLOOKUP(J633,Matrix!A:AC,15,0),"")</f>
        <v/>
      </c>
      <c r="R633" s="156">
        <f>IFERROR(VLOOKUP(H633,Matrix!A:AC,16,0)-VLOOKUP(J633,Matrix!A:AC,16,0),"")</f>
        <v/>
      </c>
      <c r="S633" s="195">
        <f>H633</f>
        <v/>
      </c>
      <c r="T633" s="195">
        <f>IFERROR(VLOOKUP(G633&amp;H633,2025Schedule!A:F,6,0),"")</f>
        <v/>
      </c>
      <c r="U633" s="264">
        <f>J633</f>
        <v/>
      </c>
      <c r="V633" s="195">
        <f>IFERROR(VLOOKUP(G633&amp;J633,2025Schedule!A:F,6,0),"")</f>
        <v/>
      </c>
    </row>
    <row r="634" ht="14.4" customHeight="1" s="152">
      <c r="A634" s="241">
        <f>H634&amp;I634</f>
        <v/>
      </c>
      <c r="B634" s="241">
        <f>J634&amp;C634</f>
        <v/>
      </c>
      <c r="C634" s="241">
        <f>IFERROR(IF(I634="Home","Away",IF(I634="Away","Home","")),"")</f>
        <v/>
      </c>
      <c r="D634" s="242">
        <f>H634</f>
        <v/>
      </c>
      <c r="E634" s="157">
        <f>IFERROR(IF(AND(F634&gt;0,T634&gt;V634),"Yes",IF(AND(F634&gt;0,T634&lt;V634),"No",IF(AND(F634&lt;0,T634&lt;V634),"Yes",IF(AND(F634&lt;0,T634&gt;V634),"No",0)))),"")</f>
        <v/>
      </c>
      <c r="F634" s="263">
        <f>IFERROR((N634/MAX(N:N)*_MOVw)+(O634/MAX(O:O)*_WINw)+(P634/MAX(P:P)*_PPGw)+(Q634/MAX(Q:Q)*_ORw)+(R634/MAX(R:R)*_DRw),"")</f>
        <v/>
      </c>
      <c r="N634" s="156">
        <f>IFERROR(VLOOKUP(H634,Matrix!A:AC,12,0)-VLOOKUP(J634,Matrix!A:AC,12,0),"")</f>
        <v/>
      </c>
      <c r="O634" s="182">
        <f>IFERROR(AVERAGEIFS(2025Schedule!O:O,2025Schedule!E:E,H634,2025Schedule!N:N,A634)-AVERAGEIFS(2025Schedule!O:O,2025Schedule!E:E,J634,2025Schedule!N:N,B634),0)</f>
        <v/>
      </c>
      <c r="P634" s="156">
        <f>IFERROR(VLOOKUP(H634,Matrix!A:D,2,0)-VLOOKUP(J634,Matrix!A:D,2,0),"")</f>
        <v/>
      </c>
      <c r="Q634" s="156">
        <f>IFERROR(VLOOKUP(H634,Matrix!A:AC,15,0)-VLOOKUP(J634,Matrix!A:AC,15,0),"")</f>
        <v/>
      </c>
      <c r="R634" s="156">
        <f>IFERROR(VLOOKUP(H634,Matrix!A:AC,16,0)-VLOOKUP(J634,Matrix!A:AC,16,0),"")</f>
        <v/>
      </c>
      <c r="S634" s="195">
        <f>H634</f>
        <v/>
      </c>
      <c r="T634" s="195">
        <f>IFERROR(VLOOKUP(G634&amp;H634,2025Schedule!A:F,6,0),"")</f>
        <v/>
      </c>
      <c r="U634" s="264">
        <f>J634</f>
        <v/>
      </c>
      <c r="V634" s="195">
        <f>IFERROR(VLOOKUP(G634&amp;J634,2025Schedule!A:F,6,0),"")</f>
        <v/>
      </c>
    </row>
    <row r="635" ht="14.4" customHeight="1" s="152">
      <c r="A635" s="241">
        <f>H635&amp;I635</f>
        <v/>
      </c>
      <c r="B635" s="241">
        <f>J635&amp;C635</f>
        <v/>
      </c>
      <c r="C635" s="241">
        <f>IFERROR(IF(I635="Home","Away",IF(I635="Away","Home","")),"")</f>
        <v/>
      </c>
      <c r="D635" s="242">
        <f>H635</f>
        <v/>
      </c>
      <c r="E635" s="157">
        <f>IFERROR(IF(AND(F635&gt;0,T635&gt;V635),"Yes",IF(AND(F635&gt;0,T635&lt;V635),"No",IF(AND(F635&lt;0,T635&lt;V635),"Yes",IF(AND(F635&lt;0,T635&gt;V635),"No",0)))),"")</f>
        <v/>
      </c>
      <c r="F635" s="263">
        <f>IFERROR((N635/MAX(N:N)*_MOVw)+(O635/MAX(O:O)*_WINw)+(P635/MAX(P:P)*_PPGw)+(Q635/MAX(Q:Q)*_ORw)+(R635/MAX(R:R)*_DRw),"")</f>
        <v/>
      </c>
      <c r="N635" s="156">
        <f>IFERROR(VLOOKUP(H635,Matrix!A:AC,12,0)-VLOOKUP(J635,Matrix!A:AC,12,0),"")</f>
        <v/>
      </c>
      <c r="O635" s="182">
        <f>IFERROR(AVERAGEIFS(2025Schedule!O:O,2025Schedule!E:E,H635,2025Schedule!N:N,A635)-AVERAGEIFS(2025Schedule!O:O,2025Schedule!E:E,J635,2025Schedule!N:N,B635),0)</f>
        <v/>
      </c>
      <c r="P635" s="156">
        <f>IFERROR(VLOOKUP(H635,Matrix!A:D,2,0)-VLOOKUP(J635,Matrix!A:D,2,0),"")</f>
        <v/>
      </c>
      <c r="Q635" s="156">
        <f>IFERROR(VLOOKUP(H635,Matrix!A:AC,15,0)-VLOOKUP(J635,Matrix!A:AC,15,0),"")</f>
        <v/>
      </c>
      <c r="R635" s="156">
        <f>IFERROR(VLOOKUP(H635,Matrix!A:AC,16,0)-VLOOKUP(J635,Matrix!A:AC,16,0),"")</f>
        <v/>
      </c>
      <c r="S635" s="195">
        <f>H635</f>
        <v/>
      </c>
      <c r="T635" s="195">
        <f>IFERROR(VLOOKUP(G635&amp;H635,2025Schedule!A:F,6,0),"")</f>
        <v/>
      </c>
      <c r="U635" s="264">
        <f>J635</f>
        <v/>
      </c>
      <c r="V635" s="195">
        <f>IFERROR(VLOOKUP(G635&amp;J635,2025Schedule!A:F,6,0),"")</f>
        <v/>
      </c>
    </row>
    <row r="636" ht="14.4" customHeight="1" s="152">
      <c r="A636" s="241">
        <f>H636&amp;I636</f>
        <v/>
      </c>
      <c r="B636" s="241">
        <f>J636&amp;C636</f>
        <v/>
      </c>
      <c r="C636" s="241">
        <f>IFERROR(IF(I636="Home","Away",IF(I636="Away","Home","")),"")</f>
        <v/>
      </c>
      <c r="D636" s="242">
        <f>H636</f>
        <v/>
      </c>
      <c r="E636" s="157">
        <f>IFERROR(IF(AND(F636&gt;0,T636&gt;V636),"Yes",IF(AND(F636&gt;0,T636&lt;V636),"No",IF(AND(F636&lt;0,T636&lt;V636),"Yes",IF(AND(F636&lt;0,T636&gt;V636),"No",0)))),"")</f>
        <v/>
      </c>
      <c r="F636" s="263">
        <f>IFERROR((N636/MAX(N:N)*_MOVw)+(O636/MAX(O:O)*_WINw)+(P636/MAX(P:P)*_PPGw)+(Q636/MAX(Q:Q)*_ORw)+(R636/MAX(R:R)*_DRw),"")</f>
        <v/>
      </c>
      <c r="N636" s="156">
        <f>IFERROR(VLOOKUP(H636,Matrix!A:AC,12,0)-VLOOKUP(J636,Matrix!A:AC,12,0),"")</f>
        <v/>
      </c>
      <c r="O636" s="182">
        <f>IFERROR(AVERAGEIFS(2025Schedule!O:O,2025Schedule!E:E,H636,2025Schedule!N:N,A636)-AVERAGEIFS(2025Schedule!O:O,2025Schedule!E:E,J636,2025Schedule!N:N,B636),0)</f>
        <v/>
      </c>
      <c r="P636" s="156">
        <f>IFERROR(VLOOKUP(H636,Matrix!A:D,2,0)-VLOOKUP(J636,Matrix!A:D,2,0),"")</f>
        <v/>
      </c>
      <c r="Q636" s="156">
        <f>IFERROR(VLOOKUP(H636,Matrix!A:AC,15,0)-VLOOKUP(J636,Matrix!A:AC,15,0),"")</f>
        <v/>
      </c>
      <c r="R636" s="156">
        <f>IFERROR(VLOOKUP(H636,Matrix!A:AC,16,0)-VLOOKUP(J636,Matrix!A:AC,16,0),"")</f>
        <v/>
      </c>
      <c r="S636" s="195">
        <f>H636</f>
        <v/>
      </c>
      <c r="T636" s="195">
        <f>IFERROR(VLOOKUP(G636&amp;H636,2025Schedule!A:F,6,0),"")</f>
        <v/>
      </c>
      <c r="U636" s="264">
        <f>J636</f>
        <v/>
      </c>
      <c r="V636" s="195">
        <f>IFERROR(VLOOKUP(G636&amp;J636,2025Schedule!A:F,6,0),"")</f>
        <v/>
      </c>
    </row>
    <row r="637" ht="14.4" customHeight="1" s="152">
      <c r="A637" s="241">
        <f>H637&amp;I637</f>
        <v/>
      </c>
      <c r="B637" s="241">
        <f>J637&amp;C637</f>
        <v/>
      </c>
      <c r="C637" s="241">
        <f>IFERROR(IF(I637="Home","Away",IF(I637="Away","Home","")),"")</f>
        <v/>
      </c>
      <c r="D637" s="242">
        <f>H637</f>
        <v/>
      </c>
      <c r="E637" s="157">
        <f>IFERROR(IF(AND(F637&gt;0,T637&gt;V637),"Yes",IF(AND(F637&gt;0,T637&lt;V637),"No",IF(AND(F637&lt;0,T637&lt;V637),"Yes",IF(AND(F637&lt;0,T637&gt;V637),"No",0)))),"")</f>
        <v/>
      </c>
      <c r="F637" s="263">
        <f>IFERROR((N637/MAX(N:N)*_MOVw)+(O637/MAX(O:O)*_WINw)+(P637/MAX(P:P)*_PPGw)+(Q637/MAX(Q:Q)*_ORw)+(R637/MAX(R:R)*_DRw),"")</f>
        <v/>
      </c>
      <c r="N637" s="156">
        <f>IFERROR(VLOOKUP(H637,Matrix!A:AC,12,0)-VLOOKUP(J637,Matrix!A:AC,12,0),"")</f>
        <v/>
      </c>
      <c r="O637" s="182">
        <f>IFERROR(AVERAGEIFS(2025Schedule!O:O,2025Schedule!E:E,H637,2025Schedule!N:N,A637)-AVERAGEIFS(2025Schedule!O:O,2025Schedule!E:E,J637,2025Schedule!N:N,B637),0)</f>
        <v/>
      </c>
      <c r="P637" s="156">
        <f>IFERROR(VLOOKUP(H637,Matrix!A:D,2,0)-VLOOKUP(J637,Matrix!A:D,2,0),"")</f>
        <v/>
      </c>
      <c r="Q637" s="156">
        <f>IFERROR(VLOOKUP(H637,Matrix!A:AC,15,0)-VLOOKUP(J637,Matrix!A:AC,15,0),"")</f>
        <v/>
      </c>
      <c r="R637" s="156">
        <f>IFERROR(VLOOKUP(H637,Matrix!A:AC,16,0)-VLOOKUP(J637,Matrix!A:AC,16,0),"")</f>
        <v/>
      </c>
      <c r="S637" s="195">
        <f>H637</f>
        <v/>
      </c>
      <c r="T637" s="195">
        <f>IFERROR(VLOOKUP(G637&amp;H637,2025Schedule!A:F,6,0),"")</f>
        <v/>
      </c>
      <c r="U637" s="264">
        <f>J637</f>
        <v/>
      </c>
      <c r="V637" s="195">
        <f>IFERROR(VLOOKUP(G637&amp;J637,2025Schedule!A:F,6,0),"")</f>
        <v/>
      </c>
    </row>
    <row r="638" ht="14.4" customHeight="1" s="152">
      <c r="A638" s="241">
        <f>H638&amp;I638</f>
        <v/>
      </c>
      <c r="B638" s="241">
        <f>J638&amp;C638</f>
        <v/>
      </c>
      <c r="C638" s="241">
        <f>IFERROR(IF(I638="Home","Away",IF(I638="Away","Home","")),"")</f>
        <v/>
      </c>
      <c r="D638" s="242">
        <f>H638</f>
        <v/>
      </c>
      <c r="E638" s="157">
        <f>IFERROR(IF(AND(F638&gt;0,T638&gt;V638),"Yes",IF(AND(F638&gt;0,T638&lt;V638),"No",IF(AND(F638&lt;0,T638&lt;V638),"Yes",IF(AND(F638&lt;0,T638&gt;V638),"No",0)))),"")</f>
        <v/>
      </c>
      <c r="F638" s="263">
        <f>IFERROR((N638/MAX(N:N)*_MOVw)+(O638/MAX(O:O)*_WINw)+(P638/MAX(P:P)*_PPGw)+(Q638/MAX(Q:Q)*_ORw)+(R638/MAX(R:R)*_DRw),"")</f>
        <v/>
      </c>
      <c r="N638" s="156">
        <f>IFERROR(VLOOKUP(H638,Matrix!A:AC,12,0)-VLOOKUP(J638,Matrix!A:AC,12,0),"")</f>
        <v/>
      </c>
      <c r="O638" s="182">
        <f>IFERROR(AVERAGEIFS(2025Schedule!O:O,2025Schedule!E:E,H638,2025Schedule!N:N,A638)-AVERAGEIFS(2025Schedule!O:O,2025Schedule!E:E,J638,2025Schedule!N:N,B638),0)</f>
        <v/>
      </c>
      <c r="P638" s="156">
        <f>IFERROR(VLOOKUP(H638,Matrix!A:D,2,0)-VLOOKUP(J638,Matrix!A:D,2,0),"")</f>
        <v/>
      </c>
      <c r="Q638" s="156">
        <f>IFERROR(VLOOKUP(H638,Matrix!A:AC,15,0)-VLOOKUP(J638,Matrix!A:AC,15,0),"")</f>
        <v/>
      </c>
      <c r="R638" s="156">
        <f>IFERROR(VLOOKUP(H638,Matrix!A:AC,16,0)-VLOOKUP(J638,Matrix!A:AC,16,0),"")</f>
        <v/>
      </c>
      <c r="S638" s="195">
        <f>H638</f>
        <v/>
      </c>
      <c r="T638" s="195">
        <f>IFERROR(VLOOKUP(G638&amp;H638,2025Schedule!A:F,6,0),"")</f>
        <v/>
      </c>
      <c r="U638" s="264">
        <f>J638</f>
        <v/>
      </c>
      <c r="V638" s="195">
        <f>IFERROR(VLOOKUP(G638&amp;J638,2025Schedule!A:F,6,0),"")</f>
        <v/>
      </c>
    </row>
    <row r="639" ht="14.4" customHeight="1" s="152">
      <c r="A639" s="241">
        <f>H639&amp;I639</f>
        <v/>
      </c>
      <c r="B639" s="241">
        <f>J639&amp;C639</f>
        <v/>
      </c>
      <c r="C639" s="241">
        <f>IFERROR(IF(I639="Home","Away",IF(I639="Away","Home","")),"")</f>
        <v/>
      </c>
      <c r="D639" s="242">
        <f>H639</f>
        <v/>
      </c>
      <c r="E639" s="157">
        <f>IFERROR(IF(AND(F639&gt;0,T639&gt;V639),"Yes",IF(AND(F639&gt;0,T639&lt;V639),"No",IF(AND(F639&lt;0,T639&lt;V639),"Yes",IF(AND(F639&lt;0,T639&gt;V639),"No",0)))),"")</f>
        <v/>
      </c>
      <c r="F639" s="263">
        <f>IFERROR((N639/MAX(N:N)*_MOVw)+(O639/MAX(O:O)*_WINw)+(P639/MAX(P:P)*_PPGw)+(Q639/MAX(Q:Q)*_ORw)+(R639/MAX(R:R)*_DRw),"")</f>
        <v/>
      </c>
      <c r="N639" s="156">
        <f>IFERROR(VLOOKUP(H639,Matrix!A:AC,12,0)-VLOOKUP(J639,Matrix!A:AC,12,0),"")</f>
        <v/>
      </c>
      <c r="O639" s="182">
        <f>IFERROR(AVERAGEIFS(2025Schedule!O:O,2025Schedule!E:E,H639,2025Schedule!N:N,A639)-AVERAGEIFS(2025Schedule!O:O,2025Schedule!E:E,J639,2025Schedule!N:N,B639),0)</f>
        <v/>
      </c>
      <c r="P639" s="156">
        <f>IFERROR(VLOOKUP(H639,Matrix!A:D,2,0)-VLOOKUP(J639,Matrix!A:D,2,0),"")</f>
        <v/>
      </c>
      <c r="Q639" s="156">
        <f>IFERROR(VLOOKUP(H639,Matrix!A:AC,15,0)-VLOOKUP(J639,Matrix!A:AC,15,0),"")</f>
        <v/>
      </c>
      <c r="R639" s="156">
        <f>IFERROR(VLOOKUP(H639,Matrix!A:AC,16,0)-VLOOKUP(J639,Matrix!A:AC,16,0),"")</f>
        <v/>
      </c>
      <c r="S639" s="195">
        <f>H639</f>
        <v/>
      </c>
      <c r="T639" s="195">
        <f>IFERROR(VLOOKUP(G639&amp;H639,2025Schedule!A:F,6,0),"")</f>
        <v/>
      </c>
      <c r="U639" s="264">
        <f>J639</f>
        <v/>
      </c>
      <c r="V639" s="195">
        <f>IFERROR(VLOOKUP(G639&amp;J639,2025Schedule!A:F,6,0),"")</f>
        <v/>
      </c>
    </row>
    <row r="640" ht="14.4" customHeight="1" s="152">
      <c r="A640" s="241">
        <f>H640&amp;I640</f>
        <v/>
      </c>
      <c r="B640" s="241">
        <f>J640&amp;C640</f>
        <v/>
      </c>
      <c r="C640" s="241">
        <f>IFERROR(IF(I640="Home","Away",IF(I640="Away","Home","")),"")</f>
        <v/>
      </c>
      <c r="D640" s="242">
        <f>H640</f>
        <v/>
      </c>
      <c r="E640" s="157">
        <f>IFERROR(IF(AND(F640&gt;0,T640&gt;V640),"Yes",IF(AND(F640&gt;0,T640&lt;V640),"No",IF(AND(F640&lt;0,T640&lt;V640),"Yes",IF(AND(F640&lt;0,T640&gt;V640),"No",0)))),"")</f>
        <v/>
      </c>
      <c r="F640" s="263">
        <f>IFERROR((N640/MAX(N:N)*_MOVw)+(O640/MAX(O:O)*_WINw)+(P640/MAX(P:P)*_PPGw)+(Q640/MAX(Q:Q)*_ORw)+(R640/MAX(R:R)*_DRw),"")</f>
        <v/>
      </c>
      <c r="N640" s="156">
        <f>IFERROR(VLOOKUP(H640,Matrix!A:AC,12,0)-VLOOKUP(J640,Matrix!A:AC,12,0),"")</f>
        <v/>
      </c>
      <c r="O640" s="182">
        <f>IFERROR(AVERAGEIFS(2025Schedule!O:O,2025Schedule!E:E,H640,2025Schedule!N:N,A640)-AVERAGEIFS(2025Schedule!O:O,2025Schedule!E:E,J640,2025Schedule!N:N,B640),0)</f>
        <v/>
      </c>
      <c r="P640" s="156">
        <f>IFERROR(VLOOKUP(H640,Matrix!A:D,2,0)-VLOOKUP(J640,Matrix!A:D,2,0),"")</f>
        <v/>
      </c>
      <c r="Q640" s="156">
        <f>IFERROR(VLOOKUP(H640,Matrix!A:AC,15,0)-VLOOKUP(J640,Matrix!A:AC,15,0),"")</f>
        <v/>
      </c>
      <c r="R640" s="156">
        <f>IFERROR(VLOOKUP(H640,Matrix!A:AC,16,0)-VLOOKUP(J640,Matrix!A:AC,16,0),"")</f>
        <v/>
      </c>
      <c r="S640" s="195">
        <f>H640</f>
        <v/>
      </c>
      <c r="T640" s="195">
        <f>IFERROR(VLOOKUP(G640&amp;H640,2025Schedule!A:F,6,0),"")</f>
        <v/>
      </c>
      <c r="U640" s="264">
        <f>J640</f>
        <v/>
      </c>
      <c r="V640" s="195">
        <f>IFERROR(VLOOKUP(G640&amp;J640,2025Schedule!A:F,6,0),"")</f>
        <v/>
      </c>
    </row>
    <row r="641" ht="14.4" customHeight="1" s="152">
      <c r="A641" s="241">
        <f>H641&amp;I641</f>
        <v/>
      </c>
      <c r="B641" s="241">
        <f>J641&amp;C641</f>
        <v/>
      </c>
      <c r="C641" s="241">
        <f>IFERROR(IF(I641="Home","Away",IF(I641="Away","Home","")),"")</f>
        <v/>
      </c>
      <c r="D641" s="242">
        <f>H641</f>
        <v/>
      </c>
      <c r="E641" s="157">
        <f>IFERROR(IF(AND(F641&gt;0,T641&gt;V641),"Yes",IF(AND(F641&gt;0,T641&lt;V641),"No",IF(AND(F641&lt;0,T641&lt;V641),"Yes",IF(AND(F641&lt;0,T641&gt;V641),"No",0)))),"")</f>
        <v/>
      </c>
      <c r="F641" s="263">
        <f>IFERROR((N641/MAX(N:N)*_MOVw)+(O641/MAX(O:O)*_WINw)+(P641/MAX(P:P)*_PPGw)+(Q641/MAX(Q:Q)*_ORw)+(R641/MAX(R:R)*_DRw),"")</f>
        <v/>
      </c>
      <c r="N641" s="156">
        <f>IFERROR(VLOOKUP(H641,Matrix!A:AC,12,0)-VLOOKUP(J641,Matrix!A:AC,12,0),"")</f>
        <v/>
      </c>
      <c r="O641" s="182">
        <f>IFERROR(AVERAGEIFS(2025Schedule!O:O,2025Schedule!E:E,H641,2025Schedule!N:N,A641)-AVERAGEIFS(2025Schedule!O:O,2025Schedule!E:E,J641,2025Schedule!N:N,B641),0)</f>
        <v/>
      </c>
      <c r="P641" s="156">
        <f>IFERROR(VLOOKUP(H641,Matrix!A:D,2,0)-VLOOKUP(J641,Matrix!A:D,2,0),"")</f>
        <v/>
      </c>
      <c r="Q641" s="156">
        <f>IFERROR(VLOOKUP(H641,Matrix!A:AC,15,0)-VLOOKUP(J641,Matrix!A:AC,15,0),"")</f>
        <v/>
      </c>
      <c r="R641" s="156">
        <f>IFERROR(VLOOKUP(H641,Matrix!A:AC,16,0)-VLOOKUP(J641,Matrix!A:AC,16,0),"")</f>
        <v/>
      </c>
      <c r="S641" s="195">
        <f>H641</f>
        <v/>
      </c>
      <c r="T641" s="195">
        <f>IFERROR(VLOOKUP(G641&amp;H641,2025Schedule!A:F,6,0),"")</f>
        <v/>
      </c>
      <c r="U641" s="264">
        <f>J641</f>
        <v/>
      </c>
      <c r="V641" s="195">
        <f>IFERROR(VLOOKUP(G641&amp;J641,2025Schedule!A:F,6,0),"")</f>
        <v/>
      </c>
    </row>
    <row r="642" ht="14.4" customHeight="1" s="152">
      <c r="A642" s="241">
        <f>H642&amp;I642</f>
        <v/>
      </c>
      <c r="B642" s="241">
        <f>J642&amp;C642</f>
        <v/>
      </c>
      <c r="C642" s="241">
        <f>IFERROR(IF(I642="Home","Away",IF(I642="Away","Home","")),"")</f>
        <v/>
      </c>
      <c r="D642" s="242">
        <f>H642</f>
        <v/>
      </c>
      <c r="E642" s="157">
        <f>IFERROR(IF(AND(F642&gt;0,T642&gt;V642),"Yes",IF(AND(F642&gt;0,T642&lt;V642),"No",IF(AND(F642&lt;0,T642&lt;V642),"Yes",IF(AND(F642&lt;0,T642&gt;V642),"No",0)))),"")</f>
        <v/>
      </c>
      <c r="F642" s="263">
        <f>IFERROR((N642/MAX(N:N)*_MOVw)+(O642/MAX(O:O)*_WINw)+(P642/MAX(P:P)*_PPGw)+(Q642/MAX(Q:Q)*_ORw)+(R642/MAX(R:R)*_DRw),"")</f>
        <v/>
      </c>
      <c r="N642" s="156">
        <f>IFERROR(VLOOKUP(H642,Matrix!A:AC,12,0)-VLOOKUP(J642,Matrix!A:AC,12,0),"")</f>
        <v/>
      </c>
      <c r="O642" s="182">
        <f>IFERROR(AVERAGEIFS(2025Schedule!O:O,2025Schedule!E:E,H642,2025Schedule!N:N,A642)-AVERAGEIFS(2025Schedule!O:O,2025Schedule!E:E,J642,2025Schedule!N:N,B642),0)</f>
        <v/>
      </c>
      <c r="P642" s="156">
        <f>IFERROR(VLOOKUP(H642,Matrix!A:D,2,0)-VLOOKUP(J642,Matrix!A:D,2,0),"")</f>
        <v/>
      </c>
      <c r="Q642" s="156">
        <f>IFERROR(VLOOKUP(H642,Matrix!A:AC,15,0)-VLOOKUP(J642,Matrix!A:AC,15,0),"")</f>
        <v/>
      </c>
      <c r="R642" s="156">
        <f>IFERROR(VLOOKUP(H642,Matrix!A:AC,16,0)-VLOOKUP(J642,Matrix!A:AC,16,0),"")</f>
        <v/>
      </c>
      <c r="S642" s="195">
        <f>H642</f>
        <v/>
      </c>
      <c r="T642" s="195">
        <f>IFERROR(VLOOKUP(G642&amp;H642,2025Schedule!A:F,6,0),"")</f>
        <v/>
      </c>
      <c r="U642" s="264">
        <f>J642</f>
        <v/>
      </c>
      <c r="V642" s="195">
        <f>IFERROR(VLOOKUP(G642&amp;J642,2025Schedule!A:F,6,0),"")</f>
        <v/>
      </c>
    </row>
    <row r="643" ht="14.4" customHeight="1" s="152">
      <c r="A643" s="241">
        <f>H643&amp;I643</f>
        <v/>
      </c>
      <c r="B643" s="241">
        <f>J643&amp;C643</f>
        <v/>
      </c>
      <c r="C643" s="241">
        <f>IFERROR(IF(I643="Home","Away",IF(I643="Away","Home","")),"")</f>
        <v/>
      </c>
      <c r="D643" s="242">
        <f>H643</f>
        <v/>
      </c>
      <c r="E643" s="157">
        <f>IFERROR(IF(AND(F643&gt;0,T643&gt;V643),"Yes",IF(AND(F643&gt;0,T643&lt;V643),"No",IF(AND(F643&lt;0,T643&lt;V643),"Yes",IF(AND(F643&lt;0,T643&gt;V643),"No",0)))),"")</f>
        <v/>
      </c>
      <c r="F643" s="263">
        <f>IFERROR((N643/MAX(N:N)*_MOVw)+(O643/MAX(O:O)*_WINw)+(P643/MAX(P:P)*_PPGw)+(Q643/MAX(Q:Q)*_ORw)+(R643/MAX(R:R)*_DRw),"")</f>
        <v/>
      </c>
      <c r="N643" s="156">
        <f>IFERROR(VLOOKUP(H643,Matrix!A:AC,12,0)-VLOOKUP(J643,Matrix!A:AC,12,0),"")</f>
        <v/>
      </c>
      <c r="O643" s="182">
        <f>IFERROR(AVERAGEIFS(2025Schedule!O:O,2025Schedule!E:E,H643,2025Schedule!N:N,A643)-AVERAGEIFS(2025Schedule!O:O,2025Schedule!E:E,J643,2025Schedule!N:N,B643),0)</f>
        <v/>
      </c>
      <c r="P643" s="156">
        <f>IFERROR(VLOOKUP(H643,Matrix!A:D,2,0)-VLOOKUP(J643,Matrix!A:D,2,0),"")</f>
        <v/>
      </c>
      <c r="Q643" s="156">
        <f>IFERROR(VLOOKUP(H643,Matrix!A:AC,15,0)-VLOOKUP(J643,Matrix!A:AC,15,0),"")</f>
        <v/>
      </c>
      <c r="R643" s="156">
        <f>IFERROR(VLOOKUP(H643,Matrix!A:AC,16,0)-VLOOKUP(J643,Matrix!A:AC,16,0),"")</f>
        <v/>
      </c>
      <c r="S643" s="195">
        <f>H643</f>
        <v/>
      </c>
      <c r="T643" s="195">
        <f>IFERROR(VLOOKUP(G643&amp;H643,2025Schedule!A:F,6,0),"")</f>
        <v/>
      </c>
      <c r="U643" s="264">
        <f>J643</f>
        <v/>
      </c>
      <c r="V643" s="195">
        <f>IFERROR(VLOOKUP(G643&amp;J643,2025Schedule!A:F,6,0),"")</f>
        <v/>
      </c>
    </row>
    <row r="644" ht="14.4" customHeight="1" s="152">
      <c r="A644" s="241">
        <f>H644&amp;I644</f>
        <v/>
      </c>
      <c r="B644" s="241">
        <f>J644&amp;C644</f>
        <v/>
      </c>
      <c r="C644" s="241">
        <f>IFERROR(IF(I644="Home","Away",IF(I644="Away","Home","")),"")</f>
        <v/>
      </c>
      <c r="D644" s="242">
        <f>H644</f>
        <v/>
      </c>
      <c r="E644" s="157">
        <f>IFERROR(IF(AND(F644&gt;0,T644&gt;V644),"Yes",IF(AND(F644&gt;0,T644&lt;V644),"No",IF(AND(F644&lt;0,T644&lt;V644),"Yes",IF(AND(F644&lt;0,T644&gt;V644),"No",0)))),"")</f>
        <v/>
      </c>
      <c r="F644" s="263">
        <f>IFERROR((N644/MAX(N:N)*_MOVw)+(O644/MAX(O:O)*_WINw)+(P644/MAX(P:P)*_PPGw)+(Q644/MAX(Q:Q)*_ORw)+(R644/MAX(R:R)*_DRw),"")</f>
        <v/>
      </c>
      <c r="N644" s="156">
        <f>IFERROR(VLOOKUP(H644,Matrix!A:AC,12,0)-VLOOKUP(J644,Matrix!A:AC,12,0),"")</f>
        <v/>
      </c>
      <c r="O644" s="182">
        <f>IFERROR(AVERAGEIFS(2025Schedule!O:O,2025Schedule!E:E,H644,2025Schedule!N:N,A644)-AVERAGEIFS(2025Schedule!O:O,2025Schedule!E:E,J644,2025Schedule!N:N,B644),0)</f>
        <v/>
      </c>
      <c r="P644" s="156">
        <f>IFERROR(VLOOKUP(H644,Matrix!A:D,2,0)-VLOOKUP(J644,Matrix!A:D,2,0),"")</f>
        <v/>
      </c>
      <c r="Q644" s="156">
        <f>IFERROR(VLOOKUP(H644,Matrix!A:AC,15,0)-VLOOKUP(J644,Matrix!A:AC,15,0),"")</f>
        <v/>
      </c>
      <c r="R644" s="156">
        <f>IFERROR(VLOOKUP(H644,Matrix!A:AC,16,0)-VLOOKUP(J644,Matrix!A:AC,16,0),"")</f>
        <v/>
      </c>
      <c r="S644" s="195">
        <f>H644</f>
        <v/>
      </c>
      <c r="T644" s="195">
        <f>IFERROR(VLOOKUP(G644&amp;H644,2025Schedule!A:F,6,0),"")</f>
        <v/>
      </c>
      <c r="U644" s="264">
        <f>J644</f>
        <v/>
      </c>
      <c r="V644" s="195">
        <f>IFERROR(VLOOKUP(G644&amp;J644,2025Schedule!A:F,6,0),"")</f>
        <v/>
      </c>
    </row>
    <row r="645" ht="14.4" customHeight="1" s="152">
      <c r="A645" s="241">
        <f>H645&amp;I645</f>
        <v/>
      </c>
      <c r="B645" s="241">
        <f>J645&amp;C645</f>
        <v/>
      </c>
      <c r="C645" s="241">
        <f>IFERROR(IF(I645="Home","Away",IF(I645="Away","Home","")),"")</f>
        <v/>
      </c>
      <c r="D645" s="242">
        <f>H645</f>
        <v/>
      </c>
      <c r="E645" s="157">
        <f>IFERROR(IF(AND(F645&gt;0,T645&gt;V645),"Yes",IF(AND(F645&gt;0,T645&lt;V645),"No",IF(AND(F645&lt;0,T645&lt;V645),"Yes",IF(AND(F645&lt;0,T645&gt;V645),"No",0)))),"")</f>
        <v/>
      </c>
      <c r="F645" s="263">
        <f>IFERROR((N645/MAX(N:N)*_MOVw)+(O645/MAX(O:O)*_WINw)+(P645/MAX(P:P)*_PPGw)+(Q645/MAX(Q:Q)*_ORw)+(R645/MAX(R:R)*_DRw),"")</f>
        <v/>
      </c>
      <c r="N645" s="156">
        <f>IFERROR(VLOOKUP(H645,Matrix!A:AC,12,0)-VLOOKUP(J645,Matrix!A:AC,12,0),"")</f>
        <v/>
      </c>
      <c r="O645" s="182">
        <f>IFERROR(AVERAGEIFS(2025Schedule!O:O,2025Schedule!E:E,H645,2025Schedule!N:N,A645)-AVERAGEIFS(2025Schedule!O:O,2025Schedule!E:E,J645,2025Schedule!N:N,B645),0)</f>
        <v/>
      </c>
      <c r="P645" s="156">
        <f>IFERROR(VLOOKUP(H645,Matrix!A:D,2,0)-VLOOKUP(J645,Matrix!A:D,2,0),"")</f>
        <v/>
      </c>
      <c r="Q645" s="156">
        <f>IFERROR(VLOOKUP(H645,Matrix!A:AC,15,0)-VLOOKUP(J645,Matrix!A:AC,15,0),"")</f>
        <v/>
      </c>
      <c r="R645" s="156">
        <f>IFERROR(VLOOKUP(H645,Matrix!A:AC,16,0)-VLOOKUP(J645,Matrix!A:AC,16,0),"")</f>
        <v/>
      </c>
      <c r="S645" s="195">
        <f>H645</f>
        <v/>
      </c>
      <c r="T645" s="195">
        <f>IFERROR(VLOOKUP(G645&amp;H645,2025Schedule!A:F,6,0),"")</f>
        <v/>
      </c>
      <c r="U645" s="264">
        <f>J645</f>
        <v/>
      </c>
      <c r="V645" s="195">
        <f>IFERROR(VLOOKUP(G645&amp;J645,2025Schedule!A:F,6,0),"")</f>
        <v/>
      </c>
    </row>
    <row r="646" ht="14.4" customHeight="1" s="152">
      <c r="A646" s="241">
        <f>H646&amp;I646</f>
        <v/>
      </c>
      <c r="B646" s="241">
        <f>J646&amp;C646</f>
        <v/>
      </c>
      <c r="C646" s="241">
        <f>IFERROR(IF(I646="Home","Away",IF(I646="Away","Home","")),"")</f>
        <v/>
      </c>
      <c r="D646" s="242">
        <f>H646</f>
        <v/>
      </c>
      <c r="E646" s="157">
        <f>IFERROR(IF(AND(F646&gt;0,T646&gt;V646),"Yes",IF(AND(F646&gt;0,T646&lt;V646),"No",IF(AND(F646&lt;0,T646&lt;V646),"Yes",IF(AND(F646&lt;0,T646&gt;V646),"No",0)))),"")</f>
        <v/>
      </c>
      <c r="F646" s="263">
        <f>IFERROR((N646/MAX(N:N)*_MOVw)+(O646/MAX(O:O)*_WINw)+(P646/MAX(P:P)*_PPGw)+(Q646/MAX(Q:Q)*_ORw)+(R646/MAX(R:R)*_DRw),"")</f>
        <v/>
      </c>
      <c r="N646" s="156">
        <f>IFERROR(VLOOKUP(H646,Matrix!A:AC,12,0)-VLOOKUP(J646,Matrix!A:AC,12,0),"")</f>
        <v/>
      </c>
      <c r="O646" s="182">
        <f>IFERROR(AVERAGEIFS(2025Schedule!O:O,2025Schedule!E:E,H646,2025Schedule!N:N,A646)-AVERAGEIFS(2025Schedule!O:O,2025Schedule!E:E,J646,2025Schedule!N:N,B646),0)</f>
        <v/>
      </c>
      <c r="P646" s="156">
        <f>IFERROR(VLOOKUP(H646,Matrix!A:D,2,0)-VLOOKUP(J646,Matrix!A:D,2,0),"")</f>
        <v/>
      </c>
      <c r="Q646" s="156">
        <f>IFERROR(VLOOKUP(H646,Matrix!A:AC,15,0)-VLOOKUP(J646,Matrix!A:AC,15,0),"")</f>
        <v/>
      </c>
      <c r="R646" s="156">
        <f>IFERROR(VLOOKUP(H646,Matrix!A:AC,16,0)-VLOOKUP(J646,Matrix!A:AC,16,0),"")</f>
        <v/>
      </c>
      <c r="S646" s="195">
        <f>H646</f>
        <v/>
      </c>
      <c r="T646" s="195">
        <f>IFERROR(VLOOKUP(G646&amp;H646,2025Schedule!A:F,6,0),"")</f>
        <v/>
      </c>
      <c r="U646" s="264">
        <f>J646</f>
        <v/>
      </c>
      <c r="V646" s="195">
        <f>IFERROR(VLOOKUP(G646&amp;J646,2025Schedule!A:F,6,0),"")</f>
        <v/>
      </c>
    </row>
    <row r="647" ht="14.4" customHeight="1" s="152">
      <c r="A647" s="241">
        <f>H647&amp;I647</f>
        <v/>
      </c>
      <c r="B647" s="241">
        <f>J647&amp;C647</f>
        <v/>
      </c>
      <c r="C647" s="241">
        <f>IFERROR(IF(I647="Home","Away",IF(I647="Away","Home","")),"")</f>
        <v/>
      </c>
      <c r="D647" s="242">
        <f>H647</f>
        <v/>
      </c>
      <c r="E647" s="157">
        <f>IFERROR(IF(AND(F647&gt;0,T647&gt;V647),"Yes",IF(AND(F647&gt;0,T647&lt;V647),"No",IF(AND(F647&lt;0,T647&lt;V647),"Yes",IF(AND(F647&lt;0,T647&gt;V647),"No",0)))),"")</f>
        <v/>
      </c>
      <c r="F647" s="263">
        <f>IFERROR((N647/MAX(N:N)*_MOVw)+(O647/MAX(O:O)*_WINw)+(P647/MAX(P:P)*_PPGw)+(Q647/MAX(Q:Q)*_ORw)+(R647/MAX(R:R)*_DRw),"")</f>
        <v/>
      </c>
      <c r="N647" s="156">
        <f>IFERROR(VLOOKUP(H647,Matrix!A:AC,12,0)-VLOOKUP(J647,Matrix!A:AC,12,0),"")</f>
        <v/>
      </c>
      <c r="O647" s="182">
        <f>IFERROR(AVERAGEIFS(2025Schedule!O:O,2025Schedule!E:E,H647,2025Schedule!N:N,A647)-AVERAGEIFS(2025Schedule!O:O,2025Schedule!E:E,J647,2025Schedule!N:N,B647),0)</f>
        <v/>
      </c>
      <c r="P647" s="156">
        <f>IFERROR(VLOOKUP(H647,Matrix!A:D,2,0)-VLOOKUP(J647,Matrix!A:D,2,0),"")</f>
        <v/>
      </c>
      <c r="Q647" s="156">
        <f>IFERROR(VLOOKUP(H647,Matrix!A:AC,15,0)-VLOOKUP(J647,Matrix!A:AC,15,0),"")</f>
        <v/>
      </c>
      <c r="R647" s="156">
        <f>IFERROR(VLOOKUP(H647,Matrix!A:AC,16,0)-VLOOKUP(J647,Matrix!A:AC,16,0),"")</f>
        <v/>
      </c>
      <c r="S647" s="195">
        <f>H647</f>
        <v/>
      </c>
      <c r="T647" s="195">
        <f>IFERROR(VLOOKUP(G647&amp;H647,2025Schedule!A:F,6,0),"")</f>
        <v/>
      </c>
      <c r="U647" s="264">
        <f>J647</f>
        <v/>
      </c>
      <c r="V647" s="195">
        <f>IFERROR(VLOOKUP(G647&amp;J647,2025Schedule!A:F,6,0),"")</f>
        <v/>
      </c>
    </row>
    <row r="648" ht="14.4" customHeight="1" s="152">
      <c r="A648" s="241">
        <f>H648&amp;I648</f>
        <v/>
      </c>
      <c r="B648" s="241">
        <f>J648&amp;C648</f>
        <v/>
      </c>
      <c r="C648" s="241">
        <f>IFERROR(IF(I648="Home","Away",IF(I648="Away","Home","")),"")</f>
        <v/>
      </c>
      <c r="D648" s="242">
        <f>H648</f>
        <v/>
      </c>
      <c r="E648" s="157">
        <f>IFERROR(IF(AND(F648&gt;0,T648&gt;V648),"Yes",IF(AND(F648&gt;0,T648&lt;V648),"No",IF(AND(F648&lt;0,T648&lt;V648),"Yes",IF(AND(F648&lt;0,T648&gt;V648),"No",0)))),"")</f>
        <v/>
      </c>
      <c r="F648" s="263">
        <f>IFERROR((N648/MAX(N:N)*_MOVw)+(O648/MAX(O:O)*_WINw)+(P648/MAX(P:P)*_PPGw)+(Q648/MAX(Q:Q)*_ORw)+(R648/MAX(R:R)*_DRw),"")</f>
        <v/>
      </c>
      <c r="N648" s="156">
        <f>IFERROR(VLOOKUP(H648,Matrix!A:AC,12,0)-VLOOKUP(J648,Matrix!A:AC,12,0),"")</f>
        <v/>
      </c>
      <c r="O648" s="182">
        <f>IFERROR(AVERAGEIFS(2025Schedule!O:O,2025Schedule!E:E,H648,2025Schedule!N:N,A648)-AVERAGEIFS(2025Schedule!O:O,2025Schedule!E:E,J648,2025Schedule!N:N,B648),0)</f>
        <v/>
      </c>
      <c r="P648" s="156">
        <f>IFERROR(VLOOKUP(H648,Matrix!A:D,2,0)-VLOOKUP(J648,Matrix!A:D,2,0),"")</f>
        <v/>
      </c>
      <c r="Q648" s="156">
        <f>IFERROR(VLOOKUP(H648,Matrix!A:AC,15,0)-VLOOKUP(J648,Matrix!A:AC,15,0),"")</f>
        <v/>
      </c>
      <c r="R648" s="156">
        <f>IFERROR(VLOOKUP(H648,Matrix!A:AC,16,0)-VLOOKUP(J648,Matrix!A:AC,16,0),"")</f>
        <v/>
      </c>
      <c r="S648" s="195">
        <f>H648</f>
        <v/>
      </c>
      <c r="T648" s="195">
        <f>IFERROR(VLOOKUP(G648&amp;H648,2025Schedule!A:F,6,0),"")</f>
        <v/>
      </c>
      <c r="U648" s="264">
        <f>J648</f>
        <v/>
      </c>
      <c r="V648" s="195">
        <f>IFERROR(VLOOKUP(G648&amp;J648,2025Schedule!A:F,6,0),"")</f>
        <v/>
      </c>
    </row>
  </sheetData>
  <mergeCells count="1">
    <mergeCell ref="N3:R3"/>
  </mergeCells>
  <conditionalFormatting sqref="E1:E1048576">
    <cfRule type="containsText" rank="0" priority="2" equalAverage="0" operator="containsText" aboveAverage="0" dxfId="1" text="No" percent="0" bottom="0">
      <formula>NOT(ISERROR(SEARCH("No",E1)))</formula>
    </cfRule>
    <cfRule type="containsText" rank="0" priority="3" equalAverage="0" operator="containsText" aboveAverage="0" dxfId="0" text="Yes" percent="0" bottom="0">
      <formula>NOT(ISERROR(SEARCH("Yes",E1)))</formula>
    </cfRule>
  </conditionalFormatting>
  <conditionalFormatting sqref="F6:F648">
    <cfRule type="dataBar" priority="4">
      <dataBar minLength="10" maxLength="90" showValue="1">
        <cfvo type="min" val="0"/>
        <cfvo type="max" val="0"/>
        <color rgb="FFB4C7E7"/>
      </dataBar>
    </cfRule>
  </conditionalFormatting>
  <conditionalFormatting sqref="G1:G2">
    <cfRule type="dataBar" priority="5">
      <dataBar minLength="10" maxLength="90" showValue="1">
        <cfvo type="min" val="0"/>
        <cfvo type="max" val="0"/>
        <color rgb="FF63C384"/>
      </dataBar>
    </cfRule>
  </conditionalFormatting>
  <conditionalFormatting sqref="M6:M1048576">
    <cfRule type="containsText" rank="0" priority="6" equalAverage="0" operator="containsText" aboveAverage="0" dxfId="0" text="Yes" percent="0" bottom="0">
      <formula>NOT(ISERROR(SEARCH("Yes",M6)))</formula>
    </cfRule>
    <cfRule type="containsText" rank="0" priority="7" equalAverage="0" operator="containsText" aboveAverage="0" dxfId="1" text="No" percent="0" bottom="0">
      <formula>NOT(ISERROR(SEARCH("No",M6)))</formula>
    </cfRule>
  </conditionalFormatting>
  <conditionalFormatting sqref="N4:R4">
    <cfRule type="colorScale" priority="8">
      <colorScale>
        <cfvo type="min" val="0"/>
        <cfvo type="percentile" val="50"/>
        <cfvo type="max" val="0"/>
        <color rgb="FFF8696B"/>
        <color rgb="FFFFEB84"/>
        <color rgb="FF63BE7B"/>
      </colorScale>
    </cfRule>
  </conditionalFormatting>
  <conditionalFormatting sqref="N51:R648 O6:R50">
    <cfRule type="colorScale" priority="9">
      <colorScale>
        <cfvo type="min" val="0"/>
        <cfvo type="percentile" val="50"/>
        <cfvo type="max" val="0"/>
        <color rgb="FFFF9999"/>
        <color rgb="FFFFEB84"/>
        <color rgb="FF63BE7B"/>
      </colorScale>
    </cfRule>
  </conditionalFormatting>
  <conditionalFormatting sqref="S4">
    <cfRule type="cellIs" rank="0" priority="10" equalAverage="0" operator="equal" aboveAverage="0" dxfId="0" text="" percent="0" bottom="0">
      <formula>1</formula>
    </cfRule>
  </conditionalFormatting>
  <conditionalFormatting sqref="S6:S648">
    <cfRule type="expression" rank="0" priority="11" equalAverage="0" aboveAverage="0" dxfId="4" text="" percent="0" bottom="0">
      <formula>T6&lt;V6</formula>
    </cfRule>
    <cfRule type="expression" rank="0" priority="12" equalAverage="0" aboveAverage="0" dxfId="5" text="" percent="0" bottom="0">
      <formula>T6&gt;V6</formula>
    </cfRule>
  </conditionalFormatting>
  <conditionalFormatting sqref="T1:T1048576 V1:V1048576">
    <cfRule type="dataBar" priority="13">
      <dataBar minLength="10" maxLength="90" showValue="1">
        <cfvo type="min" val="0"/>
        <cfvo type="max" val="0"/>
        <color rgb="FFFBE5D6"/>
      </dataBar>
    </cfRule>
  </conditionalFormatting>
  <conditionalFormatting sqref="U6:U648">
    <cfRule type="expression" rank="0" priority="14" equalAverage="0" aboveAverage="0" dxfId="4" text="" percent="0" bottom="0">
      <formula>V6&lt;T6</formula>
    </cfRule>
    <cfRule type="expression" rank="0" priority="15" equalAverage="0" aboveAverage="0" dxfId="5" text="" percent="0" bottom="0">
      <formula>V6&gt;T6</formula>
    </cfRule>
  </conditionalFormatting>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tabColor rgb="FF548235"/>
    <outlinePr summaryBelow="1" summaryRight="1"/>
    <pageSetUpPr fitToPage="0"/>
  </sheetPr>
  <dimension ref="A1:U58"/>
  <sheetViews>
    <sheetView showFormulas="0" showGridLines="0" showRowColHeaders="1" showZeros="1" rightToLeft="0" tabSelected="0" showOutlineSymbols="1" defaultGridColor="1" view="normal" topLeftCell="A1" colorId="64" zoomScale="95" zoomScaleNormal="95" zoomScalePageLayoutView="100" workbookViewId="0">
      <pane xSplit="0" ySplit="2" topLeftCell="A3" activePane="bottomLeft" state="frozen"/>
      <selection pane="topLeft" activeCell="A1" activeCellId="0" sqref="A1"/>
      <selection pane="bottomLeft" activeCell="O11" activeCellId="0" sqref="O11"/>
    </sheetView>
  </sheetViews>
  <sheetFormatPr baseColWidth="8" defaultColWidth="8.796875" defaultRowHeight="14.4" zeroHeight="0" outlineLevelRow="0"/>
  <cols>
    <col width="25.89" customWidth="1" style="156" min="1" max="1"/>
    <col width="4.56" customWidth="1" style="156" min="2" max="3"/>
    <col width="3.89" customWidth="1" style="156" min="4" max="4"/>
    <col width="6.88" customWidth="1" style="156" min="5" max="5"/>
    <col width="5.43" customWidth="1" style="156" min="6" max="6"/>
    <col width="8.109999999999999" customWidth="1" style="156" min="7" max="7"/>
    <col width="5.43" customWidth="1" style="156" min="8" max="8"/>
    <col width="7.11" customWidth="1" style="156" min="9" max="9"/>
    <col width="8.44" customWidth="1" style="156" min="10" max="10"/>
    <col width="10.45" customWidth="1" style="156" min="11" max="11"/>
    <col width="8.56" customWidth="1" style="156" min="12" max="12"/>
    <col width="9.56" customWidth="1" style="156" min="13" max="13"/>
    <col width="10" customWidth="1" style="156" min="14" max="14"/>
    <col width="13.43" customWidth="1" style="156" min="15" max="15"/>
    <col width="10.33" customWidth="1" style="156" min="16" max="16"/>
  </cols>
  <sheetData>
    <row r="1" ht="14.4" customHeight="1" s="152">
      <c r="A1" s="156" t="inlineStr">
        <is>
          <t>https://www.pro-football-reference.com/years/2024/index.htm</t>
        </is>
      </c>
      <c r="N1" s="265" t="n">
        <v>35</v>
      </c>
      <c r="O1" s="156" t="inlineStr">
        <is>
          <t>Adjusters</t>
        </is>
      </c>
      <c r="P1" s="156">
        <f>_ARating</f>
        <v/>
      </c>
      <c r="R1" s="156">
        <f>_ARating</f>
        <v/>
      </c>
    </row>
    <row r="2" ht="41.4" customHeight="1" s="152">
      <c r="A2" s="266" t="inlineStr">
        <is>
          <t>Tm</t>
        </is>
      </c>
      <c r="B2" s="267" t="inlineStr">
        <is>
          <t>W</t>
        </is>
      </c>
      <c r="C2" s="267" t="inlineStr">
        <is>
          <t>L</t>
        </is>
      </c>
      <c r="D2" s="267" t="inlineStr">
        <is>
          <t>T</t>
        </is>
      </c>
      <c r="E2" s="163" t="inlineStr">
        <is>
          <t>W-L%</t>
        </is>
      </c>
      <c r="F2" s="267" t="inlineStr">
        <is>
          <t>PF</t>
        </is>
      </c>
      <c r="G2" s="267" t="inlineStr">
        <is>
          <t>PA</t>
        </is>
      </c>
      <c r="H2" s="267" t="inlineStr">
        <is>
          <t>PD</t>
        </is>
      </c>
      <c r="I2" s="267" t="inlineStr">
        <is>
          <t>MOV</t>
        </is>
      </c>
      <c r="J2" s="268" t="inlineStr">
        <is>
          <t>SOS</t>
        </is>
      </c>
      <c r="K2" s="163" t="inlineStr">
        <is>
          <t>SRS</t>
        </is>
      </c>
      <c r="L2" s="268" t="inlineStr">
        <is>
          <t>O Rating</t>
        </is>
      </c>
      <c r="M2" s="268" t="inlineStr">
        <is>
          <t>D Rating</t>
        </is>
      </c>
      <c r="N2" s="269" t="inlineStr">
        <is>
          <t>Adj Rating</t>
        </is>
      </c>
      <c r="O2" s="270" t="inlineStr">
        <is>
          <t>Reduce Opp Score %</t>
        </is>
      </c>
      <c r="P2" s="270" t="inlineStr">
        <is>
          <t>Adj SOS Rating</t>
        </is>
      </c>
      <c r="Q2" s="270" t="inlineStr">
        <is>
          <t>ADJ SOS Factor</t>
        </is>
      </c>
      <c r="R2" s="270" t="inlineStr">
        <is>
          <t>ADJ Off Rating</t>
        </is>
      </c>
      <c r="S2" s="270" t="inlineStr">
        <is>
          <t>ADJ Off Factor</t>
        </is>
      </c>
      <c r="T2" s="156" t="inlineStr">
        <is>
          <t>PF/G</t>
        </is>
      </c>
      <c r="U2" s="156" t="inlineStr">
        <is>
          <t>PA/G</t>
        </is>
      </c>
    </row>
    <row r="3" ht="14.4" customHeight="1" s="152">
      <c r="A3" s="271" t="inlineStr">
        <is>
          <t>Arizona Cardinals</t>
        </is>
      </c>
      <c r="B3" s="215" t="n">
        <v>8.4</v>
      </c>
      <c r="C3" s="215" t="n">
        <v>8.5</v>
      </c>
      <c r="E3" s="215" t="n">
        <v>0.471</v>
      </c>
      <c r="F3" s="215" t="n">
        <v>400</v>
      </c>
      <c r="G3" s="215" t="n">
        <v>379</v>
      </c>
      <c r="H3" s="215">
        <f>F3-G3</f>
        <v/>
      </c>
      <c r="I3" s="215" t="n">
        <v>1.2</v>
      </c>
      <c r="J3" s="215" t="n">
        <v>0.9</v>
      </c>
      <c r="K3" s="215" t="n">
        <v>2.1</v>
      </c>
      <c r="L3" s="215" t="n">
        <v>0.2</v>
      </c>
      <c r="M3" s="215" t="n">
        <v>-0.5</v>
      </c>
      <c r="N3" s="272">
        <f>M3+_ARating</f>
        <v/>
      </c>
      <c r="O3" s="156">
        <f>N3/AVERAGE(N:N)</f>
        <v/>
      </c>
      <c r="P3" s="156">
        <f>J3+_SoSAdj</f>
        <v/>
      </c>
      <c r="Q3" s="156">
        <f>P3/AVERAGE(P:P)</f>
        <v/>
      </c>
      <c r="R3" s="156">
        <f>L3+_OffAdj</f>
        <v/>
      </c>
      <c r="S3" s="156">
        <f>R3/AVERAGE(R:R)</f>
        <v/>
      </c>
      <c r="T3" s="156">
        <f>F3/17</f>
        <v/>
      </c>
      <c r="U3" s="156">
        <f>G3/17</f>
        <v/>
      </c>
    </row>
    <row r="4" ht="14.4" customHeight="1" s="152">
      <c r="A4" s="271" t="inlineStr">
        <is>
          <t>Atlanta Falcons</t>
        </is>
      </c>
      <c r="B4" s="215" t="n">
        <v>7.9</v>
      </c>
      <c r="C4" s="215" t="n">
        <v>9.1</v>
      </c>
      <c r="E4" s="215" t="n">
        <v>0.471</v>
      </c>
      <c r="F4" s="215" t="n">
        <v>389</v>
      </c>
      <c r="G4" s="215" t="n">
        <v>423</v>
      </c>
      <c r="H4" s="215">
        <f>F4-G4</f>
        <v/>
      </c>
      <c r="I4" s="215" t="n">
        <v>-2</v>
      </c>
      <c r="J4" s="215" t="n">
        <v>-0.2</v>
      </c>
      <c r="K4" s="215" t="n">
        <v>-2.2</v>
      </c>
      <c r="L4" s="215" t="n">
        <v>-1.8</v>
      </c>
      <c r="M4" s="215" t="n">
        <v>-0.8</v>
      </c>
      <c r="N4" s="272">
        <f>M4+_ARating</f>
        <v/>
      </c>
      <c r="O4" s="156">
        <f>N4/AVERAGE(N:N)</f>
        <v/>
      </c>
      <c r="P4" s="156">
        <f>J4+_SoSAdj</f>
        <v/>
      </c>
      <c r="Q4" s="156">
        <f>P4/AVERAGE(P:P)</f>
        <v/>
      </c>
      <c r="R4" s="156">
        <f>L4+_OffAdj</f>
        <v/>
      </c>
      <c r="S4" s="156">
        <f>R4/AVERAGE(R:R)</f>
        <v/>
      </c>
      <c r="T4" s="156">
        <f>F4/17</f>
        <v/>
      </c>
      <c r="U4" s="156">
        <f>G4/17</f>
        <v/>
      </c>
    </row>
    <row r="5" ht="14.4" customHeight="1" s="152">
      <c r="A5" s="271" t="inlineStr">
        <is>
          <t>Baltimore Ravens</t>
        </is>
      </c>
      <c r="B5" s="215" t="n">
        <v>10.5</v>
      </c>
      <c r="C5" s="215" t="n">
        <v>6.4</v>
      </c>
      <c r="E5" s="215" t="n">
        <v>0.706</v>
      </c>
      <c r="F5" s="215" t="n">
        <v>518</v>
      </c>
      <c r="G5" s="215" t="n">
        <v>361</v>
      </c>
      <c r="H5" s="215">
        <f>F5-G5</f>
        <v/>
      </c>
      <c r="I5" s="215" t="n">
        <v>9.199999999999999</v>
      </c>
      <c r="J5" s="215" t="n">
        <v>0.6</v>
      </c>
      <c r="K5" s="215" t="n">
        <v>9.9</v>
      </c>
      <c r="L5" s="215" t="n">
        <v>4.4</v>
      </c>
      <c r="M5" s="215" t="n">
        <v>1.2</v>
      </c>
      <c r="N5" s="272">
        <f>M5+_ARating</f>
        <v/>
      </c>
      <c r="O5" s="156">
        <f>N5/AVERAGE(N:N)</f>
        <v/>
      </c>
      <c r="P5" s="156">
        <f>J5+_SoSAdj</f>
        <v/>
      </c>
      <c r="Q5" s="156">
        <f>P5/AVERAGE(P:P)</f>
        <v/>
      </c>
      <c r="R5" s="156">
        <f>L5+_OffAdj</f>
        <v/>
      </c>
      <c r="S5" s="156">
        <f>R5/AVERAGE(R:R)</f>
        <v/>
      </c>
      <c r="T5" s="156">
        <f>F5/17</f>
        <v/>
      </c>
      <c r="U5" s="156">
        <f>G5/17</f>
        <v/>
      </c>
    </row>
    <row r="6" ht="14.4" customHeight="1" s="152">
      <c r="A6" s="271" t="inlineStr">
        <is>
          <t>Buffalo Bills</t>
        </is>
      </c>
      <c r="B6" s="215" t="n">
        <v>10.4</v>
      </c>
      <c r="C6" s="215" t="n">
        <v>6.5</v>
      </c>
      <c r="E6" s="215" t="n">
        <v>0.765</v>
      </c>
      <c r="F6" s="215" t="n">
        <v>525</v>
      </c>
      <c r="G6" s="215" t="n">
        <v>368</v>
      </c>
      <c r="H6" s="215">
        <f>F6-G6</f>
        <v/>
      </c>
      <c r="I6" s="215" t="n">
        <v>9.199999999999999</v>
      </c>
      <c r="J6" s="215" t="n">
        <v>-1.1</v>
      </c>
      <c r="K6" s="215" t="n">
        <v>8.1</v>
      </c>
      <c r="L6" s="215" t="n">
        <v>4.1</v>
      </c>
      <c r="M6" s="215" t="n">
        <v>0.4</v>
      </c>
      <c r="N6" s="272">
        <f>M6+_ARating</f>
        <v/>
      </c>
      <c r="O6" s="156">
        <f>N6/AVERAGE(N:N)</f>
        <v/>
      </c>
      <c r="P6" s="156">
        <f>J6+_SoSAdj</f>
        <v/>
      </c>
      <c r="Q6" s="156">
        <f>P6/AVERAGE(P:P)</f>
        <v/>
      </c>
      <c r="R6" s="156">
        <f>L6+_OffAdj</f>
        <v/>
      </c>
      <c r="S6" s="156">
        <f>R6/AVERAGE(R:R)</f>
        <v/>
      </c>
      <c r="T6" s="156">
        <f>F6/17</f>
        <v/>
      </c>
      <c r="U6" s="156">
        <f>G6/17</f>
        <v/>
      </c>
    </row>
    <row r="7" ht="14.4" customHeight="1" s="152">
      <c r="A7" s="271" t="inlineStr">
        <is>
          <t>Carolina Panthers</t>
        </is>
      </c>
      <c r="B7" s="215" t="n">
        <v>7.9</v>
      </c>
      <c r="C7" s="215" t="n">
        <v>9.1</v>
      </c>
      <c r="E7" s="215" t="n">
        <v>0.294</v>
      </c>
      <c r="F7" s="215" t="n">
        <v>341</v>
      </c>
      <c r="G7" s="215" t="n">
        <v>534</v>
      </c>
      <c r="H7" s="215">
        <f>F7-G7</f>
        <v/>
      </c>
      <c r="I7" s="215" t="n">
        <v>-11.4</v>
      </c>
      <c r="J7" s="215" t="n">
        <v>0.4</v>
      </c>
      <c r="K7" s="215" t="n">
        <v>-11</v>
      </c>
      <c r="L7" s="215" t="n">
        <v>-2.8</v>
      </c>
      <c r="M7" s="215" t="n">
        <v>-1.4</v>
      </c>
      <c r="N7" s="272">
        <f>M7+_ARating</f>
        <v/>
      </c>
      <c r="O7" s="156">
        <f>N7/AVERAGE(N:N)</f>
        <v/>
      </c>
      <c r="P7" s="156">
        <f>J7+_SoSAdj</f>
        <v/>
      </c>
      <c r="Q7" s="156">
        <f>P7/AVERAGE(P:P)</f>
        <v/>
      </c>
      <c r="R7" s="156">
        <f>L7+_OffAdj</f>
        <v/>
      </c>
      <c r="S7" s="156">
        <f>R7/AVERAGE(R:R)</f>
        <v/>
      </c>
      <c r="T7" s="156">
        <f>F7/17</f>
        <v/>
      </c>
      <c r="U7" s="156">
        <f>G7/17</f>
        <v/>
      </c>
    </row>
    <row r="8" ht="14.4" customHeight="1" s="152">
      <c r="A8" s="271" t="inlineStr">
        <is>
          <t>Chicago Bears</t>
        </is>
      </c>
      <c r="B8" s="215" t="n">
        <v>8.300000000000001</v>
      </c>
      <c r="C8" s="215" t="n">
        <v>8.699999999999999</v>
      </c>
      <c r="E8" s="215" t="n">
        <v>0.294</v>
      </c>
      <c r="F8" s="215" t="n">
        <v>310</v>
      </c>
      <c r="G8" s="215" t="n">
        <v>370</v>
      </c>
      <c r="H8" s="215">
        <f>F8-G8</f>
        <v/>
      </c>
      <c r="I8" s="215" t="n">
        <v>-3.5</v>
      </c>
      <c r="J8" s="215" t="n">
        <v>1.2</v>
      </c>
      <c r="K8" s="215" t="n">
        <v>-2.3</v>
      </c>
      <c r="L8" s="215" t="n">
        <v>-1</v>
      </c>
      <c r="M8" s="215" t="n">
        <v>1.2</v>
      </c>
      <c r="N8" s="272">
        <f>M8+_ARating</f>
        <v/>
      </c>
      <c r="O8" s="156">
        <f>N8/AVERAGE(N:N)</f>
        <v/>
      </c>
      <c r="P8" s="156">
        <f>J8+_SoSAdj</f>
        <v/>
      </c>
      <c r="Q8" s="156">
        <f>P8/AVERAGE(P:P)</f>
        <v/>
      </c>
      <c r="R8" s="156">
        <f>L8+_OffAdj</f>
        <v/>
      </c>
      <c r="S8" s="156">
        <f>R8/AVERAGE(R:R)</f>
        <v/>
      </c>
      <c r="T8" s="156">
        <f>F8/17</f>
        <v/>
      </c>
      <c r="U8" s="156">
        <f>G8/17</f>
        <v/>
      </c>
    </row>
    <row r="9" ht="14.4" customHeight="1" s="152">
      <c r="A9" s="271" t="inlineStr">
        <is>
          <t>Cincinnati Bengals</t>
        </is>
      </c>
      <c r="B9" s="215" t="n">
        <v>9</v>
      </c>
      <c r="C9" s="215" t="n">
        <v>8</v>
      </c>
      <c r="E9" s="215" t="n">
        <v>0.529</v>
      </c>
      <c r="F9" s="215" t="n">
        <v>472</v>
      </c>
      <c r="G9" s="215" t="n">
        <v>434</v>
      </c>
      <c r="H9" s="215">
        <f>F9-G9</f>
        <v/>
      </c>
      <c r="I9" s="215" t="n">
        <v>2.2</v>
      </c>
      <c r="J9" s="215" t="n">
        <v>-0.8</v>
      </c>
      <c r="K9" s="215" t="n">
        <v>1.4</v>
      </c>
      <c r="L9" s="215" t="n">
        <v>2.4</v>
      </c>
      <c r="M9" s="215" t="n">
        <v>-0.1</v>
      </c>
      <c r="N9" s="272">
        <f>M9+_ARating</f>
        <v/>
      </c>
      <c r="O9" s="156">
        <f>N9/AVERAGE(N:N)</f>
        <v/>
      </c>
      <c r="P9" s="156">
        <f>J9+_SoSAdj</f>
        <v/>
      </c>
      <c r="Q9" s="156">
        <f>P9/AVERAGE(P:P)</f>
        <v/>
      </c>
      <c r="R9" s="156">
        <f>L9+_OffAdj</f>
        <v/>
      </c>
      <c r="S9" s="156">
        <f>R9/AVERAGE(R:R)</f>
        <v/>
      </c>
      <c r="T9" s="156">
        <f>F9/17</f>
        <v/>
      </c>
      <c r="U9" s="156">
        <f>G9/17</f>
        <v/>
      </c>
    </row>
    <row r="10" ht="14.4" customHeight="1" s="152">
      <c r="A10" s="271" t="inlineStr">
        <is>
          <t>Cleveland Browns</t>
        </is>
      </c>
      <c r="B10" s="215" t="n">
        <v>6.1</v>
      </c>
      <c r="C10" s="215" t="n">
        <v>10.9</v>
      </c>
      <c r="E10" s="215" t="n">
        <v>0.176</v>
      </c>
      <c r="F10" s="215" t="n">
        <v>258</v>
      </c>
      <c r="G10" s="215" t="n">
        <v>435</v>
      </c>
      <c r="H10" s="215">
        <f>F10-G10</f>
        <v/>
      </c>
      <c r="I10" s="215" t="n">
        <v>-10.4</v>
      </c>
      <c r="J10" s="215" t="n">
        <v>1.2</v>
      </c>
      <c r="K10" s="215" t="n">
        <v>-9.199999999999999</v>
      </c>
      <c r="L10" s="215" t="n">
        <v>-4.3</v>
      </c>
      <c r="M10" s="215" t="n">
        <v>-0.4</v>
      </c>
      <c r="N10" s="272">
        <f>M10+_ARating</f>
        <v/>
      </c>
      <c r="O10" s="156">
        <f>N10/AVERAGE(N:N)</f>
        <v/>
      </c>
      <c r="P10" s="156">
        <f>J10+_SoSAdj</f>
        <v/>
      </c>
      <c r="Q10" s="156">
        <f>P10/AVERAGE(P:P)</f>
        <v/>
      </c>
      <c r="R10" s="156">
        <f>L10+_OffAdj</f>
        <v/>
      </c>
      <c r="S10" s="156">
        <f>R10/AVERAGE(R:R)</f>
        <v/>
      </c>
      <c r="T10" s="156">
        <f>F10/17</f>
        <v/>
      </c>
      <c r="U10" s="156">
        <f>G10/17</f>
        <v/>
      </c>
    </row>
    <row r="11" ht="14.4" customHeight="1" s="152">
      <c r="A11" s="271" t="inlineStr">
        <is>
          <t>Dallas Cowboys</t>
        </is>
      </c>
      <c r="B11" s="215" t="n">
        <v>8</v>
      </c>
      <c r="C11" s="215" t="n">
        <v>9</v>
      </c>
      <c r="E11" s="215" t="n">
        <v>0.412</v>
      </c>
      <c r="F11" s="215" t="n">
        <v>350</v>
      </c>
      <c r="G11" s="215" t="n">
        <v>468</v>
      </c>
      <c r="H11" s="215">
        <f>F11-G11</f>
        <v/>
      </c>
      <c r="I11" s="215" t="n">
        <v>-6.9</v>
      </c>
      <c r="J11" s="215" t="n">
        <v>0.6</v>
      </c>
      <c r="K11" s="215" t="n">
        <v>-6.3</v>
      </c>
      <c r="L11" s="215" t="n">
        <v>0.1</v>
      </c>
      <c r="M11" s="215" t="n">
        <v>-0.6</v>
      </c>
      <c r="N11" s="272">
        <f>M11+_ARating</f>
        <v/>
      </c>
      <c r="O11" s="156">
        <f>N11/AVERAGE(N:N)</f>
        <v/>
      </c>
      <c r="P11" s="156">
        <f>J11+_SoSAdj</f>
        <v/>
      </c>
      <c r="Q11" s="156">
        <f>P11/AVERAGE(P:P)</f>
        <v/>
      </c>
      <c r="R11" s="156">
        <f>L11+_OffAdj</f>
        <v/>
      </c>
      <c r="S11" s="156">
        <f>R11/AVERAGE(R:R)</f>
        <v/>
      </c>
      <c r="T11" s="156">
        <f>F11/17</f>
        <v/>
      </c>
      <c r="U11" s="156">
        <f>G11/17</f>
        <v/>
      </c>
    </row>
    <row r="12" ht="14.4" customHeight="1" s="152">
      <c r="A12" s="271" t="inlineStr">
        <is>
          <t>Denver Broncos</t>
        </is>
      </c>
      <c r="B12" s="215" t="n">
        <v>9</v>
      </c>
      <c r="C12" s="215" t="n">
        <v>8</v>
      </c>
      <c r="E12" s="215" t="n">
        <v>0.588</v>
      </c>
      <c r="F12" s="215" t="n">
        <v>425</v>
      </c>
      <c r="G12" s="215" t="n">
        <v>311</v>
      </c>
      <c r="H12" s="215">
        <f>F12-G12</f>
        <v/>
      </c>
      <c r="I12" s="215" t="n">
        <v>6.7</v>
      </c>
      <c r="J12" s="215" t="n">
        <v>-0.3</v>
      </c>
      <c r="K12" s="215" t="n">
        <v>6.4</v>
      </c>
      <c r="L12" s="215" t="n">
        <v>0.1</v>
      </c>
      <c r="M12" s="215" t="n">
        <v>1.2</v>
      </c>
      <c r="N12" s="272">
        <f>M12+_ARating</f>
        <v/>
      </c>
      <c r="O12" s="156">
        <f>N12/AVERAGE(N:N)</f>
        <v/>
      </c>
      <c r="P12" s="156">
        <f>J12+_SoSAdj</f>
        <v/>
      </c>
      <c r="Q12" s="156">
        <f>P12/AVERAGE(P:P)</f>
        <v/>
      </c>
      <c r="R12" s="156">
        <f>L12+_OffAdj</f>
        <v/>
      </c>
      <c r="S12" s="156">
        <f>R12/AVERAGE(R:R)</f>
        <v/>
      </c>
      <c r="T12" s="156">
        <f>F12/17</f>
        <v/>
      </c>
      <c r="U12" s="156">
        <f>G12/17</f>
        <v/>
      </c>
    </row>
    <row r="13" ht="14.4" customHeight="1" s="152">
      <c r="A13" s="271" t="inlineStr">
        <is>
          <t>Detroit Lions</t>
        </is>
      </c>
      <c r="B13" s="215" t="n">
        <v>9.4</v>
      </c>
      <c r="C13" s="215" t="n">
        <v>7.5</v>
      </c>
      <c r="E13" s="215" t="n">
        <v>0.882</v>
      </c>
      <c r="F13" s="215" t="n">
        <v>564</v>
      </c>
      <c r="G13" s="215" t="n">
        <v>342</v>
      </c>
      <c r="H13" s="215">
        <f>F13-G13</f>
        <v/>
      </c>
      <c r="I13" s="215" t="n">
        <v>13.1</v>
      </c>
      <c r="J13" s="215" t="n">
        <v>0.7</v>
      </c>
      <c r="K13" s="215" t="n">
        <v>13.8</v>
      </c>
      <c r="L13" s="215" t="n">
        <v>3.9</v>
      </c>
      <c r="M13" s="215" t="n">
        <v>0.6</v>
      </c>
      <c r="N13" s="272">
        <f>M13+_ARating</f>
        <v/>
      </c>
      <c r="O13" s="156">
        <f>N13/AVERAGE(N:N)</f>
        <v/>
      </c>
      <c r="P13" s="156">
        <f>J13+_SoSAdj</f>
        <v/>
      </c>
      <c r="Q13" s="156">
        <f>P13/AVERAGE(P:P)</f>
        <v/>
      </c>
      <c r="R13" s="156">
        <f>L13+_OffAdj</f>
        <v/>
      </c>
      <c r="S13" s="156">
        <f>R13/AVERAGE(R:R)</f>
        <v/>
      </c>
      <c r="T13" s="156">
        <f>F13/17</f>
        <v/>
      </c>
      <c r="U13" s="156">
        <f>G13/17</f>
        <v/>
      </c>
    </row>
    <row r="14" ht="14.4" customHeight="1" s="152">
      <c r="A14" s="271" t="inlineStr">
        <is>
          <t>Green Bay Packers</t>
        </is>
      </c>
      <c r="B14" s="215" t="n">
        <v>8.800000000000001</v>
      </c>
      <c r="C14" s="215" t="n">
        <v>8.199999999999999</v>
      </c>
      <c r="E14" s="215" t="n">
        <v>0.647</v>
      </c>
      <c r="F14" s="215" t="n">
        <v>460</v>
      </c>
      <c r="G14" s="215" t="n">
        <v>338</v>
      </c>
      <c r="H14" s="215">
        <f>F14-G14</f>
        <v/>
      </c>
      <c r="I14" s="215" t="n">
        <v>7.2</v>
      </c>
      <c r="J14" s="215" t="n">
        <v>0.9</v>
      </c>
      <c r="K14" s="215" t="n">
        <v>8.1</v>
      </c>
      <c r="L14" s="215" t="n">
        <v>1.7</v>
      </c>
      <c r="M14" s="215" t="n">
        <v>0.6</v>
      </c>
      <c r="N14" s="272">
        <f>M14+_ARating</f>
        <v/>
      </c>
      <c r="O14" s="156">
        <f>N14/AVERAGE(N:N)</f>
        <v/>
      </c>
      <c r="P14" s="156">
        <f>J14+_SoSAdj</f>
        <v/>
      </c>
      <c r="Q14" s="156">
        <f>P14/AVERAGE(P:P)</f>
        <v/>
      </c>
      <c r="R14" s="156">
        <f>L14+_OffAdj</f>
        <v/>
      </c>
      <c r="S14" s="156">
        <f>R14/AVERAGE(R:R)</f>
        <v/>
      </c>
      <c r="T14" s="156">
        <f>F14/17</f>
        <v/>
      </c>
      <c r="U14" s="156">
        <f>G14/17</f>
        <v/>
      </c>
    </row>
    <row r="15" ht="14.4" customHeight="1" s="152">
      <c r="A15" s="271" t="inlineStr">
        <is>
          <t>Houston Texans</t>
        </is>
      </c>
      <c r="B15" s="215" t="n">
        <v>8.9</v>
      </c>
      <c r="C15" s="215" t="n">
        <v>8.1</v>
      </c>
      <c r="E15" s="215" t="n">
        <v>0.588</v>
      </c>
      <c r="F15" s="215" t="n">
        <v>372</v>
      </c>
      <c r="G15" s="215" t="n">
        <v>372</v>
      </c>
      <c r="H15" s="215">
        <f>F15-G15</f>
        <v/>
      </c>
      <c r="I15" s="215" t="n">
        <v>0</v>
      </c>
      <c r="J15" s="215" t="n">
        <v>-0.7</v>
      </c>
      <c r="K15" s="215" t="n">
        <v>-0.7</v>
      </c>
      <c r="L15" s="215" t="n">
        <v>-0.4</v>
      </c>
      <c r="M15" s="215" t="n">
        <v>1.1</v>
      </c>
      <c r="N15" s="272">
        <f>M15+_ARating</f>
        <v/>
      </c>
      <c r="O15" s="156">
        <f>N15/AVERAGE(N:N)</f>
        <v/>
      </c>
      <c r="P15" s="156">
        <f>J15+_SoSAdj</f>
        <v/>
      </c>
      <c r="Q15" s="156">
        <f>P15/AVERAGE(P:P)</f>
        <v/>
      </c>
      <c r="R15" s="156">
        <f>L15+_OffAdj</f>
        <v/>
      </c>
      <c r="S15" s="156">
        <f>R15/AVERAGE(R:R)</f>
        <v/>
      </c>
      <c r="T15" s="156">
        <f>F15/17</f>
        <v/>
      </c>
      <c r="U15" s="156">
        <f>G15/17</f>
        <v/>
      </c>
    </row>
    <row r="16" ht="14.4" customHeight="1" s="152">
      <c r="A16" s="271" t="inlineStr">
        <is>
          <t>Indianapolis Colts</t>
        </is>
      </c>
      <c r="B16" s="215" t="n">
        <v>7.9</v>
      </c>
      <c r="C16" s="215" t="n">
        <v>9.1</v>
      </c>
      <c r="E16" s="215" t="n">
        <v>0.471</v>
      </c>
      <c r="F16" s="215" t="n">
        <v>377</v>
      </c>
      <c r="G16" s="215" t="n">
        <v>427</v>
      </c>
      <c r="H16" s="215">
        <f>F16-G16</f>
        <v/>
      </c>
      <c r="I16" s="215" t="n">
        <v>-2.9</v>
      </c>
      <c r="J16" s="215" t="n">
        <v>-0.7</v>
      </c>
      <c r="K16" s="215" t="n">
        <v>-3.7</v>
      </c>
      <c r="L16" s="215" t="n">
        <v>-1.7</v>
      </c>
      <c r="M16" s="215" t="n">
        <v>-0.4</v>
      </c>
      <c r="N16" s="272">
        <f>M16+_ARating</f>
        <v/>
      </c>
      <c r="O16" s="156">
        <f>N16/AVERAGE(N:N)</f>
        <v/>
      </c>
      <c r="P16" s="156">
        <f>J16+_SoSAdj</f>
        <v/>
      </c>
      <c r="Q16" s="156">
        <f>P16/AVERAGE(P:P)</f>
        <v/>
      </c>
      <c r="R16" s="156">
        <f>L16+_OffAdj</f>
        <v/>
      </c>
      <c r="S16" s="156">
        <f>R16/AVERAGE(R:R)</f>
        <v/>
      </c>
      <c r="T16" s="156">
        <f>F16/17</f>
        <v/>
      </c>
      <c r="U16" s="156">
        <f>G16/17</f>
        <v/>
      </c>
    </row>
    <row r="17" ht="14.4" customHeight="1" s="152">
      <c r="A17" s="271" t="inlineStr">
        <is>
          <t>Jacksonville Jaguars</t>
        </is>
      </c>
      <c r="B17" s="215" t="n">
        <v>8</v>
      </c>
      <c r="C17" s="215" t="n">
        <v>9</v>
      </c>
      <c r="E17" s="215" t="n">
        <v>0.235</v>
      </c>
      <c r="F17" s="215" t="n">
        <v>320</v>
      </c>
      <c r="G17" s="215" t="n">
        <v>435</v>
      </c>
      <c r="H17" s="215">
        <f>F17-G17</f>
        <v/>
      </c>
      <c r="I17" s="215" t="n">
        <v>-6.8</v>
      </c>
      <c r="J17" s="215" t="n">
        <v>-0.8</v>
      </c>
      <c r="K17" s="215" t="n">
        <v>-7.5</v>
      </c>
      <c r="L17" s="215" t="n">
        <v>-0.9</v>
      </c>
      <c r="M17" s="215" t="n">
        <v>-1</v>
      </c>
      <c r="N17" s="272">
        <f>M17+_ARating</f>
        <v/>
      </c>
      <c r="O17" s="156">
        <f>N17/AVERAGE(N:N)</f>
        <v/>
      </c>
      <c r="P17" s="156">
        <f>J17+_SoSAdj</f>
        <v/>
      </c>
      <c r="Q17" s="156">
        <f>P17/AVERAGE(P:P)</f>
        <v/>
      </c>
      <c r="R17" s="156">
        <f>L17+_OffAdj</f>
        <v/>
      </c>
      <c r="S17" s="156">
        <f>R17/AVERAGE(R:R)</f>
        <v/>
      </c>
      <c r="T17" s="156">
        <f>F17/17</f>
        <v/>
      </c>
      <c r="U17" s="156">
        <f>G17/17</f>
        <v/>
      </c>
    </row>
    <row r="18" ht="14.4" customHeight="1" s="152">
      <c r="A18" s="271" t="inlineStr">
        <is>
          <t>Kansas City Chiefs</t>
        </is>
      </c>
      <c r="B18" s="215" t="n">
        <v>10.2</v>
      </c>
      <c r="C18" s="215" t="n">
        <v>6.7</v>
      </c>
      <c r="E18" s="215" t="n">
        <v>0.882</v>
      </c>
      <c r="F18" s="215" t="n">
        <v>385</v>
      </c>
      <c r="G18" s="215" t="n">
        <v>326</v>
      </c>
      <c r="H18" s="215">
        <f>F18-G18</f>
        <v/>
      </c>
      <c r="I18" s="215" t="n">
        <v>3.5</v>
      </c>
      <c r="J18" s="215" t="n">
        <v>0.7</v>
      </c>
      <c r="K18" s="215" t="n">
        <v>4.2</v>
      </c>
      <c r="L18" s="215" t="n">
        <v>3.7</v>
      </c>
      <c r="M18" s="215" t="n">
        <v>1.4</v>
      </c>
      <c r="N18" s="272">
        <f>M18+_ARating</f>
        <v/>
      </c>
      <c r="O18" s="156">
        <f>N18/AVERAGE(N:N)</f>
        <v/>
      </c>
      <c r="P18" s="156">
        <f>J18+_SoSAdj</f>
        <v/>
      </c>
      <c r="Q18" s="156">
        <f>P18/AVERAGE(P:P)</f>
        <v/>
      </c>
      <c r="R18" s="156">
        <f>L18+_OffAdj</f>
        <v/>
      </c>
      <c r="S18" s="156">
        <f>R18/AVERAGE(R:R)</f>
        <v/>
      </c>
      <c r="T18" s="156">
        <f>F18/17</f>
        <v/>
      </c>
      <c r="U18" s="156">
        <f>G18/17</f>
        <v/>
      </c>
    </row>
    <row r="19" ht="14.4" customHeight="1" s="152">
      <c r="A19" s="271" t="inlineStr">
        <is>
          <t>Las Vegas Raiders</t>
        </is>
      </c>
      <c r="B19" s="215" t="n">
        <v>7.3</v>
      </c>
      <c r="C19" s="215" t="n">
        <v>9.699999999999999</v>
      </c>
      <c r="E19" s="215" t="n">
        <v>0.235</v>
      </c>
      <c r="F19" s="215" t="n">
        <v>309</v>
      </c>
      <c r="G19" s="215" t="n">
        <v>434</v>
      </c>
      <c r="H19" s="215">
        <f>F19-G19</f>
        <v/>
      </c>
      <c r="I19" s="215" t="n">
        <v>-7.4</v>
      </c>
      <c r="J19" s="215" t="n">
        <v>1</v>
      </c>
      <c r="K19" s="215" t="n">
        <v>-6.4</v>
      </c>
      <c r="L19" s="215" t="n">
        <v>-2</v>
      </c>
      <c r="M19" s="215" t="n">
        <v>-0.3</v>
      </c>
      <c r="N19" s="272">
        <f>M19+_ARating</f>
        <v/>
      </c>
      <c r="O19" s="156">
        <f>N19/AVERAGE(N:N)</f>
        <v/>
      </c>
      <c r="P19" s="156">
        <f>J19+_SoSAdj</f>
        <v/>
      </c>
      <c r="Q19" s="156">
        <f>P19/AVERAGE(P:P)</f>
        <v/>
      </c>
      <c r="R19" s="156">
        <f>L19+_OffAdj</f>
        <v/>
      </c>
      <c r="S19" s="156">
        <f>R19/AVERAGE(R:R)</f>
        <v/>
      </c>
      <c r="T19" s="156">
        <f>F19/17</f>
        <v/>
      </c>
      <c r="U19" s="156">
        <f>G19/17</f>
        <v/>
      </c>
    </row>
    <row r="20" ht="14.4" customHeight="1" s="152">
      <c r="A20" s="271" t="inlineStr">
        <is>
          <t>Los Angeles Chargers</t>
        </is>
      </c>
      <c r="B20" s="215" t="n">
        <v>9.1</v>
      </c>
      <c r="C20" s="215" t="n">
        <v>7.8</v>
      </c>
      <c r="E20" s="215" t="n">
        <v>0.647</v>
      </c>
      <c r="F20" s="215" t="n">
        <v>402</v>
      </c>
      <c r="G20" s="215" t="n">
        <v>301</v>
      </c>
      <c r="H20" s="215">
        <f>F20-G20</f>
        <v/>
      </c>
      <c r="I20" s="215" t="n">
        <v>5.9</v>
      </c>
      <c r="J20" s="215" t="n">
        <v>-0.6</v>
      </c>
      <c r="K20" s="215" t="n">
        <v>5.3</v>
      </c>
      <c r="L20" s="215" t="n">
        <v>0.9</v>
      </c>
      <c r="M20" s="215" t="n">
        <v>0.8</v>
      </c>
      <c r="N20" s="272">
        <f>M20+_ARating</f>
        <v/>
      </c>
      <c r="O20" s="156">
        <f>N20/AVERAGE(N:N)</f>
        <v/>
      </c>
      <c r="P20" s="156">
        <f>J20+_SoSAdj</f>
        <v/>
      </c>
      <c r="Q20" s="156">
        <f>P20/AVERAGE(P:P)</f>
        <v/>
      </c>
      <c r="R20" s="156">
        <f>L20+_OffAdj</f>
        <v/>
      </c>
      <c r="S20" s="156">
        <f>R20/AVERAGE(R:R)</f>
        <v/>
      </c>
      <c r="T20" s="156">
        <f>F20/17</f>
        <v/>
      </c>
      <c r="U20" s="156">
        <f>G20/17</f>
        <v/>
      </c>
    </row>
    <row r="21" ht="14.4" customHeight="1" s="152">
      <c r="A21" s="271" t="inlineStr">
        <is>
          <t>Los Angeles Rams</t>
        </is>
      </c>
      <c r="B21" s="215" t="n">
        <v>9.4</v>
      </c>
      <c r="C21" s="215" t="n">
        <v>7.5</v>
      </c>
      <c r="E21" s="215" t="n">
        <v>0.588</v>
      </c>
      <c r="F21" s="215" t="n">
        <v>367</v>
      </c>
      <c r="G21" s="215" t="n">
        <v>386</v>
      </c>
      <c r="H21" s="215">
        <f>F21-G21</f>
        <v/>
      </c>
      <c r="I21" s="215" t="n">
        <v>-1.1</v>
      </c>
      <c r="J21" s="215" t="n">
        <v>1.1</v>
      </c>
      <c r="K21" s="215" t="n">
        <v>-0.1</v>
      </c>
      <c r="L21" s="215" t="n">
        <v>1.6</v>
      </c>
      <c r="M21" s="215" t="n">
        <v>0.3</v>
      </c>
      <c r="N21" s="272">
        <f>M21+_ARating</f>
        <v/>
      </c>
      <c r="O21" s="156">
        <f>N21/AVERAGE(N:N)</f>
        <v/>
      </c>
      <c r="P21" s="156">
        <f>J21+_SoSAdj</f>
        <v/>
      </c>
      <c r="Q21" s="156">
        <f>P21/AVERAGE(P:P)</f>
        <v/>
      </c>
      <c r="R21" s="156">
        <f>L21+_OffAdj</f>
        <v/>
      </c>
      <c r="S21" s="156">
        <f>R21/AVERAGE(R:R)</f>
        <v/>
      </c>
      <c r="T21" s="156">
        <f>F21/17</f>
        <v/>
      </c>
      <c r="U21" s="156">
        <f>G21/17</f>
        <v/>
      </c>
    </row>
    <row r="22" ht="14.4" customHeight="1" s="152">
      <c r="A22" s="271" t="inlineStr">
        <is>
          <t>Miami Dolphins</t>
        </is>
      </c>
      <c r="B22" s="215" t="n">
        <v>8.1</v>
      </c>
      <c r="C22" s="215" t="n">
        <v>8.9</v>
      </c>
      <c r="E22" s="215" t="n">
        <v>0.471</v>
      </c>
      <c r="F22" s="215" t="n">
        <v>345</v>
      </c>
      <c r="G22" s="215" t="n">
        <v>364</v>
      </c>
      <c r="H22" s="215">
        <f>F22-G22</f>
        <v/>
      </c>
      <c r="I22" s="215" t="n">
        <v>-1.1</v>
      </c>
      <c r="J22" s="215" t="n">
        <v>-1.9</v>
      </c>
      <c r="K22" s="215" t="n">
        <v>-3</v>
      </c>
      <c r="L22" s="215" t="n">
        <v>-0.2</v>
      </c>
      <c r="M22" s="215" t="n">
        <v>-1.3</v>
      </c>
      <c r="N22" s="272">
        <f>M22+_ARating</f>
        <v/>
      </c>
      <c r="O22" s="156">
        <f>N22/AVERAGE(N:N)</f>
        <v/>
      </c>
      <c r="P22" s="156">
        <f>J22+_SoSAdj</f>
        <v/>
      </c>
      <c r="Q22" s="156">
        <f>P22/AVERAGE(P:P)</f>
        <v/>
      </c>
      <c r="R22" s="156">
        <f>L22+_OffAdj</f>
        <v/>
      </c>
      <c r="S22" s="156">
        <f>R22/AVERAGE(R:R)</f>
        <v/>
      </c>
      <c r="T22" s="156">
        <f>F22/17</f>
        <v/>
      </c>
      <c r="U22" s="156">
        <f>G22/17</f>
        <v/>
      </c>
    </row>
    <row r="23" ht="14.4" customHeight="1" s="152">
      <c r="A23" s="271" t="inlineStr">
        <is>
          <t>Minnesota Vikings</t>
        </is>
      </c>
      <c r="B23" s="215" t="n">
        <v>8.6</v>
      </c>
      <c r="C23" s="215" t="n">
        <v>8.4</v>
      </c>
      <c r="E23" s="215" t="n">
        <v>0.824</v>
      </c>
      <c r="F23" s="215" t="n">
        <v>432</v>
      </c>
      <c r="G23" s="215" t="n">
        <v>332</v>
      </c>
      <c r="H23" s="215">
        <f>F23-G23</f>
        <v/>
      </c>
      <c r="I23" s="215" t="n">
        <v>5.9</v>
      </c>
      <c r="J23" s="215" t="n">
        <v>0.3</v>
      </c>
      <c r="K23" s="215" t="n">
        <v>6.2</v>
      </c>
      <c r="L23" s="215" t="n">
        <v>-0.9</v>
      </c>
      <c r="M23" s="215" t="n">
        <v>1.9</v>
      </c>
      <c r="N23" s="272">
        <f>M23+_ARating</f>
        <v/>
      </c>
      <c r="O23" s="156">
        <f>N23/AVERAGE(N:N)</f>
        <v/>
      </c>
      <c r="P23" s="156">
        <f>J23+_SoSAdj</f>
        <v/>
      </c>
      <c r="Q23" s="156">
        <f>P23/AVERAGE(P:P)</f>
        <v/>
      </c>
      <c r="R23" s="156">
        <f>L23+_OffAdj</f>
        <v/>
      </c>
      <c r="S23" s="156">
        <f>R23/AVERAGE(R:R)</f>
        <v/>
      </c>
      <c r="T23" s="156">
        <f>F23/17</f>
        <v/>
      </c>
      <c r="U23" s="156">
        <f>G23/17</f>
        <v/>
      </c>
    </row>
    <row r="24" ht="14.4" customHeight="1" s="152">
      <c r="A24" s="271" t="inlineStr">
        <is>
          <t>New England Patriots</t>
        </is>
      </c>
      <c r="B24" s="215" t="n">
        <v>7.9</v>
      </c>
      <c r="C24" s="215" t="n">
        <v>9.1</v>
      </c>
      <c r="E24" s="215" t="n">
        <v>0.235</v>
      </c>
      <c r="F24" s="215" t="n">
        <v>289</v>
      </c>
      <c r="G24" s="215" t="n">
        <v>417</v>
      </c>
      <c r="H24" s="215">
        <f>F24-G24</f>
        <v/>
      </c>
      <c r="I24" s="215" t="n">
        <v>-7.5</v>
      </c>
      <c r="J24" s="215" t="n">
        <v>-0.6</v>
      </c>
      <c r="K24" s="215" t="n">
        <v>-8.1</v>
      </c>
      <c r="L24" s="215" t="n">
        <v>-2</v>
      </c>
      <c r="M24" s="215" t="n">
        <v>-0.7</v>
      </c>
      <c r="N24" s="272">
        <f>M24+_ARating</f>
        <v/>
      </c>
      <c r="O24" s="156">
        <f>N24/AVERAGE(N:N)</f>
        <v/>
      </c>
      <c r="P24" s="156">
        <f>J24+_SoSAdj</f>
        <v/>
      </c>
      <c r="Q24" s="156">
        <f>P24/AVERAGE(P:P)</f>
        <v/>
      </c>
      <c r="R24" s="156">
        <f>L24+_OffAdj</f>
        <v/>
      </c>
      <c r="S24" s="156">
        <f>R24/AVERAGE(R:R)</f>
        <v/>
      </c>
      <c r="T24" s="156">
        <f>F24/17</f>
        <v/>
      </c>
      <c r="U24" s="156">
        <f>G24/17</f>
        <v/>
      </c>
    </row>
    <row r="25" ht="14.4" customHeight="1" s="152">
      <c r="A25" s="271" t="inlineStr">
        <is>
          <t>New Orleans Saints</t>
        </is>
      </c>
      <c r="B25" s="215" t="n">
        <v>6.7</v>
      </c>
      <c r="C25" s="215" t="n">
        <v>10.2</v>
      </c>
      <c r="E25" s="215" t="n">
        <v>0.294</v>
      </c>
      <c r="F25" s="215" t="n">
        <v>338</v>
      </c>
      <c r="G25" s="215" t="n">
        <v>398</v>
      </c>
      <c r="H25" s="215">
        <f>F25-G25</f>
        <v/>
      </c>
      <c r="I25" s="215" t="n">
        <v>-3.5</v>
      </c>
      <c r="J25" s="215" t="n">
        <v>-0.6</v>
      </c>
      <c r="K25" s="215" t="n">
        <v>-4.1</v>
      </c>
      <c r="L25" s="215" t="n">
        <v>-3.5</v>
      </c>
      <c r="M25" s="215" t="n">
        <v>-1.9</v>
      </c>
      <c r="N25" s="272">
        <f>M25+_ARating</f>
        <v/>
      </c>
      <c r="O25" s="156">
        <f>N25/AVERAGE(N:N)</f>
        <v/>
      </c>
      <c r="P25" s="156">
        <f>J25+_SoSAdj</f>
        <v/>
      </c>
      <c r="Q25" s="156">
        <f>P25/AVERAGE(P:P)</f>
        <v/>
      </c>
      <c r="R25" s="156">
        <f>L25+_OffAdj</f>
        <v/>
      </c>
      <c r="S25" s="156">
        <f>R25/AVERAGE(R:R)</f>
        <v/>
      </c>
      <c r="T25" s="156">
        <f>F25/17</f>
        <v/>
      </c>
      <c r="U25" s="156">
        <f>G25/17</f>
        <v/>
      </c>
    </row>
    <row r="26" ht="14.4" customHeight="1" s="152">
      <c r="A26" s="271" t="inlineStr">
        <is>
          <t>New York Giants</t>
        </is>
      </c>
      <c r="B26" s="215" t="n">
        <v>6.4</v>
      </c>
      <c r="C26" s="215" t="n">
        <v>10.6</v>
      </c>
      <c r="E26" s="215" t="n">
        <v>0.176</v>
      </c>
      <c r="F26" s="215" t="n">
        <v>273</v>
      </c>
      <c r="G26" s="215" t="n">
        <v>415</v>
      </c>
      <c r="H26" s="215">
        <f>F26-G26</f>
        <v/>
      </c>
      <c r="I26" s="215" t="n">
        <v>-8.4</v>
      </c>
      <c r="J26" s="215" t="n">
        <v>0.3</v>
      </c>
      <c r="K26" s="215" t="n">
        <v>-8</v>
      </c>
      <c r="L26" s="215" t="n">
        <v>-2.5</v>
      </c>
      <c r="M26" s="215" t="n">
        <v>-0.9</v>
      </c>
      <c r="N26" s="272">
        <f>M26+_ARating</f>
        <v/>
      </c>
      <c r="O26" s="156">
        <f>N26/AVERAGE(N:N)</f>
        <v/>
      </c>
      <c r="P26" s="156">
        <f>J26+_SoSAdj</f>
        <v/>
      </c>
      <c r="Q26" s="156">
        <f>P26/AVERAGE(P:P)</f>
        <v/>
      </c>
      <c r="R26" s="156">
        <f>L26+_OffAdj</f>
        <v/>
      </c>
      <c r="S26" s="156">
        <f>R26/AVERAGE(R:R)</f>
        <v/>
      </c>
      <c r="T26" s="156">
        <f>F26/17</f>
        <v/>
      </c>
      <c r="U26" s="156">
        <f>G26/17</f>
        <v/>
      </c>
    </row>
    <row r="27" ht="14.4" customHeight="1" s="152">
      <c r="A27" s="271" t="inlineStr">
        <is>
          <t>New York Jets</t>
        </is>
      </c>
      <c r="B27" s="215" t="n">
        <v>6.8</v>
      </c>
      <c r="C27" s="215" t="n">
        <v>10.1</v>
      </c>
      <c r="E27" s="215" t="n">
        <v>0.294</v>
      </c>
      <c r="F27" s="215" t="n">
        <v>338</v>
      </c>
      <c r="G27" s="215" t="n">
        <v>404</v>
      </c>
      <c r="H27" s="215">
        <f>F27-G27</f>
        <v/>
      </c>
      <c r="I27" s="215" t="n">
        <v>-3.9</v>
      </c>
      <c r="J27" s="215" t="n">
        <v>-0.5</v>
      </c>
      <c r="K27" s="215" t="n">
        <v>-4.3</v>
      </c>
      <c r="L27" s="215" t="n">
        <v>-3.3</v>
      </c>
      <c r="M27" s="215" t="n">
        <v>-1.6</v>
      </c>
      <c r="N27" s="272">
        <f>M27+_ARating</f>
        <v/>
      </c>
      <c r="O27" s="156">
        <f>N27/AVERAGE(N:N)</f>
        <v/>
      </c>
      <c r="P27" s="156">
        <f>J27+_SoSAdj</f>
        <v/>
      </c>
      <c r="Q27" s="156">
        <f>P27/AVERAGE(P:P)</f>
        <v/>
      </c>
      <c r="R27" s="156">
        <f>L27+_OffAdj</f>
        <v/>
      </c>
      <c r="S27" s="156">
        <f>R27/AVERAGE(R:R)</f>
        <v/>
      </c>
      <c r="T27" s="156">
        <f>F27/17</f>
        <v/>
      </c>
      <c r="U27" s="156">
        <f>G27/17</f>
        <v/>
      </c>
    </row>
    <row r="28" ht="14.4" customHeight="1" s="152">
      <c r="A28" s="271" t="inlineStr">
        <is>
          <t>Philadelphia Eagles</t>
        </is>
      </c>
      <c r="B28" s="215" t="n">
        <v>10.2</v>
      </c>
      <c r="C28" s="215" t="n">
        <v>6.7</v>
      </c>
      <c r="E28" s="215" t="n">
        <v>0.824</v>
      </c>
      <c r="F28" s="215" t="n">
        <v>463</v>
      </c>
      <c r="G28" s="215" t="n">
        <v>303</v>
      </c>
      <c r="H28" s="215">
        <f>F28-G28</f>
        <v/>
      </c>
      <c r="I28" s="215" t="n">
        <v>9.4</v>
      </c>
      <c r="J28" s="215" t="n">
        <v>-1.7</v>
      </c>
      <c r="K28" s="215" t="n">
        <v>7.7</v>
      </c>
      <c r="L28" s="215" t="n">
        <v>3.5</v>
      </c>
      <c r="M28" s="215" t="n">
        <v>2</v>
      </c>
      <c r="N28" s="272">
        <f>M28+_ARating</f>
        <v/>
      </c>
      <c r="O28" s="156">
        <f>N28/AVERAGE(N:N)</f>
        <v/>
      </c>
      <c r="P28" s="156">
        <f>J28+_SoSAdj</f>
        <v/>
      </c>
      <c r="Q28" s="156">
        <f>P28/AVERAGE(P:P)</f>
        <v/>
      </c>
      <c r="R28" s="156">
        <f>L28+_OffAdj</f>
        <v/>
      </c>
      <c r="S28" s="156">
        <f>R28/AVERAGE(R:R)</f>
        <v/>
      </c>
      <c r="T28" s="156">
        <f>F28/17</f>
        <v/>
      </c>
      <c r="U28" s="156">
        <f>G28/17</f>
        <v/>
      </c>
    </row>
    <row r="29" ht="14.4" customHeight="1" s="152">
      <c r="A29" s="271" t="inlineStr">
        <is>
          <t>Pittsburgh Steelers</t>
        </is>
      </c>
      <c r="B29" s="215" t="n">
        <v>8.699999999999999</v>
      </c>
      <c r="C29" s="215" t="n">
        <v>8.300000000000001</v>
      </c>
      <c r="E29" s="215" t="n">
        <v>0.588</v>
      </c>
      <c r="F29" s="215" t="n">
        <v>380</v>
      </c>
      <c r="G29" s="215" t="n">
        <v>347</v>
      </c>
      <c r="H29" s="215">
        <f>F29-G29</f>
        <v/>
      </c>
      <c r="I29" s="215" t="n">
        <v>1.9</v>
      </c>
      <c r="J29" s="215" t="n">
        <v>0.1</v>
      </c>
      <c r="K29" s="215" t="n">
        <v>2.1</v>
      </c>
      <c r="L29" s="215" t="n">
        <v>-1.2</v>
      </c>
      <c r="M29" s="215" t="n">
        <v>1.3</v>
      </c>
      <c r="N29" s="272">
        <f>M29+_ARating</f>
        <v/>
      </c>
      <c r="O29" s="156">
        <f>N29/AVERAGE(N:N)</f>
        <v/>
      </c>
      <c r="P29" s="156">
        <f>J29+_SoSAdj</f>
        <v/>
      </c>
      <c r="Q29" s="156">
        <f>P29/AVERAGE(P:P)</f>
        <v/>
      </c>
      <c r="R29" s="156">
        <f>L29+_OffAdj</f>
        <v/>
      </c>
      <c r="S29" s="156">
        <f>R29/AVERAGE(R:R)</f>
        <v/>
      </c>
      <c r="T29" s="156">
        <f>F29/17</f>
        <v/>
      </c>
      <c r="U29" s="156">
        <f>G29/17</f>
        <v/>
      </c>
    </row>
    <row r="30" ht="14.4" customHeight="1" s="152">
      <c r="A30" s="271" t="inlineStr">
        <is>
          <t>San Francisco 49ers</t>
        </is>
      </c>
      <c r="B30" s="215" t="n">
        <v>9.699999999999999</v>
      </c>
      <c r="C30" s="215" t="n">
        <v>7.3</v>
      </c>
      <c r="E30" s="215" t="n">
        <v>0.353</v>
      </c>
      <c r="F30" s="215" t="n">
        <v>389</v>
      </c>
      <c r="G30" s="215" t="n">
        <v>436</v>
      </c>
      <c r="H30" s="215">
        <f>F30-G30</f>
        <v/>
      </c>
      <c r="I30" s="215" t="n">
        <v>-2.8</v>
      </c>
      <c r="J30" s="215" t="n">
        <v>1.6</v>
      </c>
      <c r="K30" s="215" t="n">
        <v>-1.2</v>
      </c>
      <c r="L30" s="215" t="n">
        <v>2.6</v>
      </c>
      <c r="M30" s="215" t="n">
        <v>-0.4</v>
      </c>
      <c r="N30" s="272">
        <f>M30+_ARating</f>
        <v/>
      </c>
      <c r="O30" s="156">
        <f>N30/AVERAGE(N:N)</f>
        <v/>
      </c>
      <c r="P30" s="156">
        <f>J30+_SoSAdj</f>
        <v/>
      </c>
      <c r="Q30" s="156">
        <f>P30/AVERAGE(P:P)</f>
        <v/>
      </c>
      <c r="R30" s="156">
        <f>L30+_OffAdj</f>
        <v/>
      </c>
      <c r="S30" s="156">
        <f>R30/AVERAGE(R:R)</f>
        <v/>
      </c>
      <c r="T30" s="156">
        <f>F30/17</f>
        <v/>
      </c>
      <c r="U30" s="156">
        <f>G30/17</f>
        <v/>
      </c>
    </row>
    <row r="31" ht="14.4" customHeight="1" s="152">
      <c r="A31" s="271" t="inlineStr">
        <is>
          <t>Seattle Seahawks</t>
        </is>
      </c>
      <c r="B31" s="215" t="n">
        <v>8.199999999999999</v>
      </c>
      <c r="C31" s="215" t="n">
        <v>8.800000000000001</v>
      </c>
      <c r="E31" s="215" t="n">
        <v>0.588</v>
      </c>
      <c r="F31" s="215" t="n">
        <v>375</v>
      </c>
      <c r="G31" s="215" t="n">
        <v>368</v>
      </c>
      <c r="H31" s="215">
        <f>F31-G31</f>
        <v/>
      </c>
      <c r="I31" s="215" t="n">
        <v>0.4</v>
      </c>
      <c r="J31" s="215" t="n">
        <v>0.8</v>
      </c>
      <c r="K31" s="215" t="n">
        <v>1.3</v>
      </c>
      <c r="L31" s="215" t="n">
        <v>-1.4</v>
      </c>
      <c r="M31" s="215" t="n">
        <v>0.3</v>
      </c>
      <c r="N31" s="272">
        <f>M31+_ARating</f>
        <v/>
      </c>
      <c r="O31" s="156">
        <f>N31/AVERAGE(N:N)</f>
        <v/>
      </c>
      <c r="P31" s="156">
        <f>J31+_SoSAdj</f>
        <v/>
      </c>
      <c r="Q31" s="156">
        <f>P31/AVERAGE(P:P)</f>
        <v/>
      </c>
      <c r="R31" s="156">
        <f>L31+_OffAdj</f>
        <v/>
      </c>
      <c r="S31" s="156">
        <f>R31/AVERAGE(R:R)</f>
        <v/>
      </c>
      <c r="T31" s="156">
        <f>F31/17</f>
        <v/>
      </c>
      <c r="U31" s="156">
        <f>G31/17</f>
        <v/>
      </c>
    </row>
    <row r="32" ht="14.4" customHeight="1" s="152">
      <c r="A32" s="271" t="inlineStr">
        <is>
          <t>Tampa Bay Buccaneers</t>
        </is>
      </c>
      <c r="B32" s="215" t="n">
        <v>9.1</v>
      </c>
      <c r="C32" s="215" t="n">
        <v>7.8</v>
      </c>
      <c r="E32" s="215" t="n">
        <v>0.588</v>
      </c>
      <c r="F32" s="215" t="n">
        <v>502</v>
      </c>
      <c r="G32" s="215" t="n">
        <v>385</v>
      </c>
      <c r="H32" s="215">
        <f>F32-G32</f>
        <v/>
      </c>
      <c r="I32" s="215" t="n">
        <v>6.9</v>
      </c>
      <c r="J32" s="215" t="n">
        <v>-0.4</v>
      </c>
      <c r="K32" s="215" t="n">
        <v>6.4</v>
      </c>
      <c r="L32" s="215" t="n">
        <v>0.9</v>
      </c>
      <c r="M32" s="215" t="n">
        <v>-0.4</v>
      </c>
      <c r="N32" s="272">
        <f>M32+_ARating</f>
        <v/>
      </c>
      <c r="O32" s="156">
        <f>N32/AVERAGE(N:N)</f>
        <v/>
      </c>
      <c r="P32" s="156">
        <f>J32+_SoSAdj</f>
        <v/>
      </c>
      <c r="Q32" s="156">
        <f>P32/AVERAGE(P:P)</f>
        <v/>
      </c>
      <c r="R32" s="156">
        <f>L32+_OffAdj</f>
        <v/>
      </c>
      <c r="S32" s="156">
        <f>R32/AVERAGE(R:R)</f>
        <v/>
      </c>
      <c r="T32" s="156">
        <f>F32/17</f>
        <v/>
      </c>
      <c r="U32" s="156">
        <f>G32/17</f>
        <v/>
      </c>
    </row>
    <row r="33" ht="14.4" customHeight="1" s="152">
      <c r="A33" s="271" t="inlineStr">
        <is>
          <t>Tennessee Titans</t>
        </is>
      </c>
      <c r="B33" s="215" t="n">
        <v>7</v>
      </c>
      <c r="C33" s="215" t="n">
        <v>10</v>
      </c>
      <c r="E33" s="215" t="n">
        <v>0.176</v>
      </c>
      <c r="F33" s="215" t="n">
        <v>311</v>
      </c>
      <c r="G33" s="215" t="n">
        <v>460</v>
      </c>
      <c r="H33" s="215">
        <f>F33-G33</f>
        <v/>
      </c>
      <c r="I33" s="215" t="n">
        <v>-8.800000000000001</v>
      </c>
      <c r="J33" s="215" t="n">
        <v>0.4</v>
      </c>
      <c r="K33" s="215" t="n">
        <v>-8.4</v>
      </c>
      <c r="L33" s="215" t="n">
        <v>-3</v>
      </c>
      <c r="M33" s="215" t="n">
        <v>-1.5</v>
      </c>
      <c r="N33" s="272">
        <f>M33+_ARating</f>
        <v/>
      </c>
      <c r="O33" s="156">
        <f>N33/AVERAGE(N:N)</f>
        <v/>
      </c>
      <c r="P33" s="156">
        <f>J33+_SoSAdj</f>
        <v/>
      </c>
      <c r="Q33" s="156">
        <f>P33/AVERAGE(P:P)</f>
        <v/>
      </c>
      <c r="R33" s="156">
        <f>L33+_OffAdj</f>
        <v/>
      </c>
      <c r="S33" s="156">
        <f>R33/AVERAGE(R:R)</f>
        <v/>
      </c>
      <c r="T33" s="156">
        <f>F33/17</f>
        <v/>
      </c>
      <c r="U33" s="156">
        <f>G33/17</f>
        <v/>
      </c>
    </row>
    <row r="34" ht="14.4" customHeight="1" s="152">
      <c r="A34" s="271" t="inlineStr">
        <is>
          <t>Washington Commanders</t>
        </is>
      </c>
      <c r="B34" s="215" t="n">
        <v>9.199999999999999</v>
      </c>
      <c r="C34" s="215" t="n">
        <v>7.7</v>
      </c>
      <c r="E34" s="215" t="n">
        <v>0.706</v>
      </c>
      <c r="F34" s="215" t="n">
        <v>485</v>
      </c>
      <c r="G34" s="215" t="n">
        <v>391</v>
      </c>
      <c r="H34" s="215">
        <f>F34-G34</f>
        <v/>
      </c>
      <c r="I34" s="215" t="n">
        <v>5.5</v>
      </c>
      <c r="J34" s="215" t="n">
        <v>-1.8</v>
      </c>
      <c r="K34" s="215" t="n">
        <v>3.7</v>
      </c>
      <c r="L34" s="215" t="n">
        <v>2.8</v>
      </c>
      <c r="M34" s="215" t="n">
        <v>-0.2</v>
      </c>
      <c r="N34" s="272">
        <f>M34+_ARating</f>
        <v/>
      </c>
      <c r="O34" s="156">
        <f>N34/AVERAGE(N:N)</f>
        <v/>
      </c>
      <c r="P34" s="156">
        <f>J34+_SoSAdj</f>
        <v/>
      </c>
      <c r="Q34" s="156">
        <f>P34/AVERAGE(P:P)</f>
        <v/>
      </c>
      <c r="R34" s="156">
        <f>L34+_OffAdj</f>
        <v/>
      </c>
      <c r="S34" s="156">
        <f>R34/AVERAGE(R:R)</f>
        <v/>
      </c>
      <c r="T34" s="156">
        <f>F34/17</f>
        <v/>
      </c>
      <c r="U34" s="156">
        <f>G34/17</f>
        <v/>
      </c>
    </row>
    <row r="35" ht="14.4" customHeight="1" s="152">
      <c r="N35" s="272" t="n"/>
      <c r="Q35" s="156" t="n"/>
      <c r="S35" s="156" t="n"/>
    </row>
    <row r="36" ht="14.4" customHeight="1" s="152">
      <c r="N36" s="272" t="n"/>
      <c r="Q36" s="156" t="n"/>
      <c r="S36" s="156" t="n"/>
    </row>
    <row r="37" ht="14.4" customHeight="1" s="152">
      <c r="N37" s="272" t="n"/>
      <c r="Q37" s="156" t="n"/>
      <c r="S37" s="156" t="n"/>
    </row>
    <row r="38" ht="14.4" customHeight="1" s="152">
      <c r="N38" s="272" t="n"/>
      <c r="Q38" s="156" t="n"/>
      <c r="S38" s="156" t="n"/>
    </row>
    <row r="39" ht="14.4" customHeight="1" s="152">
      <c r="N39" s="272" t="n"/>
      <c r="Q39" s="156" t="n"/>
      <c r="S39" s="156" t="n"/>
    </row>
    <row r="40" ht="14.4" customHeight="1" s="152">
      <c r="N40" s="272" t="n"/>
      <c r="Q40" s="156" t="n"/>
      <c r="S40" s="156" t="n"/>
    </row>
    <row r="41" ht="14.4" customHeight="1" s="152">
      <c r="N41" s="272" t="n"/>
      <c r="Q41" s="156" t="n"/>
      <c r="S41" s="156" t="n"/>
    </row>
    <row r="42" ht="14.4" customHeight="1" s="152">
      <c r="N42" s="272" t="n"/>
      <c r="Q42" s="156" t="n"/>
      <c r="S42" s="156" t="n"/>
    </row>
    <row r="43" ht="14.4" customHeight="1" s="152">
      <c r="N43" s="272" t="n"/>
      <c r="Q43" s="156" t="n"/>
      <c r="S43" s="156" t="n"/>
    </row>
    <row r="44" ht="14.4" customHeight="1" s="152">
      <c r="N44" s="272" t="n"/>
      <c r="Q44" s="156" t="n"/>
      <c r="S44" s="156" t="n"/>
    </row>
    <row r="45" ht="14.4" customHeight="1" s="152">
      <c r="N45" s="272" t="n"/>
      <c r="Q45" s="156" t="n"/>
      <c r="S45" s="156" t="n"/>
    </row>
    <row r="46" ht="14.4" customHeight="1" s="152">
      <c r="N46" s="272" t="n"/>
      <c r="Q46" s="156" t="n"/>
      <c r="S46" s="156" t="n"/>
    </row>
    <row r="47" ht="14.4" customHeight="1" s="152">
      <c r="N47" s="272" t="n"/>
      <c r="Q47" s="156" t="n"/>
      <c r="S47" s="156" t="n"/>
    </row>
    <row r="48" ht="14.4" customHeight="1" s="152">
      <c r="N48" s="272" t="n"/>
      <c r="Q48" s="156" t="n"/>
      <c r="S48" s="156" t="n"/>
    </row>
    <row r="49" ht="14.4" customHeight="1" s="152">
      <c r="N49" s="272" t="n"/>
      <c r="Q49" s="156" t="n"/>
      <c r="S49" s="156" t="n"/>
    </row>
    <row r="50" ht="14.4" customHeight="1" s="152">
      <c r="N50" s="272" t="n"/>
      <c r="Q50" s="156" t="n"/>
      <c r="S50" s="156" t="n"/>
    </row>
    <row r="51" ht="14.4" customHeight="1" s="152">
      <c r="N51" s="272" t="n"/>
      <c r="Q51" s="156" t="n"/>
      <c r="S51" s="156" t="n"/>
    </row>
    <row r="52" ht="14.4" customHeight="1" s="152">
      <c r="N52" s="272" t="n"/>
      <c r="Q52" s="156" t="n"/>
      <c r="S52" s="156" t="n"/>
    </row>
    <row r="53" ht="14.4" customHeight="1" s="152">
      <c r="N53" s="272" t="n"/>
      <c r="Q53" s="156" t="n"/>
      <c r="S53" s="156" t="n"/>
    </row>
    <row r="54" ht="14.4" customHeight="1" s="152">
      <c r="N54" s="272" t="n"/>
      <c r="Q54" s="156" t="n"/>
      <c r="S54" s="156" t="n"/>
    </row>
    <row r="55" ht="14.4" customHeight="1" s="152">
      <c r="N55" s="272" t="n"/>
      <c r="Q55" s="156" t="n"/>
      <c r="S55" s="156" t="n"/>
    </row>
    <row r="56" ht="14.4" customHeight="1" s="152">
      <c r="N56" s="272" t="n"/>
      <c r="Q56" s="156" t="n"/>
      <c r="S56" s="156" t="n"/>
    </row>
    <row r="57" ht="14.4" customHeight="1" s="152">
      <c r="N57" s="272" t="n"/>
      <c r="Q57" s="156" t="n"/>
      <c r="S57" s="156" t="n"/>
    </row>
    <row r="58" ht="14.4" customHeight="1" s="152">
      <c r="N58" s="272" t="n"/>
      <c r="Q58" s="156" t="n"/>
      <c r="S58" s="156" t="n"/>
    </row>
    <row r="59" ht="13.8" customHeight="1" s="152"/>
    <row r="60" ht="13.8" customHeight="1" s="152"/>
    <row r="61" ht="13.8" customHeight="1" s="152"/>
    <row r="62" ht="13.8" customHeight="1" s="152"/>
    <row r="63" ht="13.8" customHeight="1" s="152"/>
    <row r="64" ht="13.8" customHeight="1" s="152"/>
    <row r="65" ht="13.8" customHeight="1" s="152"/>
    <row r="66" ht="13.8" customHeight="1" s="152"/>
    <row r="67" ht="13.8" customHeight="1" s="152"/>
    <row r="68" ht="13.8" customHeight="1" s="152"/>
    <row r="69" ht="13.8" customHeight="1" s="152"/>
    <row r="70" ht="13.8" customHeight="1" s="152"/>
    <row r="71" ht="13.8" customHeight="1" s="152"/>
    <row r="72" ht="13.8" customHeight="1" s="152"/>
    <row r="73" ht="13.8" customHeight="1" s="152"/>
    <row r="74" ht="13.8" customHeight="1" s="152"/>
    <row r="75" ht="13.8" customHeight="1" s="152"/>
    <row r="76" ht="13.8" customHeight="1" s="152"/>
    <row r="77" ht="13.8" customHeight="1" s="152"/>
    <row r="78" ht="13.8" customHeight="1" s="152"/>
    <row r="79" ht="13.8" customHeight="1" s="152"/>
    <row r="80" ht="13.8" customHeight="1" s="152"/>
    <row r="81" ht="13.8" customHeight="1" s="152"/>
    <row r="82" ht="13.8" customHeight="1" s="152"/>
  </sheetData>
  <autoFilter ref="A2:S2">
    <sortState ref="A3:S2">
      <sortCondition ref="A3:A2" customList=""/>
    </sortState>
  </autoFilter>
  <conditionalFormatting sqref="B1:B2 B35:B1048576">
    <cfRule type="colorScale" priority="2">
      <colorScale>
        <cfvo type="min" val="0"/>
        <cfvo type="percentile" val="50"/>
        <cfvo type="max" val="0"/>
        <color rgb="FFF8696B"/>
        <color rgb="FFFFEB84"/>
        <color rgb="FF63BE7B"/>
      </colorScale>
    </cfRule>
  </conditionalFormatting>
  <conditionalFormatting sqref="C1:C2 C35:C1048576">
    <cfRule type="colorScale" priority="3">
      <colorScale>
        <cfvo type="min" val="0"/>
        <cfvo type="percentile" val="50"/>
        <cfvo type="max" val="0"/>
        <color rgb="FF63BE7B"/>
        <color rgb="FFFFEB84"/>
        <color rgb="FFF8696B"/>
      </colorScale>
    </cfRule>
  </conditionalFormatting>
  <conditionalFormatting sqref="E1:E1048576">
    <cfRule type="colorScale" priority="4">
      <colorScale>
        <cfvo type="min" val="0"/>
        <cfvo type="percentile" val="50"/>
        <cfvo type="max" val="0"/>
        <color rgb="FFF8696B"/>
        <color rgb="FFFFEB84"/>
        <color rgb="FF63BE7B"/>
      </colorScale>
    </cfRule>
  </conditionalFormatting>
  <conditionalFormatting sqref="F1:F1048576">
    <cfRule type="colorScale" priority="5">
      <colorScale>
        <cfvo type="min" val="0"/>
        <cfvo type="percentile" val="50"/>
        <cfvo type="max" val="0"/>
        <color rgb="FFF8696B"/>
        <color rgb="FFFFEB84"/>
        <color rgb="FF63BE7B"/>
      </colorScale>
    </cfRule>
  </conditionalFormatting>
  <conditionalFormatting sqref="G1:G1048576">
    <cfRule type="colorScale" priority="6">
      <colorScale>
        <cfvo type="min" val="0"/>
        <cfvo type="percentile" val="50"/>
        <cfvo type="max" val="0"/>
        <color rgb="FF63BE7B"/>
        <color rgb="FFFFEB84"/>
        <color rgb="FFF8696B"/>
      </colorScale>
    </cfRule>
  </conditionalFormatting>
  <conditionalFormatting sqref="H1:H1048576">
    <cfRule type="colorScale" priority="7">
      <colorScale>
        <cfvo type="min" val="0"/>
        <cfvo type="percentile" val="50"/>
        <cfvo type="max" val="0"/>
        <color rgb="FFF8696B"/>
        <color rgb="FFFFEB84"/>
        <color rgb="FF63BE7B"/>
      </colorScale>
    </cfRule>
  </conditionalFormatting>
  <conditionalFormatting sqref="I1:I1048576">
    <cfRule type="colorScale" priority="8">
      <colorScale>
        <cfvo type="min" val="0"/>
        <cfvo type="percentile" val="50"/>
        <cfvo type="max" val="0"/>
        <color rgb="FFF8696B"/>
        <color rgb="FFFFEB84"/>
        <color rgb="FF63BE7B"/>
      </colorScale>
    </cfRule>
  </conditionalFormatting>
  <conditionalFormatting sqref="J1:J1048576">
    <cfRule type="colorScale" priority="9">
      <colorScale>
        <cfvo type="min" val="0"/>
        <cfvo type="percentile" val="50"/>
        <cfvo type="max" val="0"/>
        <color rgb="FFF8696B"/>
        <color rgb="FFFFEB84"/>
        <color rgb="FF63BE7B"/>
      </colorScale>
    </cfRule>
  </conditionalFormatting>
  <conditionalFormatting sqref="K1:K1048576">
    <cfRule type="colorScale" priority="10">
      <colorScale>
        <cfvo type="min" val="0"/>
        <cfvo type="percentile" val="50"/>
        <cfvo type="max" val="0"/>
        <color rgb="FFF8696B"/>
        <color rgb="FFFFEB84"/>
        <color rgb="FF63BE7B"/>
      </colorScale>
    </cfRule>
  </conditionalFormatting>
  <conditionalFormatting sqref="L1:L1048576">
    <cfRule type="colorScale" priority="11">
      <colorScale>
        <cfvo type="min" val="0"/>
        <cfvo type="percentile" val="50"/>
        <cfvo type="max" val="0"/>
        <color rgb="FFF8696B"/>
        <color rgb="FFFFEB84"/>
        <color rgb="FF63BE7B"/>
      </colorScale>
    </cfRule>
  </conditionalFormatting>
  <conditionalFormatting sqref="M1:M1048576">
    <cfRule type="colorScale" priority="12">
      <colorScale>
        <cfvo type="min" val="0"/>
        <cfvo type="percentile" val="50"/>
        <cfvo type="max" val="0"/>
        <color rgb="FFF8696B"/>
        <color rgb="FFFFEB84"/>
        <color rgb="FF63BE7B"/>
      </colorScale>
    </cfRule>
  </conditionalFormatting>
  <conditionalFormatting sqref="O1:O1048576 P2">
    <cfRule type="colorScale" priority="13">
      <colorScale>
        <cfvo type="min" val="0"/>
        <cfvo type="percentile" val="50"/>
        <cfvo type="max" val="0"/>
        <color rgb="FFF8696B"/>
        <color rgb="FFFFEB84"/>
        <color rgb="FF63BE7B"/>
      </colorScale>
    </cfRule>
  </conditionalFormatting>
  <conditionalFormatting sqref="Q2">
    <cfRule type="colorScale" priority="14">
      <colorScale>
        <cfvo type="min" val="0"/>
        <cfvo type="percentile" val="50"/>
        <cfvo type="max" val="0"/>
        <color rgb="FFF8696B"/>
        <color rgb="FFFFEB84"/>
        <color rgb="FF63BE7B"/>
      </colorScale>
    </cfRule>
  </conditionalFormatting>
  <conditionalFormatting sqref="Q3:Q34">
    <cfRule type="colorScale" priority="15">
      <colorScale>
        <cfvo type="min" val="0"/>
        <cfvo type="percentile" val="50"/>
        <cfvo type="max" val="0"/>
        <color rgb="FFF8696B"/>
        <color rgb="FFFFEB84"/>
        <color rgb="FF63BE7B"/>
      </colorScale>
    </cfRule>
  </conditionalFormatting>
  <conditionalFormatting sqref="R2">
    <cfRule type="colorScale" priority="16">
      <colorScale>
        <cfvo type="min" val="0"/>
        <cfvo type="percentile" val="50"/>
        <cfvo type="max" val="0"/>
        <color rgb="FFF8696B"/>
        <color rgb="FFFFEB84"/>
        <color rgb="FF63BE7B"/>
      </colorScale>
    </cfRule>
  </conditionalFormatting>
  <conditionalFormatting sqref="S2">
    <cfRule type="colorScale" priority="17">
      <colorScale>
        <cfvo type="min" val="0"/>
        <cfvo type="percentile" val="50"/>
        <cfvo type="max" val="0"/>
        <color rgb="FFF8696B"/>
        <color rgb="FFFFEB84"/>
        <color rgb="FF63BE7B"/>
      </colorScale>
    </cfRule>
  </conditionalFormatting>
  <conditionalFormatting sqref="S3:S34">
    <cfRule type="colorScale" priority="18">
      <colorScale>
        <cfvo type="min" val="0"/>
        <cfvo type="percentile" val="50"/>
        <cfvo type="max" val="0"/>
        <color rgb="FFF8696B"/>
        <color rgb="FFFFEB84"/>
        <color rgb="FF63BE7B"/>
      </colorScale>
    </cfRule>
  </conditionalFormatting>
  <conditionalFormatting sqref="B3:B34">
    <cfRule type="colorScale" priority="19">
      <colorScale>
        <cfvo type="min" val="0"/>
        <cfvo type="percentile" val="50"/>
        <cfvo type="max" val="0"/>
        <color rgb="FFF8696B"/>
        <color rgb="FFFFEB84"/>
        <color rgb="FF63BE7B"/>
      </colorScale>
    </cfRule>
  </conditionalFormatting>
  <conditionalFormatting sqref="C3:C34">
    <cfRule type="colorScale" priority="20">
      <colorScale>
        <cfvo type="min" val="0"/>
        <cfvo type="percentile" val="50"/>
        <cfvo type="max" val="0"/>
        <color rgb="FF63BE7B"/>
        <color rgb="FFFFEB84"/>
        <color rgb="FFF8696B"/>
      </colorScale>
    </cfRule>
  </conditionalFormatting>
  <hyperlinks>
    <hyperlink xmlns:r="http://schemas.openxmlformats.org/officeDocument/2006/relationships" ref="A1" display="https://www.pro-football-reference.com/years/2024/index.htm"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tabColor rgb="FFC55A11"/>
    <outlinePr summaryBelow="1" summaryRight="1"/>
    <pageSetUpPr fitToPage="0"/>
  </sheetPr>
  <dimension ref="A1:AE161"/>
  <sheetViews>
    <sheetView showFormulas="0" showGridLines="0" showRowColHeaders="1" showZeros="1" rightToLeft="0" tabSelected="0" showOutlineSymbols="1" defaultGridColor="1" view="normal" topLeftCell="Q1" colorId="64" zoomScale="95" zoomScaleNormal="95" zoomScalePageLayoutView="100" workbookViewId="0">
      <pane xSplit="0" ySplit="1" topLeftCell="A2" activePane="bottomLeft" state="frozen"/>
      <selection pane="topLeft" activeCell="Q1" activeCellId="0" sqref="Q1"/>
      <selection pane="bottomLeft" activeCell="Z18" activeCellId="0" sqref="Z18"/>
    </sheetView>
  </sheetViews>
  <sheetFormatPr baseColWidth="8" defaultColWidth="8.796875" defaultRowHeight="14.4" zeroHeight="0" outlineLevelRow="0"/>
  <cols>
    <col width="28.98" customWidth="1" style="156" min="1" max="1"/>
    <col width="11.89" customWidth="1" style="156" min="2" max="2"/>
    <col width="13.66" customWidth="1" style="156" min="3" max="3"/>
    <col width="6.35" customWidth="1" style="157" min="4" max="6"/>
    <col width="10" customWidth="1" style="157" min="7" max="7"/>
    <col width="7.44" customWidth="1" style="157" min="8" max="8"/>
    <col width="8.44" customWidth="1" style="157" min="9" max="9"/>
    <col width="6.56" customWidth="1" style="157" min="10" max="10"/>
    <col width="10.65" customWidth="1" style="157" min="11" max="11"/>
    <col width="8.890000000000001" customWidth="1" style="157" min="12" max="12"/>
    <col width="10.33" customWidth="1" style="157" min="13" max="13"/>
    <col width="7.67" customWidth="1" style="157" min="14" max="14"/>
    <col width="8.44" customWidth="1" style="157" min="15" max="15"/>
    <col width="8.109999999999999" customWidth="1" style="157" min="16" max="16"/>
    <col width="6.56" customWidth="1" style="157" min="17" max="17"/>
    <col width="15.56" customWidth="1" style="156" min="19" max="19"/>
    <col width="18" customWidth="1" style="156" min="20" max="20"/>
    <col width="11.57" customWidth="1" style="156" min="21" max="21"/>
    <col width="13.1" customWidth="1" style="156" min="22" max="22"/>
    <col width="12.33" customWidth="1" style="156" min="23" max="23"/>
    <col width="13.02" customWidth="1" style="156" min="24" max="24"/>
    <col width="7.44" customWidth="1" style="273" min="25" max="26"/>
    <col width="25.56" customWidth="1" style="156" min="27" max="27"/>
    <col width="24.44" customWidth="1" style="156" min="28" max="28"/>
    <col width="28.98" customWidth="1" style="156" min="29" max="29"/>
    <col width="22.89" customWidth="1" style="156" min="30" max="30"/>
    <col width="22.66" customWidth="1" style="156" min="31" max="31"/>
  </cols>
  <sheetData>
    <row r="1" ht="45.6" customHeight="1" s="152">
      <c r="A1" s="274" t="inlineStr">
        <is>
          <t>Team</t>
        </is>
      </c>
      <c r="B1" s="274" t="inlineStr">
        <is>
          <t>Pts For / Game</t>
        </is>
      </c>
      <c r="C1" s="274" t="inlineStr">
        <is>
          <t>Pts Against/ Game</t>
        </is>
      </c>
      <c r="D1" s="274" t="inlineStr">
        <is>
          <t>Wins</t>
        </is>
      </c>
      <c r="E1" s="274" t="inlineStr">
        <is>
          <t>Loss</t>
        </is>
      </c>
      <c r="F1" s="274" t="inlineStr">
        <is>
          <t>Ties</t>
        </is>
      </c>
      <c r="G1" s="274" t="inlineStr">
        <is>
          <t>PTDiff per Game</t>
        </is>
      </c>
      <c r="H1" s="274" t="inlineStr">
        <is>
          <t>W-L%</t>
        </is>
      </c>
      <c r="I1" s="274" t="inlineStr">
        <is>
          <t>Points Scored</t>
        </is>
      </c>
      <c r="J1" s="274" t="inlineStr">
        <is>
          <t>Points Against</t>
        </is>
      </c>
      <c r="K1" s="274" t="inlineStr">
        <is>
          <t>Point Diff</t>
        </is>
      </c>
      <c r="L1" s="163" t="inlineStr">
        <is>
          <t>Margin of Victory</t>
        </is>
      </c>
      <c r="M1" s="163" t="inlineStr">
        <is>
          <t>Strength of 2023Schedule</t>
        </is>
      </c>
      <c r="N1" s="163" t="inlineStr">
        <is>
          <t>SRS</t>
        </is>
      </c>
      <c r="O1" s="163" t="inlineStr">
        <is>
          <t>OSRS</t>
        </is>
      </c>
      <c r="P1" s="163" t="inlineStr">
        <is>
          <t>DSRS Adj</t>
        </is>
      </c>
      <c r="Q1" s="274" t="inlineStr">
        <is>
          <t>Ties</t>
        </is>
      </c>
      <c r="R1" s="163" t="inlineStr">
        <is>
          <t>ABR</t>
        </is>
      </c>
      <c r="S1" s="163" t="inlineStr">
        <is>
          <t>Home Offensive Score Amplifier</t>
        </is>
      </c>
      <c r="T1" s="163" t="inlineStr">
        <is>
          <t>Away Team Defensive Score Attenuator</t>
        </is>
      </c>
      <c r="U1" s="163" t="inlineStr">
        <is>
          <t>AVG PTS For when Away</t>
        </is>
      </c>
      <c r="V1" s="163" t="inlineStr">
        <is>
          <t>AVG PTS For When Home</t>
        </is>
      </c>
      <c r="W1" s="163" t="inlineStr">
        <is>
          <t>AVG Given up when Away</t>
        </is>
      </c>
      <c r="X1" s="163" t="inlineStr">
        <is>
          <t>AVG Given Up When Home</t>
        </is>
      </c>
      <c r="Y1" s="163" t="inlineStr">
        <is>
          <t>Away Combo</t>
        </is>
      </c>
      <c r="Z1" s="163" t="inlineStr">
        <is>
          <t>Home Combo</t>
        </is>
      </c>
      <c r="AB1" s="163" t="inlineStr">
        <is>
          <t>Original Source Team Names</t>
        </is>
      </c>
      <c r="AC1" s="163" t="inlineStr">
        <is>
          <t>Streamlined Name</t>
        </is>
      </c>
      <c r="AD1" s="156" t="inlineStr">
        <is>
          <t>Depth Teams</t>
        </is>
      </c>
      <c r="AE1" s="156" t="inlineStr">
        <is>
          <t>Depth Team Abb</t>
        </is>
      </c>
    </row>
    <row r="2" ht="14.4" customHeight="1" s="152">
      <c r="A2" s="156" t="inlineStr">
        <is>
          <t>Arizona Cardinals</t>
        </is>
      </c>
      <c r="B2" s="243">
        <f>IFERROR(I2/SUM(D2:E2,Q2),0)</f>
        <v/>
      </c>
      <c r="C2" s="243">
        <f>IFERROR(J2/SUM(D2:E2,Q2),0)</f>
        <v/>
      </c>
      <c r="D2" s="167">
        <f>VLOOKUP($A2,Standings!$A:$M,2,0)</f>
        <v/>
      </c>
      <c r="E2" s="167">
        <f>VLOOKUP($A2,Standings!$A:$M,3,0)</f>
        <v/>
      </c>
      <c r="F2" s="167">
        <f>VLOOKUP($A2,Standings!$A:$M,4,0)</f>
        <v/>
      </c>
      <c r="G2" s="157">
        <f>IFERROR(K2/SUM(D2:E2),0)</f>
        <v/>
      </c>
      <c r="H2" s="156">
        <f>VLOOKUP($A2,Standings!$A:$M,5,0)</f>
        <v/>
      </c>
      <c r="I2" s="156">
        <f>VLOOKUP($A2,Standings!$A:$M,6,0)</f>
        <v/>
      </c>
      <c r="J2" s="156">
        <f>VLOOKUP($A2,Standings!$A:$M,7,0)</f>
        <v/>
      </c>
      <c r="K2" s="156">
        <f>VLOOKUP($A2,Standings!$A:$M,8,0)</f>
        <v/>
      </c>
      <c r="L2" s="156">
        <f>VLOOKUP($A2,Standings!$A:$M,9,0)</f>
        <v/>
      </c>
      <c r="M2" s="156">
        <f>VLOOKUP($A2,Standings!$A:$M,10,0)</f>
        <v/>
      </c>
      <c r="N2" s="156">
        <f>VLOOKUP($A2,Standings!$A:$M,11,0)</f>
        <v/>
      </c>
      <c r="O2" s="156">
        <f>VLOOKUP($A2,Standings!$A:$M,12,0)</f>
        <v/>
      </c>
      <c r="P2" s="156">
        <f>VLOOKUP($A2,Standings!$A:$N,14,0)</f>
        <v/>
      </c>
      <c r="Q2" s="167">
        <f>VLOOKUP($A2,Standings!$A:$M,4,0)</f>
        <v/>
      </c>
      <c r="R2" s="157" t="inlineStr">
        <is>
          <t>ARI</t>
        </is>
      </c>
      <c r="S2" s="157">
        <f>IFERROR(AVERAGE(U2,V2)/AVERAGE(U2,B2),1)</f>
        <v/>
      </c>
      <c r="T2" s="157" t="n">
        <v>1</v>
      </c>
      <c r="U2" s="157">
        <f>SUMIFS(2025Schedule!F:F,2025Schedule!N:N,Y2)/COUNTIFS(2025Schedule!N:N,Y2)</f>
        <v/>
      </c>
      <c r="V2" s="275">
        <f>SUMIFS(2025Schedule!F:F,2025Schedule!N:N,Z2)/COUNTIFS(2025Schedule!N:N,Z2)</f>
        <v/>
      </c>
      <c r="W2" s="275">
        <f>SUMIFS(2025Schedule!I:I,2025Schedule!N:N,Y2)/COUNTIFS(2025Schedule!N:N,Y2)</f>
        <v/>
      </c>
      <c r="X2" s="275">
        <f>SUMIFS(2025Schedule!I:I,2025Schedule!N:N,Z2)/COUNTIFS(2025Schedule!N:N,Z2)</f>
        <v/>
      </c>
      <c r="Y2" s="276">
        <f>A2&amp;"Away"</f>
        <v/>
      </c>
      <c r="Z2" s="276">
        <f>A2&amp;"Home"</f>
        <v/>
      </c>
      <c r="AA2" s="157" t="inlineStr">
        <is>
          <t>Arizona Cardinals</t>
        </is>
      </c>
      <c r="AB2" s="156" t="inlineStr">
        <is>
          <t xml:space="preserve"> Arizona</t>
        </is>
      </c>
      <c r="AC2" s="157" t="inlineStr">
        <is>
          <t>ARI</t>
        </is>
      </c>
    </row>
    <row r="3" ht="14.4" customHeight="1" s="152">
      <c r="A3" s="156" t="inlineStr">
        <is>
          <t>Atlanta Falcons</t>
        </is>
      </c>
      <c r="B3" s="243">
        <f>IFERROR(I3/SUM(D3:E3,Q3),0)</f>
        <v/>
      </c>
      <c r="C3" s="243">
        <f>IFERROR(J3/SUM(D3:E3,Q3),0)</f>
        <v/>
      </c>
      <c r="D3" s="167">
        <f>VLOOKUP($A3,Standings!$A:$M,2,0)</f>
        <v/>
      </c>
      <c r="E3" s="167">
        <f>VLOOKUP($A3,Standings!$A:$M,3,0)</f>
        <v/>
      </c>
      <c r="F3" s="167">
        <f>VLOOKUP($A3,Standings!$A:$M,4,0)</f>
        <v/>
      </c>
      <c r="G3" s="157">
        <f>IFERROR(K3/SUM(D3:E3),0)</f>
        <v/>
      </c>
      <c r="H3" s="156">
        <f>VLOOKUP($A3,Standings!$A:$M,5,0)</f>
        <v/>
      </c>
      <c r="I3" s="156">
        <f>VLOOKUP($A3,Standings!$A:$M,6,0)</f>
        <v/>
      </c>
      <c r="J3" s="156">
        <f>VLOOKUP($A3,Standings!$A:$M,7,0)</f>
        <v/>
      </c>
      <c r="K3" s="156">
        <f>VLOOKUP($A3,Standings!$A:$M,8,0)</f>
        <v/>
      </c>
      <c r="L3" s="156">
        <f>VLOOKUP($A3,Standings!$A:$M,9,0)</f>
        <v/>
      </c>
      <c r="M3" s="156">
        <f>VLOOKUP($A3,Standings!$A:$M,10,0)</f>
        <v/>
      </c>
      <c r="N3" s="156">
        <f>VLOOKUP($A3,Standings!$A:$M,11,0)</f>
        <v/>
      </c>
      <c r="O3" s="156">
        <f>VLOOKUP($A3,Standings!$A:$M,12,0)</f>
        <v/>
      </c>
      <c r="P3" s="156">
        <f>VLOOKUP($A3,Standings!$A:$N,14,0)</f>
        <v/>
      </c>
      <c r="Q3" s="167">
        <f>VLOOKUP($A3,Standings!$A:$M,4,0)</f>
        <v/>
      </c>
      <c r="R3" s="157" t="inlineStr">
        <is>
          <t>ATL</t>
        </is>
      </c>
      <c r="S3" s="157">
        <f>IFERROR(AVERAGE(U3,V3)/AVERAGE(U3,B3),1)</f>
        <v/>
      </c>
      <c r="T3" s="157" t="n">
        <v>1</v>
      </c>
      <c r="U3" s="157">
        <f>SUMIFS(2025Schedule!F:F,2025Schedule!N:N,Y3)/COUNTIFS(2025Schedule!N:N,Y3)</f>
        <v/>
      </c>
      <c r="V3" s="275">
        <f>SUMIFS(2025Schedule!F:F,2025Schedule!N:N,Z3)/COUNTIFS(2025Schedule!N:N,Z3)</f>
        <v/>
      </c>
      <c r="W3" s="275">
        <f>SUMIFS(2025Schedule!I:I,2025Schedule!N:N,Y3)/COUNTIFS(2025Schedule!N:N,Y3)</f>
        <v/>
      </c>
      <c r="X3" s="275">
        <f>SUMIFS(2025Schedule!I:I,2025Schedule!N:N,Z3)/COUNTIFS(2025Schedule!N:N,Z3)</f>
        <v/>
      </c>
      <c r="Y3" s="276">
        <f>A3&amp;"Away"</f>
        <v/>
      </c>
      <c r="Z3" s="276">
        <f>A3&amp;"Home"</f>
        <v/>
      </c>
      <c r="AA3" s="157" t="inlineStr">
        <is>
          <t>Atlanta Falcons</t>
        </is>
      </c>
      <c r="AB3" s="156" t="inlineStr">
        <is>
          <t xml:space="preserve"> Atlanta</t>
        </is>
      </c>
      <c r="AC3" s="157" t="inlineStr">
        <is>
          <t>ATL</t>
        </is>
      </c>
    </row>
    <row r="4" ht="14.4" customHeight="1" s="152">
      <c r="A4" s="156" t="inlineStr">
        <is>
          <t>Baltimore Ravens</t>
        </is>
      </c>
      <c r="B4" s="243">
        <f>IFERROR(I4/SUM(D4:E4,Q4),0)</f>
        <v/>
      </c>
      <c r="C4" s="243">
        <f>IFERROR(J4/SUM(D4:E4,Q4),0)</f>
        <v/>
      </c>
      <c r="D4" s="167">
        <f>VLOOKUP($A4,Standings!$A:$M,2,0)</f>
        <v/>
      </c>
      <c r="E4" s="167">
        <f>VLOOKUP($A4,Standings!$A:$M,3,0)</f>
        <v/>
      </c>
      <c r="F4" s="167">
        <f>VLOOKUP($A4,Standings!$A:$M,4,0)</f>
        <v/>
      </c>
      <c r="G4" s="157">
        <f>IFERROR(K4/SUM(D4:E4),0)</f>
        <v/>
      </c>
      <c r="H4" s="156">
        <f>VLOOKUP($A4,Standings!$A:$M,5,0)</f>
        <v/>
      </c>
      <c r="I4" s="156">
        <f>VLOOKUP($A4,Standings!$A:$M,6,0)</f>
        <v/>
      </c>
      <c r="J4" s="156">
        <f>VLOOKUP($A4,Standings!$A:$M,7,0)</f>
        <v/>
      </c>
      <c r="K4" s="156">
        <f>VLOOKUP($A4,Standings!$A:$M,8,0)</f>
        <v/>
      </c>
      <c r="L4" s="156">
        <f>VLOOKUP($A4,Standings!$A:$M,9,0)</f>
        <v/>
      </c>
      <c r="M4" s="156">
        <f>VLOOKUP($A4,Standings!$A:$M,10,0)</f>
        <v/>
      </c>
      <c r="N4" s="156">
        <f>VLOOKUP($A4,Standings!$A:$M,11,0)</f>
        <v/>
      </c>
      <c r="O4" s="156">
        <f>VLOOKUP($A4,Standings!$A:$M,12,0)</f>
        <v/>
      </c>
      <c r="P4" s="156">
        <f>VLOOKUP($A4,Standings!$A:$N,14,0)</f>
        <v/>
      </c>
      <c r="Q4" s="167">
        <f>VLOOKUP($A4,Standings!$A:$M,4,0)</f>
        <v/>
      </c>
      <c r="R4" s="157" t="inlineStr">
        <is>
          <t>BAL</t>
        </is>
      </c>
      <c r="S4" s="157">
        <f>IFERROR(AVERAGE(U4,V4)/AVERAGE(U4,B4),1)</f>
        <v/>
      </c>
      <c r="T4" s="157" t="n">
        <v>1</v>
      </c>
      <c r="U4" s="157">
        <f>SUMIFS(2025Schedule!F:F,2025Schedule!N:N,Y4)/COUNTIFS(2025Schedule!N:N,Y4)</f>
        <v/>
      </c>
      <c r="V4" s="275">
        <f>SUMIFS(2025Schedule!F:F,2025Schedule!N:N,Z4)/COUNTIFS(2025Schedule!N:N,Z4)</f>
        <v/>
      </c>
      <c r="W4" s="275">
        <f>SUMIFS(2025Schedule!I:I,2025Schedule!N:N,Y4)/COUNTIFS(2025Schedule!N:N,Y4)</f>
        <v/>
      </c>
      <c r="X4" s="275">
        <f>SUMIFS(2025Schedule!I:I,2025Schedule!N:N,Z4)/COUNTIFS(2025Schedule!N:N,Z4)</f>
        <v/>
      </c>
      <c r="Y4" s="276">
        <f>A4&amp;"Away"</f>
        <v/>
      </c>
      <c r="Z4" s="276">
        <f>A4&amp;"Home"</f>
        <v/>
      </c>
      <c r="AA4" s="157" t="inlineStr">
        <is>
          <t>Baltimore Ravens</t>
        </is>
      </c>
      <c r="AB4" s="156" t="inlineStr">
        <is>
          <t xml:space="preserve"> Baltimore</t>
        </is>
      </c>
      <c r="AC4" s="157" t="inlineStr">
        <is>
          <t>BAL</t>
        </is>
      </c>
    </row>
    <row r="5" ht="14.4" customHeight="1" s="152">
      <c r="A5" s="156" t="inlineStr">
        <is>
          <t>Buffalo Bills</t>
        </is>
      </c>
      <c r="B5" s="243">
        <f>IFERROR(I5/SUM(D5:E5,Q5),0)</f>
        <v/>
      </c>
      <c r="C5" s="243">
        <f>IFERROR(J5/SUM(D5:E5,Q5),0)</f>
        <v/>
      </c>
      <c r="D5" s="167">
        <f>VLOOKUP($A5,Standings!$A:$M,2,0)</f>
        <v/>
      </c>
      <c r="E5" s="167">
        <f>VLOOKUP($A5,Standings!$A:$M,3,0)</f>
        <v/>
      </c>
      <c r="F5" s="167">
        <f>VLOOKUP($A5,Standings!$A:$M,4,0)</f>
        <v/>
      </c>
      <c r="G5" s="157">
        <f>IFERROR(K5/SUM(D5:E5),0)</f>
        <v/>
      </c>
      <c r="H5" s="156">
        <f>VLOOKUP($A5,Standings!$A:$M,5,0)</f>
        <v/>
      </c>
      <c r="I5" s="156">
        <f>VLOOKUP($A5,Standings!$A:$M,6,0)</f>
        <v/>
      </c>
      <c r="J5" s="156">
        <f>VLOOKUP($A5,Standings!$A:$M,7,0)</f>
        <v/>
      </c>
      <c r="K5" s="156">
        <f>VLOOKUP($A5,Standings!$A:$M,8,0)</f>
        <v/>
      </c>
      <c r="L5" s="156">
        <f>VLOOKUP($A5,Standings!$A:$M,9,0)</f>
        <v/>
      </c>
      <c r="M5" s="156">
        <f>VLOOKUP($A5,Standings!$A:$M,10,0)</f>
        <v/>
      </c>
      <c r="N5" s="156">
        <f>VLOOKUP($A5,Standings!$A:$M,11,0)</f>
        <v/>
      </c>
      <c r="O5" s="156">
        <f>VLOOKUP($A5,Standings!$A:$M,12,0)</f>
        <v/>
      </c>
      <c r="P5" s="156">
        <f>VLOOKUP($A5,Standings!$A:$N,14,0)</f>
        <v/>
      </c>
      <c r="Q5" s="167">
        <f>VLOOKUP($A5,Standings!$A:$M,4,0)</f>
        <v/>
      </c>
      <c r="R5" s="157" t="inlineStr">
        <is>
          <t>BUF</t>
        </is>
      </c>
      <c r="S5" s="157">
        <f>IFERROR(AVERAGE(U5,V5)/AVERAGE(U5,B5),1)</f>
        <v/>
      </c>
      <c r="T5" s="157" t="n">
        <v>1</v>
      </c>
      <c r="U5" s="157">
        <f>SUMIFS(2025Schedule!F:F,2025Schedule!N:N,Y5)/COUNTIFS(2025Schedule!N:N,Y5)</f>
        <v/>
      </c>
      <c r="V5" s="275">
        <f>SUMIFS(2025Schedule!F:F,2025Schedule!N:N,Z5)/COUNTIFS(2025Schedule!N:N,Z5)</f>
        <v/>
      </c>
      <c r="W5" s="275">
        <f>SUMIFS(2025Schedule!I:I,2025Schedule!N:N,Y5)/COUNTIFS(2025Schedule!N:N,Y5)</f>
        <v/>
      </c>
      <c r="X5" s="275">
        <f>SUMIFS(2025Schedule!I:I,2025Schedule!N:N,Z5)/COUNTIFS(2025Schedule!N:N,Z5)</f>
        <v/>
      </c>
      <c r="Y5" s="276">
        <f>A5&amp;"Away"</f>
        <v/>
      </c>
      <c r="Z5" s="276">
        <f>A5&amp;"Home"</f>
        <v/>
      </c>
      <c r="AA5" s="157" t="inlineStr">
        <is>
          <t>Buffalo Bills</t>
        </is>
      </c>
      <c r="AB5" s="156" t="inlineStr">
        <is>
          <t xml:space="preserve"> Buffalo</t>
        </is>
      </c>
      <c r="AC5" s="157" t="inlineStr">
        <is>
          <t>BUF</t>
        </is>
      </c>
    </row>
    <row r="6" ht="14.4" customHeight="1" s="152">
      <c r="A6" s="156" t="inlineStr">
        <is>
          <t>Carolina Panthers</t>
        </is>
      </c>
      <c r="B6" s="243">
        <f>IFERROR(I6/SUM(D6:E6,Q6),0)</f>
        <v/>
      </c>
      <c r="C6" s="243">
        <f>IFERROR(J6/SUM(D6:E6,Q6),0)</f>
        <v/>
      </c>
      <c r="D6" s="167">
        <f>VLOOKUP($A6,Standings!$A:$M,2,0)</f>
        <v/>
      </c>
      <c r="E6" s="167">
        <f>VLOOKUP($A6,Standings!$A:$M,3,0)</f>
        <v/>
      </c>
      <c r="F6" s="167">
        <f>VLOOKUP($A6,Standings!$A:$M,4,0)</f>
        <v/>
      </c>
      <c r="G6" s="157">
        <f>IFERROR(K6/SUM(D6:E6),0)</f>
        <v/>
      </c>
      <c r="H6" s="156">
        <f>VLOOKUP($A6,Standings!$A:$M,5,0)</f>
        <v/>
      </c>
      <c r="I6" s="156">
        <f>VLOOKUP($A6,Standings!$A:$M,6,0)</f>
        <v/>
      </c>
      <c r="J6" s="156">
        <f>VLOOKUP($A6,Standings!$A:$M,7,0)</f>
        <v/>
      </c>
      <c r="K6" s="156">
        <f>VLOOKUP($A6,Standings!$A:$M,8,0)</f>
        <v/>
      </c>
      <c r="L6" s="156">
        <f>VLOOKUP($A6,Standings!$A:$M,9,0)</f>
        <v/>
      </c>
      <c r="M6" s="156">
        <f>VLOOKUP($A6,Standings!$A:$M,10,0)</f>
        <v/>
      </c>
      <c r="N6" s="156">
        <f>VLOOKUP($A6,Standings!$A:$M,11,0)</f>
        <v/>
      </c>
      <c r="O6" s="156">
        <f>VLOOKUP($A6,Standings!$A:$M,12,0)</f>
        <v/>
      </c>
      <c r="P6" s="156">
        <f>VLOOKUP($A6,Standings!$A:$N,14,0)</f>
        <v/>
      </c>
      <c r="Q6" s="167">
        <f>VLOOKUP($A6,Standings!$A:$M,4,0)</f>
        <v/>
      </c>
      <c r="R6" s="157" t="inlineStr">
        <is>
          <t>CAR</t>
        </is>
      </c>
      <c r="S6" s="157">
        <f>IFERROR(AVERAGE(U6,V6)/AVERAGE(U6,B6),1)</f>
        <v/>
      </c>
      <c r="T6" s="157" t="n">
        <v>1</v>
      </c>
      <c r="U6" s="157">
        <f>SUMIFS(2025Schedule!F:F,2025Schedule!N:N,Y6)/COUNTIFS(2025Schedule!N:N,Y6)</f>
        <v/>
      </c>
      <c r="V6" s="275">
        <f>SUMIFS(2025Schedule!F:F,2025Schedule!N:N,Z6)/COUNTIFS(2025Schedule!N:N,Z6)</f>
        <v/>
      </c>
      <c r="W6" s="275">
        <f>SUMIFS(2025Schedule!I:I,2025Schedule!N:N,Y6)/COUNTIFS(2025Schedule!N:N,Y6)</f>
        <v/>
      </c>
      <c r="X6" s="275">
        <f>SUMIFS(2025Schedule!I:I,2025Schedule!N:N,Z6)/COUNTIFS(2025Schedule!N:N,Z6)</f>
        <v/>
      </c>
      <c r="Y6" s="276">
        <f>A6&amp;"Away"</f>
        <v/>
      </c>
      <c r="Z6" s="276">
        <f>A6&amp;"Home"</f>
        <v/>
      </c>
      <c r="AA6" s="157" t="inlineStr">
        <is>
          <t>Carolina Panthers</t>
        </is>
      </c>
      <c r="AB6" s="156" t="inlineStr">
        <is>
          <t xml:space="preserve"> Carolina</t>
        </is>
      </c>
      <c r="AC6" s="157" t="inlineStr">
        <is>
          <t>CAR</t>
        </is>
      </c>
    </row>
    <row r="7" ht="14.4" customHeight="1" s="152">
      <c r="A7" s="156" t="inlineStr">
        <is>
          <t>Chicago Bears</t>
        </is>
      </c>
      <c r="B7" s="243">
        <f>IFERROR(I7/SUM(D7:E7,Q7),0)</f>
        <v/>
      </c>
      <c r="C7" s="243">
        <f>IFERROR(J7/SUM(D7:E7,Q7),0)</f>
        <v/>
      </c>
      <c r="D7" s="167">
        <f>VLOOKUP($A7,Standings!$A:$M,2,0)</f>
        <v/>
      </c>
      <c r="E7" s="167">
        <f>VLOOKUP($A7,Standings!$A:$M,3,0)</f>
        <v/>
      </c>
      <c r="F7" s="167">
        <f>VLOOKUP($A7,Standings!$A:$M,4,0)</f>
        <v/>
      </c>
      <c r="G7" s="157">
        <f>IFERROR(K7/SUM(D7:E7),0)</f>
        <v/>
      </c>
      <c r="H7" s="156">
        <f>VLOOKUP($A7,Standings!$A:$M,5,0)</f>
        <v/>
      </c>
      <c r="I7" s="156">
        <f>VLOOKUP($A7,Standings!$A:$M,6,0)</f>
        <v/>
      </c>
      <c r="J7" s="156">
        <f>VLOOKUP($A7,Standings!$A:$M,7,0)</f>
        <v/>
      </c>
      <c r="K7" s="156">
        <f>VLOOKUP($A7,Standings!$A:$M,8,0)</f>
        <v/>
      </c>
      <c r="L7" s="156">
        <f>VLOOKUP($A7,Standings!$A:$M,9,0)</f>
        <v/>
      </c>
      <c r="M7" s="156">
        <f>VLOOKUP($A7,Standings!$A:$M,10,0)</f>
        <v/>
      </c>
      <c r="N7" s="156">
        <f>VLOOKUP($A7,Standings!$A:$M,11,0)</f>
        <v/>
      </c>
      <c r="O7" s="156">
        <f>VLOOKUP($A7,Standings!$A:$M,12,0)</f>
        <v/>
      </c>
      <c r="P7" s="156">
        <f>VLOOKUP($A7,Standings!$A:$N,14,0)</f>
        <v/>
      </c>
      <c r="Q7" s="167">
        <f>VLOOKUP($A7,Standings!$A:$M,4,0)</f>
        <v/>
      </c>
      <c r="R7" s="157" t="inlineStr">
        <is>
          <t>CHI</t>
        </is>
      </c>
      <c r="S7" s="157">
        <f>IFERROR(AVERAGE(U7,V7)/AVERAGE(U7,B7),1)</f>
        <v/>
      </c>
      <c r="T7" s="157" t="n">
        <v>1</v>
      </c>
      <c r="U7" s="157">
        <f>SUMIFS(2025Schedule!F:F,2025Schedule!N:N,Y7)/COUNTIFS(2025Schedule!N:N,Y7)</f>
        <v/>
      </c>
      <c r="V7" s="275">
        <f>SUMIFS(2025Schedule!F:F,2025Schedule!N:N,Z7)/COUNTIFS(2025Schedule!N:N,Z7)</f>
        <v/>
      </c>
      <c r="W7" s="275">
        <f>SUMIFS(2025Schedule!I:I,2025Schedule!N:N,Y7)/COUNTIFS(2025Schedule!N:N,Y7)</f>
        <v/>
      </c>
      <c r="X7" s="275">
        <f>SUMIFS(2025Schedule!I:I,2025Schedule!N:N,Z7)/COUNTIFS(2025Schedule!N:N,Z7)</f>
        <v/>
      </c>
      <c r="Y7" s="276">
        <f>A7&amp;"Away"</f>
        <v/>
      </c>
      <c r="Z7" s="276">
        <f>A7&amp;"Home"</f>
        <v/>
      </c>
      <c r="AA7" s="157" t="inlineStr">
        <is>
          <t>Chicago Bears</t>
        </is>
      </c>
      <c r="AB7" s="156" t="inlineStr">
        <is>
          <t xml:space="preserve"> Chicago</t>
        </is>
      </c>
      <c r="AC7" s="157" t="inlineStr">
        <is>
          <t>CHI</t>
        </is>
      </c>
    </row>
    <row r="8" ht="14.4" customHeight="1" s="152">
      <c r="A8" s="156" t="inlineStr">
        <is>
          <t>Cincinnati Bengals</t>
        </is>
      </c>
      <c r="B8" s="243">
        <f>IFERROR(I8/SUM(D8:E8,Q8),0)</f>
        <v/>
      </c>
      <c r="C8" s="243">
        <f>IFERROR(J8/SUM(D8:E8,Q8),0)</f>
        <v/>
      </c>
      <c r="D8" s="167">
        <f>VLOOKUP($A8,Standings!$A:$M,2,0)</f>
        <v/>
      </c>
      <c r="E8" s="167">
        <f>VLOOKUP($A8,Standings!$A:$M,3,0)</f>
        <v/>
      </c>
      <c r="F8" s="167">
        <f>VLOOKUP($A8,Standings!$A:$M,4,0)</f>
        <v/>
      </c>
      <c r="G8" s="157">
        <f>IFERROR(K8/SUM(D8:E8),0)</f>
        <v/>
      </c>
      <c r="H8" s="156">
        <f>VLOOKUP($A8,Standings!$A:$M,5,0)</f>
        <v/>
      </c>
      <c r="I8" s="156">
        <f>VLOOKUP($A8,Standings!$A:$M,6,0)</f>
        <v/>
      </c>
      <c r="J8" s="156">
        <f>VLOOKUP($A8,Standings!$A:$M,7,0)</f>
        <v/>
      </c>
      <c r="K8" s="156">
        <f>VLOOKUP($A8,Standings!$A:$M,8,0)</f>
        <v/>
      </c>
      <c r="L8" s="156">
        <f>VLOOKUP($A8,Standings!$A:$M,9,0)</f>
        <v/>
      </c>
      <c r="M8" s="156">
        <f>VLOOKUP($A8,Standings!$A:$M,10,0)</f>
        <v/>
      </c>
      <c r="N8" s="156">
        <f>VLOOKUP($A8,Standings!$A:$M,11,0)</f>
        <v/>
      </c>
      <c r="O8" s="156">
        <f>VLOOKUP($A8,Standings!$A:$M,12,0)</f>
        <v/>
      </c>
      <c r="P8" s="156">
        <f>VLOOKUP($A8,Standings!$A:$N,14,0)</f>
        <v/>
      </c>
      <c r="Q8" s="167">
        <f>VLOOKUP($A8,Standings!$A:$M,4,0)</f>
        <v/>
      </c>
      <c r="R8" s="157" t="inlineStr">
        <is>
          <t>CIN</t>
        </is>
      </c>
      <c r="S8" s="157">
        <f>IFERROR(AVERAGE(U8,V8)/AVERAGE(U8,B8),1)</f>
        <v/>
      </c>
      <c r="T8" s="157" t="n">
        <v>1</v>
      </c>
      <c r="U8" s="157">
        <f>SUMIFS(2025Schedule!F:F,2025Schedule!N:N,Y8)/COUNTIFS(2025Schedule!N:N,Y8)</f>
        <v/>
      </c>
      <c r="V8" s="275">
        <f>SUMIFS(2025Schedule!F:F,2025Schedule!N:N,Z8)/COUNTIFS(2025Schedule!N:N,Z8)</f>
        <v/>
      </c>
      <c r="W8" s="275">
        <f>SUMIFS(2025Schedule!I:I,2025Schedule!N:N,Y8)/COUNTIFS(2025Schedule!N:N,Y8)</f>
        <v/>
      </c>
      <c r="X8" s="275">
        <f>SUMIFS(2025Schedule!I:I,2025Schedule!N:N,Z8)/COUNTIFS(2025Schedule!N:N,Z8)</f>
        <v/>
      </c>
      <c r="Y8" s="276">
        <f>A8&amp;"Away"</f>
        <v/>
      </c>
      <c r="Z8" s="276">
        <f>A8&amp;"Home"</f>
        <v/>
      </c>
      <c r="AA8" s="157" t="inlineStr">
        <is>
          <t>Cincinnati Bengals</t>
        </is>
      </c>
      <c r="AB8" s="156" t="inlineStr">
        <is>
          <t xml:space="preserve"> Cincinnati</t>
        </is>
      </c>
      <c r="AC8" s="157" t="inlineStr">
        <is>
          <t>CIN</t>
        </is>
      </c>
    </row>
    <row r="9" ht="14.4" customHeight="1" s="152">
      <c r="A9" s="156" t="inlineStr">
        <is>
          <t>Cleveland Browns</t>
        </is>
      </c>
      <c r="B9" s="243">
        <f>IFERROR(I9/SUM(D9:E9,Q9),0)</f>
        <v/>
      </c>
      <c r="C9" s="243">
        <f>IFERROR(J9/SUM(D9:E9,Q9),0)</f>
        <v/>
      </c>
      <c r="D9" s="167">
        <f>VLOOKUP($A9,Standings!$A:$M,2,0)</f>
        <v/>
      </c>
      <c r="E9" s="167">
        <f>VLOOKUP($A9,Standings!$A:$M,3,0)</f>
        <v/>
      </c>
      <c r="F9" s="167">
        <f>VLOOKUP($A9,Standings!$A:$M,4,0)</f>
        <v/>
      </c>
      <c r="G9" s="157">
        <f>IFERROR(K9/SUM(D9:E9),0)</f>
        <v/>
      </c>
      <c r="H9" s="156">
        <f>VLOOKUP($A9,Standings!$A:$M,5,0)</f>
        <v/>
      </c>
      <c r="I9" s="156">
        <f>VLOOKUP($A9,Standings!$A:$M,6,0)</f>
        <v/>
      </c>
      <c r="J9" s="156">
        <f>VLOOKUP($A9,Standings!$A:$M,7,0)</f>
        <v/>
      </c>
      <c r="K9" s="156">
        <f>VLOOKUP($A9,Standings!$A:$M,8,0)</f>
        <v/>
      </c>
      <c r="L9" s="156">
        <f>VLOOKUP($A9,Standings!$A:$M,9,0)</f>
        <v/>
      </c>
      <c r="M9" s="156">
        <f>VLOOKUP($A9,Standings!$A:$M,10,0)</f>
        <v/>
      </c>
      <c r="N9" s="156">
        <f>VLOOKUP($A9,Standings!$A:$M,11,0)</f>
        <v/>
      </c>
      <c r="O9" s="156">
        <f>VLOOKUP($A9,Standings!$A:$M,12,0)</f>
        <v/>
      </c>
      <c r="P9" s="156">
        <f>VLOOKUP($A9,Standings!$A:$N,14,0)</f>
        <v/>
      </c>
      <c r="Q9" s="167">
        <f>VLOOKUP($A9,Standings!$A:$M,4,0)</f>
        <v/>
      </c>
      <c r="R9" s="157" t="inlineStr">
        <is>
          <t>CLE</t>
        </is>
      </c>
      <c r="S9" s="157">
        <f>IFERROR(AVERAGE(U9,V9)/AVERAGE(U9,B9),1)</f>
        <v/>
      </c>
      <c r="T9" s="157" t="n">
        <v>1</v>
      </c>
      <c r="U9" s="157">
        <f>SUMIFS(2025Schedule!F:F,2025Schedule!N:N,Y9)/COUNTIFS(2025Schedule!N:N,Y9)</f>
        <v/>
      </c>
      <c r="V9" s="275">
        <f>SUMIFS(2025Schedule!F:F,2025Schedule!N:N,Z9)/COUNTIFS(2025Schedule!N:N,Z9)</f>
        <v/>
      </c>
      <c r="W9" s="275">
        <f>SUMIFS(2025Schedule!I:I,2025Schedule!N:N,Y9)/COUNTIFS(2025Schedule!N:N,Y9)</f>
        <v/>
      </c>
      <c r="X9" s="275">
        <f>SUMIFS(2025Schedule!I:I,2025Schedule!N:N,Z9)/COUNTIFS(2025Schedule!N:N,Z9)</f>
        <v/>
      </c>
      <c r="Y9" s="276">
        <f>A9&amp;"Away"</f>
        <v/>
      </c>
      <c r="Z9" s="276">
        <f>A9&amp;"Home"</f>
        <v/>
      </c>
      <c r="AA9" s="157" t="inlineStr">
        <is>
          <t>Cleveland Browns</t>
        </is>
      </c>
      <c r="AB9" s="156" t="inlineStr">
        <is>
          <t xml:space="preserve"> Cleveland</t>
        </is>
      </c>
      <c r="AC9" s="157" t="inlineStr">
        <is>
          <t>CLE</t>
        </is>
      </c>
    </row>
    <row r="10" ht="14.4" customHeight="1" s="152">
      <c r="A10" s="156" t="inlineStr">
        <is>
          <t>Dallas Cowboys</t>
        </is>
      </c>
      <c r="B10" s="243">
        <f>IFERROR(I10/SUM(D10:E10,Q10),0)</f>
        <v/>
      </c>
      <c r="C10" s="243">
        <f>IFERROR(J10/SUM(D10:E10,Q10),0)</f>
        <v/>
      </c>
      <c r="D10" s="167">
        <f>VLOOKUP($A10,Standings!$A:$M,2,0)</f>
        <v/>
      </c>
      <c r="E10" s="167">
        <f>VLOOKUP($A10,Standings!$A:$M,3,0)</f>
        <v/>
      </c>
      <c r="F10" s="167">
        <f>VLOOKUP($A10,Standings!$A:$M,4,0)</f>
        <v/>
      </c>
      <c r="G10" s="157">
        <f>IFERROR(K10/SUM(D10:E10),0)</f>
        <v/>
      </c>
      <c r="H10" s="156">
        <f>VLOOKUP($A10,Standings!$A:$M,5,0)</f>
        <v/>
      </c>
      <c r="I10" s="156">
        <f>VLOOKUP($A10,Standings!$A:$M,6,0)</f>
        <v/>
      </c>
      <c r="J10" s="156">
        <f>VLOOKUP($A10,Standings!$A:$M,7,0)</f>
        <v/>
      </c>
      <c r="K10" s="156">
        <f>VLOOKUP($A10,Standings!$A:$M,8,0)</f>
        <v/>
      </c>
      <c r="L10" s="156">
        <f>VLOOKUP($A10,Standings!$A:$M,9,0)</f>
        <v/>
      </c>
      <c r="M10" s="156">
        <f>VLOOKUP($A10,Standings!$A:$M,10,0)</f>
        <v/>
      </c>
      <c r="N10" s="156">
        <f>VLOOKUP($A10,Standings!$A:$M,11,0)</f>
        <v/>
      </c>
      <c r="O10" s="156">
        <f>VLOOKUP($A10,Standings!$A:$M,12,0)</f>
        <v/>
      </c>
      <c r="P10" s="156">
        <f>VLOOKUP($A10,Standings!$A:$N,14,0)</f>
        <v/>
      </c>
      <c r="Q10" s="167">
        <f>VLOOKUP($A10,Standings!$A:$M,4,0)</f>
        <v/>
      </c>
      <c r="R10" s="157" t="inlineStr">
        <is>
          <t>DAL</t>
        </is>
      </c>
      <c r="S10" s="157">
        <f>IFERROR(AVERAGE(U10,V10)/AVERAGE(U10,B10),1)</f>
        <v/>
      </c>
      <c r="T10" s="157" t="n">
        <v>1</v>
      </c>
      <c r="U10" s="157">
        <f>SUMIFS(2025Schedule!F:F,2025Schedule!N:N,Y10)/COUNTIFS(2025Schedule!N:N,Y10)</f>
        <v/>
      </c>
      <c r="V10" s="275">
        <f>SUMIFS(2025Schedule!F:F,2025Schedule!N:N,Z10)/COUNTIFS(2025Schedule!N:N,Z10)</f>
        <v/>
      </c>
      <c r="W10" s="275">
        <f>SUMIFS(2025Schedule!I:I,2025Schedule!N:N,Y10)/COUNTIFS(2025Schedule!N:N,Y10)</f>
        <v/>
      </c>
      <c r="X10" s="275">
        <f>SUMIFS(2025Schedule!I:I,2025Schedule!N:N,Z10)/COUNTIFS(2025Schedule!N:N,Z10)</f>
        <v/>
      </c>
      <c r="Y10" s="276">
        <f>A10&amp;"Away"</f>
        <v/>
      </c>
      <c r="Z10" s="276">
        <f>A10&amp;"Home"</f>
        <v/>
      </c>
      <c r="AA10" s="157" t="inlineStr">
        <is>
          <t>Dallas Cowboys</t>
        </is>
      </c>
      <c r="AB10" s="156" t="inlineStr">
        <is>
          <t xml:space="preserve"> Dallas</t>
        </is>
      </c>
      <c r="AC10" s="157" t="inlineStr">
        <is>
          <t>DAL</t>
        </is>
      </c>
    </row>
    <row r="11" ht="14.4" customHeight="1" s="152">
      <c r="A11" s="156" t="inlineStr">
        <is>
          <t>Denver Broncos</t>
        </is>
      </c>
      <c r="B11" s="243">
        <f>IFERROR(I11/SUM(D11:E11,Q11),0)</f>
        <v/>
      </c>
      <c r="C11" s="243">
        <f>IFERROR(J11/SUM(D11:E11,Q11),0)</f>
        <v/>
      </c>
      <c r="D11" s="167">
        <f>VLOOKUP($A11,Standings!$A:$M,2,0)</f>
        <v/>
      </c>
      <c r="E11" s="167">
        <f>VLOOKUP($A11,Standings!$A:$M,3,0)</f>
        <v/>
      </c>
      <c r="F11" s="167">
        <f>VLOOKUP($A11,Standings!$A:$M,4,0)</f>
        <v/>
      </c>
      <c r="G11" s="157">
        <f>IFERROR(K11/SUM(D11:E11),0)</f>
        <v/>
      </c>
      <c r="H11" s="156">
        <f>VLOOKUP($A11,Standings!$A:$M,5,0)</f>
        <v/>
      </c>
      <c r="I11" s="156">
        <f>VLOOKUP($A11,Standings!$A:$M,6,0)</f>
        <v/>
      </c>
      <c r="J11" s="156">
        <f>VLOOKUP($A11,Standings!$A:$M,7,0)</f>
        <v/>
      </c>
      <c r="K11" s="156">
        <f>VLOOKUP($A11,Standings!$A:$M,8,0)</f>
        <v/>
      </c>
      <c r="L11" s="156">
        <f>VLOOKUP($A11,Standings!$A:$M,9,0)</f>
        <v/>
      </c>
      <c r="M11" s="156">
        <f>VLOOKUP($A11,Standings!$A:$M,10,0)</f>
        <v/>
      </c>
      <c r="N11" s="156">
        <f>VLOOKUP($A11,Standings!$A:$M,11,0)</f>
        <v/>
      </c>
      <c r="O11" s="156">
        <f>VLOOKUP($A11,Standings!$A:$M,12,0)</f>
        <v/>
      </c>
      <c r="P11" s="156">
        <f>VLOOKUP($A11,Standings!$A:$N,14,0)</f>
        <v/>
      </c>
      <c r="Q11" s="167">
        <f>VLOOKUP($A11,Standings!$A:$M,4,0)</f>
        <v/>
      </c>
      <c r="R11" s="157" t="inlineStr">
        <is>
          <t>DEN</t>
        </is>
      </c>
      <c r="S11" s="157">
        <f>IFERROR(AVERAGE(U11,V11)/AVERAGE(U11,B11),1)</f>
        <v/>
      </c>
      <c r="T11" s="157" t="n">
        <v>1</v>
      </c>
      <c r="U11" s="157">
        <f>SUMIFS(2025Schedule!F:F,2025Schedule!N:N,Y11)/COUNTIFS(2025Schedule!N:N,Y11)</f>
        <v/>
      </c>
      <c r="V11" s="275">
        <f>SUMIFS(2025Schedule!F:F,2025Schedule!N:N,Z11)/COUNTIFS(2025Schedule!N:N,Z11)</f>
        <v/>
      </c>
      <c r="W11" s="275">
        <f>SUMIFS(2025Schedule!I:I,2025Schedule!N:N,Y11)/COUNTIFS(2025Schedule!N:N,Y11)</f>
        <v/>
      </c>
      <c r="X11" s="275">
        <f>SUMIFS(2025Schedule!I:I,2025Schedule!N:N,Z11)/COUNTIFS(2025Schedule!N:N,Z11)</f>
        <v/>
      </c>
      <c r="Y11" s="276">
        <f>A11&amp;"Away"</f>
        <v/>
      </c>
      <c r="Z11" s="276">
        <f>A11&amp;"Home"</f>
        <v/>
      </c>
      <c r="AA11" s="157" t="inlineStr">
        <is>
          <t>Denver Broncos</t>
        </is>
      </c>
      <c r="AB11" s="156" t="inlineStr">
        <is>
          <t xml:space="preserve"> Denver</t>
        </is>
      </c>
      <c r="AC11" s="157" t="inlineStr">
        <is>
          <t>DEN</t>
        </is>
      </c>
    </row>
    <row r="12" ht="14.4" customHeight="1" s="152">
      <c r="A12" s="156" t="inlineStr">
        <is>
          <t>Detroit Lions</t>
        </is>
      </c>
      <c r="B12" s="243">
        <f>IFERROR(I12/SUM(D12:E12,Q12),0)</f>
        <v/>
      </c>
      <c r="C12" s="243">
        <f>IFERROR(J12/SUM(D12:E12,Q12),0)</f>
        <v/>
      </c>
      <c r="D12" s="167">
        <f>VLOOKUP($A12,Standings!$A:$M,2,0)</f>
        <v/>
      </c>
      <c r="E12" s="167">
        <f>VLOOKUP($A12,Standings!$A:$M,3,0)</f>
        <v/>
      </c>
      <c r="F12" s="167">
        <f>VLOOKUP($A12,Standings!$A:$M,4,0)</f>
        <v/>
      </c>
      <c r="G12" s="157">
        <f>IFERROR(K12/SUM(D12:E12),0)</f>
        <v/>
      </c>
      <c r="H12" s="156">
        <f>VLOOKUP($A12,Standings!$A:$M,5,0)</f>
        <v/>
      </c>
      <c r="I12" s="156">
        <f>VLOOKUP($A12,Standings!$A:$M,6,0)</f>
        <v/>
      </c>
      <c r="J12" s="156">
        <f>VLOOKUP($A12,Standings!$A:$M,7,0)</f>
        <v/>
      </c>
      <c r="K12" s="156">
        <f>VLOOKUP($A12,Standings!$A:$M,8,0)</f>
        <v/>
      </c>
      <c r="L12" s="156">
        <f>VLOOKUP($A12,Standings!$A:$M,9,0)</f>
        <v/>
      </c>
      <c r="M12" s="156">
        <f>VLOOKUP($A12,Standings!$A:$M,10,0)</f>
        <v/>
      </c>
      <c r="N12" s="156">
        <f>VLOOKUP($A12,Standings!$A:$M,11,0)</f>
        <v/>
      </c>
      <c r="O12" s="156">
        <f>VLOOKUP($A12,Standings!$A:$M,12,0)</f>
        <v/>
      </c>
      <c r="P12" s="156">
        <f>VLOOKUP($A12,Standings!$A:$N,14,0)</f>
        <v/>
      </c>
      <c r="Q12" s="167">
        <f>VLOOKUP($A12,Standings!$A:$M,4,0)</f>
        <v/>
      </c>
      <c r="R12" s="157" t="inlineStr">
        <is>
          <t>DET</t>
        </is>
      </c>
      <c r="S12" s="157">
        <f>IFERROR(AVERAGE(U12,V12)/AVERAGE(U12,B12),1)</f>
        <v/>
      </c>
      <c r="T12" s="157" t="n">
        <v>1</v>
      </c>
      <c r="U12" s="157">
        <f>SUMIFS(2025Schedule!F:F,2025Schedule!N:N,Y12)/COUNTIFS(2025Schedule!N:N,Y12)</f>
        <v/>
      </c>
      <c r="V12" s="275">
        <f>SUMIFS(2025Schedule!F:F,2025Schedule!N:N,Z12)/COUNTIFS(2025Schedule!N:N,Z12)</f>
        <v/>
      </c>
      <c r="W12" s="275">
        <f>SUMIFS(2025Schedule!I:I,2025Schedule!N:N,Y12)/COUNTIFS(2025Schedule!N:N,Y12)</f>
        <v/>
      </c>
      <c r="X12" s="275">
        <f>SUMIFS(2025Schedule!I:I,2025Schedule!N:N,Z12)/COUNTIFS(2025Schedule!N:N,Z12)</f>
        <v/>
      </c>
      <c r="Y12" s="276">
        <f>A12&amp;"Away"</f>
        <v/>
      </c>
      <c r="Z12" s="276">
        <f>A12&amp;"Home"</f>
        <v/>
      </c>
      <c r="AA12" s="157" t="inlineStr">
        <is>
          <t>Detroit Lions</t>
        </is>
      </c>
      <c r="AB12" s="156" t="inlineStr">
        <is>
          <t xml:space="preserve"> Detroit</t>
        </is>
      </c>
      <c r="AC12" s="157" t="inlineStr">
        <is>
          <t>DET</t>
        </is>
      </c>
    </row>
    <row r="13" ht="14.4" customHeight="1" s="152">
      <c r="A13" s="156" t="inlineStr">
        <is>
          <t>Green Bay Packers</t>
        </is>
      </c>
      <c r="B13" s="243">
        <f>IFERROR(I13/SUM(D13:E13,Q13),0)</f>
        <v/>
      </c>
      <c r="C13" s="243">
        <f>IFERROR(J13/SUM(D13:E13,Q13),0)</f>
        <v/>
      </c>
      <c r="D13" s="167">
        <f>VLOOKUP($A13,Standings!$A:$M,2,0)</f>
        <v/>
      </c>
      <c r="E13" s="167">
        <f>VLOOKUP($A13,Standings!$A:$M,3,0)</f>
        <v/>
      </c>
      <c r="F13" s="167">
        <f>VLOOKUP($A13,Standings!$A:$M,4,0)</f>
        <v/>
      </c>
      <c r="G13" s="157">
        <f>IFERROR(K13/SUM(D13:E13),0)</f>
        <v/>
      </c>
      <c r="H13" s="156">
        <f>VLOOKUP($A13,Standings!$A:$M,5,0)</f>
        <v/>
      </c>
      <c r="I13" s="156">
        <f>VLOOKUP($A13,Standings!$A:$M,6,0)</f>
        <v/>
      </c>
      <c r="J13" s="156">
        <f>VLOOKUP($A13,Standings!$A:$M,7,0)</f>
        <v/>
      </c>
      <c r="K13" s="156">
        <f>VLOOKUP($A13,Standings!$A:$M,8,0)</f>
        <v/>
      </c>
      <c r="L13" s="156">
        <f>VLOOKUP($A13,Standings!$A:$M,9,0)</f>
        <v/>
      </c>
      <c r="M13" s="156">
        <f>VLOOKUP($A13,Standings!$A:$M,10,0)</f>
        <v/>
      </c>
      <c r="N13" s="156">
        <f>VLOOKUP($A13,Standings!$A:$M,11,0)</f>
        <v/>
      </c>
      <c r="O13" s="156">
        <f>VLOOKUP($A13,Standings!$A:$M,12,0)</f>
        <v/>
      </c>
      <c r="P13" s="156">
        <f>VLOOKUP($A13,Standings!$A:$N,14,0)</f>
        <v/>
      </c>
      <c r="Q13" s="167">
        <f>VLOOKUP($A13,Standings!$A:$M,4,0)</f>
        <v/>
      </c>
      <c r="R13" s="157" t="inlineStr">
        <is>
          <t>GB</t>
        </is>
      </c>
      <c r="S13" s="157">
        <f>IFERROR(AVERAGE(U13,V13)/AVERAGE(U13,B13),1)</f>
        <v/>
      </c>
      <c r="T13" s="157" t="n">
        <v>1</v>
      </c>
      <c r="U13" s="157">
        <f>SUMIFS(2025Schedule!F:F,2025Schedule!N:N,Y13)/COUNTIFS(2025Schedule!N:N,Y13)</f>
        <v/>
      </c>
      <c r="V13" s="275">
        <f>SUMIFS(2025Schedule!F:F,2025Schedule!N:N,Z13)/COUNTIFS(2025Schedule!N:N,Z13)</f>
        <v/>
      </c>
      <c r="W13" s="275">
        <f>SUMIFS(2025Schedule!I:I,2025Schedule!N:N,Y13)/COUNTIFS(2025Schedule!N:N,Y13)</f>
        <v/>
      </c>
      <c r="X13" s="275">
        <f>SUMIFS(2025Schedule!I:I,2025Schedule!N:N,Z13)/COUNTIFS(2025Schedule!N:N,Z13)</f>
        <v/>
      </c>
      <c r="Y13" s="276">
        <f>A13&amp;"Away"</f>
        <v/>
      </c>
      <c r="Z13" s="276">
        <f>A13&amp;"Home"</f>
        <v/>
      </c>
      <c r="AA13" s="157" t="inlineStr">
        <is>
          <t>Green Bay Packers</t>
        </is>
      </c>
      <c r="AB13" s="156" t="inlineStr">
        <is>
          <t xml:space="preserve"> Green Bay</t>
        </is>
      </c>
      <c r="AC13" s="157" t="inlineStr">
        <is>
          <t>GB</t>
        </is>
      </c>
    </row>
    <row r="14" ht="14.4" customHeight="1" s="152">
      <c r="A14" s="156" t="inlineStr">
        <is>
          <t>Houston Texans</t>
        </is>
      </c>
      <c r="B14" s="243">
        <f>IFERROR(I14/SUM(D14:E14,Q14),0)</f>
        <v/>
      </c>
      <c r="C14" s="243">
        <f>IFERROR(J14/SUM(D14:E14,Q14),0)</f>
        <v/>
      </c>
      <c r="D14" s="167">
        <f>VLOOKUP($A14,Standings!$A:$M,2,0)</f>
        <v/>
      </c>
      <c r="E14" s="167">
        <f>VLOOKUP($A14,Standings!$A:$M,3,0)</f>
        <v/>
      </c>
      <c r="F14" s="167">
        <f>VLOOKUP($A14,Standings!$A:$M,4,0)</f>
        <v/>
      </c>
      <c r="G14" s="157">
        <f>IFERROR(K14/SUM(D14:E14),0)</f>
        <v/>
      </c>
      <c r="H14" s="156">
        <f>VLOOKUP($A14,Standings!$A:$M,5,0)</f>
        <v/>
      </c>
      <c r="I14" s="156">
        <f>VLOOKUP($A14,Standings!$A:$M,6,0)</f>
        <v/>
      </c>
      <c r="J14" s="156">
        <f>VLOOKUP($A14,Standings!$A:$M,7,0)</f>
        <v/>
      </c>
      <c r="K14" s="156">
        <f>VLOOKUP($A14,Standings!$A:$M,8,0)</f>
        <v/>
      </c>
      <c r="L14" s="156">
        <f>VLOOKUP($A14,Standings!$A:$M,9,0)</f>
        <v/>
      </c>
      <c r="M14" s="156">
        <f>VLOOKUP($A14,Standings!$A:$M,10,0)</f>
        <v/>
      </c>
      <c r="N14" s="156">
        <f>VLOOKUP($A14,Standings!$A:$M,11,0)</f>
        <v/>
      </c>
      <c r="O14" s="156">
        <f>VLOOKUP($A14,Standings!$A:$M,12,0)</f>
        <v/>
      </c>
      <c r="P14" s="156">
        <f>VLOOKUP($A14,Standings!$A:$N,14,0)</f>
        <v/>
      </c>
      <c r="Q14" s="167">
        <f>VLOOKUP($A14,Standings!$A:$M,4,0)</f>
        <v/>
      </c>
      <c r="R14" s="157" t="inlineStr">
        <is>
          <t>HOU</t>
        </is>
      </c>
      <c r="S14" s="157">
        <f>IFERROR(AVERAGE(U14,V14)/AVERAGE(U14,B14),1)</f>
        <v/>
      </c>
      <c r="T14" s="157" t="n">
        <v>1</v>
      </c>
      <c r="U14" s="157">
        <f>SUMIFS(2025Schedule!F:F,2025Schedule!N:N,Y14)/COUNTIFS(2025Schedule!N:N,Y14)</f>
        <v/>
      </c>
      <c r="V14" s="275">
        <f>SUMIFS(2025Schedule!F:F,2025Schedule!N:N,Z14)/COUNTIFS(2025Schedule!N:N,Z14)</f>
        <v/>
      </c>
      <c r="W14" s="275">
        <f>SUMIFS(2025Schedule!I:I,2025Schedule!N:N,Y14)/COUNTIFS(2025Schedule!N:N,Y14)</f>
        <v/>
      </c>
      <c r="X14" s="275">
        <f>SUMIFS(2025Schedule!I:I,2025Schedule!N:N,Z14)/COUNTIFS(2025Schedule!N:N,Z14)</f>
        <v/>
      </c>
      <c r="Y14" s="276">
        <f>A14&amp;"Away"</f>
        <v/>
      </c>
      <c r="Z14" s="276">
        <f>A14&amp;"Home"</f>
        <v/>
      </c>
      <c r="AA14" s="157" t="inlineStr">
        <is>
          <t>Houston Texans</t>
        </is>
      </c>
      <c r="AB14" s="156" t="inlineStr">
        <is>
          <t xml:space="preserve"> Houston</t>
        </is>
      </c>
      <c r="AC14" s="157" t="inlineStr">
        <is>
          <t>HOU</t>
        </is>
      </c>
    </row>
    <row r="15" ht="14.4" customHeight="1" s="152">
      <c r="A15" s="156" t="inlineStr">
        <is>
          <t>Indianapolis Colts</t>
        </is>
      </c>
      <c r="B15" s="243">
        <f>IFERROR(I15/SUM(D15:E15,Q15),0)</f>
        <v/>
      </c>
      <c r="C15" s="243">
        <f>IFERROR(J15/SUM(D15:E15,Q15),0)</f>
        <v/>
      </c>
      <c r="D15" s="167">
        <f>VLOOKUP($A15,Standings!$A:$M,2,0)</f>
        <v/>
      </c>
      <c r="E15" s="167">
        <f>VLOOKUP($A15,Standings!$A:$M,3,0)</f>
        <v/>
      </c>
      <c r="F15" s="167">
        <f>VLOOKUP($A15,Standings!$A:$M,4,0)</f>
        <v/>
      </c>
      <c r="G15" s="157">
        <f>IFERROR(K15/SUM(D15:E15),0)</f>
        <v/>
      </c>
      <c r="H15" s="156">
        <f>VLOOKUP($A15,Standings!$A:$M,5,0)</f>
        <v/>
      </c>
      <c r="I15" s="156">
        <f>VLOOKUP($A15,Standings!$A:$M,6,0)</f>
        <v/>
      </c>
      <c r="J15" s="156">
        <f>VLOOKUP($A15,Standings!$A:$M,7,0)</f>
        <v/>
      </c>
      <c r="K15" s="156">
        <f>VLOOKUP($A15,Standings!$A:$M,8,0)</f>
        <v/>
      </c>
      <c r="L15" s="156">
        <f>VLOOKUP($A15,Standings!$A:$M,9,0)</f>
        <v/>
      </c>
      <c r="M15" s="156">
        <f>VLOOKUP($A15,Standings!$A:$M,10,0)</f>
        <v/>
      </c>
      <c r="N15" s="156">
        <f>VLOOKUP($A15,Standings!$A:$M,11,0)</f>
        <v/>
      </c>
      <c r="O15" s="156">
        <f>VLOOKUP($A15,Standings!$A:$M,12,0)</f>
        <v/>
      </c>
      <c r="P15" s="156">
        <f>VLOOKUP($A15,Standings!$A:$N,14,0)</f>
        <v/>
      </c>
      <c r="Q15" s="167">
        <f>VLOOKUP($A15,Standings!$A:$M,4,0)</f>
        <v/>
      </c>
      <c r="R15" s="157" t="inlineStr">
        <is>
          <t>IND</t>
        </is>
      </c>
      <c r="S15" s="157">
        <f>IFERROR(AVERAGE(U15,V15)/AVERAGE(U15,B15),1)</f>
        <v/>
      </c>
      <c r="T15" s="157" t="n">
        <v>1</v>
      </c>
      <c r="U15" s="157">
        <f>SUMIFS(2025Schedule!F:F,2025Schedule!N:N,Y15)/COUNTIFS(2025Schedule!N:N,Y15)</f>
        <v/>
      </c>
      <c r="V15" s="275">
        <f>SUMIFS(2025Schedule!F:F,2025Schedule!N:N,Z15)/COUNTIFS(2025Schedule!N:N,Z15)</f>
        <v/>
      </c>
      <c r="W15" s="275">
        <f>SUMIFS(2025Schedule!I:I,2025Schedule!N:N,Y15)/COUNTIFS(2025Schedule!N:N,Y15)</f>
        <v/>
      </c>
      <c r="X15" s="275">
        <f>SUMIFS(2025Schedule!I:I,2025Schedule!N:N,Z15)/COUNTIFS(2025Schedule!N:N,Z15)</f>
        <v/>
      </c>
      <c r="Y15" s="276">
        <f>A15&amp;"Away"</f>
        <v/>
      </c>
      <c r="Z15" s="276">
        <f>A15&amp;"Home"</f>
        <v/>
      </c>
      <c r="AA15" s="157" t="inlineStr">
        <is>
          <t>Indianapolis Colts</t>
        </is>
      </c>
      <c r="AB15" s="156" t="inlineStr">
        <is>
          <t xml:space="preserve"> Indianapolis</t>
        </is>
      </c>
      <c r="AC15" s="157" t="inlineStr">
        <is>
          <t>IND</t>
        </is>
      </c>
    </row>
    <row r="16" ht="14.4" customHeight="1" s="152">
      <c r="A16" s="156" t="inlineStr">
        <is>
          <t>Jacksonville Jaguars</t>
        </is>
      </c>
      <c r="B16" s="243">
        <f>IFERROR(I16/SUM(D16:E16,Q16),0)</f>
        <v/>
      </c>
      <c r="C16" s="243">
        <f>IFERROR(J16/SUM(D16:E16,Q16),0)</f>
        <v/>
      </c>
      <c r="D16" s="167">
        <f>VLOOKUP($A16,Standings!$A:$M,2,0)</f>
        <v/>
      </c>
      <c r="E16" s="167">
        <f>VLOOKUP($A16,Standings!$A:$M,3,0)</f>
        <v/>
      </c>
      <c r="F16" s="167">
        <f>VLOOKUP($A16,Standings!$A:$M,4,0)</f>
        <v/>
      </c>
      <c r="G16" s="157">
        <f>IFERROR(K16/SUM(D16:E16),0)</f>
        <v/>
      </c>
      <c r="H16" s="156">
        <f>VLOOKUP($A16,Standings!$A:$M,5,0)</f>
        <v/>
      </c>
      <c r="I16" s="156">
        <f>VLOOKUP($A16,Standings!$A:$M,6,0)</f>
        <v/>
      </c>
      <c r="J16" s="156">
        <f>VLOOKUP($A16,Standings!$A:$M,7,0)</f>
        <v/>
      </c>
      <c r="K16" s="156">
        <f>VLOOKUP($A16,Standings!$A:$M,8,0)</f>
        <v/>
      </c>
      <c r="L16" s="156">
        <f>VLOOKUP($A16,Standings!$A:$M,9,0)</f>
        <v/>
      </c>
      <c r="M16" s="156">
        <f>VLOOKUP($A16,Standings!$A:$M,10,0)</f>
        <v/>
      </c>
      <c r="N16" s="156">
        <f>VLOOKUP($A16,Standings!$A:$M,11,0)</f>
        <v/>
      </c>
      <c r="O16" s="156">
        <f>VLOOKUP($A16,Standings!$A:$M,12,0)</f>
        <v/>
      </c>
      <c r="P16" s="156">
        <f>VLOOKUP($A16,Standings!$A:$N,14,0)</f>
        <v/>
      </c>
      <c r="Q16" s="167">
        <f>VLOOKUP($A16,Standings!$A:$M,4,0)</f>
        <v/>
      </c>
      <c r="R16" s="157" t="inlineStr">
        <is>
          <t>JAX</t>
        </is>
      </c>
      <c r="S16" s="157">
        <f>IFERROR(AVERAGE(U16,V16)/AVERAGE(U16,B16),1)</f>
        <v/>
      </c>
      <c r="T16" s="157" t="n">
        <v>1</v>
      </c>
      <c r="U16" s="157">
        <f>SUMIFS(2025Schedule!F:F,2025Schedule!N:N,Y16)/COUNTIFS(2025Schedule!N:N,Y16)</f>
        <v/>
      </c>
      <c r="V16" s="275">
        <f>SUMIFS(2025Schedule!F:F,2025Schedule!N:N,Z16)/COUNTIFS(2025Schedule!N:N,Z16)</f>
        <v/>
      </c>
      <c r="W16" s="275">
        <f>SUMIFS(2025Schedule!I:I,2025Schedule!N:N,Y16)/COUNTIFS(2025Schedule!N:N,Y16)</f>
        <v/>
      </c>
      <c r="X16" s="275">
        <f>SUMIFS(2025Schedule!I:I,2025Schedule!N:N,Z16)/COUNTIFS(2025Schedule!N:N,Z16)</f>
        <v/>
      </c>
      <c r="Y16" s="276">
        <f>A16&amp;"Away"</f>
        <v/>
      </c>
      <c r="Z16" s="276">
        <f>A16&amp;"Home"</f>
        <v/>
      </c>
      <c r="AA16" s="157" t="inlineStr">
        <is>
          <t>Jacksonville Jaguars</t>
        </is>
      </c>
      <c r="AB16" s="156" t="inlineStr">
        <is>
          <t xml:space="preserve"> Jacksonville</t>
        </is>
      </c>
      <c r="AC16" s="157" t="inlineStr">
        <is>
          <t>JAX</t>
        </is>
      </c>
    </row>
    <row r="17" ht="14.4" customHeight="1" s="152">
      <c r="A17" s="156" t="inlineStr">
        <is>
          <t>Kansas City Chiefs</t>
        </is>
      </c>
      <c r="B17" s="243">
        <f>IFERROR(I17/SUM(D17:E17,Q17),0)</f>
        <v/>
      </c>
      <c r="C17" s="243">
        <f>IFERROR(J17/SUM(D17:E17,Q17),0)</f>
        <v/>
      </c>
      <c r="D17" s="167">
        <f>VLOOKUP($A17,Standings!$A:$M,2,0)</f>
        <v/>
      </c>
      <c r="E17" s="167">
        <f>VLOOKUP($A17,Standings!$A:$M,3,0)</f>
        <v/>
      </c>
      <c r="F17" s="167">
        <f>VLOOKUP($A17,Standings!$A:$M,4,0)</f>
        <v/>
      </c>
      <c r="G17" s="157">
        <f>IFERROR(K17/SUM(D17:E17),0)</f>
        <v/>
      </c>
      <c r="H17" s="156">
        <f>VLOOKUP($A17,Standings!$A:$M,5,0)</f>
        <v/>
      </c>
      <c r="I17" s="156">
        <f>VLOOKUP($A17,Standings!$A:$M,6,0)</f>
        <v/>
      </c>
      <c r="J17" s="156">
        <f>VLOOKUP($A17,Standings!$A:$M,7,0)</f>
        <v/>
      </c>
      <c r="K17" s="156">
        <f>VLOOKUP($A17,Standings!$A:$M,8,0)</f>
        <v/>
      </c>
      <c r="L17" s="156">
        <f>VLOOKUP($A17,Standings!$A:$M,9,0)</f>
        <v/>
      </c>
      <c r="M17" s="156">
        <f>VLOOKUP($A17,Standings!$A:$M,10,0)</f>
        <v/>
      </c>
      <c r="N17" s="156">
        <f>VLOOKUP($A17,Standings!$A:$M,11,0)</f>
        <v/>
      </c>
      <c r="O17" s="156">
        <f>VLOOKUP($A17,Standings!$A:$M,12,0)</f>
        <v/>
      </c>
      <c r="P17" s="156">
        <f>VLOOKUP($A17,Standings!$A:$N,14,0)</f>
        <v/>
      </c>
      <c r="Q17" s="167">
        <f>VLOOKUP($A17,Standings!$A:$M,4,0)</f>
        <v/>
      </c>
      <c r="R17" s="157" t="inlineStr">
        <is>
          <t>KC</t>
        </is>
      </c>
      <c r="S17" s="157">
        <f>IFERROR(AVERAGE(U17,V17)/AVERAGE(U17,B17),1)</f>
        <v/>
      </c>
      <c r="T17" s="157" t="n">
        <v>1</v>
      </c>
      <c r="U17" s="157">
        <f>SUMIFS(2025Schedule!F:F,2025Schedule!N:N,Y17)/COUNTIFS(2025Schedule!N:N,Y17)</f>
        <v/>
      </c>
      <c r="V17" s="275">
        <f>SUMIFS(2025Schedule!F:F,2025Schedule!N:N,Z17)/COUNTIFS(2025Schedule!N:N,Z17)</f>
        <v/>
      </c>
      <c r="W17" s="275">
        <f>SUMIFS(2025Schedule!I:I,2025Schedule!N:N,Y17)/COUNTIFS(2025Schedule!N:N,Y17)</f>
        <v/>
      </c>
      <c r="X17" s="275">
        <f>SUMIFS(2025Schedule!I:I,2025Schedule!N:N,Z17)/COUNTIFS(2025Schedule!N:N,Z17)</f>
        <v/>
      </c>
      <c r="Y17" s="276">
        <f>A17&amp;"Away"</f>
        <v/>
      </c>
      <c r="Z17" s="276">
        <f>A17&amp;"Home"</f>
        <v/>
      </c>
      <c r="AA17" s="157" t="inlineStr">
        <is>
          <t>Kansas City Chiefs</t>
        </is>
      </c>
      <c r="AB17" s="156" t="inlineStr">
        <is>
          <t xml:space="preserve"> Kansas City</t>
        </is>
      </c>
      <c r="AC17" s="157" t="inlineStr">
        <is>
          <t>KC</t>
        </is>
      </c>
    </row>
    <row r="18" ht="14.4" customHeight="1" s="152">
      <c r="A18" s="156" t="inlineStr">
        <is>
          <t>Los Angeles Chargers</t>
        </is>
      </c>
      <c r="B18" s="243">
        <f>IFERROR(I18/SUM(D18:E18,Q18),0)</f>
        <v/>
      </c>
      <c r="C18" s="243">
        <f>IFERROR(J18/SUM(D18:E18,Q18),0)</f>
        <v/>
      </c>
      <c r="D18" s="167">
        <f>VLOOKUP($A18,Standings!$A:$M,2,0)</f>
        <v/>
      </c>
      <c r="E18" s="167">
        <f>VLOOKUP($A18,Standings!$A:$M,3,0)</f>
        <v/>
      </c>
      <c r="F18" s="167">
        <f>VLOOKUP($A18,Standings!$A:$M,4,0)</f>
        <v/>
      </c>
      <c r="G18" s="157">
        <f>IFERROR(K18/SUM(D18:E18),0)</f>
        <v/>
      </c>
      <c r="H18" s="156">
        <f>VLOOKUP($A18,Standings!$A:$M,5,0)</f>
        <v/>
      </c>
      <c r="I18" s="156">
        <f>VLOOKUP($A18,Standings!$A:$M,6,0)</f>
        <v/>
      </c>
      <c r="J18" s="156">
        <f>VLOOKUP($A18,Standings!$A:$M,7,0)</f>
        <v/>
      </c>
      <c r="K18" s="156">
        <f>VLOOKUP($A18,Standings!$A:$M,8,0)</f>
        <v/>
      </c>
      <c r="L18" s="156">
        <f>VLOOKUP($A18,Standings!$A:$M,9,0)</f>
        <v/>
      </c>
      <c r="M18" s="156">
        <f>VLOOKUP($A18,Standings!$A:$M,10,0)</f>
        <v/>
      </c>
      <c r="N18" s="156">
        <f>VLOOKUP($A18,Standings!$A:$M,11,0)</f>
        <v/>
      </c>
      <c r="O18" s="156">
        <f>VLOOKUP($A18,Standings!$A:$M,12,0)</f>
        <v/>
      </c>
      <c r="P18" s="156">
        <f>VLOOKUP($A18,Standings!$A:$N,14,0)</f>
        <v/>
      </c>
      <c r="Q18" s="167">
        <f>VLOOKUP($A18,Standings!$A:$M,4,0)</f>
        <v/>
      </c>
      <c r="R18" s="157" t="inlineStr">
        <is>
          <t>LAC</t>
        </is>
      </c>
      <c r="S18" s="157">
        <f>IFERROR(AVERAGE(U18,V18)/AVERAGE(U18,B18),1)</f>
        <v/>
      </c>
      <c r="T18" s="157" t="n">
        <v>1</v>
      </c>
      <c r="U18" s="157">
        <f>SUMIFS(2025Schedule!F:F,2025Schedule!N:N,Y18)/COUNTIFS(2025Schedule!N:N,Y18)</f>
        <v/>
      </c>
      <c r="V18" s="275">
        <f>SUMIFS(2025Schedule!F:F,2025Schedule!N:N,Z18)/COUNTIFS(2025Schedule!N:N,Z18)</f>
        <v/>
      </c>
      <c r="W18" s="275">
        <f>SUMIFS(2025Schedule!I:I,2025Schedule!N:N,Y18)/COUNTIFS(2025Schedule!N:N,Y18)</f>
        <v/>
      </c>
      <c r="X18" s="275">
        <f>SUMIFS(2025Schedule!I:I,2025Schedule!N:N,Z18)/COUNTIFS(2025Schedule!N:N,Z18)</f>
        <v/>
      </c>
      <c r="Y18" s="276">
        <f>A18&amp;"Away"</f>
        <v/>
      </c>
      <c r="Z18" s="276">
        <f>A18&amp;"Home"</f>
        <v/>
      </c>
      <c r="AA18" s="157" t="inlineStr">
        <is>
          <t>Los Angeles Chargers</t>
        </is>
      </c>
      <c r="AB18" s="156" t="inlineStr">
        <is>
          <t xml:space="preserve"> L.A. Chargers</t>
        </is>
      </c>
      <c r="AC18" s="157" t="inlineStr">
        <is>
          <t>LAC</t>
        </is>
      </c>
    </row>
    <row r="19" ht="14.4" customHeight="1" s="152">
      <c r="A19" s="204" t="inlineStr">
        <is>
          <t>Los Angeles Rams</t>
        </is>
      </c>
      <c r="B19" s="243">
        <f>IFERROR(I19/SUM(D19:E19,Q19),0)</f>
        <v/>
      </c>
      <c r="C19" s="243">
        <f>IFERROR(J19/SUM(D19:E19,Q19),0)</f>
        <v/>
      </c>
      <c r="D19" s="167">
        <f>VLOOKUP($A19,Standings!$A:$M,2,0)</f>
        <v/>
      </c>
      <c r="E19" s="167">
        <f>VLOOKUP($A19,Standings!$A:$M,3,0)</f>
        <v/>
      </c>
      <c r="F19" s="167">
        <f>VLOOKUP($A19,Standings!$A:$M,4,0)</f>
        <v/>
      </c>
      <c r="G19" s="157">
        <f>IFERROR(K19/SUM(D19:E19),0)</f>
        <v/>
      </c>
      <c r="H19" s="156">
        <f>VLOOKUP($A19,Standings!$A:$M,5,0)</f>
        <v/>
      </c>
      <c r="I19" s="156">
        <f>VLOOKUP($A19,Standings!$A:$M,6,0)</f>
        <v/>
      </c>
      <c r="J19" s="156">
        <f>VLOOKUP($A19,Standings!$A:$M,7,0)</f>
        <v/>
      </c>
      <c r="K19" s="156">
        <f>VLOOKUP($A19,Standings!$A:$M,8,0)</f>
        <v/>
      </c>
      <c r="L19" s="156">
        <f>VLOOKUP($A19,Standings!$A:$M,9,0)</f>
        <v/>
      </c>
      <c r="M19" s="156">
        <f>VLOOKUP($A19,Standings!$A:$M,10,0)</f>
        <v/>
      </c>
      <c r="N19" s="156">
        <f>VLOOKUP($A19,Standings!$A:$M,11,0)</f>
        <v/>
      </c>
      <c r="O19" s="156">
        <f>VLOOKUP($A19,Standings!$A:$M,12,0)</f>
        <v/>
      </c>
      <c r="P19" s="156">
        <f>VLOOKUP($A19,Standings!$A:$N,14,0)</f>
        <v/>
      </c>
      <c r="Q19" s="167">
        <f>VLOOKUP($A19,Standings!$A:$M,4,0)</f>
        <v/>
      </c>
      <c r="R19" s="157" t="inlineStr">
        <is>
          <t>LAR</t>
        </is>
      </c>
      <c r="S19" s="157">
        <f>IFERROR(AVERAGE(U19,V19)/AVERAGE(U19,B19),1)</f>
        <v/>
      </c>
      <c r="T19" s="157" t="n">
        <v>1</v>
      </c>
      <c r="U19" s="157">
        <f>SUMIFS(2025Schedule!F:F,2025Schedule!N:N,Y19)/COUNTIFS(2025Schedule!N:N,Y19)</f>
        <v/>
      </c>
      <c r="V19" s="275">
        <f>SUMIFS(2025Schedule!F:F,2025Schedule!N:N,Z19)/COUNTIFS(2025Schedule!N:N,Z19)</f>
        <v/>
      </c>
      <c r="W19" s="275">
        <f>SUMIFS(2025Schedule!I:I,2025Schedule!N:N,Y19)/COUNTIFS(2025Schedule!N:N,Y19)</f>
        <v/>
      </c>
      <c r="X19" s="275">
        <f>SUMIFS(2025Schedule!I:I,2025Schedule!N:N,Z19)/COUNTIFS(2025Schedule!N:N,Z19)</f>
        <v/>
      </c>
      <c r="Y19" s="276">
        <f>A19&amp;"Away"</f>
        <v/>
      </c>
      <c r="Z19" s="276">
        <f>A19&amp;"Home"</f>
        <v/>
      </c>
      <c r="AA19" s="157" t="inlineStr">
        <is>
          <t>Los Angeles Rams</t>
        </is>
      </c>
      <c r="AB19" s="156" t="inlineStr">
        <is>
          <t xml:space="preserve"> L.A. Rams</t>
        </is>
      </c>
      <c r="AC19" s="157" t="inlineStr">
        <is>
          <t>LAR</t>
        </is>
      </c>
    </row>
    <row r="20" ht="14.4" customHeight="1" s="152">
      <c r="A20" s="156" t="inlineStr">
        <is>
          <t>Miami Dolphins</t>
        </is>
      </c>
      <c r="B20" s="243">
        <f>IFERROR(I20/SUM(D20:E20,Q20),0)</f>
        <v/>
      </c>
      <c r="C20" s="243">
        <f>IFERROR(J20/SUM(D20:E20,Q20),0)</f>
        <v/>
      </c>
      <c r="D20" s="167">
        <f>VLOOKUP($A20,Standings!$A:$M,2,0)</f>
        <v/>
      </c>
      <c r="E20" s="167">
        <f>VLOOKUP($A20,Standings!$A:$M,3,0)</f>
        <v/>
      </c>
      <c r="F20" s="167">
        <f>VLOOKUP($A20,Standings!$A:$M,4,0)</f>
        <v/>
      </c>
      <c r="G20" s="157">
        <f>IFERROR(K20/SUM(D20:E20),0)</f>
        <v/>
      </c>
      <c r="H20" s="156">
        <f>VLOOKUP($A20,Standings!$A:$M,5,0)</f>
        <v/>
      </c>
      <c r="I20" s="156">
        <f>VLOOKUP($A20,Standings!$A:$M,6,0)</f>
        <v/>
      </c>
      <c r="J20" s="156">
        <f>VLOOKUP($A20,Standings!$A:$M,7,0)</f>
        <v/>
      </c>
      <c r="K20" s="156">
        <f>VLOOKUP($A20,Standings!$A:$M,8,0)</f>
        <v/>
      </c>
      <c r="L20" s="156">
        <f>VLOOKUP($A20,Standings!$A:$M,9,0)</f>
        <v/>
      </c>
      <c r="M20" s="156">
        <f>VLOOKUP($A20,Standings!$A:$M,10,0)</f>
        <v/>
      </c>
      <c r="N20" s="156">
        <f>VLOOKUP($A20,Standings!$A:$M,11,0)</f>
        <v/>
      </c>
      <c r="O20" s="156">
        <f>VLOOKUP($A20,Standings!$A:$M,12,0)</f>
        <v/>
      </c>
      <c r="P20" s="156">
        <f>VLOOKUP($A20,Standings!$A:$N,14,0)</f>
        <v/>
      </c>
      <c r="Q20" s="167">
        <f>VLOOKUP($A20,Standings!$A:$M,4,0)</f>
        <v/>
      </c>
      <c r="R20" s="157" t="inlineStr">
        <is>
          <t>MIA</t>
        </is>
      </c>
      <c r="S20" s="157">
        <f>IFERROR(AVERAGE(U20,V20)/AVERAGE(U20,B20),1)</f>
        <v/>
      </c>
      <c r="T20" s="157" t="n">
        <v>1</v>
      </c>
      <c r="U20" s="157">
        <f>SUMIFS(2025Schedule!F:F,2025Schedule!N:N,Y20)/COUNTIFS(2025Schedule!N:N,Y20)</f>
        <v/>
      </c>
      <c r="V20" s="275">
        <f>SUMIFS(2025Schedule!F:F,2025Schedule!N:N,Z20)/COUNTIFS(2025Schedule!N:N,Z20)</f>
        <v/>
      </c>
      <c r="W20" s="275">
        <f>SUMIFS(2025Schedule!I:I,2025Schedule!N:N,Y20)/COUNTIFS(2025Schedule!N:N,Y20)</f>
        <v/>
      </c>
      <c r="X20" s="275">
        <f>SUMIFS(2025Schedule!I:I,2025Schedule!N:N,Z20)/COUNTIFS(2025Schedule!N:N,Z20)</f>
        <v/>
      </c>
      <c r="Y20" s="276">
        <f>A20&amp;"Away"</f>
        <v/>
      </c>
      <c r="Z20" s="276">
        <f>A20&amp;"Home"</f>
        <v/>
      </c>
      <c r="AA20" s="157" t="inlineStr">
        <is>
          <t>Miami Dolphins</t>
        </is>
      </c>
      <c r="AB20" s="156" t="inlineStr">
        <is>
          <t xml:space="preserve"> Miami</t>
        </is>
      </c>
      <c r="AC20" s="157" t="inlineStr">
        <is>
          <t>MIA</t>
        </is>
      </c>
    </row>
    <row r="21" ht="14.4" customHeight="1" s="152">
      <c r="A21" s="156" t="inlineStr">
        <is>
          <t>Minnesota Vikings</t>
        </is>
      </c>
      <c r="B21" s="243">
        <f>IFERROR(I21/SUM(D21:E21,Q21),0)</f>
        <v/>
      </c>
      <c r="C21" s="243">
        <f>IFERROR(J21/SUM(D21:E21,Q21),0)</f>
        <v/>
      </c>
      <c r="D21" s="167">
        <f>VLOOKUP($A21,Standings!$A:$M,2,0)</f>
        <v/>
      </c>
      <c r="E21" s="167">
        <f>VLOOKUP($A21,Standings!$A:$M,3,0)</f>
        <v/>
      </c>
      <c r="F21" s="167">
        <f>VLOOKUP($A21,Standings!$A:$M,4,0)</f>
        <v/>
      </c>
      <c r="G21" s="157">
        <f>IFERROR(K21/SUM(D21:E21),0)</f>
        <v/>
      </c>
      <c r="H21" s="156">
        <f>VLOOKUP($A21,Standings!$A:$M,5,0)</f>
        <v/>
      </c>
      <c r="I21" s="156">
        <f>VLOOKUP($A21,Standings!$A:$M,6,0)</f>
        <v/>
      </c>
      <c r="J21" s="156">
        <f>VLOOKUP($A21,Standings!$A:$M,7,0)</f>
        <v/>
      </c>
      <c r="K21" s="156">
        <f>VLOOKUP($A21,Standings!$A:$M,8,0)</f>
        <v/>
      </c>
      <c r="L21" s="156">
        <f>VLOOKUP($A21,Standings!$A:$M,9,0)</f>
        <v/>
      </c>
      <c r="M21" s="156">
        <f>VLOOKUP($A21,Standings!$A:$M,10,0)</f>
        <v/>
      </c>
      <c r="N21" s="156">
        <f>VLOOKUP($A21,Standings!$A:$M,11,0)</f>
        <v/>
      </c>
      <c r="O21" s="156">
        <f>VLOOKUP($A21,Standings!$A:$M,12,0)</f>
        <v/>
      </c>
      <c r="P21" s="156">
        <f>VLOOKUP($A21,Standings!$A:$N,14,0)</f>
        <v/>
      </c>
      <c r="Q21" s="167">
        <f>VLOOKUP($A21,Standings!$A:$M,4,0)</f>
        <v/>
      </c>
      <c r="R21" s="157" t="inlineStr">
        <is>
          <t>MIN</t>
        </is>
      </c>
      <c r="S21" s="157">
        <f>IFERROR(AVERAGE(U21,V21)/AVERAGE(U21,B21),1)</f>
        <v/>
      </c>
      <c r="T21" s="157" t="n">
        <v>1</v>
      </c>
      <c r="U21" s="157">
        <f>SUMIFS(2025Schedule!F:F,2025Schedule!N:N,Y21)/COUNTIFS(2025Schedule!N:N,Y21)</f>
        <v/>
      </c>
      <c r="V21" s="275">
        <f>SUMIFS(2025Schedule!F:F,2025Schedule!N:N,Z21)/COUNTIFS(2025Schedule!N:N,Z21)</f>
        <v/>
      </c>
      <c r="W21" s="275">
        <f>SUMIFS(2025Schedule!I:I,2025Schedule!N:N,Y21)/COUNTIFS(2025Schedule!N:N,Y21)</f>
        <v/>
      </c>
      <c r="X21" s="275">
        <f>SUMIFS(2025Schedule!I:I,2025Schedule!N:N,Z21)/COUNTIFS(2025Schedule!N:N,Z21)</f>
        <v/>
      </c>
      <c r="Y21" s="276">
        <f>A21&amp;"Away"</f>
        <v/>
      </c>
      <c r="Z21" s="276">
        <f>A21&amp;"Home"</f>
        <v/>
      </c>
      <c r="AA21" s="157" t="inlineStr">
        <is>
          <t>Minnesota Vikings</t>
        </is>
      </c>
      <c r="AB21" s="156" t="inlineStr">
        <is>
          <t xml:space="preserve"> Minnesota</t>
        </is>
      </c>
      <c r="AC21" s="157" t="inlineStr">
        <is>
          <t>MIN</t>
        </is>
      </c>
    </row>
    <row r="22" ht="14.4" customHeight="1" s="152">
      <c r="A22" s="156" t="inlineStr">
        <is>
          <t>New England Patriots</t>
        </is>
      </c>
      <c r="B22" s="243">
        <f>IFERROR(I22/SUM(D22:E22,Q22),0)</f>
        <v/>
      </c>
      <c r="C22" s="243">
        <f>IFERROR(J22/SUM(D22:E22,Q22),0)</f>
        <v/>
      </c>
      <c r="D22" s="167">
        <f>VLOOKUP($A22,Standings!$A:$M,2,0)</f>
        <v/>
      </c>
      <c r="E22" s="167">
        <f>VLOOKUP($A22,Standings!$A:$M,3,0)</f>
        <v/>
      </c>
      <c r="F22" s="167">
        <f>VLOOKUP($A22,Standings!$A:$M,4,0)</f>
        <v/>
      </c>
      <c r="G22" s="157">
        <f>IFERROR(K22/SUM(D22:E22),0)</f>
        <v/>
      </c>
      <c r="H22" s="156">
        <f>VLOOKUP($A22,Standings!$A:$M,5,0)</f>
        <v/>
      </c>
      <c r="I22" s="156">
        <f>VLOOKUP($A22,Standings!$A:$M,6,0)</f>
        <v/>
      </c>
      <c r="J22" s="156">
        <f>VLOOKUP($A22,Standings!$A:$M,7,0)</f>
        <v/>
      </c>
      <c r="K22" s="156">
        <f>VLOOKUP($A22,Standings!$A:$M,8,0)</f>
        <v/>
      </c>
      <c r="L22" s="156">
        <f>VLOOKUP($A22,Standings!$A:$M,9,0)</f>
        <v/>
      </c>
      <c r="M22" s="156">
        <f>VLOOKUP($A22,Standings!$A:$M,10,0)</f>
        <v/>
      </c>
      <c r="N22" s="156">
        <f>VLOOKUP($A22,Standings!$A:$M,11,0)</f>
        <v/>
      </c>
      <c r="O22" s="156">
        <f>VLOOKUP($A22,Standings!$A:$M,12,0)</f>
        <v/>
      </c>
      <c r="P22" s="156">
        <f>VLOOKUP($A22,Standings!$A:$N,14,0)</f>
        <v/>
      </c>
      <c r="Q22" s="167">
        <f>VLOOKUP($A22,Standings!$A:$M,4,0)</f>
        <v/>
      </c>
      <c r="R22" s="157" t="inlineStr">
        <is>
          <t>NE</t>
        </is>
      </c>
      <c r="S22" s="157">
        <f>IFERROR(AVERAGE(U22,V22)/AVERAGE(U22,B22),1)</f>
        <v/>
      </c>
      <c r="T22" s="157" t="n">
        <v>1</v>
      </c>
      <c r="U22" s="157">
        <f>SUMIFS(2025Schedule!F:F,2025Schedule!N:N,Y22)/COUNTIFS(2025Schedule!N:N,Y22)</f>
        <v/>
      </c>
      <c r="V22" s="275">
        <f>SUMIFS(2025Schedule!F:F,2025Schedule!N:N,Z22)/COUNTIFS(2025Schedule!N:N,Z22)</f>
        <v/>
      </c>
      <c r="W22" s="275">
        <f>SUMIFS(2025Schedule!I:I,2025Schedule!N:N,Y22)/COUNTIFS(2025Schedule!N:N,Y22)</f>
        <v/>
      </c>
      <c r="X22" s="275">
        <f>SUMIFS(2025Schedule!I:I,2025Schedule!N:N,Z22)/COUNTIFS(2025Schedule!N:N,Z22)</f>
        <v/>
      </c>
      <c r="Y22" s="276">
        <f>A22&amp;"Away"</f>
        <v/>
      </c>
      <c r="Z22" s="276">
        <f>A22&amp;"Home"</f>
        <v/>
      </c>
      <c r="AA22" s="157" t="inlineStr">
        <is>
          <t>New England Patriots</t>
        </is>
      </c>
      <c r="AB22" s="156" t="inlineStr">
        <is>
          <t xml:space="preserve"> New England</t>
        </is>
      </c>
      <c r="AC22" s="157" t="inlineStr">
        <is>
          <t>NE</t>
        </is>
      </c>
    </row>
    <row r="23" ht="14.4" customHeight="1" s="152">
      <c r="A23" s="156" t="inlineStr">
        <is>
          <t>New Orleans Saints</t>
        </is>
      </c>
      <c r="B23" s="243">
        <f>IFERROR(I23/SUM(D23:E23,Q23),0)</f>
        <v/>
      </c>
      <c r="C23" s="243">
        <f>IFERROR(J23/SUM(D23:E23,Q23),0)</f>
        <v/>
      </c>
      <c r="D23" s="167">
        <f>VLOOKUP($A23,Standings!$A:$M,2,0)</f>
        <v/>
      </c>
      <c r="E23" s="167">
        <f>VLOOKUP($A23,Standings!$A:$M,3,0)</f>
        <v/>
      </c>
      <c r="F23" s="167">
        <f>VLOOKUP($A23,Standings!$A:$M,4,0)</f>
        <v/>
      </c>
      <c r="G23" s="157">
        <f>IFERROR(K23/SUM(D23:E23),0)</f>
        <v/>
      </c>
      <c r="H23" s="156">
        <f>VLOOKUP($A23,Standings!$A:$M,5,0)</f>
        <v/>
      </c>
      <c r="I23" s="156">
        <f>VLOOKUP($A23,Standings!$A:$M,6,0)</f>
        <v/>
      </c>
      <c r="J23" s="156">
        <f>VLOOKUP($A23,Standings!$A:$M,7,0)</f>
        <v/>
      </c>
      <c r="K23" s="156">
        <f>VLOOKUP($A23,Standings!$A:$M,8,0)</f>
        <v/>
      </c>
      <c r="L23" s="156">
        <f>VLOOKUP($A23,Standings!$A:$M,9,0)</f>
        <v/>
      </c>
      <c r="M23" s="156">
        <f>VLOOKUP($A23,Standings!$A:$M,10,0)</f>
        <v/>
      </c>
      <c r="N23" s="156">
        <f>VLOOKUP($A23,Standings!$A:$M,11,0)</f>
        <v/>
      </c>
      <c r="O23" s="156">
        <f>VLOOKUP($A23,Standings!$A:$M,12,0)</f>
        <v/>
      </c>
      <c r="P23" s="156">
        <f>VLOOKUP($A23,Standings!$A:$N,14,0)</f>
        <v/>
      </c>
      <c r="Q23" s="167">
        <f>VLOOKUP($A23,Standings!$A:$M,4,0)</f>
        <v/>
      </c>
      <c r="R23" s="157" t="inlineStr">
        <is>
          <t>NO</t>
        </is>
      </c>
      <c r="S23" s="157">
        <f>IFERROR(AVERAGE(U23,V23)/AVERAGE(U23,B23),1)</f>
        <v/>
      </c>
      <c r="T23" s="157" t="n">
        <v>1</v>
      </c>
      <c r="U23" s="157">
        <f>SUMIFS(2025Schedule!F:F,2025Schedule!N:N,Y23)/COUNTIFS(2025Schedule!N:N,Y23)</f>
        <v/>
      </c>
      <c r="V23" s="275">
        <f>SUMIFS(2025Schedule!F:F,2025Schedule!N:N,Z23)/COUNTIFS(2025Schedule!N:N,Z23)</f>
        <v/>
      </c>
      <c r="W23" s="275">
        <f>SUMIFS(2025Schedule!I:I,2025Schedule!N:N,Y23)/COUNTIFS(2025Schedule!N:N,Y23)</f>
        <v/>
      </c>
      <c r="X23" s="275">
        <f>SUMIFS(2025Schedule!I:I,2025Schedule!N:N,Z23)/COUNTIFS(2025Schedule!N:N,Z23)</f>
        <v/>
      </c>
      <c r="Y23" s="276">
        <f>A23&amp;"Away"</f>
        <v/>
      </c>
      <c r="Z23" s="276">
        <f>A23&amp;"Home"</f>
        <v/>
      </c>
      <c r="AA23" s="157" t="inlineStr">
        <is>
          <t>New Orleans Saints</t>
        </is>
      </c>
      <c r="AB23" s="156" t="inlineStr">
        <is>
          <t xml:space="preserve"> New Orleans</t>
        </is>
      </c>
      <c r="AC23" s="157" t="inlineStr">
        <is>
          <t>NO</t>
        </is>
      </c>
    </row>
    <row r="24" ht="14.4" customHeight="1" s="152">
      <c r="A24" s="156" t="inlineStr">
        <is>
          <t>New York Giants</t>
        </is>
      </c>
      <c r="B24" s="243">
        <f>IFERROR(I24/SUM(D24:E24,Q24),0)</f>
        <v/>
      </c>
      <c r="C24" s="243">
        <f>IFERROR(J24/SUM(D24:E24,Q24),0)</f>
        <v/>
      </c>
      <c r="D24" s="167">
        <f>VLOOKUP($A24,Standings!$A:$M,2,0)</f>
        <v/>
      </c>
      <c r="E24" s="167">
        <f>VLOOKUP($A24,Standings!$A:$M,3,0)</f>
        <v/>
      </c>
      <c r="F24" s="167">
        <f>VLOOKUP($A24,Standings!$A:$M,4,0)</f>
        <v/>
      </c>
      <c r="G24" s="157">
        <f>IFERROR(K24/SUM(D24:E24),0)</f>
        <v/>
      </c>
      <c r="H24" s="156">
        <f>VLOOKUP($A24,Standings!$A:$M,5,0)</f>
        <v/>
      </c>
      <c r="I24" s="156">
        <f>VLOOKUP($A24,Standings!$A:$M,6,0)</f>
        <v/>
      </c>
      <c r="J24" s="156">
        <f>VLOOKUP($A24,Standings!$A:$M,7,0)</f>
        <v/>
      </c>
      <c r="K24" s="156">
        <f>VLOOKUP($A24,Standings!$A:$M,8,0)</f>
        <v/>
      </c>
      <c r="L24" s="156">
        <f>VLOOKUP($A24,Standings!$A:$M,9,0)</f>
        <v/>
      </c>
      <c r="M24" s="156">
        <f>VLOOKUP($A24,Standings!$A:$M,10,0)</f>
        <v/>
      </c>
      <c r="N24" s="156">
        <f>VLOOKUP($A24,Standings!$A:$M,11,0)</f>
        <v/>
      </c>
      <c r="O24" s="156">
        <f>VLOOKUP($A24,Standings!$A:$M,12,0)</f>
        <v/>
      </c>
      <c r="P24" s="156">
        <f>VLOOKUP($A24,Standings!$A:$N,14,0)</f>
        <v/>
      </c>
      <c r="Q24" s="167">
        <f>VLOOKUP($A24,Standings!$A:$M,4,0)</f>
        <v/>
      </c>
      <c r="R24" s="157" t="inlineStr">
        <is>
          <t>NYG</t>
        </is>
      </c>
      <c r="S24" s="157">
        <f>IFERROR(AVERAGE(U24,V24)/AVERAGE(U24,B24),1)</f>
        <v/>
      </c>
      <c r="T24" s="157" t="n">
        <v>1</v>
      </c>
      <c r="U24" s="157">
        <f>SUMIFS(2025Schedule!F:F,2025Schedule!N:N,Y24)/COUNTIFS(2025Schedule!N:N,Y24)</f>
        <v/>
      </c>
      <c r="V24" s="275">
        <f>SUMIFS(2025Schedule!F:F,2025Schedule!N:N,Z24)/COUNTIFS(2025Schedule!N:N,Z24)</f>
        <v/>
      </c>
      <c r="W24" s="275">
        <f>SUMIFS(2025Schedule!I:I,2025Schedule!N:N,Y24)/COUNTIFS(2025Schedule!N:N,Y24)</f>
        <v/>
      </c>
      <c r="X24" s="275">
        <f>SUMIFS(2025Schedule!I:I,2025Schedule!N:N,Z24)/COUNTIFS(2025Schedule!N:N,Z24)</f>
        <v/>
      </c>
      <c r="Y24" s="276">
        <f>A24&amp;"Away"</f>
        <v/>
      </c>
      <c r="Z24" s="276">
        <f>A24&amp;"Home"</f>
        <v/>
      </c>
      <c r="AA24" s="157" t="inlineStr">
        <is>
          <t>New York Giants</t>
        </is>
      </c>
      <c r="AB24" s="156" t="inlineStr">
        <is>
          <t xml:space="preserve"> N.Y. Giants</t>
        </is>
      </c>
      <c r="AC24" s="157" t="inlineStr">
        <is>
          <t>NYG</t>
        </is>
      </c>
    </row>
    <row r="25" ht="14.4" customHeight="1" s="152">
      <c r="A25" s="156" t="inlineStr">
        <is>
          <t>New York Jets</t>
        </is>
      </c>
      <c r="B25" s="243">
        <f>IFERROR(I25/SUM(D25:E25,Q25),0)</f>
        <v/>
      </c>
      <c r="C25" s="243">
        <f>IFERROR(J25/SUM(D25:E25,Q25),0)</f>
        <v/>
      </c>
      <c r="D25" s="167">
        <f>VLOOKUP($A25,Standings!$A:$M,2,0)</f>
        <v/>
      </c>
      <c r="E25" s="167">
        <f>VLOOKUP($A25,Standings!$A:$M,3,0)</f>
        <v/>
      </c>
      <c r="F25" s="167">
        <f>VLOOKUP($A25,Standings!$A:$M,4,0)</f>
        <v/>
      </c>
      <c r="G25" s="157">
        <f>IFERROR(K25/SUM(D25:E25),0)</f>
        <v/>
      </c>
      <c r="H25" s="156">
        <f>VLOOKUP($A25,Standings!$A:$M,5,0)</f>
        <v/>
      </c>
      <c r="I25" s="156">
        <f>VLOOKUP($A25,Standings!$A:$M,6,0)</f>
        <v/>
      </c>
      <c r="J25" s="156">
        <f>VLOOKUP($A25,Standings!$A:$M,7,0)</f>
        <v/>
      </c>
      <c r="K25" s="156">
        <f>VLOOKUP($A25,Standings!$A:$M,8,0)</f>
        <v/>
      </c>
      <c r="L25" s="156">
        <f>VLOOKUP($A25,Standings!$A:$M,9,0)</f>
        <v/>
      </c>
      <c r="M25" s="156">
        <f>VLOOKUP($A25,Standings!$A:$M,10,0)</f>
        <v/>
      </c>
      <c r="N25" s="156">
        <f>VLOOKUP($A25,Standings!$A:$M,11,0)</f>
        <v/>
      </c>
      <c r="O25" s="156">
        <f>VLOOKUP($A25,Standings!$A:$M,12,0)</f>
        <v/>
      </c>
      <c r="P25" s="156">
        <f>VLOOKUP($A25,Standings!$A:$N,14,0)</f>
        <v/>
      </c>
      <c r="Q25" s="167">
        <f>VLOOKUP($A25,Standings!$A:$M,4,0)</f>
        <v/>
      </c>
      <c r="R25" s="157" t="inlineStr">
        <is>
          <t>NYJ</t>
        </is>
      </c>
      <c r="S25" s="157">
        <f>IFERROR(AVERAGE(U25,V25)/AVERAGE(U25,B25),1)</f>
        <v/>
      </c>
      <c r="T25" s="157" t="n">
        <v>1</v>
      </c>
      <c r="U25" s="157">
        <f>SUMIFS(2025Schedule!F:F,2025Schedule!N:N,Y25)/COUNTIFS(2025Schedule!N:N,Y25)</f>
        <v/>
      </c>
      <c r="V25" s="275">
        <f>SUMIFS(2025Schedule!F:F,2025Schedule!N:N,Z25)/COUNTIFS(2025Schedule!N:N,Z25)</f>
        <v/>
      </c>
      <c r="W25" s="275">
        <f>SUMIFS(2025Schedule!I:I,2025Schedule!N:N,Y25)/COUNTIFS(2025Schedule!N:N,Y25)</f>
        <v/>
      </c>
      <c r="X25" s="275">
        <f>SUMIFS(2025Schedule!I:I,2025Schedule!N:N,Z25)/COUNTIFS(2025Schedule!N:N,Z25)</f>
        <v/>
      </c>
      <c r="Y25" s="276">
        <f>A25&amp;"Away"</f>
        <v/>
      </c>
      <c r="Z25" s="276">
        <f>A25&amp;"Home"</f>
        <v/>
      </c>
      <c r="AA25" s="157" t="inlineStr">
        <is>
          <t>New York Jets</t>
        </is>
      </c>
      <c r="AB25" s="156" t="inlineStr">
        <is>
          <t xml:space="preserve"> N.Y. Jets</t>
        </is>
      </c>
      <c r="AC25" s="157" t="inlineStr">
        <is>
          <t>NYJ</t>
        </is>
      </c>
    </row>
    <row r="26" ht="14.4" customHeight="1" s="152">
      <c r="A26" s="156" t="inlineStr">
        <is>
          <t>Las Vegas Raiders</t>
        </is>
      </c>
      <c r="B26" s="243">
        <f>IFERROR(I26/SUM(D26:E26,Q26),0)</f>
        <v/>
      </c>
      <c r="C26" s="243">
        <f>IFERROR(J26/SUM(D26:E26,Q26),0)</f>
        <v/>
      </c>
      <c r="D26" s="167">
        <f>VLOOKUP($A26,Standings!$A:$M,2,0)</f>
        <v/>
      </c>
      <c r="E26" s="167">
        <f>VLOOKUP($A26,Standings!$A:$M,3,0)</f>
        <v/>
      </c>
      <c r="F26" s="167">
        <f>VLOOKUP($A26,Standings!$A:$M,4,0)</f>
        <v/>
      </c>
      <c r="G26" s="157">
        <f>IFERROR(K26/SUM(D26:E26),0)</f>
        <v/>
      </c>
      <c r="H26" s="156">
        <f>VLOOKUP($A26,Standings!$A:$M,5,0)</f>
        <v/>
      </c>
      <c r="I26" s="156">
        <f>VLOOKUP($A26,Standings!$A:$M,6,0)</f>
        <v/>
      </c>
      <c r="J26" s="156">
        <f>VLOOKUP($A26,Standings!$A:$M,7,0)</f>
        <v/>
      </c>
      <c r="K26" s="156">
        <f>VLOOKUP($A26,Standings!$A:$M,8,0)</f>
        <v/>
      </c>
      <c r="L26" s="156">
        <f>VLOOKUP($A26,Standings!$A:$M,9,0)</f>
        <v/>
      </c>
      <c r="M26" s="156">
        <f>VLOOKUP($A26,Standings!$A:$M,10,0)</f>
        <v/>
      </c>
      <c r="N26" s="156">
        <f>VLOOKUP($A26,Standings!$A:$M,11,0)</f>
        <v/>
      </c>
      <c r="O26" s="156">
        <f>VLOOKUP($A26,Standings!$A:$M,12,0)</f>
        <v/>
      </c>
      <c r="P26" s="156">
        <f>VLOOKUP($A26,Standings!$A:$N,14,0)</f>
        <v/>
      </c>
      <c r="Q26" s="167">
        <f>VLOOKUP($A26,Standings!$A:$M,4,0)</f>
        <v/>
      </c>
      <c r="R26" s="157" t="inlineStr">
        <is>
          <t>LV</t>
        </is>
      </c>
      <c r="S26" s="157">
        <f>IFERROR(AVERAGE(U26,V26)/AVERAGE(U26,B26),1)</f>
        <v/>
      </c>
      <c r="T26" s="157" t="n">
        <v>1</v>
      </c>
      <c r="U26" s="157">
        <f>SUMIFS(2025Schedule!F:F,2025Schedule!N:N,Y26)/COUNTIFS(2025Schedule!N:N,Y26)</f>
        <v/>
      </c>
      <c r="V26" s="275">
        <f>SUMIFS(2025Schedule!F:F,2025Schedule!N:N,Z26)/COUNTIFS(2025Schedule!N:N,Z26)</f>
        <v/>
      </c>
      <c r="W26" s="275">
        <f>SUMIFS(2025Schedule!I:I,2025Schedule!N:N,Y26)/COUNTIFS(2025Schedule!N:N,Y26)</f>
        <v/>
      </c>
      <c r="X26" s="275">
        <f>SUMIFS(2025Schedule!I:I,2025Schedule!N:N,Z26)/COUNTIFS(2025Schedule!N:N,Z26)</f>
        <v/>
      </c>
      <c r="Y26" s="276">
        <f>A26&amp;"Away"</f>
        <v/>
      </c>
      <c r="Z26" s="276">
        <f>A26&amp;"Home"</f>
        <v/>
      </c>
      <c r="AA26" s="157" t="inlineStr">
        <is>
          <t>Las Vegas Raiders</t>
        </is>
      </c>
      <c r="AB26" s="156" t="inlineStr">
        <is>
          <t xml:space="preserve"> Las Vegas</t>
        </is>
      </c>
      <c r="AC26" s="277" t="inlineStr">
        <is>
          <t>LV</t>
        </is>
      </c>
    </row>
    <row r="27" ht="14.4" customHeight="1" s="152">
      <c r="A27" s="156" t="inlineStr">
        <is>
          <t>Philadelphia Eagles</t>
        </is>
      </c>
      <c r="B27" s="243">
        <f>IFERROR(I27/SUM(D27:E27,Q27),0)</f>
        <v/>
      </c>
      <c r="C27" s="243">
        <f>IFERROR(J27/SUM(D27:E27,Q27),0)</f>
        <v/>
      </c>
      <c r="D27" s="167">
        <f>VLOOKUP($A27,Standings!$A:$M,2,0)</f>
        <v/>
      </c>
      <c r="E27" s="167">
        <f>VLOOKUP($A27,Standings!$A:$M,3,0)</f>
        <v/>
      </c>
      <c r="F27" s="167">
        <f>VLOOKUP($A27,Standings!$A:$M,4,0)</f>
        <v/>
      </c>
      <c r="G27" s="157">
        <f>IFERROR(K27/SUM(D27:E27),0)</f>
        <v/>
      </c>
      <c r="H27" s="156">
        <f>VLOOKUP($A27,Standings!$A:$M,5,0)</f>
        <v/>
      </c>
      <c r="I27" s="156">
        <f>VLOOKUP($A27,Standings!$A:$M,6,0)</f>
        <v/>
      </c>
      <c r="J27" s="156">
        <f>VLOOKUP($A27,Standings!$A:$M,7,0)</f>
        <v/>
      </c>
      <c r="K27" s="156">
        <f>VLOOKUP($A27,Standings!$A:$M,8,0)</f>
        <v/>
      </c>
      <c r="L27" s="156">
        <f>VLOOKUP($A27,Standings!$A:$M,9,0)</f>
        <v/>
      </c>
      <c r="M27" s="156">
        <f>VLOOKUP($A27,Standings!$A:$M,10,0)</f>
        <v/>
      </c>
      <c r="N27" s="156">
        <f>VLOOKUP($A27,Standings!$A:$M,11,0)</f>
        <v/>
      </c>
      <c r="O27" s="156">
        <f>VLOOKUP($A27,Standings!$A:$M,12,0)</f>
        <v/>
      </c>
      <c r="P27" s="156">
        <f>VLOOKUP($A27,Standings!$A:$N,14,0)</f>
        <v/>
      </c>
      <c r="Q27" s="167">
        <f>VLOOKUP($A27,Standings!$A:$M,4,0)</f>
        <v/>
      </c>
      <c r="R27" s="157" t="inlineStr">
        <is>
          <t>PHI</t>
        </is>
      </c>
      <c r="S27" s="157">
        <f>IFERROR(AVERAGE(U27,V27)/AVERAGE(U27,B27),1)</f>
        <v/>
      </c>
      <c r="T27" s="157" t="n">
        <v>1</v>
      </c>
      <c r="U27" s="157">
        <f>SUMIFS(2025Schedule!F:F,2025Schedule!N:N,Y27)/COUNTIFS(2025Schedule!N:N,Y27)</f>
        <v/>
      </c>
      <c r="V27" s="275">
        <f>SUMIFS(2025Schedule!F:F,2025Schedule!N:N,Z27)/COUNTIFS(2025Schedule!N:N,Z27)</f>
        <v/>
      </c>
      <c r="W27" s="275">
        <f>SUMIFS(2025Schedule!I:I,2025Schedule!N:N,Y27)/COUNTIFS(2025Schedule!N:N,Y27)</f>
        <v/>
      </c>
      <c r="X27" s="275">
        <f>SUMIFS(2025Schedule!I:I,2025Schedule!N:N,Z27)/COUNTIFS(2025Schedule!N:N,Z27)</f>
        <v/>
      </c>
      <c r="Y27" s="276">
        <f>A27&amp;"Away"</f>
        <v/>
      </c>
      <c r="Z27" s="276">
        <f>A27&amp;"Home"</f>
        <v/>
      </c>
      <c r="AA27" s="157" t="inlineStr">
        <is>
          <t>Philadelphia Eagles</t>
        </is>
      </c>
      <c r="AB27" s="156" t="inlineStr">
        <is>
          <t xml:space="preserve"> Philadelphia</t>
        </is>
      </c>
      <c r="AC27" s="157" t="inlineStr">
        <is>
          <t>PHI</t>
        </is>
      </c>
    </row>
    <row r="28" ht="14.4" customHeight="1" s="152">
      <c r="A28" s="156" t="inlineStr">
        <is>
          <t>Pittsburgh Steelers</t>
        </is>
      </c>
      <c r="B28" s="243">
        <f>IFERROR(I28/SUM(D28:E28,Q28),0)</f>
        <v/>
      </c>
      <c r="C28" s="243">
        <f>IFERROR(J28/SUM(D28:E28,Q28),0)</f>
        <v/>
      </c>
      <c r="D28" s="167">
        <f>VLOOKUP($A28,Standings!$A:$M,2,0)</f>
        <v/>
      </c>
      <c r="E28" s="167">
        <f>VLOOKUP($A28,Standings!$A:$M,3,0)</f>
        <v/>
      </c>
      <c r="F28" s="167">
        <f>VLOOKUP($A28,Standings!$A:$M,4,0)</f>
        <v/>
      </c>
      <c r="G28" s="157">
        <f>IFERROR(K28/SUM(D28:E28),0)</f>
        <v/>
      </c>
      <c r="H28" s="156">
        <f>VLOOKUP($A28,Standings!$A:$M,5,0)</f>
        <v/>
      </c>
      <c r="I28" s="156">
        <f>VLOOKUP($A28,Standings!$A:$M,6,0)</f>
        <v/>
      </c>
      <c r="J28" s="156">
        <f>VLOOKUP($A28,Standings!$A:$M,7,0)</f>
        <v/>
      </c>
      <c r="K28" s="156">
        <f>VLOOKUP($A28,Standings!$A:$M,8,0)</f>
        <v/>
      </c>
      <c r="L28" s="156">
        <f>VLOOKUP($A28,Standings!$A:$M,9,0)</f>
        <v/>
      </c>
      <c r="M28" s="156">
        <f>VLOOKUP($A28,Standings!$A:$M,10,0)</f>
        <v/>
      </c>
      <c r="N28" s="156">
        <f>VLOOKUP($A28,Standings!$A:$M,11,0)</f>
        <v/>
      </c>
      <c r="O28" s="156">
        <f>VLOOKUP($A28,Standings!$A:$M,12,0)</f>
        <v/>
      </c>
      <c r="P28" s="156">
        <f>VLOOKUP($A28,Standings!$A:$N,14,0)</f>
        <v/>
      </c>
      <c r="Q28" s="167">
        <f>VLOOKUP($A28,Standings!$A:$M,4,0)</f>
        <v/>
      </c>
      <c r="R28" s="157" t="inlineStr">
        <is>
          <t>PIT</t>
        </is>
      </c>
      <c r="S28" s="157">
        <f>IFERROR(AVERAGE(U28,V28)/AVERAGE(U28,B28),1)</f>
        <v/>
      </c>
      <c r="T28" s="157" t="n">
        <v>1</v>
      </c>
      <c r="U28" s="157">
        <f>SUMIFS(2025Schedule!F:F,2025Schedule!N:N,Y28)/COUNTIFS(2025Schedule!N:N,Y28)</f>
        <v/>
      </c>
      <c r="V28" s="275">
        <f>SUMIFS(2025Schedule!F:F,2025Schedule!N:N,Z28)/COUNTIFS(2025Schedule!N:N,Z28)</f>
        <v/>
      </c>
      <c r="W28" s="275">
        <f>SUMIFS(2025Schedule!I:I,2025Schedule!N:N,Y28)/COUNTIFS(2025Schedule!N:N,Y28)</f>
        <v/>
      </c>
      <c r="X28" s="275">
        <f>SUMIFS(2025Schedule!I:I,2025Schedule!N:N,Z28)/COUNTIFS(2025Schedule!N:N,Z28)</f>
        <v/>
      </c>
      <c r="Y28" s="276">
        <f>A28&amp;"Away"</f>
        <v/>
      </c>
      <c r="Z28" s="276">
        <f>A28&amp;"Home"</f>
        <v/>
      </c>
      <c r="AA28" s="157" t="inlineStr">
        <is>
          <t>Pittsburgh Steelers</t>
        </is>
      </c>
      <c r="AB28" s="156" t="inlineStr">
        <is>
          <t xml:space="preserve"> Pittsburgh</t>
        </is>
      </c>
      <c r="AC28" s="157" t="inlineStr">
        <is>
          <t>PIT</t>
        </is>
      </c>
    </row>
    <row r="29" ht="14.4" customHeight="1" s="152">
      <c r="A29" s="156" t="inlineStr">
        <is>
          <t>San Francisco 49ers</t>
        </is>
      </c>
      <c r="B29" s="243">
        <f>IFERROR(I29/SUM(D29:E29,Q29),0)</f>
        <v/>
      </c>
      <c r="C29" s="243">
        <f>IFERROR(J29/SUM(D29:E29,Q29),0)</f>
        <v/>
      </c>
      <c r="D29" s="167">
        <f>VLOOKUP($A29,Standings!$A:$M,2,0)</f>
        <v/>
      </c>
      <c r="E29" s="167">
        <f>VLOOKUP($A29,Standings!$A:$M,3,0)</f>
        <v/>
      </c>
      <c r="F29" s="167">
        <f>VLOOKUP($A29,Standings!$A:$M,4,0)</f>
        <v/>
      </c>
      <c r="G29" s="157">
        <f>IFERROR(K29/SUM(D29:E29),0)</f>
        <v/>
      </c>
      <c r="H29" s="156">
        <f>VLOOKUP($A29,Standings!$A:$M,5,0)</f>
        <v/>
      </c>
      <c r="I29" s="156">
        <f>VLOOKUP($A29,Standings!$A:$M,6,0)</f>
        <v/>
      </c>
      <c r="J29" s="156">
        <f>VLOOKUP($A29,Standings!$A:$M,7,0)</f>
        <v/>
      </c>
      <c r="K29" s="156">
        <f>VLOOKUP($A29,Standings!$A:$M,8,0)</f>
        <v/>
      </c>
      <c r="L29" s="156">
        <f>VLOOKUP($A29,Standings!$A:$M,9,0)</f>
        <v/>
      </c>
      <c r="M29" s="156">
        <f>VLOOKUP($A29,Standings!$A:$M,10,0)</f>
        <v/>
      </c>
      <c r="N29" s="156">
        <f>VLOOKUP($A29,Standings!$A:$M,11,0)</f>
        <v/>
      </c>
      <c r="O29" s="156">
        <f>VLOOKUP($A29,Standings!$A:$M,12,0)</f>
        <v/>
      </c>
      <c r="P29" s="156">
        <f>VLOOKUP($A29,Standings!$A:$N,14,0)</f>
        <v/>
      </c>
      <c r="Q29" s="167">
        <f>VLOOKUP($A29,Standings!$A:$M,4,0)</f>
        <v/>
      </c>
      <c r="R29" s="157" t="inlineStr">
        <is>
          <t>SF</t>
        </is>
      </c>
      <c r="S29" s="157">
        <f>IFERROR(AVERAGE(U29,V29)/AVERAGE(U29,B29),1)</f>
        <v/>
      </c>
      <c r="T29" s="157" t="n">
        <v>1</v>
      </c>
      <c r="U29" s="157">
        <f>SUMIFS(2025Schedule!F:F,2025Schedule!N:N,Y29)/COUNTIFS(2025Schedule!N:N,Y29)</f>
        <v/>
      </c>
      <c r="V29" s="275">
        <f>SUMIFS(2025Schedule!F:F,2025Schedule!N:N,Z29)/COUNTIFS(2025Schedule!N:N,Z29)</f>
        <v/>
      </c>
      <c r="W29" s="275">
        <f>SUMIFS(2025Schedule!I:I,2025Schedule!N:N,Y29)/COUNTIFS(2025Schedule!N:N,Y29)</f>
        <v/>
      </c>
      <c r="X29" s="275">
        <f>SUMIFS(2025Schedule!I:I,2025Schedule!N:N,Z29)/COUNTIFS(2025Schedule!N:N,Z29)</f>
        <v/>
      </c>
      <c r="Y29" s="276">
        <f>A29&amp;"Away"</f>
        <v/>
      </c>
      <c r="Z29" s="276">
        <f>A29&amp;"Home"</f>
        <v/>
      </c>
      <c r="AA29" s="157" t="inlineStr">
        <is>
          <t>San Francisco 49ers</t>
        </is>
      </c>
      <c r="AB29" s="156" t="inlineStr">
        <is>
          <t xml:space="preserve"> San Francisco</t>
        </is>
      </c>
      <c r="AC29" s="157" t="inlineStr">
        <is>
          <t>SF</t>
        </is>
      </c>
    </row>
    <row r="30" ht="14.4" customHeight="1" s="152">
      <c r="A30" s="156" t="inlineStr">
        <is>
          <t>Seattle Seahawks</t>
        </is>
      </c>
      <c r="B30" s="243">
        <f>IFERROR(I30/SUM(D30:E30,Q30),0)</f>
        <v/>
      </c>
      <c r="C30" s="243">
        <f>IFERROR(J30/SUM(D30:E30,Q30),0)</f>
        <v/>
      </c>
      <c r="D30" s="167">
        <f>VLOOKUP($A30,Standings!$A:$M,2,0)</f>
        <v/>
      </c>
      <c r="E30" s="167">
        <f>VLOOKUP($A30,Standings!$A:$M,3,0)</f>
        <v/>
      </c>
      <c r="F30" s="167">
        <f>VLOOKUP($A30,Standings!$A:$M,4,0)</f>
        <v/>
      </c>
      <c r="G30" s="157">
        <f>IFERROR(K30/SUM(D30:E30),0)</f>
        <v/>
      </c>
      <c r="H30" s="156">
        <f>VLOOKUP($A30,Standings!$A:$M,5,0)</f>
        <v/>
      </c>
      <c r="I30" s="156">
        <f>VLOOKUP($A30,Standings!$A:$M,6,0)</f>
        <v/>
      </c>
      <c r="J30" s="156">
        <f>VLOOKUP($A30,Standings!$A:$M,7,0)</f>
        <v/>
      </c>
      <c r="K30" s="156">
        <f>VLOOKUP($A30,Standings!$A:$M,8,0)</f>
        <v/>
      </c>
      <c r="L30" s="156">
        <f>VLOOKUP($A30,Standings!$A:$M,9,0)</f>
        <v/>
      </c>
      <c r="M30" s="156">
        <f>VLOOKUP($A30,Standings!$A:$M,10,0)</f>
        <v/>
      </c>
      <c r="N30" s="156">
        <f>VLOOKUP($A30,Standings!$A:$M,11,0)</f>
        <v/>
      </c>
      <c r="O30" s="156">
        <f>VLOOKUP($A30,Standings!$A:$M,12,0)</f>
        <v/>
      </c>
      <c r="P30" s="156">
        <f>VLOOKUP($A30,Standings!$A:$N,14,0)</f>
        <v/>
      </c>
      <c r="Q30" s="167">
        <f>VLOOKUP($A30,Standings!$A:$M,4,0)</f>
        <v/>
      </c>
      <c r="R30" s="157" t="inlineStr">
        <is>
          <t>SEA</t>
        </is>
      </c>
      <c r="S30" s="157">
        <f>IFERROR(AVERAGE(U30,V30)/AVERAGE(U30,B30),1)</f>
        <v/>
      </c>
      <c r="T30" s="157" t="n">
        <v>1</v>
      </c>
      <c r="U30" s="157">
        <f>SUMIFS(2025Schedule!F:F,2025Schedule!N:N,Y30)/COUNTIFS(2025Schedule!N:N,Y30)</f>
        <v/>
      </c>
      <c r="V30" s="275">
        <f>SUMIFS(2025Schedule!F:F,2025Schedule!N:N,Z30)/COUNTIFS(2025Schedule!N:N,Z30)</f>
        <v/>
      </c>
      <c r="W30" s="275">
        <f>SUMIFS(2025Schedule!I:I,2025Schedule!N:N,Y30)/COUNTIFS(2025Schedule!N:N,Y30)</f>
        <v/>
      </c>
      <c r="X30" s="275">
        <f>SUMIFS(2025Schedule!I:I,2025Schedule!N:N,Z30)/COUNTIFS(2025Schedule!N:N,Z30)</f>
        <v/>
      </c>
      <c r="Y30" s="276">
        <f>A30&amp;"Away"</f>
        <v/>
      </c>
      <c r="Z30" s="276">
        <f>A30&amp;"Home"</f>
        <v/>
      </c>
      <c r="AA30" s="157" t="inlineStr">
        <is>
          <t>Seattle Seahawks</t>
        </is>
      </c>
      <c r="AB30" s="156" t="inlineStr">
        <is>
          <t xml:space="preserve"> Seattle</t>
        </is>
      </c>
      <c r="AC30" s="157" t="inlineStr">
        <is>
          <t>SEA</t>
        </is>
      </c>
    </row>
    <row r="31" ht="14.4" customHeight="1" s="152">
      <c r="A31" s="156" t="inlineStr">
        <is>
          <t>Tampa Bay Buccaneers</t>
        </is>
      </c>
      <c r="B31" s="243">
        <f>IFERROR(I31/SUM(D31:E31,Q31),0)</f>
        <v/>
      </c>
      <c r="C31" s="243">
        <f>IFERROR(J31/SUM(D31:E31,Q31),0)</f>
        <v/>
      </c>
      <c r="D31" s="167">
        <f>VLOOKUP($A31,Standings!$A:$M,2,0)</f>
        <v/>
      </c>
      <c r="E31" s="167">
        <f>VLOOKUP($A31,Standings!$A:$M,3,0)</f>
        <v/>
      </c>
      <c r="F31" s="167">
        <f>VLOOKUP($A31,Standings!$A:$M,4,0)</f>
        <v/>
      </c>
      <c r="G31" s="157">
        <f>IFERROR(K31/SUM(D31:E31),0)</f>
        <v/>
      </c>
      <c r="H31" s="156">
        <f>VLOOKUP($A31,Standings!$A:$M,5,0)</f>
        <v/>
      </c>
      <c r="I31" s="156">
        <f>VLOOKUP($A31,Standings!$A:$M,6,0)</f>
        <v/>
      </c>
      <c r="J31" s="156">
        <f>VLOOKUP($A31,Standings!$A:$M,7,0)</f>
        <v/>
      </c>
      <c r="K31" s="156">
        <f>VLOOKUP($A31,Standings!$A:$M,8,0)</f>
        <v/>
      </c>
      <c r="L31" s="156">
        <f>VLOOKUP($A31,Standings!$A:$M,9,0)</f>
        <v/>
      </c>
      <c r="M31" s="156">
        <f>VLOOKUP($A31,Standings!$A:$M,10,0)</f>
        <v/>
      </c>
      <c r="N31" s="156">
        <f>VLOOKUP($A31,Standings!$A:$M,11,0)</f>
        <v/>
      </c>
      <c r="O31" s="156">
        <f>VLOOKUP($A31,Standings!$A:$M,12,0)</f>
        <v/>
      </c>
      <c r="P31" s="156">
        <f>VLOOKUP($A31,Standings!$A:$N,14,0)</f>
        <v/>
      </c>
      <c r="Q31" s="167">
        <f>VLOOKUP($A31,Standings!$A:$M,4,0)</f>
        <v/>
      </c>
      <c r="R31" s="157" t="inlineStr">
        <is>
          <t>TB</t>
        </is>
      </c>
      <c r="S31" s="157">
        <f>IFERROR(AVERAGE(U31,V31)/AVERAGE(U31,B31),1)</f>
        <v/>
      </c>
      <c r="T31" s="157" t="n">
        <v>1</v>
      </c>
      <c r="U31" s="157">
        <f>SUMIFS(2025Schedule!F:F,2025Schedule!N:N,Y31)/COUNTIFS(2025Schedule!N:N,Y31)</f>
        <v/>
      </c>
      <c r="V31" s="275">
        <f>SUMIFS(2025Schedule!F:F,2025Schedule!N:N,Z31)/COUNTIFS(2025Schedule!N:N,Z31)</f>
        <v/>
      </c>
      <c r="W31" s="275">
        <f>SUMIFS(2025Schedule!I:I,2025Schedule!N:N,Y31)/COUNTIFS(2025Schedule!N:N,Y31)</f>
        <v/>
      </c>
      <c r="X31" s="275">
        <f>SUMIFS(2025Schedule!I:I,2025Schedule!N:N,Z31)/COUNTIFS(2025Schedule!N:N,Z31)</f>
        <v/>
      </c>
      <c r="Y31" s="276">
        <f>A31&amp;"Away"</f>
        <v/>
      </c>
      <c r="Z31" s="276">
        <f>A31&amp;"Home"</f>
        <v/>
      </c>
      <c r="AA31" s="157" t="inlineStr">
        <is>
          <t>Tampa Bay Buccaneers</t>
        </is>
      </c>
      <c r="AB31" s="156" t="inlineStr">
        <is>
          <t xml:space="preserve"> Tampa Bay</t>
        </is>
      </c>
      <c r="AC31" s="157" t="inlineStr">
        <is>
          <t>TB</t>
        </is>
      </c>
    </row>
    <row r="32" ht="14.4" customHeight="1" s="152">
      <c r="A32" s="156" t="inlineStr">
        <is>
          <t>Tennessee Titans</t>
        </is>
      </c>
      <c r="B32" s="243">
        <f>IFERROR(I32/SUM(D32:E32,Q32),0)</f>
        <v/>
      </c>
      <c r="C32" s="243">
        <f>IFERROR(J32/SUM(D32:E32,Q32),0)</f>
        <v/>
      </c>
      <c r="D32" s="167">
        <f>VLOOKUP($A32,Standings!$A:$M,2,0)</f>
        <v/>
      </c>
      <c r="E32" s="167">
        <f>VLOOKUP($A32,Standings!$A:$M,3,0)</f>
        <v/>
      </c>
      <c r="F32" s="167">
        <f>VLOOKUP($A32,Standings!$A:$M,4,0)</f>
        <v/>
      </c>
      <c r="G32" s="157">
        <f>IFERROR(K32/SUM(D32:E32),0)</f>
        <v/>
      </c>
      <c r="H32" s="156">
        <f>VLOOKUP($A32,Standings!$A:$M,5,0)</f>
        <v/>
      </c>
      <c r="I32" s="156">
        <f>VLOOKUP($A32,Standings!$A:$M,6,0)</f>
        <v/>
      </c>
      <c r="J32" s="156">
        <f>VLOOKUP($A32,Standings!$A:$M,7,0)</f>
        <v/>
      </c>
      <c r="K32" s="156">
        <f>VLOOKUP($A32,Standings!$A:$M,8,0)</f>
        <v/>
      </c>
      <c r="L32" s="156">
        <f>VLOOKUP($A32,Standings!$A:$M,9,0)</f>
        <v/>
      </c>
      <c r="M32" s="156">
        <f>VLOOKUP($A32,Standings!$A:$M,10,0)</f>
        <v/>
      </c>
      <c r="N32" s="156">
        <f>VLOOKUP($A32,Standings!$A:$M,11,0)</f>
        <v/>
      </c>
      <c r="O32" s="156">
        <f>VLOOKUP($A32,Standings!$A:$M,12,0)</f>
        <v/>
      </c>
      <c r="P32" s="156">
        <f>VLOOKUP($A32,Standings!$A:$N,14,0)</f>
        <v/>
      </c>
      <c r="Q32" s="167">
        <f>VLOOKUP($A32,Standings!$A:$M,4,0)</f>
        <v/>
      </c>
      <c r="R32" s="157" t="inlineStr">
        <is>
          <t>TEN</t>
        </is>
      </c>
      <c r="S32" s="157">
        <f>IFERROR(AVERAGE(U32,V32)/AVERAGE(U32,B32),1)</f>
        <v/>
      </c>
      <c r="T32" s="157" t="n">
        <v>1</v>
      </c>
      <c r="U32" s="157">
        <f>SUMIFS(2025Schedule!F:F,2025Schedule!N:N,Y32)/COUNTIFS(2025Schedule!N:N,Y32)</f>
        <v/>
      </c>
      <c r="V32" s="275">
        <f>SUMIFS(2025Schedule!F:F,2025Schedule!N:N,Z32)/COUNTIFS(2025Schedule!N:N,Z32)</f>
        <v/>
      </c>
      <c r="W32" s="275">
        <f>SUMIFS(2025Schedule!I:I,2025Schedule!N:N,Y32)/COUNTIFS(2025Schedule!N:N,Y32)</f>
        <v/>
      </c>
      <c r="X32" s="275">
        <f>SUMIFS(2025Schedule!I:I,2025Schedule!N:N,Z32)/COUNTIFS(2025Schedule!N:N,Z32)</f>
        <v/>
      </c>
      <c r="Y32" s="276">
        <f>A32&amp;"Away"</f>
        <v/>
      </c>
      <c r="Z32" s="276">
        <f>A32&amp;"Home"</f>
        <v/>
      </c>
      <c r="AA32" s="157" t="inlineStr">
        <is>
          <t>Tennessee Titans</t>
        </is>
      </c>
      <c r="AB32" s="156" t="inlineStr">
        <is>
          <t xml:space="preserve"> Tennessee</t>
        </is>
      </c>
      <c r="AC32" s="157" t="inlineStr">
        <is>
          <t>TEN</t>
        </is>
      </c>
    </row>
    <row r="33" ht="14.4" customHeight="1" s="152">
      <c r="A33" s="156" t="inlineStr">
        <is>
          <t>Washington Commanders</t>
        </is>
      </c>
      <c r="B33" s="243">
        <f>IFERROR(I33/SUM(D33:E33,Q33),0)</f>
        <v/>
      </c>
      <c r="C33" s="243">
        <f>IFERROR(J33/SUM(D33:E33,Q33),0)</f>
        <v/>
      </c>
      <c r="D33" s="167">
        <f>VLOOKUP($A33,Standings!$A:$M,2,0)</f>
        <v/>
      </c>
      <c r="E33" s="167">
        <f>VLOOKUP($A33,Standings!$A:$M,3,0)</f>
        <v/>
      </c>
      <c r="F33" s="167">
        <f>VLOOKUP($A33,Standings!$A:$M,4,0)</f>
        <v/>
      </c>
      <c r="G33" s="157">
        <f>IFERROR(K33/SUM(D33:E33),0)</f>
        <v/>
      </c>
      <c r="H33" s="156">
        <f>VLOOKUP($A33,Standings!$A:$M,5,0)</f>
        <v/>
      </c>
      <c r="I33" s="156">
        <f>VLOOKUP($A33,Standings!$A:$M,6,0)</f>
        <v/>
      </c>
      <c r="J33" s="156">
        <f>VLOOKUP($A33,Standings!$A:$M,7,0)</f>
        <v/>
      </c>
      <c r="K33" s="156">
        <f>VLOOKUP($A33,Standings!$A:$M,8,0)</f>
        <v/>
      </c>
      <c r="L33" s="156">
        <f>VLOOKUP($A33,Standings!$A:$M,9,0)</f>
        <v/>
      </c>
      <c r="M33" s="156">
        <f>VLOOKUP($A33,Standings!$A:$M,10,0)</f>
        <v/>
      </c>
      <c r="N33" s="156">
        <f>VLOOKUP($A33,Standings!$A:$M,11,0)</f>
        <v/>
      </c>
      <c r="O33" s="156">
        <f>VLOOKUP($A33,Standings!$A:$M,12,0)</f>
        <v/>
      </c>
      <c r="P33" s="156">
        <f>VLOOKUP($A33,Standings!$A:$N,14,0)</f>
        <v/>
      </c>
      <c r="Q33" s="167">
        <f>VLOOKUP($A33,Standings!$A:$M,4,0)</f>
        <v/>
      </c>
      <c r="R33" s="157" t="inlineStr">
        <is>
          <t>WAS</t>
        </is>
      </c>
      <c r="S33" s="157">
        <f>IFERROR(AVERAGE(U33,V33)/AVERAGE(U33,B33),1)</f>
        <v/>
      </c>
      <c r="T33" s="157" t="n">
        <v>1</v>
      </c>
      <c r="U33" s="157">
        <f>SUMIFS(2025Schedule!F:F,2025Schedule!N:N,Y33)/COUNTIFS(2025Schedule!N:N,Y33)</f>
        <v/>
      </c>
      <c r="V33" s="275">
        <f>SUMIFS(2025Schedule!F:F,2025Schedule!N:N,Z33)/COUNTIFS(2025Schedule!N:N,Z33)</f>
        <v/>
      </c>
      <c r="W33" s="275">
        <f>SUMIFS(2025Schedule!I:I,2025Schedule!N:N,Y33)/COUNTIFS(2025Schedule!N:N,Y33)</f>
        <v/>
      </c>
      <c r="X33" s="275">
        <f>SUMIFS(2025Schedule!I:I,2025Schedule!N:N,Z33)/COUNTIFS(2025Schedule!N:N,Z33)</f>
        <v/>
      </c>
      <c r="Y33" s="276">
        <f>A33&amp;"Away"</f>
        <v/>
      </c>
      <c r="Z33" s="276">
        <f>A33&amp;"Home"</f>
        <v/>
      </c>
      <c r="AA33" s="157" t="inlineStr">
        <is>
          <t>Washington Commanders</t>
        </is>
      </c>
      <c r="AB33" s="156" t="inlineStr">
        <is>
          <t xml:space="preserve"> Washington</t>
        </is>
      </c>
      <c r="AC33" s="277" t="inlineStr">
        <is>
          <t>WAS</t>
        </is>
      </c>
    </row>
    <row r="34" ht="14.4" customHeight="1" s="152">
      <c r="Y34" s="276">
        <f>A34&amp;"Away"</f>
        <v/>
      </c>
      <c r="Z34" s="276">
        <f>A34&amp;"Home"</f>
        <v/>
      </c>
      <c r="AB34" s="156" t="inlineStr">
        <is>
          <t>Browns</t>
        </is>
      </c>
      <c r="AC34" s="156" t="inlineStr">
        <is>
          <t>Cleveland Browns</t>
        </is>
      </c>
    </row>
    <row r="35" ht="14.4" customHeight="1" s="152">
      <c r="Y35" s="276" t="n"/>
      <c r="Z35" s="276" t="n"/>
      <c r="AB35" s="156" t="inlineStr">
        <is>
          <t>TitansHome</t>
        </is>
      </c>
      <c r="AC35" s="156" t="inlineStr">
        <is>
          <t>Tennessee Titans</t>
        </is>
      </c>
    </row>
    <row r="36" ht="14.4" customHeight="1" s="152">
      <c r="Y36" s="276" t="n"/>
      <c r="Z36" s="276" t="n"/>
      <c r="AB36" s="156" t="inlineStr">
        <is>
          <t>Colts</t>
        </is>
      </c>
      <c r="AC36" s="156" t="inlineStr">
        <is>
          <t>Indianapolis Colts</t>
        </is>
      </c>
    </row>
    <row r="37" ht="14.4" customHeight="1" s="152">
      <c r="Y37" s="276" t="n"/>
      <c r="Z37" s="276" t="n"/>
      <c r="AB37" s="156" t="inlineStr">
        <is>
          <t>TexansHome</t>
        </is>
      </c>
      <c r="AC37" s="156" t="inlineStr">
        <is>
          <t>Houston Texans</t>
        </is>
      </c>
    </row>
    <row r="38" ht="14.4" customHeight="1" s="152">
      <c r="Y38" s="276" t="n"/>
      <c r="Z38" s="276" t="n"/>
      <c r="AB38" s="156" t="inlineStr">
        <is>
          <t>Raiders</t>
        </is>
      </c>
      <c r="AC38" s="156" t="inlineStr">
        <is>
          <t>Las Vegas Raiders</t>
        </is>
      </c>
    </row>
    <row r="39" ht="14.4" customHeight="1" s="152">
      <c r="Y39" s="276" t="n"/>
      <c r="Z39" s="276" t="n"/>
      <c r="AB39" s="156" t="inlineStr">
        <is>
          <t>JetsHome</t>
        </is>
      </c>
      <c r="AC39" s="156" t="inlineStr">
        <is>
          <t>New York Jets</t>
        </is>
      </c>
    </row>
    <row r="40" ht="14.4" customHeight="1" s="152">
      <c r="Y40" s="276" t="n"/>
      <c r="Z40" s="276" t="n"/>
      <c r="AB40" s="156" t="inlineStr">
        <is>
          <t>Saints</t>
        </is>
      </c>
      <c r="AC40" s="156" t="inlineStr">
        <is>
          <t>New Orleans Saints</t>
        </is>
      </c>
    </row>
    <row r="41" ht="14.4" customHeight="1" s="152">
      <c r="Y41" s="276" t="n"/>
      <c r="Z41" s="276" t="n"/>
      <c r="AB41" s="156" t="inlineStr">
        <is>
          <t>FalconsHome</t>
        </is>
      </c>
      <c r="AC41" s="156" t="inlineStr">
        <is>
          <t>Atlanta Falcons</t>
        </is>
      </c>
    </row>
    <row r="42" ht="14.4" customHeight="1" s="152">
      <c r="Y42" s="276" t="n"/>
      <c r="Z42" s="276" t="n"/>
      <c r="AB42" s="156" t="inlineStr">
        <is>
          <t>Lions</t>
        </is>
      </c>
      <c r="AC42" s="156" t="inlineStr">
        <is>
          <t>Detroit Lions</t>
        </is>
      </c>
    </row>
    <row r="43" ht="14.4" customHeight="1" s="152">
      <c r="Y43" s="276" t="n"/>
      <c r="Z43" s="276" t="n"/>
      <c r="AB43" s="156" t="inlineStr">
        <is>
          <t>BearsHome</t>
        </is>
      </c>
      <c r="AC43" s="156" t="inlineStr">
        <is>
          <t>Chicago Bears</t>
        </is>
      </c>
    </row>
    <row r="44" ht="14.4" customHeight="1" s="152">
      <c r="Y44" s="276" t="n"/>
      <c r="Z44" s="276" t="n"/>
      <c r="AB44" s="156" t="inlineStr">
        <is>
          <t>Jaguars</t>
        </is>
      </c>
      <c r="AC44" s="156" t="inlineStr">
        <is>
          <t>Jacksonville Jaguars</t>
        </is>
      </c>
    </row>
    <row r="45" ht="14.4" customHeight="1" s="152">
      <c r="Y45" s="276" t="n"/>
      <c r="Z45" s="276" t="n"/>
      <c r="AB45" s="156" t="inlineStr">
        <is>
          <t>VikingsHome</t>
        </is>
      </c>
      <c r="AC45" s="156" t="inlineStr">
        <is>
          <t>Minnesota Vikings</t>
        </is>
      </c>
    </row>
    <row r="46" ht="14.4" customHeight="1" s="152">
      <c r="Y46" s="276" t="n"/>
      <c r="Z46" s="276" t="n"/>
      <c r="AB46" s="156" t="inlineStr">
        <is>
          <t>Bengals</t>
        </is>
      </c>
      <c r="AC46" s="156" t="inlineStr">
        <is>
          <t>Cincinnati Bengals</t>
        </is>
      </c>
    </row>
    <row r="47" ht="14.4" customHeight="1" s="152">
      <c r="Y47" s="276" t="n"/>
      <c r="Z47" s="276" t="n"/>
      <c r="AB47" s="156" t="inlineStr">
        <is>
          <t>DolphinsHome</t>
        </is>
      </c>
      <c r="AC47" s="156" t="inlineStr">
        <is>
          <t>Miami Dolphins</t>
        </is>
      </c>
    </row>
    <row r="48" ht="14.4" customHeight="1" s="152">
      <c r="Y48" s="276" t="n"/>
      <c r="Z48" s="276" t="n"/>
      <c r="AB48" s="156" t="inlineStr">
        <is>
          <t>Giants</t>
        </is>
      </c>
      <c r="AC48" s="156" t="inlineStr">
        <is>
          <t>New York Giants</t>
        </is>
      </c>
    </row>
    <row r="49" ht="14.4" customHeight="1" s="152">
      <c r="Y49" s="276" t="n"/>
      <c r="Z49" s="276" t="n"/>
      <c r="AB49" s="156" t="inlineStr">
        <is>
          <t>SeahawksHome</t>
        </is>
      </c>
      <c r="AC49" s="156" t="inlineStr">
        <is>
          <t>Seattle Seahawks</t>
        </is>
      </c>
    </row>
    <row r="50" ht="14.4" customHeight="1" s="152">
      <c r="Y50" s="276" t="n"/>
      <c r="Z50" s="276" t="n"/>
      <c r="AB50" s="156" t="inlineStr">
        <is>
          <t>Rams</t>
        </is>
      </c>
      <c r="AC50" s="156" t="inlineStr">
        <is>
          <t>Los Angeles Rams</t>
        </is>
      </c>
    </row>
    <row r="51" ht="14.4" customHeight="1" s="152">
      <c r="Y51" s="276" t="n"/>
      <c r="Z51" s="276" t="n"/>
      <c r="AB51" s="156" t="inlineStr">
        <is>
          <t>CardinalsHome</t>
        </is>
      </c>
      <c r="AC51" s="156" t="inlineStr">
        <is>
          <t>Arizona Cardinals</t>
        </is>
      </c>
    </row>
    <row r="52" ht="14.4" customHeight="1" s="152">
      <c r="Y52" s="276" t="n"/>
      <c r="Z52" s="276" t="n"/>
      <c r="AB52" s="156" t="inlineStr">
        <is>
          <t>Eagles</t>
        </is>
      </c>
      <c r="AC52" s="156" t="inlineStr">
        <is>
          <t>Philadelphia Eagles</t>
        </is>
      </c>
    </row>
    <row r="53" ht="14.4" customHeight="1" s="152">
      <c r="Y53" s="276" t="n"/>
      <c r="Z53" s="276" t="n"/>
      <c r="AB53" s="156" t="inlineStr">
        <is>
          <t>PackersHome</t>
        </is>
      </c>
      <c r="AC53" s="156" t="inlineStr">
        <is>
          <t>Green Bay Packers</t>
        </is>
      </c>
    </row>
    <row r="54" ht="14.4" customHeight="1" s="152">
      <c r="Y54" s="276" t="n"/>
      <c r="Z54" s="276" t="n"/>
      <c r="AB54" s="156" t="inlineStr">
        <is>
          <t>Patriots</t>
        </is>
      </c>
      <c r="AC54" s="156" t="inlineStr">
        <is>
          <t>New England Patriots</t>
        </is>
      </c>
    </row>
    <row r="55" ht="14.4" customHeight="1" s="152">
      <c r="Y55" s="276" t="n"/>
      <c r="Z55" s="276" t="n"/>
      <c r="AB55" s="156" t="inlineStr">
        <is>
          <t>ChargersHome</t>
        </is>
      </c>
      <c r="AC55" s="156" t="inlineStr">
        <is>
          <t>Los Angeles Chargers</t>
        </is>
      </c>
    </row>
    <row r="56" ht="14.4" customHeight="1" s="152">
      <c r="Y56" s="276" t="n"/>
      <c r="Z56" s="276" t="n"/>
      <c r="AB56" s="156" t="inlineStr">
        <is>
          <t>Broncos</t>
        </is>
      </c>
      <c r="AC56" s="156" t="inlineStr">
        <is>
          <t>Denver Broncos</t>
        </is>
      </c>
    </row>
    <row r="57" ht="14.4" customHeight="1" s="152">
      <c r="Y57" s="276" t="n"/>
      <c r="Z57" s="276" t="n"/>
      <c r="AB57" s="156" t="inlineStr">
        <is>
          <t>ChiefsHome</t>
        </is>
      </c>
      <c r="AC57" s="156" t="inlineStr">
        <is>
          <t>Kansas City Chiefs</t>
        </is>
      </c>
    </row>
    <row r="58" ht="14.4" customHeight="1" s="152">
      <c r="Y58" s="276" t="n"/>
      <c r="Z58" s="276" t="n"/>
      <c r="AB58" s="156" t="inlineStr">
        <is>
          <t>Football Team</t>
        </is>
      </c>
      <c r="AC58" s="156" t="inlineStr">
        <is>
          <t>Washington Football Team</t>
        </is>
      </c>
    </row>
    <row r="59" ht="14.4" customHeight="1" s="152">
      <c r="Y59" s="276" t="n"/>
      <c r="Z59" s="276" t="n"/>
      <c r="AB59" s="156" t="inlineStr">
        <is>
          <t>SteelersHome</t>
        </is>
      </c>
      <c r="AC59" s="156" t="inlineStr">
        <is>
          <t>Pittsburgh Steelers</t>
        </is>
      </c>
    </row>
    <row r="60" ht="14.4" customHeight="1" s="152">
      <c r="Y60" s="276" t="n"/>
      <c r="Z60" s="276" t="n"/>
      <c r="AB60" s="156" t="inlineStr">
        <is>
          <t>Bills</t>
        </is>
      </c>
      <c r="AC60" s="156" t="inlineStr">
        <is>
          <t>Buffalo Bills</t>
        </is>
      </c>
    </row>
    <row r="61" ht="14.4" customHeight="1" s="152">
      <c r="Y61" s="276" t="n"/>
      <c r="Z61" s="276" t="n"/>
      <c r="AB61" s="156" t="inlineStr">
        <is>
          <t>49ersHome</t>
        </is>
      </c>
      <c r="AC61" s="156" t="inlineStr">
        <is>
          <t>San Francisco 49ers</t>
        </is>
      </c>
    </row>
    <row r="62" ht="14.4" customHeight="1" s="152">
      <c r="Y62" s="276" t="n"/>
      <c r="Z62" s="276" t="n"/>
      <c r="AB62" s="156" t="inlineStr">
        <is>
          <t>Cowboys</t>
        </is>
      </c>
      <c r="AC62" s="156" t="inlineStr">
        <is>
          <t>Dallas Cowboys</t>
        </is>
      </c>
    </row>
    <row r="63" ht="14.4" customHeight="1" s="152">
      <c r="Y63" s="276" t="n"/>
      <c r="Z63" s="276" t="n"/>
      <c r="AB63" s="156" t="inlineStr">
        <is>
          <t>RavensHome</t>
        </is>
      </c>
      <c r="AC63" s="156" t="inlineStr">
        <is>
          <t>Baltimore Ravens</t>
        </is>
      </c>
    </row>
    <row r="64" ht="14.4" customHeight="1" s="152">
      <c r="Y64" s="276" t="n"/>
      <c r="Z64" s="276" t="n"/>
      <c r="AB64" s="156" t="inlineStr">
        <is>
          <t>49ersHome</t>
        </is>
      </c>
      <c r="AC64" s="156" t="inlineStr">
        <is>
          <t>San Francisco 49ers</t>
        </is>
      </c>
    </row>
    <row r="65" ht="14.4" customHeight="1" s="152">
      <c r="Y65" s="276" t="n"/>
      <c r="Z65" s="276" t="n"/>
      <c r="AB65" s="156" t="inlineStr">
        <is>
          <t>BearsHome</t>
        </is>
      </c>
      <c r="AC65" s="156" t="inlineStr">
        <is>
          <t>Chicago Bears</t>
        </is>
      </c>
    </row>
    <row r="66" ht="14.4" customHeight="1" s="152">
      <c r="Y66" s="276" t="n"/>
      <c r="Z66" s="276" t="n"/>
      <c r="AB66" s="156" t="inlineStr">
        <is>
          <t>BengalsHome</t>
        </is>
      </c>
      <c r="AC66" s="156" t="inlineStr">
        <is>
          <t>Cincinnati Bengals</t>
        </is>
      </c>
    </row>
    <row r="67" ht="14.4" customHeight="1" s="152">
      <c r="Y67" s="276" t="n"/>
      <c r="Z67" s="276" t="n"/>
      <c r="AB67" s="156" t="inlineStr">
        <is>
          <t>BillsHome</t>
        </is>
      </c>
      <c r="AC67" s="156" t="inlineStr">
        <is>
          <t>Buffalo Bills</t>
        </is>
      </c>
    </row>
    <row r="68" ht="14.4" customHeight="1" s="152">
      <c r="Y68" s="276" t="n"/>
      <c r="Z68" s="276" t="n"/>
      <c r="AB68" s="156" t="inlineStr">
        <is>
          <t>Broncos</t>
        </is>
      </c>
      <c r="AC68" s="156" t="inlineStr">
        <is>
          <t>Denver Broncos</t>
        </is>
      </c>
    </row>
    <row r="69" ht="14.4" customHeight="1" s="152">
      <c r="Y69" s="276" t="n"/>
      <c r="Z69" s="276" t="n"/>
      <c r="AB69" s="156" t="inlineStr">
        <is>
          <t>BrownsHome</t>
        </is>
      </c>
      <c r="AC69" s="156" t="inlineStr">
        <is>
          <t>Cleveland Browns</t>
        </is>
      </c>
    </row>
    <row r="70" ht="14.4" customHeight="1" s="152">
      <c r="Y70" s="276" t="n"/>
      <c r="Z70" s="276" t="n"/>
      <c r="AB70" s="156" t="inlineStr">
        <is>
          <t>BuccaneersHome</t>
        </is>
      </c>
      <c r="AC70" s="156" t="inlineStr">
        <is>
          <t>Tampa Bay Buccaneers</t>
        </is>
      </c>
    </row>
    <row r="71" ht="14.4" customHeight="1" s="152">
      <c r="Y71" s="276" t="n"/>
      <c r="Z71" s="276" t="n"/>
      <c r="AB71" s="156" t="inlineStr">
        <is>
          <t>Cardinals</t>
        </is>
      </c>
      <c r="AC71" s="156" t="inlineStr">
        <is>
          <t>Arizona Cardinals</t>
        </is>
      </c>
    </row>
    <row r="72" ht="14.4" customHeight="1" s="152">
      <c r="Y72" s="276" t="n"/>
      <c r="Z72" s="276" t="n"/>
      <c r="AB72" s="156" t="inlineStr">
        <is>
          <t>ChargersHome</t>
        </is>
      </c>
      <c r="AC72" s="156" t="inlineStr">
        <is>
          <t>Los Angeles Chargers</t>
        </is>
      </c>
    </row>
    <row r="73" ht="14.4" customHeight="1" s="152">
      <c r="Y73" s="276" t="n"/>
      <c r="Z73" s="276" t="n"/>
      <c r="AB73" s="156" t="inlineStr">
        <is>
          <t>Chiefs</t>
        </is>
      </c>
      <c r="AC73" s="156" t="inlineStr">
        <is>
          <t>Kansas City Chiefs</t>
        </is>
      </c>
    </row>
    <row r="74" ht="14.4" customHeight="1" s="152">
      <c r="Y74" s="276" t="n"/>
      <c r="Z74" s="276" t="n"/>
      <c r="AB74" s="156" t="inlineStr">
        <is>
          <t>Colts</t>
        </is>
      </c>
      <c r="AC74" s="156" t="inlineStr">
        <is>
          <t>Indianapolis Colts</t>
        </is>
      </c>
    </row>
    <row r="75" ht="14.4" customHeight="1" s="152">
      <c r="Y75" s="276" t="n"/>
      <c r="Z75" s="276" t="n"/>
      <c r="AB75" s="156" t="inlineStr">
        <is>
          <t>Cowboys</t>
        </is>
      </c>
      <c r="AC75" s="156" t="inlineStr">
        <is>
          <t>Dallas Cowboys</t>
        </is>
      </c>
    </row>
    <row r="76" ht="14.4" customHeight="1" s="152">
      <c r="Y76" s="276" t="n"/>
      <c r="Z76" s="276" t="n"/>
      <c r="AB76" s="156" t="inlineStr">
        <is>
          <t>DolphinsHome</t>
        </is>
      </c>
      <c r="AC76" s="156" t="inlineStr">
        <is>
          <t>Miami Dolphins</t>
        </is>
      </c>
    </row>
    <row r="77" ht="14.4" customHeight="1" s="152">
      <c r="Y77" s="276" t="n"/>
      <c r="Z77" s="276" t="n"/>
      <c r="AB77" s="156" t="inlineStr">
        <is>
          <t>EaglesHome</t>
        </is>
      </c>
      <c r="AC77" s="156" t="inlineStr">
        <is>
          <t>Philadelphia Eagles</t>
        </is>
      </c>
    </row>
    <row r="78" ht="14.4" customHeight="1" s="152">
      <c r="Y78" s="276" t="n"/>
      <c r="Z78" s="276" t="n"/>
      <c r="AB78" s="156" t="inlineStr">
        <is>
          <t>Falcons</t>
        </is>
      </c>
      <c r="AC78" s="156" t="inlineStr">
        <is>
          <t>Atlanta Falcons</t>
        </is>
      </c>
    </row>
    <row r="79" ht="14.4" customHeight="1" s="152">
      <c r="Y79" s="276" t="n"/>
      <c r="Z79" s="276" t="n"/>
      <c r="AB79" s="156" t="inlineStr">
        <is>
          <t>Commanders</t>
        </is>
      </c>
      <c r="AC79" s="156" t="inlineStr">
        <is>
          <t>Washington Commanders</t>
        </is>
      </c>
    </row>
    <row r="80" ht="14.4" customHeight="1" s="152">
      <c r="Y80" s="276" t="n"/>
      <c r="Z80" s="276" t="n"/>
      <c r="AB80" s="156" t="inlineStr">
        <is>
          <t>GiantsHome</t>
        </is>
      </c>
      <c r="AC80" s="156" t="inlineStr">
        <is>
          <t>New York Giants</t>
        </is>
      </c>
    </row>
    <row r="81" ht="14.4" customHeight="1" s="152">
      <c r="Y81" s="276" t="n"/>
      <c r="Z81" s="276" t="n"/>
      <c r="AB81" s="156" t="inlineStr">
        <is>
          <t>JaguarsHome</t>
        </is>
      </c>
      <c r="AC81" s="156" t="inlineStr">
        <is>
          <t>Jacksonville Jaguars</t>
        </is>
      </c>
    </row>
    <row r="82" ht="14.4" customHeight="1" s="152">
      <c r="Y82" s="276" t="n"/>
      <c r="Z82" s="276" t="n"/>
      <c r="AB82" s="156" t="inlineStr">
        <is>
          <t>Jets</t>
        </is>
      </c>
      <c r="AC82" s="156" t="inlineStr">
        <is>
          <t>New York Jets</t>
        </is>
      </c>
    </row>
    <row r="83" ht="14.4" customHeight="1" s="152">
      <c r="Y83" s="276" t="n"/>
      <c r="Z83" s="276" t="n"/>
      <c r="AB83" s="156" t="inlineStr">
        <is>
          <t>LionsHome</t>
        </is>
      </c>
      <c r="AC83" s="156" t="inlineStr">
        <is>
          <t>Detroit Lions</t>
        </is>
      </c>
    </row>
    <row r="84" ht="14.4" customHeight="1" s="152">
      <c r="Y84" s="276" t="n"/>
      <c r="Z84" s="276" t="n"/>
      <c r="AB84" s="156" t="inlineStr">
        <is>
          <t>Packers</t>
        </is>
      </c>
      <c r="AC84" s="156" t="inlineStr">
        <is>
          <t>Green Bay Packers</t>
        </is>
      </c>
    </row>
    <row r="85" ht="14.4" customHeight="1" s="152">
      <c r="Y85" s="276" t="n"/>
      <c r="Z85" s="276" t="n"/>
      <c r="AB85" s="156" t="inlineStr">
        <is>
          <t>PanthersHome</t>
        </is>
      </c>
      <c r="AC85" s="156" t="inlineStr">
        <is>
          <t>Carolina Panthers</t>
        </is>
      </c>
    </row>
    <row r="86" ht="14.4" customHeight="1" s="152">
      <c r="Y86" s="276" t="n"/>
      <c r="Z86" s="276" t="n"/>
      <c r="AB86" s="156" t="inlineStr">
        <is>
          <t>Patriots</t>
        </is>
      </c>
      <c r="AC86" s="156" t="inlineStr">
        <is>
          <t>New England Patriots</t>
        </is>
      </c>
    </row>
    <row r="87" ht="14.4" customHeight="1" s="152">
      <c r="Y87" s="276" t="n"/>
      <c r="Z87" s="276" t="n"/>
      <c r="AB87" s="156" t="inlineStr">
        <is>
          <t>RaidersHome</t>
        </is>
      </c>
      <c r="AC87" s="156" t="inlineStr">
        <is>
          <t>Las Vegas Raiders</t>
        </is>
      </c>
    </row>
    <row r="88" ht="14.4" customHeight="1" s="152">
      <c r="Y88" s="276" t="n"/>
      <c r="Z88" s="276" t="n"/>
      <c r="AB88" s="156" t="inlineStr">
        <is>
          <t>RamsHome</t>
        </is>
      </c>
      <c r="AC88" s="156" t="inlineStr">
        <is>
          <t>Los Angeles Rams</t>
        </is>
      </c>
    </row>
    <row r="89" ht="14.4" customHeight="1" s="152">
      <c r="Y89" s="276" t="n"/>
      <c r="Z89" s="276" t="n"/>
      <c r="AB89" s="156" t="inlineStr">
        <is>
          <t>Ravens</t>
        </is>
      </c>
      <c r="AC89" s="156" t="inlineStr">
        <is>
          <t>Baltimore Ravens</t>
        </is>
      </c>
    </row>
    <row r="90" ht="14.4" customHeight="1" s="152">
      <c r="Y90" s="276" t="n"/>
      <c r="Z90" s="276" t="n"/>
      <c r="AB90" s="156" t="inlineStr">
        <is>
          <t>Saints</t>
        </is>
      </c>
      <c r="AC90" s="156" t="inlineStr">
        <is>
          <t>New Orleans Saints</t>
        </is>
      </c>
    </row>
    <row r="91" ht="14.4" customHeight="1" s="152">
      <c r="Y91" s="276" t="n"/>
      <c r="Z91" s="276" t="n"/>
      <c r="AB91" s="156" t="inlineStr">
        <is>
          <t>SeahawksHome</t>
        </is>
      </c>
      <c r="AC91" s="156" t="inlineStr">
        <is>
          <t>Seattle Seahawks</t>
        </is>
      </c>
    </row>
    <row r="92" ht="14.4" customHeight="1" s="152">
      <c r="Y92" s="276" t="n"/>
      <c r="Z92" s="276" t="n"/>
      <c r="AB92" s="156" t="inlineStr">
        <is>
          <t>Steelers</t>
        </is>
      </c>
      <c r="AC92" s="156" t="inlineStr">
        <is>
          <t>Pittsburgh Steelers</t>
        </is>
      </c>
    </row>
    <row r="93" ht="14.4" customHeight="1" s="152">
      <c r="Y93" s="276" t="n"/>
      <c r="Z93" s="276" t="n"/>
      <c r="AB93" s="156" t="inlineStr">
        <is>
          <t>Texans</t>
        </is>
      </c>
      <c r="AC93" s="156" t="inlineStr">
        <is>
          <t>Houston Texans</t>
        </is>
      </c>
    </row>
    <row r="94" ht="14.4" customHeight="1" s="152">
      <c r="Y94" s="276" t="n"/>
      <c r="Z94" s="276" t="n"/>
      <c r="AB94" s="156" t="inlineStr">
        <is>
          <t>Titans</t>
        </is>
      </c>
      <c r="AC94" s="156" t="inlineStr">
        <is>
          <t>Tennessee Titans</t>
        </is>
      </c>
    </row>
    <row r="95" ht="14.4" customHeight="1" s="152">
      <c r="Y95" s="276" t="n"/>
      <c r="Z95" s="276" t="n"/>
      <c r="AB95" s="156" t="inlineStr">
        <is>
          <t>Vikings</t>
        </is>
      </c>
      <c r="AC95" s="156" t="inlineStr">
        <is>
          <t>Minnesota Vikings</t>
        </is>
      </c>
    </row>
    <row r="96" ht="14.4" customHeight="1" s="152">
      <c r="Y96" s="276" t="n"/>
      <c r="Z96" s="276" t="n"/>
      <c r="AB96" s="156" t="inlineStr">
        <is>
          <t>Chargers</t>
        </is>
      </c>
      <c r="AC96" s="156" t="inlineStr">
        <is>
          <t>Los Angeles Chargers</t>
        </is>
      </c>
    </row>
    <row r="97" ht="14.4" customHeight="1" s="152">
      <c r="Y97" s="276" t="n"/>
      <c r="Z97" s="276" t="n"/>
      <c r="AB97" s="156" t="inlineStr">
        <is>
          <t>RaidersHome</t>
        </is>
      </c>
      <c r="AC97" s="156" t="inlineStr">
        <is>
          <t>Las Vegas Raiders</t>
        </is>
      </c>
    </row>
    <row r="98" ht="14.4" customHeight="1" s="152">
      <c r="Y98" s="276" t="n"/>
      <c r="Z98" s="276" t="n"/>
      <c r="AB98" s="156" t="inlineStr">
        <is>
          <t>Bills</t>
        </is>
      </c>
      <c r="AC98" s="156" t="inlineStr">
        <is>
          <t>Buffalo Bills</t>
        </is>
      </c>
    </row>
    <row r="99" ht="14.4" customHeight="1" s="152">
      <c r="Y99" s="276" t="n"/>
      <c r="Z99" s="276" t="n"/>
      <c r="AB99" s="156" t="inlineStr">
        <is>
          <t>BroncosHome</t>
        </is>
      </c>
      <c r="AC99" s="156" t="inlineStr">
        <is>
          <t>Denver Broncos</t>
        </is>
      </c>
    </row>
    <row r="100" ht="14.4" customHeight="1" s="152">
      <c r="Y100" s="276" t="n"/>
      <c r="Z100" s="276" t="n"/>
      <c r="AB100" s="156" t="inlineStr">
        <is>
          <t>Panthers</t>
        </is>
      </c>
      <c r="AC100" s="156" t="inlineStr">
        <is>
          <t>Carolina Panthers</t>
        </is>
      </c>
    </row>
    <row r="101" ht="14.4" customHeight="1" s="152">
      <c r="Y101" s="276" t="n"/>
      <c r="Z101" s="276" t="n"/>
      <c r="AB101" s="156" t="inlineStr">
        <is>
          <t>PackersHome</t>
        </is>
      </c>
      <c r="AC101" s="156" t="inlineStr">
        <is>
          <t>Green Bay Packers</t>
        </is>
      </c>
    </row>
    <row r="102" ht="14.4" customHeight="1" s="152">
      <c r="Y102" s="276" t="n"/>
      <c r="Z102" s="276" t="n"/>
      <c r="AB102" s="156" t="inlineStr">
        <is>
          <t>Buccaneers</t>
        </is>
      </c>
      <c r="AC102" s="156" t="inlineStr">
        <is>
          <t>Tampa Bay Buccaneers</t>
        </is>
      </c>
    </row>
    <row r="103" ht="14.4" customHeight="1" s="152">
      <c r="Y103" s="276" t="n"/>
      <c r="Z103" s="276" t="n"/>
      <c r="AB103" s="156" t="inlineStr">
        <is>
          <t>FalconsHome</t>
        </is>
      </c>
      <c r="AC103" s="156" t="inlineStr">
        <is>
          <t>Atlanta Falcons</t>
        </is>
      </c>
    </row>
    <row r="104" ht="14.4" customHeight="1" s="152">
      <c r="Y104" s="276" t="n"/>
      <c r="Z104" s="276" t="n"/>
      <c r="AB104" s="156" t="inlineStr">
        <is>
          <t>Seahawks</t>
        </is>
      </c>
      <c r="AC104" s="156" t="inlineStr">
        <is>
          <t>Seattle Seahawks</t>
        </is>
      </c>
    </row>
    <row r="105" ht="14.4" customHeight="1" s="152">
      <c r="Y105" s="276" t="n"/>
      <c r="Z105" s="276" t="n"/>
      <c r="AB105" s="156" t="inlineStr">
        <is>
          <t>CommandersHome</t>
        </is>
      </c>
      <c r="AC105" s="156" t="inlineStr">
        <is>
          <t>Washington Commanders</t>
        </is>
      </c>
    </row>
    <row r="106" ht="14.4" customHeight="1" s="152">
      <c r="Y106" s="276" t="n"/>
      <c r="Z106" s="276" t="n"/>
      <c r="AB106" s="156" t="inlineStr">
        <is>
          <t>Bears</t>
        </is>
      </c>
      <c r="AC106" s="156" t="inlineStr">
        <is>
          <t>Chicago Bears</t>
        </is>
      </c>
    </row>
    <row r="107" ht="14.4" customHeight="1" s="152">
      <c r="Y107" s="276" t="n"/>
      <c r="Z107" s="276" t="n"/>
      <c r="AB107" s="156" t="inlineStr">
        <is>
          <t>VikingsHome</t>
        </is>
      </c>
      <c r="AC107" s="156" t="inlineStr">
        <is>
          <t>Minnesota Vikings</t>
        </is>
      </c>
    </row>
    <row r="108" ht="14.4" customHeight="1" s="152">
      <c r="Y108" s="276" t="n"/>
      <c r="Z108" s="276" t="n"/>
      <c r="AB108" s="156" t="inlineStr">
        <is>
          <t>Texans</t>
        </is>
      </c>
      <c r="AC108" s="156" t="inlineStr">
        <is>
          <t>Houston Texans</t>
        </is>
      </c>
    </row>
    <row r="109" ht="14.4" customHeight="1" s="152">
      <c r="Y109" s="276" t="n"/>
      <c r="Z109" s="276" t="n"/>
      <c r="AB109" s="156" t="inlineStr">
        <is>
          <t>ColtsHome</t>
        </is>
      </c>
      <c r="AC109" s="156" t="inlineStr">
        <is>
          <t>Indianapolis Colts</t>
        </is>
      </c>
    </row>
    <row r="110" ht="14.4" customHeight="1" s="152">
      <c r="Y110" s="276" t="n"/>
      <c r="Z110" s="276" t="n"/>
      <c r="AB110" s="156" t="inlineStr">
        <is>
          <t>Lions</t>
        </is>
      </c>
      <c r="AC110" s="156" t="inlineStr">
        <is>
          <t>Detroit Lions</t>
        </is>
      </c>
    </row>
    <row r="111" ht="14.4" customHeight="1" s="152">
      <c r="Y111" s="276" t="n"/>
      <c r="Z111" s="276" t="n"/>
      <c r="AB111" s="156" t="inlineStr">
        <is>
          <t>TitansHome</t>
        </is>
      </c>
      <c r="AC111" s="156" t="inlineStr">
        <is>
          <t>Tennessee Titans</t>
        </is>
      </c>
    </row>
    <row r="112" ht="14.4" customHeight="1" s="152">
      <c r="Y112" s="276" t="n"/>
      <c r="Z112" s="276" t="n"/>
      <c r="AB112" s="156" t="inlineStr">
        <is>
          <t>Jaguars</t>
        </is>
      </c>
      <c r="AC112" s="156" t="inlineStr">
        <is>
          <t>Jacksonville Jaguars</t>
        </is>
      </c>
    </row>
    <row r="113" ht="14.4" customHeight="1" s="152">
      <c r="Y113" s="276" t="n"/>
      <c r="Z113" s="276" t="n"/>
      <c r="AB113" s="156" t="inlineStr">
        <is>
          <t>RavensHome</t>
        </is>
      </c>
      <c r="AC113" s="156" t="inlineStr">
        <is>
          <t>Baltimore Ravens</t>
        </is>
      </c>
    </row>
    <row r="114" ht="14.4" customHeight="1" s="152">
      <c r="Y114" s="276" t="n"/>
      <c r="Z114" s="276" t="n"/>
      <c r="AB114" s="156" t="inlineStr">
        <is>
          <t>Patriots</t>
        </is>
      </c>
      <c r="AC114" s="156" t="inlineStr">
        <is>
          <t>New England Patriots</t>
        </is>
      </c>
    </row>
    <row r="115" ht="14.4" customHeight="1" s="152">
      <c r="Y115" s="276" t="n"/>
      <c r="Z115" s="276" t="n"/>
      <c r="AB115" s="156" t="inlineStr">
        <is>
          <t>DolphinsHome</t>
        </is>
      </c>
      <c r="AC115" s="156" t="inlineStr">
        <is>
          <t>Miami Dolphins</t>
        </is>
      </c>
    </row>
    <row r="116" ht="14.4" customHeight="1" s="152">
      <c r="Y116" s="276" t="n"/>
      <c r="Z116" s="276" t="n"/>
      <c r="AB116" s="156" t="inlineStr">
        <is>
          <t>49ers</t>
        </is>
      </c>
      <c r="AC116" s="156" t="inlineStr">
        <is>
          <t>San Francisco 49ers</t>
        </is>
      </c>
    </row>
    <row r="117" ht="14.4" customHeight="1" s="152">
      <c r="Y117" s="276" t="n"/>
      <c r="Z117" s="276" t="n"/>
      <c r="AB117" s="156" t="inlineStr">
        <is>
          <t>CowboysHome</t>
        </is>
      </c>
      <c r="AC117" s="156" t="inlineStr">
        <is>
          <t>Dallas Cowboys</t>
        </is>
      </c>
    </row>
    <row r="118" ht="14.4" customHeight="1" s="152">
      <c r="Y118" s="276" t="n"/>
      <c r="Z118" s="276" t="n"/>
      <c r="AB118" s="156" t="inlineStr">
        <is>
          <t>Jets</t>
        </is>
      </c>
      <c r="AC118" s="156" t="inlineStr">
        <is>
          <t>New York Jets</t>
        </is>
      </c>
    </row>
    <row r="119" ht="14.4" customHeight="1" s="152">
      <c r="Y119" s="276" t="n"/>
      <c r="Z119" s="276" t="n"/>
      <c r="AB119" s="156" t="inlineStr">
        <is>
          <t>RamsHome</t>
        </is>
      </c>
      <c r="AC119" s="156" t="inlineStr">
        <is>
          <t>Los Angeles Rams</t>
        </is>
      </c>
    </row>
    <row r="120" ht="14.4" customHeight="1" s="152">
      <c r="Y120" s="276" t="n"/>
      <c r="Z120" s="276" t="n"/>
      <c r="AB120" s="156" t="inlineStr">
        <is>
          <t>Eagles</t>
        </is>
      </c>
      <c r="AC120" s="156" t="inlineStr">
        <is>
          <t>Philadelphia Eagles</t>
        </is>
      </c>
    </row>
    <row r="121" ht="14.4" customHeight="1" s="152">
      <c r="Y121" s="276" t="n"/>
      <c r="Z121" s="276" t="n"/>
      <c r="AB121" s="156" t="inlineStr">
        <is>
          <t>CardinalsHome</t>
        </is>
      </c>
      <c r="AC121" s="156" t="inlineStr">
        <is>
          <t>Arizona Cardinals</t>
        </is>
      </c>
    </row>
    <row r="122" ht="14.4" customHeight="1" s="152">
      <c r="Y122" s="276" t="n"/>
      <c r="Z122" s="276" t="n"/>
      <c r="AB122" s="156" t="inlineStr">
        <is>
          <t>Chiefs</t>
        </is>
      </c>
      <c r="AC122" s="156" t="inlineStr">
        <is>
          <t>Kansas City Chiefs</t>
        </is>
      </c>
    </row>
    <row r="123" ht="14.4" customHeight="1" s="152">
      <c r="Y123" s="276" t="n"/>
      <c r="Z123" s="276" t="n"/>
      <c r="AB123" s="156" t="inlineStr">
        <is>
          <t>SaintsHome</t>
        </is>
      </c>
      <c r="AC123" s="156" t="inlineStr">
        <is>
          <t>New Orleans Saints</t>
        </is>
      </c>
    </row>
    <row r="124" ht="14.4" customHeight="1" s="152">
      <c r="Y124" s="276" t="n"/>
      <c r="Z124" s="276" t="n"/>
      <c r="AB124" s="156" t="inlineStr">
        <is>
          <t>Browns</t>
        </is>
      </c>
      <c r="AC124" s="156" t="inlineStr">
        <is>
          <t>Cleveland Browns</t>
        </is>
      </c>
    </row>
    <row r="125" ht="14.4" customHeight="1" s="152">
      <c r="Y125" s="276" t="n"/>
      <c r="Z125" s="276" t="n"/>
      <c r="AB125" s="156" t="inlineStr">
        <is>
          <t>GiantsHome</t>
        </is>
      </c>
      <c r="AC125" s="156" t="inlineStr">
        <is>
          <t>New York Giants</t>
        </is>
      </c>
    </row>
    <row r="126" ht="14.4" customHeight="1" s="152">
      <c r="Y126" s="276" t="n"/>
      <c r="Z126" s="276" t="n"/>
      <c r="AB126" s="156" t="inlineStr">
        <is>
          <t>Steelers</t>
        </is>
      </c>
      <c r="AC126" s="156" t="inlineStr">
        <is>
          <t>Pittsburgh Steelers</t>
        </is>
      </c>
    </row>
    <row r="127" ht="14.4" customHeight="1" s="152">
      <c r="Y127" s="276" t="n"/>
      <c r="Z127" s="276" t="n"/>
      <c r="AB127" s="156" t="inlineStr">
        <is>
          <t>BengalsHome</t>
        </is>
      </c>
      <c r="AC127" s="156" t="inlineStr">
        <is>
          <t>Cincinnati Bengals</t>
        </is>
      </c>
    </row>
    <row r="128" ht="14.4" customHeight="1" s="152">
      <c r="Y128" s="276" t="n"/>
      <c r="Z128" s="276" t="n"/>
      <c r="AB128" s="156" t="inlineStr">
        <is>
          <t>Dolphins</t>
        </is>
      </c>
      <c r="AC128" s="156" t="inlineStr">
        <is>
          <t>Miami Dolphins</t>
        </is>
      </c>
    </row>
    <row r="129" ht="14.4" customHeight="1" s="152">
      <c r="Y129" s="276" t="n"/>
      <c r="Z129" s="276" t="n"/>
      <c r="AB129" s="156" t="inlineStr">
        <is>
          <t>PatriotsHome</t>
        </is>
      </c>
      <c r="AC129" s="156" t="inlineStr">
        <is>
          <t>New England Patriots</t>
        </is>
      </c>
    </row>
    <row r="130" ht="14.4" customHeight="1" s="152">
      <c r="AB130" s="156" t="inlineStr">
        <is>
          <t>Philadelphia Eagles</t>
        </is>
      </c>
      <c r="AC130" s="156" t="inlineStr">
        <is>
          <t>Philadelphia Eagles</t>
        </is>
      </c>
      <c r="AD130" s="156" t="inlineStr">
        <is>
          <t>49ers</t>
        </is>
      </c>
      <c r="AE130" s="156" t="inlineStr">
        <is>
          <t>SF</t>
        </is>
      </c>
    </row>
    <row r="131" ht="14.4" customHeight="1" s="152">
      <c r="AB131" s="156" t="inlineStr">
        <is>
          <t>New England Patriots</t>
        </is>
      </c>
      <c r="AC131" s="156" t="inlineStr">
        <is>
          <t>New England Patriots</t>
        </is>
      </c>
      <c r="AD131" s="156" t="inlineStr">
        <is>
          <t>Bears</t>
        </is>
      </c>
      <c r="AE131" s="156" t="inlineStr">
        <is>
          <t>CHI</t>
        </is>
      </c>
    </row>
    <row r="132" ht="14.4" customHeight="1" s="152">
      <c r="AB132" s="156" t="inlineStr">
        <is>
          <t>Atlanta Falcons</t>
        </is>
      </c>
      <c r="AC132" s="156" t="inlineStr">
        <is>
          <t>Atlanta Falcons</t>
        </is>
      </c>
      <c r="AD132" s="156" t="inlineStr">
        <is>
          <t>Bengals</t>
        </is>
      </c>
      <c r="AE132" s="156" t="inlineStr">
        <is>
          <t>CIN</t>
        </is>
      </c>
    </row>
    <row r="133" ht="14.4" customHeight="1" s="152">
      <c r="AB133" s="156" t="inlineStr">
        <is>
          <t>Baltimore Ravens</t>
        </is>
      </c>
      <c r="AC133" s="156" t="inlineStr">
        <is>
          <t>Baltimore Ravens</t>
        </is>
      </c>
      <c r="AD133" s="156" t="inlineStr">
        <is>
          <t>Bills</t>
        </is>
      </c>
      <c r="AE133" s="156" t="inlineStr">
        <is>
          <t>BUF</t>
        </is>
      </c>
    </row>
    <row r="134" ht="14.4" customHeight="1" s="152">
      <c r="AB134" s="156" t="inlineStr">
        <is>
          <t>Cincinnati Bengals</t>
        </is>
      </c>
      <c r="AC134" s="156" t="inlineStr">
        <is>
          <t>Cincinnati Bengals</t>
        </is>
      </c>
      <c r="AD134" s="156" t="inlineStr">
        <is>
          <t>Broncos</t>
        </is>
      </c>
      <c r="AE134" s="156" t="inlineStr">
        <is>
          <t>DEN</t>
        </is>
      </c>
    </row>
    <row r="135" ht="14.4" customHeight="1" s="152">
      <c r="AB135" s="156" t="inlineStr">
        <is>
          <t>Chicago Bears</t>
        </is>
      </c>
      <c r="AC135" s="156" t="inlineStr">
        <is>
          <t>Chicago Bears</t>
        </is>
      </c>
      <c r="AD135" s="156" t="inlineStr">
        <is>
          <t>Browns</t>
        </is>
      </c>
      <c r="AE135" s="156" t="inlineStr">
        <is>
          <t>CLE</t>
        </is>
      </c>
    </row>
    <row r="136" ht="14.4" customHeight="1" s="152">
      <c r="AB136" s="156" t="inlineStr">
        <is>
          <t>New York Giants</t>
        </is>
      </c>
      <c r="AC136" s="156" t="inlineStr">
        <is>
          <t>New York Giants</t>
        </is>
      </c>
      <c r="AD136" s="156" t="inlineStr">
        <is>
          <t>Buccaneers</t>
        </is>
      </c>
      <c r="AE136" s="156" t="inlineStr">
        <is>
          <t>TB</t>
        </is>
      </c>
    </row>
    <row r="137" ht="14.4" customHeight="1" s="152">
      <c r="AB137" s="156" t="inlineStr">
        <is>
          <t>Houston Texans</t>
        </is>
      </c>
      <c r="AC137" s="156" t="inlineStr">
        <is>
          <t>Houston Texans</t>
        </is>
      </c>
      <c r="AD137" s="156" t="inlineStr">
        <is>
          <t>Cardinals</t>
        </is>
      </c>
      <c r="AE137" s="156" t="inlineStr">
        <is>
          <t>ARI</t>
        </is>
      </c>
    </row>
    <row r="138" ht="14.4" customHeight="1" s="152">
      <c r="AB138" s="156" t="inlineStr">
        <is>
          <t>Detroit Lions</t>
        </is>
      </c>
      <c r="AC138" s="156" t="inlineStr">
        <is>
          <t>Detroit Lions</t>
        </is>
      </c>
      <c r="AD138" s="156" t="inlineStr">
        <is>
          <t>Chargers</t>
        </is>
      </c>
      <c r="AE138" s="156" t="inlineStr">
        <is>
          <t>LAC</t>
        </is>
      </c>
    </row>
    <row r="139" ht="14.4" customHeight="1" s="152">
      <c r="AB139" s="156" t="inlineStr">
        <is>
          <t>Kansas City Chiefs</t>
        </is>
      </c>
      <c r="AC139" s="156" t="inlineStr">
        <is>
          <t>Kansas City Chiefs</t>
        </is>
      </c>
      <c r="AD139" s="156" t="inlineStr">
        <is>
          <t>Chiefs</t>
        </is>
      </c>
      <c r="AE139" s="156" t="inlineStr">
        <is>
          <t>KC</t>
        </is>
      </c>
    </row>
    <row r="140" ht="14.4" customHeight="1" s="152">
      <c r="AB140" s="156" t="inlineStr">
        <is>
          <t>Minnesota Vikings</t>
        </is>
      </c>
      <c r="AC140" s="156" t="inlineStr">
        <is>
          <t>Minnesota Vikings</t>
        </is>
      </c>
      <c r="AD140" s="156" t="inlineStr">
        <is>
          <t>Colts</t>
        </is>
      </c>
      <c r="AE140" s="156" t="inlineStr">
        <is>
          <t>IND</t>
        </is>
      </c>
    </row>
    <row r="141" ht="14.4" customHeight="1" s="152">
      <c r="AB141" s="156" t="inlineStr">
        <is>
          <t>Cleveland Browns</t>
        </is>
      </c>
      <c r="AC141" s="156" t="inlineStr">
        <is>
          <t>Cleveland Browns</t>
        </is>
      </c>
      <c r="AD141" s="156" t="inlineStr">
        <is>
          <t>Commanders</t>
        </is>
      </c>
      <c r="AE141" s="156" t="inlineStr">
        <is>
          <t>WAS</t>
        </is>
      </c>
    </row>
    <row r="142" ht="14.4" customHeight="1" s="152">
      <c r="AB142" s="156" t="inlineStr">
        <is>
          <t>Seattle Seahawks</t>
        </is>
      </c>
      <c r="AC142" s="156" t="inlineStr">
        <is>
          <t>Seattle Seahawks</t>
        </is>
      </c>
      <c r="AD142" s="156" t="inlineStr">
        <is>
          <t>Cowboys</t>
        </is>
      </c>
      <c r="AE142" s="156" t="inlineStr">
        <is>
          <t>DAL</t>
        </is>
      </c>
    </row>
    <row r="143" ht="14.4" customHeight="1" s="152">
      <c r="AB143" s="156" t="inlineStr">
        <is>
          <t>Tennessee Titans</t>
        </is>
      </c>
      <c r="AC143" s="156" t="inlineStr">
        <is>
          <t>Tennessee Titans</t>
        </is>
      </c>
      <c r="AD143" s="156" t="inlineStr">
        <is>
          <t>Dolphins</t>
        </is>
      </c>
      <c r="AE143" s="156" t="inlineStr">
        <is>
          <t>MIA</t>
        </is>
      </c>
    </row>
    <row r="144" ht="14.4" customHeight="1" s="152">
      <c r="AB144" s="156" t="inlineStr">
        <is>
          <t>Arizona Cardinals</t>
        </is>
      </c>
      <c r="AC144" s="156" t="inlineStr">
        <is>
          <t>Arizona Cardinals</t>
        </is>
      </c>
      <c r="AD144" s="156" t="inlineStr">
        <is>
          <t>Eagles</t>
        </is>
      </c>
      <c r="AE144" s="156" t="inlineStr">
        <is>
          <t>PHI</t>
        </is>
      </c>
    </row>
    <row r="145" ht="14.4" customHeight="1" s="152">
      <c r="AB145" s="156" t="inlineStr">
        <is>
          <t>Indianapolis Colts</t>
        </is>
      </c>
      <c r="AC145" s="156" t="inlineStr">
        <is>
          <t>Indianapolis Colts</t>
        </is>
      </c>
      <c r="AD145" s="156" t="inlineStr">
        <is>
          <t>Falcons</t>
        </is>
      </c>
      <c r="AE145" s="156" t="inlineStr">
        <is>
          <t>ATL</t>
        </is>
      </c>
    </row>
    <row r="146" ht="14.4" customHeight="1" s="152">
      <c r="AB146" s="156" t="inlineStr">
        <is>
          <t>Buffalo Bills</t>
        </is>
      </c>
      <c r="AC146" s="156" t="inlineStr">
        <is>
          <t>Buffalo Bills</t>
        </is>
      </c>
      <c r="AD146" s="156" t="inlineStr">
        <is>
          <t>Giants</t>
        </is>
      </c>
      <c r="AE146" s="156" t="inlineStr">
        <is>
          <t>NYG</t>
        </is>
      </c>
    </row>
    <row r="147" ht="14.4" customHeight="1" s="152">
      <c r="AB147" s="156" t="inlineStr">
        <is>
          <t>Pittsburgh Steelers</t>
        </is>
      </c>
      <c r="AC147" s="156" t="inlineStr">
        <is>
          <t>Pittsburgh Steelers</t>
        </is>
      </c>
      <c r="AD147" s="156" t="inlineStr">
        <is>
          <t>Jaguars</t>
        </is>
      </c>
      <c r="AE147" s="156" t="inlineStr">
        <is>
          <t>JAX</t>
        </is>
      </c>
    </row>
    <row r="148" ht="14.4" customHeight="1" s="152">
      <c r="AB148" s="156" t="inlineStr">
        <is>
          <t>New York Jets</t>
        </is>
      </c>
      <c r="AC148" s="156" t="inlineStr">
        <is>
          <t>New York Jets</t>
        </is>
      </c>
      <c r="AD148" s="156" t="inlineStr">
        <is>
          <t>Jets</t>
        </is>
      </c>
      <c r="AE148" s="156" t="inlineStr">
        <is>
          <t>NYJ</t>
        </is>
      </c>
    </row>
    <row r="149" ht="14.4" customHeight="1" s="152">
      <c r="AB149" s="156" t="inlineStr">
        <is>
          <t>Carolina Panthers</t>
        </is>
      </c>
      <c r="AC149" s="156" t="inlineStr">
        <is>
          <t>Carolina Panthers</t>
        </is>
      </c>
      <c r="AD149" s="156" t="inlineStr">
        <is>
          <t>Lions</t>
        </is>
      </c>
      <c r="AE149" s="156" t="inlineStr">
        <is>
          <t>DET</t>
        </is>
      </c>
    </row>
    <row r="150" ht="14.4" customHeight="1" s="152">
      <c r="AB150" s="156" t="inlineStr">
        <is>
          <t>Washington Commanders</t>
        </is>
      </c>
      <c r="AC150" s="156" t="inlineStr">
        <is>
          <t>Washington Commanders</t>
        </is>
      </c>
      <c r="AD150" s="156" t="inlineStr">
        <is>
          <t>Packers</t>
        </is>
      </c>
      <c r="AE150" s="156" t="inlineStr">
        <is>
          <t>GB</t>
        </is>
      </c>
    </row>
    <row r="151" ht="14.4" customHeight="1" s="152">
      <c r="AB151" s="156" t="inlineStr">
        <is>
          <t>Miami Dolphins</t>
        </is>
      </c>
      <c r="AC151" s="156" t="inlineStr">
        <is>
          <t>Miami Dolphins</t>
        </is>
      </c>
      <c r="AD151" s="156" t="inlineStr">
        <is>
          <t>Panthers</t>
        </is>
      </c>
      <c r="AE151" s="156" t="inlineStr">
        <is>
          <t>CAR</t>
        </is>
      </c>
    </row>
    <row r="152" ht="14.4" customHeight="1" s="152">
      <c r="AB152" s="156" t="inlineStr">
        <is>
          <t>Los Angeles Rams</t>
        </is>
      </c>
      <c r="AC152" s="156" t="inlineStr">
        <is>
          <t>Los Angeles Rams</t>
        </is>
      </c>
      <c r="AD152" s="156" t="inlineStr">
        <is>
          <t>Patriots</t>
        </is>
      </c>
      <c r="AE152" s="156" t="inlineStr">
        <is>
          <t>NE</t>
        </is>
      </c>
    </row>
    <row r="153" ht="14.4" customHeight="1" s="152">
      <c r="AB153" s="156" t="inlineStr">
        <is>
          <t>Los Angeles Chargers</t>
        </is>
      </c>
      <c r="AC153" s="156" t="inlineStr">
        <is>
          <t>Los Angeles Chargers</t>
        </is>
      </c>
      <c r="AD153" s="156" t="inlineStr">
        <is>
          <t>Raiders</t>
        </is>
      </c>
      <c r="AE153" s="156" t="inlineStr">
        <is>
          <t>LV</t>
        </is>
      </c>
    </row>
    <row r="154" ht="14.4" customHeight="1" s="152">
      <c r="AB154" s="156" t="inlineStr">
        <is>
          <t>Tampa Bay Buccaneers</t>
        </is>
      </c>
      <c r="AC154" s="156" t="inlineStr">
        <is>
          <t>Tampa Bay Buccaneers</t>
        </is>
      </c>
      <c r="AD154" s="156" t="inlineStr">
        <is>
          <t>Rams</t>
        </is>
      </c>
      <c r="AE154" s="156" t="inlineStr">
        <is>
          <t>LAR</t>
        </is>
      </c>
    </row>
    <row r="155" ht="14.4" customHeight="1" s="152">
      <c r="AB155" s="156" t="inlineStr">
        <is>
          <t>Jacksonville Jaguars</t>
        </is>
      </c>
      <c r="AC155" s="156" t="inlineStr">
        <is>
          <t>Jacksonville Jaguars</t>
        </is>
      </c>
      <c r="AD155" s="156" t="inlineStr">
        <is>
          <t>Ravens</t>
        </is>
      </c>
      <c r="AE155" s="156" t="inlineStr">
        <is>
          <t>BAL</t>
        </is>
      </c>
    </row>
    <row r="156" ht="14.4" customHeight="1" s="152">
      <c r="AB156" s="156" t="inlineStr">
        <is>
          <t>Dallas Cowboys</t>
        </is>
      </c>
      <c r="AC156" s="156" t="inlineStr">
        <is>
          <t>Dallas Cowboys</t>
        </is>
      </c>
      <c r="AD156" s="156" t="inlineStr">
        <is>
          <t>Saints</t>
        </is>
      </c>
      <c r="AE156" s="156" t="inlineStr">
        <is>
          <t>NO</t>
        </is>
      </c>
    </row>
    <row r="157" ht="14.4" customHeight="1" s="152">
      <c r="AB157" s="156" t="inlineStr">
        <is>
          <t>Las Vegas Raiders</t>
        </is>
      </c>
      <c r="AC157" s="156" t="inlineStr">
        <is>
          <t>Las Vegas Raiders</t>
        </is>
      </c>
      <c r="AD157" s="156" t="inlineStr">
        <is>
          <t>Seahawks</t>
        </is>
      </c>
      <c r="AE157" s="156" t="inlineStr">
        <is>
          <t>SEA</t>
        </is>
      </c>
    </row>
    <row r="158" ht="14.4" customHeight="1" s="152">
      <c r="AB158" s="156" t="inlineStr">
        <is>
          <t>Green Bay Packers</t>
        </is>
      </c>
      <c r="AC158" s="156" t="inlineStr">
        <is>
          <t>Green Bay Packers</t>
        </is>
      </c>
      <c r="AD158" s="156" t="inlineStr">
        <is>
          <t>Steelers</t>
        </is>
      </c>
      <c r="AE158" s="156" t="inlineStr">
        <is>
          <t>PIT</t>
        </is>
      </c>
    </row>
    <row r="159" ht="14.4" customHeight="1" s="152">
      <c r="AB159" s="156" t="inlineStr">
        <is>
          <t>Denver Broncos</t>
        </is>
      </c>
      <c r="AC159" s="156" t="inlineStr">
        <is>
          <t>Denver Broncos</t>
        </is>
      </c>
      <c r="AD159" s="156" t="inlineStr">
        <is>
          <t>Texans</t>
        </is>
      </c>
      <c r="AE159" s="156" t="inlineStr">
        <is>
          <t>HOU</t>
        </is>
      </c>
    </row>
    <row r="160" ht="14.4" customHeight="1" s="152">
      <c r="AB160" s="156" t="inlineStr">
        <is>
          <t>New Orleans Saints</t>
        </is>
      </c>
      <c r="AC160" s="156" t="inlineStr">
        <is>
          <t>New Orleans Saints</t>
        </is>
      </c>
      <c r="AD160" s="156" t="inlineStr">
        <is>
          <t>Titans</t>
        </is>
      </c>
      <c r="AE160" s="156" t="inlineStr">
        <is>
          <t>TEN</t>
        </is>
      </c>
    </row>
    <row r="161" ht="14.4" customHeight="1" s="152">
      <c r="AB161" s="156" t="inlineStr">
        <is>
          <t>San Francisco 49ers</t>
        </is>
      </c>
      <c r="AC161" s="156" t="inlineStr">
        <is>
          <t>San Francisco 49ers</t>
        </is>
      </c>
      <c r="AD161" s="156" t="inlineStr">
        <is>
          <t>Vikings</t>
        </is>
      </c>
      <c r="AE161" s="156" t="inlineStr">
        <is>
          <t>MIN</t>
        </is>
      </c>
    </row>
  </sheetData>
  <autoFilter ref="A1:X129">
    <sortState ref="A2:X129">
      <sortCondition ref="A2:A129" customList=""/>
    </sortState>
  </autoFilter>
  <conditionalFormatting sqref="B2:B33">
    <cfRule type="dataBar" priority="2">
      <dataBar minLength="10" maxLength="90" showValue="1">
        <cfvo type="min" val="0"/>
        <cfvo type="max" val="0"/>
        <color rgb="FF63C384"/>
      </dataBar>
    </cfRule>
  </conditionalFormatting>
  <conditionalFormatting sqref="C2:C33">
    <cfRule type="dataBar" priority="3">
      <dataBar minLength="10" maxLength="90" showValue="1">
        <cfvo type="min" val="0"/>
        <cfvo type="max" val="0"/>
        <color rgb="FFFF0000"/>
      </dataBar>
    </cfRule>
  </conditionalFormatting>
  <conditionalFormatting sqref="S2:S33">
    <cfRule type="colorScale" priority="4">
      <colorScale>
        <cfvo type="min" val="0"/>
        <cfvo type="percentile" val="50"/>
        <cfvo type="max" val="0"/>
        <color rgb="FFF8696B"/>
        <color rgb="FFFFEB84"/>
        <color rgb="FF63BE7B"/>
      </colorScale>
    </cfRule>
  </conditionalFormatting>
  <conditionalFormatting sqref="U2:U33">
    <cfRule type="dataBar" priority="5">
      <dataBar minLength="10" maxLength="90" showValue="1">
        <cfvo type="min" val="0"/>
        <cfvo type="max" val="0"/>
        <color rgb="FF63C384"/>
      </dataBar>
    </cfRule>
  </conditionalFormatting>
  <conditionalFormatting sqref="V2:V33">
    <cfRule type="dataBar" priority="6">
      <dataBar minLength="10" maxLength="90" showValue="1">
        <cfvo type="min" val="0"/>
        <cfvo type="max" val="0"/>
        <color rgb="FF638EC6"/>
      </dataBar>
    </cfRule>
  </conditionalFormatting>
  <conditionalFormatting sqref="W2:W33">
    <cfRule type="dataBar" priority="7">
      <dataBar minLength="10" maxLength="90" showValue="1">
        <cfvo type="min" val="0"/>
        <cfvo type="max" val="0"/>
        <color rgb="FFFF555A"/>
      </dataBar>
    </cfRule>
  </conditionalFormatting>
  <conditionalFormatting sqref="X2:X33 Y2:Z129">
    <cfRule type="dataBar" priority="8">
      <dataBar minLength="10" maxLength="90" showValue="1">
        <cfvo type="min" val="0"/>
        <cfvo type="max" val="0"/>
        <color rgb="FFD6007B"/>
      </dataBar>
    </cfRule>
  </conditionalFormatting>
  <conditionalFormatting sqref="AB1:AB1048576">
    <cfRule type="duplicateValues" rank="0" priority="9" equalAverage="0" aboveAverage="0" dxfId="1" text="" percent="0" bottom="0"/>
  </conditionalFormatting>
  <conditionalFormatting sqref="T2">
    <cfRule type="colorScale" priority="10">
      <colorScale>
        <cfvo type="min" val="0"/>
        <cfvo type="percentile" val="50"/>
        <cfvo type="max" val="0"/>
        <color rgb="FFF8696B"/>
        <color rgb="FFFFEB84"/>
        <color rgb="FF63BE7B"/>
      </colorScale>
    </cfRule>
  </conditionalFormatting>
  <conditionalFormatting sqref="T3">
    <cfRule type="colorScale" priority="11">
      <colorScale>
        <cfvo type="min" val="0"/>
        <cfvo type="percentile" val="50"/>
        <cfvo type="max" val="0"/>
        <color rgb="FFF8696B"/>
        <color rgb="FFFFEB84"/>
        <color rgb="FF63BE7B"/>
      </colorScale>
    </cfRule>
  </conditionalFormatting>
  <conditionalFormatting sqref="T4">
    <cfRule type="colorScale" priority="12">
      <colorScale>
        <cfvo type="min" val="0"/>
        <cfvo type="percentile" val="50"/>
        <cfvo type="max" val="0"/>
        <color rgb="FFF8696B"/>
        <color rgb="FFFFEB84"/>
        <color rgb="FF63BE7B"/>
      </colorScale>
    </cfRule>
  </conditionalFormatting>
  <conditionalFormatting sqref="T5">
    <cfRule type="colorScale" priority="13">
      <colorScale>
        <cfvo type="min" val="0"/>
        <cfvo type="percentile" val="50"/>
        <cfvo type="max" val="0"/>
        <color rgb="FFF8696B"/>
        <color rgb="FFFFEB84"/>
        <color rgb="FF63BE7B"/>
      </colorScale>
    </cfRule>
  </conditionalFormatting>
  <conditionalFormatting sqref="T6">
    <cfRule type="colorScale" priority="14">
      <colorScale>
        <cfvo type="min" val="0"/>
        <cfvo type="percentile" val="50"/>
        <cfvo type="max" val="0"/>
        <color rgb="FFF8696B"/>
        <color rgb="FFFFEB84"/>
        <color rgb="FF63BE7B"/>
      </colorScale>
    </cfRule>
  </conditionalFormatting>
  <conditionalFormatting sqref="T7">
    <cfRule type="colorScale" priority="15">
      <colorScale>
        <cfvo type="min" val="0"/>
        <cfvo type="percentile" val="50"/>
        <cfvo type="max" val="0"/>
        <color rgb="FFF8696B"/>
        <color rgb="FFFFEB84"/>
        <color rgb="FF63BE7B"/>
      </colorScale>
    </cfRule>
  </conditionalFormatting>
  <conditionalFormatting sqref="T8">
    <cfRule type="colorScale" priority="16">
      <colorScale>
        <cfvo type="min" val="0"/>
        <cfvo type="percentile" val="50"/>
        <cfvo type="max" val="0"/>
        <color rgb="FFF8696B"/>
        <color rgb="FFFFEB84"/>
        <color rgb="FF63BE7B"/>
      </colorScale>
    </cfRule>
  </conditionalFormatting>
  <conditionalFormatting sqref="T9">
    <cfRule type="colorScale" priority="17">
      <colorScale>
        <cfvo type="min" val="0"/>
        <cfvo type="percentile" val="50"/>
        <cfvo type="max" val="0"/>
        <color rgb="FFF8696B"/>
        <color rgb="FFFFEB84"/>
        <color rgb="FF63BE7B"/>
      </colorScale>
    </cfRule>
  </conditionalFormatting>
  <conditionalFormatting sqref="T10">
    <cfRule type="colorScale" priority="18">
      <colorScale>
        <cfvo type="min" val="0"/>
        <cfvo type="percentile" val="50"/>
        <cfvo type="max" val="0"/>
        <color rgb="FFF8696B"/>
        <color rgb="FFFFEB84"/>
        <color rgb="FF63BE7B"/>
      </colorScale>
    </cfRule>
  </conditionalFormatting>
  <conditionalFormatting sqref="T11">
    <cfRule type="colorScale" priority="19">
      <colorScale>
        <cfvo type="min" val="0"/>
        <cfvo type="percentile" val="50"/>
        <cfvo type="max" val="0"/>
        <color rgb="FFF8696B"/>
        <color rgb="FFFFEB84"/>
        <color rgb="FF63BE7B"/>
      </colorScale>
    </cfRule>
  </conditionalFormatting>
  <conditionalFormatting sqref="T12">
    <cfRule type="colorScale" priority="20">
      <colorScale>
        <cfvo type="min" val="0"/>
        <cfvo type="percentile" val="50"/>
        <cfvo type="max" val="0"/>
        <color rgb="FFF8696B"/>
        <color rgb="FFFFEB84"/>
        <color rgb="FF63BE7B"/>
      </colorScale>
    </cfRule>
  </conditionalFormatting>
  <conditionalFormatting sqref="T13">
    <cfRule type="colorScale" priority="21">
      <colorScale>
        <cfvo type="min" val="0"/>
        <cfvo type="percentile" val="50"/>
        <cfvo type="max" val="0"/>
        <color rgb="FFF8696B"/>
        <color rgb="FFFFEB84"/>
        <color rgb="FF63BE7B"/>
      </colorScale>
    </cfRule>
  </conditionalFormatting>
  <conditionalFormatting sqref="T14">
    <cfRule type="colorScale" priority="22">
      <colorScale>
        <cfvo type="min" val="0"/>
        <cfvo type="percentile" val="50"/>
        <cfvo type="max" val="0"/>
        <color rgb="FFF8696B"/>
        <color rgb="FFFFEB84"/>
        <color rgb="FF63BE7B"/>
      </colorScale>
    </cfRule>
  </conditionalFormatting>
  <conditionalFormatting sqref="T15">
    <cfRule type="colorScale" priority="23">
      <colorScale>
        <cfvo type="min" val="0"/>
        <cfvo type="percentile" val="50"/>
        <cfvo type="max" val="0"/>
        <color rgb="FFF8696B"/>
        <color rgb="FFFFEB84"/>
        <color rgb="FF63BE7B"/>
      </colorScale>
    </cfRule>
  </conditionalFormatting>
  <conditionalFormatting sqref="T16">
    <cfRule type="colorScale" priority="24">
      <colorScale>
        <cfvo type="min" val="0"/>
        <cfvo type="percentile" val="50"/>
        <cfvo type="max" val="0"/>
        <color rgb="FFF8696B"/>
        <color rgb="FFFFEB84"/>
        <color rgb="FF63BE7B"/>
      </colorScale>
    </cfRule>
  </conditionalFormatting>
  <conditionalFormatting sqref="T17">
    <cfRule type="colorScale" priority="25">
      <colorScale>
        <cfvo type="min" val="0"/>
        <cfvo type="percentile" val="50"/>
        <cfvo type="max" val="0"/>
        <color rgb="FFF8696B"/>
        <color rgb="FFFFEB84"/>
        <color rgb="FF63BE7B"/>
      </colorScale>
    </cfRule>
  </conditionalFormatting>
  <conditionalFormatting sqref="T18">
    <cfRule type="colorScale" priority="26">
      <colorScale>
        <cfvo type="min" val="0"/>
        <cfvo type="percentile" val="50"/>
        <cfvo type="max" val="0"/>
        <color rgb="FFF8696B"/>
        <color rgb="FFFFEB84"/>
        <color rgb="FF63BE7B"/>
      </colorScale>
    </cfRule>
  </conditionalFormatting>
  <conditionalFormatting sqref="T19">
    <cfRule type="colorScale" priority="27">
      <colorScale>
        <cfvo type="min" val="0"/>
        <cfvo type="percentile" val="50"/>
        <cfvo type="max" val="0"/>
        <color rgb="FFF8696B"/>
        <color rgb="FFFFEB84"/>
        <color rgb="FF63BE7B"/>
      </colorScale>
    </cfRule>
  </conditionalFormatting>
  <conditionalFormatting sqref="T20">
    <cfRule type="colorScale" priority="28">
      <colorScale>
        <cfvo type="min" val="0"/>
        <cfvo type="percentile" val="50"/>
        <cfvo type="max" val="0"/>
        <color rgb="FFF8696B"/>
        <color rgb="FFFFEB84"/>
        <color rgb="FF63BE7B"/>
      </colorScale>
    </cfRule>
  </conditionalFormatting>
  <conditionalFormatting sqref="T21">
    <cfRule type="colorScale" priority="29">
      <colorScale>
        <cfvo type="min" val="0"/>
        <cfvo type="percentile" val="50"/>
        <cfvo type="max" val="0"/>
        <color rgb="FFF8696B"/>
        <color rgb="FFFFEB84"/>
        <color rgb="FF63BE7B"/>
      </colorScale>
    </cfRule>
  </conditionalFormatting>
  <conditionalFormatting sqref="T22">
    <cfRule type="colorScale" priority="30">
      <colorScale>
        <cfvo type="min" val="0"/>
        <cfvo type="percentile" val="50"/>
        <cfvo type="max" val="0"/>
        <color rgb="FFF8696B"/>
        <color rgb="FFFFEB84"/>
        <color rgb="FF63BE7B"/>
      </colorScale>
    </cfRule>
  </conditionalFormatting>
  <conditionalFormatting sqref="T23">
    <cfRule type="colorScale" priority="31">
      <colorScale>
        <cfvo type="min" val="0"/>
        <cfvo type="percentile" val="50"/>
        <cfvo type="max" val="0"/>
        <color rgb="FFF8696B"/>
        <color rgb="FFFFEB84"/>
        <color rgb="FF63BE7B"/>
      </colorScale>
    </cfRule>
  </conditionalFormatting>
  <conditionalFormatting sqref="T24">
    <cfRule type="colorScale" priority="32">
      <colorScale>
        <cfvo type="min" val="0"/>
        <cfvo type="percentile" val="50"/>
        <cfvo type="max" val="0"/>
        <color rgb="FFF8696B"/>
        <color rgb="FFFFEB84"/>
        <color rgb="FF63BE7B"/>
      </colorScale>
    </cfRule>
  </conditionalFormatting>
  <conditionalFormatting sqref="T25">
    <cfRule type="colorScale" priority="33">
      <colorScale>
        <cfvo type="min" val="0"/>
        <cfvo type="percentile" val="50"/>
        <cfvo type="max" val="0"/>
        <color rgb="FFF8696B"/>
        <color rgb="FFFFEB84"/>
        <color rgb="FF63BE7B"/>
      </colorScale>
    </cfRule>
  </conditionalFormatting>
  <conditionalFormatting sqref="T26">
    <cfRule type="colorScale" priority="34">
      <colorScale>
        <cfvo type="min" val="0"/>
        <cfvo type="percentile" val="50"/>
        <cfvo type="max" val="0"/>
        <color rgb="FFF8696B"/>
        <color rgb="FFFFEB84"/>
        <color rgb="FF63BE7B"/>
      </colorScale>
    </cfRule>
  </conditionalFormatting>
  <conditionalFormatting sqref="T27">
    <cfRule type="colorScale" priority="35">
      <colorScale>
        <cfvo type="min" val="0"/>
        <cfvo type="percentile" val="50"/>
        <cfvo type="max" val="0"/>
        <color rgb="FFF8696B"/>
        <color rgb="FFFFEB84"/>
        <color rgb="FF63BE7B"/>
      </colorScale>
    </cfRule>
  </conditionalFormatting>
  <conditionalFormatting sqref="T28">
    <cfRule type="colorScale" priority="36">
      <colorScale>
        <cfvo type="min" val="0"/>
        <cfvo type="percentile" val="50"/>
        <cfvo type="max" val="0"/>
        <color rgb="FFF8696B"/>
        <color rgb="FFFFEB84"/>
        <color rgb="FF63BE7B"/>
      </colorScale>
    </cfRule>
  </conditionalFormatting>
  <conditionalFormatting sqref="T29">
    <cfRule type="colorScale" priority="37">
      <colorScale>
        <cfvo type="min" val="0"/>
        <cfvo type="percentile" val="50"/>
        <cfvo type="max" val="0"/>
        <color rgb="FFF8696B"/>
        <color rgb="FFFFEB84"/>
        <color rgb="FF63BE7B"/>
      </colorScale>
    </cfRule>
  </conditionalFormatting>
  <conditionalFormatting sqref="T30">
    <cfRule type="colorScale" priority="38">
      <colorScale>
        <cfvo type="min" val="0"/>
        <cfvo type="percentile" val="50"/>
        <cfvo type="max" val="0"/>
        <color rgb="FFF8696B"/>
        <color rgb="FFFFEB84"/>
        <color rgb="FF63BE7B"/>
      </colorScale>
    </cfRule>
  </conditionalFormatting>
  <conditionalFormatting sqref="T31">
    <cfRule type="colorScale" priority="39">
      <colorScale>
        <cfvo type="min" val="0"/>
        <cfvo type="percentile" val="50"/>
        <cfvo type="max" val="0"/>
        <color rgb="FFF8696B"/>
        <color rgb="FFFFEB84"/>
        <color rgb="FF63BE7B"/>
      </colorScale>
    </cfRule>
  </conditionalFormatting>
  <conditionalFormatting sqref="T32">
    <cfRule type="colorScale" priority="40">
      <colorScale>
        <cfvo type="min" val="0"/>
        <cfvo type="percentile" val="50"/>
        <cfvo type="max" val="0"/>
        <color rgb="FFF8696B"/>
        <color rgb="FFFFEB84"/>
        <color rgb="FF63BE7B"/>
      </colorScale>
    </cfRule>
  </conditionalFormatting>
  <conditionalFormatting sqref="T33">
    <cfRule type="colorScale" priority="41">
      <colorScale>
        <cfvo type="min" val="0"/>
        <cfvo type="percentile" val="50"/>
        <cfvo type="max" val="0"/>
        <color rgb="FFF8696B"/>
        <color rgb="FFFFEB84"/>
        <color rgb="FF63BE7B"/>
      </colorScale>
    </cfRule>
  </conditionalFormatting>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tabColor rgb="FF000000"/>
    <outlinePr summaryBelow="1" summaryRight="1"/>
    <pageSetUpPr fitToPage="0"/>
  </sheetPr>
  <dimension ref="A1:Y105"/>
  <sheetViews>
    <sheetView showFormulas="0" showGridLines="0" showRowColHeaders="1" showZeros="1" rightToLeft="0" tabSelected="0" showOutlineSymbols="1" defaultGridColor="1" view="normal" topLeftCell="A1" colorId="64" zoomScale="95" zoomScaleNormal="95" zoomScalePageLayoutView="100" workbookViewId="0">
      <pane xSplit="0" ySplit="1" topLeftCell="A2" activePane="bottomLeft" state="frozen"/>
      <selection pane="topLeft" activeCell="A1" activeCellId="0" sqref="A1"/>
      <selection pane="bottomLeft" activeCell="C2" activeCellId="0" sqref="C2"/>
    </sheetView>
  </sheetViews>
  <sheetFormatPr baseColWidth="8" defaultColWidth="8.796875" defaultRowHeight="14.4" zeroHeight="0" outlineLevelRow="0"/>
  <cols>
    <col width="6.35" customWidth="1" style="212" min="1" max="1"/>
    <col width="24.87" customWidth="1" style="156" min="2" max="2"/>
    <col width="13.43" customWidth="1" style="278" min="3" max="3"/>
    <col width="10.12" customWidth="1" style="156" min="4" max="4"/>
    <col width="27.58" customWidth="1" style="156" min="5" max="5"/>
    <col width="18.56" customWidth="1" style="156" min="6" max="6"/>
    <col width="18.12" customWidth="1" style="156" min="7" max="7"/>
    <col width="5.01" customWidth="1" style="156" min="8" max="8"/>
    <col width="5.33" customWidth="1" style="156" min="9" max="9"/>
    <col width="8.029999999999999" customWidth="1" style="156" min="13" max="13"/>
  </cols>
  <sheetData>
    <row r="1" ht="14.4" customHeight="1" s="152">
      <c r="A1" s="212" t="inlineStr">
        <is>
          <t>Line</t>
        </is>
      </c>
      <c r="B1" s="167" t="inlineStr">
        <is>
          <t>Combo Name Team</t>
        </is>
      </c>
      <c r="C1" s="278" t="inlineStr">
        <is>
          <t>C- Score</t>
        </is>
      </c>
      <c r="D1" s="167" t="inlineStr">
        <is>
          <t>N/A</t>
        </is>
      </c>
      <c r="E1" s="167" t="inlineStr">
        <is>
          <t>ALP Exist</t>
        </is>
      </c>
      <c r="F1" s="279" t="inlineStr">
        <is>
          <t>Name</t>
        </is>
      </c>
      <c r="G1" s="279" t="inlineStr">
        <is>
          <t>2025 Team Projected</t>
        </is>
      </c>
      <c r="H1" s="279" t="inlineStr">
        <is>
          <t>Pos</t>
        </is>
      </c>
      <c r="I1" s="279" t="inlineStr">
        <is>
          <t>G</t>
        </is>
      </c>
      <c r="J1" s="279" t="inlineStr">
        <is>
          <t>QBR</t>
        </is>
      </c>
      <c r="K1" s="279" t="inlineStr">
        <is>
          <t>COMP</t>
        </is>
      </c>
      <c r="L1" s="279" t="inlineStr">
        <is>
          <t>ATT</t>
        </is>
      </c>
      <c r="M1" s="279" t="inlineStr">
        <is>
          <t>COMP%</t>
        </is>
      </c>
      <c r="N1" s="279" t="inlineStr">
        <is>
          <t>YDS</t>
        </is>
      </c>
      <c r="O1" s="279" t="inlineStr">
        <is>
          <t>YPA</t>
        </is>
      </c>
      <c r="P1" s="279" t="inlineStr">
        <is>
          <t>TD</t>
        </is>
      </c>
      <c r="Q1" s="279" t="inlineStr">
        <is>
          <t>INT</t>
        </is>
      </c>
      <c r="R1" s="279" t="inlineStr">
        <is>
          <t>SCK</t>
        </is>
      </c>
      <c r="S1" s="279" t="inlineStr">
        <is>
          <t>FUM</t>
        </is>
      </c>
      <c r="T1" s="280" t="inlineStr">
        <is>
          <t>ATT</t>
        </is>
      </c>
      <c r="U1" s="280" t="inlineStr">
        <is>
          <t>YDS</t>
        </is>
      </c>
      <c r="V1" s="280" t="inlineStr">
        <is>
          <t>TD</t>
        </is>
      </c>
      <c r="W1" s="156" t="inlineStr">
        <is>
          <t>https://www.rotowire.com/football/player-stats.php</t>
        </is>
      </c>
      <c r="X1" s="156" t="inlineStr">
        <is>
          <t>Injury</t>
        </is>
      </c>
    </row>
    <row r="2" ht="15.6" customHeight="1" s="152">
      <c r="A2" s="212" t="n">
        <v>1</v>
      </c>
      <c r="B2" s="167">
        <f>F2&amp;G2</f>
        <v/>
      </c>
      <c r="C2" s="156">
        <f>IF(H2&lt;&gt;"QB",0,IF(L2&lt;10,0,J2/200))</f>
        <v/>
      </c>
      <c r="E2" s="156">
        <f>IFERROR(VLOOKUP(F2,AllPlayers!F:F,1,0),"------------")</f>
        <v/>
      </c>
      <c r="F2" s="156" t="inlineStr">
        <is>
          <t>Josh Allen</t>
        </is>
      </c>
      <c r="G2" s="167" t="inlineStr">
        <is>
          <t>BUF</t>
        </is>
      </c>
      <c r="H2" s="156" t="inlineStr">
        <is>
          <t>QB</t>
        </is>
      </c>
      <c r="I2" s="156" t="n">
        <v>2</v>
      </c>
      <c r="J2" s="156" t="n">
        <v>108.5</v>
      </c>
      <c r="K2" s="156" t="n">
        <v>47</v>
      </c>
      <c r="L2" s="156" t="n">
        <v>71</v>
      </c>
      <c r="M2" s="281">
        <f>(K2/L2)*100</f>
        <v/>
      </c>
      <c r="N2" s="156" t="n">
        <v>542</v>
      </c>
      <c r="O2" s="281">
        <f>N2/L2</f>
        <v/>
      </c>
      <c r="P2" s="156" t="n">
        <v>2</v>
      </c>
      <c r="Q2" s="156" t="n">
        <v>10.5</v>
      </c>
      <c r="R2" s="156" t="n">
        <v>48</v>
      </c>
      <c r="S2" s="156" t="n">
        <v>0</v>
      </c>
      <c r="T2" s="179" t="n">
        <v>20</v>
      </c>
      <c r="U2" s="179" t="n">
        <v>89</v>
      </c>
      <c r="V2" s="179" t="n">
        <v>2</v>
      </c>
      <c r="W2" s="156">
        <f>INDEX(Matrix!$AA$2:$AA$33, MATCH(G2, Matrix!$AC$2:$AC$33, 0))</f>
        <v/>
      </c>
      <c r="X2" s="156">
        <f>_xlfn.IFNA(MATCH(E2,'Injury Report'!$C$2:$C$6216,0),0)</f>
        <v/>
      </c>
      <c r="Y2" s="156">
        <f>unique(G2:G101)</f>
        <v/>
      </c>
    </row>
    <row r="3" ht="15.6" customHeight="1" s="152">
      <c r="A3" s="212" t="n">
        <v>2</v>
      </c>
      <c r="B3" s="167">
        <f>F3&amp;G3</f>
        <v/>
      </c>
      <c r="C3" s="156">
        <f>IF(H3&lt;&gt;"QB",0,IF(L3&lt;10,0,J3/200))</f>
        <v/>
      </c>
      <c r="E3" s="156">
        <f>IFERROR(VLOOKUP(F3,AllPlayers!F:F,1,0),"------------")</f>
        <v/>
      </c>
      <c r="F3" s="156" t="inlineStr">
        <is>
          <t>Lamar Jackson</t>
        </is>
      </c>
      <c r="G3" s="167" t="inlineStr">
        <is>
          <t>BAL</t>
        </is>
      </c>
      <c r="H3" s="156" t="inlineStr">
        <is>
          <t>QB</t>
        </is>
      </c>
      <c r="I3" s="156" t="n">
        <v>2</v>
      </c>
      <c r="J3" s="156" t="n">
        <v>111.8</v>
      </c>
      <c r="K3" s="156" t="n">
        <v>33</v>
      </c>
      <c r="L3" s="156" t="n">
        <v>48</v>
      </c>
      <c r="M3" s="281">
        <f>(K3/L3)*100</f>
        <v/>
      </c>
      <c r="N3" s="156" t="n">
        <v>434</v>
      </c>
      <c r="O3" s="281">
        <f>N3/L3</f>
        <v/>
      </c>
      <c r="P3" s="156" t="n">
        <v>6</v>
      </c>
      <c r="Q3" s="156" t="n">
        <v>8.300000000000001</v>
      </c>
      <c r="R3" s="156" t="n">
        <v>31</v>
      </c>
      <c r="S3" s="156" t="n">
        <v>0</v>
      </c>
      <c r="T3" s="179" t="n">
        <v>8</v>
      </c>
      <c r="U3" s="179" t="n">
        <v>83</v>
      </c>
      <c r="V3" s="179" t="n">
        <v>1</v>
      </c>
      <c r="W3" s="156">
        <f>INDEX(Matrix!$AA$2:$AA$33, MATCH(G3, Matrix!$AC$2:$AC$33, 0))</f>
        <v/>
      </c>
      <c r="X3" s="156">
        <f>_xlfn.IFNA(MATCH(E3,'Injury Report'!$C$2:$C$6216,0),0)</f>
        <v/>
      </c>
    </row>
    <row r="4" ht="15.6" customHeight="1" s="152">
      <c r="A4" s="212" t="n">
        <v>3</v>
      </c>
      <c r="B4" s="167">
        <f>F4&amp;G4</f>
        <v/>
      </c>
      <c r="C4" s="156">
        <f>IF(H4&lt;&gt;"QB",0,IF(L4&lt;10,0,J4/200))</f>
        <v/>
      </c>
      <c r="E4" s="156">
        <f>IFERROR(VLOOKUP(F4,AllPlayers!F:F,1,0),"------------")</f>
        <v/>
      </c>
      <c r="F4" s="156" t="inlineStr">
        <is>
          <t>Jalen Hurts</t>
        </is>
      </c>
      <c r="G4" s="167" t="inlineStr">
        <is>
          <t>PHI</t>
        </is>
      </c>
      <c r="H4" s="156" t="inlineStr">
        <is>
          <t>QB</t>
        </is>
      </c>
      <c r="I4" s="156" t="n">
        <v>2</v>
      </c>
      <c r="J4" s="156" t="n">
        <v>106.8</v>
      </c>
      <c r="K4" s="156" t="n">
        <v>34</v>
      </c>
      <c r="L4" s="156" t="n">
        <v>45</v>
      </c>
      <c r="M4" s="281">
        <f>(K4/L4)*100</f>
        <v/>
      </c>
      <c r="N4" s="156" t="n">
        <v>253</v>
      </c>
      <c r="O4" s="281">
        <f>N4/L4</f>
        <v/>
      </c>
      <c r="P4" s="156" t="n">
        <v>0</v>
      </c>
      <c r="Q4" s="156" t="n">
        <v>8.9</v>
      </c>
      <c r="R4" s="156" t="n">
        <v>40</v>
      </c>
      <c r="S4" s="156" t="n">
        <v>0</v>
      </c>
      <c r="T4" s="179" t="n">
        <v>23</v>
      </c>
      <c r="U4" s="179" t="n">
        <v>77</v>
      </c>
      <c r="V4" s="179" t="n">
        <v>3</v>
      </c>
      <c r="W4" s="156">
        <f>INDEX(Matrix!$AA$2:$AA$33, MATCH(G4, Matrix!$AC$2:$AC$33, 0))</f>
        <v/>
      </c>
      <c r="X4" s="156">
        <f>_xlfn.IFNA(MATCH(E4,'Injury Report'!$C$2:$C$6216,0),0)</f>
        <v/>
      </c>
    </row>
    <row r="5" ht="15.6" customHeight="1" s="152">
      <c r="A5" s="212" t="n">
        <v>4</v>
      </c>
      <c r="B5" s="167">
        <f>F5&amp;G5</f>
        <v/>
      </c>
      <c r="C5" s="156">
        <f>IF(H5&lt;&gt;"QB",0,IF(L5&lt;10,0,J5/200))</f>
        <v/>
      </c>
      <c r="E5" s="156">
        <f>IFERROR(VLOOKUP(F5,AllPlayers!F:F,1,0),"------------")</f>
        <v/>
      </c>
      <c r="F5" s="156" t="inlineStr">
        <is>
          <t>Jayden Daniels</t>
        </is>
      </c>
      <c r="G5" s="167" t="inlineStr">
        <is>
          <t>WAS</t>
        </is>
      </c>
      <c r="H5" s="156" t="inlineStr">
        <is>
          <t>QB</t>
        </is>
      </c>
      <c r="I5" s="156" t="n">
        <v>2</v>
      </c>
      <c r="J5" s="156" t="n">
        <v>93.2</v>
      </c>
      <c r="K5" s="156" t="n">
        <v>43</v>
      </c>
      <c r="L5" s="156" t="n">
        <v>72</v>
      </c>
      <c r="M5" s="281">
        <f>(K5/L5)*100</f>
        <v/>
      </c>
      <c r="N5" s="156" t="n">
        <v>433</v>
      </c>
      <c r="O5" s="281">
        <f>N5/L5</f>
        <v/>
      </c>
      <c r="P5" s="156" t="n">
        <v>3</v>
      </c>
      <c r="Q5" s="156" t="n">
        <v>10.6</v>
      </c>
      <c r="R5" s="156" t="n">
        <v>50</v>
      </c>
      <c r="S5" s="156" t="n">
        <v>0</v>
      </c>
      <c r="T5" s="179" t="n">
        <v>18</v>
      </c>
      <c r="U5" s="179" t="n">
        <v>85</v>
      </c>
      <c r="V5" s="179" t="n">
        <v>0</v>
      </c>
      <c r="W5" s="156">
        <f>INDEX(Matrix!$AA$2:$AA$33, MATCH(G5, Matrix!$AC$2:$AC$33, 0))</f>
        <v/>
      </c>
      <c r="X5" s="156">
        <f>_xlfn.IFNA(MATCH(E5,'Injury Report'!$C$2:$C$6216,0),0)</f>
        <v/>
      </c>
    </row>
    <row r="6" ht="15.6" customHeight="1" s="152">
      <c r="A6" s="212" t="n">
        <v>5</v>
      </c>
      <c r="B6" s="167">
        <f>F6&amp;G6</f>
        <v/>
      </c>
      <c r="C6" s="156">
        <f>IF(H6&lt;&gt;"QB",0,IF(L6&lt;10,0,J6/200))</f>
        <v/>
      </c>
      <c r="E6" s="156">
        <f>IFERROR(VLOOKUP(F6,AllPlayers!F:F,1,0),"------------")</f>
        <v/>
      </c>
      <c r="F6" s="156" t="inlineStr">
        <is>
          <t>Joe Burrow</t>
        </is>
      </c>
      <c r="G6" s="167" t="inlineStr">
        <is>
          <t>CIN</t>
        </is>
      </c>
      <c r="H6" s="156" t="inlineStr">
        <is>
          <t>QB</t>
        </is>
      </c>
      <c r="I6" s="156" t="n">
        <v>2</v>
      </c>
      <c r="J6" s="156" t="n">
        <v>102.5</v>
      </c>
      <c r="K6" s="156" t="n">
        <v>21</v>
      </c>
      <c r="L6" s="156" t="n">
        <v>36</v>
      </c>
      <c r="M6" s="281">
        <f>(K6/L6)*100</f>
        <v/>
      </c>
      <c r="N6" s="156" t="n">
        <v>189</v>
      </c>
      <c r="O6" s="281">
        <f>N6/L6</f>
        <v/>
      </c>
      <c r="P6" s="156" t="n">
        <v>2</v>
      </c>
      <c r="Q6" s="156" t="n">
        <v>10.5</v>
      </c>
      <c r="R6" s="156" t="n">
        <v>48</v>
      </c>
      <c r="S6" s="156" t="n">
        <v>0</v>
      </c>
      <c r="T6" s="179" t="n">
        <v>2</v>
      </c>
      <c r="U6" s="179" t="n">
        <v>3</v>
      </c>
      <c r="V6" s="179" t="n">
        <v>0</v>
      </c>
      <c r="W6" s="156">
        <f>INDEX(Matrix!$AA$2:$AA$33, MATCH(G6, Matrix!$AC$2:$AC$33, 0))</f>
        <v/>
      </c>
      <c r="X6" s="156">
        <f>_xlfn.IFNA(MATCH(E6,'Injury Report'!$C$2:$C$6216,0),0)</f>
        <v/>
      </c>
    </row>
    <row r="7" ht="15.6" customHeight="1" s="152">
      <c r="A7" s="212" t="n">
        <v>6</v>
      </c>
      <c r="B7" s="167">
        <f>F7&amp;G7</f>
        <v/>
      </c>
      <c r="C7" s="156">
        <f>IF(H7&lt;&gt;"QB",0,IF(L7&lt;10,0,J7/200))</f>
        <v/>
      </c>
      <c r="E7" s="156">
        <f>IFERROR(VLOOKUP(F7,AllPlayers!F:F,1,0),"------------")</f>
        <v/>
      </c>
      <c r="F7" s="156" t="inlineStr">
        <is>
          <t>Patrick Mahomes</t>
        </is>
      </c>
      <c r="G7" s="167" t="inlineStr">
        <is>
          <t>KC</t>
        </is>
      </c>
      <c r="H7" s="156" t="inlineStr">
        <is>
          <t>QB</t>
        </is>
      </c>
      <c r="I7" s="156" t="n">
        <v>2</v>
      </c>
      <c r="J7" s="156" t="n">
        <v>119.6</v>
      </c>
      <c r="K7" s="156" t="n">
        <v>40</v>
      </c>
      <c r="L7" s="156" t="n">
        <v>68</v>
      </c>
      <c r="M7" s="281">
        <f>(K7/L7)*100</f>
        <v/>
      </c>
      <c r="N7" s="156" t="n">
        <v>445</v>
      </c>
      <c r="O7" s="281">
        <f>N7/L7</f>
        <v/>
      </c>
      <c r="P7" s="156" t="n">
        <v>2</v>
      </c>
      <c r="Q7" s="156" t="n">
        <v>12.2</v>
      </c>
      <c r="R7" s="156" t="n">
        <v>23</v>
      </c>
      <c r="S7" s="156" t="n">
        <v>0</v>
      </c>
      <c r="T7" s="179" t="n">
        <v>13</v>
      </c>
      <c r="U7" s="179" t="n">
        <v>123</v>
      </c>
      <c r="V7" s="179" t="n">
        <v>2</v>
      </c>
      <c r="W7" s="156">
        <f>INDEX(Matrix!$AA$2:$AA$33, MATCH(G7, Matrix!$AC$2:$AC$33, 0))</f>
        <v/>
      </c>
      <c r="X7" s="156">
        <f>_xlfn.IFNA(MATCH(E7,'Injury Report'!$C$2:$C$6216,0),0)</f>
        <v/>
      </c>
    </row>
    <row r="8" ht="15.6" customHeight="1" s="152">
      <c r="A8" s="212" t="n">
        <v>7</v>
      </c>
      <c r="B8" s="167">
        <f>F8&amp;G8</f>
        <v/>
      </c>
      <c r="C8" s="156">
        <f>IF(H8&lt;&gt;"QB",0,IF(L8&lt;10,0,J8/200))</f>
        <v/>
      </c>
      <c r="E8" s="156">
        <f>IFERROR(VLOOKUP(F8,AllPlayers!F:F,1,0),"------------")</f>
        <v/>
      </c>
      <c r="F8" s="156" t="inlineStr">
        <is>
          <t>Baker Mayfield</t>
        </is>
      </c>
      <c r="G8" s="167" t="inlineStr">
        <is>
          <t>TB</t>
        </is>
      </c>
      <c r="H8" s="156" t="inlineStr">
        <is>
          <t>QB</t>
        </is>
      </c>
      <c r="I8" s="156" t="n">
        <v>2</v>
      </c>
      <c r="J8" s="156" t="n">
        <v>93.5</v>
      </c>
      <c r="K8" s="156" t="n">
        <v>42</v>
      </c>
      <c r="L8" s="156" t="n">
        <v>70</v>
      </c>
      <c r="M8" s="281">
        <f>(K8/L8)*100</f>
        <v/>
      </c>
      <c r="N8" s="156" t="n">
        <v>382</v>
      </c>
      <c r="O8" s="281">
        <f>N8/L8</f>
        <v/>
      </c>
      <c r="P8" s="156" t="n">
        <v>5</v>
      </c>
      <c r="Q8" s="156" t="n">
        <v>14.7</v>
      </c>
      <c r="R8" s="156" t="n">
        <v>36</v>
      </c>
      <c r="S8" s="156" t="n">
        <v>0</v>
      </c>
      <c r="T8" s="179" t="n">
        <v>8</v>
      </c>
      <c r="U8" s="179" t="n">
        <v>72</v>
      </c>
      <c r="V8" s="179" t="n">
        <v>0</v>
      </c>
      <c r="W8" s="156">
        <f>INDEX(Matrix!$AA$2:$AA$33, MATCH(G8, Matrix!$AC$2:$AC$33, 0))</f>
        <v/>
      </c>
      <c r="X8" s="156">
        <f>_xlfn.IFNA(MATCH(E8,'Injury Report'!$C$2:$C$6216,0),0)</f>
        <v/>
      </c>
    </row>
    <row r="9" ht="15.6" customHeight="1" s="152">
      <c r="A9" s="212" t="n">
        <v>8</v>
      </c>
      <c r="B9" s="167">
        <f>F9&amp;G9</f>
        <v/>
      </c>
      <c r="C9" s="156">
        <f>IF(H9&lt;&gt;"QB",0,IF(L9&lt;10,0,J9/200))</f>
        <v/>
      </c>
      <c r="E9" s="156">
        <f>IFERROR(VLOOKUP(F9,AllPlayers!F:F,1,0),"------------")</f>
        <v/>
      </c>
      <c r="F9" s="156" t="inlineStr">
        <is>
          <t>Kyler Murray</t>
        </is>
      </c>
      <c r="G9" s="167" t="inlineStr">
        <is>
          <t>ARI</t>
        </is>
      </c>
      <c r="H9" s="156" t="inlineStr">
        <is>
          <t>QB</t>
        </is>
      </c>
      <c r="I9" s="156" t="n">
        <v>2</v>
      </c>
      <c r="J9" s="156" t="n">
        <v>90.5</v>
      </c>
      <c r="K9" s="156" t="n">
        <v>38</v>
      </c>
      <c r="L9" s="156" t="n">
        <v>54</v>
      </c>
      <c r="M9" s="281">
        <f>(K9/L9)*100</f>
        <v/>
      </c>
      <c r="N9" s="156" t="n">
        <v>383</v>
      </c>
      <c r="O9" s="281">
        <f>N9/L9</f>
        <v/>
      </c>
      <c r="P9" s="156" t="n">
        <v>3</v>
      </c>
      <c r="Q9" s="156" t="n">
        <v>11.2</v>
      </c>
      <c r="R9" s="156" t="n">
        <v>40</v>
      </c>
      <c r="S9" s="156" t="n">
        <v>0</v>
      </c>
      <c r="T9" s="179" t="n">
        <v>14</v>
      </c>
      <c r="U9" s="179" t="n">
        <v>70</v>
      </c>
      <c r="V9" s="179" t="n">
        <v>0</v>
      </c>
      <c r="W9" s="156">
        <f>INDEX(Matrix!$AA$2:$AA$33, MATCH(G9, Matrix!$AC$2:$AC$33, 0))</f>
        <v/>
      </c>
      <c r="X9" s="156">
        <f>_xlfn.IFNA(MATCH(E9,'Injury Report'!$C$2:$C$6216,0),0)</f>
        <v/>
      </c>
    </row>
    <row r="10" ht="15.6" customHeight="1" s="152">
      <c r="A10" s="212" t="n">
        <v>9</v>
      </c>
      <c r="B10" s="167">
        <f>F10&amp;G10</f>
        <v/>
      </c>
      <c r="C10" s="156">
        <f>IF(H10&lt;&gt;"QB",0,IF(L10&lt;10,0,J10/200))</f>
        <v/>
      </c>
      <c r="E10" s="156">
        <f>IFERROR(VLOOKUP(F10,AllPlayers!F:F,1,0),"------------")</f>
        <v/>
      </c>
      <c r="F10" s="156" t="inlineStr">
        <is>
          <t>Brock Purdy</t>
        </is>
      </c>
      <c r="G10" s="167" t="inlineStr">
        <is>
          <t>SF</t>
        </is>
      </c>
      <c r="H10" s="156" t="inlineStr">
        <is>
          <t>QB</t>
        </is>
      </c>
      <c r="I10" s="156" t="n">
        <v>1</v>
      </c>
      <c r="J10" s="156" t="n">
        <v>101.7</v>
      </c>
      <c r="K10" s="156" t="n">
        <v>26</v>
      </c>
      <c r="L10" s="156" t="n">
        <v>35</v>
      </c>
      <c r="M10" s="281">
        <f>(K10/L10)*100</f>
        <v/>
      </c>
      <c r="N10" s="156" t="n">
        <v>277</v>
      </c>
      <c r="O10" s="281">
        <f>N10/L10</f>
        <v/>
      </c>
      <c r="P10" s="156" t="n">
        <v>2</v>
      </c>
      <c r="Q10" s="156" t="n">
        <v>12.5</v>
      </c>
      <c r="R10" s="156" t="n">
        <v>41</v>
      </c>
      <c r="S10" s="156" t="n">
        <v>0</v>
      </c>
      <c r="T10" s="179" t="n">
        <v>5</v>
      </c>
      <c r="U10" s="179" t="n">
        <v>17</v>
      </c>
      <c r="V10" s="179" t="n">
        <v>0</v>
      </c>
      <c r="W10" s="156">
        <f>INDEX(Matrix!$AA$2:$AA$33, MATCH(G10, Matrix!$AC$2:$AC$33, 0))</f>
        <v/>
      </c>
      <c r="X10" s="156">
        <f>_xlfn.IFNA(MATCH(E10,'Injury Report'!$C$2:$C$6216,0),0)</f>
        <v/>
      </c>
    </row>
    <row r="11" ht="15.6" customHeight="1" s="152">
      <c r="A11" s="212" t="n">
        <v>10</v>
      </c>
      <c r="B11" s="167">
        <f>F11&amp;G11</f>
        <v/>
      </c>
      <c r="C11" s="156">
        <f>IF(H11&lt;&gt;"QB",0,IF(L11&lt;10,0,J11/200))</f>
        <v/>
      </c>
      <c r="E11" s="156">
        <f>IFERROR(VLOOKUP(F11,AllPlayers!F:F,1,0),"------------")</f>
        <v/>
      </c>
      <c r="F11" s="156" t="inlineStr">
        <is>
          <t>Bo Nix</t>
        </is>
      </c>
      <c r="G11" s="167" t="inlineStr">
        <is>
          <t>DEN</t>
        </is>
      </c>
      <c r="H11" s="156" t="inlineStr">
        <is>
          <t>QB</t>
        </is>
      </c>
      <c r="I11" s="156" t="n">
        <v>2</v>
      </c>
      <c r="J11" s="156" t="n">
        <v>96.09999999999999</v>
      </c>
      <c r="K11" s="156" t="n">
        <v>47</v>
      </c>
      <c r="L11" s="156" t="n">
        <v>70</v>
      </c>
      <c r="M11" s="281">
        <f>(K11/L11)*100</f>
        <v/>
      </c>
      <c r="N11" s="156" t="n">
        <v>382</v>
      </c>
      <c r="O11" s="281">
        <f>N11/L11</f>
        <v/>
      </c>
      <c r="P11" s="156" t="n">
        <v>4</v>
      </c>
      <c r="Q11" s="156" t="n">
        <v>12.1</v>
      </c>
      <c r="R11" s="156" t="n">
        <v>31</v>
      </c>
      <c r="S11" s="156" t="n">
        <v>0</v>
      </c>
      <c r="T11" s="179" t="n">
        <v>11</v>
      </c>
      <c r="U11" s="179" t="n">
        <v>38</v>
      </c>
      <c r="V11" s="179" t="n">
        <v>0</v>
      </c>
      <c r="W11" s="156">
        <f>INDEX(Matrix!$AA$2:$AA$33, MATCH(G11, Matrix!$AC$2:$AC$33, 0))</f>
        <v/>
      </c>
      <c r="X11" s="156">
        <f>_xlfn.IFNA(MATCH(E11,'Injury Report'!$C$2:$C$6216,0),0)</f>
        <v/>
      </c>
    </row>
    <row r="12" ht="15.6" customHeight="1" s="152">
      <c r="A12" s="212" t="n">
        <v>11</v>
      </c>
      <c r="B12" s="167">
        <f>F12&amp;G12</f>
        <v/>
      </c>
      <c r="C12" s="156">
        <f>IF(H12&lt;&gt;"QB",0,IF(L12&lt;10,0,J12/200))</f>
        <v/>
      </c>
      <c r="E12" s="156">
        <f>IFERROR(VLOOKUP(F12,AllPlayers!F:F,1,0),"------------")</f>
        <v/>
      </c>
      <c r="F12" s="156" t="inlineStr">
        <is>
          <t>Justin Fields</t>
        </is>
      </c>
      <c r="G12" s="167" t="inlineStr">
        <is>
          <t>NYJ</t>
        </is>
      </c>
      <c r="H12" s="156" t="inlineStr">
        <is>
          <t>QB</t>
        </is>
      </c>
      <c r="I12" s="156" t="n">
        <v>2</v>
      </c>
      <c r="J12" s="156" t="n">
        <v>93.5</v>
      </c>
      <c r="K12" s="156" t="n">
        <v>19</v>
      </c>
      <c r="L12" s="156" t="n">
        <v>33</v>
      </c>
      <c r="M12" s="281">
        <f>(K12/L12)*100</f>
        <v/>
      </c>
      <c r="N12" s="156" t="n">
        <v>245</v>
      </c>
      <c r="O12" s="281">
        <f>N12/L12</f>
        <v/>
      </c>
      <c r="P12" s="156" t="n">
        <v>1</v>
      </c>
      <c r="Q12" s="156" t="n">
        <v>11.1</v>
      </c>
      <c r="R12" s="156" t="n">
        <v>30</v>
      </c>
      <c r="S12" s="156" t="n">
        <v>1</v>
      </c>
      <c r="T12" s="179" t="n">
        <v>17</v>
      </c>
      <c r="U12" s="179" t="n">
        <v>97</v>
      </c>
      <c r="V12" s="179" t="n">
        <v>2</v>
      </c>
      <c r="W12" s="156">
        <f>INDEX(Matrix!$AA$2:$AA$33, MATCH(G12, Matrix!$AC$2:$AC$33, 0))</f>
        <v/>
      </c>
      <c r="X12" s="156">
        <f>_xlfn.IFNA(MATCH(E12,'Injury Report'!$C$2:$C$6216,0),0)</f>
        <v/>
      </c>
    </row>
    <row r="13" ht="15.6" customHeight="1" s="152">
      <c r="A13" s="212" t="n">
        <v>12</v>
      </c>
      <c r="B13" s="167">
        <f>F13&amp;G13</f>
        <v/>
      </c>
      <c r="C13" s="156">
        <f>IF(H13&lt;&gt;"QB",0,IF(L13&lt;10,0,J13/200))</f>
        <v/>
      </c>
      <c r="E13" s="156">
        <f>IFERROR(VLOOKUP(F13,AllPlayers!F:F,1,0),"------------")</f>
        <v/>
      </c>
      <c r="F13" s="156" t="inlineStr">
        <is>
          <t>J.J. Mccarthy</t>
        </is>
      </c>
      <c r="G13" s="167" t="inlineStr">
        <is>
          <t>MIN</t>
        </is>
      </c>
      <c r="H13" s="156" t="inlineStr">
        <is>
          <t>QB</t>
        </is>
      </c>
      <c r="I13" s="156" t="n">
        <v>2</v>
      </c>
      <c r="J13" s="156" t="n">
        <v>93.3</v>
      </c>
      <c r="K13" s="156" t="n">
        <v>24</v>
      </c>
      <c r="L13" s="156" t="n">
        <v>41</v>
      </c>
      <c r="M13" s="281">
        <f>(K13/L13)*100</f>
        <v/>
      </c>
      <c r="N13" s="156" t="n">
        <v>301</v>
      </c>
      <c r="O13" s="281">
        <f>N13/L13</f>
        <v/>
      </c>
      <c r="P13" s="156" t="n">
        <v>2</v>
      </c>
      <c r="Q13" s="156" t="n">
        <v>14.5</v>
      </c>
      <c r="R13" s="156" t="n">
        <v>24</v>
      </c>
      <c r="S13" s="156" t="n">
        <v>1</v>
      </c>
      <c r="T13" s="179" t="n">
        <v>7</v>
      </c>
      <c r="U13" s="179" t="n">
        <v>50</v>
      </c>
      <c r="V13" s="179" t="n">
        <v>1</v>
      </c>
      <c r="W13" s="156">
        <f>INDEX(Matrix!$AA$2:$AA$33, MATCH(G13, Matrix!$AC$2:$AC$33, 0))</f>
        <v/>
      </c>
      <c r="X13" s="156">
        <f>_xlfn.IFNA(MATCH(E13,'Injury Report'!$C$2:$C$6216,0),0)</f>
        <v/>
      </c>
    </row>
    <row r="14" ht="15.6" customHeight="1" s="152">
      <c r="A14" s="212" t="n">
        <v>13</v>
      </c>
      <c r="B14" s="167">
        <f>F14&amp;G14</f>
        <v/>
      </c>
      <c r="C14" s="156">
        <f>IF(H14&lt;&gt;"QB",0,IF(L14&lt;10,0,J14/200))</f>
        <v/>
      </c>
      <c r="E14" s="156">
        <f>IFERROR(VLOOKUP(F14,AllPlayers!F:F,1,0),"------------")</f>
        <v/>
      </c>
      <c r="F14" s="156" t="inlineStr">
        <is>
          <t>Dak Prescott</t>
        </is>
      </c>
      <c r="G14" s="167" t="inlineStr">
        <is>
          <t>DAL</t>
        </is>
      </c>
      <c r="H14" s="156" t="inlineStr">
        <is>
          <t>QB</t>
        </is>
      </c>
      <c r="I14" s="156" t="n">
        <v>2</v>
      </c>
      <c r="J14" s="156" t="n">
        <v>93.7</v>
      </c>
      <c r="K14" s="156" t="n">
        <v>59</v>
      </c>
      <c r="L14" s="156" t="n">
        <v>86</v>
      </c>
      <c r="M14" s="281">
        <f>(K14/L14)*100</f>
        <v/>
      </c>
      <c r="N14" s="156" t="n">
        <v>549</v>
      </c>
      <c r="O14" s="281">
        <f>N14/L14</f>
        <v/>
      </c>
      <c r="P14" s="156" t="n">
        <v>2</v>
      </c>
      <c r="Q14" s="156" t="n">
        <v>12.2</v>
      </c>
      <c r="R14" s="156" t="n">
        <v>28</v>
      </c>
      <c r="S14" s="156" t="n">
        <v>1</v>
      </c>
      <c r="T14" s="179" t="n">
        <v>4</v>
      </c>
      <c r="U14" s="179" t="n">
        <v>20</v>
      </c>
      <c r="V14" s="179" t="n">
        <v>0</v>
      </c>
      <c r="W14" s="156">
        <f>INDEX(Matrix!$AA$2:$AA$33, MATCH(G14, Matrix!$AC$2:$AC$33, 0))</f>
        <v/>
      </c>
      <c r="X14" s="156">
        <f>_xlfn.IFNA(MATCH(E14,'Injury Report'!$C$2:$C$6216,0),0)</f>
        <v/>
      </c>
    </row>
    <row r="15" ht="15.6" customHeight="1" s="152">
      <c r="A15" s="212" t="n">
        <v>14</v>
      </c>
      <c r="B15" s="167">
        <f>F15&amp;G15</f>
        <v/>
      </c>
      <c r="C15" s="156">
        <f>IF(H15&lt;&gt;"QB",0,IF(L15&lt;10,0,J15/200))</f>
        <v/>
      </c>
      <c r="E15" s="156">
        <f>IFERROR(VLOOKUP(F15,AllPlayers!F:F,1,0),"------------")</f>
        <v/>
      </c>
      <c r="F15" s="156" t="inlineStr">
        <is>
          <t>Justin Herbert</t>
        </is>
      </c>
      <c r="G15" s="167" t="inlineStr">
        <is>
          <t>LAC</t>
        </is>
      </c>
      <c r="H15" s="156" t="inlineStr">
        <is>
          <t>QB</t>
        </is>
      </c>
      <c r="I15" s="156" t="n">
        <v>2</v>
      </c>
      <c r="J15" s="156" t="n">
        <v>101.4</v>
      </c>
      <c r="K15" s="156" t="n">
        <v>44</v>
      </c>
      <c r="L15" s="156" t="n">
        <v>61</v>
      </c>
      <c r="M15" s="281">
        <f>(K15/L15)*100</f>
        <v/>
      </c>
      <c r="N15" s="156" t="n">
        <v>560</v>
      </c>
      <c r="O15" s="281">
        <f>N15/L15</f>
        <v/>
      </c>
      <c r="P15" s="156" t="n">
        <v>5</v>
      </c>
      <c r="Q15" s="156" t="n">
        <v>8.6</v>
      </c>
      <c r="R15" s="156" t="n">
        <v>14</v>
      </c>
      <c r="S15" s="156" t="n">
        <v>2</v>
      </c>
      <c r="T15" s="179" t="n">
        <v>16</v>
      </c>
      <c r="U15" s="179" t="n">
        <v>63</v>
      </c>
      <c r="V15" s="179" t="n">
        <v>0</v>
      </c>
      <c r="W15" s="156">
        <f>INDEX(Matrix!$AA$2:$AA$33, MATCH(G15, Matrix!$AC$2:$AC$33, 0))</f>
        <v/>
      </c>
      <c r="X15" s="156">
        <f>_xlfn.IFNA(MATCH(E15,'Injury Report'!$C$2:$C$6216,0),0)</f>
        <v/>
      </c>
    </row>
    <row r="16" ht="15.6" customHeight="1" s="152">
      <c r="A16" s="212" t="n">
        <v>15</v>
      </c>
      <c r="B16" s="167">
        <f>F16&amp;G16</f>
        <v/>
      </c>
      <c r="C16" s="156">
        <f>IF(H16&lt;&gt;"QB",0,IF(L16&lt;10,0,J16/200))</f>
        <v/>
      </c>
      <c r="E16" s="156">
        <f>IFERROR(VLOOKUP(F16,AllPlayers!F:F,1,0),"------------")</f>
        <v/>
      </c>
      <c r="F16" s="156" t="inlineStr">
        <is>
          <t>Caleb Williams</t>
        </is>
      </c>
      <c r="G16" s="167" t="inlineStr">
        <is>
          <t>CHI</t>
        </is>
      </c>
      <c r="H16" s="156" t="inlineStr">
        <is>
          <t>QB</t>
        </is>
      </c>
      <c r="I16" s="156" t="n">
        <v>2</v>
      </c>
      <c r="J16" s="156" t="n">
        <v>87</v>
      </c>
      <c r="K16" s="156" t="n">
        <v>40</v>
      </c>
      <c r="L16" s="156" t="n">
        <v>65</v>
      </c>
      <c r="M16" s="281">
        <f>(K16/L16)*100</f>
        <v/>
      </c>
      <c r="N16" s="156" t="n">
        <v>417</v>
      </c>
      <c r="O16" s="281">
        <f>N16/L16</f>
        <v/>
      </c>
      <c r="P16" s="156" t="n">
        <v>3</v>
      </c>
      <c r="Q16" s="156" t="n">
        <v>10.4</v>
      </c>
      <c r="R16" s="156" t="n">
        <v>52</v>
      </c>
      <c r="S16" s="156" t="n">
        <v>0</v>
      </c>
      <c r="T16" s="179" t="n">
        <v>11</v>
      </c>
      <c r="U16" s="179" t="n">
        <v>85</v>
      </c>
      <c r="V16" s="179" t="n">
        <v>1</v>
      </c>
      <c r="W16" s="156">
        <f>INDEX(Matrix!$AA$2:$AA$33, MATCH(G16, Matrix!$AC$2:$AC$33, 0))</f>
        <v/>
      </c>
      <c r="X16" s="156">
        <f>_xlfn.IFNA(MATCH(E16,'Injury Report'!$C$2:$C$6216,0),0)</f>
        <v/>
      </c>
    </row>
    <row r="17" ht="15.6" customHeight="1" s="152">
      <c r="A17" s="212" t="n">
        <v>16</v>
      </c>
      <c r="B17" s="167">
        <f>F17&amp;G17</f>
        <v/>
      </c>
      <c r="C17" s="156">
        <f>IF(H17&lt;&gt;"QB",0,IF(L17&lt;10,0,J17/200))</f>
        <v/>
      </c>
      <c r="E17" s="156">
        <f>IFERROR(VLOOKUP(F17,AllPlayers!F:F,1,0),"------------")</f>
        <v/>
      </c>
      <c r="F17" s="156" t="inlineStr">
        <is>
          <t>Jared Goff</t>
        </is>
      </c>
      <c r="G17" s="167" t="inlineStr">
        <is>
          <t>DET</t>
        </is>
      </c>
      <c r="H17" s="156" t="inlineStr">
        <is>
          <t>QB</t>
        </is>
      </c>
      <c r="I17" s="156" t="n">
        <v>2</v>
      </c>
      <c r="J17" s="156" t="n">
        <v>100.1</v>
      </c>
      <c r="K17" s="156" t="n">
        <v>54</v>
      </c>
      <c r="L17" s="156" t="n">
        <v>67</v>
      </c>
      <c r="M17" s="281">
        <f>(K17/L17)*100</f>
        <v/>
      </c>
      <c r="N17" s="156" t="n">
        <v>559</v>
      </c>
      <c r="O17" s="281">
        <f>N17/L17</f>
        <v/>
      </c>
      <c r="P17" s="156" t="n">
        <v>6</v>
      </c>
      <c r="Q17" s="156" t="n">
        <v>11.5</v>
      </c>
      <c r="R17" s="156" t="n">
        <v>47</v>
      </c>
      <c r="S17" s="156" t="n">
        <v>0</v>
      </c>
      <c r="T17" s="179" t="n">
        <v>2</v>
      </c>
      <c r="U17" s="179" t="n">
        <v>5</v>
      </c>
      <c r="V17" s="179" t="n">
        <v>0</v>
      </c>
      <c r="W17" s="156">
        <f>INDEX(Matrix!$AA$2:$AA$33, MATCH(G17, Matrix!$AC$2:$AC$33, 0))</f>
        <v/>
      </c>
      <c r="X17" s="156">
        <f>_xlfn.IFNA(MATCH(E17,'Injury Report'!$C$2:$C$6216,0),0)</f>
        <v/>
      </c>
    </row>
    <row r="18" ht="15.6" customHeight="1" s="152">
      <c r="A18" s="212" t="n">
        <v>17</v>
      </c>
      <c r="B18" s="167">
        <f>F18&amp;G18</f>
        <v/>
      </c>
      <c r="C18" s="156">
        <f>IF(H18&lt;&gt;"QB",0,IF(L18&lt;10,0,J18/200))</f>
        <v/>
      </c>
      <c r="E18" s="156">
        <f>IFERROR(VLOOKUP(F18,AllPlayers!F:F,1,0),"------------")</f>
        <v/>
      </c>
      <c r="F18" s="156" t="inlineStr">
        <is>
          <t>C.J. Stroud</t>
        </is>
      </c>
      <c r="G18" s="167" t="inlineStr">
        <is>
          <t>HOU</t>
        </is>
      </c>
      <c r="H18" s="156" t="inlineStr">
        <is>
          <t>QB</t>
        </is>
      </c>
      <c r="I18" s="156" t="n">
        <v>2</v>
      </c>
      <c r="J18" s="156" t="n">
        <v>87.8</v>
      </c>
      <c r="K18" s="156" t="n">
        <v>32</v>
      </c>
      <c r="L18" s="156" t="n">
        <v>51</v>
      </c>
      <c r="M18" s="281">
        <f>(K18/L18)*100</f>
        <v/>
      </c>
      <c r="N18" s="156" t="n">
        <v>395</v>
      </c>
      <c r="O18" s="281">
        <f>N18/L18</f>
        <v/>
      </c>
      <c r="P18" s="156" t="n">
        <v>1</v>
      </c>
      <c r="Q18" s="156" t="n">
        <v>10.6</v>
      </c>
      <c r="R18" s="156" t="n">
        <v>68</v>
      </c>
      <c r="S18" s="156" t="n">
        <v>0</v>
      </c>
      <c r="T18" s="179" t="n">
        <v>9</v>
      </c>
      <c r="U18" s="179" t="n">
        <v>59</v>
      </c>
      <c r="V18" s="179" t="n">
        <v>0</v>
      </c>
      <c r="W18" s="156">
        <f>INDEX(Matrix!$AA$2:$AA$33, MATCH(G18, Matrix!$AC$2:$AC$33, 0))</f>
        <v/>
      </c>
      <c r="X18" s="156">
        <f>_xlfn.IFNA(MATCH(E18,'Injury Report'!$C$2:$C$6216,0),0)</f>
        <v/>
      </c>
    </row>
    <row r="19" ht="15.6" customHeight="1" s="152">
      <c r="A19" s="212" t="n">
        <v>18</v>
      </c>
      <c r="B19" s="167">
        <f>F19&amp;G19</f>
        <v/>
      </c>
      <c r="C19" s="156">
        <f>IF(H19&lt;&gt;"QB",0,IF(L19&lt;10,0,J19/200))</f>
        <v/>
      </c>
      <c r="E19" s="156">
        <f>IFERROR(VLOOKUP(F19,AllPlayers!F:F,1,0),"------------")</f>
        <v/>
      </c>
      <c r="F19" s="156" t="inlineStr">
        <is>
          <t>Jordan Love</t>
        </is>
      </c>
      <c r="G19" s="167" t="inlineStr">
        <is>
          <t>GB</t>
        </is>
      </c>
      <c r="H19" s="156" t="inlineStr">
        <is>
          <t>QB</t>
        </is>
      </c>
      <c r="I19" s="156" t="n">
        <v>2</v>
      </c>
      <c r="J19" s="156" t="n">
        <v>88.59999999999999</v>
      </c>
      <c r="K19" s="156" t="n">
        <v>35</v>
      </c>
      <c r="L19" s="156" t="n">
        <v>53</v>
      </c>
      <c r="M19" s="281">
        <f>(K19/L19)*100</f>
        <v/>
      </c>
      <c r="N19" s="156" t="n">
        <v>480</v>
      </c>
      <c r="O19" s="281">
        <f>N19/L19</f>
        <v/>
      </c>
      <c r="P19" s="156" t="n">
        <v>4</v>
      </c>
      <c r="Q19" s="156" t="n">
        <v>12.2</v>
      </c>
      <c r="R19" s="156" t="n">
        <v>28</v>
      </c>
      <c r="S19" s="156" t="n">
        <v>0</v>
      </c>
      <c r="T19" s="179" t="n">
        <v>6</v>
      </c>
      <c r="U19" s="179" t="n">
        <v>16</v>
      </c>
      <c r="V19" s="179" t="n">
        <v>0</v>
      </c>
      <c r="W19" s="156">
        <f>INDEX(Matrix!$AA$2:$AA$33, MATCH(G19, Matrix!$AC$2:$AC$33, 0))</f>
        <v/>
      </c>
      <c r="X19" s="156">
        <f>_xlfn.IFNA(MATCH(E19,'Injury Report'!$C$2:$C$6216,0),0)</f>
        <v/>
      </c>
    </row>
    <row r="20" ht="15.6" customHeight="1" s="152">
      <c r="A20" s="212" t="n">
        <v>19</v>
      </c>
      <c r="B20" s="167">
        <f>F20&amp;G20</f>
        <v/>
      </c>
      <c r="C20" s="156">
        <f>IF(H20&lt;&gt;"QB",0,IF(L20&lt;10,0,J20/200))</f>
        <v/>
      </c>
      <c r="E20" s="156">
        <f>IFERROR(VLOOKUP(F20,AllPlayers!F:F,1,0),"------------")</f>
        <v/>
      </c>
      <c r="F20" s="156" t="inlineStr">
        <is>
          <t>Drake Maye</t>
        </is>
      </c>
      <c r="G20" s="167" t="inlineStr">
        <is>
          <t>NE</t>
        </is>
      </c>
      <c r="H20" s="156" t="inlineStr">
        <is>
          <t>QB</t>
        </is>
      </c>
      <c r="I20" s="156" t="n">
        <v>2</v>
      </c>
      <c r="J20" s="156" t="n">
        <v>96.7</v>
      </c>
      <c r="K20" s="156" t="n">
        <v>49</v>
      </c>
      <c r="L20" s="156" t="n">
        <v>69</v>
      </c>
      <c r="M20" s="281">
        <f>(K20/L20)*100</f>
        <v/>
      </c>
      <c r="N20" s="156" t="n">
        <v>517</v>
      </c>
      <c r="O20" s="281">
        <f>N20/L20</f>
        <v/>
      </c>
      <c r="P20" s="156" t="n">
        <v>3</v>
      </c>
      <c r="Q20" s="156" t="n">
        <v>12.7</v>
      </c>
      <c r="R20" s="156" t="n">
        <v>14</v>
      </c>
      <c r="S20" s="156" t="n">
        <v>0</v>
      </c>
      <c r="T20" s="179" t="n">
        <v>14</v>
      </c>
      <c r="U20" s="179" t="n">
        <v>42</v>
      </c>
      <c r="V20" s="179" t="n">
        <v>1</v>
      </c>
      <c r="W20" s="156">
        <f>INDEX(Matrix!$AA$2:$AA$33, MATCH(G20, Matrix!$AC$2:$AC$33, 0))</f>
        <v/>
      </c>
      <c r="X20" s="156">
        <f>_xlfn.IFNA(MATCH(E20,'Injury Report'!$C$2:$C$6216,0),0)</f>
        <v/>
      </c>
    </row>
    <row r="21" ht="15.6" customHeight="1" s="152">
      <c r="A21" s="212" t="n">
        <v>20</v>
      </c>
      <c r="B21" s="167">
        <f>F21&amp;G21</f>
        <v/>
      </c>
      <c r="C21" s="156">
        <f>IF(H21&lt;&gt;"QB",0,IF(L21&lt;10,0,J21/200))</f>
        <v/>
      </c>
      <c r="E21" s="156">
        <f>IFERROR(VLOOKUP(F21,AllPlayers!F:F,1,0),"------------")</f>
        <v/>
      </c>
      <c r="F21" s="156" t="inlineStr">
        <is>
          <t>Trevor Lawrence</t>
        </is>
      </c>
      <c r="G21" s="167" t="inlineStr">
        <is>
          <t>JAX</t>
        </is>
      </c>
      <c r="H21" s="156" t="inlineStr">
        <is>
          <t>QB</t>
        </is>
      </c>
      <c r="I21" s="156" t="n">
        <v>2</v>
      </c>
      <c r="J21" s="156" t="n">
        <v>103.7</v>
      </c>
      <c r="K21" s="156" t="n">
        <v>44</v>
      </c>
      <c r="L21" s="156" t="n">
        <v>74</v>
      </c>
      <c r="M21" s="281">
        <f>(K21/L21)*100</f>
        <v/>
      </c>
      <c r="N21" s="156" t="n">
        <v>472</v>
      </c>
      <c r="O21" s="281">
        <f>N21/L21</f>
        <v/>
      </c>
      <c r="P21" s="156" t="n">
        <v>4</v>
      </c>
      <c r="Q21" s="156" t="n">
        <v>13</v>
      </c>
      <c r="R21" s="156" t="n">
        <v>38</v>
      </c>
      <c r="S21" s="156" t="n">
        <v>1</v>
      </c>
      <c r="T21" s="179" t="n">
        <v>6</v>
      </c>
      <c r="U21" s="179" t="n">
        <v>16</v>
      </c>
      <c r="V21" s="179" t="n">
        <v>0</v>
      </c>
      <c r="W21" s="156">
        <f>INDEX(Matrix!$AA$2:$AA$33, MATCH(G21, Matrix!$AC$2:$AC$33, 0))</f>
        <v/>
      </c>
      <c r="X21" s="156">
        <f>_xlfn.IFNA(MATCH(E21,'Injury Report'!$C$2:$C$6216,0),0)</f>
        <v/>
      </c>
    </row>
    <row r="22" ht="15.6" customHeight="1" s="152">
      <c r="A22" s="212" t="n">
        <v>21</v>
      </c>
      <c r="B22" s="167">
        <f>F22&amp;G22</f>
        <v/>
      </c>
      <c r="C22" s="156">
        <f>IF(H22&lt;&gt;"QB",0,IF(L22&lt;10,0,J22/200))</f>
        <v/>
      </c>
      <c r="E22" s="156">
        <f>IFERROR(VLOOKUP(F22,AllPlayers!F:F,1,0),"------------")</f>
        <v/>
      </c>
      <c r="F22" s="156" t="inlineStr">
        <is>
          <t>Michael Penix</t>
        </is>
      </c>
      <c r="G22" s="167" t="inlineStr">
        <is>
          <t>ATL</t>
        </is>
      </c>
      <c r="H22" s="156" t="inlineStr">
        <is>
          <t>QB</t>
        </is>
      </c>
      <c r="I22" s="156" t="n">
        <v>2</v>
      </c>
      <c r="J22" s="156" t="n">
        <v>101.4</v>
      </c>
      <c r="K22" s="156" t="n">
        <v>40</v>
      </c>
      <c r="L22" s="156" t="n">
        <v>63</v>
      </c>
      <c r="M22" s="281">
        <f>(K22/L22)*100</f>
        <v/>
      </c>
      <c r="N22" s="156" t="n">
        <v>433</v>
      </c>
      <c r="O22" s="281">
        <f>N22/L22</f>
        <v/>
      </c>
      <c r="P22" s="156" t="n">
        <v>1</v>
      </c>
      <c r="Q22" s="156" t="n">
        <v>13.2</v>
      </c>
      <c r="R22" s="156" t="n">
        <v>21</v>
      </c>
      <c r="S22" s="156" t="n">
        <v>1</v>
      </c>
      <c r="T22" s="179" t="n">
        <v>7</v>
      </c>
      <c r="U22" s="179" t="n">
        <v>20</v>
      </c>
      <c r="V22" s="179" t="n">
        <v>1</v>
      </c>
      <c r="W22" s="156">
        <f>INDEX(Matrix!$AA$2:$AA$33, MATCH(G22, Matrix!$AC$2:$AC$33, 0))</f>
        <v/>
      </c>
      <c r="X22" s="156">
        <f>_xlfn.IFNA(MATCH(E22,'Injury Report'!$C$2:$C$6216,0),0)</f>
        <v/>
      </c>
    </row>
    <row r="23" ht="15.6" customHeight="1" s="152">
      <c r="A23" s="212" t="n">
        <v>22</v>
      </c>
      <c r="B23" s="167">
        <f>F23&amp;G23</f>
        <v/>
      </c>
      <c r="C23" s="156">
        <f>IF(H23&lt;&gt;"QB",0,IF(L23&lt;10,0,J23/200))</f>
        <v/>
      </c>
      <c r="E23" s="156">
        <f>IFERROR(VLOOKUP(F23,AllPlayers!F:F,1,0),"------------")</f>
        <v/>
      </c>
      <c r="F23" s="156" t="inlineStr">
        <is>
          <t>Bryce Young</t>
        </is>
      </c>
      <c r="G23" s="167" t="inlineStr">
        <is>
          <t>CAR</t>
        </is>
      </c>
      <c r="H23" s="156" t="inlineStr">
        <is>
          <t>QB</t>
        </is>
      </c>
      <c r="I23" s="156" t="n">
        <v>2</v>
      </c>
      <c r="J23" s="156" t="n">
        <v>95.59999999999999</v>
      </c>
      <c r="K23" s="156" t="n">
        <v>53</v>
      </c>
      <c r="L23" s="156" t="n">
        <v>90</v>
      </c>
      <c r="M23" s="281">
        <f>(K23/L23)*100</f>
        <v/>
      </c>
      <c r="N23" s="156" t="n">
        <v>482</v>
      </c>
      <c r="O23" s="281">
        <f>N23/L23</f>
        <v/>
      </c>
      <c r="P23" s="156" t="n">
        <v>4</v>
      </c>
      <c r="Q23" s="156" t="n">
        <v>11.8</v>
      </c>
      <c r="R23" s="156" t="n">
        <v>33</v>
      </c>
      <c r="S23" s="156" t="n">
        <v>1</v>
      </c>
      <c r="T23" s="179" t="n">
        <v>7</v>
      </c>
      <c r="U23" s="179" t="n">
        <v>42</v>
      </c>
      <c r="V23" s="179" t="n">
        <v>0</v>
      </c>
      <c r="W23" s="156">
        <f>INDEX(Matrix!$AA$2:$AA$33, MATCH(G23, Matrix!$AC$2:$AC$33, 0))</f>
        <v/>
      </c>
      <c r="X23" s="156">
        <f>_xlfn.IFNA(MATCH(E23,'Injury Report'!$C$2:$C$6216,0),0)</f>
        <v/>
      </c>
    </row>
    <row r="24" ht="15.6" customHeight="1" s="152">
      <c r="A24" s="212" t="n">
        <v>23</v>
      </c>
      <c r="B24" s="167">
        <f>F24&amp;G24</f>
        <v/>
      </c>
      <c r="C24" s="156">
        <f>IF(H24&lt;&gt;"QB",0,IF(L24&lt;10,0,J24/200))</f>
        <v/>
      </c>
      <c r="E24" s="156">
        <f>IFERROR(VLOOKUP(F24,AllPlayers!F:F,1,0),"------------")</f>
        <v/>
      </c>
      <c r="F24" s="156" t="inlineStr">
        <is>
          <t>Tua Tagovailoa</t>
        </is>
      </c>
      <c r="G24" s="167" t="inlineStr">
        <is>
          <t>MIA</t>
        </is>
      </c>
      <c r="H24" s="156" t="inlineStr">
        <is>
          <t>QB</t>
        </is>
      </c>
      <c r="I24" s="156" t="n">
        <v>2</v>
      </c>
      <c r="J24" s="156" t="n">
        <v>82.2</v>
      </c>
      <c r="K24" s="156" t="n">
        <v>40</v>
      </c>
      <c r="L24" s="156" t="n">
        <v>55</v>
      </c>
      <c r="M24" s="281">
        <f>(K24/L24)*100</f>
        <v/>
      </c>
      <c r="N24" s="156" t="n">
        <v>429</v>
      </c>
      <c r="O24" s="281">
        <f>N24/L24</f>
        <v/>
      </c>
      <c r="P24" s="156" t="n">
        <v>3</v>
      </c>
      <c r="Q24" s="156" t="n">
        <v>12</v>
      </c>
      <c r="R24" s="156" t="n">
        <v>29</v>
      </c>
      <c r="S24" s="156" t="n">
        <v>0</v>
      </c>
      <c r="T24" s="179" t="n">
        <v>1</v>
      </c>
      <c r="U24" s="179" t="n">
        <v>7</v>
      </c>
      <c r="V24" s="179" t="n">
        <v>0</v>
      </c>
      <c r="W24" s="156">
        <f>INDEX(Matrix!$AA$2:$AA$33, MATCH(G24, Matrix!$AC$2:$AC$33, 0))</f>
        <v/>
      </c>
      <c r="X24" s="156">
        <f>_xlfn.IFNA(MATCH(E24,'Injury Report'!$C$2:$C$6216,0),0)</f>
        <v/>
      </c>
    </row>
    <row r="25" ht="15.6" customHeight="1" s="152">
      <c r="A25" s="212" t="n">
        <v>24</v>
      </c>
      <c r="B25" s="167">
        <f>F25&amp;G25</f>
        <v/>
      </c>
      <c r="C25" s="156">
        <f>IF(H25&lt;&gt;"QB",0,IF(L25&lt;10,0,J25/200))</f>
        <v/>
      </c>
      <c r="E25" s="156">
        <f>IFERROR(VLOOKUP(F25,AllPlayers!F:F,1,0),"------------")</f>
        <v/>
      </c>
      <c r="F25" s="156" t="inlineStr">
        <is>
          <t>Matthew Stafford</t>
        </is>
      </c>
      <c r="G25" s="167" t="inlineStr">
        <is>
          <t>LAR</t>
        </is>
      </c>
      <c r="H25" s="156" t="inlineStr">
        <is>
          <t>QB</t>
        </is>
      </c>
      <c r="I25" s="156" t="n">
        <v>2</v>
      </c>
      <c r="J25" s="156" t="n">
        <v>88.09999999999999</v>
      </c>
      <c r="K25" s="156" t="n">
        <v>44</v>
      </c>
      <c r="L25" s="156" t="n">
        <v>62</v>
      </c>
      <c r="M25" s="281">
        <f>(K25/L25)*100</f>
        <v/>
      </c>
      <c r="N25" s="156" t="n">
        <v>543</v>
      </c>
      <c r="O25" s="281">
        <f>N25/L25</f>
        <v/>
      </c>
      <c r="P25" s="156" t="n">
        <v>3</v>
      </c>
      <c r="Q25" s="156" t="n">
        <v>10.8</v>
      </c>
      <c r="R25" s="156" t="n">
        <v>34</v>
      </c>
      <c r="S25" s="156" t="n">
        <v>1</v>
      </c>
      <c r="T25" s="179" t="n">
        <v>6</v>
      </c>
      <c r="U25" s="179" t="n">
        <v>-8</v>
      </c>
      <c r="V25" s="179" t="n">
        <v>0</v>
      </c>
      <c r="W25" s="156">
        <f>INDEX(Matrix!$AA$2:$AA$33, MATCH(G25, Matrix!$AC$2:$AC$33, 0))</f>
        <v/>
      </c>
      <c r="X25" s="156">
        <f>_xlfn.IFNA(MATCH(E25,'Injury Report'!$C$2:$C$6216,0),0)</f>
        <v/>
      </c>
    </row>
    <row r="26" ht="15.6" customHeight="1" s="152">
      <c r="A26" s="212" t="n">
        <v>25</v>
      </c>
      <c r="B26" s="167">
        <f>F26&amp;G26</f>
        <v/>
      </c>
      <c r="C26" s="156">
        <f>IF(H26&lt;&gt;"QB",0,IF(L26&lt;10,0,J26/200))</f>
        <v/>
      </c>
      <c r="E26" s="156">
        <f>IFERROR(VLOOKUP(F26,AllPlayers!F:F,1,0),"------------")</f>
        <v/>
      </c>
      <c r="F26" s="156" t="inlineStr">
        <is>
          <t>Geno Smith</t>
        </is>
      </c>
      <c r="G26" s="282" t="inlineStr">
        <is>
          <t>LV</t>
        </is>
      </c>
      <c r="H26" s="156" t="inlineStr">
        <is>
          <t>QB</t>
        </is>
      </c>
      <c r="I26" s="156" t="n">
        <v>2</v>
      </c>
      <c r="J26" s="156" t="n">
        <v>101</v>
      </c>
      <c r="K26" s="156" t="n">
        <v>48</v>
      </c>
      <c r="L26" s="156" t="n">
        <v>77</v>
      </c>
      <c r="M26" s="281">
        <f>(K26/L26)*100</f>
        <v/>
      </c>
      <c r="N26" s="156" t="n">
        <v>542</v>
      </c>
      <c r="O26" s="281">
        <f>N26/L26</f>
        <v/>
      </c>
      <c r="P26" s="156" t="n">
        <v>1</v>
      </c>
      <c r="Q26" s="156" t="n">
        <v>13.5</v>
      </c>
      <c r="R26" s="156" t="n">
        <v>8</v>
      </c>
      <c r="S26" s="156" t="n">
        <v>0</v>
      </c>
      <c r="T26" s="179" t="n">
        <v>7</v>
      </c>
      <c r="U26" s="179" t="n">
        <v>30</v>
      </c>
      <c r="V26" s="179" t="n">
        <v>0</v>
      </c>
      <c r="W26" s="156">
        <f>INDEX(Matrix!$AA$2:$AA$33, MATCH(G26, Matrix!$AC$2:$AC$33, 0))</f>
        <v/>
      </c>
      <c r="X26" s="156">
        <f>_xlfn.IFNA(MATCH(E26,'Injury Report'!$C$2:$C$6216,0),0)</f>
        <v/>
      </c>
    </row>
    <row r="27" ht="15.6" customHeight="1" s="152">
      <c r="A27" s="212" t="n">
        <v>26</v>
      </c>
      <c r="B27" s="167">
        <f>F27&amp;G27</f>
        <v/>
      </c>
      <c r="C27" s="156">
        <f>IF(H27&lt;&gt;"QB",0,IF(L27&lt;10,0,J27/200))</f>
        <v/>
      </c>
      <c r="E27" s="156">
        <f>IFERROR(VLOOKUP(F27,AllPlayers!F:F,1,0),"------------")</f>
        <v/>
      </c>
      <c r="F27" s="156" t="inlineStr">
        <is>
          <t>Cam Ward</t>
        </is>
      </c>
      <c r="G27" s="167" t="inlineStr">
        <is>
          <t>TEN</t>
        </is>
      </c>
      <c r="H27" s="156" t="inlineStr">
        <is>
          <t>QB</t>
        </is>
      </c>
      <c r="I27" s="156" t="n">
        <v>2</v>
      </c>
      <c r="J27" s="156" t="n">
        <v>80.59999999999999</v>
      </c>
      <c r="K27" s="156" t="n">
        <v>31</v>
      </c>
      <c r="L27" s="156" t="n">
        <v>61</v>
      </c>
      <c r="M27" s="281">
        <f>(K27/L27)*100</f>
        <v/>
      </c>
      <c r="N27" s="156" t="n">
        <v>287</v>
      </c>
      <c r="O27" s="281">
        <f>N27/L27</f>
        <v/>
      </c>
      <c r="P27" s="156" t="n">
        <v>1</v>
      </c>
      <c r="Q27" s="156" t="n">
        <v>13.9</v>
      </c>
      <c r="R27" s="156" t="n">
        <v>24</v>
      </c>
      <c r="S27" s="156" t="n">
        <v>0</v>
      </c>
      <c r="T27" s="179" t="n">
        <v>4</v>
      </c>
      <c r="U27" s="179" t="n">
        <v>8</v>
      </c>
      <c r="V27" s="179" t="n">
        <v>0</v>
      </c>
      <c r="W27" s="156">
        <f>INDEX(Matrix!$AA$2:$AA$33, MATCH(G27, Matrix!$AC$2:$AC$33, 0))</f>
        <v/>
      </c>
      <c r="X27" s="156">
        <f>_xlfn.IFNA(MATCH(E27,'Injury Report'!$C$2:$C$6216,0),0)</f>
        <v/>
      </c>
    </row>
    <row r="28" ht="15.6" customHeight="1" s="152">
      <c r="A28" s="212" t="n">
        <v>27</v>
      </c>
      <c r="B28" s="167">
        <f>F28&amp;G28</f>
        <v/>
      </c>
      <c r="C28" s="156">
        <f>IF(H28&lt;&gt;"QB",0,IF(L28&lt;10,0,J28/200))</f>
        <v/>
      </c>
      <c r="E28" s="156">
        <f>IFERROR(VLOOKUP(F28,AllPlayers!F:F,1,0),"------------")</f>
        <v/>
      </c>
      <c r="F28" s="156" t="inlineStr">
        <is>
          <t>Sam Darnold</t>
        </is>
      </c>
      <c r="G28" s="167" t="inlineStr">
        <is>
          <t>SEA</t>
        </is>
      </c>
      <c r="H28" s="156" t="inlineStr">
        <is>
          <t>QB</t>
        </is>
      </c>
      <c r="I28" s="156" t="n">
        <v>2</v>
      </c>
      <c r="J28" s="156" t="n">
        <v>81.40000000000001</v>
      </c>
      <c r="K28" s="156" t="n">
        <v>38</v>
      </c>
      <c r="L28" s="156" t="n">
        <v>56</v>
      </c>
      <c r="M28" s="281">
        <f>(K28/L28)*100</f>
        <v/>
      </c>
      <c r="N28" s="156" t="n">
        <v>445</v>
      </c>
      <c r="O28" s="281">
        <f>N28/L28</f>
        <v/>
      </c>
      <c r="P28" s="156" t="n">
        <v>2</v>
      </c>
      <c r="Q28" s="156" t="n">
        <v>13.9</v>
      </c>
      <c r="R28" s="156" t="n">
        <v>41</v>
      </c>
      <c r="S28" s="156" t="n">
        <v>0</v>
      </c>
      <c r="T28" s="179" t="n">
        <v>2</v>
      </c>
      <c r="U28" s="179" t="n">
        <v>14</v>
      </c>
      <c r="V28" s="179" t="n">
        <v>0</v>
      </c>
      <c r="W28" s="156">
        <f>INDEX(Matrix!$AA$2:$AA$33, MATCH(G28, Matrix!$AC$2:$AC$33, 0))</f>
        <v/>
      </c>
      <c r="X28" s="156">
        <f>_xlfn.IFNA(MATCH(E28,'Injury Report'!$C$2:$C$6216,0),0)</f>
        <v/>
      </c>
    </row>
    <row r="29" ht="15.6" customHeight="1" s="152">
      <c r="A29" s="212" t="n">
        <v>28</v>
      </c>
      <c r="B29" s="167">
        <f>F29&amp;G29</f>
        <v/>
      </c>
      <c r="C29" s="156">
        <f>IF(H29&lt;&gt;"QB",0,IF(L29&lt;10,0,J29/200))</f>
        <v/>
      </c>
      <c r="E29" s="156">
        <f>IFERROR(VLOOKUP(F29,AllPlayers!F:F,1,0),"------------")</f>
        <v/>
      </c>
      <c r="F29" s="156" t="inlineStr">
        <is>
          <t>Aaron Rodgers</t>
        </is>
      </c>
      <c r="G29" s="167" t="inlineStr">
        <is>
          <t>PIT</t>
        </is>
      </c>
      <c r="H29" s="156" t="inlineStr">
        <is>
          <t>QB</t>
        </is>
      </c>
      <c r="I29" s="156" t="n">
        <v>2</v>
      </c>
      <c r="J29" s="156" t="n">
        <v>79.40000000000001</v>
      </c>
      <c r="K29" s="156" t="n">
        <v>40</v>
      </c>
      <c r="L29" s="156" t="n">
        <v>63</v>
      </c>
      <c r="M29" s="281">
        <f>(K29/L29)*100</f>
        <v/>
      </c>
      <c r="N29" s="156" t="n">
        <v>447</v>
      </c>
      <c r="O29" s="281">
        <f>N29/L29</f>
        <v/>
      </c>
      <c r="P29" s="156" t="n">
        <v>5</v>
      </c>
      <c r="Q29" s="156" t="n">
        <v>9.699999999999999</v>
      </c>
      <c r="R29" s="156" t="n">
        <v>29</v>
      </c>
      <c r="S29" s="156" t="n">
        <v>0</v>
      </c>
      <c r="T29" s="179" t="n">
        <v>2</v>
      </c>
      <c r="U29" s="179" t="n">
        <v>2</v>
      </c>
      <c r="V29" s="179" t="n">
        <v>0</v>
      </c>
      <c r="W29" s="156">
        <f>INDEX(Matrix!$AA$2:$AA$33, MATCH(G29, Matrix!$AC$2:$AC$33, 0))</f>
        <v/>
      </c>
      <c r="X29" s="156">
        <f>_xlfn.IFNA(MATCH(E29,'Injury Report'!$C$2:$C$6216,0),0)</f>
        <v/>
      </c>
    </row>
    <row r="30" ht="15.6" customHeight="1" s="152">
      <c r="A30" s="212" t="n">
        <v>29</v>
      </c>
      <c r="B30" s="167">
        <f>F30&amp;G30</f>
        <v/>
      </c>
      <c r="C30" s="156">
        <f>IF(H30&lt;&gt;"QB",0,IF(L30&lt;10,0,J30/200))</f>
        <v/>
      </c>
      <c r="E30" s="156">
        <f>IFERROR(VLOOKUP(F30,AllPlayers!F:F,1,0),"------------")</f>
        <v/>
      </c>
      <c r="F30" s="156" t="inlineStr">
        <is>
          <t>Daniel Jones</t>
        </is>
      </c>
      <c r="G30" s="167" t="inlineStr">
        <is>
          <t>IND</t>
        </is>
      </c>
      <c r="H30" s="156" t="inlineStr">
        <is>
          <t>QB</t>
        </is>
      </c>
      <c r="I30" s="156" t="n">
        <v>2</v>
      </c>
      <c r="J30" s="156" t="n">
        <v>85.2</v>
      </c>
      <c r="K30" s="156" t="n">
        <v>45</v>
      </c>
      <c r="L30" s="156" t="n">
        <v>63</v>
      </c>
      <c r="M30" s="281">
        <f>(K30/L30)*100</f>
        <v/>
      </c>
      <c r="N30" s="156" t="n">
        <v>588</v>
      </c>
      <c r="O30" s="281">
        <f>N30/L30</f>
        <v/>
      </c>
      <c r="P30" s="156" t="n">
        <v>2</v>
      </c>
      <c r="Q30" s="156" t="n">
        <v>10</v>
      </c>
      <c r="R30" s="156" t="n">
        <v>18</v>
      </c>
      <c r="S30" s="156" t="n">
        <v>0</v>
      </c>
      <c r="T30" s="179" t="n">
        <v>13</v>
      </c>
      <c r="U30" s="179" t="n">
        <v>28</v>
      </c>
      <c r="V30" s="179" t="n">
        <v>3</v>
      </c>
      <c r="W30" s="156">
        <f>INDEX(Matrix!$AA$2:$AA$33, MATCH(G30, Matrix!$AC$2:$AC$33, 0))</f>
        <v/>
      </c>
      <c r="X30" s="156">
        <f>_xlfn.IFNA(MATCH(E30,'Injury Report'!$C$2:$C$6216,0),0)</f>
        <v/>
      </c>
    </row>
    <row r="31" ht="15.6" customHeight="1" s="152">
      <c r="A31" s="212" t="n">
        <v>30</v>
      </c>
      <c r="B31" s="167">
        <f>F31&amp;G31</f>
        <v/>
      </c>
      <c r="C31" s="156">
        <f>IF(H31&lt;&gt;"QB",0,IF(L31&lt;10,0,J31/200))</f>
        <v/>
      </c>
      <c r="E31" s="156">
        <f>IFERROR(VLOOKUP(F31,AllPlayers!F:F,1,0),"------------")</f>
        <v/>
      </c>
      <c r="F31" s="156" t="inlineStr">
        <is>
          <t>Russell Wilson</t>
        </is>
      </c>
      <c r="G31" s="167" t="inlineStr">
        <is>
          <t>NYG</t>
        </is>
      </c>
      <c r="H31" s="156" t="inlineStr">
        <is>
          <t>QB</t>
        </is>
      </c>
      <c r="I31" s="156" t="n">
        <v>2</v>
      </c>
      <c r="J31" s="156" t="n">
        <v>81</v>
      </c>
      <c r="K31" s="156" t="n">
        <v>47</v>
      </c>
      <c r="L31" s="156" t="n">
        <v>78</v>
      </c>
      <c r="M31" s="281">
        <f>(K31/L31)*100</f>
        <v/>
      </c>
      <c r="N31" s="156" t="n">
        <v>618</v>
      </c>
      <c r="O31" s="281">
        <f>N31/L31</f>
        <v/>
      </c>
      <c r="P31" s="156" t="n">
        <v>3</v>
      </c>
      <c r="Q31" s="156" t="n">
        <v>8.1</v>
      </c>
      <c r="R31" s="156" t="n">
        <v>29</v>
      </c>
      <c r="S31" s="156" t="n">
        <v>1</v>
      </c>
      <c r="T31" s="179" t="n">
        <v>11</v>
      </c>
      <c r="U31" s="179" t="n">
        <v>67</v>
      </c>
      <c r="V31" s="179" t="n">
        <v>0</v>
      </c>
      <c r="W31" s="156">
        <f>INDEX(Matrix!$AA$2:$AA$33, MATCH(G31, Matrix!$AC$2:$AC$33, 0))</f>
        <v/>
      </c>
      <c r="X31" s="156">
        <f>_xlfn.IFNA(MATCH(E31,'Injury Report'!$C$2:$C$6216,0),0)</f>
        <v/>
      </c>
    </row>
    <row r="32" ht="15.6" customHeight="1" s="152">
      <c r="A32" s="212" t="n">
        <v>31</v>
      </c>
      <c r="B32" s="167">
        <f>F32&amp;G32</f>
        <v/>
      </c>
      <c r="C32" s="156">
        <f>IF(H32&lt;&gt;"QB",0,IF(L32&lt;10,0,J32/200))</f>
        <v/>
      </c>
      <c r="E32" s="156">
        <f>IFERROR(VLOOKUP(F32,AllPlayers!F:F,1,0),"------------")</f>
        <v/>
      </c>
      <c r="F32" s="156" t="inlineStr">
        <is>
          <t>Tyler Shough</t>
        </is>
      </c>
      <c r="G32" s="167" t="inlineStr">
        <is>
          <t>NO</t>
        </is>
      </c>
      <c r="H32" s="156" t="inlineStr">
        <is>
          <t>QB</t>
        </is>
      </c>
      <c r="I32" s="156" t="n">
        <v>8</v>
      </c>
      <c r="J32" s="156" t="n">
        <v>86</v>
      </c>
      <c r="K32" s="156" t="n">
        <v>264.8</v>
      </c>
      <c r="L32" s="156" t="n">
        <v>424.1</v>
      </c>
      <c r="M32" s="281">
        <f>(K32/L32)*100</f>
        <v/>
      </c>
      <c r="N32" s="156" t="n">
        <v>2732.2</v>
      </c>
      <c r="O32" s="281">
        <f>N32/L32</f>
        <v/>
      </c>
      <c r="P32" s="156" t="n">
        <v>15.1</v>
      </c>
      <c r="Q32" s="156" t="n">
        <v>10.7</v>
      </c>
      <c r="R32" s="156" t="n">
        <v>21</v>
      </c>
      <c r="S32" s="156" t="n">
        <v>3</v>
      </c>
      <c r="T32" s="179" t="n">
        <v>46.8</v>
      </c>
      <c r="U32" s="179" t="n">
        <v>203.3</v>
      </c>
      <c r="V32" s="179" t="n">
        <v>1.5</v>
      </c>
      <c r="W32" s="156">
        <f>INDEX(Matrix!$AA$2:$AA$33, MATCH(G32, Matrix!$AC$2:$AC$33, 0))</f>
        <v/>
      </c>
      <c r="X32" s="156">
        <f>_xlfn.IFNA(MATCH(E32,'Injury Report'!$C$2:$C$6216,0),0)</f>
        <v/>
      </c>
    </row>
    <row r="33" ht="15.6" customHeight="1" s="152">
      <c r="A33" s="212" t="n">
        <v>32</v>
      </c>
      <c r="B33" s="167">
        <f>F33&amp;G33</f>
        <v/>
      </c>
      <c r="C33" s="156">
        <f>IF(H33&lt;&gt;"QB",0,IF(L33&lt;10,0,J33/200))</f>
        <v/>
      </c>
      <c r="E33" s="156">
        <f>IFERROR(VLOOKUP(F33,AllPlayers!F:F,1,0),"------------")</f>
        <v/>
      </c>
      <c r="F33" s="156" t="inlineStr">
        <is>
          <t>Joe Flacco</t>
        </is>
      </c>
      <c r="G33" s="167" t="inlineStr">
        <is>
          <t>CLE</t>
        </is>
      </c>
      <c r="H33" s="156" t="inlineStr">
        <is>
          <t>QB</t>
        </is>
      </c>
      <c r="I33" s="156" t="n">
        <v>2</v>
      </c>
      <c r="J33" s="156" t="n">
        <v>83.8</v>
      </c>
      <c r="K33" s="156" t="n">
        <v>56</v>
      </c>
      <c r="L33" s="156" t="n">
        <v>90</v>
      </c>
      <c r="M33" s="281">
        <f>(K33/L33)*100</f>
        <v/>
      </c>
      <c r="N33" s="156" t="n">
        <v>489</v>
      </c>
      <c r="O33" s="281">
        <f>N33/L33</f>
        <v/>
      </c>
      <c r="P33" s="156" t="n">
        <v>2</v>
      </c>
      <c r="Q33" s="156" t="n">
        <v>10.7</v>
      </c>
      <c r="R33" s="156" t="n">
        <v>13</v>
      </c>
      <c r="S33" s="156" t="n">
        <v>0</v>
      </c>
      <c r="T33" s="179" t="n">
        <v>3</v>
      </c>
      <c r="U33" s="179" t="n">
        <v>14</v>
      </c>
      <c r="V33" s="179" t="n">
        <v>0</v>
      </c>
      <c r="W33" s="156">
        <f>INDEX(Matrix!$AA$2:$AA$33, MATCH(G33, Matrix!$AC$2:$AC$33, 0))</f>
        <v/>
      </c>
      <c r="X33" s="156">
        <f>_xlfn.IFNA(MATCH(E33,'Injury Report'!$C$2:$C$6216,0),0)</f>
        <v/>
      </c>
    </row>
    <row r="34" ht="15.6" customHeight="1" s="152">
      <c r="A34" s="212" t="n">
        <v>33</v>
      </c>
      <c r="B34" s="167">
        <f>F34&amp;G34</f>
        <v/>
      </c>
      <c r="C34" s="156">
        <f>IF(H34&lt;&gt;"QB",0,IF(L34&lt;10,0,J34/200))</f>
        <v/>
      </c>
      <c r="E34" s="156">
        <f>IFERROR(VLOOKUP(F34,AllPlayers!F:F,1,0),"------------")</f>
        <v/>
      </c>
      <c r="F34" s="156" t="inlineStr">
        <is>
          <t>Spencer Rattler</t>
        </is>
      </c>
      <c r="G34" s="167" t="inlineStr">
        <is>
          <t>NO</t>
        </is>
      </c>
      <c r="H34" s="156" t="inlineStr">
        <is>
          <t>QB</t>
        </is>
      </c>
      <c r="I34" s="156" t="n">
        <v>2</v>
      </c>
      <c r="J34" s="156" t="n">
        <v>61.6</v>
      </c>
      <c r="K34" s="156" t="n">
        <v>52</v>
      </c>
      <c r="L34" s="156" t="n">
        <v>80</v>
      </c>
      <c r="M34" s="281">
        <f>(K34/L34)*100</f>
        <v/>
      </c>
      <c r="N34" s="156" t="n">
        <v>420</v>
      </c>
      <c r="O34" s="281">
        <f>N34/L34</f>
        <v/>
      </c>
      <c r="P34" s="156" t="n">
        <v>3</v>
      </c>
      <c r="Q34" s="156" t="n">
        <v>4.9</v>
      </c>
      <c r="R34" s="156" t="n">
        <v>14</v>
      </c>
      <c r="S34" s="156" t="n">
        <v>0</v>
      </c>
      <c r="T34" s="179" t="n">
        <v>8</v>
      </c>
      <c r="U34" s="179" t="n">
        <v>43</v>
      </c>
      <c r="V34" s="179" t="n">
        <v>0</v>
      </c>
      <c r="W34" s="156">
        <f>INDEX(Matrix!$AA$2:$AA$33, MATCH(G34, Matrix!$AC$2:$AC$33, 0))</f>
        <v/>
      </c>
      <c r="X34" s="156">
        <f>_xlfn.IFNA(MATCH(E34,'Injury Report'!$C$2:$C$6216,0),0)</f>
        <v/>
      </c>
    </row>
    <row r="35" ht="15.6" customHeight="1" s="152">
      <c r="A35" s="212" t="n">
        <v>34</v>
      </c>
      <c r="B35" s="167">
        <f>F35&amp;G35</f>
        <v/>
      </c>
      <c r="C35" s="156">
        <f>IF(H35&lt;&gt;"QB",0,IF(L35&lt;10,0,J35/200))</f>
        <v/>
      </c>
      <c r="E35" s="156">
        <f>IFERROR(VLOOKUP(F35,AllPlayers!F:F,1,0),"------------")</f>
        <v/>
      </c>
      <c r="F35" s="156" t="inlineStr">
        <is>
          <t>Anthony Richardson</t>
        </is>
      </c>
      <c r="G35" s="167" t="inlineStr">
        <is>
          <t>IND</t>
        </is>
      </c>
      <c r="H35" s="156" t="inlineStr">
        <is>
          <t>QB</t>
        </is>
      </c>
      <c r="I35" s="156" t="n">
        <v>7</v>
      </c>
      <c r="J35" s="156" t="n">
        <v>90.5</v>
      </c>
      <c r="K35" s="156" t="n">
        <v>39</v>
      </c>
      <c r="L35" s="156" t="n">
        <v>68.59999999999999</v>
      </c>
      <c r="M35" s="281">
        <f>(K35/L35)*100</f>
        <v/>
      </c>
      <c r="N35" s="156" t="n">
        <v>662.3</v>
      </c>
      <c r="O35" s="281">
        <f>N35/L35</f>
        <v/>
      </c>
      <c r="P35" s="156" t="n">
        <v>3.6</v>
      </c>
      <c r="Q35" s="156" t="n">
        <v>3.2</v>
      </c>
      <c r="R35" s="156" t="n">
        <v>18</v>
      </c>
      <c r="S35" s="156" t="n">
        <v>1.2</v>
      </c>
      <c r="T35" s="179" t="n">
        <v>17.4</v>
      </c>
      <c r="U35" s="179" t="n">
        <v>146.3</v>
      </c>
      <c r="V35" s="179" t="n">
        <v>1.4</v>
      </c>
      <c r="W35" s="156">
        <f>INDEX(Matrix!$AA$2:$AA$33, MATCH(G35, Matrix!$AC$2:$AC$33, 0))</f>
        <v/>
      </c>
      <c r="X35" s="156">
        <f>_xlfn.IFNA(MATCH(E35,'Injury Report'!$C$2:$C$6216,0),0)</f>
        <v/>
      </c>
    </row>
    <row r="36" ht="15.6" customHeight="1" s="152">
      <c r="A36" s="212" t="n">
        <v>35</v>
      </c>
      <c r="B36" s="167">
        <f>F36&amp;G36</f>
        <v/>
      </c>
      <c r="C36" s="156">
        <f>IF(H36&lt;&gt;"QB",0,IF(L36&lt;10,0,J36/200))</f>
        <v/>
      </c>
      <c r="E36" s="156">
        <f>IFERROR(VLOOKUP(F36,AllPlayers!F:F,1,0),"------------")</f>
        <v/>
      </c>
      <c r="F36" s="156" t="inlineStr">
        <is>
          <t>Jaxson Dart</t>
        </is>
      </c>
      <c r="G36" s="167" t="inlineStr">
        <is>
          <t>NYG</t>
        </is>
      </c>
      <c r="H36" s="156" t="inlineStr">
        <is>
          <t>QB</t>
        </is>
      </c>
      <c r="I36" s="156" t="n">
        <v>1</v>
      </c>
      <c r="J36" s="156" t="n">
        <v>80.5</v>
      </c>
      <c r="K36" s="156" t="n">
        <v>0</v>
      </c>
      <c r="L36" s="156" t="n">
        <v>0</v>
      </c>
      <c r="M36" s="281">
        <f>(K36/L36)*100</f>
        <v/>
      </c>
      <c r="N36" s="156" t="n">
        <v>0</v>
      </c>
      <c r="O36" s="281">
        <f>N36/L36</f>
        <v/>
      </c>
      <c r="P36" s="156" t="n">
        <v>0</v>
      </c>
      <c r="Q36" s="156" t="n">
        <v>3.7</v>
      </c>
      <c r="R36" s="156" t="n">
        <v>14</v>
      </c>
      <c r="S36" s="156" t="n">
        <v>0</v>
      </c>
      <c r="T36" s="179" t="n">
        <v>1</v>
      </c>
      <c r="U36" s="179" t="n">
        <v>-3</v>
      </c>
      <c r="V36" s="179" t="n">
        <v>0</v>
      </c>
      <c r="W36" s="156">
        <f>INDEX(Matrix!$AA$2:$AA$33, MATCH(G36, Matrix!$AC$2:$AC$33, 0))</f>
        <v/>
      </c>
      <c r="X36" s="156">
        <f>_xlfn.IFNA(MATCH(E36,'Injury Report'!$C$2:$C$6216,0),0)</f>
        <v/>
      </c>
    </row>
    <row r="37" ht="15.6" customHeight="1" s="152">
      <c r="A37" s="212" t="n">
        <v>36</v>
      </c>
      <c r="B37" s="167">
        <f>F37&amp;G37</f>
        <v/>
      </c>
      <c r="C37" s="156">
        <f>IF(H37&lt;&gt;"QB",0,IF(L37&lt;10,0,J37/200))</f>
        <v/>
      </c>
      <c r="E37" s="156">
        <f>IFERROR(VLOOKUP(F37,AllPlayers!F:F,1,0),"------------")</f>
        <v/>
      </c>
      <c r="F37" s="156" t="inlineStr">
        <is>
          <t>Dillon Gabriel</t>
        </is>
      </c>
      <c r="G37" s="167" t="inlineStr">
        <is>
          <t>CLE</t>
        </is>
      </c>
      <c r="H37" s="156" t="inlineStr">
        <is>
          <t>QB</t>
        </is>
      </c>
      <c r="I37" s="156" t="n">
        <v>1</v>
      </c>
      <c r="J37" s="156" t="n">
        <v>86.7</v>
      </c>
      <c r="K37" s="156" t="n">
        <v>3</v>
      </c>
      <c r="L37" s="156" t="n">
        <v>3</v>
      </c>
      <c r="M37" s="281">
        <f>(K37/L37)*100</f>
        <v/>
      </c>
      <c r="N37" s="156" t="n">
        <v>19</v>
      </c>
      <c r="O37" s="281">
        <f>N37/L37</f>
        <v/>
      </c>
      <c r="P37" s="156" t="n">
        <v>1</v>
      </c>
      <c r="Q37" s="156" t="n">
        <v>2.5</v>
      </c>
      <c r="R37" s="156" t="n">
        <v>10</v>
      </c>
      <c r="S37" s="156" t="n">
        <v>0</v>
      </c>
      <c r="T37" s="179" t="n">
        <v>0</v>
      </c>
      <c r="U37" s="179" t="n">
        <v>0</v>
      </c>
      <c r="V37" s="179" t="n">
        <v>0</v>
      </c>
      <c r="W37" s="156">
        <f>INDEX(Matrix!$AA$2:$AA$33, MATCH(G37, Matrix!$AC$2:$AC$33, 0))</f>
        <v/>
      </c>
      <c r="X37" s="156">
        <f>_xlfn.IFNA(MATCH(E37,'Injury Report'!$C$2:$C$6216,0),0)</f>
        <v/>
      </c>
    </row>
    <row r="38" ht="15.6" customHeight="1" s="152">
      <c r="A38" s="212" t="n">
        <v>37</v>
      </c>
      <c r="B38" s="167">
        <f>F38&amp;G38</f>
        <v/>
      </c>
      <c r="C38" s="156">
        <f>IF(H38&lt;&gt;"QB",0,IF(L38&lt;10,0,J38/200))</f>
        <v/>
      </c>
      <c r="E38" s="156">
        <f>IFERROR(VLOOKUP(F38,AllPlayers!F:F,1,0),"------------")</f>
        <v/>
      </c>
      <c r="F38" s="156" t="inlineStr">
        <is>
          <t>Shedeur Sanders</t>
        </is>
      </c>
      <c r="G38" s="167" t="inlineStr">
        <is>
          <t>CLE</t>
        </is>
      </c>
      <c r="H38" s="156" t="inlineStr">
        <is>
          <t>QB</t>
        </is>
      </c>
      <c r="I38" s="156" t="n">
        <v>8</v>
      </c>
      <c r="J38" s="156" t="n">
        <v>80.09999999999999</v>
      </c>
      <c r="K38" s="156" t="n">
        <v>61.8</v>
      </c>
      <c r="L38" s="156" t="n">
        <v>101.4</v>
      </c>
      <c r="M38" s="281">
        <f>(K38/L38)*100</f>
        <v/>
      </c>
      <c r="N38" s="156" t="n">
        <v>620.3</v>
      </c>
      <c r="O38" s="281">
        <f>N38/L38</f>
        <v/>
      </c>
      <c r="P38" s="156" t="n">
        <v>3</v>
      </c>
      <c r="Q38" s="156" t="n">
        <v>2.4</v>
      </c>
      <c r="R38" s="156" t="n">
        <v>11</v>
      </c>
      <c r="S38" s="156" t="n">
        <v>0.7</v>
      </c>
      <c r="T38" s="179" t="n">
        <v>12.8</v>
      </c>
      <c r="U38" s="179" t="n">
        <v>38.5</v>
      </c>
      <c r="V38" s="179" t="n">
        <v>0.1</v>
      </c>
      <c r="W38" s="156">
        <f>INDEX(Matrix!$AA$2:$AA$33, MATCH(G38, Matrix!$AC$2:$AC$33, 0))</f>
        <v/>
      </c>
      <c r="X38" s="156">
        <f>_xlfn.IFNA(MATCH(E38,'Injury Report'!$C$2:$C$6216,0),0)</f>
        <v/>
      </c>
    </row>
    <row r="39" ht="15.6" customHeight="1" s="152">
      <c r="A39" s="212" t="n">
        <v>38</v>
      </c>
      <c r="B39" s="167">
        <f>F39&amp;G39</f>
        <v/>
      </c>
      <c r="C39" s="156">
        <f>IF(H39&lt;&gt;"QB",0,IF(L39&lt;10,0,J39/200))</f>
        <v/>
      </c>
      <c r="E39" s="156">
        <f>IFERROR(VLOOKUP(F39,AllPlayers!F:F,1,0),"------------")</f>
        <v/>
      </c>
      <c r="F39" s="156" t="inlineStr">
        <is>
          <t>Jalen Milroe</t>
        </is>
      </c>
      <c r="G39" s="167" t="inlineStr">
        <is>
          <t>SEA</t>
        </is>
      </c>
      <c r="H39" s="156" t="inlineStr">
        <is>
          <t>QB</t>
        </is>
      </c>
      <c r="I39" s="156" t="n">
        <v>1</v>
      </c>
      <c r="J39" s="156" t="n">
        <v>70.40000000000001</v>
      </c>
      <c r="K39" s="156" t="n">
        <v>0</v>
      </c>
      <c r="L39" s="156" t="n">
        <v>0</v>
      </c>
      <c r="M39" s="281">
        <f>(K39/L39)*100</f>
        <v/>
      </c>
      <c r="N39" s="156" t="n">
        <v>0</v>
      </c>
      <c r="O39" s="281">
        <f>N39/L39</f>
        <v/>
      </c>
      <c r="P39" s="156" t="n">
        <v>0</v>
      </c>
      <c r="Q39" s="156" t="n">
        <v>0.8</v>
      </c>
      <c r="R39" s="156" t="n">
        <v>22</v>
      </c>
      <c r="S39" s="156" t="n">
        <v>0</v>
      </c>
      <c r="T39" s="179" t="n">
        <v>1</v>
      </c>
      <c r="U39" s="179" t="n">
        <v>1</v>
      </c>
      <c r="V39" s="179" t="n">
        <v>0</v>
      </c>
      <c r="W39" s="156">
        <f>INDEX(Matrix!$AA$2:$AA$33, MATCH(G39, Matrix!$AC$2:$AC$33, 0))</f>
        <v/>
      </c>
      <c r="X39" s="156">
        <f>_xlfn.IFNA(MATCH(E39,'Injury Report'!$C$2:$C$6216,0),0)</f>
        <v/>
      </c>
    </row>
    <row r="40" ht="15.6" customHeight="1" s="152">
      <c r="A40" s="212" t="n">
        <v>39</v>
      </c>
      <c r="B40" s="167">
        <f>F40&amp;G40</f>
        <v/>
      </c>
      <c r="C40" s="156">
        <f>IF(H40&lt;&gt;"QB",0,IF(L40&lt;10,0,J40/200))</f>
        <v/>
      </c>
      <c r="E40" s="156">
        <f>IFERROR(VLOOKUP(F40,AllPlayers!F:F,1,0),"------------")</f>
        <v/>
      </c>
      <c r="F40" s="156" t="inlineStr">
        <is>
          <t>Mason Rudolph</t>
        </is>
      </c>
      <c r="G40" s="167" t="inlineStr">
        <is>
          <t>PIT</t>
        </is>
      </c>
      <c r="H40" s="156" t="inlineStr">
        <is>
          <t>QB</t>
        </is>
      </c>
      <c r="I40" s="156" t="n">
        <v>1</v>
      </c>
      <c r="J40" s="156" t="n">
        <v>79</v>
      </c>
      <c r="K40" s="156" t="n">
        <v>2</v>
      </c>
      <c r="L40" s="156" t="n">
        <v>2</v>
      </c>
      <c r="M40" s="281">
        <f>(K40/L40)*100</f>
        <v/>
      </c>
      <c r="N40" s="156" t="n">
        <v>12</v>
      </c>
      <c r="O40" s="281">
        <f>N40/L40</f>
        <v/>
      </c>
      <c r="P40" s="156" t="n">
        <v>0</v>
      </c>
      <c r="Q40" s="156" t="n">
        <v>0.7</v>
      </c>
      <c r="R40" s="156" t="n">
        <v>33</v>
      </c>
      <c r="S40" s="156" t="n">
        <v>0</v>
      </c>
      <c r="T40" s="179" t="n">
        <v>0</v>
      </c>
      <c r="U40" s="179" t="n">
        <v>0</v>
      </c>
      <c r="V40" s="179" t="n">
        <v>0</v>
      </c>
      <c r="W40" s="156">
        <f>INDEX(Matrix!$AA$2:$AA$33, MATCH(G40, Matrix!$AC$2:$AC$33, 0))</f>
        <v/>
      </c>
      <c r="X40" s="156">
        <f>_xlfn.IFNA(MATCH(E40,'Injury Report'!$C$2:$C$6216,0),0)</f>
        <v/>
      </c>
    </row>
    <row r="41" ht="15.6" customHeight="1" s="152">
      <c r="A41" s="212" t="n">
        <v>40</v>
      </c>
      <c r="B41" s="167">
        <f>F41&amp;G41</f>
        <v/>
      </c>
      <c r="C41" s="156">
        <f>IF(H41&lt;&gt;"QB",0,IF(L41&lt;10,0,J41/200))</f>
        <v/>
      </c>
      <c r="E41" s="156">
        <f>IFERROR(VLOOKUP(F41,AllPlayers!F:F,1,0),"------------")</f>
        <v/>
      </c>
      <c r="F41" s="156" t="inlineStr">
        <is>
          <t>Kenny Pickett</t>
        </is>
      </c>
      <c r="G41" s="167" t="inlineStr">
        <is>
          <t>CLE</t>
        </is>
      </c>
      <c r="H41" s="156" t="inlineStr">
        <is>
          <t>QB</t>
        </is>
      </c>
      <c r="I41" s="156" t="n">
        <v>7</v>
      </c>
      <c r="J41" s="156" t="n">
        <v>93.3</v>
      </c>
      <c r="K41" s="156" t="n">
        <v>7.5</v>
      </c>
      <c r="L41" s="156" t="n">
        <v>12.5</v>
      </c>
      <c r="M41" s="281">
        <f>(K41/L41)*100</f>
        <v/>
      </c>
      <c r="N41" s="156" t="n">
        <v>270</v>
      </c>
      <c r="O41" s="281">
        <f>N41/L41</f>
        <v/>
      </c>
      <c r="P41" s="156" t="n">
        <v>1.3</v>
      </c>
      <c r="Q41" s="156" t="n">
        <v>1.3</v>
      </c>
      <c r="R41" s="156" t="n">
        <v>16</v>
      </c>
      <c r="S41" s="156" t="n">
        <v>0.3</v>
      </c>
      <c r="T41" s="179" t="n">
        <v>2</v>
      </c>
      <c r="U41" s="179" t="n">
        <v>21</v>
      </c>
      <c r="V41" s="179" t="n">
        <v>0.3</v>
      </c>
      <c r="W41" s="156">
        <f>INDEX(Matrix!$AA$2:$AA$33, MATCH(G41, Matrix!$AC$2:$AC$33, 0))</f>
        <v/>
      </c>
      <c r="X41" s="156">
        <f>_xlfn.IFNA(MATCH(E41,'Injury Report'!$C$2:$C$6216,0),0)</f>
        <v/>
      </c>
    </row>
    <row r="42" ht="15.6" customHeight="1" s="152">
      <c r="A42" s="212" t="n">
        <v>41</v>
      </c>
      <c r="B42" s="167">
        <f>F42&amp;G42</f>
        <v/>
      </c>
      <c r="C42" s="156">
        <f>IF(H42&lt;&gt;"QB",0,IF(L42&lt;10,0,J42/200))</f>
        <v/>
      </c>
      <c r="E42" s="156">
        <f>IFERROR(VLOOKUP(F42,AllPlayers!F:F,1,0),"------------")</f>
        <v/>
      </c>
      <c r="F42" s="156" t="inlineStr">
        <is>
          <t>Jimmy Garoppolo</t>
        </is>
      </c>
      <c r="G42" s="167" t="inlineStr">
        <is>
          <t>LAR</t>
        </is>
      </c>
      <c r="H42" s="156" t="inlineStr">
        <is>
          <t>QB</t>
        </is>
      </c>
      <c r="I42" s="156" t="n">
        <v>7</v>
      </c>
      <c r="J42" s="156" t="n">
        <v>75.5</v>
      </c>
      <c r="K42" s="156" t="n">
        <v>21.9</v>
      </c>
      <c r="L42" s="156" t="n">
        <v>33.9</v>
      </c>
      <c r="M42" s="281">
        <f>(K42/L42)*100</f>
        <v/>
      </c>
      <c r="N42" s="156" t="n">
        <v>240.5</v>
      </c>
      <c r="O42" s="281">
        <f>N42/L42</f>
        <v/>
      </c>
      <c r="P42" s="156" t="n">
        <v>1.8</v>
      </c>
      <c r="Q42" s="156" t="n">
        <v>0.8</v>
      </c>
      <c r="R42" s="156" t="n">
        <v>12</v>
      </c>
      <c r="S42" s="156" t="n">
        <v>0</v>
      </c>
      <c r="T42" s="179" t="n">
        <v>1.4</v>
      </c>
      <c r="U42" s="179" t="n">
        <v>3.6</v>
      </c>
      <c r="V42" s="179" t="n">
        <v>0</v>
      </c>
      <c r="W42" s="156">
        <f>INDEX(Matrix!$AA$2:$AA$33, MATCH(G42, Matrix!$AC$2:$AC$33, 0))</f>
        <v/>
      </c>
      <c r="X42" s="156">
        <f>_xlfn.IFNA(MATCH(E42,'Injury Report'!$C$2:$C$6216,0),0)</f>
        <v/>
      </c>
    </row>
    <row r="43" ht="15.6" customHeight="1" s="152">
      <c r="A43" s="212" t="n">
        <v>42</v>
      </c>
      <c r="B43" s="167">
        <f>F43&amp;G43</f>
        <v/>
      </c>
      <c r="C43" s="156">
        <f>IF(H43&lt;&gt;"QB",0,IF(L43&lt;10,0,J43/200))</f>
        <v/>
      </c>
      <c r="E43" s="156">
        <f>IFERROR(VLOOKUP(F43,AllPlayers!F:F,1,0),"------------")</f>
        <v/>
      </c>
      <c r="F43" s="156" t="inlineStr">
        <is>
          <t>Jameis Winston</t>
        </is>
      </c>
      <c r="G43" s="167" t="inlineStr">
        <is>
          <t>NYG</t>
        </is>
      </c>
      <c r="H43" s="156" t="inlineStr">
        <is>
          <t>QB</t>
        </is>
      </c>
      <c r="I43" s="156" t="n">
        <v>6</v>
      </c>
      <c r="J43" s="156" t="n">
        <v>82</v>
      </c>
      <c r="K43" s="156" t="n">
        <v>18.3</v>
      </c>
      <c r="L43" s="156" t="n">
        <v>29</v>
      </c>
      <c r="M43" s="281">
        <f>(K43/L43)*100</f>
        <v/>
      </c>
      <c r="N43" s="156" t="n">
        <v>263.5</v>
      </c>
      <c r="O43" s="281">
        <f>N43/L43</f>
        <v/>
      </c>
      <c r="P43" s="156" t="n">
        <v>1.5</v>
      </c>
      <c r="Q43" s="156" t="n">
        <v>1.3</v>
      </c>
      <c r="R43" s="156" t="n">
        <v>7</v>
      </c>
      <c r="S43" s="156" t="n">
        <v>0</v>
      </c>
      <c r="T43" s="179" t="n">
        <v>2.3</v>
      </c>
      <c r="U43" s="179" t="n">
        <v>10.8</v>
      </c>
      <c r="V43" s="179" t="n">
        <v>0</v>
      </c>
      <c r="W43" s="156">
        <f>INDEX(Matrix!$AA$2:$AA$33, MATCH(G43, Matrix!$AC$2:$AC$33, 0))</f>
        <v/>
      </c>
      <c r="X43" s="156">
        <f>_xlfn.IFNA(MATCH(E43,'Injury Report'!$C$2:$C$6216,0),0)</f>
        <v/>
      </c>
    </row>
    <row r="44" ht="15.6" customHeight="1" s="152">
      <c r="A44" s="212" t="n">
        <v>43</v>
      </c>
      <c r="B44" s="167">
        <f>F44&amp;G44</f>
        <v/>
      </c>
      <c r="C44" s="156">
        <f>IF(H44&lt;&gt;"QB",0,IF(L44&lt;10,0,J44/200))</f>
        <v/>
      </c>
      <c r="E44" s="156">
        <f>IFERROR(VLOOKUP(F44,AllPlayers!F:F,1,0),"------------")</f>
        <v/>
      </c>
      <c r="F44" s="156" t="inlineStr">
        <is>
          <t>Malik Willis</t>
        </is>
      </c>
      <c r="G44" s="167" t="inlineStr">
        <is>
          <t>GB</t>
        </is>
      </c>
      <c r="H44" s="156" t="inlineStr">
        <is>
          <t>QB</t>
        </is>
      </c>
      <c r="I44" s="156" t="n">
        <v>5</v>
      </c>
      <c r="J44" s="156" t="n">
        <v>80.09999999999999</v>
      </c>
      <c r="K44" s="156" t="n">
        <v>14.7</v>
      </c>
      <c r="L44" s="156" t="n">
        <v>23.4</v>
      </c>
      <c r="M44" s="281">
        <f>(K44/L44)*100</f>
        <v/>
      </c>
      <c r="N44" s="156" t="n">
        <v>179.9</v>
      </c>
      <c r="O44" s="281">
        <f>N44/L44</f>
        <v/>
      </c>
      <c r="P44" s="156" t="n">
        <v>1.1</v>
      </c>
      <c r="Q44" s="156" t="n">
        <v>0.3</v>
      </c>
      <c r="R44" s="156" t="n">
        <v>15</v>
      </c>
      <c r="S44" s="156" t="n">
        <v>0</v>
      </c>
      <c r="T44" s="179" t="n">
        <v>6.1</v>
      </c>
      <c r="U44" s="179" t="n">
        <v>35.2</v>
      </c>
      <c r="V44" s="179" t="n">
        <v>0.3</v>
      </c>
      <c r="W44" s="156">
        <f>INDEX(Matrix!$AA$2:$AA$33, MATCH(G44, Matrix!$AC$2:$AC$33, 0))</f>
        <v/>
      </c>
      <c r="X44" s="156">
        <f>_xlfn.IFNA(MATCH(E44,'Injury Report'!$C$2:$C$6216,0),0)</f>
        <v/>
      </c>
    </row>
    <row r="45" ht="15.6" customHeight="1" s="152">
      <c r="A45" s="212" t="n">
        <v>44</v>
      </c>
      <c r="B45" s="167">
        <f>F45&amp;G45</f>
        <v/>
      </c>
      <c r="C45" s="156">
        <f>IF(H45&lt;&gt;"QB",0,IF(L45&lt;10,0,J45/200))</f>
        <v/>
      </c>
      <c r="E45" s="156">
        <f>IFERROR(VLOOKUP(F45,AllPlayers!F:F,1,0),"------------")</f>
        <v/>
      </c>
      <c r="F45" s="156" t="inlineStr">
        <is>
          <t>Marcus Mariota</t>
        </is>
      </c>
      <c r="G45" s="167" t="inlineStr">
        <is>
          <t>WAS</t>
        </is>
      </c>
      <c r="H45" s="156" t="inlineStr">
        <is>
          <t>QB</t>
        </is>
      </c>
      <c r="I45" s="156" t="n">
        <v>7</v>
      </c>
      <c r="J45" s="156" t="n">
        <v>74.2</v>
      </c>
      <c r="K45" s="156" t="n">
        <v>15.2</v>
      </c>
      <c r="L45" s="156" t="n">
        <v>22.6</v>
      </c>
      <c r="M45" s="281">
        <f>(K45/L45)*100</f>
        <v/>
      </c>
      <c r="N45" s="156" t="n">
        <v>172.3</v>
      </c>
      <c r="O45" s="281">
        <f>N45/L45</f>
        <v/>
      </c>
      <c r="P45" s="156" t="n">
        <v>1.1</v>
      </c>
      <c r="Q45" s="156" t="n">
        <v>0.3</v>
      </c>
      <c r="R45" s="156" t="n">
        <v>18</v>
      </c>
      <c r="S45" s="156" t="n">
        <v>0</v>
      </c>
      <c r="T45" s="179" t="n">
        <v>4.5</v>
      </c>
      <c r="U45" s="179" t="n">
        <v>22.3</v>
      </c>
      <c r="V45" s="179" t="n">
        <v>0</v>
      </c>
      <c r="W45" s="156">
        <f>INDEX(Matrix!$AA$2:$AA$33, MATCH(G45, Matrix!$AC$2:$AC$33, 0))</f>
        <v/>
      </c>
      <c r="X45" s="156">
        <f>_xlfn.IFNA(MATCH(E45,'Injury Report'!$C$2:$C$6216,0),0)</f>
        <v/>
      </c>
    </row>
    <row r="46" ht="15.6" customHeight="1" s="152">
      <c r="A46" s="212" t="n">
        <v>45</v>
      </c>
      <c r="B46" s="167">
        <f>F46&amp;G46</f>
        <v/>
      </c>
      <c r="C46" s="156">
        <f>IF(H46&lt;&gt;"QB",0,IF(L46&lt;10,0,J46/200))</f>
        <v/>
      </c>
      <c r="E46" s="156">
        <f>IFERROR(VLOOKUP(F46,AllPlayers!F:F,1,0),"------------")</f>
        <v/>
      </c>
      <c r="F46" s="156" t="inlineStr">
        <is>
          <t>Mac Jones</t>
        </is>
      </c>
      <c r="G46" s="167" t="inlineStr">
        <is>
          <t>SF</t>
        </is>
      </c>
      <c r="H46" s="156" t="inlineStr">
        <is>
          <t>QB</t>
        </is>
      </c>
      <c r="I46" s="156" t="n">
        <v>1</v>
      </c>
      <c r="J46" s="156" t="n">
        <v>78.90000000000001</v>
      </c>
      <c r="K46" s="156" t="n">
        <v>26</v>
      </c>
      <c r="L46" s="156" t="n">
        <v>39</v>
      </c>
      <c r="M46" s="281">
        <f>(K46/L46)*100</f>
        <v/>
      </c>
      <c r="N46" s="156" t="n">
        <v>279</v>
      </c>
      <c r="O46" s="281">
        <f>N46/L46</f>
        <v/>
      </c>
      <c r="P46" s="156" t="n">
        <v>3</v>
      </c>
      <c r="Q46" s="156" t="n">
        <v>0.8</v>
      </c>
      <c r="R46" s="156" t="n">
        <v>4</v>
      </c>
      <c r="S46" s="156" t="n">
        <v>1</v>
      </c>
      <c r="T46" s="179" t="n">
        <v>6</v>
      </c>
      <c r="U46" s="179" t="n">
        <v>6</v>
      </c>
      <c r="V46" s="179" t="n">
        <v>0</v>
      </c>
      <c r="W46" s="156">
        <f>INDEX(Matrix!$AA$2:$AA$33, MATCH(G46, Matrix!$AC$2:$AC$33, 0))</f>
        <v/>
      </c>
      <c r="X46" s="156">
        <f>_xlfn.IFNA(MATCH(E46,'Injury Report'!$C$2:$C$6216,0),0)</f>
        <v/>
      </c>
    </row>
    <row r="47" ht="15.6" customHeight="1" s="152">
      <c r="A47" s="212" t="n">
        <v>46</v>
      </c>
      <c r="B47" s="167">
        <f>F47&amp;G47</f>
        <v/>
      </c>
      <c r="C47" s="156">
        <f>IF(H47&lt;&gt;"QB",0,IF(L47&lt;10,0,J47/200))</f>
        <v/>
      </c>
      <c r="E47" s="156">
        <f>IFERROR(VLOOKUP(F47,AllPlayers!F:F,1,0),"------------")</f>
        <v/>
      </c>
      <c r="F47" s="156" t="inlineStr">
        <is>
          <t>Joshua Dobbs</t>
        </is>
      </c>
      <c r="G47" s="167" t="inlineStr">
        <is>
          <t>NE</t>
        </is>
      </c>
      <c r="H47" s="156" t="inlineStr">
        <is>
          <t>QB</t>
        </is>
      </c>
      <c r="I47" s="156" t="n">
        <v>6</v>
      </c>
      <c r="J47" s="156" t="n">
        <v>124.8</v>
      </c>
      <c r="K47" s="156" t="n">
        <v>15.8</v>
      </c>
      <c r="L47" s="156" t="n">
        <v>24.5</v>
      </c>
      <c r="M47" s="281">
        <f>(K47/L47)*100</f>
        <v/>
      </c>
      <c r="N47" s="156" t="n">
        <v>178.1</v>
      </c>
      <c r="O47" s="281">
        <f>N47/L47</f>
        <v/>
      </c>
      <c r="P47" s="156" t="n">
        <v>1.1</v>
      </c>
      <c r="Q47" s="156" t="n">
        <v>0.8</v>
      </c>
      <c r="R47" s="156" t="n">
        <v>8</v>
      </c>
      <c r="S47" s="156" t="n">
        <v>0</v>
      </c>
      <c r="T47" s="179" t="n">
        <v>2.5</v>
      </c>
      <c r="U47" s="179" t="n">
        <v>15.7</v>
      </c>
      <c r="V47" s="179" t="n">
        <v>0</v>
      </c>
      <c r="W47" s="156">
        <f>INDEX(Matrix!$AA$2:$AA$33, MATCH(G47, Matrix!$AC$2:$AC$33, 0))</f>
        <v/>
      </c>
      <c r="X47" s="156">
        <f>_xlfn.IFNA(MATCH(E47,'Injury Report'!$C$2:$C$6216,0),0)</f>
        <v/>
      </c>
    </row>
    <row r="48" ht="15.6" customHeight="1" s="152">
      <c r="A48" s="212" t="n">
        <v>47</v>
      </c>
      <c r="B48" s="167">
        <f>F48&amp;G48</f>
        <v/>
      </c>
      <c r="C48" s="156">
        <f>IF(H48&lt;&gt;"QB",0,IF(L48&lt;10,0,J48/200))</f>
        <v/>
      </c>
      <c r="E48" s="156">
        <f>IFERROR(VLOOKUP(F48,AllPlayers!F:F,1,0),"------------")</f>
        <v/>
      </c>
      <c r="F48" s="156" t="inlineStr">
        <is>
          <t>Tyrod Taylor</t>
        </is>
      </c>
      <c r="G48" s="167" t="inlineStr">
        <is>
          <t>NYJ</t>
        </is>
      </c>
      <c r="H48" s="156" t="inlineStr">
        <is>
          <t>QB</t>
        </is>
      </c>
      <c r="I48" s="156" t="n">
        <v>1</v>
      </c>
      <c r="J48" s="156" t="n">
        <v>73.59999999999999</v>
      </c>
      <c r="K48" s="156" t="n">
        <v>7</v>
      </c>
      <c r="L48" s="156" t="n">
        <v>11</v>
      </c>
      <c r="M48" s="281">
        <f>(K48/L48)*100</f>
        <v/>
      </c>
      <c r="N48" s="156" t="n">
        <v>56</v>
      </c>
      <c r="O48" s="281">
        <f>N48/L48</f>
        <v/>
      </c>
      <c r="P48" s="156" t="n">
        <v>1</v>
      </c>
      <c r="Q48" s="156" t="n">
        <v>0.9</v>
      </c>
      <c r="R48" s="156" t="n">
        <v>10</v>
      </c>
      <c r="S48" s="156" t="n">
        <v>0</v>
      </c>
      <c r="T48" s="179" t="n">
        <v>3</v>
      </c>
      <c r="U48" s="179" t="n">
        <v>21</v>
      </c>
      <c r="V48" s="179" t="n">
        <v>0</v>
      </c>
      <c r="W48" s="156">
        <f>INDEX(Matrix!$AA$2:$AA$33, MATCH(G48, Matrix!$AC$2:$AC$33, 0))</f>
        <v/>
      </c>
      <c r="X48" s="156">
        <f>_xlfn.IFNA(MATCH(E48,'Injury Report'!$C$2:$C$6216,0),0)</f>
        <v/>
      </c>
    </row>
    <row r="49" ht="15.6" customHeight="1" s="152">
      <c r="A49" s="212" t="n">
        <v>48</v>
      </c>
      <c r="B49" s="167">
        <f>F49&amp;G49</f>
        <v/>
      </c>
      <c r="C49" s="156">
        <f>IF(H49&lt;&gt;"QB",0,IF(L49&lt;10,0,J49/200))</f>
        <v/>
      </c>
      <c r="E49" s="156">
        <f>IFERROR(VLOOKUP(F49,AllPlayers!F:F,1,0),"------------")</f>
        <v/>
      </c>
      <c r="F49" s="156" t="inlineStr">
        <is>
          <t>Zach Wilson</t>
        </is>
      </c>
      <c r="G49" s="167" t="inlineStr">
        <is>
          <t>MIA</t>
        </is>
      </c>
      <c r="H49" s="156" t="inlineStr">
        <is>
          <t>QB</t>
        </is>
      </c>
      <c r="I49" s="156" t="n">
        <v>1</v>
      </c>
      <c r="J49" s="156" t="n">
        <v>39.5</v>
      </c>
      <c r="K49" s="156" t="n">
        <v>5</v>
      </c>
      <c r="L49" s="156" t="n">
        <v>8</v>
      </c>
      <c r="M49" s="281">
        <f>(K49/L49)*100</f>
        <v/>
      </c>
      <c r="N49" s="156" t="n">
        <v>32</v>
      </c>
      <c r="O49" s="281">
        <f>N49/L49</f>
        <v/>
      </c>
      <c r="P49" s="156" t="n">
        <v>0</v>
      </c>
      <c r="Q49" s="156" t="n">
        <v>0.4</v>
      </c>
      <c r="R49" s="156" t="n">
        <v>8</v>
      </c>
      <c r="S49" s="156" t="n">
        <v>0</v>
      </c>
      <c r="T49" s="179" t="n">
        <v>1</v>
      </c>
      <c r="U49" s="179" t="n">
        <v>3</v>
      </c>
      <c r="V49" s="179" t="n">
        <v>0</v>
      </c>
      <c r="W49" s="156">
        <f>INDEX(Matrix!$AA$2:$AA$33, MATCH(G49, Matrix!$AC$2:$AC$33, 0))</f>
        <v/>
      </c>
      <c r="X49" s="156">
        <f>_xlfn.IFNA(MATCH(E49,'Injury Report'!$C$2:$C$6216,0),0)</f>
        <v/>
      </c>
    </row>
    <row r="50" ht="15.6" customHeight="1" s="152">
      <c r="A50" s="212" t="n">
        <v>49</v>
      </c>
      <c r="B50" s="167">
        <f>F50&amp;G50</f>
        <v/>
      </c>
      <c r="C50" s="156">
        <f>IF(H50&lt;&gt;"QB",0,IF(L50&lt;10,0,J50/200))</f>
        <v/>
      </c>
      <c r="E50" s="156">
        <f>IFERROR(VLOOKUP(F50,AllPlayers!F:F,1,0),"------------")</f>
        <v/>
      </c>
      <c r="F50" s="156" t="inlineStr">
        <is>
          <t>Jake Browning</t>
        </is>
      </c>
      <c r="G50" s="167" t="inlineStr">
        <is>
          <t>CIN</t>
        </is>
      </c>
      <c r="H50" s="156" t="inlineStr">
        <is>
          <t>QB</t>
        </is>
      </c>
      <c r="I50" s="156" t="n">
        <v>1</v>
      </c>
      <c r="J50" s="156" t="n">
        <v>131.3</v>
      </c>
      <c r="K50" s="156" t="n">
        <v>21</v>
      </c>
      <c r="L50" s="156" t="n">
        <v>32</v>
      </c>
      <c r="M50" s="281">
        <f>(K50/L50)*100</f>
        <v/>
      </c>
      <c r="N50" s="156" t="n">
        <v>241</v>
      </c>
      <c r="O50" s="281">
        <f>N50/L50</f>
        <v/>
      </c>
      <c r="P50" s="156" t="n">
        <v>2</v>
      </c>
      <c r="Q50" s="156" t="n">
        <v>0.4</v>
      </c>
      <c r="R50" s="156" t="n">
        <v>3</v>
      </c>
      <c r="S50" s="156" t="n">
        <v>0</v>
      </c>
      <c r="T50" s="179" t="n">
        <v>1</v>
      </c>
      <c r="U50" s="179" t="n">
        <v>1</v>
      </c>
      <c r="V50" s="179" t="n">
        <v>1</v>
      </c>
      <c r="W50" s="156">
        <f>INDEX(Matrix!$AA$2:$AA$33, MATCH(G50, Matrix!$AC$2:$AC$33, 0))</f>
        <v/>
      </c>
      <c r="X50" s="156">
        <f>_xlfn.IFNA(MATCH(E50,'Injury Report'!$C$2:$C$6216,0),0)</f>
        <v/>
      </c>
    </row>
    <row r="51" ht="15.6" customHeight="1" s="152">
      <c r="A51" s="212" t="n">
        <v>50</v>
      </c>
      <c r="B51" s="167">
        <f>F51&amp;G51</f>
        <v/>
      </c>
      <c r="C51" s="156">
        <f>IF(H51&lt;&gt;"QB",0,IF(L51&lt;10,0,J51/200))</f>
        <v/>
      </c>
      <c r="E51" s="156">
        <f>IFERROR(VLOOKUP(F51,AllPlayers!F:F,1,0),"------------")</f>
        <v/>
      </c>
      <c r="F51" s="156" t="inlineStr">
        <is>
          <t>Aidan O'connell</t>
        </is>
      </c>
      <c r="G51" s="167" t="inlineStr">
        <is>
          <t>LV</t>
        </is>
      </c>
      <c r="H51" s="156" t="inlineStr">
        <is>
          <t>QB</t>
        </is>
      </c>
      <c r="I51" s="156" t="n">
        <v>2</v>
      </c>
      <c r="J51" s="156" t="n">
        <v>87.3</v>
      </c>
      <c r="K51" s="156" t="n">
        <v>16.3</v>
      </c>
      <c r="L51" s="156" t="n">
        <v>25.1</v>
      </c>
      <c r="M51" s="281">
        <f>(K51/L51)*100</f>
        <v/>
      </c>
      <c r="N51" s="156" t="n">
        <v>186.1</v>
      </c>
      <c r="O51" s="281">
        <f>N51/L51</f>
        <v/>
      </c>
      <c r="P51" s="156" t="n">
        <v>1.1</v>
      </c>
      <c r="Q51" s="156" t="n">
        <v>0.5</v>
      </c>
      <c r="R51" s="156" t="n">
        <v>2</v>
      </c>
      <c r="S51" s="156" t="n">
        <v>0.3</v>
      </c>
      <c r="T51" s="179" t="n">
        <v>2</v>
      </c>
      <c r="U51" s="179" t="n">
        <v>6.1</v>
      </c>
      <c r="V51" s="179" t="n">
        <v>0</v>
      </c>
      <c r="W51" s="156">
        <f>INDEX(Matrix!$AA$2:$AA$33, MATCH(G51, Matrix!$AC$2:$AC$33, 0))</f>
        <v/>
      </c>
      <c r="X51" s="156">
        <f>_xlfn.IFNA(MATCH(E51,'Injury Report'!$C$2:$C$6216,0),0)</f>
        <v/>
      </c>
    </row>
    <row r="52" ht="15.6" customHeight="1" s="152">
      <c r="A52" s="212" t="n">
        <v>51</v>
      </c>
      <c r="B52" s="167">
        <f>F52&amp;G52</f>
        <v/>
      </c>
      <c r="C52" s="156">
        <f>IF(H52&lt;&gt;"QB",0,IF(L52&lt;10,0,J52/200))</f>
        <v/>
      </c>
      <c r="E52" s="156">
        <f>IFERROR(VLOOKUP(F52,AllPlayers!F:F,1,0),"------------")</f>
        <v/>
      </c>
      <c r="F52" s="156" t="inlineStr">
        <is>
          <t>Sam Howell</t>
        </is>
      </c>
      <c r="G52" s="167" t="inlineStr">
        <is>
          <t>MIN</t>
        </is>
      </c>
      <c r="H52" s="156" t="inlineStr">
        <is>
          <t>QB</t>
        </is>
      </c>
      <c r="I52" s="156" t="n">
        <v>1</v>
      </c>
      <c r="J52" s="156" t="n">
        <v>97</v>
      </c>
      <c r="K52" s="156" t="n">
        <v>8.9</v>
      </c>
      <c r="L52" s="156" t="n">
        <v>14.5</v>
      </c>
      <c r="M52" s="281">
        <f>(K52/L52)*100</f>
        <v/>
      </c>
      <c r="N52" s="156" t="n">
        <v>140.5</v>
      </c>
      <c r="O52" s="281">
        <f>N52/L52</f>
        <v/>
      </c>
      <c r="P52" s="156" t="n">
        <v>1.1</v>
      </c>
      <c r="Q52" s="156" t="n">
        <v>0.7</v>
      </c>
      <c r="R52" s="156" t="n">
        <v>3</v>
      </c>
      <c r="S52" s="156" t="n">
        <v>0</v>
      </c>
      <c r="T52" s="179" t="n">
        <v>2.7</v>
      </c>
      <c r="U52" s="179" t="n">
        <v>12.6</v>
      </c>
      <c r="V52" s="179" t="n">
        <v>0</v>
      </c>
      <c r="W52" s="156">
        <f>INDEX(Matrix!$AA$2:$AA$33, MATCH(G52, Matrix!$AC$2:$AC$33, 0))</f>
        <v/>
      </c>
      <c r="X52" s="156">
        <f>_xlfn.IFNA(MATCH(E52,'Injury Report'!$C$2:$C$6216,0),0)</f>
        <v/>
      </c>
    </row>
    <row r="53" ht="15.6" customHeight="1" s="152">
      <c r="A53" s="212" t="n">
        <v>52</v>
      </c>
      <c r="B53" s="167">
        <f>F53&amp;G53</f>
        <v/>
      </c>
      <c r="C53" s="156">
        <f>IF(H53&lt;&gt;"QB",0,IF(L53&lt;10,0,J53/200))</f>
        <v/>
      </c>
      <c r="E53" s="156">
        <f>IFERROR(VLOOKUP(F53,AllPlayers!F:F,1,0),"------------")</f>
        <v/>
      </c>
      <c r="F53" s="156" t="inlineStr">
        <is>
          <t>Jacoby Brissett</t>
        </is>
      </c>
      <c r="G53" s="167" t="inlineStr">
        <is>
          <t>ARI</t>
        </is>
      </c>
      <c r="H53" s="156" t="inlineStr">
        <is>
          <t>QB</t>
        </is>
      </c>
      <c r="I53" s="156" t="n">
        <v>1</v>
      </c>
      <c r="J53" s="156" t="n">
        <v>117.2</v>
      </c>
      <c r="K53" s="156" t="n">
        <v>0</v>
      </c>
      <c r="L53" s="156" t="n">
        <v>0</v>
      </c>
      <c r="M53" s="281">
        <f>(K53/L53)*100</f>
        <v/>
      </c>
      <c r="N53" s="156" t="n">
        <v>0</v>
      </c>
      <c r="O53" s="281">
        <f>N53/L53</f>
        <v/>
      </c>
      <c r="P53" s="156" t="n">
        <v>0</v>
      </c>
      <c r="Q53" s="156" t="n">
        <v>0.5</v>
      </c>
      <c r="R53" s="156" t="n">
        <v>2</v>
      </c>
      <c r="S53" s="156" t="n">
        <v>0</v>
      </c>
      <c r="T53" s="179" t="n">
        <v>1</v>
      </c>
      <c r="U53" s="179" t="n">
        <v>2</v>
      </c>
      <c r="V53" s="179" t="n">
        <v>0</v>
      </c>
      <c r="W53" s="156">
        <f>INDEX(Matrix!$AA$2:$AA$33, MATCH(G53, Matrix!$AC$2:$AC$33, 0))</f>
        <v/>
      </c>
      <c r="X53" s="156">
        <f>_xlfn.IFNA(MATCH(E53,'Injury Report'!$C$2:$C$6216,0),0)</f>
        <v/>
      </c>
    </row>
    <row r="54" ht="15.6" customHeight="1" s="152">
      <c r="A54" s="212" t="n">
        <v>53</v>
      </c>
      <c r="B54" s="167">
        <f>F54&amp;G54</f>
        <v/>
      </c>
      <c r="C54" s="156">
        <f>IF(H54&lt;&gt;"QB",0,IF(L54&lt;10,0,J54/200))</f>
        <v/>
      </c>
      <c r="E54" s="156">
        <f>IFERROR(VLOOKUP(F54,AllPlayers!F:F,1,0),"------------")</f>
        <v/>
      </c>
      <c r="F54" s="156" t="inlineStr">
        <is>
          <t>Gardner Minshew</t>
        </is>
      </c>
      <c r="G54" s="167" t="inlineStr">
        <is>
          <t>KC</t>
        </is>
      </c>
      <c r="H54" s="156" t="inlineStr">
        <is>
          <t>QB</t>
        </is>
      </c>
      <c r="I54" s="156" t="n">
        <v>4</v>
      </c>
      <c r="J54" s="156" t="n">
        <v>86.5</v>
      </c>
      <c r="K54" s="156" t="n">
        <v>14</v>
      </c>
      <c r="L54" s="156" t="n">
        <v>21.4</v>
      </c>
      <c r="M54" s="281">
        <f>(K54/L54)*100</f>
        <v/>
      </c>
      <c r="N54" s="156" t="n">
        <v>169.3</v>
      </c>
      <c r="O54" s="281">
        <f>N54/L54</f>
        <v/>
      </c>
      <c r="P54" s="156" t="n">
        <v>1.1</v>
      </c>
      <c r="Q54" s="156" t="n">
        <v>0.5</v>
      </c>
      <c r="R54" s="156" t="n">
        <v>4</v>
      </c>
      <c r="S54" s="156" t="n">
        <v>0.7</v>
      </c>
      <c r="T54" s="179" t="n">
        <v>2.4</v>
      </c>
      <c r="U54" s="179" t="n">
        <v>9.699999999999999</v>
      </c>
      <c r="V54" s="179" t="n">
        <v>0</v>
      </c>
      <c r="W54" s="156">
        <f>INDEX(Matrix!$AA$2:$AA$33, MATCH(G54, Matrix!$AC$2:$AC$33, 0))</f>
        <v/>
      </c>
      <c r="X54" s="156">
        <f>_xlfn.IFNA(MATCH(E54,'Injury Report'!$C$2:$C$6216,0),0)</f>
        <v/>
      </c>
    </row>
    <row r="55" ht="15.6" customHeight="1" s="152">
      <c r="A55" s="212" t="n">
        <v>54</v>
      </c>
      <c r="B55" s="167">
        <f>F55&amp;G55</f>
        <v/>
      </c>
      <c r="C55" s="156">
        <f>IF(H55&lt;&gt;"QB",0,IF(L55&lt;10,0,J55/200))</f>
        <v/>
      </c>
      <c r="E55" s="156">
        <f>IFERROR(VLOOKUP(F55,AllPlayers!F:F,1,0),"------------")</f>
        <v/>
      </c>
      <c r="F55" s="156" t="inlineStr">
        <is>
          <t>Joe Milton</t>
        </is>
      </c>
      <c r="G55" s="167" t="inlineStr">
        <is>
          <t>DAL</t>
        </is>
      </c>
      <c r="H55" s="156" t="inlineStr">
        <is>
          <t>QB</t>
        </is>
      </c>
      <c r="I55" s="156" t="n">
        <v>3</v>
      </c>
      <c r="J55" s="156" t="n">
        <v>69.8</v>
      </c>
      <c r="K55" s="156" t="n">
        <v>10.4</v>
      </c>
      <c r="L55" s="156" t="n">
        <v>15.9</v>
      </c>
      <c r="M55" s="281">
        <f>(K55/L55)*100</f>
        <v/>
      </c>
      <c r="N55" s="156" t="n">
        <v>138.1</v>
      </c>
      <c r="O55" s="281">
        <f>N55/L55</f>
        <v/>
      </c>
      <c r="P55" s="156" t="n">
        <v>0.8</v>
      </c>
      <c r="Q55" s="156" t="n">
        <v>0.4</v>
      </c>
      <c r="R55" s="156" t="n">
        <v>4</v>
      </c>
      <c r="S55" s="156" t="n">
        <v>0</v>
      </c>
      <c r="T55" s="179" t="n">
        <v>2.2</v>
      </c>
      <c r="U55" s="179" t="n">
        <v>15.7</v>
      </c>
      <c r="V55" s="179" t="n">
        <v>0</v>
      </c>
      <c r="W55" s="156">
        <f>INDEX(Matrix!$AA$2:$AA$33, MATCH(G55, Matrix!$AC$2:$AC$33, 0))</f>
        <v/>
      </c>
      <c r="X55" s="156">
        <f>_xlfn.IFNA(MATCH(E55,'Injury Report'!$C$2:$C$6216,0),0)</f>
        <v/>
      </c>
    </row>
    <row r="56" ht="15.6" customHeight="1" s="152">
      <c r="A56" s="212" t="n">
        <v>55</v>
      </c>
      <c r="B56" s="167">
        <f>F56&amp;G56</f>
        <v/>
      </c>
      <c r="C56" s="156">
        <f>IF(H56&lt;&gt;"QB",0,IF(L56&lt;10,0,J56/200))</f>
        <v/>
      </c>
      <c r="E56" s="156">
        <f>IFERROR(VLOOKUP(F56,AllPlayers!F:F,1,0),"------------")</f>
        <v/>
      </c>
      <c r="F56" s="156" t="inlineStr">
        <is>
          <t>Tyson Bagent</t>
        </is>
      </c>
      <c r="G56" s="167" t="inlineStr">
        <is>
          <t>CHI</t>
        </is>
      </c>
      <c r="H56" s="156" t="inlineStr">
        <is>
          <t>QB</t>
        </is>
      </c>
      <c r="I56" s="156" t="n">
        <v>1</v>
      </c>
      <c r="J56" s="156" t="n">
        <v>85.09999999999999</v>
      </c>
      <c r="K56" s="156" t="n">
        <v>2</v>
      </c>
      <c r="L56" s="156" t="n">
        <v>3</v>
      </c>
      <c r="M56" s="281">
        <f>(K56/L56)*100</f>
        <v/>
      </c>
      <c r="N56" s="156" t="n">
        <v>27</v>
      </c>
      <c r="O56" s="281">
        <f>N56/L56</f>
        <v/>
      </c>
      <c r="P56" s="156" t="n">
        <v>0</v>
      </c>
      <c r="Q56" s="156" t="n">
        <v>0.4</v>
      </c>
      <c r="R56" s="156" t="n">
        <v>6</v>
      </c>
      <c r="S56" s="156" t="n">
        <v>1</v>
      </c>
      <c r="T56" s="179" t="n">
        <v>2</v>
      </c>
      <c r="U56" s="179" t="n">
        <v>7</v>
      </c>
      <c r="V56" s="179" t="n">
        <v>0</v>
      </c>
      <c r="W56" s="156">
        <f>INDEX(Matrix!$AA$2:$AA$33, MATCH(G56, Matrix!$AC$2:$AC$33, 0))</f>
        <v/>
      </c>
      <c r="X56" s="156">
        <f>_xlfn.IFNA(MATCH(E56,'Injury Report'!$C$2:$C$6216,0),0)</f>
        <v/>
      </c>
    </row>
    <row r="57" ht="15.6" customHeight="1" s="152">
      <c r="A57" s="212" t="n">
        <v>56</v>
      </c>
      <c r="B57" s="167">
        <f>F57&amp;G57</f>
        <v/>
      </c>
      <c r="C57" s="156">
        <f>IF(H57&lt;&gt;"QB",0,IF(L57&lt;10,0,J57/200))</f>
        <v/>
      </c>
      <c r="E57" s="156">
        <f>IFERROR(VLOOKUP(F57,AllPlayers!F:F,1,0),"------------")</f>
        <v/>
      </c>
      <c r="F57" s="156" t="inlineStr">
        <is>
          <t>Hendon Hooker</t>
        </is>
      </c>
      <c r="G57" s="167" t="inlineStr">
        <is>
          <t>DET</t>
        </is>
      </c>
      <c r="H57" s="156" t="inlineStr">
        <is>
          <t>QB</t>
        </is>
      </c>
      <c r="I57" s="156" t="n">
        <v>1</v>
      </c>
      <c r="J57" s="156" t="n">
        <v>111.4</v>
      </c>
      <c r="K57" s="156" t="n">
        <v>9.199999999999999</v>
      </c>
      <c r="L57" s="156" t="n">
        <v>13.7</v>
      </c>
      <c r="M57" s="281">
        <f>(K57/L57)*100</f>
        <v/>
      </c>
      <c r="N57" s="156" t="n">
        <v>141.6</v>
      </c>
      <c r="O57" s="281">
        <f>N57/L57</f>
        <v/>
      </c>
      <c r="P57" s="156" t="n">
        <v>0.7</v>
      </c>
      <c r="Q57" s="156" t="n">
        <v>0.4</v>
      </c>
      <c r="R57" s="156" t="n">
        <v>0</v>
      </c>
      <c r="S57" s="156" t="n">
        <v>0</v>
      </c>
      <c r="T57" s="179" t="n">
        <v>2.6</v>
      </c>
      <c r="U57" s="179" t="n">
        <v>9.4</v>
      </c>
      <c r="V57" s="179" t="n">
        <v>0</v>
      </c>
      <c r="W57" s="156">
        <f>INDEX(Matrix!$AA$2:$AA$33, MATCH(G57, Matrix!$AC$2:$AC$33, 0))</f>
        <v/>
      </c>
      <c r="X57" s="156">
        <f>_xlfn.IFNA(MATCH(E57,'Injury Report'!$C$2:$C$6216,0),0)</f>
        <v/>
      </c>
    </row>
    <row r="58" ht="15.6" customHeight="1" s="152">
      <c r="A58" s="212" t="n">
        <v>57</v>
      </c>
      <c r="B58" s="167">
        <f>F58&amp;G58</f>
        <v/>
      </c>
      <c r="C58" s="156">
        <f>IF(H58&lt;&gt;"QB",0,IF(L58&lt;10,0,J58/200))</f>
        <v/>
      </c>
      <c r="E58" s="156">
        <f>IFERROR(VLOOKUP(F58,AllPlayers!F:F,1,0),"------------")</f>
        <v/>
      </c>
      <c r="F58" s="156" t="inlineStr">
        <is>
          <t>Mitchell Trubisky</t>
        </is>
      </c>
      <c r="G58" s="167" t="inlineStr">
        <is>
          <t>BUF</t>
        </is>
      </c>
      <c r="H58" s="156" t="inlineStr">
        <is>
          <t>QB</t>
        </is>
      </c>
      <c r="I58" s="156" t="n">
        <v>1</v>
      </c>
      <c r="J58" s="156" t="n">
        <v>62.6</v>
      </c>
      <c r="K58" s="156" t="n">
        <v>1</v>
      </c>
      <c r="L58" s="156" t="n">
        <v>2</v>
      </c>
      <c r="M58" s="281">
        <f>(K58/L58)*100</f>
        <v/>
      </c>
      <c r="N58" s="156" t="n">
        <v>32</v>
      </c>
      <c r="O58" s="281">
        <f>N58/L58</f>
        <v/>
      </c>
      <c r="P58" s="156" t="n">
        <v>0</v>
      </c>
      <c r="Q58" s="156" t="n">
        <v>0.4</v>
      </c>
      <c r="R58" s="156" t="n">
        <v>5</v>
      </c>
      <c r="S58" s="156" t="n">
        <v>0</v>
      </c>
      <c r="T58" s="179" t="n">
        <v>3</v>
      </c>
      <c r="U58" s="179" t="n">
        <v>-3</v>
      </c>
      <c r="V58" s="179" t="n">
        <v>0</v>
      </c>
      <c r="W58" s="156">
        <f>INDEX(Matrix!$AA$2:$AA$33, MATCH(G58, Matrix!$AC$2:$AC$33, 0))</f>
        <v/>
      </c>
      <c r="X58" s="156">
        <f>_xlfn.IFNA(MATCH(E58,'Injury Report'!$C$2:$C$6216,0),0)</f>
        <v/>
      </c>
    </row>
    <row r="59" ht="15.6" customHeight="1" s="152">
      <c r="A59" s="212" t="n">
        <v>58</v>
      </c>
      <c r="B59" s="167">
        <f>F59&amp;G59</f>
        <v/>
      </c>
      <c r="C59" s="156">
        <f>IF(H59&lt;&gt;"QB",0,IF(L59&lt;10,0,J59/200))</f>
        <v/>
      </c>
      <c r="E59" s="156">
        <f>IFERROR(VLOOKUP(F59,AllPlayers!F:F,1,0),"------------")</f>
        <v/>
      </c>
      <c r="F59" s="156" t="inlineStr">
        <is>
          <t>Jarrett Stidham</t>
        </is>
      </c>
      <c r="G59" s="167" t="inlineStr">
        <is>
          <t>DEN</t>
        </is>
      </c>
      <c r="H59" s="156" t="inlineStr">
        <is>
          <t>QB</t>
        </is>
      </c>
      <c r="I59" s="156" t="n">
        <v>4</v>
      </c>
      <c r="J59" s="156" t="n">
        <v>72.90000000000001</v>
      </c>
      <c r="K59" s="156" t="n">
        <v>9.199999999999999</v>
      </c>
      <c r="L59" s="156" t="n">
        <v>13.8</v>
      </c>
      <c r="M59" s="281">
        <f>(K59/L59)*100</f>
        <v/>
      </c>
      <c r="N59" s="156" t="n">
        <v>129.2</v>
      </c>
      <c r="O59" s="281">
        <f>N59/L59</f>
        <v/>
      </c>
      <c r="P59" s="156" t="n">
        <v>0.8</v>
      </c>
      <c r="Q59" s="156" t="n">
        <v>0.4</v>
      </c>
      <c r="R59" s="156" t="n">
        <v>2</v>
      </c>
      <c r="S59" s="156" t="n">
        <v>0</v>
      </c>
      <c r="T59" s="179" t="n">
        <v>2.2</v>
      </c>
      <c r="U59" s="179" t="n">
        <v>10.2</v>
      </c>
      <c r="V59" s="179" t="n">
        <v>0</v>
      </c>
      <c r="W59" s="156">
        <f>INDEX(Matrix!$AA$2:$AA$33, MATCH(G59, Matrix!$AC$2:$AC$33, 0))</f>
        <v/>
      </c>
      <c r="X59" s="156">
        <f>_xlfn.IFNA(MATCH(E59,'Injury Report'!$C$2:$C$6216,0),0)</f>
        <v/>
      </c>
    </row>
    <row r="60" ht="15.6" customHeight="1" s="152">
      <c r="A60" s="212" t="n">
        <v>59</v>
      </c>
      <c r="B60" s="167">
        <f>F60&amp;G60</f>
        <v/>
      </c>
      <c r="C60" s="156">
        <f>IF(H60&lt;&gt;"QB",0,IF(L60&lt;10,0,J60/200))</f>
        <v/>
      </c>
      <c r="E60" s="156">
        <f>IFERROR(VLOOKUP(F60,AllPlayers!F:F,1,0),"------------")</f>
        <v/>
      </c>
      <c r="F60" s="156" t="inlineStr">
        <is>
          <t>Nick Mullens</t>
        </is>
      </c>
      <c r="G60" s="167" t="inlineStr">
        <is>
          <t>JAX</t>
        </is>
      </c>
      <c r="H60" s="156" t="inlineStr">
        <is>
          <t>QB</t>
        </is>
      </c>
      <c r="I60" s="156" t="n">
        <v>2</v>
      </c>
      <c r="J60" s="156" t="n">
        <v>60.3</v>
      </c>
      <c r="K60" s="156" t="n">
        <v>9</v>
      </c>
      <c r="L60" s="156" t="n">
        <v>14</v>
      </c>
      <c r="M60" s="281">
        <f>(K60/L60)*100</f>
        <v/>
      </c>
      <c r="N60" s="156" t="n">
        <v>142.1</v>
      </c>
      <c r="O60" s="281">
        <f>N60/L60</f>
        <v/>
      </c>
      <c r="P60" s="156" t="n">
        <v>0.7</v>
      </c>
      <c r="Q60" s="156" t="n">
        <v>0.7</v>
      </c>
      <c r="R60" s="156" t="n">
        <v>2</v>
      </c>
      <c r="S60" s="156" t="n">
        <v>0</v>
      </c>
      <c r="T60" s="179" t="n">
        <v>2.1</v>
      </c>
      <c r="U60" s="179" t="n">
        <v>8.699999999999999</v>
      </c>
      <c r="V60" s="179" t="n">
        <v>0</v>
      </c>
      <c r="W60" s="156">
        <f>INDEX(Matrix!$AA$2:$AA$33, MATCH(G60, Matrix!$AC$2:$AC$33, 0))</f>
        <v/>
      </c>
      <c r="X60" s="156">
        <f>_xlfn.IFNA(MATCH(E60,'Injury Report'!$C$2:$C$6216,0),0)</f>
        <v/>
      </c>
    </row>
    <row r="61" ht="15.6" customHeight="1" s="152">
      <c r="A61" s="212" t="n">
        <v>60</v>
      </c>
      <c r="B61" s="167">
        <f>F61&amp;G61</f>
        <v/>
      </c>
      <c r="C61" s="156">
        <f>IF(H61&lt;&gt;"QB",0,IF(L61&lt;10,0,J61/200))</f>
        <v/>
      </c>
      <c r="E61" s="156">
        <f>IFERROR(VLOOKUP(F61,AllPlayers!F:F,1,0),"------------")</f>
        <v/>
      </c>
      <c r="F61" s="156" t="inlineStr">
        <is>
          <t>Cooper Rush</t>
        </is>
      </c>
      <c r="G61" s="167" t="inlineStr">
        <is>
          <t>BAL</t>
        </is>
      </c>
      <c r="H61" s="156" t="inlineStr">
        <is>
          <t>QB</t>
        </is>
      </c>
      <c r="I61" s="156" t="n">
        <v>1</v>
      </c>
      <c r="J61" s="156" t="n">
        <v>78.7</v>
      </c>
      <c r="K61" s="156" t="n">
        <v>0</v>
      </c>
      <c r="L61" s="156" t="n">
        <v>0</v>
      </c>
      <c r="M61" s="281">
        <f>(K61/L61)*100</f>
        <v/>
      </c>
      <c r="N61" s="156" t="n">
        <v>0</v>
      </c>
      <c r="O61" s="281">
        <f>N61/L61</f>
        <v/>
      </c>
      <c r="P61" s="156" t="n">
        <v>0</v>
      </c>
      <c r="Q61" s="156" t="n">
        <v>0.4</v>
      </c>
      <c r="R61" s="156" t="n">
        <v>6</v>
      </c>
      <c r="S61" s="156" t="n">
        <v>0</v>
      </c>
      <c r="T61" s="179" t="n">
        <v>3</v>
      </c>
      <c r="U61" s="179" t="n">
        <v>-4</v>
      </c>
      <c r="V61" s="179" t="n">
        <v>0</v>
      </c>
      <c r="W61" s="156">
        <f>INDEX(Matrix!$AA$2:$AA$33, MATCH(G61, Matrix!$AC$2:$AC$33, 0))</f>
        <v/>
      </c>
      <c r="X61" s="156">
        <f>_xlfn.IFNA(MATCH(E61,'Injury Report'!$C$2:$C$6216,0),0)</f>
        <v/>
      </c>
    </row>
    <row r="62" ht="15.6" customHeight="1" s="152">
      <c r="A62" s="212" t="n">
        <v>61</v>
      </c>
      <c r="B62" s="167">
        <f>F62&amp;G62</f>
        <v/>
      </c>
      <c r="C62" s="156">
        <f>IF(H62&lt;&gt;"QB",0,IF(L62&lt;10,0,J62/200))</f>
        <v/>
      </c>
      <c r="E62" s="156">
        <f>IFERROR(VLOOKUP(F62,AllPlayers!F:F,1,0),"------------")</f>
        <v/>
      </c>
      <c r="F62" s="156" t="inlineStr">
        <is>
          <t>Davis Mills</t>
        </is>
      </c>
      <c r="G62" s="167" t="inlineStr">
        <is>
          <t>HOU</t>
        </is>
      </c>
      <c r="H62" s="156" t="inlineStr">
        <is>
          <t>QB</t>
        </is>
      </c>
      <c r="I62" s="156" t="n">
        <v>5</v>
      </c>
      <c r="J62" s="156" t="n">
        <v>117.3</v>
      </c>
      <c r="K62" s="156" t="n">
        <v>8.4</v>
      </c>
      <c r="L62" s="156" t="n">
        <v>14</v>
      </c>
      <c r="M62" s="281">
        <f>(K62/L62)*100</f>
        <v/>
      </c>
      <c r="N62" s="156" t="n">
        <v>128.3</v>
      </c>
      <c r="O62" s="281">
        <f>N62/L62</f>
        <v/>
      </c>
      <c r="P62" s="156" t="n">
        <v>0.7</v>
      </c>
      <c r="Q62" s="156" t="n">
        <v>0.4</v>
      </c>
      <c r="R62" s="156" t="n">
        <v>0</v>
      </c>
      <c r="S62" s="156" t="n">
        <v>0</v>
      </c>
      <c r="T62" s="179" t="n">
        <v>2.1</v>
      </c>
      <c r="U62" s="179" t="n">
        <v>8.6</v>
      </c>
      <c r="V62" s="179" t="n">
        <v>0</v>
      </c>
      <c r="W62" s="156">
        <f>INDEX(Matrix!$AA$2:$AA$33, MATCH(G62, Matrix!$AC$2:$AC$33, 0))</f>
        <v/>
      </c>
      <c r="X62" s="156">
        <f>_xlfn.IFNA(MATCH(E62,'Injury Report'!$C$2:$C$6216,0),0)</f>
        <v/>
      </c>
    </row>
    <row r="63" ht="15.6" customHeight="1" s="152">
      <c r="A63" s="212" t="n">
        <v>62</v>
      </c>
      <c r="B63" s="167">
        <f>F63&amp;G63</f>
        <v/>
      </c>
      <c r="C63" s="156">
        <f>IF(H63&lt;&gt;"QB",0,IF(L63&lt;10,0,J63/200))</f>
        <v/>
      </c>
      <c r="E63" s="156">
        <f>IFERROR(VLOOKUP(F63,AllPlayers!F:F,1,0),"------------")</f>
        <v/>
      </c>
      <c r="F63" s="156" t="inlineStr">
        <is>
          <t>Tanner Mckee</t>
        </is>
      </c>
      <c r="G63" s="167" t="inlineStr">
        <is>
          <t>PHI</t>
        </is>
      </c>
      <c r="H63" s="156" t="inlineStr">
        <is>
          <t>QB</t>
        </is>
      </c>
      <c r="I63" s="156" t="n">
        <v>1</v>
      </c>
      <c r="J63" s="156" t="n">
        <v>51.8</v>
      </c>
      <c r="K63" s="156" t="n">
        <v>7.1</v>
      </c>
      <c r="L63" s="156" t="n">
        <v>11.1</v>
      </c>
      <c r="M63" s="281">
        <f>(K63/L63)*100</f>
        <v/>
      </c>
      <c r="N63" s="156" t="n">
        <v>124.8</v>
      </c>
      <c r="O63" s="281">
        <f>N63/L63</f>
        <v/>
      </c>
      <c r="P63" s="156" t="n">
        <v>0.7</v>
      </c>
      <c r="Q63" s="156" t="n">
        <v>0.4</v>
      </c>
      <c r="R63" s="156" t="n">
        <v>1</v>
      </c>
      <c r="S63" s="156" t="n">
        <v>0</v>
      </c>
      <c r="T63" s="179" t="n">
        <v>3.1</v>
      </c>
      <c r="U63" s="179" t="n">
        <v>8</v>
      </c>
      <c r="V63" s="179" t="n">
        <v>0</v>
      </c>
      <c r="W63" s="156">
        <f>INDEX(Matrix!$AA$2:$AA$33, MATCH(G63, Matrix!$AC$2:$AC$33, 0))</f>
        <v/>
      </c>
      <c r="X63" s="156">
        <f>_xlfn.IFNA(MATCH(E63,'Injury Report'!$C$2:$C$6216,0),0)</f>
        <v/>
      </c>
    </row>
    <row r="64" ht="15.6" customHeight="1" s="152">
      <c r="A64" s="212" t="n">
        <v>63</v>
      </c>
      <c r="B64" s="167">
        <f>F64&amp;G64</f>
        <v/>
      </c>
      <c r="C64" s="156">
        <f>IF(H64&lt;&gt;"QB",0,IF(L64&lt;10,0,J64/200))</f>
        <v/>
      </c>
      <c r="E64" s="156">
        <f>IFERROR(VLOOKUP(F64,AllPlayers!F:F,1,0),"------------")</f>
        <v/>
      </c>
      <c r="F64" s="156" t="inlineStr">
        <is>
          <t>Drew Lock</t>
        </is>
      </c>
      <c r="G64" s="167" t="inlineStr">
        <is>
          <t>SEA</t>
        </is>
      </c>
      <c r="H64" s="156" t="inlineStr">
        <is>
          <t>QB</t>
        </is>
      </c>
      <c r="I64" s="156" t="n">
        <v>2</v>
      </c>
      <c r="J64" s="156" t="n">
        <v>74.7</v>
      </c>
      <c r="K64" s="156" t="n">
        <v>9.300000000000001</v>
      </c>
      <c r="L64" s="156" t="n">
        <v>13.8</v>
      </c>
      <c r="M64" s="281">
        <f>(K64/L64)*100</f>
        <v/>
      </c>
      <c r="N64" s="156" t="n">
        <v>132</v>
      </c>
      <c r="O64" s="281">
        <f>N64/L64</f>
        <v/>
      </c>
      <c r="P64" s="156" t="n">
        <v>0.7</v>
      </c>
      <c r="Q64" s="156" t="n">
        <v>0.7</v>
      </c>
      <c r="R64" s="156" t="n">
        <v>1</v>
      </c>
      <c r="S64" s="156" t="n">
        <v>0</v>
      </c>
      <c r="T64" s="179" t="n">
        <v>2.2</v>
      </c>
      <c r="U64" s="179" t="n">
        <v>8.5</v>
      </c>
      <c r="V64" s="179" t="n">
        <v>0</v>
      </c>
      <c r="W64" s="156">
        <f>INDEX(Matrix!$AA$2:$AA$33, MATCH(G64, Matrix!$AC$2:$AC$33, 0))</f>
        <v/>
      </c>
      <c r="X64" s="156">
        <f>_xlfn.IFNA(MATCH(E64,'Injury Report'!$C$2:$C$6216,0),0)</f>
        <v/>
      </c>
    </row>
    <row r="65" ht="15.6" customHeight="1" s="152">
      <c r="A65" s="212" t="n">
        <v>64</v>
      </c>
      <c r="B65" s="167">
        <f>F65&amp;G65</f>
        <v/>
      </c>
      <c r="C65" s="156">
        <f>IF(H65&lt;&gt;"QB",0,IF(L65&lt;10,0,J65/200))</f>
        <v/>
      </c>
      <c r="E65" s="156">
        <f>IFERROR(VLOOKUP(F65,AllPlayers!F:F,1,0),"------------")</f>
        <v/>
      </c>
      <c r="F65" s="156" t="inlineStr">
        <is>
          <t>Andy Dalton</t>
        </is>
      </c>
      <c r="G65" s="167" t="inlineStr">
        <is>
          <t>CAR</t>
        </is>
      </c>
      <c r="H65" s="156" t="inlineStr">
        <is>
          <t>QB</t>
        </is>
      </c>
      <c r="I65" s="156" t="n">
        <v>1</v>
      </c>
      <c r="J65" s="156" t="n">
        <v>61.6</v>
      </c>
      <c r="K65" s="156" t="n">
        <v>9</v>
      </c>
      <c r="L65" s="156" t="n">
        <v>14.1</v>
      </c>
      <c r="M65" s="281">
        <f>(K65/L65)*100</f>
        <v/>
      </c>
      <c r="N65" s="156" t="n">
        <v>128.2</v>
      </c>
      <c r="O65" s="281">
        <f>N65/L65</f>
        <v/>
      </c>
      <c r="P65" s="156" t="n">
        <v>0.7</v>
      </c>
      <c r="Q65" s="156" t="n">
        <v>0.7</v>
      </c>
      <c r="R65" s="156" t="n">
        <v>1</v>
      </c>
      <c r="S65" s="156" t="n">
        <v>0</v>
      </c>
      <c r="T65" s="179" t="n">
        <v>2.1</v>
      </c>
      <c r="U65" s="179" t="n">
        <v>8.6</v>
      </c>
      <c r="V65" s="179" t="n">
        <v>0</v>
      </c>
      <c r="W65" s="156">
        <f>INDEX(Matrix!$AA$2:$AA$33, MATCH(G65, Matrix!$AC$2:$AC$33, 0))</f>
        <v/>
      </c>
      <c r="X65" s="156">
        <f>_xlfn.IFNA(MATCH(E65,'Injury Report'!$C$2:$C$6216,0),0)</f>
        <v/>
      </c>
    </row>
    <row r="66" ht="15.6" customHeight="1" s="152">
      <c r="A66" s="212" t="n">
        <v>65</v>
      </c>
      <c r="B66" s="167">
        <f>F66&amp;G66</f>
        <v/>
      </c>
      <c r="C66" s="156">
        <f>IF(H66&lt;&gt;"QB",0,IF(L66&lt;10,0,J66/200))</f>
        <v/>
      </c>
      <c r="E66" s="156">
        <f>IFERROR(VLOOKUP(F66,AllPlayers!F:F,1,0),"------------")</f>
        <v/>
      </c>
      <c r="F66" s="156" t="inlineStr">
        <is>
          <t>Brandon Allen</t>
        </is>
      </c>
      <c r="G66" s="167" t="inlineStr">
        <is>
          <t>TEN</t>
        </is>
      </c>
      <c r="H66" s="156" t="inlineStr">
        <is>
          <t>QB</t>
        </is>
      </c>
      <c r="I66" s="156" t="n">
        <v>2</v>
      </c>
      <c r="J66" s="156" t="n">
        <v>134.5</v>
      </c>
      <c r="K66" s="156" t="n">
        <v>8.199999999999999</v>
      </c>
      <c r="L66" s="156" t="n">
        <v>12.8</v>
      </c>
      <c r="M66" s="281">
        <f>(K66/L66)*100</f>
        <v/>
      </c>
      <c r="N66" s="156" t="n">
        <v>123.4</v>
      </c>
      <c r="O66" s="281">
        <f>N66/L66</f>
        <v/>
      </c>
      <c r="P66" s="156" t="n">
        <v>0.7</v>
      </c>
      <c r="Q66" s="156" t="n">
        <v>0.7</v>
      </c>
      <c r="R66" s="156" t="n">
        <v>0</v>
      </c>
      <c r="S66" s="156" t="n">
        <v>0</v>
      </c>
      <c r="T66" s="179" t="n">
        <v>2.1</v>
      </c>
      <c r="U66" s="179" t="n">
        <v>6.6</v>
      </c>
      <c r="V66" s="179" t="n">
        <v>0</v>
      </c>
      <c r="W66" s="156">
        <f>INDEX(Matrix!$AA$2:$AA$33, MATCH(G66, Matrix!$AC$2:$AC$33, 0))</f>
        <v/>
      </c>
      <c r="X66" s="156">
        <f>_xlfn.IFNA(MATCH(E66,'Injury Report'!$C$2:$C$6216,0),0)</f>
        <v/>
      </c>
    </row>
    <row r="67" ht="15.6" customHeight="1" s="152">
      <c r="A67" s="212" t="n">
        <v>66</v>
      </c>
      <c r="B67" s="167">
        <f>F67&amp;G67</f>
        <v/>
      </c>
      <c r="C67" s="156">
        <f>IF(H67&lt;&gt;"QB",0,IF(L67&lt;10,0,J67/200))</f>
        <v/>
      </c>
      <c r="E67" s="156">
        <f>IFERROR(VLOOKUP(F67,AllPlayers!F:F,1,0),"------------")</f>
        <v/>
      </c>
      <c r="F67" s="156" t="inlineStr">
        <is>
          <t>Kyle Trask</t>
        </is>
      </c>
      <c r="G67" s="167" t="inlineStr">
        <is>
          <t>TB</t>
        </is>
      </c>
      <c r="H67" s="156" t="inlineStr">
        <is>
          <t>QB</t>
        </is>
      </c>
      <c r="I67" s="156" t="n">
        <v>2</v>
      </c>
      <c r="J67" s="156" t="n">
        <v>80.59999999999999</v>
      </c>
      <c r="K67" s="156" t="n">
        <v>6.2</v>
      </c>
      <c r="L67" s="156" t="n">
        <v>10.3</v>
      </c>
      <c r="M67" s="281">
        <f>(K67/L67)*100</f>
        <v/>
      </c>
      <c r="N67" s="156" t="n">
        <v>108.1</v>
      </c>
      <c r="O67" s="281">
        <f>N67/L67</f>
        <v/>
      </c>
      <c r="P67" s="156" t="n">
        <v>0.8</v>
      </c>
      <c r="Q67" s="156" t="n">
        <v>0.4</v>
      </c>
      <c r="R67" s="156" t="n">
        <v>4</v>
      </c>
      <c r="S67" s="156" t="n">
        <v>0</v>
      </c>
      <c r="T67" s="179" t="n">
        <v>2.6</v>
      </c>
      <c r="U67" s="179" t="n">
        <v>4.7</v>
      </c>
      <c r="V67" s="179" t="n">
        <v>0</v>
      </c>
      <c r="W67" s="156">
        <f>INDEX(Matrix!$AA$2:$AA$33, MATCH(G67, Matrix!$AC$2:$AC$33, 0))</f>
        <v/>
      </c>
      <c r="X67" s="156">
        <f>_xlfn.IFNA(MATCH(E67,'Injury Report'!$C$2:$C$6216,0),0)</f>
        <v/>
      </c>
    </row>
    <row r="68" ht="15.6" customHeight="1" s="152">
      <c r="A68" s="212" t="n">
        <v>67</v>
      </c>
      <c r="B68" s="167">
        <f>F68&amp;G68</f>
        <v/>
      </c>
      <c r="C68" s="156">
        <f>IF(H68&lt;&gt;"QB",0,IF(L68&lt;10,0,J68/200))</f>
        <v/>
      </c>
      <c r="E68" s="156">
        <f>IFERROR(VLOOKUP(F68,AllPlayers!F:F,1,0),"------------")</f>
        <v/>
      </c>
      <c r="F68" s="156" t="inlineStr">
        <is>
          <t>Quinn Ewers</t>
        </is>
      </c>
      <c r="G68" s="167" t="inlineStr">
        <is>
          <t>MIA</t>
        </is>
      </c>
      <c r="H68" s="156" t="inlineStr">
        <is>
          <t>QB</t>
        </is>
      </c>
      <c r="I68" s="156" t="n">
        <v>3</v>
      </c>
      <c r="J68" s="156" t="n">
        <v>86.3</v>
      </c>
      <c r="K68" s="156" t="n">
        <v>6.5</v>
      </c>
      <c r="L68" s="156" t="n">
        <v>9</v>
      </c>
      <c r="M68" s="281">
        <f>(K68/L68)*100</f>
        <v/>
      </c>
      <c r="N68" s="156" t="n">
        <v>108.7</v>
      </c>
      <c r="O68" s="281">
        <f>N68/L68</f>
        <v/>
      </c>
      <c r="P68" s="156" t="n">
        <v>0.7</v>
      </c>
      <c r="Q68" s="156" t="n">
        <v>0.3</v>
      </c>
      <c r="R68" s="156" t="n">
        <v>1</v>
      </c>
      <c r="S68" s="156" t="n">
        <v>0</v>
      </c>
      <c r="T68" s="179" t="n">
        <v>1</v>
      </c>
      <c r="U68" s="179" t="n">
        <v>7.7</v>
      </c>
      <c r="V68" s="179" t="n">
        <v>0</v>
      </c>
      <c r="W68" s="156">
        <f>INDEX(Matrix!$AA$2:$AA$33, MATCH(G68, Matrix!$AC$2:$AC$33, 0))</f>
        <v/>
      </c>
      <c r="X68" s="156">
        <f>_xlfn.IFNA(MATCH(E68,'Injury Report'!$C$2:$C$6216,0),0)</f>
        <v/>
      </c>
    </row>
    <row r="69" ht="15.6" customHeight="1" s="152">
      <c r="A69" s="212" t="n">
        <v>68</v>
      </c>
      <c r="B69" s="167">
        <f>F69&amp;G69</f>
        <v/>
      </c>
      <c r="C69" s="156">
        <f>IF(H69&lt;&gt;"QB",0,IF(L69&lt;10,0,J69/200))</f>
        <v/>
      </c>
      <c r="E69" s="156">
        <f>IFERROR(VLOOKUP(F69,AllPlayers!F:F,1,0),"------------")</f>
        <v/>
      </c>
      <c r="F69" s="156" t="inlineStr">
        <is>
          <t>Kirk Cousins</t>
        </is>
      </c>
      <c r="G69" s="167" t="inlineStr">
        <is>
          <t>ATL</t>
        </is>
      </c>
      <c r="H69" s="156" t="inlineStr">
        <is>
          <t>QB</t>
        </is>
      </c>
      <c r="I69" s="156" t="n">
        <v>2</v>
      </c>
      <c r="J69" s="156" t="n">
        <v>164.6</v>
      </c>
      <c r="K69" s="156" t="n">
        <v>8.300000000000001</v>
      </c>
      <c r="L69" s="156" t="n">
        <v>12.8</v>
      </c>
      <c r="M69" s="281">
        <f>(K69/L69)*100</f>
        <v/>
      </c>
      <c r="N69" s="156" t="n">
        <v>129.7</v>
      </c>
      <c r="O69" s="281">
        <f>N69/L69</f>
        <v/>
      </c>
      <c r="P69" s="156" t="n">
        <v>0.7</v>
      </c>
      <c r="Q69" s="156" t="n">
        <v>0.6</v>
      </c>
      <c r="R69" s="156" t="n">
        <v>0</v>
      </c>
      <c r="S69" s="156" t="n">
        <v>0.4</v>
      </c>
      <c r="T69" s="179" t="n">
        <v>1.7</v>
      </c>
      <c r="U69" s="179" t="n">
        <v>6.1</v>
      </c>
      <c r="V69" s="179" t="n">
        <v>0</v>
      </c>
      <c r="W69" s="156">
        <f>INDEX(Matrix!$AA$2:$AA$33, MATCH(G69, Matrix!$AC$2:$AC$33, 0))</f>
        <v/>
      </c>
      <c r="X69" s="156">
        <f>_xlfn.IFNA(MATCH(E69,'Injury Report'!$C$2:$C$6216,0),0)</f>
        <v/>
      </c>
    </row>
    <row r="70" ht="15.6" customHeight="1" s="152">
      <c r="A70" s="212" t="n">
        <v>69</v>
      </c>
      <c r="B70" s="167">
        <f>F70&amp;G70</f>
        <v/>
      </c>
      <c r="C70" s="156">
        <f>IF(H70&lt;&gt;"QB",0,IF(L70&lt;10,0,J70/200))</f>
        <v/>
      </c>
      <c r="E70" s="156">
        <f>IFERROR(VLOOKUP(F70,AllPlayers!F:F,1,0),"------------")</f>
        <v/>
      </c>
      <c r="F70" s="156" t="inlineStr">
        <is>
          <t>Trey Lance</t>
        </is>
      </c>
      <c r="G70" s="167" t="inlineStr">
        <is>
          <t>LAC</t>
        </is>
      </c>
      <c r="H70" s="156" t="inlineStr">
        <is>
          <t>WR</t>
        </is>
      </c>
      <c r="I70" s="156" t="n">
        <v>1</v>
      </c>
      <c r="J70" s="156" t="n">
        <v>231.3</v>
      </c>
      <c r="K70" s="156" t="n">
        <v>6</v>
      </c>
      <c r="L70" s="156" t="n">
        <v>10</v>
      </c>
      <c r="M70" s="281">
        <f>(K70/L70)*100</f>
        <v/>
      </c>
      <c r="N70" s="156" t="n">
        <v>109</v>
      </c>
      <c r="O70" s="281">
        <f>N70/L70</f>
        <v/>
      </c>
      <c r="P70" s="156" t="n">
        <v>0.3</v>
      </c>
      <c r="Q70" s="156" t="n">
        <v>0.3</v>
      </c>
      <c r="R70" s="156" t="n">
        <v>0</v>
      </c>
      <c r="S70" s="156" t="n">
        <v>0</v>
      </c>
      <c r="T70" s="179" t="n">
        <v>2</v>
      </c>
      <c r="U70" s="179" t="n">
        <v>16</v>
      </c>
      <c r="V70" s="179" t="n">
        <v>0</v>
      </c>
      <c r="W70" s="156">
        <f>INDEX(Matrix!$AA$2:$AA$33, MATCH(G70, Matrix!$AC$2:$AC$33, 0))</f>
        <v/>
      </c>
      <c r="X70" s="156">
        <f>_xlfn.IFNA(MATCH(E70,'Injury Report'!$C$2:$C$6216,0),0)</f>
        <v/>
      </c>
    </row>
    <row r="71" ht="15.6" customHeight="1" s="152">
      <c r="A71" s="212" t="n">
        <v>70</v>
      </c>
      <c r="B71" s="167">
        <f>F71&amp;G71</f>
        <v/>
      </c>
      <c r="C71" s="156">
        <f>IF(H71&lt;&gt;"QB",0,IF(L71&lt;10,0,J71/200))</f>
        <v/>
      </c>
      <c r="E71" s="156">
        <f>IFERROR(VLOOKUP(F71,AllPlayers!F:F,1,0),"------------")</f>
        <v/>
      </c>
      <c r="F71" s="156" t="inlineStr">
        <is>
          <t>Deshaun Watson</t>
        </is>
      </c>
      <c r="G71" s="167" t="inlineStr">
        <is>
          <t>CLE</t>
        </is>
      </c>
      <c r="H71" s="156" t="inlineStr">
        <is>
          <t>P</t>
        </is>
      </c>
      <c r="I71" s="156" t="n">
        <v>1</v>
      </c>
      <c r="J71" s="156" t="n">
        <v>227.1</v>
      </c>
      <c r="K71" s="156" t="n">
        <v>0</v>
      </c>
      <c r="L71" s="156" t="n">
        <v>0</v>
      </c>
      <c r="M71" s="281">
        <f>(K71/L71)*100</f>
        <v/>
      </c>
      <c r="N71" s="156" t="n">
        <v>99</v>
      </c>
      <c r="O71" s="281">
        <f>N71/L71</f>
        <v/>
      </c>
      <c r="P71" s="156" t="n">
        <v>0.5</v>
      </c>
      <c r="Q71" s="156" t="n">
        <v>0.5</v>
      </c>
      <c r="R71" s="156" t="n">
        <v>0</v>
      </c>
      <c r="S71" s="156" t="n">
        <v>0</v>
      </c>
      <c r="T71" s="179" t="n">
        <v>0</v>
      </c>
      <c r="U71" s="179" t="n">
        <v>12</v>
      </c>
      <c r="V71" s="179" t="n">
        <v>0</v>
      </c>
      <c r="W71" s="156">
        <f>INDEX(Matrix!$AA$2:$AA$33, MATCH(G71, Matrix!$AC$2:$AC$33, 0))</f>
        <v/>
      </c>
      <c r="X71" s="156">
        <f>_xlfn.IFNA(MATCH(E71,'Injury Report'!$C$2:$C$6216,0),0)</f>
        <v/>
      </c>
    </row>
    <row r="72" ht="15.6" customHeight="1" s="152">
      <c r="A72" s="212" t="n">
        <v>71</v>
      </c>
      <c r="B72" s="167">
        <f>F72&amp;G72</f>
        <v/>
      </c>
      <c r="C72" s="156">
        <f>IF(H72&lt;&gt;"QB",0,IF(L72&lt;10,0,J72/200))</f>
        <v/>
      </c>
      <c r="E72" s="156">
        <f>IFERROR(VLOOKUP(F72,AllPlayers!F:F,1,0),"------------")</f>
        <v/>
      </c>
      <c r="F72" s="156" t="inlineStr">
        <is>
          <t>Jake Haener</t>
        </is>
      </c>
      <c r="G72" s="167" t="inlineStr">
        <is>
          <t>NO</t>
        </is>
      </c>
      <c r="H72" s="156" t="inlineStr">
        <is>
          <t>WR</t>
        </is>
      </c>
      <c r="I72" s="156" t="n">
        <v>2</v>
      </c>
      <c r="J72" s="156" t="n">
        <v>314.6</v>
      </c>
      <c r="K72" s="156" t="n">
        <v>6.5</v>
      </c>
      <c r="L72" s="156" t="n">
        <v>11</v>
      </c>
      <c r="M72" s="281">
        <f>(K72/L72)*100</f>
        <v/>
      </c>
      <c r="N72" s="156" t="n">
        <v>68</v>
      </c>
      <c r="O72" s="281">
        <f>N72/L72</f>
        <v/>
      </c>
      <c r="P72" s="156" t="n">
        <v>0.5</v>
      </c>
      <c r="Q72" s="156" t="n">
        <v>0.5</v>
      </c>
      <c r="R72" s="156" t="n">
        <v>0</v>
      </c>
      <c r="S72" s="156" t="n">
        <v>0</v>
      </c>
      <c r="T72" s="179" t="n">
        <v>2.5</v>
      </c>
      <c r="U72" s="179" t="n">
        <v>11.5</v>
      </c>
      <c r="V72" s="179" t="n">
        <v>0</v>
      </c>
      <c r="W72" s="156">
        <f>INDEX(Matrix!$AA$2:$AA$33, MATCH(G72, Matrix!$AC$2:$AC$33, 0))</f>
        <v/>
      </c>
      <c r="X72" s="156">
        <f>_xlfn.IFNA(MATCH(E72,'Injury Report'!$C$2:$C$6216,0),0)</f>
        <v/>
      </c>
    </row>
    <row r="73" ht="15.6" customHeight="1" s="152">
      <c r="A73" s="212" t="n">
        <v>72</v>
      </c>
      <c r="B73" s="167">
        <f>F73&amp;G73</f>
        <v/>
      </c>
      <c r="C73" s="156">
        <f>IF(H73&lt;&gt;"QB",0,IF(L73&lt;10,0,J73/200))</f>
        <v/>
      </c>
      <c r="E73" s="156">
        <f>IFERROR(VLOOKUP(F73,AllPlayers!F:F,1,0),"------------")</f>
        <v/>
      </c>
      <c r="F73" s="156" t="inlineStr">
        <is>
          <t>Case Keenum</t>
        </is>
      </c>
      <c r="G73" s="167" t="inlineStr">
        <is>
          <t>CHI</t>
        </is>
      </c>
      <c r="H73" s="156" t="inlineStr">
        <is>
          <t>QB</t>
        </is>
      </c>
      <c r="I73" s="156" t="n">
        <v>1</v>
      </c>
      <c r="J73" s="156" t="n">
        <v>35.4</v>
      </c>
      <c r="K73" s="156" t="n">
        <v>7</v>
      </c>
      <c r="L73" s="156" t="n">
        <v>11.5</v>
      </c>
      <c r="M73" s="281">
        <f>(K73/L73)*100</f>
        <v/>
      </c>
      <c r="N73" s="156" t="n">
        <v>73.5</v>
      </c>
      <c r="O73" s="281">
        <f>N73/L73</f>
        <v/>
      </c>
      <c r="P73" s="156" t="n">
        <v>0.5</v>
      </c>
      <c r="Q73" s="156" t="n">
        <v>0</v>
      </c>
      <c r="R73" s="156" t="n">
        <v>0</v>
      </c>
      <c r="S73" s="156" t="n">
        <v>0</v>
      </c>
      <c r="T73" s="179" t="n">
        <v>1</v>
      </c>
      <c r="U73" s="179" t="n">
        <v>2</v>
      </c>
      <c r="V73" s="179" t="n">
        <v>0</v>
      </c>
      <c r="W73" s="156">
        <f>INDEX(Matrix!$AA$2:$AA$33, MATCH(G73, Matrix!$AC$2:$AC$33, 0))</f>
        <v/>
      </c>
      <c r="X73" s="156">
        <f>_xlfn.IFNA(MATCH(E73,'Injury Report'!$C$2:$C$6216,0),0)</f>
        <v/>
      </c>
    </row>
    <row r="74" ht="15.6" customHeight="1" s="152">
      <c r="A74" s="212" t="n">
        <v>73</v>
      </c>
      <c r="B74" s="167">
        <f>F74&amp;G74</f>
        <v/>
      </c>
      <c r="C74" s="156">
        <f>IF(H74&lt;&gt;"QB",0,IF(L74&lt;10,0,J74/200))</f>
        <v/>
      </c>
      <c r="E74" s="156">
        <f>IFERROR(VLOOKUP(F74,AllPlayers!F:F,1,0),"------------")</f>
        <v/>
      </c>
      <c r="F74" s="156" t="inlineStr">
        <is>
          <t>Josh Johnson</t>
        </is>
      </c>
      <c r="G74" s="167" t="inlineStr">
        <is>
          <t>WAS</t>
        </is>
      </c>
      <c r="H74" s="156" t="inlineStr">
        <is>
          <t>QB</t>
        </is>
      </c>
      <c r="I74" s="156" t="n">
        <v>3</v>
      </c>
      <c r="J74" s="156" t="n">
        <v>75.40000000000001</v>
      </c>
      <c r="K74" s="156" t="n">
        <v>7.5</v>
      </c>
      <c r="L74" s="156" t="n">
        <v>10.5</v>
      </c>
      <c r="M74" s="281">
        <f>(K74/L74)*100</f>
        <v/>
      </c>
      <c r="N74" s="156" t="n">
        <v>64.5</v>
      </c>
      <c r="O74" s="281">
        <f>N74/L74</f>
        <v/>
      </c>
      <c r="P74" s="156" t="n">
        <v>0.5</v>
      </c>
      <c r="Q74" s="156" t="n">
        <v>0</v>
      </c>
      <c r="R74" s="156" t="n">
        <v>3</v>
      </c>
      <c r="S74" s="156" t="n">
        <v>0</v>
      </c>
      <c r="T74" s="179" t="n">
        <v>2.5</v>
      </c>
      <c r="U74" s="179" t="n">
        <v>4</v>
      </c>
      <c r="V74" s="179" t="n">
        <v>0</v>
      </c>
      <c r="W74" s="156">
        <f>INDEX(Matrix!$AA$2:$AA$33, MATCH(G74, Matrix!$AC$2:$AC$33, 0))</f>
        <v/>
      </c>
      <c r="X74" s="156">
        <f>_xlfn.IFNA(MATCH(E74,'Injury Report'!$C$2:$C$6216,0),0)</f>
        <v/>
      </c>
    </row>
    <row r="75" ht="15.6" customHeight="1" s="152">
      <c r="A75" s="212" t="n">
        <v>74</v>
      </c>
      <c r="B75" s="167">
        <f>F75&amp;G75</f>
        <v/>
      </c>
      <c r="C75" s="156">
        <f>IF(H75&lt;&gt;"QB",0,IF(L75&lt;10,0,J75/200))</f>
        <v/>
      </c>
      <c r="E75" s="156">
        <f>IFERROR(VLOOKUP(F75,AllPlayers!F:F,1,0),"------------")</f>
        <v/>
      </c>
      <c r="F75" s="156" t="inlineStr">
        <is>
          <t>Cam Miller</t>
        </is>
      </c>
      <c r="G75" s="167" t="inlineStr">
        <is>
          <t>LV</t>
        </is>
      </c>
      <c r="H75" s="156" t="inlineStr">
        <is>
          <t>WR</t>
        </is>
      </c>
      <c r="I75" s="156" t="n">
        <v>1</v>
      </c>
      <c r="J75" s="156" t="n">
        <v>185.4</v>
      </c>
      <c r="K75" s="156" t="n">
        <v>6</v>
      </c>
      <c r="L75" s="156" t="n">
        <v>9</v>
      </c>
      <c r="M75" s="281">
        <f>(K75/L75)*100</f>
        <v/>
      </c>
      <c r="N75" s="156" t="n">
        <v>61.5</v>
      </c>
      <c r="O75" s="281">
        <f>N75/L75</f>
        <v/>
      </c>
      <c r="P75" s="156" t="n">
        <v>0.5</v>
      </c>
      <c r="Q75" s="156" t="n">
        <v>0</v>
      </c>
      <c r="R75" s="156" t="n">
        <v>0</v>
      </c>
      <c r="S75" s="156" t="n">
        <v>0</v>
      </c>
      <c r="T75" s="179" t="n">
        <v>1</v>
      </c>
      <c r="U75" s="179" t="n">
        <v>3.5</v>
      </c>
      <c r="V75" s="179" t="n">
        <v>0</v>
      </c>
      <c r="W75" s="156">
        <f>INDEX(Matrix!$AA$2:$AA$33, MATCH(G75, Matrix!$AC$2:$AC$33, 0))</f>
        <v/>
      </c>
      <c r="X75" s="156">
        <f>_xlfn.IFNA(MATCH(E75,'Injury Report'!$C$2:$C$6216,0),0)</f>
        <v/>
      </c>
    </row>
    <row r="76" ht="15.6" customHeight="1" s="152">
      <c r="A76" s="212" t="n">
        <v>75</v>
      </c>
      <c r="B76" s="167">
        <f>F76&amp;G76</f>
        <v/>
      </c>
      <c r="C76" s="156">
        <f>IF(H76&lt;&gt;"QB",0,IF(L76&lt;10,0,J76/200))</f>
        <v/>
      </c>
      <c r="E76" s="156">
        <f>IFERROR(VLOOKUP(F76,AllPlayers!F:F,1,0),"------------")</f>
        <v/>
      </c>
      <c r="F76" s="156" t="inlineStr">
        <is>
          <t>Graham Mertz</t>
        </is>
      </c>
      <c r="G76" s="167" t="inlineStr">
        <is>
          <t>HOU</t>
        </is>
      </c>
      <c r="H76" s="156" t="inlineStr">
        <is>
          <t>QB</t>
        </is>
      </c>
      <c r="I76" s="156" t="n">
        <v>1</v>
      </c>
      <c r="J76" s="156" t="n">
        <v>9.199999999999999</v>
      </c>
      <c r="K76" s="156" t="n">
        <v>5.5</v>
      </c>
      <c r="L76" s="156" t="n">
        <v>8</v>
      </c>
      <c r="M76" s="281">
        <f>(K76/L76)*100</f>
        <v/>
      </c>
      <c r="N76" s="156" t="n">
        <v>59.5</v>
      </c>
      <c r="O76" s="281">
        <f>N76/L76</f>
        <v/>
      </c>
      <c r="P76" s="156" t="n">
        <v>0.5</v>
      </c>
      <c r="Q76" s="156" t="n">
        <v>0</v>
      </c>
      <c r="R76" s="156" t="n">
        <v>4</v>
      </c>
      <c r="S76" s="156" t="n">
        <v>0</v>
      </c>
      <c r="T76" s="179" t="n">
        <v>1</v>
      </c>
      <c r="U76" s="179" t="n">
        <v>4</v>
      </c>
      <c r="V76" s="179" t="n">
        <v>0</v>
      </c>
      <c r="W76" s="156">
        <f>INDEX(Matrix!$AA$2:$AA$33, MATCH(G76, Matrix!$AC$2:$AC$33, 0))</f>
        <v/>
      </c>
      <c r="X76" s="156">
        <f>_xlfn.IFNA(MATCH(E76,'Injury Report'!$C$2:$C$6216,0),0)</f>
        <v/>
      </c>
    </row>
    <row r="77" ht="15.6" customHeight="1" s="152">
      <c r="A77" s="212" t="n">
        <v>76</v>
      </c>
      <c r="B77" s="167">
        <f>F77&amp;G77</f>
        <v/>
      </c>
      <c r="C77" s="156">
        <f>IF(H77&lt;&gt;"QB",0,IF(L77&lt;10,0,J77/200))</f>
        <v/>
      </c>
      <c r="E77" s="156">
        <f>IFERROR(VLOOKUP(F77,AllPlayers!F:F,1,0),"------------")</f>
        <v/>
      </c>
      <c r="F77" s="156" t="inlineStr">
        <is>
          <t>Kyle Mccord</t>
        </is>
      </c>
      <c r="G77" s="167" t="inlineStr">
        <is>
          <t>PHI</t>
        </is>
      </c>
      <c r="H77" s="156" t="inlineStr">
        <is>
          <t>WR</t>
        </is>
      </c>
      <c r="I77" s="156" t="n">
        <v>1</v>
      </c>
      <c r="J77" s="156" t="n">
        <v>177.1</v>
      </c>
      <c r="K77" s="156" t="n">
        <v>4.5</v>
      </c>
      <c r="L77" s="156" t="n">
        <v>6.5</v>
      </c>
      <c r="M77" s="281">
        <f>(K77/L77)*100</f>
        <v/>
      </c>
      <c r="N77" s="156" t="n">
        <v>51.5</v>
      </c>
      <c r="O77" s="281">
        <f>N77/L77</f>
        <v/>
      </c>
      <c r="P77" s="156" t="n">
        <v>0.5</v>
      </c>
      <c r="Q77" s="156" t="n">
        <v>0</v>
      </c>
      <c r="R77" s="156" t="n">
        <v>0</v>
      </c>
      <c r="S77" s="156" t="n">
        <v>0</v>
      </c>
      <c r="T77" s="179" t="n">
        <v>1.5</v>
      </c>
      <c r="U77" s="179" t="n">
        <v>7</v>
      </c>
      <c r="V77" s="179" t="n">
        <v>0</v>
      </c>
      <c r="W77" s="156">
        <f>INDEX(Matrix!$AA$2:$AA$33, MATCH(G77, Matrix!$AC$2:$AC$33, 0))</f>
        <v/>
      </c>
      <c r="X77" s="156">
        <f>_xlfn.IFNA(MATCH(E77,'Injury Report'!$C$2:$C$6216,0),0)</f>
        <v/>
      </c>
    </row>
    <row r="78" ht="15.6" customHeight="1" s="152">
      <c r="A78" s="212" t="n">
        <v>77</v>
      </c>
      <c r="B78" s="167">
        <f>F78&amp;G78</f>
        <v/>
      </c>
      <c r="C78" s="156">
        <f>IF(H78&lt;&gt;"QB",0,IF(L78&lt;10,0,J78/200))</f>
        <v/>
      </c>
      <c r="E78" s="156">
        <f>IFERROR(VLOOKUP(F78,AllPlayers!F:F,1,0),"------------")</f>
        <v/>
      </c>
      <c r="F78" s="156" t="inlineStr">
        <is>
          <t>Will Howard</t>
        </is>
      </c>
      <c r="G78" s="167" t="inlineStr">
        <is>
          <t>PIT</t>
        </is>
      </c>
      <c r="H78" s="156" t="inlineStr">
        <is>
          <t>TE</t>
        </is>
      </c>
      <c r="I78" s="156" t="n">
        <v>3</v>
      </c>
      <c r="J78" s="156" t="n">
        <v>-38.5</v>
      </c>
      <c r="K78" s="156" t="n">
        <v>5</v>
      </c>
      <c r="L78" s="156" t="n">
        <v>8</v>
      </c>
      <c r="M78" s="281">
        <f>(K78/L78)*100</f>
        <v/>
      </c>
      <c r="N78" s="156" t="n">
        <v>57</v>
      </c>
      <c r="O78" s="281">
        <f>N78/L78</f>
        <v/>
      </c>
      <c r="P78" s="156" t="n">
        <v>0.5</v>
      </c>
      <c r="Q78" s="156" t="n">
        <v>0</v>
      </c>
      <c r="R78" s="156" t="n">
        <v>0</v>
      </c>
      <c r="S78" s="156" t="n">
        <v>0</v>
      </c>
      <c r="T78" s="179" t="n">
        <v>1</v>
      </c>
      <c r="U78" s="179" t="n">
        <v>4</v>
      </c>
      <c r="V78" s="179" t="n">
        <v>0</v>
      </c>
      <c r="W78" s="156">
        <f>INDEX(Matrix!$AA$2:$AA$33, MATCH(G78, Matrix!$AC$2:$AC$33, 0))</f>
        <v/>
      </c>
      <c r="X78" s="156">
        <f>_xlfn.IFNA(MATCH(E78,'Injury Report'!$C$2:$C$6216,0),0)</f>
        <v/>
      </c>
    </row>
    <row r="79" ht="15.6" customHeight="1" s="152">
      <c r="A79" s="212" t="n">
        <v>78</v>
      </c>
      <c r="B79" s="167">
        <f>F79&amp;G79</f>
        <v/>
      </c>
      <c r="C79" s="156">
        <f>IF(H79&lt;&gt;"QB",0,IF(L79&lt;10,0,J79/200))</f>
        <v/>
      </c>
      <c r="E79" s="156">
        <f>IFERROR(VLOOKUP(F79,AllPlayers!F:F,1,0),"------------")</f>
        <v/>
      </c>
      <c r="F79" s="156" t="inlineStr">
        <is>
          <t>Clayton Tune</t>
        </is>
      </c>
      <c r="G79" s="167" t="inlineStr">
        <is>
          <t>ARI</t>
        </is>
      </c>
      <c r="H79" s="156" t="inlineStr">
        <is>
          <t>WR</t>
        </is>
      </c>
      <c r="I79" s="156" t="n">
        <v>1</v>
      </c>
      <c r="J79" s="156" t="n">
        <v>506.3</v>
      </c>
      <c r="K79" s="156" t="n">
        <v>6.5</v>
      </c>
      <c r="L79" s="156" t="n">
        <v>9.5</v>
      </c>
      <c r="M79" s="281">
        <f>(K79/L79)*100</f>
        <v/>
      </c>
      <c r="N79" s="156" t="n">
        <v>39.5</v>
      </c>
      <c r="O79" s="281">
        <f>N79/L79</f>
        <v/>
      </c>
      <c r="P79" s="156" t="n">
        <v>0.5</v>
      </c>
      <c r="Q79" s="156" t="n">
        <v>0</v>
      </c>
      <c r="R79" s="156" t="n">
        <v>0</v>
      </c>
      <c r="S79" s="156" t="n">
        <v>0.5</v>
      </c>
      <c r="T79" s="179" t="n">
        <v>2.5</v>
      </c>
      <c r="U79" s="179" t="n">
        <v>3</v>
      </c>
      <c r="V79" s="179" t="n">
        <v>0</v>
      </c>
      <c r="W79" s="156">
        <f>INDEX(Matrix!$AA$2:$AA$33, MATCH(G79, Matrix!$AC$2:$AC$33, 0))</f>
        <v/>
      </c>
      <c r="X79" s="156">
        <f>_xlfn.IFNA(MATCH(E79,'Injury Report'!$C$2:$C$6216,0),0)</f>
        <v/>
      </c>
    </row>
    <row r="80" ht="15.6" customHeight="1" s="152">
      <c r="A80" s="212" t="n">
        <v>79</v>
      </c>
      <c r="B80" s="167">
        <f>F80&amp;G80</f>
        <v/>
      </c>
      <c r="C80" s="156">
        <f>IF(H80&lt;&gt;"QB",0,IF(L80&lt;10,0,J80/200))</f>
        <v/>
      </c>
      <c r="E80" s="156">
        <f>IFERROR(VLOOKUP(F80,AllPlayers!F:F,1,0),"------------")</f>
        <v/>
      </c>
      <c r="F80" s="156" t="inlineStr">
        <is>
          <t>Taylor Heinicke</t>
        </is>
      </c>
      <c r="G80" s="167" t="inlineStr">
        <is>
          <t>LAC</t>
        </is>
      </c>
      <c r="H80" s="156" t="inlineStr">
        <is>
          <t>QB</t>
        </is>
      </c>
      <c r="I80" s="156" t="n">
        <v>1</v>
      </c>
      <c r="J80" s="156" t="n">
        <v>164.6</v>
      </c>
      <c r="K80" s="156" t="n">
        <v>3.5</v>
      </c>
      <c r="L80" s="156" t="n">
        <v>5.6</v>
      </c>
      <c r="M80" s="281">
        <f>(K80/L80)*100</f>
        <v/>
      </c>
      <c r="N80" s="156" t="n">
        <v>38.9</v>
      </c>
      <c r="O80" s="281">
        <f>N80/L80</f>
        <v/>
      </c>
      <c r="P80" s="156" t="n">
        <v>0.2</v>
      </c>
      <c r="Q80" s="156" t="n">
        <v>0.2</v>
      </c>
      <c r="R80" s="156" t="n">
        <v>0</v>
      </c>
      <c r="S80" s="156" t="n">
        <v>0</v>
      </c>
      <c r="T80" s="179" t="n">
        <v>0.4</v>
      </c>
      <c r="U80" s="179" t="n">
        <v>2.1</v>
      </c>
      <c r="V80" s="179" t="n">
        <v>0</v>
      </c>
      <c r="W80" s="156">
        <f>INDEX(Matrix!$AA$2:$AA$33, MATCH(G80, Matrix!$AC$2:$AC$33, 0))</f>
        <v/>
      </c>
      <c r="X80" s="156">
        <f>_xlfn.IFNA(MATCH(E80,'Injury Report'!$C$2:$C$6216,0),0)</f>
        <v/>
      </c>
    </row>
    <row r="81" ht="15.6" customHeight="1" s="152">
      <c r="A81" s="212" t="n">
        <v>80</v>
      </c>
      <c r="B81" s="167">
        <f>F81&amp;G81</f>
        <v/>
      </c>
      <c r="C81" s="156">
        <f>IF(H81&lt;&gt;"QB",0,IF(L81&lt;10,0,J81/200))</f>
        <v/>
      </c>
      <c r="E81" s="156">
        <f>IFERROR(VLOOKUP(F81,AllPlayers!F:F,1,0),"------------")</f>
        <v/>
      </c>
      <c r="F81" s="156" t="inlineStr">
        <is>
          <t>Tyler Huntley</t>
        </is>
      </c>
      <c r="G81" s="167" t="inlineStr">
        <is>
          <t>CLE</t>
        </is>
      </c>
      <c r="H81" s="156" t="inlineStr">
        <is>
          <t>WR</t>
        </is>
      </c>
      <c r="I81" s="156" t="n">
        <v>1</v>
      </c>
      <c r="J81" s="156" t="n">
        <v>164.6</v>
      </c>
      <c r="K81" s="156" t="n">
        <v>0</v>
      </c>
      <c r="L81" s="156" t="n">
        <v>0</v>
      </c>
      <c r="M81" s="281">
        <f>(K81/L81)*100</f>
        <v/>
      </c>
      <c r="N81" s="156" t="n">
        <v>47</v>
      </c>
      <c r="O81" s="281">
        <f>N81/L81</f>
        <v/>
      </c>
      <c r="P81" s="156" t="n">
        <v>0</v>
      </c>
      <c r="Q81" s="156" t="n">
        <v>0</v>
      </c>
      <c r="R81" s="156" t="n">
        <v>0</v>
      </c>
      <c r="S81" s="156" t="n">
        <v>0</v>
      </c>
      <c r="T81" s="179" t="n">
        <v>0</v>
      </c>
      <c r="U81" s="179" t="n">
        <v>3.5</v>
      </c>
      <c r="V81" s="179" t="n">
        <v>0</v>
      </c>
      <c r="W81" s="156">
        <f>INDEX(Matrix!$AA$2:$AA$33, MATCH(G81, Matrix!$AC$2:$AC$33, 0))</f>
        <v/>
      </c>
      <c r="X81" s="156">
        <f>_xlfn.IFNA(MATCH(E81,'Injury Report'!$C$2:$C$6216,0),0)</f>
        <v/>
      </c>
    </row>
    <row r="82" ht="15.6" customHeight="1" s="152">
      <c r="A82" s="212" t="n">
        <v>81</v>
      </c>
      <c r="B82" s="167">
        <f>F82&amp;G82</f>
        <v/>
      </c>
      <c r="C82" s="156">
        <f>IF(H82&lt;&gt;"QB",0,IF(L82&lt;10,0,J82/200))</f>
        <v/>
      </c>
      <c r="E82" s="156">
        <f>IFERROR(VLOOKUP(F82,AllPlayers!F:F,1,0),"------------")</f>
        <v/>
      </c>
      <c r="F82" s="156" t="inlineStr">
        <is>
          <t>Kyle Allen</t>
        </is>
      </c>
      <c r="G82" s="167" t="inlineStr">
        <is>
          <t>DET</t>
        </is>
      </c>
      <c r="H82" s="156" t="inlineStr">
        <is>
          <t>QB</t>
        </is>
      </c>
      <c r="I82" s="156" t="n">
        <v>2</v>
      </c>
      <c r="J82" s="156" t="n">
        <v>81.3</v>
      </c>
      <c r="K82" s="156" t="n">
        <v>0</v>
      </c>
      <c r="L82" s="156" t="n">
        <v>0</v>
      </c>
      <c r="M82" s="281">
        <f>(K82/L82)*100</f>
        <v/>
      </c>
      <c r="N82" s="156" t="n">
        <v>0</v>
      </c>
      <c r="O82" s="281">
        <f>N82/L82</f>
        <v/>
      </c>
      <c r="P82" s="156" t="n">
        <v>0</v>
      </c>
      <c r="Q82" s="156" t="n">
        <v>0</v>
      </c>
      <c r="R82" s="156" t="n">
        <v>0</v>
      </c>
      <c r="S82" s="156" t="n">
        <v>0</v>
      </c>
      <c r="T82" s="179" t="n">
        <v>0</v>
      </c>
      <c r="U82" s="179" t="n">
        <v>0</v>
      </c>
      <c r="V82" s="179" t="n">
        <v>0</v>
      </c>
      <c r="W82" s="156">
        <f>INDEX(Matrix!$AA$2:$AA$33, MATCH(G82, Matrix!$AC$2:$AC$33, 0))</f>
        <v/>
      </c>
      <c r="X82" s="156">
        <f>_xlfn.IFNA(MATCH(E82,'Injury Report'!$C$2:$C$6216,0),0)</f>
        <v/>
      </c>
    </row>
    <row r="83" ht="15.6" customHeight="1" s="152">
      <c r="A83" s="212" t="n">
        <v>82</v>
      </c>
      <c r="B83" s="167">
        <f>F83&amp;G83</f>
        <v/>
      </c>
      <c r="C83" s="156">
        <f>IF(H83&lt;&gt;"QB",0,IF(L83&lt;10,0,J83/200))</f>
        <v/>
      </c>
      <c r="E83" s="156">
        <f>IFERROR(VLOOKUP(F83,AllPlayers!F:F,1,0),"------------")</f>
        <v/>
      </c>
      <c r="F83" s="156" t="inlineStr">
        <is>
          <t>Mike White</t>
        </is>
      </c>
      <c r="G83" s="167" t="inlineStr">
        <is>
          <t>BUF</t>
        </is>
      </c>
      <c r="H83" s="156" t="inlineStr">
        <is>
          <t>P</t>
        </is>
      </c>
      <c r="I83" s="156" t="n">
        <v>1</v>
      </c>
      <c r="J83" s="156" t="n">
        <v>156.3</v>
      </c>
      <c r="K83" s="156" t="n">
        <v>0</v>
      </c>
      <c r="L83" s="156" t="n">
        <v>0</v>
      </c>
      <c r="M83" s="281">
        <f>(K83/L83)*100</f>
        <v/>
      </c>
      <c r="N83" s="156" t="n">
        <v>0</v>
      </c>
      <c r="O83" s="281">
        <f>N83/L83</f>
        <v/>
      </c>
      <c r="P83" s="156" t="n">
        <v>0</v>
      </c>
      <c r="Q83" s="156" t="n">
        <v>0</v>
      </c>
      <c r="R83" s="156" t="n">
        <v>0</v>
      </c>
      <c r="S83" s="156" t="n">
        <v>0</v>
      </c>
      <c r="T83" s="179" t="n">
        <v>0</v>
      </c>
      <c r="U83" s="179" t="n">
        <v>0</v>
      </c>
      <c r="V83" s="179" t="n">
        <v>0</v>
      </c>
      <c r="W83" s="156">
        <f>INDEX(Matrix!$AA$2:$AA$33, MATCH(G83, Matrix!$AC$2:$AC$33, 0))</f>
        <v/>
      </c>
      <c r="X83" s="156">
        <f>_xlfn.IFNA(MATCH(E83,'Injury Report'!$C$2:$C$6216,0),0)</f>
        <v/>
      </c>
    </row>
    <row r="84" ht="15.6" customHeight="1" s="152">
      <c r="A84" s="212" t="n">
        <v>83</v>
      </c>
      <c r="B84" s="167">
        <f>F84&amp;G84</f>
        <v/>
      </c>
      <c r="C84" s="156">
        <f>IF(H84&lt;&gt;"QB",0,IF(L84&lt;10,0,J84/200))</f>
        <v/>
      </c>
      <c r="E84" s="156">
        <f>IFERROR(VLOOKUP(F84,AllPlayers!F:F,1,0),"------------")</f>
        <v/>
      </c>
      <c r="F84" s="156" t="inlineStr">
        <is>
          <t>Trevor Siemian</t>
        </is>
      </c>
      <c r="G84" s="167" t="inlineStr">
        <is>
          <t>TEN</t>
        </is>
      </c>
      <c r="H84" s="156" t="inlineStr">
        <is>
          <t>WR</t>
        </is>
      </c>
      <c r="I84" s="156" t="n">
        <v>1</v>
      </c>
      <c r="J84" s="156" t="n">
        <v>139.6</v>
      </c>
      <c r="K84" s="156" t="n">
        <v>0</v>
      </c>
      <c r="L84" s="156" t="n">
        <v>0</v>
      </c>
      <c r="M84" s="281">
        <f>(K84/L84)*100</f>
        <v/>
      </c>
      <c r="N84" s="156" t="n">
        <v>0</v>
      </c>
      <c r="O84" s="281">
        <f>N84/L84</f>
        <v/>
      </c>
      <c r="P84" s="156" t="n">
        <v>0</v>
      </c>
      <c r="Q84" s="156" t="n">
        <v>0</v>
      </c>
      <c r="R84" s="156" t="n">
        <v>0</v>
      </c>
      <c r="S84" s="156" t="n">
        <v>0</v>
      </c>
      <c r="T84" s="179" t="n">
        <v>0</v>
      </c>
      <c r="U84" s="179" t="n">
        <v>0</v>
      </c>
      <c r="V84" s="179" t="n">
        <v>0</v>
      </c>
      <c r="W84" s="156">
        <f>INDEX(Matrix!$AA$2:$AA$33, MATCH(G84, Matrix!$AC$2:$AC$33, 0))</f>
        <v/>
      </c>
      <c r="X84" s="156">
        <f>_xlfn.IFNA(MATCH(E84,'Injury Report'!$C$2:$C$6216,0),0)</f>
        <v/>
      </c>
    </row>
    <row r="85" ht="15.6" customHeight="1" s="152">
      <c r="A85" s="212" t="n">
        <v>84</v>
      </c>
      <c r="B85" s="167">
        <f>F85&amp;G85</f>
        <v/>
      </c>
      <c r="C85" s="156">
        <f>IF(H85&lt;&gt;"QB",0,IF(L85&lt;10,0,J85/200))</f>
        <v/>
      </c>
      <c r="E85" s="156">
        <f>IFERROR(VLOOKUP(F85,AllPlayers!F:F,1,0),"------------")</f>
        <v/>
      </c>
      <c r="F85" s="156" t="inlineStr">
        <is>
          <t>Brett Rypien</t>
        </is>
      </c>
      <c r="G85" s="167" t="inlineStr">
        <is>
          <t>MIN</t>
        </is>
      </c>
      <c r="H85" s="156" t="inlineStr">
        <is>
          <t>QB</t>
        </is>
      </c>
      <c r="I85" s="156" t="n">
        <v>2</v>
      </c>
      <c r="J85" s="156" t="n">
        <v>108.3</v>
      </c>
      <c r="K85" s="156" t="n">
        <v>0</v>
      </c>
      <c r="L85" s="156" t="n">
        <v>0</v>
      </c>
      <c r="M85" s="281">
        <f>(K85/L85)*100</f>
        <v/>
      </c>
      <c r="N85" s="156" t="n">
        <v>0</v>
      </c>
      <c r="O85" s="281">
        <f>N85/L85</f>
        <v/>
      </c>
      <c r="P85" s="156" t="n">
        <v>0</v>
      </c>
      <c r="Q85" s="156" t="n">
        <v>0</v>
      </c>
      <c r="R85" s="156" t="n">
        <v>0</v>
      </c>
      <c r="S85" s="156" t="n">
        <v>0</v>
      </c>
      <c r="T85" s="179" t="n">
        <v>0</v>
      </c>
      <c r="U85" s="179" t="n">
        <v>0</v>
      </c>
      <c r="V85" s="179" t="n">
        <v>0</v>
      </c>
      <c r="W85" s="156">
        <f>INDEX(Matrix!$AA$2:$AA$33, MATCH(G85, Matrix!$AC$2:$AC$33, 0))</f>
        <v/>
      </c>
      <c r="X85" s="156">
        <f>_xlfn.IFNA(MATCH(E85,'Injury Report'!$C$2:$C$6216,0),0)</f>
        <v/>
      </c>
    </row>
    <row r="86" ht="15.6" customHeight="1" s="152">
      <c r="A86" s="212" t="n">
        <v>85</v>
      </c>
      <c r="B86" s="167">
        <f>F86&amp;G86</f>
        <v/>
      </c>
      <c r="C86" s="156">
        <f>IF(H86&lt;&gt;"QB",0,IF(L86&lt;10,0,J86/200))</f>
        <v/>
      </c>
      <c r="E86" s="156">
        <f>IFERROR(VLOOKUP(F86,AllPlayers!F:F,1,0),"------------")</f>
        <v/>
      </c>
      <c r="F86" s="156" t="inlineStr">
        <is>
          <t>Easton Stick</t>
        </is>
      </c>
      <c r="G86" s="167" t="inlineStr">
        <is>
          <t>ATL</t>
        </is>
      </c>
      <c r="H86" s="156" t="inlineStr">
        <is>
          <t>QB</t>
        </is>
      </c>
      <c r="I86" s="156" t="n">
        <v>1</v>
      </c>
      <c r="J86" s="156" t="n">
        <v>102.1</v>
      </c>
      <c r="K86" s="156" t="n">
        <v>0</v>
      </c>
      <c r="L86" s="156" t="n">
        <v>0</v>
      </c>
      <c r="M86" s="281">
        <f>(K86/L86)*100</f>
        <v/>
      </c>
      <c r="N86" s="156" t="n">
        <v>0</v>
      </c>
      <c r="O86" s="281">
        <f>N86/L86</f>
        <v/>
      </c>
      <c r="P86" s="156" t="n">
        <v>0</v>
      </c>
      <c r="Q86" s="156" t="n">
        <v>0</v>
      </c>
      <c r="R86" s="156" t="n">
        <v>0</v>
      </c>
      <c r="S86" s="156" t="n">
        <v>0</v>
      </c>
      <c r="T86" s="179" t="n">
        <v>0</v>
      </c>
      <c r="U86" s="179" t="n">
        <v>0</v>
      </c>
      <c r="V86" s="179" t="n">
        <v>0</v>
      </c>
      <c r="W86" s="156">
        <f>INDEX(Matrix!$AA$2:$AA$33, MATCH(G86, Matrix!$AC$2:$AC$33, 0))</f>
        <v/>
      </c>
      <c r="X86" s="156">
        <f>_xlfn.IFNA(MATCH(E86,'Injury Report'!$C$2:$C$6216,0),0)</f>
        <v/>
      </c>
    </row>
    <row r="87" ht="15.6" customHeight="1" s="152">
      <c r="A87" s="212" t="n">
        <v>86</v>
      </c>
      <c r="B87" s="167">
        <f>F87&amp;G87</f>
        <v/>
      </c>
      <c r="C87" s="156">
        <f>IF(H87&lt;&gt;"QB",0,IF(L87&lt;10,0,J87/200))</f>
        <v/>
      </c>
      <c r="E87" s="156">
        <f>IFERROR(VLOOKUP(F87,AllPlayers!F:F,1,0),"------------")</f>
        <v/>
      </c>
      <c r="F87" s="156" t="inlineStr">
        <is>
          <t>Teddy Bridgewater</t>
        </is>
      </c>
      <c r="G87" s="167" t="inlineStr">
        <is>
          <t>TB</t>
        </is>
      </c>
      <c r="H87" s="156" t="inlineStr">
        <is>
          <t>WR</t>
        </is>
      </c>
      <c r="I87" s="156" t="n">
        <v>1</v>
      </c>
      <c r="J87" s="156" t="n">
        <v>447.9</v>
      </c>
      <c r="K87" s="156" t="n">
        <v>0</v>
      </c>
      <c r="L87" s="156" t="n">
        <v>0</v>
      </c>
      <c r="M87" s="281">
        <f>(K87/L87)*100</f>
        <v/>
      </c>
      <c r="N87" s="156" t="n">
        <v>0</v>
      </c>
      <c r="O87" s="281">
        <f>N87/L87</f>
        <v/>
      </c>
      <c r="P87" s="156" t="n">
        <v>0</v>
      </c>
      <c r="Q87" s="156" t="n">
        <v>0</v>
      </c>
      <c r="R87" s="156" t="n">
        <v>0</v>
      </c>
      <c r="S87" s="156" t="n">
        <v>0</v>
      </c>
      <c r="T87" s="179" t="n">
        <v>0</v>
      </c>
      <c r="U87" s="179" t="n">
        <v>0</v>
      </c>
      <c r="V87" s="179" t="n">
        <v>0</v>
      </c>
      <c r="W87" s="156">
        <f>INDEX(Matrix!$AA$2:$AA$33, MATCH(G87, Matrix!$AC$2:$AC$33, 0))</f>
        <v/>
      </c>
      <c r="X87" s="156">
        <f>_xlfn.IFNA(MATCH(E87,'Injury Report'!$C$2:$C$6216,0),0)</f>
        <v/>
      </c>
    </row>
    <row r="88" ht="15.6" customHeight="1" s="152">
      <c r="A88" s="212" t="n">
        <v>87</v>
      </c>
      <c r="B88" s="167">
        <f>F88&amp;G88</f>
        <v/>
      </c>
      <c r="C88" s="156">
        <f>IF(H88&lt;&gt;"QB",0,IF(L88&lt;10,0,J88/200))</f>
        <v/>
      </c>
      <c r="E88" s="156">
        <f>IFERROR(VLOOKUP(F88,AllPlayers!F:F,1,0),"------------")</f>
        <v/>
      </c>
      <c r="F88" s="156" t="inlineStr">
        <is>
          <t>John Wolford</t>
        </is>
      </c>
      <c r="G88" s="167" t="inlineStr">
        <is>
          <t>JAX</t>
        </is>
      </c>
      <c r="H88" s="156" t="inlineStr">
        <is>
          <t>QB</t>
        </is>
      </c>
      <c r="I88" s="156" t="n">
        <v>1</v>
      </c>
      <c r="J88" s="156" t="n">
        <v>106.3</v>
      </c>
      <c r="K88" s="156" t="n">
        <v>0</v>
      </c>
      <c r="L88" s="156" t="n">
        <v>0</v>
      </c>
      <c r="M88" s="281">
        <f>(K88/L88)*100</f>
        <v/>
      </c>
      <c r="N88" s="156" t="n">
        <v>0</v>
      </c>
      <c r="O88" s="281">
        <f>N88/L88</f>
        <v/>
      </c>
      <c r="P88" s="156" t="n">
        <v>0</v>
      </c>
      <c r="Q88" s="156" t="n">
        <v>0</v>
      </c>
      <c r="R88" s="156" t="n">
        <v>0</v>
      </c>
      <c r="S88" s="156" t="n">
        <v>0</v>
      </c>
      <c r="T88" s="179" t="n">
        <v>0</v>
      </c>
      <c r="U88" s="179" t="n">
        <v>0</v>
      </c>
      <c r="V88" s="179" t="n">
        <v>0</v>
      </c>
      <c r="W88" s="156">
        <f>INDEX(Matrix!$AA$2:$AA$33, MATCH(G88, Matrix!$AC$2:$AC$33, 0))</f>
        <v/>
      </c>
      <c r="X88" s="156">
        <f>_xlfn.IFNA(MATCH(E88,'Injury Report'!$C$2:$C$6216,0),0)</f>
        <v/>
      </c>
    </row>
    <row r="89" ht="15.6" customHeight="1" s="152">
      <c r="A89" s="212" t="n">
        <v>88</v>
      </c>
      <c r="B89" s="167">
        <f>F89&amp;G89</f>
        <v/>
      </c>
      <c r="C89" s="156">
        <f>IF(H89&lt;&gt;"QB",0,IF(L89&lt;10,0,J89/200))</f>
        <v/>
      </c>
      <c r="E89" s="156">
        <f>IFERROR(VLOOKUP(F89,AllPlayers!F:F,1,0),"------------")</f>
        <v/>
      </c>
      <c r="F89" s="156" t="inlineStr">
        <is>
          <t>Sam Ehlinger</t>
        </is>
      </c>
      <c r="G89" s="167" t="inlineStr">
        <is>
          <t>DEN</t>
        </is>
      </c>
      <c r="H89" s="156" t="inlineStr">
        <is>
          <t>P</t>
        </is>
      </c>
      <c r="I89" s="156" t="n">
        <v>2</v>
      </c>
      <c r="J89" s="156" t="n">
        <v>52.1</v>
      </c>
      <c r="K89" s="156" t="n">
        <v>0</v>
      </c>
      <c r="L89" s="156" t="n">
        <v>0</v>
      </c>
      <c r="M89" s="281">
        <f>(K89/L89)*100</f>
        <v/>
      </c>
      <c r="N89" s="156" t="n">
        <v>0</v>
      </c>
      <c r="O89" s="281">
        <f>N89/L89</f>
        <v/>
      </c>
      <c r="P89" s="156" t="n">
        <v>0</v>
      </c>
      <c r="Q89" s="156" t="n">
        <v>0</v>
      </c>
      <c r="R89" s="156" t="n">
        <v>0</v>
      </c>
      <c r="S89" s="156" t="n">
        <v>0</v>
      </c>
      <c r="T89" s="179" t="n">
        <v>0</v>
      </c>
      <c r="U89" s="179" t="n">
        <v>0</v>
      </c>
      <c r="V89" s="179" t="n">
        <v>0</v>
      </c>
      <c r="W89" s="156">
        <f>INDEX(Matrix!$AA$2:$AA$33, MATCH(G89, Matrix!$AC$2:$AC$33, 0))</f>
        <v/>
      </c>
      <c r="X89" s="156">
        <f>_xlfn.IFNA(MATCH(E89,'Injury Report'!$C$2:$C$6216,0),0)</f>
        <v/>
      </c>
    </row>
    <row r="90" ht="15.6" customHeight="1" s="152">
      <c r="A90" s="212" t="n">
        <v>89</v>
      </c>
      <c r="B90" s="167">
        <f>F90&amp;G90</f>
        <v/>
      </c>
      <c r="C90" s="156">
        <f>IF(H90&lt;&gt;"QB",0,IF(L90&lt;10,0,J90/200))</f>
        <v/>
      </c>
      <c r="E90" s="156">
        <f>IFERROR(VLOOKUP(F90,AllPlayers!F:F,1,0),"------------")</f>
        <v/>
      </c>
      <c r="F90" s="156" t="inlineStr">
        <is>
          <t>Desmond Ridder</t>
        </is>
      </c>
      <c r="G90" s="167" t="inlineStr">
        <is>
          <t>CIN</t>
        </is>
      </c>
      <c r="H90" s="156" t="inlineStr">
        <is>
          <t>RB</t>
        </is>
      </c>
      <c r="I90" s="156" t="n">
        <v>1</v>
      </c>
      <c r="J90" s="156" t="n">
        <v>431.3</v>
      </c>
      <c r="K90" s="156" t="n">
        <v>0</v>
      </c>
      <c r="L90" s="156" t="n">
        <v>0</v>
      </c>
      <c r="M90" s="281">
        <f>(K90/L90)*100</f>
        <v/>
      </c>
      <c r="N90" s="156" t="n">
        <v>0</v>
      </c>
      <c r="O90" s="281">
        <f>N90/L90</f>
        <v/>
      </c>
      <c r="P90" s="156" t="n">
        <v>0</v>
      </c>
      <c r="Q90" s="156" t="n">
        <v>0</v>
      </c>
      <c r="R90" s="156" t="n">
        <v>0</v>
      </c>
      <c r="S90" s="156" t="n">
        <v>0</v>
      </c>
      <c r="T90" s="179" t="n">
        <v>0</v>
      </c>
      <c r="U90" s="179" t="n">
        <v>0</v>
      </c>
      <c r="V90" s="179" t="n">
        <v>0</v>
      </c>
      <c r="W90" s="156">
        <f>INDEX(Matrix!$AA$2:$AA$33, MATCH(G90, Matrix!$AC$2:$AC$33, 0))</f>
        <v/>
      </c>
      <c r="X90" s="156">
        <f>_xlfn.IFNA(MATCH(E90,'Injury Report'!$C$2:$C$6216,0),0)</f>
        <v/>
      </c>
    </row>
    <row r="91" ht="15.6" customHeight="1" s="152">
      <c r="A91" s="212" t="n">
        <v>90</v>
      </c>
      <c r="B91" s="167">
        <f>F91&amp;G91</f>
        <v/>
      </c>
      <c r="C91" s="156">
        <f>IF(H91&lt;&gt;"QB",0,IF(L91&lt;10,0,J91/200))</f>
        <v/>
      </c>
      <c r="E91" s="156">
        <f>IFERROR(VLOOKUP(F91,AllPlayers!F:F,1,0),"------------")</f>
        <v/>
      </c>
      <c r="F91" s="156" t="inlineStr">
        <is>
          <t>Bailey Zappe</t>
        </is>
      </c>
      <c r="G91" s="167" t="inlineStr">
        <is>
          <t>KC</t>
        </is>
      </c>
      <c r="H91" s="156" t="inlineStr">
        <is>
          <t>P</t>
        </is>
      </c>
      <c r="I91" s="156" t="n">
        <v>1</v>
      </c>
      <c r="J91" s="156" t="n">
        <v>97.90000000000001</v>
      </c>
      <c r="K91" s="156" t="n">
        <v>0</v>
      </c>
      <c r="L91" s="156" t="n">
        <v>0</v>
      </c>
      <c r="M91" s="281">
        <f>(K91/L91)*100</f>
        <v/>
      </c>
      <c r="N91" s="156" t="n">
        <v>0</v>
      </c>
      <c r="O91" s="281">
        <f>N91/L91</f>
        <v/>
      </c>
      <c r="P91" s="156" t="n">
        <v>0</v>
      </c>
      <c r="Q91" s="156" t="n">
        <v>0</v>
      </c>
      <c r="R91" s="156" t="n">
        <v>0</v>
      </c>
      <c r="S91" s="156" t="n">
        <v>0</v>
      </c>
      <c r="T91" s="179" t="n">
        <v>0</v>
      </c>
      <c r="U91" s="179" t="n">
        <v>0</v>
      </c>
      <c r="V91" s="179" t="n">
        <v>0</v>
      </c>
      <c r="W91" s="156">
        <f>INDEX(Matrix!$AA$2:$AA$33, MATCH(G91, Matrix!$AC$2:$AC$33, 0))</f>
        <v/>
      </c>
      <c r="X91" s="156">
        <f>_xlfn.IFNA(MATCH(E91,'Injury Report'!$C$2:$C$6216,0),0)</f>
        <v/>
      </c>
    </row>
    <row r="92" ht="15.6" customHeight="1" s="152">
      <c r="A92" s="212" t="n">
        <v>91</v>
      </c>
      <c r="B92" s="167">
        <f>F92&amp;G92</f>
        <v/>
      </c>
      <c r="C92" s="156">
        <f>IF(H92&lt;&gt;"QB",0,IF(L92&lt;10,0,J92/200))</f>
        <v/>
      </c>
      <c r="E92" s="156">
        <f>IFERROR(VLOOKUP(F92,AllPlayers!F:F,1,0),"------------")</f>
        <v/>
      </c>
      <c r="F92" s="156" t="inlineStr">
        <is>
          <t>Skylar Thompson</t>
        </is>
      </c>
      <c r="G92" s="167" t="inlineStr">
        <is>
          <t>PIT</t>
        </is>
      </c>
      <c r="H92" s="156" t="inlineStr">
        <is>
          <t>P</t>
        </is>
      </c>
      <c r="I92" s="156" t="n">
        <v>1</v>
      </c>
      <c r="J92" s="156" t="n">
        <v>97.90000000000001</v>
      </c>
      <c r="K92" s="156" t="n">
        <v>0</v>
      </c>
      <c r="L92" s="156" t="n">
        <v>0</v>
      </c>
      <c r="M92" s="281">
        <f>(K92/L92)*100</f>
        <v/>
      </c>
      <c r="N92" s="156" t="n">
        <v>0</v>
      </c>
      <c r="O92" s="281">
        <f>N92/L92</f>
        <v/>
      </c>
      <c r="P92" s="156" t="n">
        <v>0</v>
      </c>
      <c r="Q92" s="156" t="n">
        <v>0</v>
      </c>
      <c r="R92" s="156" t="n">
        <v>0</v>
      </c>
      <c r="S92" s="156" t="n">
        <v>0</v>
      </c>
      <c r="T92" s="179" t="n">
        <v>0</v>
      </c>
      <c r="U92" s="179" t="n">
        <v>0</v>
      </c>
      <c r="V92" s="179" t="n">
        <v>0</v>
      </c>
      <c r="W92" s="156">
        <f>INDEX(Matrix!$AA$2:$AA$33, MATCH(G92, Matrix!$AC$2:$AC$33, 0))</f>
        <v/>
      </c>
      <c r="X92" s="156">
        <f>_xlfn.IFNA(MATCH(E92,'Injury Report'!$C$2:$C$6216,0),0)</f>
        <v/>
      </c>
    </row>
    <row r="93" ht="15.6" customHeight="1" s="152">
      <c r="A93" s="212" t="n">
        <v>92</v>
      </c>
      <c r="B93" s="167">
        <f>F93&amp;G93</f>
        <v/>
      </c>
      <c r="C93" s="156">
        <f>IF(H93&lt;&gt;"QB",0,IF(L93&lt;10,0,J93/200))</f>
        <v/>
      </c>
      <c r="E93" s="156">
        <f>IFERROR(VLOOKUP(F93,AllPlayers!F:F,1,0),"------------")</f>
        <v/>
      </c>
      <c r="F93" s="156" t="inlineStr">
        <is>
          <t>Chris Oladokun</t>
        </is>
      </c>
      <c r="G93" s="167" t="inlineStr">
        <is>
          <t>KC</t>
        </is>
      </c>
      <c r="H93" s="156" t="inlineStr">
        <is>
          <t>RB</t>
        </is>
      </c>
      <c r="I93" s="156" t="n">
        <v>1</v>
      </c>
      <c r="J93" s="156" t="n">
        <v>2.1</v>
      </c>
      <c r="K93" s="156" t="n">
        <v>0</v>
      </c>
      <c r="L93" s="156" t="n">
        <v>0</v>
      </c>
      <c r="M93" s="281">
        <f>(K93/L93)*100</f>
        <v/>
      </c>
      <c r="N93" s="156" t="n">
        <v>0</v>
      </c>
      <c r="O93" s="281">
        <f>N93/L93</f>
        <v/>
      </c>
      <c r="P93" s="156" t="n">
        <v>0</v>
      </c>
      <c r="Q93" s="156" t="n">
        <v>0</v>
      </c>
      <c r="R93" s="156" t="n">
        <v>0</v>
      </c>
      <c r="S93" s="156" t="n">
        <v>0</v>
      </c>
      <c r="T93" s="179" t="n">
        <v>0</v>
      </c>
      <c r="U93" s="179" t="n">
        <v>0</v>
      </c>
      <c r="V93" s="179" t="n">
        <v>0</v>
      </c>
      <c r="W93" s="156">
        <f>INDEX(Matrix!$AA$2:$AA$33, MATCH(G93, Matrix!$AC$2:$AC$33, 0))</f>
        <v/>
      </c>
      <c r="X93" s="156">
        <f>_xlfn.IFNA(MATCH(E93,'Injury Report'!$C$2:$C$6216,0),0)</f>
        <v/>
      </c>
    </row>
    <row r="94" ht="15.6" customHeight="1" s="152">
      <c r="A94" s="212" t="n">
        <v>93</v>
      </c>
      <c r="B94" s="167">
        <f>F94&amp;G94</f>
        <v/>
      </c>
      <c r="C94" s="156">
        <f>IF(H94&lt;&gt;"QB",0,IF(L94&lt;10,0,J94/200))</f>
        <v/>
      </c>
      <c r="E94" s="156">
        <f>IFERROR(VLOOKUP(F94,AllPlayers!F:F,1,0),"------------")</f>
        <v/>
      </c>
      <c r="F94" s="156" t="inlineStr">
        <is>
          <t>Shane Buechele</t>
        </is>
      </c>
      <c r="G94" s="167" t="inlineStr">
        <is>
          <t>BUF</t>
        </is>
      </c>
      <c r="H94" s="156" t="inlineStr">
        <is>
          <t>WR</t>
        </is>
      </c>
      <c r="I94" s="156" t="n">
        <v>1</v>
      </c>
      <c r="J94" s="156" t="n">
        <v>2.1</v>
      </c>
      <c r="K94" s="156" t="n">
        <v>0</v>
      </c>
      <c r="L94" s="156" t="n">
        <v>0</v>
      </c>
      <c r="M94" s="281">
        <f>(K94/L94)*100</f>
        <v/>
      </c>
      <c r="N94" s="156" t="n">
        <v>0</v>
      </c>
      <c r="O94" s="281">
        <f>N94/L94</f>
        <v/>
      </c>
      <c r="P94" s="156" t="n">
        <v>0</v>
      </c>
      <c r="Q94" s="156" t="n">
        <v>0</v>
      </c>
      <c r="R94" s="156" t="n">
        <v>0</v>
      </c>
      <c r="S94" s="156" t="n">
        <v>0</v>
      </c>
      <c r="T94" s="179" t="n">
        <v>0</v>
      </c>
      <c r="U94" s="179" t="n">
        <v>0</v>
      </c>
      <c r="V94" s="179" t="n">
        <v>0</v>
      </c>
      <c r="W94" s="156">
        <f>INDEX(Matrix!$AA$2:$AA$33, MATCH(G94, Matrix!$AC$2:$AC$33, 0))</f>
        <v/>
      </c>
      <c r="X94" s="156">
        <f>_xlfn.IFNA(MATCH(E94,'Injury Report'!$C$2:$C$6216,0),0)</f>
        <v/>
      </c>
    </row>
    <row r="95" ht="15.6" customHeight="1" s="152">
      <c r="A95" s="212" t="n">
        <v>94</v>
      </c>
      <c r="B95" s="167">
        <f>F95&amp;G95</f>
        <v/>
      </c>
      <c r="C95" s="156">
        <f>IF(H95&lt;&gt;"QB",0,IF(L95&lt;10,0,J95/200))</f>
        <v/>
      </c>
      <c r="E95" s="156">
        <f>IFERROR(VLOOKUP(F95,AllPlayers!F:F,1,0),"------------")</f>
        <v/>
      </c>
      <c r="F95" s="156" t="inlineStr">
        <is>
          <t>Stetson Bennett</t>
        </is>
      </c>
      <c r="G95" s="167" t="inlineStr">
        <is>
          <t>LAR</t>
        </is>
      </c>
      <c r="H95" s="156" t="inlineStr">
        <is>
          <t>WR</t>
        </is>
      </c>
      <c r="I95" s="156" t="n">
        <v>1</v>
      </c>
      <c r="J95" s="156" t="n">
        <v>2.1</v>
      </c>
      <c r="K95" s="156" t="n">
        <v>0</v>
      </c>
      <c r="L95" s="156" t="n">
        <v>0</v>
      </c>
      <c r="M95" s="281">
        <f>(K95/L95)*100</f>
        <v/>
      </c>
      <c r="N95" s="156" t="n">
        <v>0</v>
      </c>
      <c r="O95" s="281">
        <f>N95/L95</f>
        <v/>
      </c>
      <c r="P95" s="156" t="n">
        <v>0</v>
      </c>
      <c r="Q95" s="156" t="n">
        <v>0</v>
      </c>
      <c r="R95" s="156" t="n">
        <v>0</v>
      </c>
      <c r="S95" s="156" t="n">
        <v>0</v>
      </c>
      <c r="T95" s="179" t="n">
        <v>0</v>
      </c>
      <c r="U95" s="179" t="n">
        <v>0</v>
      </c>
      <c r="V95" s="179" t="n">
        <v>0</v>
      </c>
      <c r="W95" s="156">
        <f>INDEX(Matrix!$AA$2:$AA$33, MATCH(G95, Matrix!$AC$2:$AC$33, 0))</f>
        <v/>
      </c>
      <c r="X95" s="156">
        <f>_xlfn.IFNA(MATCH(E95,'Injury Report'!$C$2:$C$6216,0),0)</f>
        <v/>
      </c>
    </row>
    <row r="96" ht="15.6" customHeight="1" s="152">
      <c r="A96" s="212" t="n">
        <v>95</v>
      </c>
      <c r="B96" s="167">
        <f>F96&amp;G96</f>
        <v/>
      </c>
      <c r="C96" s="156">
        <f>IF(H96&lt;&gt;"QB",0,IF(L96&lt;10,0,J96/200))</f>
        <v/>
      </c>
      <c r="E96" s="156">
        <f>IFERROR(VLOOKUP(F96,AllPlayers!F:F,1,0),"------------")</f>
        <v/>
      </c>
      <c r="F96" s="156" t="inlineStr">
        <is>
          <t>Sean Clifford</t>
        </is>
      </c>
      <c r="G96" s="167" t="inlineStr">
        <is>
          <t>GB</t>
        </is>
      </c>
      <c r="H96" s="156" t="inlineStr">
        <is>
          <t>WR</t>
        </is>
      </c>
      <c r="I96" s="156" t="n">
        <v>1</v>
      </c>
      <c r="J96" s="156" t="n">
        <v>2.1</v>
      </c>
      <c r="K96" s="156" t="n">
        <v>0</v>
      </c>
      <c r="L96" s="156" t="n">
        <v>0</v>
      </c>
      <c r="M96" s="281">
        <f>(K96/L96)*100</f>
        <v/>
      </c>
      <c r="N96" s="156" t="n">
        <v>0</v>
      </c>
      <c r="O96" s="281">
        <f>N96/L96</f>
        <v/>
      </c>
      <c r="P96" s="156" t="n">
        <v>0</v>
      </c>
      <c r="Q96" s="156" t="n">
        <v>0</v>
      </c>
      <c r="R96" s="156" t="n">
        <v>0</v>
      </c>
      <c r="S96" s="156" t="n">
        <v>0</v>
      </c>
      <c r="T96" s="179" t="n">
        <v>0</v>
      </c>
      <c r="U96" s="179" t="n">
        <v>0</v>
      </c>
      <c r="V96" s="179" t="n">
        <v>0</v>
      </c>
      <c r="W96" s="156">
        <f>INDEX(Matrix!$AA$2:$AA$33, MATCH(G96, Matrix!$AC$2:$AC$33, 0))</f>
        <v/>
      </c>
      <c r="X96" s="156">
        <f>_xlfn.IFNA(MATCH(E96,'Injury Report'!$C$2:$C$6216,0),0)</f>
        <v/>
      </c>
    </row>
    <row r="97" ht="15.6" customHeight="1" s="152">
      <c r="A97" s="212" t="n">
        <v>96</v>
      </c>
      <c r="B97" s="167">
        <f>F97&amp;G97</f>
        <v/>
      </c>
      <c r="C97" s="156">
        <f>IF(H97&lt;&gt;"QB",0,IF(L97&lt;10,0,J97/200))</f>
        <v/>
      </c>
      <c r="E97" s="156">
        <f>IFERROR(VLOOKUP(F97,AllPlayers!F:F,1,0),"------------")</f>
        <v/>
      </c>
      <c r="F97" s="156" t="inlineStr">
        <is>
          <t>Dorian Thompson-robinson</t>
        </is>
      </c>
      <c r="G97" s="167" t="inlineStr">
        <is>
          <t>PHI</t>
        </is>
      </c>
      <c r="H97" s="156" t="inlineStr">
        <is>
          <t>WR</t>
        </is>
      </c>
      <c r="I97" s="156" t="n">
        <v>1</v>
      </c>
      <c r="J97" s="156" t="n">
        <v>-414.6</v>
      </c>
      <c r="K97" s="156" t="n">
        <v>0</v>
      </c>
      <c r="L97" s="156" t="n">
        <v>0</v>
      </c>
      <c r="M97" s="281">
        <f>(K97/L97)*100</f>
        <v/>
      </c>
      <c r="N97" s="156" t="n">
        <v>0</v>
      </c>
      <c r="O97" s="281">
        <f>N97/L97</f>
        <v/>
      </c>
      <c r="P97" s="156" t="n">
        <v>0</v>
      </c>
      <c r="Q97" s="156" t="n">
        <v>0</v>
      </c>
      <c r="R97" s="156" t="n">
        <v>0</v>
      </c>
      <c r="S97" s="156" t="n">
        <v>0</v>
      </c>
      <c r="T97" s="179" t="n">
        <v>0</v>
      </c>
      <c r="U97" s="179" t="n">
        <v>0</v>
      </c>
      <c r="V97" s="179" t="n">
        <v>0</v>
      </c>
      <c r="W97" s="156">
        <f>INDEX(Matrix!$AA$2:$AA$33, MATCH(G97, Matrix!$AC$2:$AC$33, 0))</f>
        <v/>
      </c>
      <c r="X97" s="156">
        <f>_xlfn.IFNA(MATCH(E97,'Injury Report'!$C$2:$C$6216,0),0)</f>
        <v/>
      </c>
    </row>
    <row r="98" ht="15.6" customHeight="1" s="152">
      <c r="A98" s="212" t="n">
        <v>97</v>
      </c>
      <c r="B98" s="167">
        <f>F98&amp;G98</f>
        <v/>
      </c>
      <c r="C98" s="156">
        <f>IF(H98&lt;&gt;"QB",0,IF(L98&lt;10,0,J98/200))</f>
        <v/>
      </c>
      <c r="E98" s="156">
        <f>IFERROR(VLOOKUP(F98,AllPlayers!F:F,1,0),"------------")</f>
        <v/>
      </c>
      <c r="F98" s="156" t="inlineStr">
        <is>
          <t>Tommy Devito</t>
        </is>
      </c>
      <c r="G98" s="167" t="inlineStr">
        <is>
          <t>NYG</t>
        </is>
      </c>
      <c r="H98" s="156" t="inlineStr">
        <is>
          <t>WR</t>
        </is>
      </c>
      <c r="I98" s="156" t="n">
        <v>1</v>
      </c>
      <c r="J98" s="156" t="n">
        <v>2.1</v>
      </c>
      <c r="K98" s="156" t="n">
        <v>0</v>
      </c>
      <c r="L98" s="156" t="n">
        <v>0</v>
      </c>
      <c r="M98" s="281">
        <f>(K98/L98)*100</f>
        <v/>
      </c>
      <c r="N98" s="156" t="n">
        <v>0</v>
      </c>
      <c r="O98" s="281">
        <f>N98/L98</f>
        <v/>
      </c>
      <c r="P98" s="156" t="n">
        <v>0</v>
      </c>
      <c r="Q98" s="156" t="n">
        <v>0</v>
      </c>
      <c r="R98" s="156" t="n">
        <v>0</v>
      </c>
      <c r="S98" s="156" t="n">
        <v>0</v>
      </c>
      <c r="T98" s="179" t="n">
        <v>0</v>
      </c>
      <c r="U98" s="179" t="n">
        <v>0</v>
      </c>
      <c r="V98" s="179" t="n">
        <v>0</v>
      </c>
      <c r="W98" s="156">
        <f>INDEX(Matrix!$AA$2:$AA$33, MATCH(G98, Matrix!$AC$2:$AC$33, 0))</f>
        <v/>
      </c>
      <c r="X98" s="156">
        <f>_xlfn.IFNA(MATCH(E98,'Injury Report'!$C$2:$C$6216,0),0)</f>
        <v/>
      </c>
    </row>
    <row r="99" ht="15.6" customHeight="1" s="152">
      <c r="A99" s="212" t="n">
        <v>98</v>
      </c>
      <c r="B99" s="167">
        <f>F99&amp;G99</f>
        <v/>
      </c>
      <c r="C99" s="156">
        <f>IF(H99&lt;&gt;"QB",0,IF(L99&lt;10,0,J99/200))</f>
        <v/>
      </c>
      <c r="E99" s="156">
        <f>IFERROR(VLOOKUP(F99,AllPlayers!F:F,1,0),"------------")</f>
        <v/>
      </c>
      <c r="F99" s="156" t="inlineStr">
        <is>
          <t>Devin Leary</t>
        </is>
      </c>
      <c r="G99" s="167" t="inlineStr">
        <is>
          <t>BAL</t>
        </is>
      </c>
      <c r="H99" s="156" t="inlineStr">
        <is>
          <t>P</t>
        </is>
      </c>
      <c r="I99" s="156" t="n">
        <v>2</v>
      </c>
      <c r="J99" s="156" t="n">
        <v>2.1</v>
      </c>
      <c r="K99" s="156" t="n">
        <v>0</v>
      </c>
      <c r="L99" s="156" t="n">
        <v>0</v>
      </c>
      <c r="M99" s="281">
        <f>(K99/L99)*100</f>
        <v/>
      </c>
      <c r="N99" s="156" t="n">
        <v>0</v>
      </c>
      <c r="O99" s="281">
        <f>N99/L99</f>
        <v/>
      </c>
      <c r="P99" s="156" t="n">
        <v>0</v>
      </c>
      <c r="Q99" s="156" t="n">
        <v>0</v>
      </c>
      <c r="R99" s="156" t="n">
        <v>0</v>
      </c>
      <c r="S99" s="156" t="n">
        <v>0</v>
      </c>
      <c r="T99" s="179" t="n">
        <v>0</v>
      </c>
      <c r="U99" s="179" t="n">
        <v>0</v>
      </c>
      <c r="V99" s="179" t="n">
        <v>0</v>
      </c>
      <c r="W99" s="156">
        <f>INDEX(Matrix!$AA$2:$AA$33, MATCH(G99, Matrix!$AC$2:$AC$33, 0))</f>
        <v/>
      </c>
      <c r="X99" s="156">
        <f>_xlfn.IFNA(MATCH(E99,'Injury Report'!$C$2:$C$6216,0),0)</f>
        <v/>
      </c>
    </row>
    <row r="100" ht="15.6" customHeight="1" s="152">
      <c r="A100" s="212" t="n">
        <v>99</v>
      </c>
      <c r="B100" s="167">
        <f>F100&amp;G100</f>
        <v/>
      </c>
      <c r="C100" s="156">
        <f>IF(H100&lt;&gt;"QB",0,IF(L100&lt;10,0,J100/200))</f>
        <v/>
      </c>
      <c r="E100" s="156">
        <f>IFERROR(VLOOKUP(F100,AllPlayers!F:F,1,0),"------------")</f>
        <v/>
      </c>
      <c r="F100" s="156" t="inlineStr">
        <is>
          <t>Kurtis Rourke</t>
        </is>
      </c>
      <c r="G100" s="167" t="inlineStr">
        <is>
          <t>SF</t>
        </is>
      </c>
      <c r="H100" s="156" t="inlineStr">
        <is>
          <t>WR</t>
        </is>
      </c>
      <c r="I100" s="156" t="n">
        <v>1</v>
      </c>
      <c r="J100" s="156" t="n">
        <v>2.1</v>
      </c>
      <c r="K100" s="156" t="n">
        <v>0</v>
      </c>
      <c r="L100" s="156" t="n">
        <v>0</v>
      </c>
      <c r="M100" s="281">
        <f>(K100/L100)*100</f>
        <v/>
      </c>
      <c r="N100" s="156" t="n">
        <v>0</v>
      </c>
      <c r="O100" s="281">
        <f>N100/L100</f>
        <v/>
      </c>
      <c r="P100" s="156" t="n">
        <v>0</v>
      </c>
      <c r="Q100" s="156" t="n">
        <v>0</v>
      </c>
      <c r="R100" s="156" t="n">
        <v>0</v>
      </c>
      <c r="S100" s="156" t="n">
        <v>0</v>
      </c>
      <c r="T100" s="179" t="n">
        <v>0</v>
      </c>
      <c r="U100" s="179" t="n">
        <v>0</v>
      </c>
      <c r="V100" s="179" t="n">
        <v>0</v>
      </c>
      <c r="W100" s="156">
        <f>INDEX(Matrix!$AA$2:$AA$33, MATCH(G100, Matrix!$AC$2:$AC$33, 0))</f>
        <v/>
      </c>
      <c r="X100" s="156">
        <f>_xlfn.IFNA(MATCH(E100,'Injury Report'!$C$2:$C$6216,0),0)</f>
        <v/>
      </c>
    </row>
    <row r="101" ht="15.6" customHeight="1" s="152">
      <c r="A101" s="212" t="n">
        <v>100</v>
      </c>
      <c r="B101" s="167">
        <f>F101&amp;G101</f>
        <v/>
      </c>
      <c r="C101" s="156">
        <f>IF(H101&lt;&gt;"QB",0,IF(L101&lt;10,0,J101/200))</f>
        <v/>
      </c>
      <c r="E101" s="156">
        <f>IFERROR(VLOOKUP(F101,AllPlayers!F:F,1,0),"------------")</f>
        <v/>
      </c>
      <c r="F101" s="156" t="inlineStr">
        <is>
          <t>Riley Leonard</t>
        </is>
      </c>
      <c r="G101" s="167" t="inlineStr">
        <is>
          <t>IND</t>
        </is>
      </c>
      <c r="H101" s="156" t="inlineStr">
        <is>
          <t>WR</t>
        </is>
      </c>
      <c r="I101" s="156" t="n">
        <v>1</v>
      </c>
      <c r="J101" s="156" t="n">
        <v>2.1</v>
      </c>
      <c r="K101" s="156" t="n">
        <v>0</v>
      </c>
      <c r="L101" s="156" t="n">
        <v>0</v>
      </c>
      <c r="M101" s="281">
        <f>(K101/L101)*100</f>
        <v/>
      </c>
      <c r="N101" s="156" t="n">
        <v>0</v>
      </c>
      <c r="O101" s="281">
        <f>N101/L101</f>
        <v/>
      </c>
      <c r="P101" s="156" t="n">
        <v>0</v>
      </c>
      <c r="Q101" s="156" t="n">
        <v>0</v>
      </c>
      <c r="R101" s="156" t="n">
        <v>0</v>
      </c>
      <c r="S101" s="156" t="n">
        <v>0</v>
      </c>
      <c r="T101" s="179" t="n">
        <v>0</v>
      </c>
      <c r="U101" s="179" t="n">
        <v>0</v>
      </c>
      <c r="V101" s="179" t="n">
        <v>0</v>
      </c>
      <c r="W101" s="156">
        <f>INDEX(Matrix!$AA$2:$AA$33, MATCH(G101, Matrix!$AC$2:$AC$33, 0))</f>
        <v/>
      </c>
      <c r="X101" s="156">
        <f>_xlfn.IFNA(MATCH(E101,'Injury Report'!$C$2:$C$6216,0),0)</f>
        <v/>
      </c>
    </row>
    <row r="102" ht="15.6" customHeight="1" s="152">
      <c r="B102" s="167" t="n"/>
      <c r="C102" s="156" t="n"/>
      <c r="G102" s="167" t="n"/>
      <c r="J102" s="156" t="n"/>
      <c r="K102" s="156" t="n"/>
      <c r="L102" s="156" t="n"/>
      <c r="N102" s="156" t="n"/>
      <c r="O102" s="156" t="n"/>
      <c r="P102" s="156" t="n"/>
      <c r="Q102" s="156" t="n"/>
      <c r="R102" s="156" t="n"/>
      <c r="S102" s="156" t="n"/>
      <c r="T102" s="156" t="n"/>
      <c r="U102" s="156" t="n"/>
      <c r="V102" s="156" t="n"/>
    </row>
    <row r="103" ht="15.6" customHeight="1" s="152">
      <c r="B103" s="167" t="n"/>
      <c r="C103" s="156" t="n"/>
      <c r="G103" s="167" t="n"/>
      <c r="J103" s="156" t="n"/>
      <c r="K103" s="156" t="n"/>
      <c r="L103" s="156" t="n"/>
      <c r="N103" s="156" t="n"/>
      <c r="O103" s="156" t="n"/>
      <c r="P103" s="156" t="n"/>
      <c r="Q103" s="156" t="n"/>
      <c r="R103" s="156" t="n"/>
      <c r="S103" s="156" t="n"/>
      <c r="T103" s="156" t="n"/>
      <c r="U103" s="156" t="n"/>
      <c r="V103" s="156" t="n"/>
    </row>
    <row r="104" ht="15.6" customHeight="1" s="152">
      <c r="B104" s="167" t="n"/>
      <c r="C104" s="156" t="n"/>
      <c r="G104" s="167" t="n"/>
      <c r="J104" s="156" t="n"/>
      <c r="K104" s="156" t="n"/>
      <c r="L104" s="156" t="n"/>
      <c r="N104" s="156" t="n"/>
      <c r="O104" s="156" t="n"/>
      <c r="P104" s="156" t="n"/>
      <c r="Q104" s="156" t="n"/>
      <c r="R104" s="156" t="n"/>
      <c r="S104" s="156" t="n"/>
      <c r="T104" s="156" t="n"/>
      <c r="U104" s="156" t="n"/>
      <c r="V104" s="156" t="n"/>
    </row>
    <row r="105" ht="15.6" customHeight="1" s="152">
      <c r="B105" s="167" t="n"/>
      <c r="C105" s="156" t="n"/>
      <c r="G105" s="167" t="n"/>
      <c r="J105" s="156" t="n"/>
      <c r="K105" s="156" t="n"/>
      <c r="L105" s="156" t="n"/>
      <c r="N105" s="156" t="n"/>
      <c r="O105" s="156" t="n"/>
      <c r="P105" s="156" t="n"/>
      <c r="Q105" s="156" t="n"/>
      <c r="R105" s="156" t="n"/>
      <c r="S105" s="156" t="n"/>
      <c r="T105" s="156" t="n"/>
      <c r="U105" s="156" t="n"/>
      <c r="V105" s="156" t="n"/>
    </row>
  </sheetData>
  <autoFilter ref="B1:V105">
    <sortState ref="B2:V105">
      <sortCondition descending="1" ref="A2:A105" customList=""/>
    </sortState>
  </autoFilter>
  <conditionalFormatting sqref="C2:C105">
    <cfRule type="dataBar" priority="2">
      <dataBar minLength="10" maxLength="90" showValue="1">
        <cfvo type="min" val="0"/>
        <cfvo type="max" val="0"/>
        <color rgb="FF63C384"/>
      </dataBar>
    </cfRule>
  </conditionalFormatting>
  <hyperlinks>
    <hyperlink xmlns:r="http://schemas.openxmlformats.org/officeDocument/2006/relationships" ref="W1" display="https://www.rotowire.com/football/player-stats.php"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tabColor rgb="FF000000"/>
    <outlinePr summaryBelow="1" summaryRight="1"/>
    <pageSetUpPr fitToPage="0"/>
  </sheetPr>
  <dimension ref="A1:X771"/>
  <sheetViews>
    <sheetView showFormulas="0" showGridLines="0" showRowColHeaders="1" showZeros="1" rightToLeft="0" tabSelected="0" showOutlineSymbols="1" defaultGridColor="1" view="normal" topLeftCell="A1" colorId="64" zoomScale="95" zoomScaleNormal="95" zoomScalePageLayoutView="100" workbookViewId="0">
      <pane xSplit="0" ySplit="3" topLeftCell="A4" activePane="bottomLeft" state="frozen"/>
      <selection pane="topLeft" activeCell="A1" activeCellId="0" sqref="A1"/>
      <selection pane="bottomLeft" activeCell="C20" activeCellId="0" sqref="C20"/>
    </sheetView>
  </sheetViews>
  <sheetFormatPr baseColWidth="8" defaultColWidth="8.796875" defaultRowHeight="14.4" zeroHeight="0" outlineLevelRow="0"/>
  <cols>
    <col width="6.35" customWidth="1" style="212" min="1" max="1"/>
    <col width="28.11" customWidth="1" style="156" min="2" max="2"/>
    <col width="14.66" customWidth="1" style="156" min="3" max="3"/>
    <col width="8.56" customWidth="1" style="156" min="4" max="4"/>
    <col width="18" customWidth="1" style="156" min="5" max="5"/>
    <col width="27.58" customWidth="1" style="156" min="6" max="6"/>
    <col width="14.11" customWidth="1" style="156" min="7" max="7"/>
    <col width="4.33" customWidth="1" style="156" min="8" max="8"/>
    <col width="4.56" customWidth="1" style="156" min="9" max="9"/>
  </cols>
  <sheetData>
    <row r="1" ht="14.4" customHeight="1" s="152">
      <c r="A1" s="212" t="inlineStr">
        <is>
          <t>Line</t>
        </is>
      </c>
      <c r="E1" s="167" t="n"/>
      <c r="J1" s="156" t="n"/>
      <c r="K1" s="156" t="n">
        <v>0.3</v>
      </c>
      <c r="L1" s="156" t="n">
        <v>0.35</v>
      </c>
      <c r="M1" s="156" t="n">
        <v>0.3</v>
      </c>
      <c r="N1" s="156" t="n">
        <v>0.25</v>
      </c>
      <c r="O1" s="156" t="n"/>
      <c r="P1" s="156" t="n"/>
      <c r="Q1" s="156" t="n"/>
      <c r="R1" s="156" t="n"/>
      <c r="S1" s="156" t="n"/>
      <c r="T1" s="156" t="n">
        <v>-0.2</v>
      </c>
      <c r="U1" s="156" t="n"/>
      <c r="V1" s="220">
        <f>SUM(J1:U1)</f>
        <v/>
      </c>
      <c r="W1" s="156" t="inlineStr">
        <is>
          <t>https://www.rotowire.com/football/player-stats.php?view=rushing</t>
        </is>
      </c>
    </row>
    <row r="2" ht="14.4" customHeight="1" s="152">
      <c r="J2" s="156" t="inlineStr">
        <is>
          <t>Rushing</t>
        </is>
      </c>
      <c r="Q2" s="156" t="inlineStr">
        <is>
          <t>Big Rushing Games</t>
        </is>
      </c>
      <c r="T2" s="156" t="inlineStr">
        <is>
          <t>Fumbles</t>
        </is>
      </c>
    </row>
    <row r="3" ht="14.4" customHeight="1" s="152">
      <c r="B3" s="167" t="inlineStr">
        <is>
          <t>Combo Name Team</t>
        </is>
      </c>
      <c r="C3" s="167" t="inlineStr">
        <is>
          <t>C- Score</t>
        </is>
      </c>
      <c r="D3" s="167" t="inlineStr">
        <is>
          <t>N/A</t>
        </is>
      </c>
      <c r="E3" s="167" t="inlineStr">
        <is>
          <t>ALP Exist</t>
        </is>
      </c>
      <c r="F3" s="279" t="inlineStr">
        <is>
          <t>Name</t>
        </is>
      </c>
      <c r="G3" s="279" t="inlineStr">
        <is>
          <t>Team</t>
        </is>
      </c>
      <c r="H3" s="279" t="inlineStr">
        <is>
          <t>Pos</t>
        </is>
      </c>
      <c r="I3" s="279" t="inlineStr">
        <is>
          <t>G</t>
        </is>
      </c>
      <c r="J3" s="279" t="inlineStr">
        <is>
          <t>ATT</t>
        </is>
      </c>
      <c r="K3" s="279" t="inlineStr">
        <is>
          <t>YDS</t>
        </is>
      </c>
      <c r="L3" s="279" t="inlineStr">
        <is>
          <t>AVG</t>
        </is>
      </c>
      <c r="M3" s="279" t="inlineStr">
        <is>
          <t>YDS/G</t>
        </is>
      </c>
      <c r="N3" s="279" t="inlineStr">
        <is>
          <t>TD</t>
        </is>
      </c>
      <c r="O3" s="279" t="inlineStr">
        <is>
          <t>20+</t>
        </is>
      </c>
      <c r="P3" s="279" t="inlineStr">
        <is>
          <t>40+</t>
        </is>
      </c>
      <c r="Q3" s="279" t="inlineStr">
        <is>
          <t>100+</t>
        </is>
      </c>
      <c r="R3" s="279" t="inlineStr">
        <is>
          <t>150+</t>
        </is>
      </c>
      <c r="S3" s="279" t="inlineStr">
        <is>
          <t>200+</t>
        </is>
      </c>
      <c r="T3" s="279" t="inlineStr">
        <is>
          <t>TOT</t>
        </is>
      </c>
      <c r="U3" s="279" t="inlineStr">
        <is>
          <t>LOST</t>
        </is>
      </c>
      <c r="X3" s="156" t="inlineStr">
        <is>
          <t>Injury</t>
        </is>
      </c>
    </row>
    <row r="4" ht="15.6" customHeight="1" s="152">
      <c r="A4" s="212" t="n">
        <v>1</v>
      </c>
      <c r="B4" s="167">
        <f>F4&amp;G4</f>
        <v/>
      </c>
      <c r="C4" s="156">
        <f>(K4/MAX(K:K)*$K$1)+(L4/MAX(L:L)*$L$1)+(M4/MAX(M:M)*$M$1)+(N4/MAX(N:N)*$N$1)+(T4/MAX(T:T)*$T$1)</f>
        <v/>
      </c>
      <c r="D4" s="156">
        <f>IFERROR(VLOOKUP(B4,#REF!,7,0),"")</f>
        <v/>
      </c>
      <c r="E4" s="156">
        <f>IFERROR(VLOOKUP(F4,AllPlayers!F:F,1,0),"------------")</f>
        <v/>
      </c>
      <c r="F4" s="156" t="inlineStr">
        <is>
          <t>Saquon Barkley</t>
        </is>
      </c>
      <c r="G4" s="156" t="inlineStr">
        <is>
          <t>PHI</t>
        </is>
      </c>
      <c r="H4" s="156" t="inlineStr">
        <is>
          <t>RB</t>
        </is>
      </c>
      <c r="I4" s="156" t="n">
        <v>2</v>
      </c>
      <c r="J4" s="179" t="n">
        <v>40</v>
      </c>
      <c r="K4" s="179" t="n">
        <v>148</v>
      </c>
      <c r="L4" s="281">
        <f>IF(J4=0,0,K4/J4)</f>
        <v/>
      </c>
      <c r="M4" s="281">
        <f>K4/17</f>
        <v/>
      </c>
      <c r="N4" s="156" t="n">
        <v>2</v>
      </c>
      <c r="O4" s="156" t="n">
        <v>17</v>
      </c>
      <c r="P4" s="156" t="n">
        <v>7</v>
      </c>
      <c r="Q4" s="156" t="n">
        <v>11</v>
      </c>
      <c r="R4" s="156" t="n">
        <v>5</v>
      </c>
      <c r="S4" s="156" t="n">
        <v>1</v>
      </c>
      <c r="T4" s="156" t="n">
        <v>0</v>
      </c>
      <c r="U4" s="179" t="n">
        <v>0</v>
      </c>
      <c r="W4" s="156">
        <f>INDEX(Matrix!$AA$2:$AA$33, MATCH(G4, Matrix!$AC$2:$AC$33, 0))</f>
        <v/>
      </c>
      <c r="X4" s="156">
        <f>_xlfn.IFNA(MATCH(E2,'Injury Report'!$C$2:$C$6216,0),0)</f>
        <v/>
      </c>
    </row>
    <row r="5" ht="15.6" customHeight="1" s="152">
      <c r="A5" s="212" t="n">
        <v>2</v>
      </c>
      <c r="B5" s="167">
        <f>F5&amp;G5</f>
        <v/>
      </c>
      <c r="C5" s="156">
        <f>(K5/MAX(K:K)*$K$1)+(L5/MAX(L:L)*$L$1)+(M5/MAX(M:M)*$M$1)+(N5/MAX(N:N)*$N$1)+(T5/MAX(T:T)*$T$1)</f>
        <v/>
      </c>
      <c r="D5" s="156">
        <f>IFERROR(VLOOKUP(B5,#REF!,7,0),"")</f>
        <v/>
      </c>
      <c r="E5" s="156">
        <f>IFERROR(VLOOKUP(F5,AllPlayers!F:F,1,0),"------------")</f>
        <v/>
      </c>
      <c r="F5" s="156" t="inlineStr">
        <is>
          <t>Bijan Robinson</t>
        </is>
      </c>
      <c r="G5" s="156" t="inlineStr">
        <is>
          <t>ATL</t>
        </is>
      </c>
      <c r="H5" s="156" t="inlineStr">
        <is>
          <t>RB</t>
        </is>
      </c>
      <c r="I5" s="156" t="n">
        <v>2</v>
      </c>
      <c r="J5" s="179" t="n">
        <v>34</v>
      </c>
      <c r="K5" s="179" t="n">
        <v>167</v>
      </c>
      <c r="L5" s="281">
        <f>IF(J5=0,0,K5/J5)</f>
        <v/>
      </c>
      <c r="M5" s="281">
        <f>K5/17</f>
        <v/>
      </c>
      <c r="N5" s="156" t="n">
        <v>0</v>
      </c>
      <c r="O5" s="156" t="n">
        <v>19</v>
      </c>
      <c r="P5" s="156" t="n">
        <v>5</v>
      </c>
      <c r="Q5" s="156" t="n">
        <v>9</v>
      </c>
      <c r="R5" s="156" t="n">
        <v>4</v>
      </c>
      <c r="S5" s="156" t="n">
        <v>0</v>
      </c>
      <c r="T5" s="156" t="n">
        <v>0</v>
      </c>
      <c r="U5" s="179" t="n">
        <v>0</v>
      </c>
      <c r="W5" s="156">
        <f>INDEX(Matrix!$AA$2:$AA$33, MATCH(G5, Matrix!$AC$2:$AC$33, 0))</f>
        <v/>
      </c>
      <c r="X5" s="156">
        <f>_xlfn.IFNA(MATCH(E3,'Injury Report'!$C$2:$C$6216,0),0)</f>
        <v/>
      </c>
    </row>
    <row r="6" ht="15.6" customHeight="1" s="152">
      <c r="A6" s="212" t="n">
        <v>3</v>
      </c>
      <c r="B6" s="167">
        <f>F6&amp;G6</f>
        <v/>
      </c>
      <c r="C6" s="156">
        <f>(K6/MAX(K:K)*$K$1)+(L6/MAX(L:L)*$L$1)+(M6/MAX(M:M)*$M$1)+(N6/MAX(N:N)*$N$1)+(T6/MAX(T:T)*$T$1)</f>
        <v/>
      </c>
      <c r="D6" s="156">
        <f>IFERROR(VLOOKUP(B6,#REF!,7,0),"")</f>
        <v/>
      </c>
      <c r="E6" s="156">
        <f>IFERROR(VLOOKUP(F6,AllPlayers!F:F,1,0),"------------")</f>
        <v/>
      </c>
      <c r="F6" s="156" t="inlineStr">
        <is>
          <t>Jahmyr Gibbs</t>
        </is>
      </c>
      <c r="G6" s="156" t="inlineStr">
        <is>
          <t>DET</t>
        </is>
      </c>
      <c r="H6" s="156" t="inlineStr">
        <is>
          <t>RB</t>
        </is>
      </c>
      <c r="I6" s="156" t="n">
        <v>2</v>
      </c>
      <c r="J6" s="179" t="n">
        <v>21</v>
      </c>
      <c r="K6" s="179" t="n">
        <v>113</v>
      </c>
      <c r="L6" s="281">
        <f>IF(J6=0,0,K6/J6)</f>
        <v/>
      </c>
      <c r="M6" s="281">
        <f>K6/17</f>
        <v/>
      </c>
      <c r="N6" s="156" t="n">
        <v>1</v>
      </c>
      <c r="O6" s="156" t="n">
        <v>5</v>
      </c>
      <c r="P6" s="156" t="n">
        <v>0</v>
      </c>
      <c r="Q6" s="156" t="n">
        <v>5</v>
      </c>
      <c r="R6" s="156" t="n">
        <v>1</v>
      </c>
      <c r="S6" s="156" t="n">
        <v>0</v>
      </c>
      <c r="T6" s="156" t="n">
        <v>0</v>
      </c>
      <c r="U6" s="179" t="n">
        <v>0</v>
      </c>
      <c r="W6" s="156">
        <f>INDEX(Matrix!$AA$2:$AA$33, MATCH(G6, Matrix!$AC$2:$AC$33, 0))</f>
        <v/>
      </c>
      <c r="X6" s="156">
        <f>_xlfn.IFNA(MATCH(E4,'Injury Report'!$C$2:$C$6216,0),0)</f>
        <v/>
      </c>
    </row>
    <row r="7" ht="15.6" customHeight="1" s="152">
      <c r="A7" s="212" t="n">
        <v>4</v>
      </c>
      <c r="B7" s="167">
        <f>F7&amp;G7</f>
        <v/>
      </c>
      <c r="C7" s="156">
        <f>(K7/MAX(K:K)*$K$1)+(L7/MAX(L:L)*$L$1)+(M7/MAX(M:M)*$M$1)+(N7/MAX(N:N)*$N$1)+(T7/MAX(T:T)*$T$1)</f>
        <v/>
      </c>
      <c r="D7" s="156">
        <f>IFERROR(VLOOKUP(B7,#REF!,7,0),"")</f>
        <v/>
      </c>
      <c r="E7" s="156">
        <f>IFERROR(VLOOKUP(F7,AllPlayers!F:F,1,0),"------------")</f>
        <v/>
      </c>
      <c r="F7" s="156" t="inlineStr">
        <is>
          <t>Derrick Henry</t>
        </is>
      </c>
      <c r="G7" s="156" t="inlineStr">
        <is>
          <t>BAL</t>
        </is>
      </c>
      <c r="H7" s="156" t="inlineStr">
        <is>
          <t>RB</t>
        </is>
      </c>
      <c r="I7" s="156" t="n">
        <v>2</v>
      </c>
      <c r="J7" s="179" t="n">
        <v>29</v>
      </c>
      <c r="K7" s="179" t="n">
        <v>192</v>
      </c>
      <c r="L7" s="281">
        <f>IF(J7=0,0,K7/J7)</f>
        <v/>
      </c>
      <c r="M7" s="281">
        <f>K7/17</f>
        <v/>
      </c>
      <c r="N7" s="156" t="n">
        <v>2</v>
      </c>
      <c r="O7" s="156" t="n">
        <v>11</v>
      </c>
      <c r="P7" s="156" t="n">
        <v>4</v>
      </c>
      <c r="Q7" s="156" t="n">
        <v>8</v>
      </c>
      <c r="R7" s="156" t="n">
        <v>2</v>
      </c>
      <c r="S7" s="156" t="n">
        <v>1</v>
      </c>
      <c r="T7" s="156" t="n">
        <v>2</v>
      </c>
      <c r="U7" s="179" t="n">
        <v>1</v>
      </c>
      <c r="W7" s="156">
        <f>INDEX(Matrix!$AA$2:$AA$33, MATCH(G7, Matrix!$AC$2:$AC$33, 0))</f>
        <v/>
      </c>
      <c r="X7" s="156">
        <f>_xlfn.IFNA(MATCH(E5,'Injury Report'!$C$2:$C$6216,0),0)</f>
        <v/>
      </c>
    </row>
    <row r="8" ht="15.6" customHeight="1" s="152">
      <c r="A8" s="212" t="n">
        <v>5</v>
      </c>
      <c r="B8" s="167">
        <f>F8&amp;G8</f>
        <v/>
      </c>
      <c r="C8" s="156">
        <f>IF(MAX(K:K)=0,0,K8/MAX(K:K)*$K$1) +IF(MAX(L:L)=0,0,L8/MAX(L:L)*$L$1) +IF(MAX(M:M)=0,0,M8/MAX(M:M)*$M$1) +IF(MAX(N:N)=0,0,N8/MAX(N:N)*$N$1) +IF(MAX(T:T)=0,0,T8/MAX(T:T)*$T$1)</f>
        <v/>
      </c>
      <c r="D8" s="156">
        <f>IFERROR(VLOOKUP(B8,#REF!,7,0),"")</f>
        <v/>
      </c>
      <c r="E8" s="156">
        <f>IFERROR(VLOOKUP(F8,AllPlayers!F:F,1,0),"------------")</f>
        <v/>
      </c>
      <c r="F8" s="156" t="inlineStr">
        <is>
          <t>Jonathan Taylor</t>
        </is>
      </c>
      <c r="G8" s="156" t="inlineStr">
        <is>
          <t>IND</t>
        </is>
      </c>
      <c r="H8" s="156" t="inlineStr">
        <is>
          <t>RB</t>
        </is>
      </c>
      <c r="I8" s="156" t="n">
        <v>2</v>
      </c>
      <c r="J8" s="179" t="n">
        <v>43</v>
      </c>
      <c r="K8" s="179" t="n">
        <v>236</v>
      </c>
      <c r="L8" s="281">
        <f>IF(J8=0,0,K8/J8)</f>
        <v/>
      </c>
      <c r="M8" s="281">
        <f>K8/17</f>
        <v/>
      </c>
      <c r="N8" s="156" t="n">
        <v>0</v>
      </c>
      <c r="O8" s="156" t="n">
        <v>13</v>
      </c>
      <c r="P8" s="156" t="n">
        <v>3</v>
      </c>
      <c r="Q8" s="156" t="n">
        <v>5</v>
      </c>
      <c r="R8" s="156" t="n">
        <v>0</v>
      </c>
      <c r="S8" s="156" t="n">
        <v>0</v>
      </c>
      <c r="T8" s="156" t="n">
        <v>0</v>
      </c>
      <c r="U8" s="179" t="n">
        <v>0</v>
      </c>
      <c r="W8" s="156">
        <f>INDEX(Matrix!$AA$2:$AA$33, MATCH(G8, Matrix!$AC$2:$AC$33, 0))</f>
        <v/>
      </c>
      <c r="X8" s="156">
        <f>_xlfn.IFNA(MATCH(E6,'Injury Report'!$C$2:$C$6216,0),0)</f>
        <v/>
      </c>
    </row>
    <row r="9" ht="15.6" customHeight="1" s="152">
      <c r="A9" s="212" t="n">
        <v>6</v>
      </c>
      <c r="B9" s="167">
        <f>F9&amp;G9</f>
        <v/>
      </c>
      <c r="C9" s="156">
        <f>(K9/MAX(K:K)*$K$1)+(L9/MAX(L:L)*$L$1)+(M9/MAX(M:M)*$M$1)+(N9/MAX(N:N)*$N$1)+(T9/MAX(T:T)*$T$1)</f>
        <v/>
      </c>
      <c r="D9" s="156">
        <f>IFERROR(VLOOKUP(B9,#REF!,7,0),"")</f>
        <v/>
      </c>
      <c r="E9" s="156">
        <f>IFERROR(VLOOKUP(F9,AllPlayers!F:F,1,0),"------------")</f>
        <v/>
      </c>
      <c r="F9" s="156" t="inlineStr">
        <is>
          <t>Christian Mccaffrey</t>
        </is>
      </c>
      <c r="G9" s="156" t="inlineStr">
        <is>
          <t>SF</t>
        </is>
      </c>
      <c r="H9" s="156" t="inlineStr">
        <is>
          <t>RB</t>
        </is>
      </c>
      <c r="I9" s="156" t="n">
        <v>2</v>
      </c>
      <c r="J9" s="179" t="n">
        <v>35</v>
      </c>
      <c r="K9" s="179" t="n">
        <v>124</v>
      </c>
      <c r="L9" s="281">
        <f>IF(J9=0,0,K9/J9)</f>
        <v/>
      </c>
      <c r="M9" s="281">
        <f>K9/17</f>
        <v/>
      </c>
      <c r="N9" s="156" t="n">
        <v>0</v>
      </c>
      <c r="O9" s="156" t="n">
        <v>7</v>
      </c>
      <c r="P9" s="156" t="n">
        <v>0</v>
      </c>
      <c r="Q9" s="156" t="n">
        <v>3</v>
      </c>
      <c r="R9" s="156" t="n">
        <v>1</v>
      </c>
      <c r="S9" s="156" t="n">
        <v>0</v>
      </c>
      <c r="T9" s="156" t="n">
        <v>0</v>
      </c>
      <c r="U9" s="179" t="n">
        <v>0</v>
      </c>
      <c r="W9" s="156">
        <f>INDEX(Matrix!$AA$2:$AA$33, MATCH(G9, Matrix!$AC$2:$AC$33, 0))</f>
        <v/>
      </c>
      <c r="X9" s="156">
        <f>_xlfn.IFNA(MATCH(E7,'Injury Report'!$C$2:$C$6216,0),0)</f>
        <v/>
      </c>
    </row>
    <row r="10" ht="15.6" customHeight="1" s="152">
      <c r="A10" s="212" t="n">
        <v>7</v>
      </c>
      <c r="B10" s="167">
        <f>F10&amp;G10</f>
        <v/>
      </c>
      <c r="C10" s="156">
        <f>(K10/MAX(K:K)*$K$1)+(L10/MAX(L:L)*$L$1)+(M10/MAX(M:M)*$M$1)+(N10/MAX(N:N)*$N$1)+(T10/MAX(T:T)*$T$1)</f>
        <v/>
      </c>
      <c r="D10" s="156">
        <f>IFERROR(VLOOKUP(B10,#REF!,7,0),"")</f>
        <v/>
      </c>
      <c r="E10" s="156">
        <f>IFERROR(VLOOKUP(F10,AllPlayers!F:F,1,0),"------------")</f>
        <v/>
      </c>
      <c r="F10" s="156" t="inlineStr">
        <is>
          <t>Josh Jacobs</t>
        </is>
      </c>
      <c r="G10" s="156" t="inlineStr">
        <is>
          <t>GB</t>
        </is>
      </c>
      <c r="H10" s="156" t="inlineStr">
        <is>
          <t>RB</t>
        </is>
      </c>
      <c r="I10" s="156" t="n">
        <v>2</v>
      </c>
      <c r="J10" s="179" t="n">
        <v>42</v>
      </c>
      <c r="K10" s="179" t="n">
        <v>150</v>
      </c>
      <c r="L10" s="281">
        <f>IF(J10=0,0,K10/J10)</f>
        <v/>
      </c>
      <c r="M10" s="281">
        <f>K10/17</f>
        <v/>
      </c>
      <c r="N10" s="156" t="n">
        <v>2</v>
      </c>
      <c r="O10" s="156" t="n">
        <v>2</v>
      </c>
      <c r="P10" s="156" t="n">
        <v>0</v>
      </c>
      <c r="Q10" s="156" t="n">
        <v>4</v>
      </c>
      <c r="R10" s="156" t="n">
        <v>0</v>
      </c>
      <c r="S10" s="156" t="n">
        <v>0</v>
      </c>
      <c r="T10" s="156" t="n">
        <v>0</v>
      </c>
      <c r="U10" s="179" t="n">
        <v>0</v>
      </c>
      <c r="W10" s="156">
        <f>INDEX(Matrix!$AA$2:$AA$33, MATCH(G10, Matrix!$AC$2:$AC$33, 0))</f>
        <v/>
      </c>
      <c r="X10" s="156">
        <f>_xlfn.IFNA(MATCH(E8,'Injury Report'!$C$2:$C$6216,0),0)</f>
        <v/>
      </c>
    </row>
    <row r="11" ht="15.6" customHeight="1" s="152">
      <c r="A11" s="212" t="n">
        <v>8</v>
      </c>
      <c r="B11" s="167">
        <f>F11&amp;G11</f>
        <v/>
      </c>
      <c r="C11" s="156">
        <f>(K11/MAX(K:K)*$K$1)+(L11/MAX(L:L)*$L$1)+(M11/MAX(M:M)*$M$1)+(N11/MAX(N:N)*$N$1)+(T11/MAX(T:T)*$T$1)</f>
        <v/>
      </c>
      <c r="D11" s="156">
        <f>IFERROR(VLOOKUP(B11,#REF!,7,0),"")</f>
        <v/>
      </c>
      <c r="E11" s="156">
        <f>IFERROR(VLOOKUP(F11,AllPlayers!F:F,1,0),"------------")</f>
        <v/>
      </c>
      <c r="F11" s="156" t="inlineStr">
        <is>
          <t>Ashton Jeanty</t>
        </is>
      </c>
      <c r="G11" s="156" t="inlineStr">
        <is>
          <t>LV</t>
        </is>
      </c>
      <c r="H11" s="156" t="inlineStr">
        <is>
          <t>RB</t>
        </is>
      </c>
      <c r="I11" s="156" t="n">
        <v>2</v>
      </c>
      <c r="J11" s="179" t="n">
        <v>30</v>
      </c>
      <c r="K11" s="179" t="n">
        <v>81</v>
      </c>
      <c r="L11" s="281">
        <f>IF(J11=0,0,K11/J11)</f>
        <v/>
      </c>
      <c r="M11" s="281">
        <f>K11/17</f>
        <v/>
      </c>
      <c r="N11" s="156" t="n">
        <v>1</v>
      </c>
      <c r="O11" s="156" t="n">
        <v>8</v>
      </c>
      <c r="P11" s="156" t="n">
        <v>0</v>
      </c>
      <c r="Q11" s="156" t="n">
        <v>4</v>
      </c>
      <c r="R11" s="156" t="n">
        <v>2</v>
      </c>
      <c r="S11" s="156" t="n">
        <v>0</v>
      </c>
      <c r="T11" s="156" t="n">
        <v>0</v>
      </c>
      <c r="U11" s="179" t="n">
        <v>0</v>
      </c>
      <c r="W11" s="156">
        <f>INDEX(Matrix!$AA$2:$AA$33, MATCH(G11, Matrix!$AC$2:$AC$33, 0))</f>
        <v/>
      </c>
      <c r="X11" s="156">
        <f>_xlfn.IFNA(MATCH(E9,'Injury Report'!$C$2:$C$6216,0),0)</f>
        <v/>
      </c>
    </row>
    <row r="12" ht="15.6" customHeight="1" s="152">
      <c r="A12" s="212" t="n">
        <v>9</v>
      </c>
      <c r="B12" s="167">
        <f>F12&amp;G12</f>
        <v/>
      </c>
      <c r="C12" s="156">
        <f>(K12/MAX(K:K)*$K$1)+(L12/MAX(L:L)*$L$1)+(M12/MAX(M:M)*$M$1)+(N12/MAX(N:N)*$N$1)+(T12/MAX(T:T)*$T$1)</f>
        <v/>
      </c>
      <c r="D12" s="156">
        <f>IFERROR(VLOOKUP(B12,#REF!,7,0),"")</f>
        <v/>
      </c>
      <c r="E12" s="156">
        <f>IFERROR(VLOOKUP(F12,AllPlayers!F:F,1,0),"------------")</f>
        <v/>
      </c>
      <c r="F12" s="156" t="inlineStr">
        <is>
          <t>Kyren Williams</t>
        </is>
      </c>
      <c r="G12" s="156" t="inlineStr">
        <is>
          <t>LAR</t>
        </is>
      </c>
      <c r="H12" s="156" t="inlineStr">
        <is>
          <t>RB</t>
        </is>
      </c>
      <c r="I12" s="156" t="n">
        <v>2</v>
      </c>
      <c r="J12" s="179" t="n">
        <v>35</v>
      </c>
      <c r="K12" s="179" t="n">
        <v>132</v>
      </c>
      <c r="L12" s="281">
        <f>IF(J12=0,0,K12/J12)</f>
        <v/>
      </c>
      <c r="M12" s="281">
        <f>K12/17</f>
        <v/>
      </c>
      <c r="N12" s="156" t="n">
        <v>1</v>
      </c>
      <c r="O12" s="156" t="n">
        <v>3</v>
      </c>
      <c r="P12" s="156" t="n">
        <v>1</v>
      </c>
      <c r="Q12" s="156" t="n">
        <v>2</v>
      </c>
      <c r="R12" s="156" t="n">
        <v>0</v>
      </c>
      <c r="S12" s="156" t="n">
        <v>0</v>
      </c>
      <c r="T12" s="156" t="n">
        <v>0</v>
      </c>
      <c r="U12" s="179" t="n">
        <v>0</v>
      </c>
      <c r="W12" s="156">
        <f>INDEX(Matrix!$AA$2:$AA$33, MATCH(G12, Matrix!$AC$2:$AC$33, 0))</f>
        <v/>
      </c>
      <c r="X12" s="156">
        <f>_xlfn.IFNA(MATCH(E10,'Injury Report'!$C$2:$C$6216,0),0)</f>
        <v/>
      </c>
    </row>
    <row r="13" ht="15.6" customHeight="1" s="152">
      <c r="A13" s="212" t="n">
        <v>10</v>
      </c>
      <c r="B13" s="167">
        <f>F13&amp;G13</f>
        <v/>
      </c>
      <c r="C13" s="156">
        <f>(K13/MAX(K:K)*$K$1)+(L13/MAX(L:L)*$L$1)+(M13/MAX(M:M)*$M$1)+(N13/MAX(N:N)*$N$1)+(T13/MAX(T:T)*$T$1)</f>
        <v/>
      </c>
      <c r="D13" s="156">
        <f>IFERROR(VLOOKUP(B13,#REF!,7,0),"")</f>
        <v/>
      </c>
      <c r="E13" s="156">
        <f>IFERROR(VLOOKUP(F13,AllPlayers!F:F,1,0),"------------")</f>
        <v/>
      </c>
      <c r="F13" s="156" t="inlineStr">
        <is>
          <t>De'von Achane</t>
        </is>
      </c>
      <c r="G13" s="156" t="inlineStr">
        <is>
          <t>MIA</t>
        </is>
      </c>
      <c r="H13" s="156" t="inlineStr">
        <is>
          <t>RB</t>
        </is>
      </c>
      <c r="I13" s="156" t="n">
        <v>2</v>
      </c>
      <c r="J13" s="179" t="n">
        <v>18</v>
      </c>
      <c r="K13" s="179" t="n">
        <v>85</v>
      </c>
      <c r="L13" s="281">
        <f>IF(J13=0,0,K13/J13)</f>
        <v/>
      </c>
      <c r="M13" s="281">
        <f>K13/17</f>
        <v/>
      </c>
      <c r="N13" s="156" t="n">
        <v>0</v>
      </c>
      <c r="O13" s="156" t="n">
        <v>8</v>
      </c>
      <c r="P13" s="156" t="n">
        <v>3</v>
      </c>
      <c r="Q13" s="156" t="n">
        <v>3</v>
      </c>
      <c r="R13" s="156" t="n">
        <v>1</v>
      </c>
      <c r="S13" s="156" t="n">
        <v>0</v>
      </c>
      <c r="T13" s="156" t="n">
        <v>0</v>
      </c>
      <c r="U13" s="179" t="n">
        <v>0</v>
      </c>
      <c r="W13" s="156">
        <f>INDEX(Matrix!$AA$2:$AA$33, MATCH(G13, Matrix!$AC$2:$AC$33, 0))</f>
        <v/>
      </c>
      <c r="X13" s="156">
        <f>_xlfn.IFNA(MATCH(E11,'Injury Report'!$C$2:$C$6216,0),0)</f>
        <v/>
      </c>
    </row>
    <row r="14" ht="15.6" customHeight="1" s="152">
      <c r="A14" s="212" t="n">
        <v>11</v>
      </c>
      <c r="B14" s="167">
        <f>F14&amp;G14</f>
        <v/>
      </c>
      <c r="C14" s="156">
        <f>(K14/MAX(K:K)*$K$1)+(L14/MAX(L:L)*$L$1)+(M14/MAX(M:M)*$M$1)+(N14/MAX(N:N)*$N$1)+(T14/MAX(T:T)*$T$1)</f>
        <v/>
      </c>
      <c r="D14" s="156">
        <f>IFERROR(VLOOKUP(B14,#REF!,7,0),"")</f>
        <v/>
      </c>
      <c r="E14" s="156">
        <f>IFERROR(VLOOKUP(F14,AllPlayers!F:F,1,0),"------------")</f>
        <v/>
      </c>
      <c r="F14" s="156" t="inlineStr">
        <is>
          <t>Bucky Irving</t>
        </is>
      </c>
      <c r="G14" s="156" t="inlineStr">
        <is>
          <t>TB</t>
        </is>
      </c>
      <c r="H14" s="156" t="inlineStr">
        <is>
          <t>RB</t>
        </is>
      </c>
      <c r="I14" s="156" t="n">
        <v>2</v>
      </c>
      <c r="J14" s="179" t="n">
        <v>31</v>
      </c>
      <c r="K14" s="179" t="n">
        <v>108</v>
      </c>
      <c r="L14" s="281">
        <f>IF(J14=0,0,K14/J14)</f>
        <v/>
      </c>
      <c r="M14" s="281">
        <f>K14/17</f>
        <v/>
      </c>
      <c r="N14" s="156" t="n">
        <v>0</v>
      </c>
      <c r="O14" s="156" t="n">
        <v>6</v>
      </c>
      <c r="P14" s="156" t="n">
        <v>2</v>
      </c>
      <c r="Q14" s="156" t="n">
        <v>6</v>
      </c>
      <c r="R14" s="156" t="n">
        <v>0</v>
      </c>
      <c r="S14" s="156" t="n">
        <v>0</v>
      </c>
      <c r="T14" s="156" t="n">
        <v>0</v>
      </c>
      <c r="U14" s="179" t="n">
        <v>0</v>
      </c>
      <c r="W14" s="156">
        <f>INDEX(Matrix!$AA$2:$AA$33, MATCH(G14, Matrix!$AC$2:$AC$33, 0))</f>
        <v/>
      </c>
      <c r="X14" s="156">
        <f>_xlfn.IFNA(MATCH(E12,'Injury Report'!$C$2:$C$6216,0),0)</f>
        <v/>
      </c>
    </row>
    <row r="15" ht="15.6" customHeight="1" s="152">
      <c r="A15" s="212" t="n">
        <v>12</v>
      </c>
      <c r="B15" s="167">
        <f>F15&amp;G15</f>
        <v/>
      </c>
      <c r="C15" s="156">
        <f>(K15/MAX(K:K)*$K$1)+(L15/MAX(L:L)*$L$1)+(M15/MAX(M:M)*$M$1)+(N15/MAX(N:N)*$N$1)+(T15/MAX(T:T)*$T$1)</f>
        <v/>
      </c>
      <c r="D15" s="156">
        <f>IFERROR(VLOOKUP(B15,#REF!,7,0),"")</f>
        <v/>
      </c>
      <c r="E15" s="156">
        <f>IFERROR(VLOOKUP(F15,AllPlayers!F:F,1,0),"------------")</f>
        <v/>
      </c>
      <c r="F15" s="156" t="inlineStr">
        <is>
          <t>James Cook</t>
        </is>
      </c>
      <c r="G15" s="156" t="inlineStr">
        <is>
          <t>BUF</t>
        </is>
      </c>
      <c r="H15" s="156" t="inlineStr">
        <is>
          <t>RB</t>
        </is>
      </c>
      <c r="I15" s="156" t="n">
        <v>2</v>
      </c>
      <c r="J15" s="179" t="n">
        <v>34</v>
      </c>
      <c r="K15" s="179" t="n">
        <v>176</v>
      </c>
      <c r="L15" s="281">
        <f>IF(J15=0,0,K15/J15)</f>
        <v/>
      </c>
      <c r="M15" s="281">
        <f>K15/17</f>
        <v/>
      </c>
      <c r="N15" s="156" t="n">
        <v>3</v>
      </c>
      <c r="O15" s="156" t="n">
        <v>2</v>
      </c>
      <c r="P15" s="156" t="n">
        <v>0</v>
      </c>
      <c r="Q15" s="156" t="n">
        <v>4</v>
      </c>
      <c r="R15" s="156" t="n">
        <v>0</v>
      </c>
      <c r="S15" s="156" t="n">
        <v>0</v>
      </c>
      <c r="T15" s="156" t="n">
        <v>1</v>
      </c>
      <c r="U15" s="179" t="n">
        <v>0</v>
      </c>
      <c r="W15" s="156">
        <f>INDEX(Matrix!$AA$2:$AA$33, MATCH(G15, Matrix!$AC$2:$AC$33, 0))</f>
        <v/>
      </c>
      <c r="X15" s="156">
        <f>_xlfn.IFNA(MATCH(E13,'Injury Report'!$C$2:$C$6216,0),0)</f>
        <v/>
      </c>
    </row>
    <row r="16" ht="15.6" customHeight="1" s="152">
      <c r="A16" s="212" t="n">
        <v>13</v>
      </c>
      <c r="B16" s="167">
        <f>F16&amp;G16</f>
        <v/>
      </c>
      <c r="C16" s="156">
        <f>(K16/MAX(K:K)*$K$1)+(L16/MAX(L:L)*$L$1)+(M16/MAX(M:M)*$M$1)+(N16/MAX(N:N)*$N$1)+(T16/MAX(T:T)*$T$1)</f>
        <v/>
      </c>
      <c r="D16" s="156">
        <f>IFERROR(VLOOKUP(B16,#REF!,7,0),"")</f>
        <v/>
      </c>
      <c r="E16" s="156">
        <f>IFERROR(VLOOKUP(F16,AllPlayers!F:F,1,0),"------------")</f>
        <v/>
      </c>
      <c r="F16" s="156" t="inlineStr">
        <is>
          <t>Chase Brown</t>
        </is>
      </c>
      <c r="G16" s="156" t="inlineStr">
        <is>
          <t>CIN</t>
        </is>
      </c>
      <c r="H16" s="156" t="inlineStr">
        <is>
          <t>RB</t>
        </is>
      </c>
      <c r="I16" s="156" t="n">
        <v>2</v>
      </c>
      <c r="J16" s="179" t="n">
        <v>37</v>
      </c>
      <c r="K16" s="179" t="n">
        <v>90</v>
      </c>
      <c r="L16" s="281">
        <f>IF(J16=0,0,K16/J16)</f>
        <v/>
      </c>
      <c r="M16" s="281">
        <f>K16/17</f>
        <v/>
      </c>
      <c r="N16" s="156" t="n">
        <v>1</v>
      </c>
      <c r="O16" s="156" t="n">
        <v>6</v>
      </c>
      <c r="P16" s="156" t="n">
        <v>1</v>
      </c>
      <c r="Q16" s="156" t="n">
        <v>3</v>
      </c>
      <c r="R16" s="156" t="n">
        <v>0</v>
      </c>
      <c r="S16" s="156" t="n">
        <v>0</v>
      </c>
      <c r="T16" s="156" t="n">
        <v>0</v>
      </c>
      <c r="U16" s="179" t="n">
        <v>0</v>
      </c>
      <c r="W16" s="156">
        <f>INDEX(Matrix!$AA$2:$AA$33, MATCH(G16, Matrix!$AC$2:$AC$33, 0))</f>
        <v/>
      </c>
      <c r="X16" s="156">
        <f>_xlfn.IFNA(MATCH(E14,'Injury Report'!$C$2:$C$6216,0),0)</f>
        <v/>
      </c>
    </row>
    <row r="17" ht="15.6" customHeight="1" s="152">
      <c r="A17" s="212" t="n">
        <v>14</v>
      </c>
      <c r="B17" s="167">
        <f>F17&amp;G17</f>
        <v/>
      </c>
      <c r="C17" s="156">
        <f>(K17/MAX(K:K)*$K$1)+(L17/MAX(L:L)*$L$1)+(M17/MAX(M:M)*$M$1)+(N17/MAX(N:N)*$N$1)+(T17/MAX(T:T)*$T$1)</f>
        <v/>
      </c>
      <c r="D17" s="156">
        <f>IFERROR(VLOOKUP(B17,#REF!,7,0),"")</f>
        <v/>
      </c>
      <c r="E17" s="156">
        <f>IFERROR(VLOOKUP(F17,AllPlayers!F:F,1,0),"------------")</f>
        <v/>
      </c>
      <c r="F17" s="156" t="inlineStr">
        <is>
          <t>James Conner</t>
        </is>
      </c>
      <c r="G17" s="156" t="inlineStr">
        <is>
          <t>ARI</t>
        </is>
      </c>
      <c r="H17" s="156" t="inlineStr">
        <is>
          <t>RB</t>
        </is>
      </c>
      <c r="I17" s="156" t="n">
        <v>2</v>
      </c>
      <c r="J17" s="179" t="n">
        <v>23</v>
      </c>
      <c r="K17" s="179" t="n">
        <v>73</v>
      </c>
      <c r="L17" s="281">
        <f>IF(J17=0,0,K17/J17)</f>
        <v/>
      </c>
      <c r="M17" s="281">
        <f>K17/17</f>
        <v/>
      </c>
      <c r="N17" s="156" t="n">
        <v>1</v>
      </c>
      <c r="O17" s="156" t="n">
        <v>9</v>
      </c>
      <c r="P17" s="156" t="n">
        <v>0</v>
      </c>
      <c r="Q17" s="156" t="n">
        <v>3</v>
      </c>
      <c r="R17" s="156" t="n">
        <v>0</v>
      </c>
      <c r="S17" s="156" t="n">
        <v>0</v>
      </c>
      <c r="T17" s="156" t="n">
        <v>0</v>
      </c>
      <c r="U17" s="179" t="n">
        <v>0</v>
      </c>
      <c r="W17" s="156">
        <f>INDEX(Matrix!$AA$2:$AA$33, MATCH(G17, Matrix!$AC$2:$AC$33, 0))</f>
        <v/>
      </c>
      <c r="X17" s="156">
        <f>_xlfn.IFNA(MATCH(E15,'Injury Report'!$C$2:$C$6216,0),0)</f>
        <v/>
      </c>
    </row>
    <row r="18" ht="15.6" customHeight="1" s="152">
      <c r="A18" s="212" t="n">
        <v>15</v>
      </c>
      <c r="B18" s="167">
        <f>F18&amp;G18</f>
        <v/>
      </c>
      <c r="C18" s="156">
        <f>(K18/MAX(K:K)*$K$1)+(L18/MAX(L:L)*$L$1)+(M18/MAX(M:M)*$M$1)+(N18/MAX(N:N)*$N$1)+(T18/MAX(T:T)*$T$1)</f>
        <v/>
      </c>
      <c r="D18" s="156">
        <f>IFERROR(VLOOKUP(B18,#REF!,7,0),"")</f>
        <v/>
      </c>
      <c r="E18" s="156">
        <f>IFERROR(VLOOKUP(F18,AllPlayers!F:F,1,0),"------------")</f>
        <v/>
      </c>
      <c r="F18" s="156" t="inlineStr">
        <is>
          <t>Chuba Hubbard</t>
        </is>
      </c>
      <c r="G18" s="156" t="inlineStr">
        <is>
          <t>CAR</t>
        </is>
      </c>
      <c r="H18" s="156" t="inlineStr">
        <is>
          <t>RB</t>
        </is>
      </c>
      <c r="I18" s="156" t="n">
        <v>2</v>
      </c>
      <c r="J18" s="179" t="n">
        <v>26</v>
      </c>
      <c r="K18" s="179" t="n">
        <v>95</v>
      </c>
      <c r="L18" s="281">
        <f>IF(J18=0,0,K18/J18)</f>
        <v/>
      </c>
      <c r="M18" s="281">
        <f>K18/17</f>
        <v/>
      </c>
      <c r="N18" s="156" t="n">
        <v>0</v>
      </c>
      <c r="O18" s="156" t="n">
        <v>8</v>
      </c>
      <c r="P18" s="156" t="n">
        <v>2</v>
      </c>
      <c r="Q18" s="156" t="n">
        <v>7</v>
      </c>
      <c r="R18" s="156" t="n">
        <v>1</v>
      </c>
      <c r="S18" s="156" t="n">
        <v>0</v>
      </c>
      <c r="T18" s="156" t="n">
        <v>0</v>
      </c>
      <c r="U18" s="179" t="n">
        <v>0</v>
      </c>
      <c r="W18" s="156">
        <f>INDEX(Matrix!$AA$2:$AA$33, MATCH(G18, Matrix!$AC$2:$AC$33, 0))</f>
        <v/>
      </c>
      <c r="X18" s="156">
        <f>_xlfn.IFNA(MATCH(E16,'Injury Report'!$C$2:$C$6216,0),0)</f>
        <v/>
      </c>
    </row>
    <row r="19" ht="15.6" customHeight="1" s="152">
      <c r="A19" s="212" t="n">
        <v>16</v>
      </c>
      <c r="B19" s="167">
        <f>F19&amp;G19</f>
        <v/>
      </c>
      <c r="C19" s="156">
        <f>(K19/MAX(K:K)*$K$1)+(L19/MAX(L:L)*$L$1)+(M19/MAX(M:M)*$M$1)+(N19/MAX(N:N)*$N$1)+(T19/MAX(T:T)*$T$1)</f>
        <v/>
      </c>
      <c r="D19" s="156">
        <f>IFERROR(VLOOKUP(B19,#REF!,7,0),"")</f>
        <v/>
      </c>
      <c r="E19" s="156">
        <f>IFERROR(VLOOKUP(F19,AllPlayers!F:F,1,0),"------------")</f>
        <v/>
      </c>
      <c r="F19" s="156" t="inlineStr">
        <is>
          <t>Omarion Hampton</t>
        </is>
      </c>
      <c r="G19" s="156" t="inlineStr">
        <is>
          <t>LAC</t>
        </is>
      </c>
      <c r="H19" s="156" t="inlineStr">
        <is>
          <t>RB</t>
        </is>
      </c>
      <c r="I19" s="156" t="n">
        <v>2</v>
      </c>
      <c r="J19" s="179" t="n">
        <v>23</v>
      </c>
      <c r="K19" s="179" t="n">
        <v>72</v>
      </c>
      <c r="L19" s="281">
        <f>IF(J19=0,0,K19/J19)</f>
        <v/>
      </c>
      <c r="M19" s="281">
        <f>K19/17</f>
        <v/>
      </c>
      <c r="N19" s="156" t="n">
        <v>0</v>
      </c>
      <c r="O19" s="156" t="n">
        <v>6</v>
      </c>
      <c r="P19" s="156" t="n">
        <v>4</v>
      </c>
      <c r="Q19" s="156" t="n">
        <v>4</v>
      </c>
      <c r="R19" s="156" t="n">
        <v>0</v>
      </c>
      <c r="S19" s="156" t="n">
        <v>0</v>
      </c>
      <c r="T19" s="156" t="n">
        <v>0</v>
      </c>
      <c r="U19" s="179" t="n">
        <v>0</v>
      </c>
      <c r="W19" s="156">
        <f>INDEX(Matrix!$AA$2:$AA$33, MATCH(G19, Matrix!$AC$2:$AC$33, 0))</f>
        <v/>
      </c>
      <c r="X19" s="156">
        <f>_xlfn.IFNA(MATCH(E17,'Injury Report'!$C$2:$C$6216,0),0)</f>
        <v/>
      </c>
    </row>
    <row r="20" ht="15.6" customHeight="1" s="152">
      <c r="A20" s="212" t="n">
        <v>17</v>
      </c>
      <c r="B20" s="167">
        <f>F20&amp;G20</f>
        <v/>
      </c>
      <c r="C20" s="156">
        <f>(K20/MAX(K:K)*$K$1)+(L20/MAX(L:L)*$L$1)+(M20/MAX(M:M)*$M$1)+(N20/MAX(N:N)*$N$1)+(T20/MAX(T:T)*$T$1)</f>
        <v/>
      </c>
      <c r="D20" s="156">
        <f>IFERROR(VLOOKUP(B20,#REF!,7,0),"")</f>
        <v/>
      </c>
      <c r="E20" s="156">
        <f>IFERROR(VLOOKUP(F20,AllPlayers!F:F,1,0),"------------")</f>
        <v/>
      </c>
      <c r="F20" s="156" t="inlineStr">
        <is>
          <t>Breece Hall</t>
        </is>
      </c>
      <c r="G20" s="156" t="inlineStr">
        <is>
          <t>NYJ</t>
        </is>
      </c>
      <c r="H20" s="156" t="inlineStr">
        <is>
          <t>RB</t>
        </is>
      </c>
      <c r="I20" s="156" t="n">
        <v>2</v>
      </c>
      <c r="J20" s="179" t="n">
        <v>29</v>
      </c>
      <c r="K20" s="179" t="n">
        <v>136</v>
      </c>
      <c r="L20" s="281">
        <f>IF(J20=0,0,K20/J20)</f>
        <v/>
      </c>
      <c r="M20" s="281">
        <f>K20/17</f>
        <v/>
      </c>
      <c r="N20" s="156" t="n">
        <v>0</v>
      </c>
      <c r="O20" s="156" t="n">
        <v>8</v>
      </c>
      <c r="P20" s="156" t="n">
        <v>1</v>
      </c>
      <c r="Q20" s="156" t="n">
        <v>1</v>
      </c>
      <c r="R20" s="156" t="n">
        <v>0</v>
      </c>
      <c r="S20" s="156" t="n">
        <v>0</v>
      </c>
      <c r="T20" s="156" t="n">
        <v>0</v>
      </c>
      <c r="U20" s="179" t="n">
        <v>0</v>
      </c>
      <c r="W20" s="156">
        <f>INDEX(Matrix!$AA$2:$AA$33, MATCH(G20, Matrix!$AC$2:$AC$33, 0))</f>
        <v/>
      </c>
      <c r="X20" s="156">
        <f>_xlfn.IFNA(MATCH(E18,'Injury Report'!$C$2:$C$6216,0),0)</f>
        <v/>
      </c>
    </row>
    <row r="21" ht="15.6" customHeight="1" s="152">
      <c r="A21" s="212" t="n">
        <v>18</v>
      </c>
      <c r="B21" s="167">
        <f>F21&amp;G21</f>
        <v/>
      </c>
      <c r="C21" s="156">
        <f>(K21/MAX(K:K)*$K$1)+(L21/MAX(L:L)*$L$1)+(M21/MAX(M:M)*$M$1)+(N21/MAX(N:N)*$N$1)+(T21/MAX(T:T)*$T$1)</f>
        <v/>
      </c>
      <c r="D21" s="156">
        <f>IFERROR(VLOOKUP(B21,#REF!,7,0),"")</f>
        <v/>
      </c>
      <c r="E21" s="156">
        <f>IFERROR(VLOOKUP(F21,AllPlayers!F:F,1,0),"------------")</f>
        <v/>
      </c>
      <c r="F21" s="156" t="inlineStr">
        <is>
          <t>Alvin Kamara</t>
        </is>
      </c>
      <c r="G21" s="156" t="inlineStr">
        <is>
          <t>NO</t>
        </is>
      </c>
      <c r="H21" s="156" t="inlineStr">
        <is>
          <t>RB</t>
        </is>
      </c>
      <c r="I21" s="156" t="n">
        <v>2</v>
      </c>
      <c r="J21" s="179" t="n">
        <v>32</v>
      </c>
      <c r="K21" s="179" t="n">
        <v>145</v>
      </c>
      <c r="L21" s="281">
        <f>IF(J21=0,0,K21/J21)</f>
        <v/>
      </c>
      <c r="M21" s="281">
        <f>K21/17</f>
        <v/>
      </c>
      <c r="N21" s="156" t="n">
        <v>1</v>
      </c>
      <c r="O21" s="156" t="n">
        <v>5</v>
      </c>
      <c r="P21" s="156" t="n">
        <v>1</v>
      </c>
      <c r="Q21" s="156" t="n">
        <v>1</v>
      </c>
      <c r="R21" s="156" t="n">
        <v>0</v>
      </c>
      <c r="S21" s="156" t="n">
        <v>0</v>
      </c>
      <c r="T21" s="156" t="n">
        <v>0</v>
      </c>
      <c r="U21" s="179" t="n">
        <v>0</v>
      </c>
      <c r="W21" s="156">
        <f>INDEX(Matrix!$AA$2:$AA$33, MATCH(G21, Matrix!$AC$2:$AC$33, 0))</f>
        <v/>
      </c>
      <c r="X21" s="156">
        <f>_xlfn.IFNA(MATCH(E19,'Injury Report'!$C$2:$C$6216,0),0)</f>
        <v/>
      </c>
    </row>
    <row r="22" ht="15.6" customHeight="1" s="152">
      <c r="A22" s="212" t="n">
        <v>19</v>
      </c>
      <c r="B22" s="167">
        <f>F22&amp;G22</f>
        <v/>
      </c>
      <c r="C22" s="156">
        <f>(K22/MAX(K:K)*$K$1)+(L22/MAX(L:L)*$L$1)+(M22/MAX(M:M)*$M$1)+(N22/MAX(N:N)*$N$1)+(T22/MAX(T:T)*$T$1)</f>
        <v/>
      </c>
      <c r="D22" s="156">
        <f>IFERROR(VLOOKUP(B22,#REF!,7,0),"")</f>
        <v/>
      </c>
      <c r="E22" s="156">
        <f>IFERROR(VLOOKUP(F22,AllPlayers!F:F,1,0),"------------")</f>
        <v/>
      </c>
      <c r="F22" s="156" t="inlineStr">
        <is>
          <t>Kenneth Walker</t>
        </is>
      </c>
      <c r="G22" s="156" t="inlineStr">
        <is>
          <t>SEA</t>
        </is>
      </c>
      <c r="H22" s="156" t="inlineStr">
        <is>
          <t>RB</t>
        </is>
      </c>
      <c r="I22" s="156" t="n">
        <v>2</v>
      </c>
      <c r="J22" s="179" t="n">
        <v>23</v>
      </c>
      <c r="K22" s="179" t="n">
        <v>125</v>
      </c>
      <c r="L22" s="281">
        <f>IF(J22=0,0,K22/J22)</f>
        <v/>
      </c>
      <c r="M22" s="281">
        <f>K22/17</f>
        <v/>
      </c>
      <c r="N22" s="156" t="n">
        <v>1</v>
      </c>
      <c r="O22" s="156" t="n">
        <v>3</v>
      </c>
      <c r="P22" s="156" t="n">
        <v>0</v>
      </c>
      <c r="Q22" s="156" t="n">
        <v>3</v>
      </c>
      <c r="R22" s="156" t="n">
        <v>1</v>
      </c>
      <c r="S22" s="156" t="n">
        <v>0</v>
      </c>
      <c r="T22" s="156" t="n">
        <v>0</v>
      </c>
      <c r="U22" s="179" t="n">
        <v>0</v>
      </c>
      <c r="W22" s="156">
        <f>INDEX(Matrix!$AA$2:$AA$33, MATCH(G22, Matrix!$AC$2:$AC$33, 0))</f>
        <v/>
      </c>
      <c r="X22" s="156">
        <f>_xlfn.IFNA(MATCH(E20,'Injury Report'!$C$2:$C$6216,0),0)</f>
        <v/>
      </c>
    </row>
    <row r="23" ht="15.6" customHeight="1" s="152">
      <c r="A23" s="212" t="n">
        <v>20</v>
      </c>
      <c r="B23" s="167">
        <f>F23&amp;G23</f>
        <v/>
      </c>
      <c r="C23" s="156">
        <f>(K23/MAX(K:K)*$K$1)+(L23/MAX(L:L)*$L$1)+(M23/MAX(M:M)*$M$1)+(N23/MAX(N:N)*$N$1)+(T23/MAX(T:T)*$T$1)</f>
        <v/>
      </c>
      <c r="D23" s="156">
        <f>IFERROR(VLOOKUP(B23,#REF!,7,0),"")</f>
        <v/>
      </c>
      <c r="E23" s="156">
        <f>IFERROR(VLOOKUP(F23,AllPlayers!F:F,1,0),"------------")</f>
        <v/>
      </c>
      <c r="F23" s="156" t="inlineStr">
        <is>
          <t>David Montgomery</t>
        </is>
      </c>
      <c r="G23" s="156" t="inlineStr">
        <is>
          <t>DET</t>
        </is>
      </c>
      <c r="H23" s="156" t="inlineStr">
        <is>
          <t>QB</t>
        </is>
      </c>
      <c r="I23" s="156" t="n">
        <v>2</v>
      </c>
      <c r="J23" s="179" t="n">
        <v>22</v>
      </c>
      <c r="K23" s="179" t="n">
        <v>82</v>
      </c>
      <c r="L23" s="281">
        <f>IF(J23=0,0,K23/J23)</f>
        <v/>
      </c>
      <c r="M23" s="281">
        <f>K23/17</f>
        <v/>
      </c>
      <c r="N23" s="156" t="n">
        <v>1</v>
      </c>
      <c r="O23" s="156" t="n">
        <v>8</v>
      </c>
      <c r="P23" s="156" t="n">
        <v>1</v>
      </c>
      <c r="Q23" s="156" t="n">
        <v>1</v>
      </c>
      <c r="R23" s="156" t="n">
        <v>0</v>
      </c>
      <c r="S23" s="156" t="n">
        <v>0</v>
      </c>
      <c r="T23" s="156" t="n">
        <v>0</v>
      </c>
      <c r="U23" s="179" t="n">
        <v>0</v>
      </c>
      <c r="W23" s="156">
        <f>INDEX(Matrix!$AA$2:$AA$33, MATCH(G23, Matrix!$AC$2:$AC$33, 0))</f>
        <v/>
      </c>
      <c r="X23" s="156">
        <f>_xlfn.IFNA(MATCH(E21,'Injury Report'!$C$2:$C$6216,0),0)</f>
        <v/>
      </c>
    </row>
    <row r="24" ht="15.6" customHeight="1" s="152">
      <c r="A24" s="212" t="n">
        <v>21</v>
      </c>
      <c r="B24" s="167">
        <f>F24&amp;G24</f>
        <v/>
      </c>
      <c r="C24" s="156">
        <f>(K24/MAX(K:K)*$K$1)+(L24/MAX(L:L)*$L$1)+(M24/MAX(M:M)*$M$1)+(N24/MAX(N:N)*$N$1)+(T24/MAX(T:T)*$T$1)</f>
        <v/>
      </c>
      <c r="D24" s="156">
        <f>IFERROR(VLOOKUP(B24,#REF!,7,0),"")</f>
        <v/>
      </c>
      <c r="E24" s="156">
        <f>IFERROR(VLOOKUP(F24,AllPlayers!F:F,1,0),"------------")</f>
        <v/>
      </c>
      <c r="F24" s="156" t="inlineStr">
        <is>
          <t>D'andre Swift</t>
        </is>
      </c>
      <c r="G24" s="156" t="inlineStr">
        <is>
          <t>CHI</t>
        </is>
      </c>
      <c r="H24" s="156" t="inlineStr">
        <is>
          <t>RB</t>
        </is>
      </c>
      <c r="I24" s="156" t="n">
        <v>2</v>
      </c>
      <c r="J24" s="179" t="n">
        <v>29</v>
      </c>
      <c r="K24" s="179" t="n">
        <v>116</v>
      </c>
      <c r="L24" s="281">
        <f>IF(J24=0,0,K24/J24)</f>
        <v/>
      </c>
      <c r="M24" s="281">
        <f>K24/17</f>
        <v/>
      </c>
      <c r="N24" s="156" t="n">
        <v>1</v>
      </c>
      <c r="O24" s="156" t="n">
        <v>5</v>
      </c>
      <c r="P24" s="156" t="n">
        <v>3</v>
      </c>
      <c r="Q24" s="156" t="n">
        <v>2</v>
      </c>
      <c r="R24" s="156" t="n">
        <v>0</v>
      </c>
      <c r="S24" s="156" t="n">
        <v>0</v>
      </c>
      <c r="T24" s="156" t="n">
        <v>1</v>
      </c>
      <c r="U24" s="179" t="n">
        <v>1</v>
      </c>
      <c r="W24" s="156">
        <f>INDEX(Matrix!$AA$2:$AA$33, MATCH(G24, Matrix!$AC$2:$AC$33, 0))</f>
        <v/>
      </c>
      <c r="X24" s="156">
        <f>_xlfn.IFNA(MATCH(E22,'Injury Report'!$C$2:$C$6216,0),0)</f>
        <v/>
      </c>
    </row>
    <row r="25" ht="15.6" customHeight="1" s="152">
      <c r="A25" s="212" t="n">
        <v>22</v>
      </c>
      <c r="B25" s="167">
        <f>F25&amp;G25</f>
        <v/>
      </c>
      <c r="C25" s="156">
        <f>(K25/MAX(K:K)*$K$1)+(L25/MAX(L:L)*$L$1)+(M25/MAX(M:M)*$M$1)+(N25/MAX(N:N)*$N$1)+(T25/MAX(T:T)*$T$1)</f>
        <v/>
      </c>
      <c r="D25" s="156">
        <f>IFERROR(VLOOKUP(B25,#REF!,7,0),"")</f>
        <v/>
      </c>
      <c r="E25" s="156">
        <f>IFERROR(VLOOKUP(F25,AllPlayers!F:F,1,0),"------------")</f>
        <v/>
      </c>
      <c r="F25" s="156" t="inlineStr">
        <is>
          <t>Treveyon Henderson</t>
        </is>
      </c>
      <c r="G25" s="156" t="inlineStr">
        <is>
          <t>NE</t>
        </is>
      </c>
      <c r="H25" s="156" t="inlineStr">
        <is>
          <t>RB</t>
        </is>
      </c>
      <c r="I25" s="156" t="n">
        <v>2</v>
      </c>
      <c r="J25" s="179" t="n">
        <v>8</v>
      </c>
      <c r="K25" s="179" t="n">
        <v>37</v>
      </c>
      <c r="L25" s="281">
        <f>IF(J25=0,0,K25/J25)</f>
        <v/>
      </c>
      <c r="M25" s="281">
        <f>K25/17</f>
        <v/>
      </c>
      <c r="N25" s="156" t="n">
        <v>0</v>
      </c>
      <c r="O25" s="156" t="n">
        <v>6</v>
      </c>
      <c r="P25" s="156" t="n">
        <v>3</v>
      </c>
      <c r="Q25" s="156" t="n">
        <v>2</v>
      </c>
      <c r="R25" s="156" t="n">
        <v>0</v>
      </c>
      <c r="S25" s="156" t="n">
        <v>0</v>
      </c>
      <c r="T25" s="156" t="n">
        <v>0</v>
      </c>
      <c r="U25" s="179" t="n">
        <v>0</v>
      </c>
      <c r="W25" s="156">
        <f>INDEX(Matrix!$AA$2:$AA$33, MATCH(G25, Matrix!$AC$2:$AC$33, 0))</f>
        <v/>
      </c>
      <c r="X25" s="156">
        <f>_xlfn.IFNA(MATCH(E23,'Injury Report'!$C$2:$C$6216,0),0)</f>
        <v/>
      </c>
    </row>
    <row r="26" ht="15.6" customHeight="1" s="152">
      <c r="A26" s="212" t="n">
        <v>23</v>
      </c>
      <c r="B26" s="167">
        <f>F26&amp;G26</f>
        <v/>
      </c>
      <c r="C26" s="156">
        <f>(K26/MAX(K:K)*$K$1)+(L26/MAX(L:L)*$L$1)+(M26/MAX(M:M)*$M$1)+(N26/MAX(N:N)*$N$1)+(T26/MAX(T:T)*$T$1)</f>
        <v/>
      </c>
      <c r="D26" s="156">
        <f>IFERROR(VLOOKUP(B26,#REF!,7,0),"")</f>
        <v/>
      </c>
      <c r="E26" s="156">
        <f>IFERROR(VLOOKUP(F26,AllPlayers!F:F,1,0),"------------")</f>
        <v/>
      </c>
      <c r="F26" s="156" t="inlineStr">
        <is>
          <t>Tony Pollard</t>
        </is>
      </c>
      <c r="G26" s="156" t="inlineStr">
        <is>
          <t>TEN</t>
        </is>
      </c>
      <c r="H26" s="156" t="inlineStr">
        <is>
          <t>QB</t>
        </is>
      </c>
      <c r="I26" s="156" t="n">
        <v>2</v>
      </c>
      <c r="J26" s="179" t="n">
        <v>38</v>
      </c>
      <c r="K26" s="179" t="n">
        <v>152</v>
      </c>
      <c r="L26" s="281">
        <f>IF(J26=0,0,K26/J26)</f>
        <v/>
      </c>
      <c r="M26" s="281">
        <f>K26/17</f>
        <v/>
      </c>
      <c r="N26" s="156" t="n">
        <v>0</v>
      </c>
      <c r="O26" s="156" t="n">
        <v>7</v>
      </c>
      <c r="P26" s="156" t="n">
        <v>1</v>
      </c>
      <c r="Q26" s="156" t="n">
        <v>1</v>
      </c>
      <c r="R26" s="156" t="n">
        <v>0</v>
      </c>
      <c r="S26" s="156" t="n">
        <v>0</v>
      </c>
      <c r="T26" s="156" t="n">
        <v>1</v>
      </c>
      <c r="U26" s="179" t="n">
        <v>1</v>
      </c>
      <c r="W26" s="156">
        <f>INDEX(Matrix!$AA$2:$AA$33, MATCH(G26, Matrix!$AC$2:$AC$33, 0))</f>
        <v/>
      </c>
      <c r="X26" s="156">
        <f>_xlfn.IFNA(MATCH(E24,'Injury Report'!$C$2:$C$6216,0),0)</f>
        <v/>
      </c>
    </row>
    <row r="27" ht="15.6" customHeight="1" s="152">
      <c r="A27" s="212" t="n">
        <v>24</v>
      </c>
      <c r="B27" s="167">
        <f>F27&amp;G27</f>
        <v/>
      </c>
      <c r="C27" s="156">
        <f>(K27/MAX(K:K)*$K$1)+(L27/MAX(L:L)*$L$1)+(M27/MAX(M:M)*$M$1)+(N27/MAX(N:N)*$N$1)+(T27/MAX(T:T)*$T$1)</f>
        <v/>
      </c>
      <c r="D27" s="156">
        <f>IFERROR(VLOOKUP(B27,#REF!,7,0),"")</f>
        <v/>
      </c>
      <c r="E27" s="156">
        <f>IFERROR(VLOOKUP(F27,AllPlayers!F:F,1,0),"------------")</f>
        <v/>
      </c>
      <c r="F27" s="156" t="inlineStr">
        <is>
          <t>Aaron Jones</t>
        </is>
      </c>
      <c r="G27" s="156" t="inlineStr">
        <is>
          <t>MIN</t>
        </is>
      </c>
      <c r="H27" s="156" t="inlineStr">
        <is>
          <t>RB</t>
        </is>
      </c>
      <c r="I27" s="156" t="n">
        <v>2</v>
      </c>
      <c r="J27" s="179" t="n">
        <v>13</v>
      </c>
      <c r="K27" s="179" t="n">
        <v>46</v>
      </c>
      <c r="L27" s="281">
        <f>IF(J27=0,0,K27/J27)</f>
        <v/>
      </c>
      <c r="M27" s="281">
        <f>K27/17</f>
        <v/>
      </c>
      <c r="N27" s="156" t="n">
        <v>0</v>
      </c>
      <c r="O27" s="156" t="n">
        <v>3</v>
      </c>
      <c r="P27" s="156" t="n">
        <v>1</v>
      </c>
      <c r="Q27" s="156" t="n">
        <v>1</v>
      </c>
      <c r="R27" s="156" t="n">
        <v>0</v>
      </c>
      <c r="S27" s="156" t="n">
        <v>0</v>
      </c>
      <c r="T27" s="156" t="n">
        <v>0</v>
      </c>
      <c r="U27" s="179" t="n">
        <v>0</v>
      </c>
      <c r="W27" s="156">
        <f>INDEX(Matrix!$AA$2:$AA$33, MATCH(G27, Matrix!$AC$2:$AC$33, 0))</f>
        <v/>
      </c>
      <c r="X27" s="156">
        <f>_xlfn.IFNA(MATCH(E25,'Injury Report'!$C$2:$C$6216,0),0)</f>
        <v/>
      </c>
    </row>
    <row r="28" ht="15.6" customHeight="1" s="152">
      <c r="A28" s="212" t="n">
        <v>25</v>
      </c>
      <c r="B28" s="167">
        <f>F28&amp;G28</f>
        <v/>
      </c>
      <c r="C28" s="156">
        <f>(K28/MAX(K:K)*$K$1)+(L28/MAX(L:L)*$L$1)+(M28/MAX(M:M)*$M$1)+(N28/MAX(N:N)*$N$1)+(T28/MAX(T:T)*$T$1)</f>
        <v/>
      </c>
      <c r="D28" s="156">
        <f>IFERROR(VLOOKUP(B28,#REF!,7,0),"")</f>
        <v/>
      </c>
      <c r="E28" s="156">
        <f>IFERROR(VLOOKUP(F28,AllPlayers!F:F,1,0),"------------")</f>
        <v/>
      </c>
      <c r="F28" s="156" t="inlineStr">
        <is>
          <t>Isiah Pacheco</t>
        </is>
      </c>
      <c r="G28" s="156" t="inlineStr">
        <is>
          <t>KC</t>
        </is>
      </c>
      <c r="H28" s="156" t="inlineStr">
        <is>
          <t>RB</t>
        </is>
      </c>
      <c r="I28" s="156" t="n">
        <v>2</v>
      </c>
      <c r="J28" s="179" t="n">
        <v>15</v>
      </c>
      <c r="K28" s="179" t="n">
        <v>47</v>
      </c>
      <c r="L28" s="281">
        <f>IF(J28=0,0,K28/J28)</f>
        <v/>
      </c>
      <c r="M28" s="281">
        <f>K28/17</f>
        <v/>
      </c>
      <c r="N28" s="156" t="n">
        <v>0</v>
      </c>
      <c r="O28" s="156" t="n">
        <v>6</v>
      </c>
      <c r="P28" s="156" t="n">
        <v>2</v>
      </c>
      <c r="Q28" s="156" t="n">
        <v>3</v>
      </c>
      <c r="R28" s="156" t="n">
        <v>0</v>
      </c>
      <c r="S28" s="156" t="n">
        <v>0</v>
      </c>
      <c r="T28" s="156" t="n">
        <v>0</v>
      </c>
      <c r="U28" s="179" t="n">
        <v>0</v>
      </c>
      <c r="W28" s="156">
        <f>INDEX(Matrix!$AA$2:$AA$33, MATCH(G28, Matrix!$AC$2:$AC$33, 0))</f>
        <v/>
      </c>
      <c r="X28" s="156">
        <f>_xlfn.IFNA(MATCH(E26,'Injury Report'!$C$2:$C$6216,0),0)</f>
        <v/>
      </c>
    </row>
    <row r="29" ht="15.6" customHeight="1" s="152">
      <c r="A29" s="212" t="n">
        <v>26</v>
      </c>
      <c r="B29" s="167">
        <f>F29&amp;G29</f>
        <v/>
      </c>
      <c r="C29" s="156">
        <f>(K29/MAX(K:K)*$K$1)+(L29/MAX(L:L)*$L$1)+(M29/MAX(M:M)*$M$1)+(N29/MAX(N:N)*$N$1)+(T29/MAX(T:T)*$T$1)</f>
        <v/>
      </c>
      <c r="D29" s="156">
        <f>IFERROR(VLOOKUP(B29,#REF!,7,0),"")</f>
        <v/>
      </c>
      <c r="E29" s="156">
        <f>IFERROR(VLOOKUP(F29,AllPlayers!F:F,1,0),"------------")</f>
        <v/>
      </c>
      <c r="F29" s="156" t="inlineStr">
        <is>
          <t>R.J. Harvey</t>
        </is>
      </c>
      <c r="G29" s="156" t="inlineStr">
        <is>
          <t>DEN</t>
        </is>
      </c>
      <c r="H29" s="156" t="inlineStr">
        <is>
          <t>RB</t>
        </is>
      </c>
      <c r="I29" s="156" t="n">
        <v>2</v>
      </c>
      <c r="J29" s="179" t="n">
        <v>11</v>
      </c>
      <c r="K29" s="179" t="n">
        <v>78</v>
      </c>
      <c r="L29" s="281">
        <f>IF(J29=0,0,K29/J29)</f>
        <v/>
      </c>
      <c r="M29" s="281">
        <f>K29/17</f>
        <v/>
      </c>
      <c r="N29" s="156" t="n">
        <v>0</v>
      </c>
      <c r="O29" s="156" t="n">
        <v>2</v>
      </c>
      <c r="P29" s="156" t="n">
        <v>0</v>
      </c>
      <c r="Q29" s="156" t="n">
        <v>1</v>
      </c>
      <c r="R29" s="156" t="n">
        <v>0</v>
      </c>
      <c r="S29" s="156" t="n">
        <v>0</v>
      </c>
      <c r="T29" s="156" t="n">
        <v>0</v>
      </c>
      <c r="U29" s="179" t="n">
        <v>0</v>
      </c>
      <c r="W29" s="156">
        <f>INDEX(Matrix!$AA$2:$AA$33, MATCH(G29, Matrix!$AC$2:$AC$33, 0))</f>
        <v/>
      </c>
      <c r="X29" s="156">
        <f>_xlfn.IFNA(MATCH(E27,'Injury Report'!$C$2:$C$6216,0),0)</f>
        <v/>
      </c>
    </row>
    <row r="30" ht="15.6" customHeight="1" s="152">
      <c r="A30" s="212" t="n">
        <v>27</v>
      </c>
      <c r="B30" s="167">
        <f>F30&amp;G30</f>
        <v/>
      </c>
      <c r="C30" s="156">
        <f>(K30/MAX(K:K)*$K$1)+(L30/MAX(L:L)*$L$1)+(M30/MAX(M:M)*$M$1)+(N30/MAX(N:N)*$N$1)+(T30/MAX(T:T)*$T$1)</f>
        <v/>
      </c>
      <c r="D30" s="156">
        <f>IFERROR(VLOOKUP(B30,#REF!,7,0),"")</f>
        <v/>
      </c>
      <c r="E30" s="156">
        <f>IFERROR(VLOOKUP(F30,AllPlayers!F:F,1,0),"------------")</f>
        <v/>
      </c>
      <c r="F30" s="156" t="inlineStr">
        <is>
          <t>Kaleb Johnson</t>
        </is>
      </c>
      <c r="G30" s="156" t="inlineStr">
        <is>
          <t>PIT</t>
        </is>
      </c>
      <c r="H30" s="156" t="inlineStr">
        <is>
          <t>RB</t>
        </is>
      </c>
      <c r="I30" s="156" t="n">
        <v>2</v>
      </c>
      <c r="J30" s="179" t="n">
        <v>2</v>
      </c>
      <c r="K30" s="179" t="n">
        <v>-1</v>
      </c>
      <c r="L30" s="281">
        <f>IF(J30=0,0,K30/J30)</f>
        <v/>
      </c>
      <c r="M30" s="281">
        <f>K30/17</f>
        <v/>
      </c>
      <c r="N30" s="156" t="n">
        <v>0</v>
      </c>
      <c r="O30" s="156" t="n">
        <v>4</v>
      </c>
      <c r="P30" s="156" t="n">
        <v>2</v>
      </c>
      <c r="Q30" s="156" t="n">
        <v>3</v>
      </c>
      <c r="R30" s="156" t="n">
        <v>0</v>
      </c>
      <c r="S30" s="156" t="n">
        <v>0</v>
      </c>
      <c r="T30" s="156" t="n">
        <v>0</v>
      </c>
      <c r="U30" s="179" t="n">
        <v>0</v>
      </c>
      <c r="W30" s="156">
        <f>INDEX(Matrix!$AA$2:$AA$33, MATCH(G30, Matrix!$AC$2:$AC$33, 0))</f>
        <v/>
      </c>
      <c r="X30" s="156">
        <f>_xlfn.IFNA(MATCH(E28,'Injury Report'!$C$2:$C$6216,0),0)</f>
        <v/>
      </c>
    </row>
    <row r="31" ht="15.6" customHeight="1" s="152">
      <c r="A31" s="212" t="n">
        <v>28</v>
      </c>
      <c r="B31" s="167">
        <f>F31&amp;G31</f>
        <v/>
      </c>
      <c r="C31" s="156">
        <f>(K31/MAX(K:K)*$K$1)+(L31/MAX(L:L)*$L$1)+(M31/MAX(M:M)*$M$1)+(N31/MAX(N:N)*$N$1)+(T31/MAX(T:T)*$T$1)</f>
        <v/>
      </c>
      <c r="D31" s="156">
        <f>IFERROR(VLOOKUP(B31,#REF!,7,0),"")</f>
        <v/>
      </c>
      <c r="E31" s="156">
        <f>IFERROR(VLOOKUP(F31,AllPlayers!F:F,1,0),"------------")</f>
        <v/>
      </c>
      <c r="F31" s="156" t="inlineStr">
        <is>
          <t>Tyrone Tracy</t>
        </is>
      </c>
      <c r="G31" s="156" t="inlineStr">
        <is>
          <t>NYG</t>
        </is>
      </c>
      <c r="H31" s="156" t="inlineStr">
        <is>
          <t>RB</t>
        </is>
      </c>
      <c r="I31" s="156" t="n">
        <v>2</v>
      </c>
      <c r="J31" s="179" t="n">
        <v>15</v>
      </c>
      <c r="K31" s="179" t="n">
        <v>39</v>
      </c>
      <c r="L31" s="281">
        <f>IF(J31=0,0,K31/J31)</f>
        <v/>
      </c>
      <c r="M31" s="281">
        <f>K31/17</f>
        <v/>
      </c>
      <c r="N31" s="156" t="n">
        <v>0</v>
      </c>
      <c r="O31" s="156" t="n">
        <v>9</v>
      </c>
      <c r="P31" s="156" t="n">
        <v>0</v>
      </c>
      <c r="Q31" s="156" t="n">
        <v>3</v>
      </c>
      <c r="R31" s="156" t="n">
        <v>0</v>
      </c>
      <c r="S31" s="156" t="n">
        <v>0</v>
      </c>
      <c r="T31" s="156" t="n">
        <v>0</v>
      </c>
      <c r="U31" s="179" t="n">
        <v>0</v>
      </c>
      <c r="W31" s="156">
        <f>INDEX(Matrix!$AA$2:$AA$33, MATCH(G31, Matrix!$AC$2:$AC$33, 0))</f>
        <v/>
      </c>
      <c r="X31" s="156">
        <f>_xlfn.IFNA(MATCH(E29,'Injury Report'!$C$2:$C$6216,0),0)</f>
        <v/>
      </c>
    </row>
    <row r="32" ht="15.6" customHeight="1" s="152">
      <c r="A32" s="212" t="n">
        <v>29</v>
      </c>
      <c r="B32" s="167">
        <f>F32&amp;G32</f>
        <v/>
      </c>
      <c r="C32" s="156">
        <f>(K32/MAX(K:K)*$K$1)+(L32/MAX(L:L)*$L$1)+(M32/MAX(M:M)*$M$1)+(N32/MAX(N:N)*$N$1)+(T32/MAX(T:T)*$T$1)</f>
        <v/>
      </c>
      <c r="D32" s="156">
        <f>IFERROR(VLOOKUP(B32,#REF!,7,0),"")</f>
        <v/>
      </c>
      <c r="E32" s="156">
        <f>IFERROR(VLOOKUP(F32,AllPlayers!F:F,1,0),"------------")</f>
        <v/>
      </c>
      <c r="F32" s="156" t="inlineStr">
        <is>
          <t>Joe Mixon</t>
        </is>
      </c>
      <c r="G32" s="156" t="inlineStr">
        <is>
          <t>HOU</t>
        </is>
      </c>
      <c r="H32" s="156" t="inlineStr">
        <is>
          <t>RB</t>
        </is>
      </c>
      <c r="I32" s="156" t="n">
        <v>14</v>
      </c>
      <c r="J32" s="179" t="n">
        <v>178.2</v>
      </c>
      <c r="K32" s="179" t="n">
        <v>716.2</v>
      </c>
      <c r="L32" s="281">
        <f>IF(J32=0,0,K32/J32)</f>
        <v/>
      </c>
      <c r="M32" s="281">
        <f>K32/17</f>
        <v/>
      </c>
      <c r="N32" s="156" t="n">
        <v>6.4</v>
      </c>
      <c r="O32" s="156" t="n">
        <v>1</v>
      </c>
      <c r="P32" s="156" t="n">
        <v>0</v>
      </c>
      <c r="Q32" s="156" t="n">
        <v>1</v>
      </c>
      <c r="R32" s="156" t="n">
        <v>0</v>
      </c>
      <c r="S32" s="156" t="n">
        <v>0</v>
      </c>
      <c r="T32" s="156" t="n">
        <v>2</v>
      </c>
      <c r="U32" s="179" t="n">
        <v>0.9</v>
      </c>
      <c r="W32" s="156">
        <f>INDEX(Matrix!$AA$2:$AA$33, MATCH(G32, Matrix!$AC$2:$AC$33, 0))</f>
        <v/>
      </c>
      <c r="X32" s="156">
        <f>_xlfn.IFNA(MATCH(E30,'Injury Report'!$C$2:$C$6216,0),0)</f>
        <v/>
      </c>
    </row>
    <row r="33" ht="15.6" customHeight="1" s="152">
      <c r="A33" s="212" t="n">
        <v>30</v>
      </c>
      <c r="B33" s="167">
        <f>F33&amp;G33</f>
        <v/>
      </c>
      <c r="C33" s="156">
        <f>(K33/MAX(K:K)*$K$1)+(L33/MAX(L:L)*$L$1)+(M33/MAX(M:M)*$M$1)+(N33/MAX(N:N)*$N$1)+(T33/MAX(T:T)*$T$1)</f>
        <v/>
      </c>
      <c r="D33" s="156">
        <f>IFERROR(VLOOKUP(B33,#REF!,7,0),"")</f>
        <v/>
      </c>
      <c r="E33" s="156">
        <f>IFERROR(VLOOKUP(F33,AllPlayers!F:F,1,0),"------------")</f>
        <v/>
      </c>
      <c r="F33" s="156" t="inlineStr">
        <is>
          <t>Jaylen Warren</t>
        </is>
      </c>
      <c r="G33" s="156" t="inlineStr">
        <is>
          <t>PIT</t>
        </is>
      </c>
      <c r="H33" s="156" t="inlineStr">
        <is>
          <t>RB</t>
        </is>
      </c>
      <c r="I33" s="156" t="n">
        <v>2</v>
      </c>
      <c r="J33" s="179" t="n">
        <v>25</v>
      </c>
      <c r="K33" s="179" t="n">
        <v>85</v>
      </c>
      <c r="L33" s="281">
        <f>IF(J33=0,0,K33/J33)</f>
        <v/>
      </c>
      <c r="M33" s="281">
        <f>K33/17</f>
        <v/>
      </c>
      <c r="N33" s="156" t="n">
        <v>0</v>
      </c>
      <c r="O33" s="156" t="n">
        <v>4</v>
      </c>
      <c r="P33" s="156" t="n">
        <v>2</v>
      </c>
      <c r="Q33" s="156" t="n">
        <v>2</v>
      </c>
      <c r="R33" s="156" t="n">
        <v>0</v>
      </c>
      <c r="S33" s="156" t="n">
        <v>0</v>
      </c>
      <c r="T33" s="156" t="n">
        <v>0</v>
      </c>
      <c r="U33" s="179" t="n">
        <v>0</v>
      </c>
      <c r="W33" s="156">
        <f>INDEX(Matrix!$AA$2:$AA$33, MATCH(G33, Matrix!$AC$2:$AC$33, 0))</f>
        <v/>
      </c>
      <c r="X33" s="156">
        <f>_xlfn.IFNA(MATCH(E31,'Injury Report'!$C$2:$C$6216,0),0)</f>
        <v/>
      </c>
    </row>
    <row r="34" ht="15.6" customHeight="1" s="152">
      <c r="A34" s="212" t="n">
        <v>31</v>
      </c>
      <c r="B34" s="167">
        <f>F34&amp;G34</f>
        <v/>
      </c>
      <c r="C34" s="156">
        <f>(K34/MAX(K:K)*$K$1)+(L34/MAX(L:L)*$L$1)+(M34/MAX(M:M)*$M$1)+(N34/MAX(N:N)*$N$1)+(T34/MAX(T:T)*$T$1)</f>
        <v/>
      </c>
      <c r="D34" s="156">
        <f>IFERROR(VLOOKUP(B34,#REF!,7,0),"")</f>
        <v/>
      </c>
      <c r="E34" s="156">
        <f>IFERROR(VLOOKUP(F34,AllPlayers!F:F,1,0),"------------")</f>
        <v/>
      </c>
      <c r="F34" s="156" t="inlineStr">
        <is>
          <t>Jacory Croskey-Merritt</t>
        </is>
      </c>
      <c r="G34" s="156" t="inlineStr">
        <is>
          <t>WAS</t>
        </is>
      </c>
      <c r="H34" s="156" t="inlineStr">
        <is>
          <t>RB</t>
        </is>
      </c>
      <c r="I34" s="156" t="n">
        <v>2</v>
      </c>
      <c r="J34" s="179" t="n">
        <v>14</v>
      </c>
      <c r="K34" s="179" t="n">
        <v>99</v>
      </c>
      <c r="L34" s="281">
        <f>IF(J34=0,0,K34/J34)</f>
        <v/>
      </c>
      <c r="M34" s="281">
        <f>K34/17</f>
        <v/>
      </c>
      <c r="N34" s="156" t="n">
        <v>1</v>
      </c>
      <c r="O34" s="156" t="n">
        <v>1</v>
      </c>
      <c r="P34" s="156" t="n">
        <v>0</v>
      </c>
      <c r="Q34" s="156" t="n">
        <v>2</v>
      </c>
      <c r="R34" s="156" t="n">
        <v>0</v>
      </c>
      <c r="S34" s="156" t="n">
        <v>0</v>
      </c>
      <c r="T34" s="156" t="n">
        <v>0</v>
      </c>
      <c r="U34" s="179" t="n">
        <v>0</v>
      </c>
      <c r="W34" s="156">
        <f>INDEX(Matrix!$AA$2:$AA$33, MATCH(G34, Matrix!$AC$2:$AC$33, 0))</f>
        <v/>
      </c>
      <c r="X34" s="156">
        <f>_xlfn.IFNA(MATCH(E32,'Injury Report'!$C$2:$C$6216,0),0)</f>
        <v/>
      </c>
    </row>
    <row r="35" ht="15.6" customHeight="1" s="152">
      <c r="A35" s="212" t="n">
        <v>32</v>
      </c>
      <c r="B35" s="167">
        <f>F35&amp;G35</f>
        <v/>
      </c>
      <c r="C35" s="156">
        <f>(K35/MAX(K:K)*$K$1)+(L35/MAX(L:L)*$L$1)+(M35/MAX(M:M)*$M$1)+(N35/MAX(N:N)*$N$1)+(T35/MAX(T:T)*$T$1)</f>
        <v/>
      </c>
      <c r="D35" s="156">
        <f>IFERROR(VLOOKUP(B35,#REF!,7,0),"")</f>
        <v/>
      </c>
      <c r="E35" s="156">
        <f>IFERROR(VLOOKUP(F35,AllPlayers!F:F,1,0),"------------")</f>
        <v/>
      </c>
      <c r="F35" s="156" t="inlineStr">
        <is>
          <t>Austin Ekeler</t>
        </is>
      </c>
      <c r="G35" s="156" t="inlineStr">
        <is>
          <t>WAS</t>
        </is>
      </c>
      <c r="H35" s="156" t="inlineStr">
        <is>
          <t>RB</t>
        </is>
      </c>
      <c r="I35" s="156" t="n">
        <v>2</v>
      </c>
      <c r="J35" s="179" t="n">
        <v>14</v>
      </c>
      <c r="K35" s="179" t="n">
        <v>43</v>
      </c>
      <c r="L35" s="281">
        <f>IF(J35=0,0,K35/J35)</f>
        <v/>
      </c>
      <c r="M35" s="281">
        <f>K35/17</f>
        <v/>
      </c>
      <c r="N35" s="156" t="n">
        <v>0</v>
      </c>
      <c r="O35" s="156" t="n">
        <v>4</v>
      </c>
      <c r="P35" s="156" t="n">
        <v>0</v>
      </c>
      <c r="Q35" s="156" t="n">
        <v>1</v>
      </c>
      <c r="R35" s="156" t="n">
        <v>0</v>
      </c>
      <c r="S35" s="156" t="n">
        <v>0</v>
      </c>
      <c r="T35" s="156" t="n">
        <v>0</v>
      </c>
      <c r="U35" s="179" t="n">
        <v>0</v>
      </c>
      <c r="W35" s="156">
        <f>INDEX(Matrix!$AA$2:$AA$33, MATCH(G35, Matrix!$AC$2:$AC$33, 0))</f>
        <v/>
      </c>
      <c r="X35" s="156">
        <f>_xlfn.IFNA(MATCH(E33,'Injury Report'!$C$2:$C$6216,0),0)</f>
        <v/>
      </c>
    </row>
    <row r="36" ht="15.6" customHeight="1" s="152">
      <c r="A36" s="212" t="n">
        <v>33</v>
      </c>
      <c r="B36" s="167">
        <f>F36&amp;G36</f>
        <v/>
      </c>
      <c r="C36" s="156">
        <f>(K36/MAX(K:K)*$K$1)+(L36/MAX(L:L)*$L$1)+(M36/MAX(M:M)*$M$1)+(N36/MAX(N:N)*$N$1)+(T36/MAX(T:T)*$T$1)</f>
        <v/>
      </c>
      <c r="D36" s="156">
        <f>IFERROR(VLOOKUP(B36,#REF!,7,0),"")</f>
        <v/>
      </c>
      <c r="E36" s="156">
        <f>IFERROR(VLOOKUP(F36,AllPlayers!F:F,1,0),"------------")</f>
        <v/>
      </c>
      <c r="F36" s="156" t="inlineStr">
        <is>
          <t>Quinshon Judkins</t>
        </is>
      </c>
      <c r="G36" s="156" t="inlineStr">
        <is>
          <t>CLE</t>
        </is>
      </c>
      <c r="H36" s="156" t="inlineStr">
        <is>
          <t>QB</t>
        </is>
      </c>
      <c r="I36" s="156" t="n">
        <v>1</v>
      </c>
      <c r="J36" s="179" t="n">
        <v>10</v>
      </c>
      <c r="K36" s="179" t="n">
        <v>61</v>
      </c>
      <c r="L36" s="281">
        <f>IF(J36=0,0,K36/J36)</f>
        <v/>
      </c>
      <c r="M36" s="281">
        <f>K36/17</f>
        <v/>
      </c>
      <c r="N36" s="156" t="n">
        <v>0</v>
      </c>
      <c r="O36" s="156" t="n">
        <v>7</v>
      </c>
      <c r="P36" s="156" t="n">
        <v>0</v>
      </c>
      <c r="Q36" s="156" t="n">
        <v>0</v>
      </c>
      <c r="R36" s="156" t="n">
        <v>0</v>
      </c>
      <c r="S36" s="156" t="n">
        <v>0</v>
      </c>
      <c r="T36" s="156" t="n">
        <v>0</v>
      </c>
      <c r="U36" s="179" t="n">
        <v>0</v>
      </c>
      <c r="W36" s="156">
        <f>INDEX(Matrix!$AA$2:$AA$33, MATCH(G36, Matrix!$AC$2:$AC$33, 0))</f>
        <v/>
      </c>
      <c r="X36" s="156">
        <f>_xlfn.IFNA(MATCH(E34,'Injury Report'!$C$2:$C$6216,0),0)</f>
        <v/>
      </c>
    </row>
    <row r="37" ht="15.6" customHeight="1" s="152">
      <c r="A37" s="212" t="n">
        <v>34</v>
      </c>
      <c r="B37" s="167">
        <f>F37&amp;G37</f>
        <v/>
      </c>
      <c r="C37" s="156">
        <f>(K37/MAX(K:K)*$K$1)+(L37/MAX(L:L)*$L$1)+(M37/MAX(M:M)*$M$1)+(N37/MAX(N:N)*$N$1)+(T37/MAX(T:T)*$T$1)</f>
        <v/>
      </c>
      <c r="D37" s="156">
        <f>IFERROR(VLOOKUP(B37,#REF!,7,0),"")</f>
        <v/>
      </c>
      <c r="E37" s="156">
        <f>IFERROR(VLOOKUP(F37,AllPlayers!F:F,1,0),"------------")</f>
        <v/>
      </c>
      <c r="F37" s="156" t="inlineStr">
        <is>
          <t>Jordan Mason</t>
        </is>
      </c>
      <c r="G37" s="156" t="inlineStr">
        <is>
          <t>MIN</t>
        </is>
      </c>
      <c r="H37" s="156" t="inlineStr">
        <is>
          <t>RB</t>
        </is>
      </c>
      <c r="I37" s="156" t="n">
        <v>2</v>
      </c>
      <c r="J37" s="179" t="n">
        <v>24</v>
      </c>
      <c r="K37" s="179" t="n">
        <v>98</v>
      </c>
      <c r="L37" s="281">
        <f>IF(J37=0,0,K37/J37)</f>
        <v/>
      </c>
      <c r="M37" s="281">
        <f>K37/17</f>
        <v/>
      </c>
      <c r="N37" s="156" t="n">
        <v>0</v>
      </c>
      <c r="O37" s="156" t="n">
        <v>2</v>
      </c>
      <c r="P37" s="156" t="n">
        <v>1</v>
      </c>
      <c r="Q37" s="156" t="n">
        <v>0</v>
      </c>
      <c r="R37" s="156" t="n">
        <v>0</v>
      </c>
      <c r="S37" s="156" t="n">
        <v>0</v>
      </c>
      <c r="T37" s="156" t="n">
        <v>0</v>
      </c>
      <c r="U37" s="179" t="n">
        <v>0</v>
      </c>
      <c r="W37" s="156">
        <f>INDEX(Matrix!$AA$2:$AA$33, MATCH(G37, Matrix!$AC$2:$AC$33, 0))</f>
        <v/>
      </c>
      <c r="X37" s="156">
        <f>_xlfn.IFNA(MATCH(E35,'Injury Report'!$C$2:$C$6216,0),0)</f>
        <v/>
      </c>
    </row>
    <row r="38" ht="15.6" customHeight="1" s="152">
      <c r="A38" s="212" t="n">
        <v>35</v>
      </c>
      <c r="B38" s="167">
        <f>F38&amp;G38</f>
        <v/>
      </c>
      <c r="C38" s="156">
        <f>(K38/MAX(K:K)*$K$1)+(L38/MAX(L:L)*$L$1)+(M38/MAX(M:M)*$M$1)+(N38/MAX(N:N)*$N$1)+(T38/MAX(T:T)*$T$1)</f>
        <v/>
      </c>
      <c r="D38" s="156">
        <f>IFERROR(VLOOKUP(B38,#REF!,7,0),"")</f>
        <v/>
      </c>
      <c r="E38" s="156">
        <f>IFERROR(VLOOKUP(F38,AllPlayers!F:F,1,0),"------------")</f>
        <v/>
      </c>
      <c r="F38" s="156" t="inlineStr">
        <is>
          <t>J.K. Dobbins</t>
        </is>
      </c>
      <c r="G38" s="156" t="inlineStr">
        <is>
          <t>DEN</t>
        </is>
      </c>
      <c r="H38" s="156" t="inlineStr">
        <is>
          <t>RB</t>
        </is>
      </c>
      <c r="I38" s="156" t="n">
        <v>2</v>
      </c>
      <c r="J38" s="179" t="n">
        <v>30</v>
      </c>
      <c r="K38" s="179" t="n">
        <v>139</v>
      </c>
      <c r="L38" s="281">
        <f>IF(J38=0,0,K38/J38)</f>
        <v/>
      </c>
      <c r="M38" s="281">
        <f>K38/17</f>
        <v/>
      </c>
      <c r="N38" s="156" t="n">
        <v>2</v>
      </c>
      <c r="O38" s="156" t="n">
        <v>5</v>
      </c>
      <c r="P38" s="156" t="n">
        <v>0</v>
      </c>
      <c r="Q38" s="156" t="n">
        <v>1</v>
      </c>
      <c r="R38" s="156" t="n">
        <v>0</v>
      </c>
      <c r="S38" s="156" t="n">
        <v>0</v>
      </c>
      <c r="T38" s="156" t="n">
        <v>0</v>
      </c>
      <c r="U38" s="179" t="n">
        <v>0</v>
      </c>
      <c r="W38" s="156">
        <f>INDEX(Matrix!$AA$2:$AA$33, MATCH(G38, Matrix!$AC$2:$AC$33, 0))</f>
        <v/>
      </c>
      <c r="X38" s="156">
        <f>_xlfn.IFNA(MATCH(E36,'Injury Report'!$C$2:$C$6216,0),0)</f>
        <v/>
      </c>
    </row>
    <row r="39" ht="15.6" customHeight="1" s="152">
      <c r="A39" s="212" t="n">
        <v>36</v>
      </c>
      <c r="B39" s="167">
        <f>F39&amp;G39</f>
        <v/>
      </c>
      <c r="C39" s="156">
        <f>(K39/MAX(K:K)*$K$1)+(L39/MAX(L:L)*$L$1)+(M39/MAX(M:M)*$M$1)+(N39/MAX(N:N)*$N$1)+(T39/MAX(T:T)*$T$1)</f>
        <v/>
      </c>
      <c r="D39" s="156">
        <f>IFERROR(VLOOKUP(B39,#REF!,7,0),"")</f>
        <v/>
      </c>
      <c r="E39" s="156">
        <f>IFERROR(VLOOKUP(F39,AllPlayers!F:F,1,0),"------------")</f>
        <v/>
      </c>
      <c r="F39" s="156" t="inlineStr">
        <is>
          <t>Travis Etienne</t>
        </is>
      </c>
      <c r="G39" s="156" t="inlineStr">
        <is>
          <t>JAX</t>
        </is>
      </c>
      <c r="H39" s="156" t="inlineStr">
        <is>
          <t>QB</t>
        </is>
      </c>
      <c r="I39" s="156" t="n">
        <v>2</v>
      </c>
      <c r="J39" s="179" t="n">
        <v>30</v>
      </c>
      <c r="K39" s="179" t="n">
        <v>214</v>
      </c>
      <c r="L39" s="281">
        <f>IF(J39=0,0,K39/J39)</f>
        <v/>
      </c>
      <c r="M39" s="281">
        <f>K39/17</f>
        <v/>
      </c>
      <c r="N39" s="156" t="n">
        <v>0</v>
      </c>
      <c r="O39" s="156" t="n">
        <v>6</v>
      </c>
      <c r="P39" s="156" t="n">
        <v>2</v>
      </c>
      <c r="Q39" s="156" t="n">
        <v>0</v>
      </c>
      <c r="R39" s="156" t="n">
        <v>0</v>
      </c>
      <c r="S39" s="156" t="n">
        <v>0</v>
      </c>
      <c r="T39" s="156" t="n">
        <v>0</v>
      </c>
      <c r="U39" s="179" t="n">
        <v>0</v>
      </c>
      <c r="W39" s="156">
        <f>INDEX(Matrix!$AA$2:$AA$33, MATCH(G39, Matrix!$AC$2:$AC$33, 0))</f>
        <v/>
      </c>
      <c r="X39" s="156">
        <f>_xlfn.IFNA(MATCH(E37,'Injury Report'!$C$2:$C$6216,0),0)</f>
        <v/>
      </c>
    </row>
    <row r="40" ht="15.6" customHeight="1" s="152">
      <c r="A40" s="212" t="n">
        <v>37</v>
      </c>
      <c r="B40" s="167">
        <f>F40&amp;G40</f>
        <v/>
      </c>
      <c r="C40" s="156">
        <f>(K40/MAX(K:K)*$K$1)+(L40/MAX(L:L)*$L$1)+(M40/MAX(M:M)*$M$1)+(N40/MAX(N:N)*$N$1)+(T40/MAX(T:T)*$T$1)</f>
        <v/>
      </c>
      <c r="D40" s="156">
        <f>IFERROR(VLOOKUP(B40,#REF!,7,0),"")</f>
        <v/>
      </c>
      <c r="E40" s="156">
        <f>IFERROR(VLOOKUP(F40,AllPlayers!F:F,1,0),"------------")</f>
        <v/>
      </c>
      <c r="F40" s="156" t="inlineStr">
        <is>
          <t>Rhamondre Stevenson</t>
        </is>
      </c>
      <c r="G40" s="156" t="inlineStr">
        <is>
          <t>NE</t>
        </is>
      </c>
      <c r="H40" s="156" t="inlineStr">
        <is>
          <t>RB</t>
        </is>
      </c>
      <c r="I40" s="156" t="n">
        <v>2</v>
      </c>
      <c r="J40" s="179" t="n">
        <v>18</v>
      </c>
      <c r="K40" s="179" t="n">
        <v>69</v>
      </c>
      <c r="L40" s="281">
        <f>IF(J40=0,0,K40/J40)</f>
        <v/>
      </c>
      <c r="M40" s="281">
        <f>K40/17</f>
        <v/>
      </c>
      <c r="N40" s="156" t="n">
        <v>0</v>
      </c>
      <c r="O40" s="156" t="n">
        <v>3</v>
      </c>
      <c r="P40" s="156" t="n">
        <v>1</v>
      </c>
      <c r="Q40" s="156" t="n">
        <v>1</v>
      </c>
      <c r="R40" s="156" t="n">
        <v>0</v>
      </c>
      <c r="S40" s="156" t="n">
        <v>0</v>
      </c>
      <c r="T40" s="156" t="n">
        <v>0</v>
      </c>
      <c r="U40" s="179" t="n">
        <v>0</v>
      </c>
      <c r="W40" s="156">
        <f>INDEX(Matrix!$AA$2:$AA$33, MATCH(G40, Matrix!$AC$2:$AC$33, 0))</f>
        <v/>
      </c>
      <c r="X40" s="156">
        <f>_xlfn.IFNA(MATCH(E38,'Injury Report'!$C$2:$C$6216,0),0)</f>
        <v/>
      </c>
    </row>
    <row r="41" ht="15.6" customHeight="1" s="152">
      <c r="A41" s="212" t="n">
        <v>38</v>
      </c>
      <c r="B41" s="167">
        <f>F41&amp;G41</f>
        <v/>
      </c>
      <c r="C41" s="156">
        <f>(K41/MAX(K:K)*$K$1)+(L41/MAX(L:L)*$L$1)+(M41/MAX(M:M)*$M$1)+(N41/MAX(N:N)*$N$1)+(T41/MAX(T:T)*$T$1)</f>
        <v/>
      </c>
      <c r="D41" s="156">
        <f>IFERROR(VLOOKUP(B41,#REF!,7,0),"")</f>
        <v/>
      </c>
      <c r="E41" s="156">
        <f>IFERROR(VLOOKUP(F41,AllPlayers!F:F,1,0),"------------")</f>
        <v/>
      </c>
      <c r="F41" s="156" t="inlineStr">
        <is>
          <t>Zach Charbonnet</t>
        </is>
      </c>
      <c r="G41" s="156" t="inlineStr">
        <is>
          <t>SEA</t>
        </is>
      </c>
      <c r="H41" s="156" t="inlineStr">
        <is>
          <t>RB</t>
        </is>
      </c>
      <c r="I41" s="156" t="n">
        <v>2</v>
      </c>
      <c r="J41" s="179" t="n">
        <v>27</v>
      </c>
      <c r="K41" s="179" t="n">
        <v>57</v>
      </c>
      <c r="L41" s="281">
        <f>IF(J41=0,0,K41/J41)</f>
        <v/>
      </c>
      <c r="M41" s="281">
        <f>K41/17</f>
        <v/>
      </c>
      <c r="N41" s="156" t="n">
        <v>1</v>
      </c>
      <c r="O41" s="156" t="n">
        <v>5</v>
      </c>
      <c r="P41" s="156" t="n">
        <v>2</v>
      </c>
      <c r="Q41" s="156" t="n">
        <v>0</v>
      </c>
      <c r="R41" s="156" t="n">
        <v>0</v>
      </c>
      <c r="S41" s="156" t="n">
        <v>0</v>
      </c>
      <c r="T41" s="156" t="n">
        <v>0</v>
      </c>
      <c r="U41" s="179" t="n">
        <v>0</v>
      </c>
      <c r="W41" s="156">
        <f>INDEX(Matrix!$AA$2:$AA$33, MATCH(G41, Matrix!$AC$2:$AC$33, 0))</f>
        <v/>
      </c>
      <c r="X41" s="156">
        <f>_xlfn.IFNA(MATCH(E39,'Injury Report'!$C$2:$C$6216,0),0)</f>
        <v/>
      </c>
    </row>
    <row r="42" ht="15.6" customHeight="1" s="152">
      <c r="A42" s="212" t="n">
        <v>39</v>
      </c>
      <c r="B42" s="167">
        <f>F42&amp;G42</f>
        <v/>
      </c>
      <c r="C42" s="156">
        <f>(K42/MAX(K:K)*$K$1)+(L42/MAX(L:L)*$L$1)+(M42/MAX(M:M)*$M$1)+(N42/MAX(N:N)*$N$1)+(T42/MAX(T:T)*$T$1)</f>
        <v/>
      </c>
      <c r="D42" s="156">
        <f>IFERROR(VLOOKUP(B42,#REF!,7,0),"")</f>
        <v/>
      </c>
      <c r="E42" s="156">
        <f>IFERROR(VLOOKUP(F42,AllPlayers!F:F,1,0),"------------")</f>
        <v/>
      </c>
      <c r="F42" s="156" t="inlineStr">
        <is>
          <t>Javonte Williams</t>
        </is>
      </c>
      <c r="G42" s="156" t="inlineStr">
        <is>
          <t>DAL</t>
        </is>
      </c>
      <c r="H42" s="156" t="inlineStr">
        <is>
          <t>RB</t>
        </is>
      </c>
      <c r="I42" s="156" t="n">
        <v>2</v>
      </c>
      <c r="J42" s="179" t="n">
        <v>33</v>
      </c>
      <c r="K42" s="179" t="n">
        <v>151</v>
      </c>
      <c r="L42" s="281">
        <f>IF(J42=0,0,K42/J42)</f>
        <v/>
      </c>
      <c r="M42" s="281">
        <f>K42/17</f>
        <v/>
      </c>
      <c r="N42" s="156" t="n">
        <v>3</v>
      </c>
      <c r="O42" s="156" t="n">
        <v>2</v>
      </c>
      <c r="P42" s="156" t="n">
        <v>0</v>
      </c>
      <c r="Q42" s="156" t="n">
        <v>0</v>
      </c>
      <c r="R42" s="156" t="n">
        <v>0</v>
      </c>
      <c r="S42" s="156" t="n">
        <v>0</v>
      </c>
      <c r="T42" s="156" t="n">
        <v>0</v>
      </c>
      <c r="U42" s="179" t="n">
        <v>0</v>
      </c>
      <c r="W42" s="156">
        <f>INDEX(Matrix!$AA$2:$AA$33, MATCH(G42, Matrix!$AC$2:$AC$33, 0))</f>
        <v/>
      </c>
      <c r="X42" s="156">
        <f>_xlfn.IFNA(MATCH(E40,'Injury Report'!$C$2:$C$6216,0),0)</f>
        <v/>
      </c>
    </row>
    <row r="43" ht="15.6" customHeight="1" s="152">
      <c r="A43" s="212" t="n">
        <v>40</v>
      </c>
      <c r="B43" s="167">
        <f>F43&amp;G43</f>
        <v/>
      </c>
      <c r="C43" s="156">
        <f>(K43/MAX(K:K)*$K$1)+(L43/MAX(L:L)*$L$1)+(M43/MAX(M:M)*$M$1)+(N43/MAX(N:N)*$N$1)+(T43/MAX(T:T)*$T$1)</f>
        <v/>
      </c>
      <c r="D43" s="156">
        <f>IFERROR(VLOOKUP(B43,#REF!,7,0),"")</f>
        <v/>
      </c>
      <c r="E43" s="156">
        <f>IFERROR(VLOOKUP(F43,AllPlayers!F:F,1,0),"------------")</f>
        <v/>
      </c>
      <c r="F43" s="156" t="inlineStr">
        <is>
          <t>Tank Bigsby</t>
        </is>
      </c>
      <c r="G43" s="156" t="inlineStr">
        <is>
          <t>JAX</t>
        </is>
      </c>
      <c r="H43" s="156" t="inlineStr">
        <is>
          <t>RB</t>
        </is>
      </c>
      <c r="I43" s="156" t="n">
        <v>1</v>
      </c>
      <c r="J43" s="179" t="n">
        <v>5</v>
      </c>
      <c r="K43" s="179" t="n">
        <v>12</v>
      </c>
      <c r="L43" s="281">
        <f>IF(J43=0,0,K43/J43)</f>
        <v/>
      </c>
      <c r="M43" s="281">
        <f>K43/17</f>
        <v/>
      </c>
      <c r="N43" s="156" t="n">
        <v>0</v>
      </c>
      <c r="O43" s="156" t="n">
        <v>4</v>
      </c>
      <c r="P43" s="156" t="n">
        <v>1</v>
      </c>
      <c r="Q43" s="156" t="n">
        <v>0</v>
      </c>
      <c r="R43" s="156" t="n">
        <v>0</v>
      </c>
      <c r="S43" s="156" t="n">
        <v>0</v>
      </c>
      <c r="T43" s="156" t="n">
        <v>0</v>
      </c>
      <c r="U43" s="179" t="n">
        <v>0</v>
      </c>
      <c r="W43" s="156">
        <f>INDEX(Matrix!$AA$2:$AA$33, MATCH(G43, Matrix!$AC$2:$AC$33, 0))</f>
        <v/>
      </c>
      <c r="X43" s="156">
        <f>_xlfn.IFNA(MATCH(E41,'Injury Report'!$C$2:$C$6216,0),0)</f>
        <v/>
      </c>
    </row>
    <row r="44" ht="15.6" customHeight="1" s="152">
      <c r="A44" s="212" t="n">
        <v>41</v>
      </c>
      <c r="B44" s="167">
        <f>F44&amp;G44</f>
        <v/>
      </c>
      <c r="C44" s="156">
        <f>(K44/MAX(K:K)*$K$1)+(L44/MAX(L:L)*$L$1)+(M44/MAX(M:M)*$M$1)+(N44/MAX(N:N)*$N$1)+(T44/MAX(T:T)*$T$1)</f>
        <v/>
      </c>
      <c r="D44" s="156">
        <f>IFERROR(VLOOKUP(B44,#REF!,7,0),"")</f>
        <v/>
      </c>
      <c r="E44" s="156">
        <f>IFERROR(VLOOKUP(F44,AllPlayers!F:F,1,0),"------------")</f>
        <v/>
      </c>
      <c r="F44" s="156" t="inlineStr">
        <is>
          <t>Tyjae Spears</t>
        </is>
      </c>
      <c r="G44" s="156" t="inlineStr">
        <is>
          <t>TEN</t>
        </is>
      </c>
      <c r="H44" s="156" t="inlineStr">
        <is>
          <t>QB</t>
        </is>
      </c>
      <c r="I44" s="156" t="n">
        <v>16</v>
      </c>
      <c r="J44" s="179" t="n">
        <v>117.2</v>
      </c>
      <c r="K44" s="179" t="n">
        <v>473.7</v>
      </c>
      <c r="L44" s="281">
        <f>IF(J44=0,0,K44/J44)</f>
        <v/>
      </c>
      <c r="M44" s="281">
        <f>K44/17</f>
        <v/>
      </c>
      <c r="N44" s="156" t="n">
        <v>3.5</v>
      </c>
      <c r="O44" s="156" t="n">
        <v>5</v>
      </c>
      <c r="P44" s="156" t="n">
        <v>0</v>
      </c>
      <c r="Q44" s="156" t="n">
        <v>0</v>
      </c>
      <c r="R44" s="156" t="n">
        <v>0</v>
      </c>
      <c r="S44" s="156" t="n">
        <v>0</v>
      </c>
      <c r="T44" s="156" t="n">
        <v>5</v>
      </c>
      <c r="U44" s="179" t="n">
        <v>0.9</v>
      </c>
      <c r="W44" s="156">
        <f>INDEX(Matrix!$AA$2:$AA$33, MATCH(G44, Matrix!$AC$2:$AC$33, 0))</f>
        <v/>
      </c>
      <c r="X44" s="156">
        <f>_xlfn.IFNA(MATCH(E42,'Injury Report'!$C$2:$C$6216,0),0)</f>
        <v/>
      </c>
    </row>
    <row r="45" ht="15.6" customHeight="1" s="152">
      <c r="A45" s="212" t="n">
        <v>42</v>
      </c>
      <c r="B45" s="167">
        <f>F45&amp;G45</f>
        <v/>
      </c>
      <c r="C45" s="156">
        <f>(K45/MAX(K:K)*$K$1)+(L45/MAX(L:L)*$L$1)+(M45/MAX(M:M)*$M$1)+(N45/MAX(N:N)*$N$1)+(T45/MAX(T:T)*$T$1)</f>
        <v/>
      </c>
      <c r="D45" s="156">
        <f>IFERROR(VLOOKUP(B45,#REF!,7,0),"")</f>
        <v/>
      </c>
      <c r="E45" s="156">
        <f>IFERROR(VLOOKUP(F45,AllPlayers!F:F,1,0),"------------")</f>
        <v/>
      </c>
      <c r="F45" s="156" t="inlineStr">
        <is>
          <t>Rachaad White</t>
        </is>
      </c>
      <c r="G45" s="156" t="inlineStr">
        <is>
          <t>TB</t>
        </is>
      </c>
      <c r="H45" s="156" t="inlineStr">
        <is>
          <t>RB</t>
        </is>
      </c>
      <c r="I45" s="156" t="n">
        <v>2</v>
      </c>
      <c r="J45" s="179" t="n">
        <v>12</v>
      </c>
      <c r="K45" s="179" t="n">
        <v>79</v>
      </c>
      <c r="L45" s="281">
        <f>IF(J45=0,0,K45/J45)</f>
        <v/>
      </c>
      <c r="M45" s="281">
        <f>K45/17</f>
        <v/>
      </c>
      <c r="N45" s="156" t="n">
        <v>1</v>
      </c>
      <c r="O45" s="156" t="n">
        <v>1</v>
      </c>
      <c r="P45" s="156" t="n">
        <v>0</v>
      </c>
      <c r="Q45" s="156" t="n">
        <v>0</v>
      </c>
      <c r="R45" s="156" t="n">
        <v>0</v>
      </c>
      <c r="S45" s="156" t="n">
        <v>0</v>
      </c>
      <c r="T45" s="156" t="n">
        <v>0</v>
      </c>
      <c r="U45" s="179" t="n">
        <v>0</v>
      </c>
      <c r="W45" s="156">
        <f>INDEX(Matrix!$AA$2:$AA$33, MATCH(G45, Matrix!$AC$2:$AC$33, 0))</f>
        <v/>
      </c>
      <c r="X45" s="156">
        <f>_xlfn.IFNA(MATCH(E43,'Injury Report'!$C$2:$C$6216,0),0)</f>
        <v/>
      </c>
    </row>
    <row r="46" ht="15.6" customHeight="1" s="152">
      <c r="A46" s="212" t="n">
        <v>43</v>
      </c>
      <c r="B46" s="167">
        <f>F46&amp;G46</f>
        <v/>
      </c>
      <c r="C46" s="156">
        <f>(K46/MAX(K:K)*$K$1)+(L46/MAX(L:L)*$L$1)+(M46/MAX(M:M)*$M$1)+(N46/MAX(N:N)*$N$1)+(T46/MAX(T:T)*$T$1)</f>
        <v/>
      </c>
      <c r="D46" s="156">
        <f>IFERROR(VLOOKUP(B46,#REF!,7,0),"")</f>
        <v/>
      </c>
      <c r="E46" s="156">
        <f>IFERROR(VLOOKUP(F46,AllPlayers!F:F,1,0),"------------")</f>
        <v/>
      </c>
      <c r="F46" s="156" t="inlineStr">
        <is>
          <t>Najee Harris</t>
        </is>
      </c>
      <c r="G46" s="156" t="inlineStr">
        <is>
          <t>LAC</t>
        </is>
      </c>
      <c r="H46" s="156" t="inlineStr">
        <is>
          <t>RB</t>
        </is>
      </c>
      <c r="I46" s="156" t="n">
        <v>2</v>
      </c>
      <c r="J46" s="179" t="n">
        <v>9</v>
      </c>
      <c r="K46" s="179" t="n">
        <v>33</v>
      </c>
      <c r="L46" s="281">
        <f>IF(J46=0,0,K46/J46)</f>
        <v/>
      </c>
      <c r="M46" s="281">
        <f>K46/17</f>
        <v/>
      </c>
      <c r="N46" s="156" t="n">
        <v>0</v>
      </c>
      <c r="O46" s="156" t="n">
        <v>1</v>
      </c>
      <c r="P46" s="156" t="n">
        <v>0</v>
      </c>
      <c r="Q46" s="156" t="n">
        <v>0</v>
      </c>
      <c r="R46" s="156" t="n">
        <v>0</v>
      </c>
      <c r="S46" s="156" t="n">
        <v>0</v>
      </c>
      <c r="T46" s="156" t="n">
        <v>0</v>
      </c>
      <c r="U46" s="179" t="n">
        <v>0</v>
      </c>
      <c r="W46" s="156">
        <f>INDEX(Matrix!$AA$2:$AA$33, MATCH(G46, Matrix!$AC$2:$AC$33, 0))</f>
        <v/>
      </c>
      <c r="X46" s="156">
        <f>_xlfn.IFNA(MATCH(E44,'Injury Report'!$C$2:$C$6216,0),0)</f>
        <v/>
      </c>
    </row>
    <row r="47" ht="15.6" customHeight="1" s="152">
      <c r="A47" s="212" t="n">
        <v>44</v>
      </c>
      <c r="B47" s="167">
        <f>F47&amp;G47</f>
        <v/>
      </c>
      <c r="C47" s="156">
        <f>(K47/MAX(K:K)*$K$1)+(L47/MAX(L:L)*$L$1)+(M47/MAX(M:M)*$M$1)+(N47/MAX(N:N)*$N$1)+(T47/MAX(T:T)*$T$1)</f>
        <v/>
      </c>
      <c r="D47" s="156">
        <f>IFERROR(VLOOKUP(B47,#REF!,7,0),"")</f>
        <v/>
      </c>
      <c r="E47" s="156">
        <f>IFERROR(VLOOKUP(F47,AllPlayers!F:F,1,0),"------------")</f>
        <v/>
      </c>
      <c r="F47" s="156" t="inlineStr">
        <is>
          <t>Jerome Ford</t>
        </is>
      </c>
      <c r="G47" s="156" t="inlineStr">
        <is>
          <t>CLE</t>
        </is>
      </c>
      <c r="H47" s="156" t="inlineStr">
        <is>
          <t>RB</t>
        </is>
      </c>
      <c r="I47" s="156" t="n">
        <v>2</v>
      </c>
      <c r="J47" s="179" t="n">
        <v>12</v>
      </c>
      <c r="K47" s="179" t="n">
        <v>39</v>
      </c>
      <c r="L47" s="281">
        <f>IF(J47=0,0,K47/J47)</f>
        <v/>
      </c>
      <c r="M47" s="281">
        <f>K47/17</f>
        <v/>
      </c>
      <c r="N47" s="156" t="n">
        <v>0</v>
      </c>
      <c r="O47" s="156" t="n">
        <v>1</v>
      </c>
      <c r="P47" s="156" t="n">
        <v>0</v>
      </c>
      <c r="Q47" s="156" t="n">
        <v>0</v>
      </c>
      <c r="R47" s="156" t="n">
        <v>0</v>
      </c>
      <c r="S47" s="156" t="n">
        <v>0</v>
      </c>
      <c r="T47" s="156" t="n">
        <v>0</v>
      </c>
      <c r="U47" s="179" t="n">
        <v>0</v>
      </c>
      <c r="W47" s="156">
        <f>INDEX(Matrix!$AA$2:$AA$33, MATCH(G47, Matrix!$AC$2:$AC$33, 0))</f>
        <v/>
      </c>
      <c r="X47" s="156">
        <f>_xlfn.IFNA(MATCH(E45,'Injury Report'!$C$2:$C$6216,0),0)</f>
        <v/>
      </c>
    </row>
    <row r="48" ht="15.6" customHeight="1" s="152">
      <c r="A48" s="212" t="n">
        <v>45</v>
      </c>
      <c r="B48" s="167">
        <f>F48&amp;G48</f>
        <v/>
      </c>
      <c r="C48" s="156">
        <f>(K48/MAX(K:K)*$K$1)+(L48/MAX(L:L)*$L$1)+(M48/MAX(M:M)*$M$1)+(N48/MAX(N:N)*$N$1)+(T48/MAX(T:T)*$T$1)</f>
        <v/>
      </c>
      <c r="D48" s="156">
        <f>IFERROR(VLOOKUP(B48,#REF!,7,0),"")</f>
        <v/>
      </c>
      <c r="E48" s="156">
        <f>IFERROR(VLOOKUP(F48,AllPlayers!F:F,1,0),"------------")</f>
        <v/>
      </c>
      <c r="F48" s="156" t="inlineStr">
        <is>
          <t>Cam Skattebo</t>
        </is>
      </c>
      <c r="G48" s="156" t="inlineStr">
        <is>
          <t>NYG</t>
        </is>
      </c>
      <c r="H48" s="156" t="inlineStr">
        <is>
          <t>QB</t>
        </is>
      </c>
      <c r="I48" s="156" t="n">
        <v>2</v>
      </c>
      <c r="J48" s="179" t="n">
        <v>13</v>
      </c>
      <c r="K48" s="179" t="n">
        <v>42</v>
      </c>
      <c r="L48" s="281">
        <f>IF(J48=0,0,K48/J48)</f>
        <v/>
      </c>
      <c r="M48" s="281">
        <f>K48/17</f>
        <v/>
      </c>
      <c r="N48" s="156" t="n">
        <v>1</v>
      </c>
      <c r="O48" s="156" t="n">
        <v>5</v>
      </c>
      <c r="P48" s="156" t="n">
        <v>0</v>
      </c>
      <c r="Q48" s="156" t="n">
        <v>0</v>
      </c>
      <c r="R48" s="156" t="n">
        <v>0</v>
      </c>
      <c r="S48" s="156" t="n">
        <v>0</v>
      </c>
      <c r="T48" s="156" t="n">
        <v>0</v>
      </c>
      <c r="U48" s="179" t="n">
        <v>0</v>
      </c>
      <c r="W48" s="156">
        <f>INDEX(Matrix!$AA$2:$AA$33, MATCH(G48, Matrix!$AC$2:$AC$33, 0))</f>
        <v/>
      </c>
      <c r="X48" s="156">
        <f>_xlfn.IFNA(MATCH(E46,'Injury Report'!$C$2:$C$6216,0),0)</f>
        <v/>
      </c>
    </row>
    <row r="49" ht="15.6" customHeight="1" s="152">
      <c r="A49" s="212" t="n">
        <v>46</v>
      </c>
      <c r="B49" s="167">
        <f>F49&amp;G49</f>
        <v/>
      </c>
      <c r="C49" s="156">
        <f>(K49/MAX(K:K)*$K$1)+(L49/MAX(L:L)*$L$1)+(M49/MAX(M:M)*$M$1)+(N49/MAX(N:N)*$N$1)+(T49/MAX(T:T)*$T$1)</f>
        <v/>
      </c>
      <c r="D49" s="156">
        <f>IFERROR(VLOOKUP(B49,#REF!,7,0),"")</f>
        <v/>
      </c>
      <c r="E49" s="156">
        <f>IFERROR(VLOOKUP(F49,AllPlayers!F:F,1,0),"------------")</f>
        <v/>
      </c>
      <c r="F49" s="156" t="inlineStr">
        <is>
          <t>Trey Benson</t>
        </is>
      </c>
      <c r="G49" s="156" t="inlineStr">
        <is>
          <t>ARI</t>
        </is>
      </c>
      <c r="H49" s="156" t="inlineStr">
        <is>
          <t>RB</t>
        </is>
      </c>
      <c r="I49" s="156" t="n">
        <v>2</v>
      </c>
      <c r="J49" s="179" t="n">
        <v>11</v>
      </c>
      <c r="K49" s="179" t="n">
        <v>83</v>
      </c>
      <c r="L49" s="281">
        <f>IF(J49=0,0,K49/J49)</f>
        <v/>
      </c>
      <c r="M49" s="281">
        <f>K49/17</f>
        <v/>
      </c>
      <c r="N49" s="156" t="n">
        <v>0</v>
      </c>
      <c r="O49" s="156" t="n">
        <v>1</v>
      </c>
      <c r="P49" s="156" t="n">
        <v>0</v>
      </c>
      <c r="Q49" s="156" t="n">
        <v>0</v>
      </c>
      <c r="R49" s="156" t="n">
        <v>0</v>
      </c>
      <c r="S49" s="156" t="n">
        <v>0</v>
      </c>
      <c r="T49" s="156" t="n">
        <v>0</v>
      </c>
      <c r="U49" s="179" t="n">
        <v>0</v>
      </c>
      <c r="W49" s="156">
        <f>INDEX(Matrix!$AA$2:$AA$33, MATCH(G49, Matrix!$AC$2:$AC$33, 0))</f>
        <v/>
      </c>
      <c r="X49" s="156">
        <f>_xlfn.IFNA(MATCH(E47,'Injury Report'!$C$2:$C$6216,0),0)</f>
        <v/>
      </c>
    </row>
    <row r="50" ht="15.6" customHeight="1" s="152">
      <c r="A50" s="212" t="n">
        <v>47</v>
      </c>
      <c r="B50" s="167">
        <f>F50&amp;G50</f>
        <v/>
      </c>
      <c r="C50" s="156">
        <f>(K50/MAX(K:K)*$K$1)+(L50/MAX(L:L)*$L$1)+(M50/MAX(M:M)*$M$1)+(N50/MAX(N:N)*$N$1)+(T50/MAX(T:T)*$T$1)</f>
        <v/>
      </c>
      <c r="D50" s="156">
        <f>IFERROR(VLOOKUP(B50,#REF!,7,0),"")</f>
        <v/>
      </c>
      <c r="E50" s="156">
        <f>IFERROR(VLOOKUP(F50,AllPlayers!F:F,1,0),"------------")</f>
        <v/>
      </c>
      <c r="F50" s="156" t="inlineStr">
        <is>
          <t>Nick Chubb</t>
        </is>
      </c>
      <c r="G50" s="156" t="inlineStr">
        <is>
          <t>HOU</t>
        </is>
      </c>
      <c r="H50" s="156" t="inlineStr">
        <is>
          <t>QB</t>
        </is>
      </c>
      <c r="I50" s="156" t="n">
        <v>2</v>
      </c>
      <c r="J50" s="179" t="n">
        <v>25</v>
      </c>
      <c r="K50" s="179" t="n">
        <v>103</v>
      </c>
      <c r="L50" s="281">
        <f>IF(J50=0,0,K50/J50)</f>
        <v/>
      </c>
      <c r="M50" s="281">
        <f>K50/17</f>
        <v/>
      </c>
      <c r="N50" s="156" t="n">
        <v>1</v>
      </c>
      <c r="O50" s="156" t="n">
        <v>2</v>
      </c>
      <c r="P50" s="156" t="n">
        <v>0</v>
      </c>
      <c r="Q50" s="156" t="n">
        <v>0</v>
      </c>
      <c r="R50" s="156" t="n">
        <v>0</v>
      </c>
      <c r="S50" s="156" t="n">
        <v>0</v>
      </c>
      <c r="T50" s="156" t="n">
        <v>0</v>
      </c>
      <c r="U50" s="179" t="n">
        <v>0</v>
      </c>
      <c r="W50" s="156">
        <f>INDEX(Matrix!$AA$2:$AA$33, MATCH(G50, Matrix!$AC$2:$AC$33, 0))</f>
        <v/>
      </c>
      <c r="X50" s="156">
        <f>_xlfn.IFNA(MATCH(E48,'Injury Report'!$C$2:$C$6216,0),0)</f>
        <v/>
      </c>
    </row>
    <row r="51" ht="15.6" customHeight="1" s="152">
      <c r="A51" s="212" t="n">
        <v>48</v>
      </c>
      <c r="B51" s="167">
        <f>F51&amp;G51</f>
        <v/>
      </c>
      <c r="C51" s="156">
        <f>(K51/MAX(K:K)*$K$1)+(L51/MAX(L:L)*$L$1)+(M51/MAX(M:M)*$M$1)+(N51/MAX(N:N)*$N$1)+(T51/MAX(T:T)*$T$1)</f>
        <v/>
      </c>
      <c r="D51" s="156">
        <f>IFERROR(VLOOKUP(B51,#REF!,7,0),"")</f>
        <v/>
      </c>
      <c r="E51" s="156">
        <f>IFERROR(VLOOKUP(F51,AllPlayers!F:F,1,0),"------------")</f>
        <v/>
      </c>
      <c r="F51" s="156" t="inlineStr">
        <is>
          <t>Jaylen Wright</t>
        </is>
      </c>
      <c r="G51" s="156" t="inlineStr">
        <is>
          <t>MIA</t>
        </is>
      </c>
      <c r="H51" s="156" t="inlineStr">
        <is>
          <t>RB</t>
        </is>
      </c>
      <c r="I51" s="156" t="n">
        <v>15</v>
      </c>
      <c r="J51" s="179" t="n">
        <v>132.3</v>
      </c>
      <c r="K51" s="179" t="n">
        <v>541.4</v>
      </c>
      <c r="L51" s="281">
        <f>IF(J51=0,0,K51/J51)</f>
        <v/>
      </c>
      <c r="M51" s="281">
        <f>K51/17</f>
        <v/>
      </c>
      <c r="N51" s="156" t="n">
        <v>3.4</v>
      </c>
      <c r="O51" s="156" t="n">
        <v>2</v>
      </c>
      <c r="P51" s="156" t="n">
        <v>0</v>
      </c>
      <c r="Q51" s="156" t="n">
        <v>0</v>
      </c>
      <c r="R51" s="156" t="n">
        <v>0</v>
      </c>
      <c r="S51" s="156" t="n">
        <v>0</v>
      </c>
      <c r="T51" s="156" t="n">
        <v>0</v>
      </c>
      <c r="U51" s="179" t="n">
        <v>1.5</v>
      </c>
      <c r="W51" s="156">
        <f>INDEX(Matrix!$AA$2:$AA$33, MATCH(G51, Matrix!$AC$2:$AC$33, 0))</f>
        <v/>
      </c>
      <c r="X51" s="156">
        <f>_xlfn.IFNA(MATCH(E49,'Injury Report'!$C$2:$C$6216,0),0)</f>
        <v/>
      </c>
    </row>
    <row r="52" ht="15.6" customHeight="1" s="152">
      <c r="A52" s="212" t="n">
        <v>49</v>
      </c>
      <c r="B52" s="167">
        <f>F52&amp;G52</f>
        <v/>
      </c>
      <c r="C52" s="156">
        <f>(K52/MAX(K:K)*$K$1)+(L52/MAX(L:L)*$L$1)+(M52/MAX(M:M)*$M$1)+(N52/MAX(N:N)*$N$1)+(T52/MAX(T:T)*$T$1)</f>
        <v/>
      </c>
      <c r="D52" s="156">
        <f>IFERROR(VLOOKUP(B52,#REF!,7,0),"")</f>
        <v/>
      </c>
      <c r="E52" s="156">
        <f>IFERROR(VLOOKUP(F52,AllPlayers!F:F,1,0),"------------")</f>
        <v/>
      </c>
      <c r="F52" s="156" t="inlineStr">
        <is>
          <t>Tyler Allgeier</t>
        </is>
      </c>
      <c r="G52" s="156" t="inlineStr">
        <is>
          <t>ATL</t>
        </is>
      </c>
      <c r="H52" s="156" t="inlineStr">
        <is>
          <t>RB</t>
        </is>
      </c>
      <c r="I52" s="156" t="n">
        <v>2</v>
      </c>
      <c r="J52" s="179" t="n">
        <v>26</v>
      </c>
      <c r="K52" s="179" t="n">
        <v>100</v>
      </c>
      <c r="L52" s="281">
        <f>IF(J52=0,0,K52/J52)</f>
        <v/>
      </c>
      <c r="M52" s="281">
        <f>K52/17</f>
        <v/>
      </c>
      <c r="N52" s="156" t="n">
        <v>1</v>
      </c>
      <c r="O52" s="156" t="n">
        <v>2</v>
      </c>
      <c r="P52" s="156" t="n">
        <v>1</v>
      </c>
      <c r="Q52" s="156" t="n">
        <v>0</v>
      </c>
      <c r="R52" s="156" t="n">
        <v>0</v>
      </c>
      <c r="S52" s="156" t="n">
        <v>0</v>
      </c>
      <c r="T52" s="156" t="n">
        <v>0</v>
      </c>
      <c r="U52" s="179" t="n">
        <v>0</v>
      </c>
      <c r="W52" s="156">
        <f>INDEX(Matrix!$AA$2:$AA$33, MATCH(G52, Matrix!$AC$2:$AC$33, 0))</f>
        <v/>
      </c>
      <c r="X52" s="156">
        <f>_xlfn.IFNA(MATCH(E50,'Injury Report'!$C$2:$C$6216,0),0)</f>
        <v/>
      </c>
    </row>
    <row r="53" ht="15.6" customHeight="1" s="152">
      <c r="A53" s="212" t="n">
        <v>50</v>
      </c>
      <c r="B53" s="167">
        <f>F53&amp;G53</f>
        <v/>
      </c>
      <c r="C53" s="156">
        <f>(K53/MAX(K:K)*$K$1)+(L53/MAX(L:L)*$L$1)+(M53/MAX(M:M)*$M$1)+(N53/MAX(N:N)*$N$1)+(T53/MAX(T:T)*$T$1)</f>
        <v/>
      </c>
      <c r="D53" s="156">
        <f>IFERROR(VLOOKUP(B53,#REF!,7,0),"")</f>
        <v/>
      </c>
      <c r="E53" s="156">
        <f>IFERROR(VLOOKUP(F53,AllPlayers!F:F,1,0),"------------")</f>
        <v/>
      </c>
      <c r="F53" s="156" t="inlineStr">
        <is>
          <t>Dylan Sampson</t>
        </is>
      </c>
      <c r="G53" s="156" t="inlineStr">
        <is>
          <t>CLE</t>
        </is>
      </c>
      <c r="H53" s="156" t="inlineStr">
        <is>
          <t>QB</t>
        </is>
      </c>
      <c r="I53" s="156" t="n">
        <v>2</v>
      </c>
      <c r="J53" s="179" t="n">
        <v>16</v>
      </c>
      <c r="K53" s="179" t="n">
        <v>35</v>
      </c>
      <c r="L53" s="281">
        <f>IF(J53=0,0,K53/J53)</f>
        <v/>
      </c>
      <c r="M53" s="281">
        <f>K53/17</f>
        <v/>
      </c>
      <c r="N53" s="156" t="n">
        <v>0</v>
      </c>
      <c r="O53" s="156" t="n">
        <v>6</v>
      </c>
      <c r="P53" s="156" t="n">
        <v>0</v>
      </c>
      <c r="Q53" s="156" t="n">
        <v>0</v>
      </c>
      <c r="R53" s="156" t="n">
        <v>0</v>
      </c>
      <c r="S53" s="156" t="n">
        <v>0</v>
      </c>
      <c r="T53" s="156" t="n">
        <v>0</v>
      </c>
      <c r="U53" s="179" t="n">
        <v>0</v>
      </c>
      <c r="W53" s="156">
        <f>INDEX(Matrix!$AA$2:$AA$33, MATCH(G53, Matrix!$AC$2:$AC$33, 0))</f>
        <v/>
      </c>
      <c r="X53" s="156">
        <f>_xlfn.IFNA(MATCH(E51,'Injury Report'!$C$2:$C$6216,0),0)</f>
        <v/>
      </c>
    </row>
    <row r="54" ht="15.6" customHeight="1" s="152">
      <c r="A54" s="212" t="n">
        <v>51</v>
      </c>
      <c r="B54" s="167">
        <f>F54&amp;G54</f>
        <v/>
      </c>
      <c r="C54" s="156">
        <f>(K54/MAX(K:K)*$K$1)+(L54/MAX(L:L)*$L$1)+(M54/MAX(M:M)*$M$1)+(N54/MAX(N:N)*$N$1)+(T54/MAX(T:T)*$T$1)</f>
        <v/>
      </c>
      <c r="D54" s="156">
        <f>IFERROR(VLOOKUP(B54,#REF!,7,0),"")</f>
        <v/>
      </c>
      <c r="E54" s="156">
        <f>IFERROR(VLOOKUP(F54,AllPlayers!F:F,1,0),"------------")</f>
        <v/>
      </c>
      <c r="F54" s="156" t="inlineStr">
        <is>
          <t>Jaydon Blue</t>
        </is>
      </c>
      <c r="G54" s="156" t="inlineStr">
        <is>
          <t>DAL</t>
        </is>
      </c>
      <c r="H54" s="156" t="inlineStr">
        <is>
          <t>QB</t>
        </is>
      </c>
      <c r="I54" s="156" t="n">
        <v>12</v>
      </c>
      <c r="J54" s="179" t="n">
        <v>108.6</v>
      </c>
      <c r="K54" s="179" t="n">
        <v>475.2</v>
      </c>
      <c r="L54" s="281">
        <f>IF(J54=0,0,K54/J54)</f>
        <v/>
      </c>
      <c r="M54" s="281">
        <f>K54/17</f>
        <v/>
      </c>
      <c r="N54" s="156" t="n">
        <v>2.9</v>
      </c>
      <c r="O54" s="156" t="n">
        <v>3</v>
      </c>
      <c r="P54" s="156" t="n">
        <v>1</v>
      </c>
      <c r="Q54" s="156" t="n">
        <v>0</v>
      </c>
      <c r="R54" s="156" t="n">
        <v>0</v>
      </c>
      <c r="S54" s="156" t="n">
        <v>0</v>
      </c>
      <c r="T54" s="156" t="n">
        <v>9</v>
      </c>
      <c r="U54" s="179" t="n">
        <v>0.8</v>
      </c>
      <c r="W54" s="156">
        <f>INDEX(Matrix!$AA$2:$AA$33, MATCH(G54, Matrix!$AC$2:$AC$33, 0))</f>
        <v/>
      </c>
      <c r="X54" s="156">
        <f>_xlfn.IFNA(MATCH(E52,'Injury Report'!$C$2:$C$6216,0),0)</f>
        <v/>
      </c>
    </row>
    <row r="55" ht="15.6" customHeight="1" s="152">
      <c r="A55" s="212" t="n">
        <v>52</v>
      </c>
      <c r="B55" s="167">
        <f>F55&amp;G55</f>
        <v/>
      </c>
      <c r="C55" s="156">
        <f>(K55/MAX(K:K)*$K$1)+(L55/MAX(L:L)*$L$1)+(M55/MAX(M:M)*$M$1)+(N55/MAX(N:N)*$N$1)+(T55/MAX(T:T)*$T$1)</f>
        <v/>
      </c>
      <c r="D55" s="156">
        <f>IFERROR(VLOOKUP(B55,#REF!,7,0),"")</f>
        <v/>
      </c>
      <c r="E55" s="156">
        <f>IFERROR(VLOOKUP(F55,AllPlayers!F:F,1,0),"------------")</f>
        <v/>
      </c>
      <c r="F55" s="156" t="inlineStr">
        <is>
          <t>Ray Davis</t>
        </is>
      </c>
      <c r="G55" s="156" t="inlineStr">
        <is>
          <t>BUF</t>
        </is>
      </c>
      <c r="H55" s="156" t="inlineStr">
        <is>
          <t>RB</t>
        </is>
      </c>
      <c r="I55" s="156" t="n">
        <v>2</v>
      </c>
      <c r="J55" s="179" t="n">
        <v>10</v>
      </c>
      <c r="K55" s="179" t="n">
        <v>26</v>
      </c>
      <c r="L55" s="281">
        <f>IF(J55=0,0,K55/J55)</f>
        <v/>
      </c>
      <c r="M55" s="281">
        <f>K55/17</f>
        <v/>
      </c>
      <c r="N55" s="156" t="n">
        <v>0</v>
      </c>
      <c r="O55" s="156" t="n">
        <v>1</v>
      </c>
      <c r="P55" s="156" t="n">
        <v>0</v>
      </c>
      <c r="Q55" s="156" t="n">
        <v>0</v>
      </c>
      <c r="R55" s="156" t="n">
        <v>0</v>
      </c>
      <c r="S55" s="156" t="n">
        <v>0</v>
      </c>
      <c r="T55" s="156" t="n">
        <v>0</v>
      </c>
      <c r="U55" s="179" t="n">
        <v>0</v>
      </c>
      <c r="W55" s="156">
        <f>INDEX(Matrix!$AA$2:$AA$33, MATCH(G55, Matrix!$AC$2:$AC$33, 0))</f>
        <v/>
      </c>
      <c r="X55" s="156">
        <f>_xlfn.IFNA(MATCH(E53,'Injury Report'!$C$2:$C$6216,0),0)</f>
        <v/>
      </c>
    </row>
    <row r="56" ht="15.6" customHeight="1" s="152">
      <c r="A56" s="212" t="n">
        <v>53</v>
      </c>
      <c r="B56" s="167">
        <f>F56&amp;G56</f>
        <v/>
      </c>
      <c r="C56" s="156">
        <f>(K56/MAX(K:K)*$K$1)+(L56/MAX(L:L)*$L$1)+(M56/MAX(M:M)*$M$1)+(N56/MAX(N:N)*$N$1)+(T56/MAX(T:T)*$T$1)</f>
        <v/>
      </c>
      <c r="D56" s="156">
        <f>IFERROR(VLOOKUP(B56,#REF!,7,0),"")</f>
        <v/>
      </c>
      <c r="E56" s="156">
        <f>IFERROR(VLOOKUP(F56,AllPlayers!F:F,1,0),"------------")</f>
        <v/>
      </c>
      <c r="F56" s="156" t="inlineStr">
        <is>
          <t>Braelon Allen</t>
        </is>
      </c>
      <c r="G56" s="156" t="inlineStr">
        <is>
          <t>NYJ</t>
        </is>
      </c>
      <c r="H56" s="156" t="inlineStr">
        <is>
          <t>RB</t>
        </is>
      </c>
      <c r="I56" s="156" t="n">
        <v>2</v>
      </c>
      <c r="J56" s="179" t="n">
        <v>8</v>
      </c>
      <c r="K56" s="179" t="n">
        <v>20</v>
      </c>
      <c r="L56" s="281">
        <f>IF(J56=0,0,K56/J56)</f>
        <v/>
      </c>
      <c r="M56" s="281">
        <f>K56/17</f>
        <v/>
      </c>
      <c r="N56" s="156" t="n">
        <v>1</v>
      </c>
      <c r="O56" s="156" t="n">
        <v>2</v>
      </c>
      <c r="P56" s="156" t="n">
        <v>1</v>
      </c>
      <c r="Q56" s="156" t="n">
        <v>0</v>
      </c>
      <c r="R56" s="156" t="n">
        <v>0</v>
      </c>
      <c r="S56" s="156" t="n">
        <v>0</v>
      </c>
      <c r="T56" s="156" t="n">
        <v>0</v>
      </c>
      <c r="U56" s="179" t="n">
        <v>0</v>
      </c>
      <c r="W56" s="156">
        <f>INDEX(Matrix!$AA$2:$AA$33, MATCH(G56, Matrix!$AC$2:$AC$33, 0))</f>
        <v/>
      </c>
      <c r="X56" s="156">
        <f>_xlfn.IFNA(MATCH(E54,'Injury Report'!$C$2:$C$6216,0),0)</f>
        <v/>
      </c>
    </row>
    <row r="57" ht="15.6" customHeight="1" s="152">
      <c r="A57" s="212" t="n">
        <v>54</v>
      </c>
      <c r="B57" s="167">
        <f>F57&amp;G57</f>
        <v/>
      </c>
      <c r="C57" s="156">
        <f>(K57/MAX(K:K)*$K$1)+(L57/MAX(L:L)*$L$1)+(M57/MAX(M:M)*$M$1)+(N57/MAX(N:N)*$N$1)+(T57/MAX(T:T)*$T$1)</f>
        <v/>
      </c>
      <c r="D57" s="156">
        <f>IFERROR(VLOOKUP(B57,#REF!,7,0),"")</f>
        <v/>
      </c>
      <c r="E57" s="156">
        <f>IFERROR(VLOOKUP(F57,AllPlayers!F:F,1,0),"------------")</f>
        <v/>
      </c>
      <c r="F57" s="156" t="inlineStr">
        <is>
          <t>Rico Dowdle</t>
        </is>
      </c>
      <c r="G57" s="156" t="inlineStr">
        <is>
          <t>CAR</t>
        </is>
      </c>
      <c r="H57" s="156" t="inlineStr">
        <is>
          <t>QB</t>
        </is>
      </c>
      <c r="I57" s="156" t="n">
        <v>2</v>
      </c>
      <c r="J57" s="179" t="n">
        <v>9</v>
      </c>
      <c r="K57" s="179" t="n">
        <v>21</v>
      </c>
      <c r="L57" s="281">
        <f>IF(J57=0,0,K57/J57)</f>
        <v/>
      </c>
      <c r="M57" s="281">
        <f>K57/17</f>
        <v/>
      </c>
      <c r="N57" s="156" t="n">
        <v>0</v>
      </c>
      <c r="O57" s="156" t="n">
        <v>2</v>
      </c>
      <c r="P57" s="156" t="n">
        <v>0</v>
      </c>
      <c r="Q57" s="156" t="n">
        <v>0</v>
      </c>
      <c r="R57" s="156" t="n">
        <v>0</v>
      </c>
      <c r="S57" s="156" t="n">
        <v>0</v>
      </c>
      <c r="T57" s="156" t="n">
        <v>0</v>
      </c>
      <c r="U57" s="179" t="n">
        <v>0</v>
      </c>
      <c r="W57" s="156">
        <f>INDEX(Matrix!$AA$2:$AA$33, MATCH(G57, Matrix!$AC$2:$AC$33, 0))</f>
        <v/>
      </c>
      <c r="X57" s="156">
        <f>_xlfn.IFNA(MATCH(E55,'Injury Report'!$C$2:$C$6216,0),0)</f>
        <v/>
      </c>
    </row>
    <row r="58" ht="15.6" customHeight="1" s="152">
      <c r="A58" s="212" t="n">
        <v>55</v>
      </c>
      <c r="B58" s="167">
        <f>F58&amp;G58</f>
        <v/>
      </c>
      <c r="C58" s="156">
        <f>(K58/MAX(K:K)*$K$1)+(L58/MAX(L:L)*$L$1)+(M58/MAX(M:M)*$M$1)+(N58/MAX(N:N)*$N$1)+(T58/MAX(T:T)*$T$1)</f>
        <v/>
      </c>
      <c r="D58" s="156">
        <f>IFERROR(VLOOKUP(B58,#REF!,7,0),"")</f>
        <v/>
      </c>
      <c r="E58" s="156">
        <f>IFERROR(VLOOKUP(F58,AllPlayers!F:F,1,0),"------------")</f>
        <v/>
      </c>
      <c r="F58" s="156" t="inlineStr">
        <is>
          <t>Bhayshul Tuten</t>
        </is>
      </c>
      <c r="G58" s="156" t="inlineStr">
        <is>
          <t>JAX</t>
        </is>
      </c>
      <c r="H58" s="156" t="inlineStr">
        <is>
          <t>RB</t>
        </is>
      </c>
      <c r="I58" s="156" t="n">
        <v>2</v>
      </c>
      <c r="J58" s="179" t="n">
        <v>11</v>
      </c>
      <c r="K58" s="179" t="n">
        <v>53</v>
      </c>
      <c r="L58" s="281">
        <f>IF(J58=0,0,K58/J58)</f>
        <v/>
      </c>
      <c r="M58" s="281">
        <f>K58/17</f>
        <v/>
      </c>
      <c r="N58" s="156" t="n">
        <v>0</v>
      </c>
      <c r="O58" s="156" t="n">
        <v>4</v>
      </c>
      <c r="P58" s="156" t="n">
        <v>1</v>
      </c>
      <c r="Q58" s="156" t="n">
        <v>0</v>
      </c>
      <c r="R58" s="156" t="n">
        <v>0</v>
      </c>
      <c r="S58" s="156" t="n">
        <v>0</v>
      </c>
      <c r="T58" s="156" t="n">
        <v>0</v>
      </c>
      <c r="U58" s="179" t="n">
        <v>0</v>
      </c>
      <c r="W58" s="156">
        <f>INDEX(Matrix!$AA$2:$AA$33, MATCH(G58, Matrix!$AC$2:$AC$33, 0))</f>
        <v/>
      </c>
      <c r="X58" s="156">
        <f>_xlfn.IFNA(MATCH(E56,'Injury Report'!$C$2:$C$6216,0),0)</f>
        <v/>
      </c>
    </row>
    <row r="59" ht="15.6" customHeight="1" s="152">
      <c r="A59" s="212" t="n">
        <v>56</v>
      </c>
      <c r="B59" s="167">
        <f>F59&amp;G59</f>
        <v/>
      </c>
      <c r="C59" s="156">
        <f>(K59/MAX(K:K)*$K$1)+(L59/MAX(L:L)*$L$1)+(M59/MAX(M:M)*$M$1)+(N59/MAX(N:N)*$N$1)+(T59/MAX(T:T)*$T$1)</f>
        <v/>
      </c>
      <c r="D59" s="156">
        <f>IFERROR(VLOOKUP(B59,#REF!,7,0),"")</f>
        <v/>
      </c>
      <c r="E59" s="156">
        <f>IFERROR(VLOOKUP(F59,AllPlayers!F:F,1,0),"------------")</f>
        <v/>
      </c>
      <c r="F59" s="156" t="inlineStr">
        <is>
          <t>Roschon Johnson</t>
        </is>
      </c>
      <c r="G59" s="156" t="inlineStr">
        <is>
          <t>CHI</t>
        </is>
      </c>
      <c r="H59" s="156" t="inlineStr">
        <is>
          <t>RB</t>
        </is>
      </c>
      <c r="I59" s="156" t="n">
        <v>1</v>
      </c>
      <c r="J59" s="179" t="n">
        <v>0</v>
      </c>
      <c r="K59" s="179" t="n">
        <v>0</v>
      </c>
      <c r="L59" s="281">
        <f>IF(J59=0,0,K59/J59)</f>
        <v/>
      </c>
      <c r="M59" s="281">
        <f>K59/17</f>
        <v/>
      </c>
      <c r="N59" s="156" t="n">
        <v>0</v>
      </c>
      <c r="O59" s="156" t="n">
        <v>1</v>
      </c>
      <c r="P59" s="156" t="n">
        <v>1</v>
      </c>
      <c r="Q59" s="156" t="n">
        <v>0</v>
      </c>
      <c r="R59" s="156" t="n">
        <v>0</v>
      </c>
      <c r="S59" s="156" t="n">
        <v>0</v>
      </c>
      <c r="T59" s="156" t="n">
        <v>0</v>
      </c>
      <c r="U59" s="179" t="n">
        <v>0</v>
      </c>
      <c r="W59" s="156">
        <f>INDEX(Matrix!$AA$2:$AA$33, MATCH(G59, Matrix!$AC$2:$AC$33, 0))</f>
        <v/>
      </c>
      <c r="X59" s="156">
        <f>_xlfn.IFNA(MATCH(E57,'Injury Report'!$C$2:$C$6216,0),0)</f>
        <v/>
      </c>
    </row>
    <row r="60" ht="15.6" customHeight="1" s="152">
      <c r="A60" s="212" t="n">
        <v>57</v>
      </c>
      <c r="B60" s="167">
        <f>F60&amp;G60</f>
        <v/>
      </c>
      <c r="C60" s="156">
        <f>(K60/MAX(K:K)*$K$1)+(L60/MAX(L:L)*$L$1)+(M60/MAX(M:M)*$M$1)+(N60/MAX(N:N)*$N$1)+(T60/MAX(T:T)*$T$1)</f>
        <v/>
      </c>
      <c r="D60" s="156">
        <f>IFERROR(VLOOKUP(B60,#REF!,7,0),"")</f>
        <v/>
      </c>
      <c r="E60" s="156">
        <f>IFERROR(VLOOKUP(F60,AllPlayers!F:F,1,0),"------------")</f>
        <v/>
      </c>
      <c r="F60" s="156" t="inlineStr">
        <is>
          <t>Marshawn Lloyd</t>
        </is>
      </c>
      <c r="G60" s="156" t="inlineStr">
        <is>
          <t>GB</t>
        </is>
      </c>
      <c r="H60" s="156" t="inlineStr">
        <is>
          <t>RB</t>
        </is>
      </c>
      <c r="I60" s="156" t="n">
        <v>17</v>
      </c>
      <c r="J60" s="179" t="n">
        <v>105.6</v>
      </c>
      <c r="K60" s="179" t="n">
        <v>381.3</v>
      </c>
      <c r="L60" s="281">
        <f>IF(J60=0,0,K60/J60)</f>
        <v/>
      </c>
      <c r="M60" s="281">
        <f>K60/17</f>
        <v/>
      </c>
      <c r="N60" s="156" t="n">
        <v>2.9</v>
      </c>
      <c r="O60" s="156" t="n">
        <v>1</v>
      </c>
      <c r="P60" s="156" t="n">
        <v>0</v>
      </c>
      <c r="Q60" s="156" t="n">
        <v>0</v>
      </c>
      <c r="R60" s="156" t="n">
        <v>0</v>
      </c>
      <c r="S60" s="156" t="n">
        <v>0</v>
      </c>
      <c r="T60" s="156" t="n">
        <v>0</v>
      </c>
      <c r="U60" s="179" t="n">
        <v>0.8</v>
      </c>
      <c r="W60" s="156">
        <f>INDEX(Matrix!$AA$2:$AA$33, MATCH(G60, Matrix!$AC$2:$AC$33, 0))</f>
        <v/>
      </c>
      <c r="X60" s="156">
        <f>_xlfn.IFNA(MATCH(E58,'Injury Report'!$C$2:$C$6216,0),0)</f>
        <v/>
      </c>
    </row>
    <row r="61" ht="15.6" customHeight="1" s="152">
      <c r="A61" s="212" t="n">
        <v>58</v>
      </c>
      <c r="B61" s="167">
        <f>F61&amp;G61</f>
        <v/>
      </c>
      <c r="C61" s="156">
        <f>(K61/MAX(K:K)*$K$1)+(L61/MAX(L:L)*$L$1)+(M61/MAX(M:M)*$M$1)+(N61/MAX(N:N)*$N$1)+(T61/MAX(T:T)*$T$1)</f>
        <v/>
      </c>
      <c r="D61" s="156">
        <f>IFERROR(VLOOKUP(B61,#REF!,7,0),"")</f>
        <v/>
      </c>
      <c r="E61" s="156">
        <f>IFERROR(VLOOKUP(F61,AllPlayers!F:F,1,0),"------------")</f>
        <v/>
      </c>
      <c r="F61" s="156" t="inlineStr">
        <is>
          <t>Kareem Hunt</t>
        </is>
      </c>
      <c r="G61" s="156" t="inlineStr">
        <is>
          <t>KC</t>
        </is>
      </c>
      <c r="H61" s="156" t="inlineStr">
        <is>
          <t>RB</t>
        </is>
      </c>
      <c r="I61" s="156" t="n">
        <v>2</v>
      </c>
      <c r="J61" s="179" t="n">
        <v>13</v>
      </c>
      <c r="K61" s="179" t="n">
        <v>47</v>
      </c>
      <c r="L61" s="281">
        <f>IF(J61=0,0,K61/J61)</f>
        <v/>
      </c>
      <c r="M61" s="281">
        <f>K61/17</f>
        <v/>
      </c>
      <c r="N61" s="156" t="n">
        <v>0</v>
      </c>
      <c r="O61" s="156" t="n">
        <v>0</v>
      </c>
      <c r="P61" s="156" t="n">
        <v>0</v>
      </c>
      <c r="Q61" s="156" t="n">
        <v>0</v>
      </c>
      <c r="R61" s="156" t="n">
        <v>0</v>
      </c>
      <c r="S61" s="156" t="n">
        <v>0</v>
      </c>
      <c r="T61" s="156" t="n">
        <v>1</v>
      </c>
      <c r="U61" s="179" t="n">
        <v>0</v>
      </c>
      <c r="W61" s="156">
        <f>INDEX(Matrix!$AA$2:$AA$33, MATCH(G61, Matrix!$AC$2:$AC$33, 0))</f>
        <v/>
      </c>
      <c r="X61" s="156">
        <f>_xlfn.IFNA(MATCH(E59,'Injury Report'!$C$2:$C$6216,0),0)</f>
        <v/>
      </c>
    </row>
    <row r="62" ht="15.6" customHeight="1" s="152">
      <c r="A62" s="212" t="n">
        <v>59</v>
      </c>
      <c r="B62" s="167">
        <f>F62&amp;G62</f>
        <v/>
      </c>
      <c r="C62" s="156">
        <f>(K62/MAX(K:K)*$K$1)+(L62/MAX(L:L)*$L$1)+(M62/MAX(M:M)*$M$1)+(N62/MAX(N:N)*$N$1)+(T62/MAX(T:T)*$T$1)</f>
        <v/>
      </c>
      <c r="D62" s="156">
        <f>IFERROR(VLOOKUP(B62,#REF!,7,0),"")</f>
        <v/>
      </c>
      <c r="E62" s="156">
        <f>IFERROR(VLOOKUP(F62,AllPlayers!F:F,1,0),"------------")</f>
        <v/>
      </c>
      <c r="F62" s="156" t="inlineStr">
        <is>
          <t>Miles Sanders</t>
        </is>
      </c>
      <c r="G62" s="156" t="inlineStr">
        <is>
          <t>DAL</t>
        </is>
      </c>
      <c r="H62" s="156" t="inlineStr">
        <is>
          <t>QB</t>
        </is>
      </c>
      <c r="I62" s="156" t="n">
        <v>2</v>
      </c>
      <c r="J62" s="179" t="n">
        <v>9</v>
      </c>
      <c r="K62" s="179" t="n">
        <v>68</v>
      </c>
      <c r="L62" s="281">
        <f>IF(J62=0,0,K62/J62)</f>
        <v/>
      </c>
      <c r="M62" s="281">
        <f>K62/17</f>
        <v/>
      </c>
      <c r="N62" s="156" t="n">
        <v>1</v>
      </c>
      <c r="O62" s="156" t="n">
        <v>0</v>
      </c>
      <c r="P62" s="156" t="n">
        <v>0</v>
      </c>
      <c r="Q62" s="156" t="n">
        <v>0</v>
      </c>
      <c r="R62" s="156" t="n">
        <v>0</v>
      </c>
      <c r="S62" s="156" t="n">
        <v>0</v>
      </c>
      <c r="T62" s="156" t="n">
        <v>1</v>
      </c>
      <c r="U62" s="179" t="n">
        <v>1</v>
      </c>
      <c r="W62" s="156">
        <f>INDEX(Matrix!$AA$2:$AA$33, MATCH(G62, Matrix!$AC$2:$AC$33, 0))</f>
        <v/>
      </c>
      <c r="X62" s="156">
        <f>_xlfn.IFNA(MATCH(E60,'Injury Report'!$C$2:$C$6216,0),0)</f>
        <v/>
      </c>
    </row>
    <row r="63" ht="15.6" customHeight="1" s="152">
      <c r="A63" s="212" t="n">
        <v>60</v>
      </c>
      <c r="B63" s="167">
        <f>F63&amp;G63</f>
        <v/>
      </c>
      <c r="C63" s="156">
        <f>(K63/MAX(K:K)*$K$1)+(L63/MAX(L:L)*$L$1)+(M63/MAX(M:M)*$M$1)+(N63/MAX(N:N)*$N$1)+(T63/MAX(T:T)*$T$1)</f>
        <v/>
      </c>
      <c r="D63" s="156">
        <f>IFERROR(VLOOKUP(B63,#REF!,7,0),"")</f>
        <v/>
      </c>
      <c r="E63" s="156">
        <f>IFERROR(VLOOKUP(F63,AllPlayers!F:F,1,0),"------------")</f>
        <v/>
      </c>
      <c r="F63" s="156" t="inlineStr">
        <is>
          <t>Woody Marks</t>
        </is>
      </c>
      <c r="G63" s="156" t="inlineStr">
        <is>
          <t>HOU</t>
        </is>
      </c>
      <c r="H63" s="156" t="inlineStr">
        <is>
          <t>RB</t>
        </is>
      </c>
      <c r="I63" s="156" t="n">
        <v>2</v>
      </c>
      <c r="J63" s="179" t="n">
        <v>6</v>
      </c>
      <c r="K63" s="179" t="n">
        <v>17</v>
      </c>
      <c r="L63" s="281">
        <f>IF(J63=0,0,K63/J63)</f>
        <v/>
      </c>
      <c r="M63" s="281">
        <f>K63/17</f>
        <v/>
      </c>
      <c r="N63" s="156" t="n">
        <v>0</v>
      </c>
      <c r="O63" s="156" t="n">
        <v>1</v>
      </c>
      <c r="P63" s="156" t="n">
        <v>0</v>
      </c>
      <c r="Q63" s="156" t="n">
        <v>0</v>
      </c>
      <c r="R63" s="156" t="n">
        <v>0</v>
      </c>
      <c r="S63" s="156" t="n">
        <v>0</v>
      </c>
      <c r="T63" s="156" t="n">
        <v>0</v>
      </c>
      <c r="U63" s="179" t="n">
        <v>0</v>
      </c>
      <c r="W63" s="156">
        <f>INDEX(Matrix!$AA$2:$AA$33, MATCH(G63, Matrix!$AC$2:$AC$33, 0))</f>
        <v/>
      </c>
      <c r="X63" s="156">
        <f>_xlfn.IFNA(MATCH(E61,'Injury Report'!$C$2:$C$6216,0),0)</f>
        <v/>
      </c>
    </row>
    <row r="64" ht="15.6" customHeight="1" s="152">
      <c r="A64" s="212" t="n">
        <v>61</v>
      </c>
      <c r="B64" s="167">
        <f>F64&amp;G64</f>
        <v/>
      </c>
      <c r="C64" s="156">
        <f>(K64/MAX(K:K)*$K$1)+(L64/MAX(L:L)*$L$1)+(M64/MAX(M:M)*$M$1)+(N64/MAX(N:N)*$N$1)+(T64/MAX(T:T)*$T$1)</f>
        <v/>
      </c>
      <c r="D64" s="156">
        <f>IFERROR(VLOOKUP(B64,#REF!,7,0),"")</f>
        <v/>
      </c>
      <c r="E64" s="156">
        <f>IFERROR(VLOOKUP(F64,AllPlayers!F:F,1,0),"------------")</f>
        <v/>
      </c>
      <c r="F64" s="156" t="inlineStr">
        <is>
          <t>Brian Robinson</t>
        </is>
      </c>
      <c r="G64" s="156" t="inlineStr">
        <is>
          <t>SF</t>
        </is>
      </c>
      <c r="H64" s="156" t="inlineStr">
        <is>
          <t>RB</t>
        </is>
      </c>
      <c r="I64" s="156" t="n">
        <v>2</v>
      </c>
      <c r="J64" s="179" t="n">
        <v>15</v>
      </c>
      <c r="K64" s="179" t="n">
        <v>53</v>
      </c>
      <c r="L64" s="281">
        <f>IF(J64=0,0,K64/J64)</f>
        <v/>
      </c>
      <c r="M64" s="281">
        <f>K64/17</f>
        <v/>
      </c>
      <c r="N64" s="156" t="n">
        <v>0</v>
      </c>
      <c r="O64" s="156" t="n">
        <v>1</v>
      </c>
      <c r="P64" s="156" t="n">
        <v>1</v>
      </c>
      <c r="Q64" s="156" t="n">
        <v>1</v>
      </c>
      <c r="R64" s="156" t="n">
        <v>0</v>
      </c>
      <c r="S64" s="156" t="n">
        <v>0</v>
      </c>
      <c r="T64" s="156" t="n">
        <v>0</v>
      </c>
      <c r="U64" s="179" t="n">
        <v>0</v>
      </c>
      <c r="W64" s="156">
        <f>INDEX(Matrix!$AA$2:$AA$33, MATCH(G64, Matrix!$AC$2:$AC$33, 0))</f>
        <v/>
      </c>
      <c r="X64" s="156">
        <f>_xlfn.IFNA(MATCH(E62,'Injury Report'!$C$2:$C$6216,0),0)</f>
        <v/>
      </c>
    </row>
    <row r="65" ht="15.6" customHeight="1" s="152">
      <c r="A65" s="212" t="n">
        <v>62</v>
      </c>
      <c r="B65" s="167">
        <f>F65&amp;G65</f>
        <v/>
      </c>
      <c r="C65" s="156">
        <f>(K65/MAX(K:K)*$K$1)+(L65/MAX(L:L)*$L$1)+(M65/MAX(M:M)*$M$1)+(N65/MAX(N:N)*$N$1)+(T65/MAX(T:T)*$T$1)</f>
        <v/>
      </c>
      <c r="D65" s="156">
        <f>IFERROR(VLOOKUP(B65,#REF!,7,0),"")</f>
        <v/>
      </c>
      <c r="E65" s="156">
        <f>IFERROR(VLOOKUP(F65,AllPlayers!F:F,1,0),"------------")</f>
        <v/>
      </c>
      <c r="F65" s="156" t="inlineStr">
        <is>
          <t>Kendre Miller</t>
        </is>
      </c>
      <c r="G65" s="156" t="inlineStr">
        <is>
          <t>NO</t>
        </is>
      </c>
      <c r="H65" s="156" t="inlineStr">
        <is>
          <t>RB</t>
        </is>
      </c>
      <c r="I65" s="156" t="n">
        <v>2</v>
      </c>
      <c r="J65" s="179" t="n">
        <v>10</v>
      </c>
      <c r="K65" s="179" t="n">
        <v>32</v>
      </c>
      <c r="L65" s="281">
        <f>IF(J65=0,0,K65/J65)</f>
        <v/>
      </c>
      <c r="M65" s="281">
        <f>K65/17</f>
        <v/>
      </c>
      <c r="N65" s="156" t="n">
        <v>0</v>
      </c>
      <c r="O65" s="156" t="n">
        <v>1</v>
      </c>
      <c r="P65" s="156" t="n">
        <v>0</v>
      </c>
      <c r="Q65" s="156" t="n">
        <v>0</v>
      </c>
      <c r="R65" s="156" t="n">
        <v>0</v>
      </c>
      <c r="S65" s="156" t="n">
        <v>0</v>
      </c>
      <c r="T65" s="156" t="n">
        <v>0</v>
      </c>
      <c r="U65" s="179" t="n">
        <v>0</v>
      </c>
      <c r="W65" s="156">
        <f>INDEX(Matrix!$AA$2:$AA$33, MATCH(G65, Matrix!$AC$2:$AC$33, 0))</f>
        <v/>
      </c>
      <c r="X65" s="156">
        <f>_xlfn.IFNA(MATCH(E63,'Injury Report'!$C$2:$C$6216,0),0)</f>
        <v/>
      </c>
    </row>
    <row r="66" ht="15.6" customHeight="1" s="152">
      <c r="A66" s="212" t="n">
        <v>63</v>
      </c>
      <c r="B66" s="167">
        <f>F66&amp;G66</f>
        <v/>
      </c>
      <c r="C66" s="156">
        <f>(K66/MAX(K:K)*$K$1)+(L66/MAX(L:L)*$L$1)+(M66/MAX(M:M)*$M$1)+(N66/MAX(N:N)*$N$1)+(T66/MAX(T:T)*$T$1)</f>
        <v/>
      </c>
      <c r="D66" s="156">
        <f>IFERROR(VLOOKUP(B66,#REF!,7,0),"")</f>
        <v/>
      </c>
      <c r="E66" s="156">
        <f>IFERROR(VLOOKUP(F66,AllPlayers!F:F,1,0),"------------")</f>
        <v/>
      </c>
      <c r="F66" s="156" t="inlineStr">
        <is>
          <t>Raheem Mostert</t>
        </is>
      </c>
      <c r="G66" s="156" t="inlineStr">
        <is>
          <t>LV</t>
        </is>
      </c>
      <c r="H66" s="156" t="inlineStr">
        <is>
          <t>RB</t>
        </is>
      </c>
      <c r="I66" s="156" t="n">
        <v>13</v>
      </c>
      <c r="J66" s="179" t="n">
        <v>77.2</v>
      </c>
      <c r="K66" s="179" t="n">
        <v>289.8</v>
      </c>
      <c r="L66" s="281">
        <f>IF(J66=0,0,K66/J66)</f>
        <v/>
      </c>
      <c r="M66" s="281">
        <f>K66/17</f>
        <v/>
      </c>
      <c r="N66" s="156" t="n">
        <v>2.6</v>
      </c>
      <c r="O66" s="156" t="n">
        <v>1</v>
      </c>
      <c r="P66" s="156" t="n">
        <v>0</v>
      </c>
      <c r="Q66" s="156" t="n">
        <v>0</v>
      </c>
      <c r="R66" s="156" t="n">
        <v>0</v>
      </c>
      <c r="S66" s="156" t="n">
        <v>0</v>
      </c>
      <c r="T66" s="156" t="n">
        <v>2</v>
      </c>
      <c r="U66" s="179" t="n">
        <v>0.8</v>
      </c>
      <c r="W66" s="156">
        <f>INDEX(Matrix!$AA$2:$AA$33, MATCH(G66, Matrix!$AC$2:$AC$33, 0))</f>
        <v/>
      </c>
      <c r="X66" s="156">
        <f>_xlfn.IFNA(MATCH(E64,'Injury Report'!$C$2:$C$6216,0),0)</f>
        <v/>
      </c>
    </row>
    <row r="67" ht="15.6" customHeight="1" s="152">
      <c r="A67" s="212" t="n">
        <v>64</v>
      </c>
      <c r="B67" s="167">
        <f>F67&amp;G67</f>
        <v/>
      </c>
      <c r="C67" s="156">
        <f>(K67/MAX(K:K)*$K$1)+(L67/MAX(L:L)*$L$1)+(M67/MAX(M:M)*$M$1)+(N67/MAX(N:N)*$N$1)+(T67/MAX(T:T)*$T$1)</f>
        <v/>
      </c>
      <c r="D67" s="156">
        <f>IFERROR(VLOOKUP(B67,#REF!,7,0),"")</f>
        <v/>
      </c>
      <c r="E67" s="156">
        <f>IFERROR(VLOOKUP(F67,AllPlayers!F:F,1,0),"------------")</f>
        <v/>
      </c>
      <c r="F67" s="156" t="inlineStr">
        <is>
          <t>Justice Hill</t>
        </is>
      </c>
      <c r="G67" s="156" t="inlineStr">
        <is>
          <t>BAL</t>
        </is>
      </c>
      <c r="H67" s="156" t="inlineStr">
        <is>
          <t>RB</t>
        </is>
      </c>
      <c r="I67" s="156" t="n">
        <v>2</v>
      </c>
      <c r="J67" s="179" t="n">
        <v>5</v>
      </c>
      <c r="K67" s="179" t="n">
        <v>-7</v>
      </c>
      <c r="L67" s="281">
        <f>IF(J67=0,0,K67/J67)</f>
        <v/>
      </c>
      <c r="M67" s="281">
        <f>K67/17</f>
        <v/>
      </c>
      <c r="N67" s="156" t="n">
        <v>0</v>
      </c>
      <c r="O67" s="156" t="n">
        <v>2</v>
      </c>
      <c r="P67" s="156" t="n">
        <v>0</v>
      </c>
      <c r="Q67" s="156" t="n">
        <v>1</v>
      </c>
      <c r="R67" s="156" t="n">
        <v>0</v>
      </c>
      <c r="S67" s="156" t="n">
        <v>0</v>
      </c>
      <c r="T67" s="156" t="n">
        <v>1</v>
      </c>
      <c r="U67" s="179" t="n">
        <v>0</v>
      </c>
      <c r="W67" s="156">
        <f>INDEX(Matrix!$AA$2:$AA$33, MATCH(G67, Matrix!$AC$2:$AC$33, 0))</f>
        <v/>
      </c>
      <c r="X67" s="156">
        <f>_xlfn.IFNA(MATCH(E65,'Injury Report'!$C$2:$C$6216,0),0)</f>
        <v/>
      </c>
    </row>
    <row r="68" ht="15.6" customHeight="1" s="152">
      <c r="A68" s="212" t="n">
        <v>65</v>
      </c>
      <c r="B68" s="167">
        <f>F68&amp;G68</f>
        <v/>
      </c>
      <c r="C68" s="156">
        <f>(K68/MAX(K:K)*$K$1)+(L68/MAX(L:L)*$L$1)+(M68/MAX(M:M)*$M$1)+(N68/MAX(N:N)*$N$1)+(T68/MAX(T:T)*$T$1)</f>
        <v/>
      </c>
      <c r="D68" s="156">
        <f>IFERROR(VLOOKUP(B68,#REF!,7,0),"")</f>
        <v/>
      </c>
      <c r="E68" s="156">
        <f>IFERROR(VLOOKUP(F68,AllPlayers!F:F,1,0),"------------")</f>
        <v/>
      </c>
      <c r="F68" s="156" t="inlineStr">
        <is>
          <t>Blake Corum</t>
        </is>
      </c>
      <c r="G68" s="156" t="inlineStr">
        <is>
          <t>LAR</t>
        </is>
      </c>
      <c r="H68" s="156" t="inlineStr">
        <is>
          <t>QB</t>
        </is>
      </c>
      <c r="I68" s="156" t="n">
        <v>2</v>
      </c>
      <c r="J68" s="179" t="n">
        <v>6</v>
      </c>
      <c r="K68" s="179" t="n">
        <v>46</v>
      </c>
      <c r="L68" s="281">
        <f>IF(J68=0,0,K68/J68)</f>
        <v/>
      </c>
      <c r="M68" s="281">
        <f>K68/17</f>
        <v/>
      </c>
      <c r="N68" s="156" t="n">
        <v>1</v>
      </c>
      <c r="O68" s="156" t="n">
        <v>2</v>
      </c>
      <c r="P68" s="156" t="n">
        <v>0</v>
      </c>
      <c r="Q68" s="156" t="n">
        <v>0</v>
      </c>
      <c r="R68" s="156" t="n">
        <v>0</v>
      </c>
      <c r="S68" s="156" t="n">
        <v>0</v>
      </c>
      <c r="T68" s="156" t="n">
        <v>0</v>
      </c>
      <c r="U68" s="179" t="n">
        <v>0</v>
      </c>
      <c r="W68" s="156">
        <f>INDEX(Matrix!$AA$2:$AA$33, MATCH(G68, Matrix!$AC$2:$AC$33, 0))</f>
        <v/>
      </c>
      <c r="X68" s="156">
        <f>_xlfn.IFNA(MATCH(E66,'Injury Report'!$C$2:$C$6216,0),0)</f>
        <v/>
      </c>
    </row>
    <row r="69" ht="15.6" customHeight="1" s="152">
      <c r="A69" s="212" t="n">
        <v>66</v>
      </c>
      <c r="B69" s="167">
        <f>F69&amp;G69</f>
        <v/>
      </c>
      <c r="C69" s="156">
        <f>(K69/MAX(K:K)*$K$1)+(L69/MAX(L:L)*$L$1)+(M69/MAX(M:M)*$M$1)+(N69/MAX(N:N)*$N$1)+(T69/MAX(T:T)*$T$1)</f>
        <v/>
      </c>
      <c r="D69" s="156">
        <f>IFERROR(VLOOKUP(B69,#REF!,7,0),"")</f>
        <v/>
      </c>
      <c r="E69" s="156">
        <f>IFERROR(VLOOKUP(F69,AllPlayers!F:F,1,0),"------------")</f>
        <v/>
      </c>
      <c r="F69" s="156" t="inlineStr">
        <is>
          <t>Keaton Mitchell</t>
        </is>
      </c>
      <c r="G69" s="156" t="inlineStr">
        <is>
          <t>BAL</t>
        </is>
      </c>
      <c r="H69" s="156" t="inlineStr">
        <is>
          <t>QB</t>
        </is>
      </c>
      <c r="I69" s="156" t="n">
        <v>16</v>
      </c>
      <c r="J69" s="179" t="n">
        <v>66</v>
      </c>
      <c r="K69" s="179" t="n">
        <v>322.3</v>
      </c>
      <c r="L69" s="281">
        <f>IF(J69=0,0,K69/J69)</f>
        <v/>
      </c>
      <c r="M69" s="281">
        <f>K69/17</f>
        <v/>
      </c>
      <c r="N69" s="156" t="n">
        <v>1.7</v>
      </c>
      <c r="O69" s="156" t="n">
        <v>4</v>
      </c>
      <c r="P69" s="156" t="n">
        <v>1</v>
      </c>
      <c r="Q69" s="156" t="n">
        <v>0</v>
      </c>
      <c r="R69" s="156" t="n">
        <v>0</v>
      </c>
      <c r="S69" s="156" t="n">
        <v>0</v>
      </c>
      <c r="T69" s="156" t="n">
        <v>6</v>
      </c>
      <c r="U69" s="179" t="n">
        <v>0</v>
      </c>
      <c r="W69" s="156">
        <f>INDEX(Matrix!$AA$2:$AA$33, MATCH(G69, Matrix!$AC$2:$AC$33, 0))</f>
        <v/>
      </c>
      <c r="X69" s="156">
        <f>_xlfn.IFNA(MATCH(E67,'Injury Report'!$C$2:$C$6216,0),0)</f>
        <v/>
      </c>
    </row>
    <row r="70" ht="15.6" customHeight="1" s="152">
      <c r="A70" s="212" t="n">
        <v>67</v>
      </c>
      <c r="B70" s="167">
        <f>F70&amp;G70</f>
        <v/>
      </c>
      <c r="C70" s="156">
        <f>(K70/MAX(K:K)*$K$1)+(L70/MAX(L:L)*$L$1)+(M70/MAX(M:M)*$M$1)+(N70/MAX(N:N)*$N$1)+(T70/MAX(T:T)*$T$1)</f>
        <v/>
      </c>
      <c r="D70" s="156">
        <f>IFERROR(VLOOKUP(B70,#REF!,7,0),"")</f>
        <v/>
      </c>
      <c r="E70" s="156">
        <f>IFERROR(VLOOKUP(F70,AllPlayers!F:F,1,0),"------------")</f>
        <v/>
      </c>
      <c r="F70" s="156" t="inlineStr">
        <is>
          <t>Chris Rodriguez</t>
        </is>
      </c>
      <c r="G70" s="156" t="inlineStr">
        <is>
          <t>WAS</t>
        </is>
      </c>
      <c r="H70" s="156" t="inlineStr">
        <is>
          <t>RB</t>
        </is>
      </c>
      <c r="I70" s="156" t="n">
        <v>10</v>
      </c>
      <c r="J70" s="179" t="n">
        <v>68.7</v>
      </c>
      <c r="K70" s="179" t="n">
        <v>312.8</v>
      </c>
      <c r="L70" s="281">
        <f>IF(J70=0,0,K70/J70)</f>
        <v/>
      </c>
      <c r="M70" s="281">
        <f>K70/17</f>
        <v/>
      </c>
      <c r="N70" s="156" t="n">
        <v>2.9</v>
      </c>
      <c r="O70" s="156" t="n">
        <v>2</v>
      </c>
      <c r="P70" s="156" t="n">
        <v>1</v>
      </c>
      <c r="Q70" s="156" t="n">
        <v>0</v>
      </c>
      <c r="R70" s="156" t="n">
        <v>0</v>
      </c>
      <c r="S70" s="156" t="n">
        <v>0</v>
      </c>
      <c r="T70" s="156" t="n">
        <v>0</v>
      </c>
      <c r="U70" s="179" t="n">
        <v>0.4</v>
      </c>
      <c r="W70" s="156">
        <f>INDEX(Matrix!$AA$2:$AA$33, MATCH(G70, Matrix!$AC$2:$AC$33, 0))</f>
        <v/>
      </c>
      <c r="X70" s="156">
        <f>_xlfn.IFNA(MATCH(E68,'Injury Report'!$C$2:$C$6216,0),0)</f>
        <v/>
      </c>
    </row>
    <row r="71" ht="15.6" customHeight="1" s="152">
      <c r="A71" s="212" t="n">
        <v>68</v>
      </c>
      <c r="B71" s="167">
        <f>F71&amp;G71</f>
        <v/>
      </c>
      <c r="C71" s="156">
        <f>(K71/MAX(K:K)*$K$1)+(L71/MAX(L:L)*$L$1)+(M71/MAX(M:M)*$M$1)+(N71/MAX(N:N)*$N$1)+(T71/MAX(T:T)*$T$1)</f>
        <v/>
      </c>
      <c r="D71" s="156">
        <f>IFERROR(VLOOKUP(B71,#REF!,7,0),"")</f>
        <v/>
      </c>
      <c r="E71" s="156">
        <f>IFERROR(VLOOKUP(F71,AllPlayers!F:F,1,0),"------------")</f>
        <v/>
      </c>
      <c r="F71" s="156" t="inlineStr">
        <is>
          <t>Ollie Gordon</t>
        </is>
      </c>
      <c r="G71" s="156" t="inlineStr">
        <is>
          <t>MIA</t>
        </is>
      </c>
      <c r="H71" s="156" t="inlineStr">
        <is>
          <t>RB</t>
        </is>
      </c>
      <c r="I71" s="156" t="n">
        <v>2</v>
      </c>
      <c r="J71" s="179" t="n">
        <v>3</v>
      </c>
      <c r="K71" s="179" t="n">
        <v>12</v>
      </c>
      <c r="L71" s="281">
        <f>IF(J71=0,0,K71/J71)</f>
        <v/>
      </c>
      <c r="M71" s="281">
        <f>K71/17</f>
        <v/>
      </c>
      <c r="N71" s="156" t="n">
        <v>0</v>
      </c>
      <c r="O71" s="156" t="n">
        <v>2</v>
      </c>
      <c r="P71" s="156" t="n">
        <v>2</v>
      </c>
      <c r="Q71" s="156" t="n">
        <v>1</v>
      </c>
      <c r="R71" s="156" t="n">
        <v>1</v>
      </c>
      <c r="S71" s="156" t="n">
        <v>0</v>
      </c>
      <c r="T71" s="156" t="n">
        <v>0</v>
      </c>
      <c r="U71" s="179" t="n">
        <v>0</v>
      </c>
      <c r="W71" s="156">
        <f>INDEX(Matrix!$AA$2:$AA$33, MATCH(G71, Matrix!$AC$2:$AC$33, 0))</f>
        <v/>
      </c>
      <c r="X71" s="156">
        <f>_xlfn.IFNA(MATCH(E69,'Injury Report'!$C$2:$C$6216,0),0)</f>
        <v/>
      </c>
    </row>
    <row r="72" ht="15.6" customHeight="1" s="152">
      <c r="A72" s="212" t="n">
        <v>69</v>
      </c>
      <c r="B72" s="167">
        <f>F72&amp;G72</f>
        <v/>
      </c>
      <c r="C72" s="156">
        <f>(K72/MAX(K:K)*$K$1)+(L72/MAX(L:L)*$L$1)+(M72/MAX(M:M)*$M$1)+(N72/MAX(N:N)*$N$1)+(T72/MAX(T:T)*$T$1)</f>
        <v/>
      </c>
      <c r="D72" s="156">
        <f>IFERROR(VLOOKUP(B72,#REF!,7,0),"")</f>
        <v/>
      </c>
      <c r="E72" s="156">
        <f>IFERROR(VLOOKUP(F72,AllPlayers!F:F,1,0),"------------")</f>
        <v/>
      </c>
      <c r="F72" s="156" t="inlineStr">
        <is>
          <t>T.Y. Johnson</t>
        </is>
      </c>
      <c r="G72" s="156" t="inlineStr">
        <is>
          <t>BUF</t>
        </is>
      </c>
      <c r="H72" s="156" t="inlineStr">
        <is>
          <t>RB</t>
        </is>
      </c>
      <c r="I72" s="156" t="n">
        <v>2</v>
      </c>
      <c r="J72" s="179" t="n">
        <v>4</v>
      </c>
      <c r="K72" s="179" t="n">
        <v>30</v>
      </c>
      <c r="L72" s="281">
        <f>IF(J72=0,0,K72/J72)</f>
        <v/>
      </c>
      <c r="M72" s="281">
        <f>K72/17</f>
        <v/>
      </c>
      <c r="N72" s="156" t="n">
        <v>0</v>
      </c>
      <c r="O72" s="156" t="n">
        <v>1</v>
      </c>
      <c r="P72" s="156" t="n">
        <v>0</v>
      </c>
      <c r="Q72" s="156" t="n">
        <v>0</v>
      </c>
      <c r="R72" s="156" t="n">
        <v>0</v>
      </c>
      <c r="S72" s="156" t="n">
        <v>0</v>
      </c>
      <c r="T72" s="156" t="n">
        <v>0</v>
      </c>
      <c r="U72" s="179" t="n">
        <v>0</v>
      </c>
      <c r="W72" s="156">
        <f>INDEX(Matrix!$AA$2:$AA$33, MATCH(G72, Matrix!$AC$2:$AC$33, 0))</f>
        <v/>
      </c>
      <c r="X72" s="156">
        <f>_xlfn.IFNA(MATCH(E70,'Injury Report'!$C$2:$C$6216,0),0)</f>
        <v/>
      </c>
    </row>
    <row r="73" ht="15.6" customHeight="1" s="152">
      <c r="A73" s="212" t="n">
        <v>70</v>
      </c>
      <c r="B73" s="167">
        <f>F73&amp;G73</f>
        <v/>
      </c>
      <c r="C73" s="156">
        <f>(K73/MAX(K:K)*$K$1)+(L73/MAX(L:L)*$L$1)+(M73/MAX(M:M)*$M$1)+(N73/MAX(N:N)*$N$1)+(T73/MAX(T:T)*$T$1)</f>
        <v/>
      </c>
      <c r="D73" s="156">
        <f>IFERROR(VLOOKUP(B73,#REF!,7,0),"")</f>
        <v/>
      </c>
      <c r="E73" s="156">
        <f>IFERROR(VLOOKUP(F73,AllPlayers!F:F,1,0),"------------")</f>
        <v/>
      </c>
      <c r="F73" s="156" t="inlineStr">
        <is>
          <t>Kyle Monangai</t>
        </is>
      </c>
      <c r="G73" s="156" t="inlineStr">
        <is>
          <t>CHI</t>
        </is>
      </c>
      <c r="H73" s="156" t="inlineStr">
        <is>
          <t>RB</t>
        </is>
      </c>
      <c r="I73" s="156" t="n">
        <v>2</v>
      </c>
      <c r="J73" s="179" t="n">
        <v>7</v>
      </c>
      <c r="K73" s="179" t="n">
        <v>28</v>
      </c>
      <c r="L73" s="281">
        <f>IF(J73=0,0,K73/J73)</f>
        <v/>
      </c>
      <c r="M73" s="281">
        <f>K73/17</f>
        <v/>
      </c>
      <c r="N73" s="156" t="n">
        <v>0</v>
      </c>
      <c r="O73" s="156" t="n">
        <v>1</v>
      </c>
      <c r="P73" s="156" t="n">
        <v>0</v>
      </c>
      <c r="Q73" s="156" t="n">
        <v>0</v>
      </c>
      <c r="R73" s="156" t="n">
        <v>0</v>
      </c>
      <c r="S73" s="156" t="n">
        <v>0</v>
      </c>
      <c r="T73" s="156" t="n">
        <v>0</v>
      </c>
      <c r="U73" s="179" t="n">
        <v>0</v>
      </c>
      <c r="W73" s="156">
        <f>INDEX(Matrix!$AA$2:$AA$33, MATCH(G73, Matrix!$AC$2:$AC$33, 0))</f>
        <v/>
      </c>
      <c r="X73" s="156">
        <f>_xlfn.IFNA(MATCH(E71,'Injury Report'!$C$2:$C$6216,0),0)</f>
        <v/>
      </c>
    </row>
    <row r="74" ht="15.6" customHeight="1" s="152">
      <c r="A74" s="212" t="n">
        <v>71</v>
      </c>
      <c r="B74" s="167">
        <f>F74&amp;G74</f>
        <v/>
      </c>
      <c r="C74" s="156">
        <f>(K74/MAX(K:K)*$K$1)+(L74/MAX(L:L)*$L$1)+(M74/MAX(M:M)*$M$1)+(N74/MAX(N:N)*$N$1)+(T74/MAX(T:T)*$T$1)</f>
        <v/>
      </c>
      <c r="D74" s="156">
        <f>IFERROR(VLOOKUP(B74,#REF!,7,0),"")</f>
        <v/>
      </c>
      <c r="E74" s="156">
        <f>IFERROR(VLOOKUP(F74,AllPlayers!F:F,1,0),"------------")</f>
        <v/>
      </c>
      <c r="F74" s="156" t="inlineStr">
        <is>
          <t>Isaac Guerendo</t>
        </is>
      </c>
      <c r="G74" s="156" t="inlineStr">
        <is>
          <t>SF</t>
        </is>
      </c>
      <c r="H74" s="156" t="inlineStr">
        <is>
          <t>QB</t>
        </is>
      </c>
      <c r="I74" s="156" t="n">
        <v>2</v>
      </c>
      <c r="J74" s="179" t="n">
        <v>0</v>
      </c>
      <c r="K74" s="179" t="n">
        <v>0</v>
      </c>
      <c r="L74" s="281">
        <f>IF(J74=0,0,K74/J74)</f>
        <v/>
      </c>
      <c r="M74" s="281">
        <f>K74/17</f>
        <v/>
      </c>
      <c r="N74" s="156" t="n">
        <v>0</v>
      </c>
      <c r="O74" s="156" t="n">
        <v>1</v>
      </c>
      <c r="P74" s="156" t="n">
        <v>0</v>
      </c>
      <c r="Q74" s="156" t="n">
        <v>0</v>
      </c>
      <c r="R74" s="156" t="n">
        <v>0</v>
      </c>
      <c r="S74" s="156" t="n">
        <v>0</v>
      </c>
      <c r="T74" s="156" t="n">
        <v>0</v>
      </c>
      <c r="U74" s="179" t="n">
        <v>0</v>
      </c>
      <c r="W74" s="156">
        <f>INDEX(Matrix!$AA$2:$AA$33, MATCH(G74, Matrix!$AC$2:$AC$33, 0))</f>
        <v/>
      </c>
      <c r="X74" s="156">
        <f>_xlfn.IFNA(MATCH(E72,'Injury Report'!$C$2:$C$6216,0),0)</f>
        <v/>
      </c>
    </row>
    <row r="75" ht="15.6" customHeight="1" s="152">
      <c r="A75" s="212" t="n">
        <v>72</v>
      </c>
      <c r="B75" s="167">
        <f>F75&amp;G75</f>
        <v/>
      </c>
      <c r="C75" s="156">
        <f>(K75/MAX(K:K)*$K$1)+(L75/MAX(L:L)*$L$1)+(M75/MAX(M:M)*$M$1)+(N75/MAX(N:N)*$N$1)+(T75/MAX(T:T)*$T$1)</f>
        <v/>
      </c>
      <c r="D75" s="156">
        <f>IFERROR(VLOOKUP(B75,#REF!,7,0),"")</f>
        <v/>
      </c>
      <c r="E75" s="156">
        <f>IFERROR(VLOOKUP(F75,AllPlayers!F:F,1,0),"------------")</f>
        <v/>
      </c>
      <c r="F75" s="156" t="inlineStr">
        <is>
          <t>Samaje Perine</t>
        </is>
      </c>
      <c r="G75" s="156" t="inlineStr">
        <is>
          <t>CIN</t>
        </is>
      </c>
      <c r="H75" s="156" t="inlineStr">
        <is>
          <t>TE</t>
        </is>
      </c>
      <c r="I75" s="156" t="n">
        <v>2</v>
      </c>
      <c r="J75" s="179" t="n">
        <v>0</v>
      </c>
      <c r="K75" s="179" t="n">
        <v>0</v>
      </c>
      <c r="L75" s="281">
        <f>IF(J75=0,0,K75/J75)</f>
        <v/>
      </c>
      <c r="M75" s="281">
        <f>K75/17</f>
        <v/>
      </c>
      <c r="N75" s="156" t="n">
        <v>0</v>
      </c>
      <c r="O75" s="156" t="n">
        <v>2</v>
      </c>
      <c r="P75" s="156" t="n">
        <v>1</v>
      </c>
      <c r="Q75" s="156" t="n">
        <v>1</v>
      </c>
      <c r="R75" s="156" t="n">
        <v>0</v>
      </c>
      <c r="S75" s="156" t="n">
        <v>0</v>
      </c>
      <c r="T75" s="156" t="n">
        <v>0</v>
      </c>
      <c r="U75" s="179" t="n">
        <v>0</v>
      </c>
      <c r="W75" s="156">
        <f>INDEX(Matrix!$AA$2:$AA$33, MATCH(G75, Matrix!$AC$2:$AC$33, 0))</f>
        <v/>
      </c>
      <c r="X75" s="156">
        <f>_xlfn.IFNA(MATCH(E73,'Injury Report'!$C$2:$C$6216,0),0)</f>
        <v/>
      </c>
    </row>
    <row r="76" ht="15.6" customHeight="1" s="152">
      <c r="A76" s="212" t="n">
        <v>73</v>
      </c>
      <c r="B76" s="167">
        <f>F76&amp;G76</f>
        <v/>
      </c>
      <c r="C76" s="156">
        <f>(K76/MAX(K:K)*$K$1)+(L76/MAX(L:L)*$L$1)+(M76/MAX(M:M)*$M$1)+(N76/MAX(N:N)*$N$1)+(T76/MAX(T:T)*$T$1)</f>
        <v/>
      </c>
      <c r="D76" s="156">
        <f>IFERROR(VLOOKUP(B76,#REF!,7,0),"")</f>
        <v/>
      </c>
      <c r="E76" s="156">
        <f>IFERROR(VLOOKUP(F76,AllPlayers!F:F,1,0),"------------")</f>
        <v/>
      </c>
      <c r="F76" s="156" t="inlineStr">
        <is>
          <t>Jarquez Hunter</t>
        </is>
      </c>
      <c r="G76" s="156" t="inlineStr">
        <is>
          <t>LAR</t>
        </is>
      </c>
      <c r="H76" s="156" t="inlineStr">
        <is>
          <t>RB</t>
        </is>
      </c>
      <c r="I76" s="156" t="n">
        <v>11</v>
      </c>
      <c r="J76" s="179" t="n">
        <v>57.1</v>
      </c>
      <c r="K76" s="179" t="n">
        <v>244.7</v>
      </c>
      <c r="L76" s="281">
        <f>IF(J76=0,0,K76/J76)</f>
        <v/>
      </c>
      <c r="M76" s="281">
        <f>K76/17</f>
        <v/>
      </c>
      <c r="N76" s="156" t="n">
        <v>1.9</v>
      </c>
      <c r="O76" s="156" t="n">
        <v>1</v>
      </c>
      <c r="P76" s="156" t="n">
        <v>0</v>
      </c>
      <c r="Q76" s="156" t="n">
        <v>0</v>
      </c>
      <c r="R76" s="156" t="n">
        <v>0</v>
      </c>
      <c r="S76" s="156" t="n">
        <v>0</v>
      </c>
      <c r="T76" s="156" t="n">
        <v>2</v>
      </c>
      <c r="U76" s="179" t="n">
        <v>0.7</v>
      </c>
      <c r="W76" s="156">
        <f>INDEX(Matrix!$AA$2:$AA$33, MATCH(G76, Matrix!$AC$2:$AC$33, 0))</f>
        <v/>
      </c>
      <c r="X76" s="156">
        <f>_xlfn.IFNA(MATCH(E74,'Injury Report'!$C$2:$C$6216,0),0)</f>
        <v/>
      </c>
    </row>
    <row r="77" ht="15.6" customHeight="1" s="152">
      <c r="A77" s="212" t="n">
        <v>74</v>
      </c>
      <c r="B77" s="167">
        <f>F77&amp;G77</f>
        <v/>
      </c>
      <c r="C77" s="156">
        <f>(K77/MAX(K:K)*$K$1)+(L77/MAX(L:L)*$L$1)+(M77/MAX(M:M)*$M$1)+(N77/MAX(N:N)*$N$1)+(T77/MAX(T:T)*$T$1)</f>
        <v/>
      </c>
      <c r="D77" s="156">
        <f>IFERROR(VLOOKUP(B77,#REF!,7,0),"")</f>
        <v/>
      </c>
      <c r="E77" s="156">
        <f>IFERROR(VLOOKUP(F77,AllPlayers!F:F,1,0),"------------")</f>
        <v/>
      </c>
      <c r="F77" s="156" t="inlineStr">
        <is>
          <t>Tahj Brooks</t>
        </is>
      </c>
      <c r="G77" s="156" t="inlineStr">
        <is>
          <t>CIN</t>
        </is>
      </c>
      <c r="H77" s="156" t="inlineStr">
        <is>
          <t>QB</t>
        </is>
      </c>
      <c r="I77" s="156" t="n">
        <v>2</v>
      </c>
      <c r="J77" s="179" t="n">
        <v>0</v>
      </c>
      <c r="K77" s="179" t="n">
        <v>0</v>
      </c>
      <c r="L77" s="281">
        <f>IF(J77=0,0,K77/J77)</f>
        <v/>
      </c>
      <c r="M77" s="281">
        <f>K77/17</f>
        <v/>
      </c>
      <c r="N77" s="156" t="n">
        <v>0</v>
      </c>
      <c r="O77" s="156" t="n">
        <v>3</v>
      </c>
      <c r="P77" s="156" t="n">
        <v>0</v>
      </c>
      <c r="Q77" s="156" t="n">
        <v>0</v>
      </c>
      <c r="R77" s="156" t="n">
        <v>0</v>
      </c>
      <c r="S77" s="156" t="n">
        <v>0</v>
      </c>
      <c r="T77" s="156" t="n">
        <v>0</v>
      </c>
      <c r="U77" s="179" t="n">
        <v>0</v>
      </c>
      <c r="W77" s="156">
        <f>INDEX(Matrix!$AA$2:$AA$33, MATCH(G77, Matrix!$AC$2:$AC$33, 0))</f>
        <v/>
      </c>
      <c r="X77" s="156">
        <f>_xlfn.IFNA(MATCH(E75,'Injury Report'!$C$2:$C$6216,0),0)</f>
        <v/>
      </c>
    </row>
    <row r="78" ht="15.6" customHeight="1" s="152">
      <c r="A78" s="212" t="n">
        <v>75</v>
      </c>
      <c r="B78" s="167">
        <f>F78&amp;G78</f>
        <v/>
      </c>
      <c r="C78" s="156">
        <f>(K78/MAX(K:K)*$K$1)+(L78/MAX(L:L)*$L$1)+(M78/MAX(M:M)*$M$1)+(N78/MAX(N:N)*$N$1)+(T78/MAX(T:T)*$T$1)</f>
        <v/>
      </c>
      <c r="D78" s="156">
        <f>IFERROR(VLOOKUP(B78,#REF!,7,0),"")</f>
        <v/>
      </c>
      <c r="E78" s="156">
        <f>IFERROR(VLOOKUP(F78,AllPlayers!F:F,1,0),"------------")</f>
        <v/>
      </c>
      <c r="F78" s="156" t="inlineStr">
        <is>
          <t>Antonio Gibson</t>
        </is>
      </c>
      <c r="G78" s="156" t="inlineStr">
        <is>
          <t>NE</t>
        </is>
      </c>
      <c r="H78" s="156" t="inlineStr">
        <is>
          <t>QB</t>
        </is>
      </c>
      <c r="I78" s="156" t="n">
        <v>2</v>
      </c>
      <c r="J78" s="179" t="n">
        <v>6</v>
      </c>
      <c r="K78" s="179" t="n">
        <v>30</v>
      </c>
      <c r="L78" s="281">
        <f>IF(J78=0,0,K78/J78)</f>
        <v/>
      </c>
      <c r="M78" s="281">
        <f>K78/17</f>
        <v/>
      </c>
      <c r="N78" s="156" t="n">
        <v>0</v>
      </c>
      <c r="O78" s="156" t="n">
        <v>1</v>
      </c>
      <c r="P78" s="156" t="n">
        <v>0</v>
      </c>
      <c r="Q78" s="156" t="n">
        <v>0</v>
      </c>
      <c r="R78" s="156" t="n">
        <v>0</v>
      </c>
      <c r="S78" s="156" t="n">
        <v>0</v>
      </c>
      <c r="T78" s="156" t="n">
        <v>0</v>
      </c>
      <c r="U78" s="179" t="n">
        <v>0</v>
      </c>
      <c r="W78" s="156">
        <f>INDEX(Matrix!$AA$2:$AA$33, MATCH(G78, Matrix!$AC$2:$AC$33, 0))</f>
        <v/>
      </c>
      <c r="X78" s="156">
        <f>_xlfn.IFNA(MATCH(E76,'Injury Report'!$C$2:$C$6216,0),0)</f>
        <v/>
      </c>
    </row>
    <row r="79" ht="15.6" customHeight="1" s="152">
      <c r="A79" s="212" t="n">
        <v>76</v>
      </c>
      <c r="B79" s="167">
        <f>F79&amp;G79</f>
        <v/>
      </c>
      <c r="C79" s="156">
        <f>(K79/MAX(K:K)*$K$1)+(L79/MAX(L:L)*$L$1)+(M79/MAX(M:M)*$M$1)+(N79/MAX(N:N)*$N$1)+(T79/MAX(T:T)*$T$1)</f>
        <v/>
      </c>
      <c r="D79" s="156">
        <f>IFERROR(VLOOKUP(B79,#REF!,7,0),"")</f>
        <v/>
      </c>
      <c r="E79" s="156">
        <f>IFERROR(VLOOKUP(F79,AllPlayers!F:F,1,0),"------------")</f>
        <v/>
      </c>
      <c r="F79" s="156" t="inlineStr">
        <is>
          <t>Elijah Mitchell</t>
        </is>
      </c>
      <c r="G79" s="156" t="inlineStr">
        <is>
          <t>KC</t>
        </is>
      </c>
      <c r="H79" s="156" t="inlineStr">
        <is>
          <t>RB</t>
        </is>
      </c>
      <c r="I79" s="156" t="n">
        <v>14</v>
      </c>
      <c r="J79" s="179" t="n">
        <v>60.5</v>
      </c>
      <c r="K79" s="179" t="n">
        <v>228.8</v>
      </c>
      <c r="L79" s="281">
        <f>IF(J79=0,0,K79/J79)</f>
        <v/>
      </c>
      <c r="M79" s="281">
        <f>K79/17</f>
        <v/>
      </c>
      <c r="N79" s="156" t="n">
        <v>1.8</v>
      </c>
      <c r="O79" s="156" t="n">
        <v>2</v>
      </c>
      <c r="P79" s="156" t="n">
        <v>0</v>
      </c>
      <c r="Q79" s="156" t="n">
        <v>0</v>
      </c>
      <c r="R79" s="156" t="n">
        <v>0</v>
      </c>
      <c r="S79" s="156" t="n">
        <v>0</v>
      </c>
      <c r="T79" s="156" t="n">
        <v>0</v>
      </c>
      <c r="U79" s="179" t="n">
        <v>0.1</v>
      </c>
      <c r="W79" s="156">
        <f>INDEX(Matrix!$AA$2:$AA$33, MATCH(G79, Matrix!$AC$2:$AC$33, 0))</f>
        <v/>
      </c>
      <c r="X79" s="156">
        <f>_xlfn.IFNA(MATCH(E77,'Injury Report'!$C$2:$C$6216,0),0)</f>
        <v/>
      </c>
    </row>
    <row r="80" ht="15.6" customHeight="1" s="152">
      <c r="A80" s="212" t="n">
        <v>77</v>
      </c>
      <c r="B80" s="167">
        <f>F80&amp;G80</f>
        <v/>
      </c>
      <c r="C80" s="156">
        <f>(K80/MAX(K:K)*$K$1)+(L80/MAX(L:L)*$L$1)+(M80/MAX(M:M)*$M$1)+(N80/MAX(N:N)*$N$1)+(T80/MAX(T:T)*$T$1)</f>
        <v/>
      </c>
      <c r="D80" s="156">
        <f>IFERROR(VLOOKUP(B80,#REF!,7,0),"")</f>
        <v/>
      </c>
      <c r="E80" s="156">
        <f>IFERROR(VLOOKUP(F80,AllPlayers!F:F,1,0),"------------")</f>
        <v/>
      </c>
      <c r="F80" s="156" t="inlineStr">
        <is>
          <t>Kenneth Gainwell</t>
        </is>
      </c>
      <c r="G80" s="156" t="inlineStr">
        <is>
          <t>PIT</t>
        </is>
      </c>
      <c r="H80" s="156" t="inlineStr">
        <is>
          <t>RB</t>
        </is>
      </c>
      <c r="I80" s="156" t="n">
        <v>2</v>
      </c>
      <c r="J80" s="179" t="n">
        <v>12</v>
      </c>
      <c r="K80" s="179" t="n">
        <v>39</v>
      </c>
      <c r="L80" s="281">
        <f>IF(J80=0,0,K80/J80)</f>
        <v/>
      </c>
      <c r="M80" s="281">
        <f>K80/17</f>
        <v/>
      </c>
      <c r="N80" s="156" t="n">
        <v>0</v>
      </c>
      <c r="O80" s="156" t="n">
        <v>1</v>
      </c>
      <c r="P80" s="156" t="n">
        <v>0</v>
      </c>
      <c r="Q80" s="156" t="n">
        <v>0</v>
      </c>
      <c r="R80" s="156" t="n">
        <v>0</v>
      </c>
      <c r="S80" s="156" t="n">
        <v>0</v>
      </c>
      <c r="T80" s="156" t="n">
        <v>1</v>
      </c>
      <c r="U80" s="179" t="n">
        <v>0</v>
      </c>
      <c r="W80" s="156">
        <f>INDEX(Matrix!$AA$2:$AA$33, MATCH(G80, Matrix!$AC$2:$AC$33, 0))</f>
        <v/>
      </c>
      <c r="X80" s="156">
        <f>_xlfn.IFNA(MATCH(E78,'Injury Report'!$C$2:$C$6216,0),0)</f>
        <v/>
      </c>
    </row>
    <row r="81" ht="15.6" customHeight="1" s="152">
      <c r="A81" s="212" t="n">
        <v>78</v>
      </c>
      <c r="B81" s="167">
        <f>F81&amp;G81</f>
        <v/>
      </c>
      <c r="C81" s="156">
        <f>(K81/MAX(K:K)*$K$1)+(L81/MAX(L:L)*$L$1)+(M81/MAX(M:M)*$M$1)+(N81/MAX(N:N)*$N$1)+(T81/MAX(T:T)*$T$1)</f>
        <v/>
      </c>
      <c r="D81" s="156">
        <f>IFERROR(VLOOKUP(B81,#REF!,7,0),"")</f>
        <v/>
      </c>
      <c r="E81" s="156">
        <f>IFERROR(VLOOKUP(F81,AllPlayers!F:F,1,0),"------------")</f>
        <v/>
      </c>
      <c r="F81" s="156" t="inlineStr">
        <is>
          <t>Devin Singletary</t>
        </is>
      </c>
      <c r="G81" s="156" t="inlineStr">
        <is>
          <t>NYG</t>
        </is>
      </c>
      <c r="H81" s="156" t="inlineStr">
        <is>
          <t>QB</t>
        </is>
      </c>
      <c r="I81" s="156" t="n">
        <v>2</v>
      </c>
      <c r="J81" s="179" t="n">
        <v>4</v>
      </c>
      <c r="K81" s="179" t="n">
        <v>13</v>
      </c>
      <c r="L81" s="281">
        <f>IF(J81=0,0,K81/J81)</f>
        <v/>
      </c>
      <c r="M81" s="281">
        <f>K81/17</f>
        <v/>
      </c>
      <c r="N81" s="156" t="n">
        <v>0</v>
      </c>
      <c r="O81" s="156" t="n">
        <v>3</v>
      </c>
      <c r="P81" s="156" t="n">
        <v>0</v>
      </c>
      <c r="Q81" s="156" t="n">
        <v>0</v>
      </c>
      <c r="R81" s="156" t="n">
        <v>0</v>
      </c>
      <c r="S81" s="156" t="n">
        <v>0</v>
      </c>
      <c r="T81" s="156" t="n">
        <v>0</v>
      </c>
      <c r="U81" s="179" t="n">
        <v>0</v>
      </c>
      <c r="W81" s="156">
        <f>INDEX(Matrix!$AA$2:$AA$33, MATCH(G81, Matrix!$AC$2:$AC$33, 0))</f>
        <v/>
      </c>
      <c r="X81" s="156">
        <f>_xlfn.IFNA(MATCH(E79,'Injury Report'!$C$2:$C$6216,0),0)</f>
        <v/>
      </c>
    </row>
    <row r="82" ht="15.6" customHeight="1" s="152">
      <c r="A82" s="212" t="n">
        <v>79</v>
      </c>
      <c r="B82" s="167">
        <f>F82&amp;G82</f>
        <v/>
      </c>
      <c r="C82" s="156">
        <f>(K82/MAX(K:K)*$K$1)+(L82/MAX(L:L)*$L$1)+(M82/MAX(M:M)*$M$1)+(N82/MAX(N:N)*$N$1)+(T82/MAX(T:T)*$T$1)</f>
        <v/>
      </c>
      <c r="D82" s="156">
        <f>IFERROR(VLOOKUP(B82,#REF!,7,0),"")</f>
        <v/>
      </c>
      <c r="E82" s="156">
        <f>IFERROR(VLOOKUP(F82,AllPlayers!F:F,1,0),"------------")</f>
        <v/>
      </c>
      <c r="F82" s="156" t="inlineStr">
        <is>
          <t>Trevor Etienne</t>
        </is>
      </c>
      <c r="G82" s="156" t="inlineStr">
        <is>
          <t>CAR</t>
        </is>
      </c>
      <c r="H82" s="156" t="inlineStr">
        <is>
          <t>RB</t>
        </is>
      </c>
      <c r="I82" s="156" t="n">
        <v>2</v>
      </c>
      <c r="J82" s="179" t="n">
        <v>1</v>
      </c>
      <c r="K82" s="179" t="n">
        <v>4</v>
      </c>
      <c r="L82" s="281">
        <f>IF(J82=0,0,K82/J82)</f>
        <v/>
      </c>
      <c r="M82" s="281">
        <f>K82/17</f>
        <v/>
      </c>
      <c r="N82" s="156" t="n">
        <v>0</v>
      </c>
      <c r="O82" s="156" t="n">
        <v>0</v>
      </c>
      <c r="P82" s="156" t="n">
        <v>0</v>
      </c>
      <c r="Q82" s="156" t="n">
        <v>0</v>
      </c>
      <c r="R82" s="156" t="n">
        <v>0</v>
      </c>
      <c r="S82" s="156" t="n">
        <v>0</v>
      </c>
      <c r="T82" s="156" t="n">
        <v>0</v>
      </c>
      <c r="U82" s="179" t="n">
        <v>0</v>
      </c>
      <c r="W82" s="156">
        <f>INDEX(Matrix!$AA$2:$AA$33, MATCH(G82, Matrix!$AC$2:$AC$33, 0))</f>
        <v/>
      </c>
      <c r="X82" s="156">
        <f>_xlfn.IFNA(MATCH(E80,'Injury Report'!$C$2:$C$6216,0),0)</f>
        <v/>
      </c>
    </row>
    <row r="83" ht="15.6" customHeight="1" s="152">
      <c r="A83" s="212" t="n">
        <v>80</v>
      </c>
      <c r="B83" s="167">
        <f>F83&amp;G83</f>
        <v/>
      </c>
      <c r="C83" s="156">
        <f>(K83/MAX(K:K)*$K$1)+(L83/MAX(L:L)*$L$1)+(M83/MAX(M:M)*$M$1)+(N83/MAX(N:N)*$N$1)+(T83/MAX(T:T)*$T$1)</f>
        <v/>
      </c>
      <c r="D83" s="156">
        <f>IFERROR(VLOOKUP(B83,#REF!,7,0),"")</f>
        <v/>
      </c>
      <c r="E83" s="156">
        <f>IFERROR(VLOOKUP(F83,AllPlayers!F:F,1,0),"------------")</f>
        <v/>
      </c>
      <c r="F83" s="156" t="inlineStr">
        <is>
          <t>Khalil Herbert</t>
        </is>
      </c>
      <c r="G83" s="156" t="inlineStr">
        <is>
          <t>IND</t>
        </is>
      </c>
      <c r="H83" s="156" t="inlineStr">
        <is>
          <t>QB</t>
        </is>
      </c>
      <c r="I83" s="156" t="n">
        <v>16</v>
      </c>
      <c r="J83" s="179" t="n">
        <v>60.4</v>
      </c>
      <c r="K83" s="179" t="n">
        <v>215.4</v>
      </c>
      <c r="L83" s="281">
        <f>IF(J83=0,0,K83/J83)</f>
        <v/>
      </c>
      <c r="M83" s="281">
        <f>K83/17</f>
        <v/>
      </c>
      <c r="N83" s="156" t="n">
        <v>1.6</v>
      </c>
      <c r="O83" s="156" t="n">
        <v>2</v>
      </c>
      <c r="P83" s="156" t="n">
        <v>0</v>
      </c>
      <c r="Q83" s="156" t="n">
        <v>0</v>
      </c>
      <c r="R83" s="156" t="n">
        <v>0</v>
      </c>
      <c r="S83" s="156" t="n">
        <v>0</v>
      </c>
      <c r="T83" s="156" t="n">
        <v>6</v>
      </c>
      <c r="U83" s="179" t="n">
        <v>0</v>
      </c>
      <c r="W83" s="156">
        <f>INDEX(Matrix!$AA$2:$AA$33, MATCH(G83, Matrix!$AC$2:$AC$33, 0))</f>
        <v/>
      </c>
      <c r="X83" s="156">
        <f>_xlfn.IFNA(MATCH(E81,'Injury Report'!$C$2:$C$6216,0),0)</f>
        <v/>
      </c>
    </row>
    <row r="84" ht="15.6" customHeight="1" s="152">
      <c r="A84" s="212" t="n">
        <v>81</v>
      </c>
      <c r="B84" s="167">
        <f>F84&amp;G84</f>
        <v/>
      </c>
      <c r="C84" s="156">
        <f>(K84/MAX(K:K)*$K$1)+(L84/MAX(L:L)*$L$1)+(M84/MAX(M:M)*$M$1)+(N84/MAX(N:N)*$N$1)+(T84/MAX(T:T)*$T$1)</f>
        <v/>
      </c>
      <c r="D84" s="156">
        <f>IFERROR(VLOOKUP(B84,#REF!,7,0),"")</f>
        <v/>
      </c>
      <c r="E84" s="156">
        <f>IFERROR(VLOOKUP(F84,AllPlayers!F:F,1,0),"------------")</f>
        <v/>
      </c>
      <c r="F84" s="156" t="inlineStr">
        <is>
          <t>Will Shipley</t>
        </is>
      </c>
      <c r="G84" s="156" t="inlineStr">
        <is>
          <t>PHI</t>
        </is>
      </c>
      <c r="H84" s="156" t="inlineStr">
        <is>
          <t>RB</t>
        </is>
      </c>
      <c r="I84" s="156" t="n">
        <v>1</v>
      </c>
      <c r="J84" s="179" t="n">
        <v>3</v>
      </c>
      <c r="K84" s="179" t="n">
        <v>26</v>
      </c>
      <c r="L84" s="281">
        <f>IF(J84=0,0,K84/J84)</f>
        <v/>
      </c>
      <c r="M84" s="281">
        <f>K84/17</f>
        <v/>
      </c>
      <c r="N84" s="156" t="n">
        <v>0</v>
      </c>
      <c r="O84" s="156" t="n">
        <v>1</v>
      </c>
      <c r="P84" s="156" t="n">
        <v>0</v>
      </c>
      <c r="Q84" s="156" t="n">
        <v>0</v>
      </c>
      <c r="R84" s="156" t="n">
        <v>0</v>
      </c>
      <c r="S84" s="156" t="n">
        <v>0</v>
      </c>
      <c r="T84" s="156" t="n">
        <v>0</v>
      </c>
      <c r="U84" s="179" t="n">
        <v>0</v>
      </c>
      <c r="W84" s="156">
        <f>INDEX(Matrix!$AA$2:$AA$33, MATCH(G84, Matrix!$AC$2:$AC$33, 0))</f>
        <v/>
      </c>
      <c r="X84" s="156">
        <f>_xlfn.IFNA(MATCH(E82,'Injury Report'!$C$2:$C$6216,0),0)</f>
        <v/>
      </c>
    </row>
    <row r="85" ht="15.6" customHeight="1" s="152">
      <c r="A85" s="212" t="n">
        <v>82</v>
      </c>
      <c r="B85" s="167">
        <f>F85&amp;G85</f>
        <v/>
      </c>
      <c r="C85" s="156">
        <f>(K85/MAX(K:K)*$K$1)+(L85/MAX(L:L)*$L$1)+(M85/MAX(M:M)*$M$1)+(N85/MAX(N:N)*$N$1)+(T85/MAX(T:T)*$T$1)</f>
        <v/>
      </c>
      <c r="D85" s="156">
        <f>IFERROR(VLOOKUP(B85,#REF!,7,0),"")</f>
        <v/>
      </c>
      <c r="E85" s="156">
        <f>IFERROR(VLOOKUP(F85,AllPlayers!F:F,1,0),"------------")</f>
        <v/>
      </c>
      <c r="F85" s="156" t="inlineStr">
        <is>
          <t>Sean Tucker</t>
        </is>
      </c>
      <c r="G85" s="156" t="inlineStr">
        <is>
          <t>TB</t>
        </is>
      </c>
      <c r="H85" s="156" t="inlineStr">
        <is>
          <t>RB</t>
        </is>
      </c>
      <c r="I85" s="156" t="n">
        <v>2</v>
      </c>
      <c r="J85" s="179" t="n">
        <v>1</v>
      </c>
      <c r="K85" s="179" t="n">
        <v>2</v>
      </c>
      <c r="L85" s="281">
        <f>IF(J85=0,0,K85/J85)</f>
        <v/>
      </c>
      <c r="M85" s="281">
        <f>K85/17</f>
        <v/>
      </c>
      <c r="N85" s="156" t="n">
        <v>0</v>
      </c>
      <c r="O85" s="156" t="n">
        <v>2</v>
      </c>
      <c r="P85" s="156" t="n">
        <v>1</v>
      </c>
      <c r="Q85" s="156" t="n">
        <v>0</v>
      </c>
      <c r="R85" s="156" t="n">
        <v>0</v>
      </c>
      <c r="S85" s="156" t="n">
        <v>0</v>
      </c>
      <c r="T85" s="156" t="n">
        <v>0</v>
      </c>
      <c r="U85" s="179" t="n">
        <v>0</v>
      </c>
      <c r="W85" s="156">
        <f>INDEX(Matrix!$AA$2:$AA$33, MATCH(G85, Matrix!$AC$2:$AC$33, 0))</f>
        <v/>
      </c>
      <c r="X85" s="156">
        <f>_xlfn.IFNA(MATCH(E83,'Injury Report'!$C$2:$C$6216,0),0)</f>
        <v/>
      </c>
    </row>
    <row r="86" ht="15.6" customHeight="1" s="152">
      <c r="A86" s="212" t="n">
        <v>83</v>
      </c>
      <c r="B86" s="167">
        <f>F86&amp;G86</f>
        <v/>
      </c>
      <c r="C86" s="156">
        <f>(K86/MAX(K:K)*$K$1)+(L86/MAX(L:L)*$L$1)+(M86/MAX(M:M)*$M$1)+(N86/MAX(N:N)*$N$1)+(T86/MAX(T:T)*$T$1)</f>
        <v/>
      </c>
      <c r="D86" s="156">
        <f>IFERROR(VLOOKUP(B86,#REF!,7,0),"")</f>
        <v/>
      </c>
      <c r="E86" s="156">
        <f>IFERROR(VLOOKUP(F86,AllPlayers!F:F,1,0),"------------")</f>
        <v/>
      </c>
      <c r="F86" s="156" t="inlineStr">
        <is>
          <t>Devin Neal</t>
        </is>
      </c>
      <c r="G86" s="156" t="inlineStr">
        <is>
          <t>NO</t>
        </is>
      </c>
      <c r="H86" s="156" t="inlineStr">
        <is>
          <t>RB</t>
        </is>
      </c>
      <c r="I86" s="156" t="n">
        <v>1</v>
      </c>
      <c r="J86" s="179" t="n">
        <v>2</v>
      </c>
      <c r="K86" s="179" t="n">
        <v>9</v>
      </c>
      <c r="L86" s="281">
        <f>IF(J86=0,0,K86/J86)</f>
        <v/>
      </c>
      <c r="M86" s="281">
        <f>K86/17</f>
        <v/>
      </c>
      <c r="N86" s="156" t="n">
        <v>0</v>
      </c>
      <c r="O86" s="156" t="n">
        <v>0</v>
      </c>
      <c r="P86" s="156" t="n">
        <v>0</v>
      </c>
      <c r="Q86" s="156" t="n">
        <v>0</v>
      </c>
      <c r="R86" s="156" t="n">
        <v>0</v>
      </c>
      <c r="S86" s="156" t="n">
        <v>0</v>
      </c>
      <c r="T86" s="156" t="n">
        <v>0</v>
      </c>
      <c r="U86" s="179" t="n">
        <v>0</v>
      </c>
      <c r="W86" s="156">
        <f>INDEX(Matrix!$AA$2:$AA$33, MATCH(G86, Matrix!$AC$2:$AC$33, 0))</f>
        <v/>
      </c>
      <c r="X86" s="156">
        <f>_xlfn.IFNA(MATCH(E84,'Injury Report'!$C$2:$C$6216,0),0)</f>
        <v/>
      </c>
    </row>
    <row r="87" ht="15.6" customHeight="1" s="152">
      <c r="A87" s="212" t="n">
        <v>84</v>
      </c>
      <c r="B87" s="167">
        <f>F87&amp;G87</f>
        <v/>
      </c>
      <c r="C87" s="156">
        <f>(K87/MAX(K:K)*$K$1)+(L87/MAX(L:L)*$L$1)+(M87/MAX(M:M)*$M$1)+(N87/MAX(N:N)*$N$1)+(T87/MAX(T:T)*$T$1)</f>
        <v/>
      </c>
      <c r="D87" s="156">
        <f>IFERROR(VLOOKUP(B87,#REF!,7,0),"")</f>
        <v/>
      </c>
      <c r="E87" s="156">
        <f>IFERROR(VLOOKUP(F87,AllPlayers!F:F,1,0),"------------")</f>
        <v/>
      </c>
      <c r="F87" s="156" t="inlineStr">
        <is>
          <t>Jaleel Mclaughlin</t>
        </is>
      </c>
      <c r="G87" s="156" t="inlineStr">
        <is>
          <t>DEN</t>
        </is>
      </c>
      <c r="H87" s="156" t="inlineStr">
        <is>
          <t>RB</t>
        </is>
      </c>
      <c r="I87" s="156" t="n">
        <v>9</v>
      </c>
      <c r="J87" s="179" t="n">
        <v>30.5</v>
      </c>
      <c r="K87" s="179" t="n">
        <v>142.6</v>
      </c>
      <c r="L87" s="281">
        <f>IF(J87=0,0,K87/J87)</f>
        <v/>
      </c>
      <c r="M87" s="281">
        <f>K87/17</f>
        <v/>
      </c>
      <c r="N87" s="156" t="n">
        <v>0.8</v>
      </c>
      <c r="O87" s="156" t="n">
        <v>2</v>
      </c>
      <c r="P87" s="156" t="n">
        <v>2</v>
      </c>
      <c r="Q87" s="156" t="n">
        <v>0</v>
      </c>
      <c r="R87" s="156" t="n">
        <v>0</v>
      </c>
      <c r="S87" s="156" t="n">
        <v>0</v>
      </c>
      <c r="T87" s="156" t="n">
        <v>0</v>
      </c>
      <c r="U87" s="179" t="n">
        <v>0.5</v>
      </c>
      <c r="W87" s="156">
        <f>INDEX(Matrix!$AA$2:$AA$33, MATCH(G87, Matrix!$AC$2:$AC$33, 0))</f>
        <v/>
      </c>
      <c r="X87" s="156">
        <f>_xlfn.IFNA(MATCH(E85,'Injury Report'!$C$2:$C$6216,0),0)</f>
        <v/>
      </c>
    </row>
    <row r="88" ht="15.6" customHeight="1" s="152">
      <c r="A88" s="212" t="n">
        <v>85</v>
      </c>
      <c r="B88" s="167">
        <f>F88&amp;G88</f>
        <v/>
      </c>
      <c r="C88" s="156">
        <f>(K88/MAX(K:K)*$K$1)+(L88/MAX(L:L)*$L$1)+(M88/MAX(M:M)*$M$1)+(N88/MAX(N:N)*$N$1)+(T88/MAX(T:T)*$T$1)</f>
        <v/>
      </c>
      <c r="D88" s="156">
        <f>IFERROR(VLOOKUP(B88,#REF!,7,0),"")</f>
        <v/>
      </c>
      <c r="E88" s="156">
        <f>IFERROR(VLOOKUP(F88,AllPlayers!F:F,1,0),"------------")</f>
        <v/>
      </c>
      <c r="F88" s="156" t="inlineStr">
        <is>
          <t>Zamir White</t>
        </is>
      </c>
      <c r="G88" s="156" t="inlineStr">
        <is>
          <t>LV</t>
        </is>
      </c>
      <c r="H88" s="156" t="inlineStr">
        <is>
          <t>RB</t>
        </is>
      </c>
      <c r="I88" s="156" t="n">
        <v>2</v>
      </c>
      <c r="J88" s="179" t="n">
        <v>5</v>
      </c>
      <c r="K88" s="179" t="n">
        <v>6</v>
      </c>
      <c r="L88" s="281">
        <f>IF(J88=0,0,K88/J88)</f>
        <v/>
      </c>
      <c r="M88" s="281">
        <f>K88/17</f>
        <v/>
      </c>
      <c r="N88" s="156" t="n">
        <v>0</v>
      </c>
      <c r="O88" s="156" t="n">
        <v>0</v>
      </c>
      <c r="P88" s="156" t="n">
        <v>0</v>
      </c>
      <c r="Q88" s="156" t="n">
        <v>0</v>
      </c>
      <c r="R88" s="156" t="n">
        <v>0</v>
      </c>
      <c r="S88" s="156" t="n">
        <v>0</v>
      </c>
      <c r="T88" s="156" t="n">
        <v>0</v>
      </c>
      <c r="U88" s="179" t="n">
        <v>0</v>
      </c>
      <c r="W88" s="156">
        <f>INDEX(Matrix!$AA$2:$AA$33, MATCH(G88, Matrix!$AC$2:$AC$33, 0))</f>
        <v/>
      </c>
      <c r="X88" s="156">
        <f>_xlfn.IFNA(MATCH(E86,'Injury Report'!$C$2:$C$6216,0),0)</f>
        <v/>
      </c>
    </row>
    <row r="89" ht="15.6" customHeight="1" s="152">
      <c r="A89" s="212" t="n">
        <v>86</v>
      </c>
      <c r="B89" s="167">
        <f>F89&amp;G89</f>
        <v/>
      </c>
      <c r="C89" s="156">
        <f>(K89/MAX(K:K)*$K$1)+(L89/MAX(L:L)*$L$1)+(M89/MAX(M:M)*$M$1)+(N89/MAX(N:N)*$N$1)+(T89/MAX(T:T)*$T$1)</f>
        <v/>
      </c>
      <c r="D89" s="156">
        <f>IFERROR(VLOOKUP(B89,#REF!,7,0),"")</f>
        <v/>
      </c>
      <c r="E89" s="156">
        <f>IFERROR(VLOOKUP(F89,AllPlayers!F:F,1,0),"------------")</f>
        <v/>
      </c>
      <c r="F89" s="156" t="inlineStr">
        <is>
          <t>A.J. Dillon</t>
        </is>
      </c>
      <c r="G89" s="156" t="inlineStr">
        <is>
          <t>PHI</t>
        </is>
      </c>
      <c r="H89" s="156" t="inlineStr">
        <is>
          <t>QB</t>
        </is>
      </c>
      <c r="I89" s="156" t="n">
        <v>2</v>
      </c>
      <c r="J89" s="179" t="n">
        <v>6</v>
      </c>
      <c r="K89" s="179" t="n">
        <v>29</v>
      </c>
      <c r="L89" s="281">
        <f>IF(J89=0,0,K89/J89)</f>
        <v/>
      </c>
      <c r="M89" s="281">
        <f>K89/17</f>
        <v/>
      </c>
      <c r="N89" s="156" t="n">
        <v>0</v>
      </c>
      <c r="O89" s="156" t="n">
        <v>0</v>
      </c>
      <c r="P89" s="156" t="n">
        <v>0</v>
      </c>
      <c r="Q89" s="156" t="n">
        <v>0</v>
      </c>
      <c r="R89" s="156" t="n">
        <v>0</v>
      </c>
      <c r="S89" s="156" t="n">
        <v>0</v>
      </c>
      <c r="T89" s="156" t="n">
        <v>0</v>
      </c>
      <c r="U89" s="179" t="n">
        <v>0</v>
      </c>
      <c r="W89" s="156">
        <f>INDEX(Matrix!$AA$2:$AA$33, MATCH(G89, Matrix!$AC$2:$AC$33, 0))</f>
        <v/>
      </c>
      <c r="X89" s="156">
        <f>_xlfn.IFNA(MATCH(E87,'Injury Report'!$C$2:$C$6216,0),0)</f>
        <v/>
      </c>
    </row>
    <row r="90" ht="15.6" customHeight="1" s="152">
      <c r="A90" s="212" t="n">
        <v>87</v>
      </c>
      <c r="B90" s="167">
        <f>F90&amp;G90</f>
        <v/>
      </c>
      <c r="C90" s="156">
        <f>(K90/MAX(K:K)*$K$1)+(L90/MAX(L:L)*$L$1)+(M90/MAX(M:M)*$M$1)+(N90/MAX(N:N)*$N$1)+(T90/MAX(T:T)*$T$1)</f>
        <v/>
      </c>
      <c r="D90" s="156">
        <f>IFERROR(VLOOKUP(B90,#REF!,7,0),"")</f>
        <v/>
      </c>
      <c r="E90" s="156">
        <f>IFERROR(VLOOKUP(F90,AllPlayers!F:F,1,0),"------------")</f>
        <v/>
      </c>
      <c r="F90" s="156" t="inlineStr">
        <is>
          <t>Emanuel Wilson</t>
        </is>
      </c>
      <c r="G90" s="156" t="inlineStr">
        <is>
          <t>GB</t>
        </is>
      </c>
      <c r="H90" s="156" t="inlineStr">
        <is>
          <t>RB</t>
        </is>
      </c>
      <c r="I90" s="156" t="n">
        <v>2</v>
      </c>
      <c r="J90" s="179" t="n">
        <v>1</v>
      </c>
      <c r="K90" s="179" t="n">
        <v>4</v>
      </c>
      <c r="L90" s="281">
        <f>IF(J90=0,0,K90/J90)</f>
        <v/>
      </c>
      <c r="M90" s="281">
        <f>K90/17</f>
        <v/>
      </c>
      <c r="N90" s="156" t="n">
        <v>0</v>
      </c>
      <c r="O90" s="156" t="n">
        <v>0</v>
      </c>
      <c r="P90" s="156" t="n">
        <v>0</v>
      </c>
      <c r="Q90" s="156" t="n">
        <v>0</v>
      </c>
      <c r="R90" s="156" t="n">
        <v>0</v>
      </c>
      <c r="S90" s="156" t="n">
        <v>0</v>
      </c>
      <c r="T90" s="156" t="n">
        <v>0</v>
      </c>
      <c r="U90" s="179" t="n">
        <v>0</v>
      </c>
      <c r="W90" s="156">
        <f>INDEX(Matrix!$AA$2:$AA$33, MATCH(G90, Matrix!$AC$2:$AC$33, 0))</f>
        <v/>
      </c>
      <c r="X90" s="156">
        <f>_xlfn.IFNA(MATCH(E88,'Injury Report'!$C$2:$C$6216,0),0)</f>
        <v/>
      </c>
    </row>
    <row r="91" ht="15.6" customHeight="1" s="152">
      <c r="A91" s="212" t="n">
        <v>88</v>
      </c>
      <c r="B91" s="167">
        <f>F91&amp;G91</f>
        <v/>
      </c>
      <c r="C91" s="156">
        <f>(K91/MAX(K:K)*$K$1)+(L91/MAX(L:L)*$L$1)+(M91/MAX(M:M)*$M$1)+(N91/MAX(N:N)*$N$1)+(T91/MAX(T:T)*$T$1)</f>
        <v/>
      </c>
      <c r="D91" s="156">
        <f>IFERROR(VLOOKUP(B91,#REF!,7,0),"")</f>
        <v/>
      </c>
      <c r="E91" s="156">
        <f>IFERROR(VLOOKUP(F91,AllPlayers!F:F,1,0),"------------")</f>
        <v/>
      </c>
      <c r="F91" s="156" t="inlineStr">
        <is>
          <t>D.J. Giddens</t>
        </is>
      </c>
      <c r="G91" s="156" t="inlineStr">
        <is>
          <t>IND</t>
        </is>
      </c>
      <c r="H91" s="156" t="inlineStr">
        <is>
          <t>RB</t>
        </is>
      </c>
      <c r="I91" s="156" t="n">
        <v>2</v>
      </c>
      <c r="J91" s="179" t="n">
        <v>12</v>
      </c>
      <c r="K91" s="179" t="n">
        <v>41</v>
      </c>
      <c r="L91" s="281">
        <f>IF(J91=0,0,K91/J91)</f>
        <v/>
      </c>
      <c r="M91" s="281">
        <f>K91/17</f>
        <v/>
      </c>
      <c r="N91" s="156" t="n">
        <v>0</v>
      </c>
      <c r="O91" s="156" t="n">
        <v>1</v>
      </c>
      <c r="P91" s="156" t="n">
        <v>0</v>
      </c>
      <c r="Q91" s="156" t="n">
        <v>0</v>
      </c>
      <c r="R91" s="156" t="n">
        <v>0</v>
      </c>
      <c r="S91" s="156" t="n">
        <v>0</v>
      </c>
      <c r="T91" s="156" t="n">
        <v>0</v>
      </c>
      <c r="U91" s="179" t="n">
        <v>0</v>
      </c>
      <c r="W91" s="156">
        <f>INDEX(Matrix!$AA$2:$AA$33, MATCH(G91, Matrix!$AC$2:$AC$33, 0))</f>
        <v/>
      </c>
      <c r="X91" s="156">
        <f>_xlfn.IFNA(MATCH(E89,'Injury Report'!$C$2:$C$6216,0),0)</f>
        <v/>
      </c>
    </row>
    <row r="92" ht="15.6" customHeight="1" s="152">
      <c r="A92" s="212" t="n">
        <v>89</v>
      </c>
      <c r="B92" s="167">
        <f>F92&amp;G92</f>
        <v/>
      </c>
      <c r="C92" s="156">
        <f>(K92/MAX(K:K)*$K$1)+(L92/MAX(L:L)*$L$1)+(M92/MAX(M:M)*$M$1)+(N92/MAX(N:N)*$N$1)+(T92/MAX(T:T)*$T$1)</f>
        <v/>
      </c>
      <c r="D92" s="156">
        <f>IFERROR(VLOOKUP(B92,#REF!,7,0),"")</f>
        <v/>
      </c>
      <c r="E92" s="156">
        <f>IFERROR(VLOOKUP(F92,AllPlayers!F:F,1,0),"------------")</f>
        <v/>
      </c>
      <c r="F92" s="156" t="inlineStr">
        <is>
          <t>Audric Estime</t>
        </is>
      </c>
      <c r="G92" s="156" t="inlineStr">
        <is>
          <t>DEN</t>
        </is>
      </c>
      <c r="H92" s="156" t="inlineStr">
        <is>
          <t>RB</t>
        </is>
      </c>
      <c r="I92" s="156" t="n">
        <v>4</v>
      </c>
      <c r="J92" s="179" t="n">
        <v>45.5</v>
      </c>
      <c r="K92" s="179" t="n">
        <v>149.1</v>
      </c>
      <c r="L92" s="281">
        <f>IF(J92=0,0,K92/J92)</f>
        <v/>
      </c>
      <c r="M92" s="281">
        <f>K92/17</f>
        <v/>
      </c>
      <c r="N92" s="156" t="n">
        <v>0.9</v>
      </c>
      <c r="O92" s="156" t="n">
        <v>0</v>
      </c>
      <c r="P92" s="156" t="n">
        <v>0</v>
      </c>
      <c r="Q92" s="156" t="n">
        <v>0</v>
      </c>
      <c r="R92" s="156" t="n">
        <v>0</v>
      </c>
      <c r="S92" s="156" t="n">
        <v>0</v>
      </c>
      <c r="T92" s="156" t="n">
        <v>1</v>
      </c>
      <c r="U92" s="179" t="n">
        <v>0.4</v>
      </c>
      <c r="W92" s="156">
        <f>INDEX(Matrix!$AA$2:$AA$33, MATCH(G92, Matrix!$AC$2:$AC$33, 0))</f>
        <v/>
      </c>
      <c r="X92" s="156">
        <f>_xlfn.IFNA(MATCH(E90,'Injury Report'!$C$2:$C$6216,0),0)</f>
        <v/>
      </c>
    </row>
    <row r="93" ht="15.6" customHeight="1" s="152">
      <c r="A93" s="212" t="n">
        <v>90</v>
      </c>
      <c r="B93" s="167">
        <f>F93&amp;G93</f>
        <v/>
      </c>
      <c r="C93" s="156">
        <f>(K93/MAX(K:K)*$K$1)+(L93/MAX(L:L)*$L$1)+(M93/MAX(M:M)*$M$1)+(N93/MAX(N:N)*$N$1)+(T93/MAX(T:T)*$T$1)</f>
        <v/>
      </c>
      <c r="D93" s="156">
        <f>IFERROR(VLOOKUP(B93,#REF!,7,0),"")</f>
        <v/>
      </c>
      <c r="E93" s="156">
        <f>IFERROR(VLOOKUP(F93,AllPlayers!F:F,1,0),"------------")</f>
        <v/>
      </c>
      <c r="F93" s="156" t="inlineStr">
        <is>
          <t>Amar Johnson</t>
        </is>
      </c>
      <c r="G93" s="156" t="inlineStr">
        <is>
          <t>GB</t>
        </is>
      </c>
      <c r="H93" s="156" t="inlineStr">
        <is>
          <t>QB</t>
        </is>
      </c>
      <c r="I93" s="156" t="n">
        <v>16</v>
      </c>
      <c r="J93" s="179" t="n">
        <v>35</v>
      </c>
      <c r="K93" s="179" t="n">
        <v>164</v>
      </c>
      <c r="L93" s="281">
        <f>IF(J93=0,0,K93/J93)</f>
        <v/>
      </c>
      <c r="M93" s="281">
        <f>K93/17</f>
        <v/>
      </c>
      <c r="N93" s="156" t="n">
        <v>1</v>
      </c>
      <c r="O93" s="156" t="n">
        <v>1</v>
      </c>
      <c r="P93" s="156" t="n">
        <v>1</v>
      </c>
      <c r="Q93" s="156" t="n">
        <v>0</v>
      </c>
      <c r="R93" s="156" t="n">
        <v>0</v>
      </c>
      <c r="S93" s="156" t="n">
        <v>0</v>
      </c>
      <c r="T93" s="156" t="n">
        <v>10</v>
      </c>
      <c r="U93" s="179" t="n">
        <v>0</v>
      </c>
      <c r="W93" s="156">
        <f>INDEX(Matrix!$AA$2:$AA$33, MATCH(G93, Matrix!$AC$2:$AC$33, 0))</f>
        <v/>
      </c>
      <c r="X93" s="156">
        <f>_xlfn.IFNA(MATCH(E91,'Injury Report'!$C$2:$C$6216,0),0)</f>
        <v/>
      </c>
    </row>
    <row r="94" ht="15.6" customHeight="1" s="152">
      <c r="A94" s="212" t="n">
        <v>91</v>
      </c>
      <c r="B94" s="167">
        <f>F94&amp;G94</f>
        <v/>
      </c>
      <c r="C94" s="156">
        <f>(K94/MAX(K:K)*$K$1)+(L94/MAX(L:L)*$L$1)+(M94/MAX(M:M)*$M$1)+(N94/MAX(N:N)*$N$1)+(T94/MAX(T:T)*$T$1)</f>
        <v/>
      </c>
      <c r="D94" s="156">
        <f>IFERROR(VLOOKUP(B94,#REF!,7,0),"")</f>
        <v/>
      </c>
      <c r="E94" s="156">
        <f>IFERROR(VLOOKUP(F94,AllPlayers!F:F,1,0),"------------")</f>
        <v/>
      </c>
      <c r="F94" s="156" t="inlineStr">
        <is>
          <t>Isaiah Davis</t>
        </is>
      </c>
      <c r="G94" s="156" t="inlineStr">
        <is>
          <t>NYJ</t>
        </is>
      </c>
      <c r="H94" s="156" t="inlineStr">
        <is>
          <t>RB</t>
        </is>
      </c>
      <c r="I94" s="156" t="n">
        <v>2</v>
      </c>
      <c r="J94" s="179" t="n">
        <v>2</v>
      </c>
      <c r="K94" s="179" t="n">
        <v>18</v>
      </c>
      <c r="L94" s="281">
        <f>IF(J94=0,0,K94/J94)</f>
        <v/>
      </c>
      <c r="M94" s="281">
        <f>K94/17</f>
        <v/>
      </c>
      <c r="N94" s="156" t="n">
        <v>0</v>
      </c>
      <c r="O94" s="156" t="n">
        <v>1</v>
      </c>
      <c r="P94" s="156" t="n">
        <v>0</v>
      </c>
      <c r="Q94" s="156" t="n">
        <v>0</v>
      </c>
      <c r="R94" s="156" t="n">
        <v>0</v>
      </c>
      <c r="S94" s="156" t="n">
        <v>0</v>
      </c>
      <c r="T94" s="156" t="n">
        <v>0</v>
      </c>
      <c r="U94" s="179" t="n">
        <v>0</v>
      </c>
      <c r="W94" s="156">
        <f>INDEX(Matrix!$AA$2:$AA$33, MATCH(G94, Matrix!$AC$2:$AC$33, 0))</f>
        <v/>
      </c>
      <c r="X94" s="156">
        <f>_xlfn.IFNA(MATCH(E92,'Injury Report'!$C$2:$C$6216,0),0)</f>
        <v/>
      </c>
    </row>
    <row r="95" ht="15.6" customHeight="1" s="152">
      <c r="A95" s="212" t="n">
        <v>92</v>
      </c>
      <c r="B95" s="167">
        <f>F95&amp;G95</f>
        <v/>
      </c>
      <c r="C95" s="156">
        <f>(K95/MAX(K:K)*$K$1)+(L95/MAX(L:L)*$L$1)+(M95/MAX(M:M)*$M$1)+(N95/MAX(N:N)*$N$1)+(T95/MAX(T:T)*$T$1)</f>
        <v/>
      </c>
      <c r="D95" s="156">
        <f>IFERROR(VLOOKUP(B95,#REF!,7,0),"")</f>
        <v/>
      </c>
      <c r="E95" s="156">
        <f>IFERROR(VLOOKUP(F95,AllPlayers!F:F,1,0),"------------")</f>
        <v/>
      </c>
      <c r="F95" s="156" t="inlineStr">
        <is>
          <t>Zavier Scott</t>
        </is>
      </c>
      <c r="G95" s="156" t="inlineStr">
        <is>
          <t>MIN</t>
        </is>
      </c>
      <c r="H95" s="156" t="inlineStr">
        <is>
          <t>RB</t>
        </is>
      </c>
      <c r="I95" s="156" t="n">
        <v>12</v>
      </c>
      <c r="J95" s="179" t="n">
        <v>32</v>
      </c>
      <c r="K95" s="179" t="n">
        <v>153</v>
      </c>
      <c r="L95" s="281">
        <f>IF(J95=0,0,K95/J95)</f>
        <v/>
      </c>
      <c r="M95" s="281">
        <f>K95/17</f>
        <v/>
      </c>
      <c r="N95" s="156" t="n">
        <v>1</v>
      </c>
      <c r="O95" s="156" t="n">
        <v>0</v>
      </c>
      <c r="P95" s="156" t="n">
        <v>0</v>
      </c>
      <c r="Q95" s="156" t="n">
        <v>0</v>
      </c>
      <c r="R95" s="156" t="n">
        <v>0</v>
      </c>
      <c r="S95" s="156" t="n">
        <v>0</v>
      </c>
      <c r="T95" s="156" t="n">
        <v>3</v>
      </c>
      <c r="U95" s="179" t="n">
        <v>0</v>
      </c>
      <c r="W95" s="156">
        <f>INDEX(Matrix!$AA$2:$AA$33, MATCH(G95, Matrix!$AC$2:$AC$33, 0))</f>
        <v/>
      </c>
      <c r="X95" s="156">
        <f>_xlfn.IFNA(MATCH(E93,'Injury Report'!$C$2:$C$6216,0),0)</f>
        <v/>
      </c>
    </row>
    <row r="96" ht="15.6" customHeight="1" s="152">
      <c r="A96" s="212" t="n">
        <v>93</v>
      </c>
      <c r="B96" s="167">
        <f>F96&amp;G96</f>
        <v/>
      </c>
      <c r="C96" s="156">
        <f>(K96/MAX(K:K)*$K$1)+(L96/MAX(L:L)*$L$1)+(M96/MAX(M:M)*$M$1)+(N96/MAX(N:N)*$N$1)+(T96/MAX(T:T)*$T$1)</f>
        <v/>
      </c>
      <c r="D96" s="156">
        <f>IFERROR(VLOOKUP(B96,#REF!,7,0),"")</f>
        <v/>
      </c>
      <c r="E96" s="156">
        <f>IFERROR(VLOOKUP(F96,AllPlayers!F:F,1,0),"------------")</f>
        <v/>
      </c>
      <c r="F96" s="156" t="inlineStr">
        <is>
          <t>Chris Brooks</t>
        </is>
      </c>
      <c r="G96" s="156" t="inlineStr">
        <is>
          <t>GB</t>
        </is>
      </c>
      <c r="H96" s="156" t="inlineStr">
        <is>
          <t>RB</t>
        </is>
      </c>
      <c r="I96" s="156" t="n">
        <v>2</v>
      </c>
      <c r="J96" s="179" t="n">
        <v>1</v>
      </c>
      <c r="K96" s="179" t="n">
        <v>1</v>
      </c>
      <c r="L96" s="281">
        <f>IF(J96=0,0,K96/J96)</f>
        <v/>
      </c>
      <c r="M96" s="281">
        <f>K96/17</f>
        <v/>
      </c>
      <c r="N96" s="156" t="n">
        <v>0</v>
      </c>
      <c r="O96" s="156" t="n">
        <v>1</v>
      </c>
      <c r="P96" s="156" t="n">
        <v>0</v>
      </c>
      <c r="Q96" s="156" t="n">
        <v>0</v>
      </c>
      <c r="R96" s="156" t="n">
        <v>0</v>
      </c>
      <c r="S96" s="156" t="n">
        <v>0</v>
      </c>
      <c r="T96" s="156" t="n">
        <v>0</v>
      </c>
      <c r="U96" s="179" t="n">
        <v>0</v>
      </c>
      <c r="W96" s="156">
        <f>INDEX(Matrix!$AA$2:$AA$33, MATCH(G96, Matrix!$AC$2:$AC$33, 0))</f>
        <v/>
      </c>
      <c r="X96" s="156">
        <f>_xlfn.IFNA(MATCH(E94,'Injury Report'!$C$2:$C$6216,0),0)</f>
        <v/>
      </c>
    </row>
    <row r="97" ht="15.6" customHeight="1" s="152">
      <c r="A97" s="212" t="n">
        <v>94</v>
      </c>
      <c r="B97" s="167">
        <f>F97&amp;G97</f>
        <v/>
      </c>
      <c r="C97" s="156">
        <f>(K97/MAX(K:K)*$K$1)+(L97/MAX(L:L)*$L$1)+(M97/MAX(M:M)*$M$1)+(N97/MAX(N:N)*$N$1)+(T97/MAX(T:T)*$T$1)</f>
        <v/>
      </c>
      <c r="D97" s="156">
        <f>IFERROR(VLOOKUP(B97,#REF!,7,0),"")</f>
        <v/>
      </c>
      <c r="E97" s="156">
        <f>IFERROR(VLOOKUP(F97,AllPlayers!F:F,1,0),"------------")</f>
        <v/>
      </c>
      <c r="F97" s="156" t="inlineStr">
        <is>
          <t>Kyle Juszczyk</t>
        </is>
      </c>
      <c r="G97" s="156" t="inlineStr">
        <is>
          <t>SF</t>
        </is>
      </c>
      <c r="H97" s="156" t="inlineStr">
        <is>
          <t>RB</t>
        </is>
      </c>
      <c r="I97" s="156" t="n">
        <v>2</v>
      </c>
      <c r="J97" s="179" t="n">
        <v>0</v>
      </c>
      <c r="K97" s="179" t="n">
        <v>0</v>
      </c>
      <c r="L97" s="281">
        <f>IF(J97=0,0,K97/J97)</f>
        <v/>
      </c>
      <c r="M97" s="281">
        <f>K97/17</f>
        <v/>
      </c>
      <c r="N97" s="156" t="n">
        <v>0</v>
      </c>
      <c r="O97" s="156" t="n">
        <v>0</v>
      </c>
      <c r="P97" s="156" t="n">
        <v>0</v>
      </c>
      <c r="Q97" s="156" t="n">
        <v>0</v>
      </c>
      <c r="R97" s="156" t="n">
        <v>0</v>
      </c>
      <c r="S97" s="156" t="n">
        <v>0</v>
      </c>
      <c r="T97" s="156" t="n">
        <v>0</v>
      </c>
      <c r="U97" s="179" t="n">
        <v>0</v>
      </c>
      <c r="W97" s="156">
        <f>INDEX(Matrix!$AA$2:$AA$33, MATCH(G97, Matrix!$AC$2:$AC$33, 0))</f>
        <v/>
      </c>
      <c r="X97" s="156">
        <f>_xlfn.IFNA(MATCH(E95,'Injury Report'!$C$2:$C$6216,0),0)</f>
        <v/>
      </c>
    </row>
    <row r="98" ht="15.6" customHeight="1" s="152">
      <c r="A98" s="212" t="n">
        <v>95</v>
      </c>
      <c r="B98" s="167">
        <f>F98&amp;G98</f>
        <v/>
      </c>
      <c r="C98" s="156">
        <f>(K98/MAX(K:K)*$K$1)+(L98/MAX(L:L)*$L$1)+(M98/MAX(M:M)*$M$1)+(N98/MAX(N:N)*$N$1)+(T98/MAX(T:T)*$T$1)</f>
        <v/>
      </c>
      <c r="D98" s="156">
        <f>IFERROR(VLOOKUP(B98,#REF!,7,0),"")</f>
        <v/>
      </c>
      <c r="E98" s="156">
        <f>IFERROR(VLOOKUP(F98,AllPlayers!F:F,1,0),"------------")</f>
        <v/>
      </c>
      <c r="F98" s="156" t="inlineStr">
        <is>
          <t>Clyde Edwards-helaire</t>
        </is>
      </c>
      <c r="G98" s="156" t="inlineStr">
        <is>
          <t>NO</t>
        </is>
      </c>
      <c r="H98" s="156" t="inlineStr">
        <is>
          <t>RB</t>
        </is>
      </c>
      <c r="I98" s="156" t="n">
        <v>5</v>
      </c>
      <c r="J98" s="179" t="n">
        <v>36.6</v>
      </c>
      <c r="K98" s="179" t="n">
        <v>113</v>
      </c>
      <c r="L98" s="281">
        <f>IF(J98=0,0,K98/J98)</f>
        <v/>
      </c>
      <c r="M98" s="281">
        <f>K98/17</f>
        <v/>
      </c>
      <c r="N98" s="156" t="n">
        <v>0.6</v>
      </c>
      <c r="O98" s="156" t="n">
        <v>1</v>
      </c>
      <c r="P98" s="156" t="n">
        <v>0</v>
      </c>
      <c r="Q98" s="156" t="n">
        <v>1</v>
      </c>
      <c r="R98" s="156" t="n">
        <v>0</v>
      </c>
      <c r="S98" s="156" t="n">
        <v>0</v>
      </c>
      <c r="T98" s="156" t="n">
        <v>0</v>
      </c>
      <c r="U98" s="179" t="n">
        <v>0.1</v>
      </c>
      <c r="W98" s="156">
        <f>INDEX(Matrix!$AA$2:$AA$33, MATCH(G98, Matrix!$AC$2:$AC$33, 0))</f>
        <v/>
      </c>
      <c r="X98" s="156">
        <f>_xlfn.IFNA(MATCH(E96,'Injury Report'!$C$2:$C$6216,0),0)</f>
        <v/>
      </c>
    </row>
    <row r="99" ht="15.6" customHeight="1" s="152">
      <c r="A99" s="212" t="n">
        <v>96</v>
      </c>
      <c r="B99" s="167">
        <f>F99&amp;G99</f>
        <v/>
      </c>
      <c r="C99" s="156">
        <f>(K99/MAX(K:K)*$K$1)+(L99/MAX(L:L)*$L$1)+(M99/MAX(M:M)*$M$1)+(N99/MAX(N:N)*$N$1)+(T99/MAX(T:T)*$T$1)</f>
        <v/>
      </c>
      <c r="D99" s="156">
        <f>IFERROR(VLOOKUP(B99,#REF!,7,0),"")</f>
        <v/>
      </c>
      <c r="E99" s="156">
        <f>IFERROR(VLOOKUP(F99,AllPlayers!F:F,1,0),"------------")</f>
        <v/>
      </c>
      <c r="F99" s="156" t="inlineStr">
        <is>
          <t>Tyler Goodson</t>
        </is>
      </c>
      <c r="G99" s="156" t="inlineStr">
        <is>
          <t>IND</t>
        </is>
      </c>
      <c r="H99" s="156" t="inlineStr">
        <is>
          <t>QB</t>
        </is>
      </c>
      <c r="I99" s="156" t="n">
        <v>12</v>
      </c>
      <c r="J99" s="179" t="n">
        <v>30</v>
      </c>
      <c r="K99" s="179" t="n">
        <v>109.7</v>
      </c>
      <c r="L99" s="281">
        <f>IF(J99=0,0,K99/J99)</f>
        <v/>
      </c>
      <c r="M99" s="281">
        <f>K99/17</f>
        <v/>
      </c>
      <c r="N99" s="156" t="n">
        <v>0.7</v>
      </c>
      <c r="O99" s="156" t="n">
        <v>1</v>
      </c>
      <c r="P99" s="156" t="n">
        <v>0</v>
      </c>
      <c r="Q99" s="156" t="n">
        <v>0</v>
      </c>
      <c r="R99" s="156" t="n">
        <v>0</v>
      </c>
      <c r="S99" s="156" t="n">
        <v>0</v>
      </c>
      <c r="T99" s="156" t="n">
        <v>10</v>
      </c>
      <c r="U99" s="179" t="n">
        <v>0</v>
      </c>
      <c r="W99" s="156">
        <f>INDEX(Matrix!$AA$2:$AA$33, MATCH(G99, Matrix!$AC$2:$AC$33, 0))</f>
        <v/>
      </c>
      <c r="X99" s="156">
        <f>_xlfn.IFNA(MATCH(E97,'Injury Report'!$C$2:$C$6216,0),0)</f>
        <v/>
      </c>
    </row>
    <row r="100" ht="15.6" customHeight="1" s="152">
      <c r="A100" s="212" t="n">
        <v>97</v>
      </c>
      <c r="B100" s="167">
        <f>F100&amp;G100</f>
        <v/>
      </c>
      <c r="C100" s="156">
        <f>(K100/MAX(K:K)*$K$1)+(L100/MAX(L:L)*$L$1)+(M100/MAX(M:M)*$M$1)+(N100/MAX(N:N)*$N$1)+(T100/MAX(T:T)*$T$1)</f>
        <v/>
      </c>
      <c r="D100" s="156">
        <f>IFERROR(VLOOKUP(B100,#REF!,7,0),"")</f>
        <v/>
      </c>
      <c r="E100" s="156">
        <f>IFERROR(VLOOKUP(F100,AllPlayers!F:F,1,0),"------------")</f>
        <v/>
      </c>
      <c r="F100" s="156" t="inlineStr">
        <is>
          <t>Kimani Vidal</t>
        </is>
      </c>
      <c r="G100" s="156" t="inlineStr">
        <is>
          <t>LAC</t>
        </is>
      </c>
      <c r="H100" s="156" t="inlineStr">
        <is>
          <t>RB</t>
        </is>
      </c>
      <c r="I100" s="156" t="n">
        <v>10</v>
      </c>
      <c r="J100" s="179" t="n">
        <v>35.4</v>
      </c>
      <c r="K100" s="179" t="n">
        <v>105.5</v>
      </c>
      <c r="L100" s="281">
        <f>IF(J100=0,0,K100/J100)</f>
        <v/>
      </c>
      <c r="M100" s="281">
        <f>K100/17</f>
        <v/>
      </c>
      <c r="N100" s="156" t="n">
        <v>0.6</v>
      </c>
      <c r="O100" s="156" t="n">
        <v>1</v>
      </c>
      <c r="P100" s="156" t="n">
        <v>0</v>
      </c>
      <c r="Q100" s="156" t="n">
        <v>0</v>
      </c>
      <c r="R100" s="156" t="n">
        <v>0</v>
      </c>
      <c r="S100" s="156" t="n">
        <v>0</v>
      </c>
      <c r="T100" s="156" t="n">
        <v>0</v>
      </c>
      <c r="U100" s="179" t="n">
        <v>0</v>
      </c>
      <c r="W100" s="156">
        <f>INDEX(Matrix!$AA$2:$AA$33, MATCH(G100, Matrix!$AC$2:$AC$33, 0))</f>
        <v/>
      </c>
      <c r="X100" s="156">
        <f>_xlfn.IFNA(MATCH(E98,'Injury Report'!$C$2:$C$6216,0),0)</f>
        <v/>
      </c>
    </row>
    <row r="101" ht="15.6" customHeight="1" s="152">
      <c r="A101" s="212" t="n">
        <v>98</v>
      </c>
      <c r="B101" s="167">
        <f>F101&amp;G101</f>
        <v/>
      </c>
      <c r="C101" s="156">
        <f>(K101/MAX(K:K)*$K$1)+(L101/MAX(L:L)*$L$1)+(M101/MAX(M:M)*$M$1)+(N101/MAX(N:N)*$N$1)+(T101/MAX(T:T)*$T$1)</f>
        <v/>
      </c>
      <c r="D101" s="156">
        <f>IFERROR(VLOOKUP(B101,#REF!,7,0),"")</f>
        <v/>
      </c>
      <c r="E101" s="156">
        <f>IFERROR(VLOOKUP(F101,AllPlayers!F:F,1,0),"------------")</f>
        <v/>
      </c>
      <c r="F101" s="156" t="inlineStr">
        <is>
          <t>Pierre Strong</t>
        </is>
      </c>
      <c r="G101" s="156" t="inlineStr">
        <is>
          <t>CLE</t>
        </is>
      </c>
      <c r="H101" s="156" t="inlineStr">
        <is>
          <t>RB</t>
        </is>
      </c>
      <c r="I101" s="156" t="n">
        <v>8</v>
      </c>
      <c r="J101" s="179" t="n">
        <v>28.3</v>
      </c>
      <c r="K101" s="179" t="n">
        <v>89.59999999999999</v>
      </c>
      <c r="L101" s="281">
        <f>IF(J101=0,0,K101/J101)</f>
        <v/>
      </c>
      <c r="M101" s="281">
        <f>K101/17</f>
        <v/>
      </c>
      <c r="N101" s="156" t="n">
        <v>0.4</v>
      </c>
      <c r="O101" s="156" t="n">
        <v>1</v>
      </c>
      <c r="P101" s="156" t="n">
        <v>0</v>
      </c>
      <c r="Q101" s="156" t="n">
        <v>0</v>
      </c>
      <c r="R101" s="156" t="n">
        <v>0</v>
      </c>
      <c r="S101" s="156" t="n">
        <v>0</v>
      </c>
      <c r="T101" s="156" t="n">
        <v>0</v>
      </c>
      <c r="U101" s="179" t="n">
        <v>0.1</v>
      </c>
      <c r="W101" s="156">
        <f>INDEX(Matrix!$AA$2:$AA$33, MATCH(G101, Matrix!$AC$2:$AC$33, 0))</f>
        <v/>
      </c>
      <c r="X101" s="156">
        <f>_xlfn.IFNA(MATCH(E99,'Injury Report'!$C$2:$C$6216,0),0)</f>
        <v/>
      </c>
    </row>
    <row r="102" ht="15.6" customHeight="1" s="152">
      <c r="A102" s="212" t="n">
        <v>99</v>
      </c>
      <c r="B102" s="167">
        <f>F102&amp;G102</f>
        <v/>
      </c>
      <c r="C102" s="156">
        <f>(K102/MAX(K:K)*$K$1)+(L102/MAX(L:L)*$L$1)+(M102/MAX(M:M)*$M$1)+(N102/MAX(N:N)*$N$1)+(T102/MAX(T:T)*$T$1)</f>
        <v/>
      </c>
      <c r="D102" s="156">
        <f>IFERROR(VLOOKUP(B102,#REF!,7,0),"")</f>
        <v/>
      </c>
      <c r="E102" s="156">
        <f>IFERROR(VLOOKUP(F102,AllPlayers!F:F,1,0),"------------")</f>
        <v/>
      </c>
      <c r="F102" s="156" t="inlineStr">
        <is>
          <t>Brashard Smith</t>
        </is>
      </c>
      <c r="G102" s="156" t="inlineStr">
        <is>
          <t>KC</t>
        </is>
      </c>
      <c r="H102" s="156" t="inlineStr">
        <is>
          <t>RB</t>
        </is>
      </c>
      <c r="I102" s="156" t="n">
        <v>2</v>
      </c>
      <c r="J102" s="179" t="n">
        <v>1</v>
      </c>
      <c r="K102" s="179" t="n">
        <v>2</v>
      </c>
      <c r="L102" s="281">
        <f>IF(J102=0,0,K102/J102)</f>
        <v/>
      </c>
      <c r="M102" s="281">
        <f>K102/17</f>
        <v/>
      </c>
      <c r="N102" s="156" t="n">
        <v>0</v>
      </c>
      <c r="O102" s="156" t="n">
        <v>1</v>
      </c>
      <c r="P102" s="156" t="n">
        <v>0</v>
      </c>
      <c r="Q102" s="156" t="n">
        <v>0</v>
      </c>
      <c r="R102" s="156" t="n">
        <v>0</v>
      </c>
      <c r="S102" s="156" t="n">
        <v>0</v>
      </c>
      <c r="T102" s="156" t="n">
        <v>0</v>
      </c>
      <c r="U102" s="179" t="n">
        <v>0</v>
      </c>
      <c r="W102" s="156">
        <f>INDEX(Matrix!$AA$2:$AA$33, MATCH(G102, Matrix!$AC$2:$AC$33, 0))</f>
        <v/>
      </c>
      <c r="X102" s="156">
        <f>_xlfn.IFNA(MATCH(E100,'Injury Report'!$C$2:$C$6216,0),0)</f>
        <v/>
      </c>
    </row>
    <row r="103" ht="15.6" customHeight="1" s="152">
      <c r="A103" s="212" t="n">
        <v>100</v>
      </c>
      <c r="B103" s="167">
        <f>F103&amp;G103</f>
        <v/>
      </c>
      <c r="C103" s="156">
        <f>(K103/MAX(K:K)*$K$1)+(L103/MAX(L:L)*$L$1)+(M103/MAX(M:M)*$M$1)+(N103/MAX(N:N)*$N$1)+(T103/MAX(T:T)*$T$1)</f>
        <v/>
      </c>
      <c r="D103" s="156">
        <f>IFERROR(VLOOKUP(B103,#REF!,7,0),"")</f>
        <v/>
      </c>
      <c r="E103" s="156">
        <f>IFERROR(VLOOKUP(F103,AllPlayers!F:F,1,0),"------------")</f>
        <v/>
      </c>
      <c r="F103" s="156" t="inlineStr">
        <is>
          <t>Sincere Mccormick</t>
        </is>
      </c>
      <c r="G103" s="156" t="inlineStr">
        <is>
          <t>LV</t>
        </is>
      </c>
      <c r="H103" s="156" t="inlineStr">
        <is>
          <t>RB</t>
        </is>
      </c>
      <c r="I103" s="156" t="n">
        <v>7</v>
      </c>
      <c r="J103" s="179" t="n">
        <v>23.7</v>
      </c>
      <c r="K103" s="179" t="n">
        <v>112.9</v>
      </c>
      <c r="L103" s="281">
        <f>IF(J103=0,0,K103/J103)</f>
        <v/>
      </c>
      <c r="M103" s="281">
        <f>K103/17</f>
        <v/>
      </c>
      <c r="N103" s="156" t="n">
        <v>0.8</v>
      </c>
      <c r="O103" s="156" t="n">
        <v>1</v>
      </c>
      <c r="P103" s="156" t="n">
        <v>0</v>
      </c>
      <c r="Q103" s="156" t="n">
        <v>0</v>
      </c>
      <c r="R103" s="156" t="n">
        <v>0</v>
      </c>
      <c r="S103" s="156" t="n">
        <v>0</v>
      </c>
      <c r="T103" s="156" t="n">
        <v>0</v>
      </c>
      <c r="U103" s="179" t="n">
        <v>0.1</v>
      </c>
      <c r="W103" s="156">
        <f>INDEX(Matrix!$AA$2:$AA$33, MATCH(G103, Matrix!$AC$2:$AC$33, 0))</f>
        <v/>
      </c>
      <c r="X103" s="156">
        <f>_xlfn.IFNA(MATCH(E101,'Injury Report'!$C$2:$C$6216,0),0)</f>
        <v/>
      </c>
    </row>
    <row r="104" ht="15.6" customHeight="1" s="152">
      <c r="A104" s="212" t="n">
        <v>101</v>
      </c>
      <c r="B104" s="167">
        <f>F104&amp;G104</f>
        <v/>
      </c>
      <c r="C104" s="156">
        <f>(K104/MAX(K:K)*$K$1)+(L104/MAX(L:L)*$L$1)+(M104/MAX(M:M)*$M$1)+(N104/MAX(N:N)*$N$1)+(T104/MAX(T:T)*$T$1)</f>
        <v/>
      </c>
      <c r="D104" s="156">
        <f>IFERROR(VLOOKUP(B104,#REF!,7,0),"")</f>
        <v/>
      </c>
      <c r="E104" s="156">
        <f>IFERROR(VLOOKUP(F104,AllPlayers!F:F,1,0),"------------")</f>
        <v/>
      </c>
      <c r="F104" s="156" t="inlineStr">
        <is>
          <t>Emari Demercado</t>
        </is>
      </c>
      <c r="G104" s="156" t="inlineStr">
        <is>
          <t>ARI</t>
        </is>
      </c>
      <c r="H104" s="156" t="inlineStr">
        <is>
          <t>RB</t>
        </is>
      </c>
      <c r="I104" s="156" t="n">
        <v>1</v>
      </c>
      <c r="J104" s="179" t="n">
        <v>0</v>
      </c>
      <c r="K104" s="179" t="n">
        <v>0</v>
      </c>
      <c r="L104" s="281">
        <f>IF(J104=0,0,K104/J104)</f>
        <v/>
      </c>
      <c r="M104" s="281">
        <f>K104/17</f>
        <v/>
      </c>
      <c r="N104" s="156" t="n">
        <v>0</v>
      </c>
      <c r="O104" s="156" t="n">
        <v>0</v>
      </c>
      <c r="P104" s="156" t="n">
        <v>0</v>
      </c>
      <c r="Q104" s="156" t="n">
        <v>0</v>
      </c>
      <c r="R104" s="156" t="n">
        <v>0</v>
      </c>
      <c r="S104" s="156" t="n">
        <v>0</v>
      </c>
      <c r="T104" s="156" t="n">
        <v>0</v>
      </c>
      <c r="U104" s="179" t="n">
        <v>0</v>
      </c>
      <c r="W104" s="156">
        <f>INDEX(Matrix!$AA$2:$AA$33, MATCH(G104, Matrix!$AC$2:$AC$33, 0))</f>
        <v/>
      </c>
      <c r="X104" s="156">
        <f>_xlfn.IFNA(MATCH(E102,'Injury Report'!$C$2:$C$6216,0),0)</f>
        <v/>
      </c>
    </row>
    <row r="105" ht="15.6" customHeight="1" s="152">
      <c r="A105" s="212" t="n">
        <v>102</v>
      </c>
      <c r="B105" s="167">
        <f>F105&amp;G105</f>
        <v/>
      </c>
      <c r="C105" s="156">
        <f>(K105/MAX(K:K)*$K$1)+(L105/MAX(L:L)*$L$1)+(M105/MAX(M:M)*$M$1)+(N105/MAX(N:N)*$N$1)+(T105/MAX(T:T)*$T$1)</f>
        <v/>
      </c>
      <c r="D105" s="156">
        <f>IFERROR(VLOOKUP(B105,#REF!,7,0),"")</f>
        <v/>
      </c>
      <c r="E105" s="156">
        <f>IFERROR(VLOOKUP(F105,AllPlayers!F:F,1,0),"------------")</f>
        <v/>
      </c>
      <c r="F105" s="156" t="inlineStr">
        <is>
          <t>T.Y. Chandler</t>
        </is>
      </c>
      <c r="G105" s="156" t="inlineStr">
        <is>
          <t>MIN</t>
        </is>
      </c>
      <c r="H105" s="156" t="inlineStr">
        <is>
          <t>WR</t>
        </is>
      </c>
      <c r="I105" s="156" t="n">
        <v>1</v>
      </c>
      <c r="J105" s="179" t="n">
        <v>0</v>
      </c>
      <c r="K105" s="179" t="n">
        <v>0</v>
      </c>
      <c r="L105" s="281">
        <f>IF(J105=0,0,K105/J105)</f>
        <v/>
      </c>
      <c r="M105" s="281">
        <f>K105/17</f>
        <v/>
      </c>
      <c r="N105" s="156" t="n">
        <v>0</v>
      </c>
      <c r="O105" s="156" t="n">
        <v>3</v>
      </c>
      <c r="P105" s="156" t="n">
        <v>0</v>
      </c>
      <c r="Q105" s="156" t="n">
        <v>0</v>
      </c>
      <c r="R105" s="156" t="n">
        <v>0</v>
      </c>
      <c r="S105" s="156" t="n">
        <v>0</v>
      </c>
      <c r="T105" s="156" t="n">
        <v>0</v>
      </c>
      <c r="U105" s="179" t="n">
        <v>0</v>
      </c>
      <c r="W105" s="156">
        <f>INDEX(Matrix!$AA$2:$AA$33, MATCH(G105, Matrix!$AC$2:$AC$33, 0))</f>
        <v/>
      </c>
      <c r="X105" s="156">
        <f>_xlfn.IFNA(MATCH(E103,'Injury Report'!$C$2:$C$6216,0),0)</f>
        <v/>
      </c>
    </row>
    <row r="106" ht="15.6" customHeight="1" s="152">
      <c r="A106" s="212" t="n">
        <v>103</v>
      </c>
      <c r="B106" s="167">
        <f>F106&amp;G106</f>
        <v/>
      </c>
      <c r="C106" s="156">
        <f>(K106/MAX(K:K)*$K$1)+(L106/MAX(L:L)*$L$1)+(M106/MAX(M:M)*$M$1)+(N106/MAX(N:N)*$N$1)+(T106/MAX(T:T)*$T$1)</f>
        <v/>
      </c>
      <c r="D106" s="156">
        <f>IFERROR(VLOOKUP(B106,#REF!,7,0),"")</f>
        <v/>
      </c>
      <c r="E106" s="156">
        <f>IFERROR(VLOOKUP(F106,AllPlayers!F:F,1,0),"------------")</f>
        <v/>
      </c>
      <c r="F106" s="156" t="inlineStr">
        <is>
          <t>Jeremy Mcnichols</t>
        </is>
      </c>
      <c r="G106" s="156" t="inlineStr">
        <is>
          <t>WAS</t>
        </is>
      </c>
      <c r="H106" s="156" t="inlineStr">
        <is>
          <t>RB</t>
        </is>
      </c>
      <c r="I106" s="156" t="n">
        <v>1</v>
      </c>
      <c r="J106" s="179" t="n">
        <v>4</v>
      </c>
      <c r="K106" s="179" t="n">
        <v>25</v>
      </c>
      <c r="L106" s="281">
        <f>IF(J106=0,0,K106/J106)</f>
        <v/>
      </c>
      <c r="M106" s="281">
        <f>K106/17</f>
        <v/>
      </c>
      <c r="N106" s="156" t="n">
        <v>0</v>
      </c>
      <c r="O106" s="156" t="n">
        <v>0</v>
      </c>
      <c r="P106" s="156" t="n">
        <v>0</v>
      </c>
      <c r="Q106" s="156" t="n">
        <v>0</v>
      </c>
      <c r="R106" s="156" t="n">
        <v>0</v>
      </c>
      <c r="S106" s="156" t="n">
        <v>0</v>
      </c>
      <c r="T106" s="156" t="n">
        <v>0</v>
      </c>
      <c r="U106" s="179" t="n">
        <v>0</v>
      </c>
      <c r="W106" s="156">
        <f>INDEX(Matrix!$AA$2:$AA$33, MATCH(G106, Matrix!$AC$2:$AC$33, 0))</f>
        <v/>
      </c>
      <c r="X106" s="156">
        <f>_xlfn.IFNA(MATCH(E104,'Injury Report'!$C$2:$C$6216,0),0)</f>
        <v/>
      </c>
    </row>
    <row r="107" ht="15.6" customHeight="1" s="152">
      <c r="A107" s="212" t="n">
        <v>104</v>
      </c>
      <c r="B107" s="167">
        <f>F107&amp;G107</f>
        <v/>
      </c>
      <c r="C107" s="156">
        <f>(K107/MAX(K:K)*$K$1)+(L107/MAX(L:L)*$L$1)+(M107/MAX(M:M)*$M$1)+(N107/MAX(N:N)*$N$1)+(T107/MAX(T:T)*$T$1)</f>
        <v/>
      </c>
      <c r="D107" s="156">
        <f>IFERROR(VLOOKUP(B107,#REF!,7,0),"")</f>
        <v/>
      </c>
      <c r="E107" s="156">
        <f>IFERROR(VLOOKUP(F107,AllPlayers!F:F,1,0),"------------")</f>
        <v/>
      </c>
      <c r="F107" s="156" t="inlineStr">
        <is>
          <t>Cam Akers</t>
        </is>
      </c>
      <c r="G107" s="156" t="inlineStr">
        <is>
          <t>NO</t>
        </is>
      </c>
      <c r="H107" s="156" t="inlineStr">
        <is>
          <t>QB</t>
        </is>
      </c>
      <c r="I107" s="156" t="n">
        <v>11</v>
      </c>
      <c r="J107" s="179" t="n">
        <v>31.2</v>
      </c>
      <c r="K107" s="179" t="n">
        <v>100</v>
      </c>
      <c r="L107" s="281">
        <f>IF(J107=0,0,K107/J107)</f>
        <v/>
      </c>
      <c r="M107" s="281">
        <f>K107/17</f>
        <v/>
      </c>
      <c r="N107" s="156" t="n">
        <v>0.6</v>
      </c>
      <c r="O107" s="156" t="n">
        <v>0</v>
      </c>
      <c r="P107" s="156" t="n">
        <v>0</v>
      </c>
      <c r="Q107" s="156" t="n">
        <v>0</v>
      </c>
      <c r="R107" s="156" t="n">
        <v>0</v>
      </c>
      <c r="S107" s="156" t="n">
        <v>0</v>
      </c>
      <c r="T107" s="156" t="n">
        <v>5</v>
      </c>
      <c r="U107" s="179" t="n">
        <v>0</v>
      </c>
      <c r="W107" s="156">
        <f>INDEX(Matrix!$AA$2:$AA$33, MATCH(G107, Matrix!$AC$2:$AC$33, 0))</f>
        <v/>
      </c>
      <c r="X107" s="156">
        <f>_xlfn.IFNA(MATCH(E105,'Injury Report'!$C$2:$C$6216,0),0)</f>
        <v/>
      </c>
    </row>
    <row r="108" ht="15.6" customHeight="1" s="152">
      <c r="A108" s="212" t="n">
        <v>105</v>
      </c>
      <c r="B108" s="167">
        <f>F108&amp;G108</f>
        <v/>
      </c>
      <c r="C108" s="156">
        <f>(K108/MAX(K:K)*$K$1)+(L108/MAX(L:L)*$L$1)+(M108/MAX(M:M)*$M$1)+(N108/MAX(N:N)*$N$1)+(T108/MAX(T:T)*$T$1)</f>
        <v/>
      </c>
      <c r="D108" s="156">
        <f>IFERROR(VLOOKUP(B108,#REF!,7,0),"")</f>
        <v/>
      </c>
      <c r="E108" s="156">
        <f>IFERROR(VLOOKUP(F108,AllPlayers!F:F,1,0),"------------")</f>
        <v/>
      </c>
      <c r="F108" s="156" t="inlineStr">
        <is>
          <t>Kalel Mullings</t>
        </is>
      </c>
      <c r="G108" s="156" t="inlineStr">
        <is>
          <t>TEN</t>
        </is>
      </c>
      <c r="H108" s="156" t="inlineStr">
        <is>
          <t>RB</t>
        </is>
      </c>
      <c r="I108" s="156" t="n">
        <v>9</v>
      </c>
      <c r="J108" s="179" t="n">
        <v>10.4</v>
      </c>
      <c r="K108" s="179" t="n">
        <v>96.5</v>
      </c>
      <c r="L108" s="281">
        <f>IF(J108=0,0,K108/J108)</f>
        <v/>
      </c>
      <c r="M108" s="281">
        <f>K108/17</f>
        <v/>
      </c>
      <c r="N108" s="156" t="n">
        <v>0.6</v>
      </c>
      <c r="O108" s="156" t="n">
        <v>0</v>
      </c>
      <c r="P108" s="156" t="n">
        <v>0</v>
      </c>
      <c r="Q108" s="156" t="n">
        <v>0</v>
      </c>
      <c r="R108" s="156" t="n">
        <v>0</v>
      </c>
      <c r="S108" s="156" t="n">
        <v>0</v>
      </c>
      <c r="T108" s="156" t="n">
        <v>1</v>
      </c>
      <c r="U108" s="179" t="n">
        <v>0</v>
      </c>
      <c r="W108" s="156">
        <f>INDEX(Matrix!$AA$2:$AA$33, MATCH(G108, Matrix!$AC$2:$AC$33, 0))</f>
        <v/>
      </c>
      <c r="X108" s="156">
        <f>_xlfn.IFNA(MATCH(E106,'Injury Report'!$C$2:$C$6216,0),0)</f>
        <v/>
      </c>
    </row>
    <row r="109" ht="15.6" customHeight="1" s="152">
      <c r="A109" s="212" t="n">
        <v>106</v>
      </c>
      <c r="B109" s="167">
        <f>F109&amp;G109</f>
        <v/>
      </c>
      <c r="C109" s="156">
        <f>(K109/MAX(K:K)*$K$1)+(L109/MAX(L:L)*$L$1)+(M109/MAX(M:M)*$M$1)+(N109/MAX(N:N)*$N$1)+(T109/MAX(T:T)*$T$1)</f>
        <v/>
      </c>
      <c r="D109" s="156">
        <f>IFERROR(VLOOKUP(B109,#REF!,7,0),"")</f>
        <v/>
      </c>
      <c r="E109" s="156">
        <f>IFERROR(VLOOKUP(F109,AllPlayers!F:F,1,0),"------------")</f>
        <v/>
      </c>
      <c r="F109" s="156" t="inlineStr">
        <is>
          <t>Damien Martinez</t>
        </is>
      </c>
      <c r="G109" s="156" t="inlineStr">
        <is>
          <t>SEA</t>
        </is>
      </c>
      <c r="H109" s="156" t="inlineStr">
        <is>
          <t>RB</t>
        </is>
      </c>
      <c r="I109" s="156" t="n">
        <v>5</v>
      </c>
      <c r="J109" s="179" t="n">
        <v>8.800000000000001</v>
      </c>
      <c r="K109" s="179" t="n">
        <v>97.5</v>
      </c>
      <c r="L109" s="281">
        <f>IF(J109=0,0,K109/J109)</f>
        <v/>
      </c>
      <c r="M109" s="281">
        <f>K109/17</f>
        <v/>
      </c>
      <c r="N109" s="156" t="n">
        <v>0.6</v>
      </c>
      <c r="O109" s="156" t="n">
        <v>1</v>
      </c>
      <c r="P109" s="156" t="n">
        <v>0</v>
      </c>
      <c r="Q109" s="156" t="n">
        <v>0</v>
      </c>
      <c r="R109" s="156" t="n">
        <v>0</v>
      </c>
      <c r="S109" s="156" t="n">
        <v>0</v>
      </c>
      <c r="T109" s="156" t="n">
        <v>0</v>
      </c>
      <c r="U109" s="179" t="n">
        <v>0</v>
      </c>
      <c r="W109" s="156">
        <f>INDEX(Matrix!$AA$2:$AA$33, MATCH(G109, Matrix!$AC$2:$AC$33, 0))</f>
        <v/>
      </c>
      <c r="X109" s="156">
        <f>_xlfn.IFNA(MATCH(E107,'Injury Report'!$C$2:$C$6216,0),0)</f>
        <v/>
      </c>
    </row>
    <row r="110" ht="15.6" customHeight="1" s="152">
      <c r="A110" s="212" t="n">
        <v>107</v>
      </c>
      <c r="B110" s="167">
        <f>F110&amp;G110</f>
        <v/>
      </c>
      <c r="C110" s="156">
        <f>(K110/MAX(K:K)*$K$1)+(L110/MAX(L:L)*$L$1)+(M110/MAX(M:M)*$M$1)+(N110/MAX(N:N)*$N$1)+(T110/MAX(T:T)*$T$1)</f>
        <v/>
      </c>
      <c r="D110" s="156">
        <f>IFERROR(VLOOKUP(B110,#REF!,7,0),"")</f>
        <v/>
      </c>
      <c r="E110" s="156">
        <f>IFERROR(VLOOKUP(F110,AllPlayers!F:F,1,0),"------------")</f>
        <v/>
      </c>
      <c r="F110" s="156" t="inlineStr">
        <is>
          <t>Dameon Pierce</t>
        </is>
      </c>
      <c r="G110" s="156" t="inlineStr">
        <is>
          <t>HOU</t>
        </is>
      </c>
      <c r="H110" s="156" t="inlineStr">
        <is>
          <t>RB</t>
        </is>
      </c>
      <c r="I110" s="156" t="n">
        <v>1</v>
      </c>
      <c r="J110" s="179" t="n">
        <v>3</v>
      </c>
      <c r="K110" s="179" t="n">
        <v>5</v>
      </c>
      <c r="L110" s="281">
        <f>IF(J110=0,0,K110/J110)</f>
        <v/>
      </c>
      <c r="M110" s="281">
        <f>K110/17</f>
        <v/>
      </c>
      <c r="N110" s="156" t="n">
        <v>0</v>
      </c>
      <c r="O110" s="156" t="n">
        <v>0</v>
      </c>
      <c r="P110" s="156" t="n">
        <v>0</v>
      </c>
      <c r="Q110" s="156" t="n">
        <v>0</v>
      </c>
      <c r="R110" s="156" t="n">
        <v>0</v>
      </c>
      <c r="S110" s="156" t="n">
        <v>0</v>
      </c>
      <c r="T110" s="156" t="n">
        <v>0</v>
      </c>
      <c r="U110" s="179" t="n">
        <v>0</v>
      </c>
      <c r="W110" s="156">
        <f>INDEX(Matrix!$AA$2:$AA$33, MATCH(G110, Matrix!$AC$2:$AC$33, 0))</f>
        <v/>
      </c>
      <c r="X110" s="156">
        <f>_xlfn.IFNA(MATCH(E108,'Injury Report'!$C$2:$C$6216,0),0)</f>
        <v/>
      </c>
    </row>
    <row r="111" ht="15.6" customHeight="1" s="152">
      <c r="A111" s="212" t="n">
        <v>108</v>
      </c>
      <c r="B111" s="167">
        <f>F111&amp;G111</f>
        <v/>
      </c>
      <c r="C111" s="156">
        <f>(K111/MAX(K:K)*$K$1)+(L111/MAX(L:L)*$L$1)+(M111/MAX(M:M)*$M$1)+(N111/MAX(N:N)*$N$1)+(T111/MAX(T:T)*$T$1)</f>
        <v/>
      </c>
      <c r="D111" s="156">
        <f>IFERROR(VLOOKUP(B111,#REF!,7,0),"")</f>
        <v/>
      </c>
      <c r="E111" s="156">
        <f>IFERROR(VLOOKUP(F111,AllPlayers!F:F,1,0),"------------")</f>
        <v/>
      </c>
      <c r="F111" s="156" t="inlineStr">
        <is>
          <t>Michael Burton</t>
        </is>
      </c>
      <c r="G111" s="156" t="inlineStr">
        <is>
          <t>DEN</t>
        </is>
      </c>
      <c r="H111" s="156" t="inlineStr">
        <is>
          <t>QB</t>
        </is>
      </c>
      <c r="I111" s="156" t="n">
        <v>7</v>
      </c>
      <c r="J111" s="179" t="n">
        <v>6.7</v>
      </c>
      <c r="K111" s="179" t="n">
        <v>14.6</v>
      </c>
      <c r="L111" s="281">
        <f>IF(J111=0,0,K111/J111)</f>
        <v/>
      </c>
      <c r="M111" s="281">
        <f>K111/17</f>
        <v/>
      </c>
      <c r="N111" s="156" t="n">
        <v>0.6</v>
      </c>
      <c r="O111" s="156" t="n">
        <v>0</v>
      </c>
      <c r="P111" s="156" t="n">
        <v>0</v>
      </c>
      <c r="Q111" s="156" t="n">
        <v>0</v>
      </c>
      <c r="R111" s="156" t="n">
        <v>0</v>
      </c>
      <c r="S111" s="156" t="n">
        <v>0</v>
      </c>
      <c r="T111" s="156" t="n">
        <v>5</v>
      </c>
      <c r="U111" s="179" t="n">
        <v>0</v>
      </c>
      <c r="W111" s="156">
        <f>INDEX(Matrix!$AA$2:$AA$33, MATCH(G111, Matrix!$AC$2:$AC$33, 0))</f>
        <v/>
      </c>
      <c r="X111" s="156">
        <f>_xlfn.IFNA(MATCH(E109,'Injury Report'!$C$2:$C$6216,0),0)</f>
        <v/>
      </c>
    </row>
    <row r="112" ht="15.6" customHeight="1" s="152">
      <c r="A112" s="212" t="n">
        <v>109</v>
      </c>
      <c r="B112" s="167">
        <f>F112&amp;G112</f>
        <v/>
      </c>
      <c r="C112" s="156">
        <f>(K112/MAX(K:K)*$K$1)+(L112/MAX(L:L)*$L$1)+(M112/MAX(M:M)*$M$1)+(N112/MAX(N:N)*$N$1)+(T112/MAX(T:T)*$T$1)</f>
        <v/>
      </c>
      <c r="D112" s="156">
        <f>IFERROR(VLOOKUP(B112,#REF!,7,0),"")</f>
        <v/>
      </c>
      <c r="E112" s="156">
        <f>IFERROR(VLOOKUP(F112,AllPlayers!F:F,1,0),"------------")</f>
        <v/>
      </c>
      <c r="F112" s="156" t="inlineStr">
        <is>
          <t>Craig Reynolds</t>
        </is>
      </c>
      <c r="G112" s="156" t="inlineStr">
        <is>
          <t>DET</t>
        </is>
      </c>
      <c r="H112" s="156" t="inlineStr">
        <is>
          <t>RB</t>
        </is>
      </c>
      <c r="I112" s="156" t="n">
        <v>2</v>
      </c>
      <c r="J112" s="179" t="n">
        <v>3</v>
      </c>
      <c r="K112" s="179" t="n">
        <v>4</v>
      </c>
      <c r="L112" s="281">
        <f>IF(J112=0,0,K112/J112)</f>
        <v/>
      </c>
      <c r="M112" s="281">
        <f>K112/17</f>
        <v/>
      </c>
      <c r="N112" s="156" t="n">
        <v>0</v>
      </c>
      <c r="O112" s="156" t="n">
        <v>0</v>
      </c>
      <c r="P112" s="156" t="n">
        <v>0</v>
      </c>
      <c r="Q112" s="156" t="n">
        <v>0</v>
      </c>
      <c r="R112" s="156" t="n">
        <v>0</v>
      </c>
      <c r="S112" s="156" t="n">
        <v>0</v>
      </c>
      <c r="T112" s="156" t="n">
        <v>0</v>
      </c>
      <c r="U112" s="179" t="n">
        <v>0</v>
      </c>
      <c r="W112" s="156">
        <f>INDEX(Matrix!$AA$2:$AA$33, MATCH(G112, Matrix!$AC$2:$AC$33, 0))</f>
        <v/>
      </c>
      <c r="X112" s="156">
        <f>_xlfn.IFNA(MATCH(E110,'Injury Report'!$C$2:$C$6216,0),0)</f>
        <v/>
      </c>
    </row>
    <row r="113" ht="15.6" customHeight="1" s="152">
      <c r="A113" s="212" t="n">
        <v>110</v>
      </c>
      <c r="B113" s="167">
        <f>F113&amp;G113</f>
        <v/>
      </c>
      <c r="C113" s="156">
        <f>(K113/MAX(K:K)*$K$1)+(L113/MAX(L:L)*$L$1)+(M113/MAX(M:M)*$M$1)+(N113/MAX(N:N)*$N$1)+(T113/MAX(T:T)*$T$1)</f>
        <v/>
      </c>
      <c r="D113" s="156">
        <f>IFERROR(VLOOKUP(B113,#REF!,7,0),"")</f>
        <v/>
      </c>
      <c r="E113" s="156">
        <f>IFERROR(VLOOKUP(F113,AllPlayers!F:F,1,0),"------------")</f>
        <v/>
      </c>
      <c r="F113" s="156" t="inlineStr">
        <is>
          <t>Ronnie Rivers</t>
        </is>
      </c>
      <c r="G113" s="156" t="inlineStr">
        <is>
          <t>LAR</t>
        </is>
      </c>
      <c r="H113" s="156" t="inlineStr">
        <is>
          <t>RB</t>
        </is>
      </c>
      <c r="I113" s="156" t="n">
        <v>5</v>
      </c>
      <c r="J113" s="179" t="n">
        <v>31.7</v>
      </c>
      <c r="K113" s="179" t="n">
        <v>90.3</v>
      </c>
      <c r="L113" s="281">
        <f>IF(J113=0,0,K113/J113)</f>
        <v/>
      </c>
      <c r="M113" s="281">
        <f>K113/17</f>
        <v/>
      </c>
      <c r="N113" s="156" t="n">
        <v>0.5</v>
      </c>
      <c r="O113" s="156" t="n">
        <v>0</v>
      </c>
      <c r="P113" s="156" t="n">
        <v>0</v>
      </c>
      <c r="Q113" s="156" t="n">
        <v>0</v>
      </c>
      <c r="R113" s="156" t="n">
        <v>0</v>
      </c>
      <c r="S113" s="156" t="n">
        <v>0</v>
      </c>
      <c r="T113" s="156" t="n">
        <v>1</v>
      </c>
      <c r="U113" s="179" t="n">
        <v>0</v>
      </c>
      <c r="W113" s="156">
        <f>INDEX(Matrix!$AA$2:$AA$33, MATCH(G113, Matrix!$AC$2:$AC$33, 0))</f>
        <v/>
      </c>
      <c r="X113" s="156">
        <f>_xlfn.IFNA(MATCH(E111,'Injury Report'!$C$2:$C$6216,0),0)</f>
        <v/>
      </c>
    </row>
    <row r="114" ht="15.6" customHeight="1" s="152">
      <c r="A114" s="212" t="n">
        <v>111</v>
      </c>
      <c r="B114" s="167">
        <f>F114&amp;G114</f>
        <v/>
      </c>
      <c r="C114" s="156">
        <f>(K114/MAX(K:K)*$K$1)+(L114/MAX(L:L)*$L$1)+(M114/MAX(M:M)*$M$1)+(N114/MAX(N:N)*$N$1)+(T114/MAX(T:T)*$T$1)</f>
        <v/>
      </c>
      <c r="D114" s="156">
        <f>IFERROR(VLOOKUP(B114,#REF!,7,0),"")</f>
        <v/>
      </c>
      <c r="E114" s="156">
        <f>IFERROR(VLOOKUP(F114,AllPlayers!F:F,1,0),"------------")</f>
        <v/>
      </c>
      <c r="F114" s="156" t="inlineStr">
        <is>
          <t>Travis Homer</t>
        </is>
      </c>
      <c r="G114" s="156" t="inlineStr">
        <is>
          <t>CHI</t>
        </is>
      </c>
      <c r="H114" s="156" t="inlineStr">
        <is>
          <t>QB</t>
        </is>
      </c>
      <c r="I114" s="156" t="n">
        <v>5</v>
      </c>
      <c r="J114" s="179" t="n">
        <v>21.6</v>
      </c>
      <c r="K114" s="179" t="n">
        <v>69.8</v>
      </c>
      <c r="L114" s="281">
        <f>IF(J114=0,0,K114/J114)</f>
        <v/>
      </c>
      <c r="M114" s="281">
        <f>K114/17</f>
        <v/>
      </c>
      <c r="N114" s="156" t="n">
        <v>0.3</v>
      </c>
      <c r="O114" s="156" t="n">
        <v>2</v>
      </c>
      <c r="P114" s="156" t="n">
        <v>0</v>
      </c>
      <c r="Q114" s="156" t="n">
        <v>0</v>
      </c>
      <c r="R114" s="156" t="n">
        <v>0</v>
      </c>
      <c r="S114" s="156" t="n">
        <v>0</v>
      </c>
      <c r="T114" s="156" t="n">
        <v>5</v>
      </c>
      <c r="U114" s="179" t="n">
        <v>0</v>
      </c>
      <c r="W114" s="156">
        <f>INDEX(Matrix!$AA$2:$AA$33, MATCH(G114, Matrix!$AC$2:$AC$33, 0))</f>
        <v/>
      </c>
      <c r="X114" s="156">
        <f>_xlfn.IFNA(MATCH(E112,'Injury Report'!$C$2:$C$6216,0),0)</f>
        <v/>
      </c>
    </row>
    <row r="115" ht="15.6" customHeight="1" s="152">
      <c r="A115" s="212" t="n">
        <v>112</v>
      </c>
      <c r="B115" s="167">
        <f>F115&amp;G115</f>
        <v/>
      </c>
      <c r="C115" s="156">
        <f>(K115/MAX(K:K)*$K$1)+(L115/MAX(L:L)*$L$1)+(M115/MAX(M:M)*$M$1)+(N115/MAX(N:N)*$N$1)+(T115/MAX(T:T)*$T$1)</f>
        <v/>
      </c>
      <c r="D115" s="156">
        <f>IFERROR(VLOOKUP(B115,#REF!,7,0),"")</f>
        <v/>
      </c>
      <c r="E115" s="156">
        <f>IFERROR(VLOOKUP(F115,AllPlayers!F:F,1,0),"------------")</f>
        <v/>
      </c>
      <c r="F115" s="156" t="inlineStr">
        <is>
          <t>Alec Ingold</t>
        </is>
      </c>
      <c r="G115" s="156" t="inlineStr">
        <is>
          <t>MIA</t>
        </is>
      </c>
      <c r="H115" s="156" t="inlineStr">
        <is>
          <t>RB</t>
        </is>
      </c>
      <c r="I115" s="156" t="n">
        <v>2</v>
      </c>
      <c r="J115" s="179" t="n">
        <v>0</v>
      </c>
      <c r="K115" s="179" t="n">
        <v>0</v>
      </c>
      <c r="L115" s="281">
        <f>IF(J115=0,0,K115/J115)</f>
        <v/>
      </c>
      <c r="M115" s="281">
        <f>K115/17</f>
        <v/>
      </c>
      <c r="N115" s="156" t="n">
        <v>0</v>
      </c>
      <c r="O115" s="156" t="n">
        <v>1</v>
      </c>
      <c r="P115" s="156" t="n">
        <v>0</v>
      </c>
      <c r="Q115" s="156" t="n">
        <v>0</v>
      </c>
      <c r="R115" s="156" t="n">
        <v>0</v>
      </c>
      <c r="S115" s="156" t="n">
        <v>0</v>
      </c>
      <c r="T115" s="156" t="n">
        <v>0</v>
      </c>
      <c r="U115" s="179" t="n">
        <v>0</v>
      </c>
      <c r="W115" s="156">
        <f>INDEX(Matrix!$AA$2:$AA$33, MATCH(G115, Matrix!$AC$2:$AC$33, 0))</f>
        <v/>
      </c>
      <c r="X115" s="156">
        <f>_xlfn.IFNA(MATCH(E113,'Injury Report'!$C$2:$C$6216,0),0)</f>
        <v/>
      </c>
    </row>
    <row r="116" ht="15.6" customHeight="1" s="152">
      <c r="A116" s="212" t="n">
        <v>113</v>
      </c>
      <c r="B116" s="167">
        <f>F116&amp;G116</f>
        <v/>
      </c>
      <c r="C116" s="156">
        <f>(K116/MAX(K:K)*$K$1)+(L116/MAX(L:L)*$L$1)+(M116/MAX(M:M)*$M$1)+(N116/MAX(N:N)*$N$1)+(T116/MAX(T:T)*$T$1)</f>
        <v/>
      </c>
      <c r="D116" s="156">
        <f>IFERROR(VLOOKUP(B116,#REF!,7,0),"")</f>
        <v/>
      </c>
      <c r="E116" s="156">
        <f>IFERROR(VLOOKUP(F116,AllPlayers!F:F,1,0),"------------")</f>
        <v/>
      </c>
      <c r="F116" s="156" t="inlineStr">
        <is>
          <t>C.J. Ham</t>
        </is>
      </c>
      <c r="G116" s="156" t="inlineStr">
        <is>
          <t>MIN</t>
        </is>
      </c>
      <c r="H116" s="156" t="inlineStr">
        <is>
          <t>RB</t>
        </is>
      </c>
      <c r="I116" s="156" t="n">
        <v>7</v>
      </c>
      <c r="J116" s="179" t="n">
        <v>3</v>
      </c>
      <c r="K116" s="179" t="n">
        <v>13.6</v>
      </c>
      <c r="L116" s="281">
        <f>IF(J116=0,0,K116/J116)</f>
        <v/>
      </c>
      <c r="M116" s="281">
        <f>K116/17</f>
        <v/>
      </c>
      <c r="N116" s="156" t="n">
        <v>1</v>
      </c>
      <c r="O116" s="156" t="n">
        <v>0</v>
      </c>
      <c r="P116" s="156" t="n">
        <v>0</v>
      </c>
      <c r="Q116" s="156" t="n">
        <v>0</v>
      </c>
      <c r="R116" s="156" t="n">
        <v>0</v>
      </c>
      <c r="S116" s="156" t="n">
        <v>0</v>
      </c>
      <c r="T116" s="156" t="n">
        <v>1</v>
      </c>
      <c r="U116" s="179" t="n">
        <v>0</v>
      </c>
      <c r="W116" s="156">
        <f>INDEX(Matrix!$AA$2:$AA$33, MATCH(G116, Matrix!$AC$2:$AC$33, 0))</f>
        <v/>
      </c>
      <c r="X116" s="156">
        <f>_xlfn.IFNA(MATCH(E114,'Injury Report'!$C$2:$C$6216,0),0)</f>
        <v/>
      </c>
    </row>
    <row r="117" ht="15.6" customHeight="1" s="152">
      <c r="A117" s="212" t="n">
        <v>114</v>
      </c>
      <c r="B117" s="167">
        <f>F117&amp;G117</f>
        <v/>
      </c>
      <c r="C117" s="156">
        <f>(K117/MAX(K:K)*$K$1)+(L117/MAX(L:L)*$L$1)+(M117/MAX(M:M)*$M$1)+(N117/MAX(N:N)*$N$1)+(T117/MAX(T:T)*$T$1)</f>
        <v/>
      </c>
      <c r="D117" s="156">
        <f>IFERROR(VLOOKUP(B117,#REF!,7,0),"")</f>
        <v/>
      </c>
      <c r="E117" s="156">
        <f>IFERROR(VLOOKUP(F117,AllPlayers!F:F,1,0),"------------")</f>
        <v/>
      </c>
      <c r="F117" s="156" t="inlineStr">
        <is>
          <t>Michael Carter</t>
        </is>
      </c>
      <c r="G117" s="156" t="inlineStr">
        <is>
          <t>ARI</t>
        </is>
      </c>
      <c r="H117" s="156" t="inlineStr">
        <is>
          <t>QB</t>
        </is>
      </c>
      <c r="I117" s="156" t="n">
        <v>2</v>
      </c>
      <c r="J117" s="179" t="n">
        <v>0</v>
      </c>
      <c r="K117" s="179" t="n">
        <v>0</v>
      </c>
      <c r="L117" s="281">
        <f>IF(J117=0,0,K117/J117)</f>
        <v/>
      </c>
      <c r="M117" s="281">
        <f>K117/17</f>
        <v/>
      </c>
      <c r="N117" s="156" t="n">
        <v>0</v>
      </c>
      <c r="O117" s="156" t="n">
        <v>3</v>
      </c>
      <c r="P117" s="156" t="n">
        <v>0</v>
      </c>
      <c r="Q117" s="156" t="n">
        <v>0</v>
      </c>
      <c r="R117" s="156" t="n">
        <v>0</v>
      </c>
      <c r="S117" s="156" t="n">
        <v>0</v>
      </c>
      <c r="T117" s="156" t="n">
        <v>0</v>
      </c>
      <c r="U117" s="179" t="n">
        <v>0</v>
      </c>
      <c r="W117" s="156">
        <f>INDEX(Matrix!$AA$2:$AA$33, MATCH(G117, Matrix!$AC$2:$AC$33, 0))</f>
        <v/>
      </c>
      <c r="X117" s="156">
        <f>_xlfn.IFNA(MATCH(E115,'Injury Report'!$C$2:$C$6216,0),0)</f>
        <v/>
      </c>
    </row>
    <row r="118" ht="15.6" customHeight="1" s="152">
      <c r="A118" s="212" t="n">
        <v>115</v>
      </c>
      <c r="B118" s="167">
        <f>F118&amp;G118</f>
        <v/>
      </c>
      <c r="C118" s="156">
        <f>(K118/MAX(K:K)*$K$1)+(L118/MAX(L:L)*$L$1)+(M118/MAX(M:M)*$M$1)+(N118/MAX(N:N)*$N$1)+(T118/MAX(T:T)*$T$1)</f>
        <v/>
      </c>
      <c r="D118" s="156">
        <f>IFERROR(VLOOKUP(B118,#REF!,7,0),"")</f>
        <v/>
      </c>
      <c r="E118" s="156">
        <f>IFERROR(VLOOKUP(F118,AllPlayers!F:F,1,0),"------------")</f>
        <v/>
      </c>
      <c r="F118" s="156" t="inlineStr">
        <is>
          <t>Jordan Mims</t>
        </is>
      </c>
      <c r="G118" s="156" t="inlineStr">
        <is>
          <t>TEN</t>
        </is>
      </c>
      <c r="H118" s="156" t="inlineStr">
        <is>
          <t>WR</t>
        </is>
      </c>
      <c r="I118" s="156" t="n">
        <v>1</v>
      </c>
      <c r="J118" s="179" t="n">
        <v>0</v>
      </c>
      <c r="K118" s="179" t="n">
        <v>0</v>
      </c>
      <c r="L118" s="281">
        <f>IF(J118=0,0,K118/J118)</f>
        <v/>
      </c>
      <c r="M118" s="281">
        <f>K118/17</f>
        <v/>
      </c>
      <c r="N118" s="156" t="n">
        <v>0</v>
      </c>
      <c r="O118" s="156" t="n">
        <v>0</v>
      </c>
      <c r="P118" s="156" t="n">
        <v>0</v>
      </c>
      <c r="Q118" s="156" t="n">
        <v>0</v>
      </c>
      <c r="R118" s="156" t="n">
        <v>0</v>
      </c>
      <c r="S118" s="156" t="n">
        <v>0</v>
      </c>
      <c r="T118" s="156" t="n">
        <v>0</v>
      </c>
      <c r="U118" s="179" t="n">
        <v>0</v>
      </c>
      <c r="W118" s="156">
        <f>INDEX(Matrix!$AA$2:$AA$33, MATCH(G118, Matrix!$AC$2:$AC$33, 0))</f>
        <v/>
      </c>
      <c r="X118" s="156">
        <f>_xlfn.IFNA(MATCH(E116,'Injury Report'!$C$2:$C$6216,0),0)</f>
        <v/>
      </c>
    </row>
    <row r="119" ht="15.6" customHeight="1" s="152">
      <c r="A119" s="212" t="n">
        <v>116</v>
      </c>
      <c r="B119" s="167">
        <f>F119&amp;G119</f>
        <v/>
      </c>
      <c r="C119" s="156">
        <f>(K119/MAX(K:K)*$K$1)+(L119/MAX(L:L)*$L$1)+(M119/MAX(M:M)*$M$1)+(N119/MAX(N:N)*$N$1)+(T119/MAX(T:T)*$T$1)</f>
        <v/>
      </c>
      <c r="D119" s="156">
        <f>IFERROR(VLOOKUP(B119,#REF!,7,0),"")</f>
        <v/>
      </c>
      <c r="E119" s="156">
        <f>IFERROR(VLOOKUP(F119,AllPlayers!F:F,1,0),"------------")</f>
        <v/>
      </c>
      <c r="F119" s="156" t="inlineStr">
        <is>
          <t>Raheem Blackshear</t>
        </is>
      </c>
      <c r="G119" s="156" t="inlineStr">
        <is>
          <t>CAR</t>
        </is>
      </c>
      <c r="H119" s="156" t="inlineStr">
        <is>
          <t>RB</t>
        </is>
      </c>
      <c r="I119" s="156" t="n">
        <v>12</v>
      </c>
      <c r="J119" s="179" t="n">
        <v>23</v>
      </c>
      <c r="K119" s="179" t="n">
        <v>66</v>
      </c>
      <c r="L119" s="281">
        <f>IF(J119=0,0,K119/J119)</f>
        <v/>
      </c>
      <c r="M119" s="281">
        <f>K119/17</f>
        <v/>
      </c>
      <c r="N119" s="156" t="n">
        <v>0.4</v>
      </c>
      <c r="O119" s="156" t="n">
        <v>0</v>
      </c>
      <c r="P119" s="156" t="n">
        <v>0</v>
      </c>
      <c r="Q119" s="156" t="n">
        <v>0</v>
      </c>
      <c r="R119" s="156" t="n">
        <v>0</v>
      </c>
      <c r="S119" s="156" t="n">
        <v>0</v>
      </c>
      <c r="T119" s="156" t="n">
        <v>1</v>
      </c>
      <c r="U119" s="179" t="n">
        <v>0.5</v>
      </c>
      <c r="W119" s="156">
        <f>INDEX(Matrix!$AA$2:$AA$33, MATCH(G119, Matrix!$AC$2:$AC$33, 0))</f>
        <v/>
      </c>
      <c r="X119" s="156">
        <f>_xlfn.IFNA(MATCH(E117,'Injury Report'!$C$2:$C$6216,0),0)</f>
        <v/>
      </c>
    </row>
    <row r="120" ht="15.6" customHeight="1" s="152">
      <c r="A120" s="212" t="n">
        <v>117</v>
      </c>
      <c r="B120" s="167">
        <f>F120&amp;G120</f>
        <v/>
      </c>
      <c r="C120" s="156">
        <f>(K120/MAX(K:K)*$K$1)+(L120/MAX(L:L)*$L$1)+(M120/MAX(M:M)*$M$1)+(N120/MAX(N:N)*$N$1)+(T120/MAX(T:T)*$T$1)</f>
        <v/>
      </c>
      <c r="D120" s="156">
        <f>IFERROR(VLOOKUP(B120,#REF!,7,0),"")</f>
        <v/>
      </c>
      <c r="E120" s="156">
        <f>IFERROR(VLOOKUP(F120,AllPlayers!F:F,1,0),"------------")</f>
        <v/>
      </c>
      <c r="F120" s="156" t="inlineStr">
        <is>
          <t>Carson Steele</t>
        </is>
      </c>
      <c r="G120" s="156" t="inlineStr">
        <is>
          <t>KC</t>
        </is>
      </c>
      <c r="H120" s="156" t="inlineStr">
        <is>
          <t>QB</t>
        </is>
      </c>
      <c r="I120" s="156" t="n">
        <v>5</v>
      </c>
      <c r="J120" s="179" t="n">
        <v>26.9</v>
      </c>
      <c r="K120" s="179" t="n">
        <v>69.90000000000001</v>
      </c>
      <c r="L120" s="281">
        <f>IF(J120=0,0,K120/J120)</f>
        <v/>
      </c>
      <c r="M120" s="281">
        <f>K120/17</f>
        <v/>
      </c>
      <c r="N120" s="156" t="n">
        <v>0.3</v>
      </c>
      <c r="O120" s="156" t="n">
        <v>1</v>
      </c>
      <c r="P120" s="156" t="n">
        <v>0</v>
      </c>
      <c r="Q120" s="156" t="n">
        <v>0</v>
      </c>
      <c r="R120" s="156" t="n">
        <v>0</v>
      </c>
      <c r="S120" s="156" t="n">
        <v>0</v>
      </c>
      <c r="T120" s="156" t="n">
        <v>6</v>
      </c>
      <c r="U120" s="179" t="n">
        <v>0.7</v>
      </c>
      <c r="W120" s="156">
        <f>INDEX(Matrix!$AA$2:$AA$33, MATCH(G120, Matrix!$AC$2:$AC$33, 0))</f>
        <v/>
      </c>
      <c r="X120" s="156">
        <f>_xlfn.IFNA(MATCH(E118,'Injury Report'!$C$2:$C$6216,0),0)</f>
        <v/>
      </c>
    </row>
    <row r="121" ht="15.6" customHeight="1" s="152">
      <c r="A121" s="212" t="n">
        <v>118</v>
      </c>
      <c r="B121" s="167">
        <f>F121&amp;G121</f>
        <v/>
      </c>
      <c r="C121" s="156">
        <f>(K121/MAX(K:K)*$K$1)+(L121/MAX(L:L)*$L$1)+(M121/MAX(M:M)*$M$1)+(N121/MAX(N:N)*$N$1)+(T121/MAX(T:T)*$T$1)</f>
        <v/>
      </c>
      <c r="D121" s="156">
        <f>IFERROR(VLOOKUP(B121,#REF!,7,0),"")</f>
        <v/>
      </c>
      <c r="E121" s="156">
        <f>IFERROR(VLOOKUP(F121,AllPlayers!F:F,1,0),"------------")</f>
        <v/>
      </c>
      <c r="F121" s="156" t="inlineStr">
        <is>
          <t>Jordan James</t>
        </is>
      </c>
      <c r="G121" s="156" t="inlineStr">
        <is>
          <t>SF</t>
        </is>
      </c>
      <c r="H121" s="156" t="inlineStr">
        <is>
          <t>QB</t>
        </is>
      </c>
      <c r="I121" s="156" t="n">
        <v>6</v>
      </c>
      <c r="J121" s="179" t="n">
        <v>18.2</v>
      </c>
      <c r="K121" s="179" t="n">
        <v>63</v>
      </c>
      <c r="L121" s="281">
        <f>IF(J121=0,0,K121/J121)</f>
        <v/>
      </c>
      <c r="M121" s="281">
        <f>K121/17</f>
        <v/>
      </c>
      <c r="N121" s="156" t="n">
        <v>0.4</v>
      </c>
      <c r="O121" s="156" t="n">
        <v>3</v>
      </c>
      <c r="P121" s="156" t="n">
        <v>0</v>
      </c>
      <c r="Q121" s="156" t="n">
        <v>0</v>
      </c>
      <c r="R121" s="156" t="n">
        <v>0</v>
      </c>
      <c r="S121" s="156" t="n">
        <v>0</v>
      </c>
      <c r="T121" s="156" t="n">
        <v>5</v>
      </c>
      <c r="U121" s="179" t="n">
        <v>0</v>
      </c>
      <c r="W121" s="156">
        <f>INDEX(Matrix!$AA$2:$AA$33, MATCH(G121, Matrix!$AC$2:$AC$33, 0))</f>
        <v/>
      </c>
      <c r="X121" s="156">
        <f>_xlfn.IFNA(MATCH(E119,'Injury Report'!$C$2:$C$6216,0),0)</f>
        <v/>
      </c>
    </row>
    <row r="122" ht="15.6" customHeight="1" s="152">
      <c r="A122" s="212" t="n">
        <v>119</v>
      </c>
      <c r="B122" s="167">
        <f>F122&amp;G122</f>
        <v/>
      </c>
      <c r="C122" s="156">
        <f>(K122/MAX(K:K)*$K$1)+(L122/MAX(L:L)*$L$1)+(M122/MAX(M:M)*$M$1)+(N122/MAX(N:N)*$N$1)+(T122/MAX(T:T)*$T$1)</f>
        <v/>
      </c>
      <c r="D122" s="156">
        <f>IFERROR(VLOOKUP(B122,#REF!,7,0),"")</f>
        <v/>
      </c>
      <c r="E122" s="156">
        <f>IFERROR(VLOOKUP(F122,AllPlayers!F:F,1,0),"------------")</f>
        <v/>
      </c>
      <c r="F122" s="156" t="inlineStr">
        <is>
          <t>Israel Abanikanda</t>
        </is>
      </c>
      <c r="G122" s="156" t="inlineStr">
        <is>
          <t>GB</t>
        </is>
      </c>
      <c r="H122" s="156" t="inlineStr">
        <is>
          <t>RB</t>
        </is>
      </c>
      <c r="I122" s="156" t="n">
        <v>3</v>
      </c>
      <c r="J122" s="179" t="n">
        <v>13.3</v>
      </c>
      <c r="K122" s="179" t="n">
        <v>54.8</v>
      </c>
      <c r="L122" s="281">
        <f>IF(J122=0,0,K122/J122)</f>
        <v/>
      </c>
      <c r="M122" s="281">
        <f>K122/17</f>
        <v/>
      </c>
      <c r="N122" s="156" t="n">
        <v>0.4</v>
      </c>
      <c r="O122" s="156" t="n">
        <v>0</v>
      </c>
      <c r="P122" s="156" t="n">
        <v>0</v>
      </c>
      <c r="Q122" s="156" t="n">
        <v>0</v>
      </c>
      <c r="R122" s="156" t="n">
        <v>0</v>
      </c>
      <c r="S122" s="156" t="n">
        <v>0</v>
      </c>
      <c r="T122" s="156" t="n">
        <v>0</v>
      </c>
      <c r="U122" s="179" t="n">
        <v>0</v>
      </c>
      <c r="W122" s="156">
        <f>INDEX(Matrix!$AA$2:$AA$33, MATCH(G122, Matrix!$AC$2:$AC$33, 0))</f>
        <v/>
      </c>
      <c r="X122" s="156">
        <f>_xlfn.IFNA(MATCH(E120,'Injury Report'!$C$2:$C$6216,0),0)</f>
        <v/>
      </c>
    </row>
    <row r="123" ht="15.6" customHeight="1" s="152">
      <c r="A123" s="212" t="n">
        <v>120</v>
      </c>
      <c r="B123" s="167">
        <f>F123&amp;G123</f>
        <v/>
      </c>
      <c r="C123" s="156">
        <f>(K123/MAX(K:K)*$K$1)+(L123/MAX(L:L)*$L$1)+(M123/MAX(M:M)*$M$1)+(N123/MAX(N:N)*$N$1)+(T123/MAX(T:T)*$T$1)</f>
        <v/>
      </c>
      <c r="D123" s="156">
        <f>IFERROR(VLOOKUP(B123,#REF!,7,0),"")</f>
        <v/>
      </c>
      <c r="E123" s="156">
        <f>IFERROR(VLOOKUP(F123,AllPlayers!F:F,1,0),"------------")</f>
        <v/>
      </c>
      <c r="F123" s="156" t="inlineStr">
        <is>
          <t>Kenny Mcintosh</t>
        </is>
      </c>
      <c r="G123" s="156" t="inlineStr">
        <is>
          <t>SEA</t>
        </is>
      </c>
      <c r="H123" s="156" t="inlineStr">
        <is>
          <t>QB</t>
        </is>
      </c>
      <c r="I123" s="156" t="n">
        <v>5</v>
      </c>
      <c r="J123" s="179" t="n">
        <v>8.199999999999999</v>
      </c>
      <c r="K123" s="179" t="n">
        <v>35.1</v>
      </c>
      <c r="L123" s="281">
        <f>IF(J123=0,0,K123/J123)</f>
        <v/>
      </c>
      <c r="M123" s="281">
        <f>K123/17</f>
        <v/>
      </c>
      <c r="N123" s="156" t="n">
        <v>0.2</v>
      </c>
      <c r="O123" s="156" t="n">
        <v>1</v>
      </c>
      <c r="P123" s="156" t="n">
        <v>0</v>
      </c>
      <c r="Q123" s="156" t="n">
        <v>0</v>
      </c>
      <c r="R123" s="156" t="n">
        <v>0</v>
      </c>
      <c r="S123" s="156" t="n">
        <v>0</v>
      </c>
      <c r="T123" s="156" t="n">
        <v>3</v>
      </c>
      <c r="U123" s="179" t="n">
        <v>0</v>
      </c>
      <c r="W123" s="156">
        <f>INDEX(Matrix!$AA$2:$AA$33, MATCH(G123, Matrix!$AC$2:$AC$33, 0))</f>
        <v/>
      </c>
      <c r="X123" s="156">
        <f>_xlfn.IFNA(MATCH(E121,'Injury Report'!$C$2:$C$6216,0),0)</f>
        <v/>
      </c>
    </row>
    <row r="124" ht="15.6" customHeight="1" s="152">
      <c r="A124" s="212" t="n">
        <v>121</v>
      </c>
      <c r="B124" s="167">
        <f>F124&amp;G124</f>
        <v/>
      </c>
      <c r="C124" s="156">
        <f>(K124/MAX(K:K)*$K$1)+(L124/MAX(L:L)*$L$1)+(M124/MAX(M:M)*$M$1)+(N124/MAX(N:N)*$N$1)+(T124/MAX(T:T)*$T$1)</f>
        <v/>
      </c>
      <c r="D124" s="156">
        <f>IFERROR(VLOOKUP(B124,#REF!,7,0),"")</f>
        <v/>
      </c>
      <c r="E124" s="156">
        <f>IFERROR(VLOOKUP(F124,AllPlayers!F:F,1,0),"------------")</f>
        <v/>
      </c>
      <c r="F124" s="156" t="inlineStr">
        <is>
          <t>Hassan Haskins</t>
        </is>
      </c>
      <c r="G124" s="156" t="inlineStr">
        <is>
          <t>LAC</t>
        </is>
      </c>
      <c r="H124" s="156" t="inlineStr">
        <is>
          <t>QB</t>
        </is>
      </c>
      <c r="I124" s="156" t="n">
        <v>2</v>
      </c>
      <c r="J124" s="179" t="n">
        <v>0</v>
      </c>
      <c r="K124" s="179" t="n">
        <v>0</v>
      </c>
      <c r="L124" s="281">
        <f>IF(J124=0,0,K124/J124)</f>
        <v/>
      </c>
      <c r="M124" s="281">
        <f>K124/17</f>
        <v/>
      </c>
      <c r="N124" s="156" t="n">
        <v>0</v>
      </c>
      <c r="O124" s="156" t="n">
        <v>1</v>
      </c>
      <c r="P124" s="156" t="n">
        <v>0</v>
      </c>
      <c r="Q124" s="156" t="n">
        <v>0</v>
      </c>
      <c r="R124" s="156" t="n">
        <v>0</v>
      </c>
      <c r="S124" s="156" t="n">
        <v>0</v>
      </c>
      <c r="T124" s="156" t="n">
        <v>0</v>
      </c>
      <c r="U124" s="179" t="n">
        <v>0</v>
      </c>
      <c r="W124" s="156">
        <f>INDEX(Matrix!$AA$2:$AA$33, MATCH(G124, Matrix!$AC$2:$AC$33, 0))</f>
        <v/>
      </c>
      <c r="X124" s="156">
        <f>_xlfn.IFNA(MATCH(E122,'Injury Report'!$C$2:$C$6216,0),0)</f>
        <v/>
      </c>
    </row>
    <row r="125" ht="15.6" customHeight="1" s="152">
      <c r="A125" s="212" t="n">
        <v>122</v>
      </c>
      <c r="B125" s="167">
        <f>F125&amp;G125</f>
        <v/>
      </c>
      <c r="C125" s="156">
        <f>(K125/MAX(K:K)*$K$1)+(L125/MAX(L:L)*$L$1)+(M125/MAX(M:M)*$M$1)+(N125/MAX(N:N)*$N$1)+(T125/MAX(T:T)*$T$1)</f>
        <v/>
      </c>
      <c r="D125" s="156">
        <f>IFERROR(VLOOKUP(B125,#REF!,7,0),"")</f>
        <v/>
      </c>
      <c r="E125" s="156">
        <f>IFERROR(VLOOKUP(F125,AllPlayers!F:F,1,0),"------------")</f>
        <v/>
      </c>
      <c r="F125" s="156" t="inlineStr">
        <is>
          <t>Dare Ogunbowale</t>
        </is>
      </c>
      <c r="G125" s="156" t="inlineStr">
        <is>
          <t>HOU</t>
        </is>
      </c>
      <c r="H125" s="156" t="inlineStr">
        <is>
          <t>RB</t>
        </is>
      </c>
      <c r="I125" s="156" t="n">
        <v>2</v>
      </c>
      <c r="J125" s="179" t="n">
        <v>2</v>
      </c>
      <c r="K125" s="179" t="n">
        <v>9</v>
      </c>
      <c r="L125" s="281">
        <f>IF(J125=0,0,K125/J125)</f>
        <v/>
      </c>
      <c r="M125" s="281">
        <f>K125/17</f>
        <v/>
      </c>
      <c r="N125" s="156" t="n">
        <v>0</v>
      </c>
      <c r="O125" s="156" t="n">
        <v>0</v>
      </c>
      <c r="P125" s="156" t="n">
        <v>0</v>
      </c>
      <c r="Q125" s="156" t="n">
        <v>0</v>
      </c>
      <c r="R125" s="156" t="n">
        <v>0</v>
      </c>
      <c r="S125" s="156" t="n">
        <v>0</v>
      </c>
      <c r="T125" s="156" t="n">
        <v>0</v>
      </c>
      <c r="U125" s="179" t="n">
        <v>0</v>
      </c>
      <c r="W125" s="156">
        <f>INDEX(Matrix!$AA$2:$AA$33, MATCH(G125, Matrix!$AC$2:$AC$33, 0))</f>
        <v/>
      </c>
      <c r="X125" s="156">
        <f>_xlfn.IFNA(MATCH(E123,'Injury Report'!$C$2:$C$6216,0),0)</f>
        <v/>
      </c>
    </row>
    <row r="126" ht="15.6" customHeight="1" s="152">
      <c r="A126" s="212" t="n">
        <v>123</v>
      </c>
      <c r="B126" s="167">
        <f>F126&amp;G126</f>
        <v/>
      </c>
      <c r="C126" s="156">
        <f>(K126/MAX(K:K)*$K$1)+(L126/MAX(L:L)*$L$1)+(M126/MAX(M:M)*$M$1)+(N126/MAX(N:N)*$N$1)+(T126/MAX(T:T)*$T$1)</f>
        <v/>
      </c>
      <c r="D126" s="156">
        <f>IFERROR(VLOOKUP(B126,#REF!,7,0),"")</f>
        <v/>
      </c>
      <c r="E126" s="156">
        <f>IFERROR(VLOOKUP(F126,AllPlayers!F:F,1,0),"------------")</f>
        <v/>
      </c>
      <c r="F126" s="156" t="inlineStr">
        <is>
          <t>Jeff Wilson</t>
        </is>
      </c>
      <c r="G126" s="156" t="inlineStr">
        <is>
          <t>SF</t>
        </is>
      </c>
      <c r="H126" s="156" t="inlineStr">
        <is>
          <t>RB</t>
        </is>
      </c>
      <c r="I126" s="156" t="n">
        <v>11</v>
      </c>
      <c r="J126" s="179" t="n">
        <v>13</v>
      </c>
      <c r="K126" s="179" t="n">
        <v>42.1</v>
      </c>
      <c r="L126" s="281">
        <f>IF(J126=0,0,K126/J126)</f>
        <v/>
      </c>
      <c r="M126" s="281">
        <f>K126/17</f>
        <v/>
      </c>
      <c r="N126" s="156" t="n">
        <v>0.2</v>
      </c>
      <c r="O126" s="156" t="n">
        <v>1</v>
      </c>
      <c r="P126" s="156" t="n">
        <v>0</v>
      </c>
      <c r="Q126" s="156" t="n">
        <v>0</v>
      </c>
      <c r="R126" s="156" t="n">
        <v>0</v>
      </c>
      <c r="S126" s="156" t="n">
        <v>0</v>
      </c>
      <c r="T126" s="156" t="n">
        <v>0</v>
      </c>
      <c r="U126" s="179" t="n">
        <v>0</v>
      </c>
      <c r="W126" s="156">
        <f>INDEX(Matrix!$AA$2:$AA$33, MATCH(G126, Matrix!$AC$2:$AC$33, 0))</f>
        <v/>
      </c>
      <c r="X126" s="156">
        <f>_xlfn.IFNA(MATCH(E124,'Injury Report'!$C$2:$C$6216,0),0)</f>
        <v/>
      </c>
    </row>
    <row r="127" ht="15.6" customHeight="1" s="152">
      <c r="A127" s="212" t="n">
        <v>124</v>
      </c>
      <c r="B127" s="167">
        <f>F127&amp;G127</f>
        <v/>
      </c>
      <c r="C127" s="156">
        <f>(K127/MAX(K:K)*$K$1)+(L127/MAX(L:L)*$L$1)+(M127/MAX(M:M)*$M$1)+(N127/MAX(N:N)*$N$1)+(T127/MAX(T:T)*$T$1)</f>
        <v/>
      </c>
      <c r="D127" s="156">
        <f>IFERROR(VLOOKUP(B127,#REF!,7,0),"")</f>
        <v/>
      </c>
      <c r="E127" s="156">
        <f>IFERROR(VLOOKUP(F127,AllPlayers!F:F,1,0),"------------")</f>
        <v/>
      </c>
      <c r="F127" s="156" t="inlineStr">
        <is>
          <t>Julius Chestnut</t>
        </is>
      </c>
      <c r="G127" s="156" t="inlineStr">
        <is>
          <t>TEN</t>
        </is>
      </c>
      <c r="H127" s="156" t="inlineStr">
        <is>
          <t>RB</t>
        </is>
      </c>
      <c r="I127" s="156" t="n">
        <v>1</v>
      </c>
      <c r="J127" s="179" t="n">
        <v>2</v>
      </c>
      <c r="K127" s="179" t="n">
        <v>2</v>
      </c>
      <c r="L127" s="281">
        <f>IF(J127=0,0,K127/J127)</f>
        <v/>
      </c>
      <c r="M127" s="281">
        <f>K127/17</f>
        <v/>
      </c>
      <c r="N127" s="156" t="n">
        <v>0</v>
      </c>
      <c r="O127" s="156" t="n">
        <v>0</v>
      </c>
      <c r="P127" s="156" t="n">
        <v>0</v>
      </c>
      <c r="Q127" s="156" t="n">
        <v>0</v>
      </c>
      <c r="R127" s="156" t="n">
        <v>0</v>
      </c>
      <c r="S127" s="156" t="n">
        <v>0</v>
      </c>
      <c r="T127" s="156" t="n">
        <v>0</v>
      </c>
      <c r="U127" s="179" t="n">
        <v>0</v>
      </c>
      <c r="W127" s="156">
        <f>INDEX(Matrix!$AA$2:$AA$33, MATCH(G127, Matrix!$AC$2:$AC$33, 0))</f>
        <v/>
      </c>
      <c r="X127" s="156">
        <f>_xlfn.IFNA(MATCH(E125,'Injury Report'!$C$2:$C$6216,0),0)</f>
        <v/>
      </c>
    </row>
    <row r="128" ht="15.6" customHeight="1" s="152">
      <c r="A128" s="212" t="n">
        <v>125</v>
      </c>
      <c r="B128" s="167">
        <f>F128&amp;G128</f>
        <v/>
      </c>
      <c r="C128" s="156">
        <f>(K128/MAX(K:K)*$K$1)+(L128/MAX(L:L)*$L$1)+(M128/MAX(M:M)*$M$1)+(N128/MAX(N:N)*$N$1)+(T128/MAX(T:T)*$T$1)</f>
        <v/>
      </c>
      <c r="D128" s="156">
        <f>IFERROR(VLOOKUP(B128,#REF!,7,0),"")</f>
        <v/>
      </c>
      <c r="E128" s="156">
        <f>IFERROR(VLOOKUP(F128,AllPlayers!F:F,1,0),"------------")</f>
        <v/>
      </c>
      <c r="F128" s="156" t="inlineStr">
        <is>
          <t>Frank Gore</t>
        </is>
      </c>
      <c r="G128" s="156" t="inlineStr">
        <is>
          <t>BUF</t>
        </is>
      </c>
      <c r="H128" s="156" t="inlineStr">
        <is>
          <t>QB</t>
        </is>
      </c>
      <c r="I128" s="156" t="n">
        <v>9</v>
      </c>
      <c r="J128" s="179" t="n">
        <v>10.2</v>
      </c>
      <c r="K128" s="179" t="n">
        <v>42.8</v>
      </c>
      <c r="L128" s="281">
        <f>IF(J128=0,0,K128/J128)</f>
        <v/>
      </c>
      <c r="M128" s="281">
        <f>K128/17</f>
        <v/>
      </c>
      <c r="N128" s="156" t="n">
        <v>0.2</v>
      </c>
      <c r="O128" s="156" t="n">
        <v>0</v>
      </c>
      <c r="P128" s="156" t="n">
        <v>0</v>
      </c>
      <c r="Q128" s="156" t="n">
        <v>0</v>
      </c>
      <c r="R128" s="156" t="n">
        <v>0</v>
      </c>
      <c r="S128" s="156" t="n">
        <v>0</v>
      </c>
      <c r="T128" s="156" t="n">
        <v>2</v>
      </c>
      <c r="U128" s="179" t="n">
        <v>0</v>
      </c>
      <c r="W128" s="156">
        <f>INDEX(Matrix!$AA$2:$AA$33, MATCH(G128, Matrix!$AC$2:$AC$33, 0))</f>
        <v/>
      </c>
      <c r="X128" s="156">
        <f>_xlfn.IFNA(MATCH(E126,'Injury Report'!$C$2:$C$6216,0),0)</f>
        <v/>
      </c>
    </row>
    <row r="129" ht="15.6" customHeight="1" s="152">
      <c r="A129" s="212" t="n">
        <v>126</v>
      </c>
      <c r="B129" s="167">
        <f>F129&amp;G129</f>
        <v/>
      </c>
      <c r="C129" s="156">
        <f>(K129/MAX(K:K)*$K$1)+(L129/MAX(L:L)*$L$1)+(M129/MAX(M:M)*$M$1)+(N129/MAX(N:N)*$N$1)+(T129/MAX(T:T)*$T$1)</f>
        <v/>
      </c>
      <c r="D129" s="156">
        <f>IFERROR(VLOOKUP(B129,#REF!,7,0),"")</f>
        <v/>
      </c>
      <c r="E129" s="156">
        <f>IFERROR(VLOOKUP(F129,AllPlayers!F:F,1,0),"------------")</f>
        <v/>
      </c>
      <c r="F129" s="156" t="inlineStr">
        <is>
          <t>Patrick Ricard</t>
        </is>
      </c>
      <c r="G129" s="156" t="inlineStr">
        <is>
          <t>BAL</t>
        </is>
      </c>
      <c r="H129" s="156" t="inlineStr">
        <is>
          <t>QB</t>
        </is>
      </c>
      <c r="I129" s="156" t="n">
        <v>7</v>
      </c>
      <c r="J129" s="179" t="n">
        <v>4.1</v>
      </c>
      <c r="K129" s="179" t="n">
        <v>11.5</v>
      </c>
      <c r="L129" s="281">
        <f>IF(J129=0,0,K129/J129)</f>
        <v/>
      </c>
      <c r="M129" s="281">
        <f>K129/17</f>
        <v/>
      </c>
      <c r="N129" s="156" t="n">
        <v>0.1</v>
      </c>
      <c r="O129" s="156" t="n">
        <v>0</v>
      </c>
      <c r="P129" s="156" t="n">
        <v>0</v>
      </c>
      <c r="Q129" s="156" t="n">
        <v>0</v>
      </c>
      <c r="R129" s="156" t="n">
        <v>0</v>
      </c>
      <c r="S129" s="156" t="n">
        <v>0</v>
      </c>
      <c r="T129" s="156" t="n">
        <v>5</v>
      </c>
      <c r="U129" s="179" t="n">
        <v>0</v>
      </c>
      <c r="W129" s="156">
        <f>INDEX(Matrix!$AA$2:$AA$33, MATCH(G129, Matrix!$AC$2:$AC$33, 0))</f>
        <v/>
      </c>
      <c r="X129" s="156">
        <f>_xlfn.IFNA(MATCH(E127,'Injury Report'!$C$2:$C$6216,0),0)</f>
        <v/>
      </c>
    </row>
    <row r="130" ht="15.6" customHeight="1" s="152">
      <c r="A130" s="212" t="n">
        <v>127</v>
      </c>
      <c r="B130" s="167">
        <f>F130&amp;G130</f>
        <v/>
      </c>
      <c r="C130" s="156">
        <f>(K130/MAX(K:K)*$K$1)+(L130/MAX(L:L)*$L$1)+(M130/MAX(M:M)*$M$1)+(N130/MAX(N:N)*$N$1)+(T130/MAX(T:T)*$T$1)</f>
        <v/>
      </c>
      <c r="D130" s="156">
        <f>IFERROR(VLOOKUP(B130,#REF!,7,0),"")</f>
        <v/>
      </c>
      <c r="E130" s="156">
        <f>IFERROR(VLOOKUP(F130,AllPlayers!F:F,1,0),"------------")</f>
        <v/>
      </c>
      <c r="F130" s="156" t="inlineStr">
        <is>
          <t>Lequint Allen</t>
        </is>
      </c>
      <c r="G130" s="156" t="inlineStr">
        <is>
          <t>JAX</t>
        </is>
      </c>
      <c r="H130" s="156" t="inlineStr">
        <is>
          <t>WR</t>
        </is>
      </c>
      <c r="I130" s="156" t="n">
        <v>2</v>
      </c>
      <c r="J130" s="179" t="n">
        <v>3</v>
      </c>
      <c r="K130" s="179" t="n">
        <v>20</v>
      </c>
      <c r="L130" s="281">
        <f>IF(J130=0,0,K130/J130)</f>
        <v/>
      </c>
      <c r="M130" s="281">
        <f>K130/17</f>
        <v/>
      </c>
      <c r="N130" s="156" t="n">
        <v>0</v>
      </c>
      <c r="O130" s="156" t="n">
        <v>2</v>
      </c>
      <c r="P130" s="156" t="n">
        <v>0</v>
      </c>
      <c r="Q130" s="156" t="n">
        <v>0</v>
      </c>
      <c r="R130" s="156" t="n">
        <v>0</v>
      </c>
      <c r="S130" s="156" t="n">
        <v>0</v>
      </c>
      <c r="T130" s="156" t="n">
        <v>0</v>
      </c>
      <c r="U130" s="179" t="n">
        <v>0</v>
      </c>
      <c r="W130" s="156">
        <f>INDEX(Matrix!$AA$2:$AA$33, MATCH(G130, Matrix!$AC$2:$AC$33, 0))</f>
        <v/>
      </c>
      <c r="X130" s="156">
        <f>_xlfn.IFNA(MATCH(E128,'Injury Report'!$C$2:$C$6216,0),0)</f>
        <v/>
      </c>
    </row>
    <row r="131" ht="15.6" customHeight="1" s="152">
      <c r="A131" s="212" t="n">
        <v>128</v>
      </c>
      <c r="B131" s="167">
        <f>F131&amp;G131</f>
        <v/>
      </c>
      <c r="C131" s="156">
        <f>(K131/MAX(K:K)*$K$1)+(L131/MAX(L:L)*$L$1)+(M131/MAX(M:M)*$M$1)+(N131/MAX(N:N)*$N$1)+(T131/MAX(T:T)*$T$1)</f>
        <v/>
      </c>
      <c r="D131" s="156">
        <f>IFERROR(VLOOKUP(B131,#REF!,7,0),"")</f>
        <v/>
      </c>
      <c r="E131" s="156">
        <f>IFERROR(VLOOKUP(F131,AllPlayers!F:F,1,0),"------------")</f>
        <v/>
      </c>
      <c r="F131" s="156" t="inlineStr">
        <is>
          <t>Deuce Vaughn</t>
        </is>
      </c>
      <c r="G131" s="156" t="inlineStr">
        <is>
          <t>DAL</t>
        </is>
      </c>
      <c r="H131" s="156" t="inlineStr">
        <is>
          <t>RB</t>
        </is>
      </c>
      <c r="I131" s="156" t="n">
        <v>7</v>
      </c>
      <c r="J131" s="179" t="n">
        <v>8.9</v>
      </c>
      <c r="K131" s="179" t="n">
        <v>35</v>
      </c>
      <c r="L131" s="281">
        <f>IF(J131=0,0,K131/J131)</f>
        <v/>
      </c>
      <c r="M131" s="281">
        <f>K131/17</f>
        <v/>
      </c>
      <c r="N131" s="156" t="n">
        <v>0.1</v>
      </c>
      <c r="O131" s="156" t="n">
        <v>0</v>
      </c>
      <c r="P131" s="156" t="n">
        <v>0</v>
      </c>
      <c r="Q131" s="156" t="n">
        <v>0</v>
      </c>
      <c r="R131" s="156" t="n">
        <v>0</v>
      </c>
      <c r="S131" s="156" t="n">
        <v>0</v>
      </c>
      <c r="T131" s="156" t="n">
        <v>0</v>
      </c>
      <c r="U131" s="179" t="n">
        <v>0</v>
      </c>
      <c r="W131" s="156">
        <f>INDEX(Matrix!$AA$2:$AA$33, MATCH(G131, Matrix!$AC$2:$AC$33, 0))</f>
        <v/>
      </c>
      <c r="X131" s="156">
        <f>_xlfn.IFNA(MATCH(E129,'Injury Report'!$C$2:$C$6216,0),0)</f>
        <v/>
      </c>
    </row>
    <row r="132" ht="15.6" customHeight="1" s="152">
      <c r="A132" s="212" t="n">
        <v>129</v>
      </c>
      <c r="B132" s="167">
        <f>F132&amp;G132</f>
        <v/>
      </c>
      <c r="C132" s="156">
        <f>(K132/MAX(K:K)*$K$1)+(L132/MAX(L:L)*$L$1)+(M132/MAX(M:M)*$M$1)+(N132/MAX(N:N)*$N$1)+(T132/MAX(T:T)*$T$1)</f>
        <v/>
      </c>
      <c r="D132" s="156">
        <f>IFERROR(VLOOKUP(B132,#REF!,7,0),"")</f>
        <v/>
      </c>
      <c r="E132" s="156">
        <f>IFERROR(VLOOKUP(F132,AllPlayers!F:F,1,0),"------------")</f>
        <v/>
      </c>
      <c r="F132" s="156" t="inlineStr">
        <is>
          <t>Gary Brightwell</t>
        </is>
      </c>
      <c r="G132" s="156" t="inlineStr">
        <is>
          <t>CIN</t>
        </is>
      </c>
      <c r="H132" s="156" t="inlineStr">
        <is>
          <t>RB</t>
        </is>
      </c>
      <c r="I132" s="156" t="n">
        <v>4</v>
      </c>
      <c r="J132" s="179" t="n">
        <v>8</v>
      </c>
      <c r="K132" s="179" t="n">
        <v>33.7</v>
      </c>
      <c r="L132" s="281">
        <f>IF(J132=0,0,K132/J132)</f>
        <v/>
      </c>
      <c r="M132" s="281">
        <f>K132/17</f>
        <v/>
      </c>
      <c r="N132" s="156" t="n">
        <v>0.2</v>
      </c>
      <c r="O132" s="156" t="n">
        <v>0</v>
      </c>
      <c r="P132" s="156" t="n">
        <v>0</v>
      </c>
      <c r="Q132" s="156" t="n">
        <v>0</v>
      </c>
      <c r="R132" s="156" t="n">
        <v>0</v>
      </c>
      <c r="S132" s="156" t="n">
        <v>0</v>
      </c>
      <c r="T132" s="156" t="n">
        <v>0</v>
      </c>
      <c r="U132" s="179" t="n">
        <v>0</v>
      </c>
      <c r="W132" s="156">
        <f>INDEX(Matrix!$AA$2:$AA$33, MATCH(G132, Matrix!$AC$2:$AC$33, 0))</f>
        <v/>
      </c>
      <c r="X132" s="156">
        <f>_xlfn.IFNA(MATCH(E130,'Injury Report'!$C$2:$C$6216,0),0)</f>
        <v/>
      </c>
    </row>
    <row r="133" ht="15.6" customHeight="1" s="152">
      <c r="A133" s="212" t="n">
        <v>130</v>
      </c>
      <c r="B133" s="167">
        <f>F133&amp;G133</f>
        <v/>
      </c>
      <c r="C133" s="156">
        <f>(K133/MAX(K:K)*$K$1)+(L133/MAX(L:L)*$L$1)+(M133/MAX(M:M)*$M$1)+(N133/MAX(N:N)*$N$1)+(T133/MAX(T:T)*$T$1)</f>
        <v/>
      </c>
      <c r="D133" s="156">
        <f>IFERROR(VLOOKUP(B133,#REF!,7,0),"")</f>
        <v/>
      </c>
      <c r="E133" s="156">
        <f>IFERROR(VLOOKUP(F133,AllPlayers!F:F,1,0),"------------")</f>
        <v/>
      </c>
      <c r="F133" s="156" t="inlineStr">
        <is>
          <t>Eric Gray</t>
        </is>
      </c>
      <c r="G133" s="156" t="inlineStr">
        <is>
          <t>NYG</t>
        </is>
      </c>
      <c r="H133" s="156" t="inlineStr">
        <is>
          <t>RB</t>
        </is>
      </c>
      <c r="I133" s="156" t="n">
        <v>9</v>
      </c>
      <c r="J133" s="179" t="n">
        <v>11.9</v>
      </c>
      <c r="K133" s="179" t="n">
        <v>42.7</v>
      </c>
      <c r="L133" s="281">
        <f>IF(J133=0,0,K133/J133)</f>
        <v/>
      </c>
      <c r="M133" s="281">
        <f>K133/17</f>
        <v/>
      </c>
      <c r="N133" s="156" t="n">
        <v>0.2</v>
      </c>
      <c r="O133" s="156" t="n">
        <v>0</v>
      </c>
      <c r="P133" s="156" t="n">
        <v>0</v>
      </c>
      <c r="Q133" s="156" t="n">
        <v>0</v>
      </c>
      <c r="R133" s="156" t="n">
        <v>0</v>
      </c>
      <c r="S133" s="156" t="n">
        <v>0</v>
      </c>
      <c r="T133" s="156" t="n">
        <v>0</v>
      </c>
      <c r="U133" s="179" t="n">
        <v>0.5</v>
      </c>
      <c r="W133" s="156">
        <f>INDEX(Matrix!$AA$2:$AA$33, MATCH(G133, Matrix!$AC$2:$AC$33, 0))</f>
        <v/>
      </c>
      <c r="X133" s="156">
        <f>_xlfn.IFNA(MATCH(E131,'Injury Report'!$C$2:$C$6216,0),0)</f>
        <v/>
      </c>
    </row>
    <row r="134" ht="15.6" customHeight="1" s="152">
      <c r="A134" s="212" t="n">
        <v>131</v>
      </c>
      <c r="B134" s="167">
        <f>F134&amp;G134</f>
        <v/>
      </c>
      <c r="C134" s="156">
        <f>(K134/MAX(K:K)*$K$1)+(L134/MAX(L:L)*$L$1)+(M134/MAX(M:M)*$M$1)+(N134/MAX(N:N)*$N$1)+(T134/MAX(T:T)*$T$1)</f>
        <v/>
      </c>
      <c r="D134" s="156">
        <f>IFERROR(VLOOKUP(B134,#REF!,7,0),"")</f>
        <v/>
      </c>
      <c r="E134" s="156">
        <f>IFERROR(VLOOKUP(F134,AllPlayers!F:F,1,0),"------------")</f>
        <v/>
      </c>
      <c r="F134" s="156" t="inlineStr">
        <is>
          <t>Jashaun Corbin</t>
        </is>
      </c>
      <c r="G134" s="156" t="inlineStr">
        <is>
          <t>ATL</t>
        </is>
      </c>
      <c r="H134" s="156" t="inlineStr">
        <is>
          <t>QB</t>
        </is>
      </c>
      <c r="I134" s="156" t="n">
        <v>7</v>
      </c>
      <c r="J134" s="179" t="n">
        <v>9.300000000000001</v>
      </c>
      <c r="K134" s="179" t="n">
        <v>35.1</v>
      </c>
      <c r="L134" s="281">
        <f>IF(J134=0,0,K134/J134)</f>
        <v/>
      </c>
      <c r="M134" s="281">
        <f>K134/17</f>
        <v/>
      </c>
      <c r="N134" s="156" t="n">
        <v>0.2</v>
      </c>
      <c r="O134" s="156" t="n">
        <v>0</v>
      </c>
      <c r="P134" s="156" t="n">
        <v>0</v>
      </c>
      <c r="Q134" s="156" t="n">
        <v>0</v>
      </c>
      <c r="R134" s="156" t="n">
        <v>0</v>
      </c>
      <c r="S134" s="156" t="n">
        <v>0</v>
      </c>
      <c r="T134" s="156" t="n">
        <v>1</v>
      </c>
      <c r="U134" s="179" t="n">
        <v>0</v>
      </c>
      <c r="W134" s="156">
        <f>INDEX(Matrix!$AA$2:$AA$33, MATCH(G134, Matrix!$AC$2:$AC$33, 0))</f>
        <v/>
      </c>
      <c r="X134" s="156">
        <f>_xlfn.IFNA(MATCH(E132,'Injury Report'!$C$2:$C$6216,0),0)</f>
        <v/>
      </c>
    </row>
    <row r="135" ht="15.6" customHeight="1" s="152">
      <c r="A135" s="212" t="n">
        <v>132</v>
      </c>
      <c r="B135" s="167">
        <f>F135&amp;G135</f>
        <v/>
      </c>
      <c r="C135" s="156">
        <f>(K135/MAX(K:K)*$K$1)+(L135/MAX(L:L)*$L$1)+(M135/MAX(M:M)*$M$1)+(N135/MAX(N:N)*$N$1)+(T135/MAX(T:T)*$T$1)</f>
        <v/>
      </c>
      <c r="D135" s="156">
        <f>IFERROR(VLOOKUP(B135,#REF!,7,0),"")</f>
        <v/>
      </c>
      <c r="E135" s="156">
        <f>IFERROR(VLOOKUP(F135,AllPlayers!F:F,1,0),"------------")</f>
        <v/>
      </c>
      <c r="F135" s="156" t="inlineStr">
        <is>
          <t>Rasheen Ali</t>
        </is>
      </c>
      <c r="G135" s="156" t="inlineStr">
        <is>
          <t>BAL</t>
        </is>
      </c>
      <c r="H135" s="156" t="inlineStr">
        <is>
          <t>WR</t>
        </is>
      </c>
      <c r="I135" s="156" t="n">
        <v>2</v>
      </c>
      <c r="J135" s="179" t="n">
        <v>1</v>
      </c>
      <c r="K135" s="179" t="n">
        <v>5</v>
      </c>
      <c r="L135" s="281">
        <f>IF(J135=0,0,K135/J135)</f>
        <v/>
      </c>
      <c r="M135" s="281">
        <f>K135/17</f>
        <v/>
      </c>
      <c r="N135" s="156" t="n">
        <v>0</v>
      </c>
      <c r="O135" s="156" t="n">
        <v>0</v>
      </c>
      <c r="P135" s="156" t="n">
        <v>0</v>
      </c>
      <c r="Q135" s="156" t="n">
        <v>0</v>
      </c>
      <c r="R135" s="156" t="n">
        <v>0</v>
      </c>
      <c r="S135" s="156" t="n">
        <v>0</v>
      </c>
      <c r="T135" s="156" t="n">
        <v>0</v>
      </c>
      <c r="U135" s="179" t="n">
        <v>0</v>
      </c>
      <c r="W135" s="156">
        <f>INDEX(Matrix!$AA$2:$AA$33, MATCH(G135, Matrix!$AC$2:$AC$33, 0))</f>
        <v/>
      </c>
      <c r="X135" s="156">
        <f>_xlfn.IFNA(MATCH(E133,'Injury Report'!$C$2:$C$6216,0),0)</f>
        <v/>
      </c>
    </row>
    <row r="136" ht="15.6" customHeight="1" s="152">
      <c r="A136" s="212" t="n">
        <v>133</v>
      </c>
      <c r="B136" s="167">
        <f>F136&amp;G136</f>
        <v/>
      </c>
      <c r="C136" s="156">
        <f>(K136/MAX(K:K)*$K$1)+(L136/MAX(L:L)*$L$1)+(M136/MAX(M:M)*$M$1)+(N136/MAX(N:N)*$N$1)+(T136/MAX(T:T)*$T$1)</f>
        <v/>
      </c>
      <c r="D136" s="156">
        <f>IFERROR(VLOOKUP(B136,#REF!,7,0),"")</f>
        <v/>
      </c>
      <c r="E136" s="156">
        <f>IFERROR(VLOOKUP(F136,AllPlayers!F:F,1,0),"------------")</f>
        <v/>
      </c>
      <c r="F136" s="156" t="inlineStr">
        <is>
          <t>Darrynton Evans</t>
        </is>
      </c>
      <c r="G136" s="156" t="inlineStr">
        <is>
          <t>BUF</t>
        </is>
      </c>
      <c r="H136" s="156" t="inlineStr">
        <is>
          <t>QB</t>
        </is>
      </c>
      <c r="I136" s="156" t="n">
        <v>3</v>
      </c>
      <c r="J136" s="179" t="n">
        <v>5.1</v>
      </c>
      <c r="K136" s="179" t="n">
        <v>21.3</v>
      </c>
      <c r="L136" s="281">
        <f>IF(J136=0,0,K136/J136)</f>
        <v/>
      </c>
      <c r="M136" s="281">
        <f>K136/17</f>
        <v/>
      </c>
      <c r="N136" s="156" t="n">
        <v>0.1</v>
      </c>
      <c r="O136" s="156" t="n">
        <v>1</v>
      </c>
      <c r="P136" s="156" t="n">
        <v>0</v>
      </c>
      <c r="Q136" s="156" t="n">
        <v>0</v>
      </c>
      <c r="R136" s="156" t="n">
        <v>0</v>
      </c>
      <c r="S136" s="156" t="n">
        <v>0</v>
      </c>
      <c r="T136" s="156" t="n">
        <v>0</v>
      </c>
      <c r="U136" s="179" t="n">
        <v>0</v>
      </c>
      <c r="W136" s="156">
        <f>INDEX(Matrix!$AA$2:$AA$33, MATCH(G136, Matrix!$AC$2:$AC$33, 0))</f>
        <v/>
      </c>
      <c r="X136" s="156">
        <f>_xlfn.IFNA(MATCH(E134,'Injury Report'!$C$2:$C$6216,0),0)</f>
        <v/>
      </c>
    </row>
    <row r="137" ht="15.6" customHeight="1" s="152">
      <c r="A137" s="212" t="n">
        <v>134</v>
      </c>
      <c r="B137" s="167">
        <f>F137&amp;G137</f>
        <v/>
      </c>
      <c r="C137" s="156">
        <f>(K137/MAX(K:K)*$K$1)+(L137/MAX(L:L)*$L$1)+(M137/MAX(M:M)*$M$1)+(N137/MAX(N:N)*$N$1)+(T137/MAX(T:T)*$T$1)</f>
        <v/>
      </c>
      <c r="D137" s="156">
        <f>IFERROR(VLOOKUP(B137,#REF!,7,0),"")</f>
        <v/>
      </c>
      <c r="E137" s="156">
        <f>IFERROR(VLOOKUP(F137,AllPlayers!F:F,1,0),"------------")</f>
        <v/>
      </c>
      <c r="F137" s="156" t="inlineStr">
        <is>
          <t>Hunter Luepke</t>
        </is>
      </c>
      <c r="G137" s="156" t="inlineStr">
        <is>
          <t>DAL</t>
        </is>
      </c>
      <c r="H137" s="156" t="inlineStr">
        <is>
          <t>RB</t>
        </is>
      </c>
      <c r="I137" s="156" t="n">
        <v>1</v>
      </c>
      <c r="J137" s="179" t="n">
        <v>0</v>
      </c>
      <c r="K137" s="179" t="n">
        <v>0</v>
      </c>
      <c r="L137" s="281">
        <f>IF(J137=0,0,K137/J137)</f>
        <v/>
      </c>
      <c r="M137" s="281">
        <f>K137/17</f>
        <v/>
      </c>
      <c r="N137" s="156" t="n">
        <v>0</v>
      </c>
      <c r="O137" s="156" t="n">
        <v>0</v>
      </c>
      <c r="P137" s="156" t="n">
        <v>0</v>
      </c>
      <c r="Q137" s="156" t="n">
        <v>0</v>
      </c>
      <c r="R137" s="156" t="n">
        <v>0</v>
      </c>
      <c r="S137" s="156" t="n">
        <v>0</v>
      </c>
      <c r="T137" s="156" t="n">
        <v>0</v>
      </c>
      <c r="U137" s="179" t="n">
        <v>0</v>
      </c>
      <c r="W137" s="156">
        <f>INDEX(Matrix!$AA$2:$AA$33, MATCH(G137, Matrix!$AC$2:$AC$33, 0))</f>
        <v/>
      </c>
      <c r="X137" s="156">
        <f>_xlfn.IFNA(MATCH(E135,'Injury Report'!$C$2:$C$6216,0),0)</f>
        <v/>
      </c>
    </row>
    <row r="138" ht="15.6" customHeight="1" s="152">
      <c r="A138" s="212" t="n">
        <v>135</v>
      </c>
      <c r="B138" s="167">
        <f>F138&amp;G138</f>
        <v/>
      </c>
      <c r="C138" s="156">
        <f>(K138/MAX(K:K)*$K$1)+(L138/MAX(L:L)*$L$1)+(M138/MAX(M:M)*$M$1)+(N138/MAX(N:N)*$N$1)+(T138/MAX(T:T)*$T$1)</f>
        <v/>
      </c>
      <c r="D138" s="156">
        <f>IFERROR(VLOOKUP(B138,#REF!,7,0),"")</f>
        <v/>
      </c>
      <c r="E138" s="156">
        <f>IFERROR(VLOOKUP(F138,AllPlayers!F:F,1,0),"------------")</f>
        <v/>
      </c>
      <c r="F138" s="156" t="inlineStr">
        <is>
          <t>Deejay Dallas</t>
        </is>
      </c>
      <c r="G138" s="156" t="inlineStr">
        <is>
          <t>ARI</t>
        </is>
      </c>
      <c r="H138" s="156" t="inlineStr">
        <is>
          <t>RB</t>
        </is>
      </c>
      <c r="I138" s="156" t="n">
        <v>3</v>
      </c>
      <c r="J138" s="179" t="n">
        <v>5.8</v>
      </c>
      <c r="K138" s="179" t="n">
        <v>22.2</v>
      </c>
      <c r="L138" s="281">
        <f>IF(J138=0,0,K138/J138)</f>
        <v/>
      </c>
      <c r="M138" s="281">
        <f>K138/17</f>
        <v/>
      </c>
      <c r="N138" s="156" t="n">
        <v>0.1</v>
      </c>
      <c r="O138" s="156" t="n">
        <v>1</v>
      </c>
      <c r="P138" s="156" t="n">
        <v>1</v>
      </c>
      <c r="Q138" s="156" t="n">
        <v>0</v>
      </c>
      <c r="R138" s="156" t="n">
        <v>0</v>
      </c>
      <c r="S138" s="156" t="n">
        <v>0</v>
      </c>
      <c r="T138" s="156" t="n">
        <v>1</v>
      </c>
      <c r="U138" s="179" t="n">
        <v>0.5</v>
      </c>
      <c r="W138" s="156">
        <f>INDEX(Matrix!$AA$2:$AA$33, MATCH(G138, Matrix!$AC$2:$AC$33, 0))</f>
        <v/>
      </c>
      <c r="X138" s="156">
        <f>_xlfn.IFNA(MATCH(E136,'Injury Report'!$C$2:$C$6216,0),0)</f>
        <v/>
      </c>
    </row>
    <row r="139" ht="15.6" customHeight="1" s="152">
      <c r="A139" s="212" t="n">
        <v>136</v>
      </c>
      <c r="B139" s="167">
        <f>F139&amp;G139</f>
        <v/>
      </c>
      <c r="C139" s="156">
        <f>(K139/MAX(K:K)*$K$1)+(L139/MAX(L:L)*$L$1)+(M139/MAX(M:M)*$M$1)+(N139/MAX(N:N)*$N$1)+(T139/MAX(T:T)*$T$1)</f>
        <v/>
      </c>
      <c r="D139" s="156">
        <f>IFERROR(VLOOKUP(B139,#REF!,7,0),"")</f>
        <v/>
      </c>
      <c r="E139" s="156">
        <f>IFERROR(VLOOKUP(F139,AllPlayers!F:F,1,0),"------------")</f>
        <v/>
      </c>
      <c r="F139" s="156" t="inlineStr">
        <is>
          <t>Trey Sermon</t>
        </is>
      </c>
      <c r="G139" s="156" t="inlineStr">
        <is>
          <t>PIT</t>
        </is>
      </c>
      <c r="H139" s="156" t="inlineStr">
        <is>
          <t>QB</t>
        </is>
      </c>
      <c r="I139" s="156" t="n">
        <v>11</v>
      </c>
      <c r="J139" s="179" t="n">
        <v>5</v>
      </c>
      <c r="K139" s="179" t="n">
        <v>20.8</v>
      </c>
      <c r="L139" s="281">
        <f>IF(J139=0,0,K139/J139)</f>
        <v/>
      </c>
      <c r="M139" s="281">
        <f>K139/17</f>
        <v/>
      </c>
      <c r="N139" s="156" t="n">
        <v>0.1</v>
      </c>
      <c r="O139" s="156" t="n">
        <v>0</v>
      </c>
      <c r="P139" s="156" t="n">
        <v>0</v>
      </c>
      <c r="Q139" s="156" t="n">
        <v>0</v>
      </c>
      <c r="R139" s="156" t="n">
        <v>0</v>
      </c>
      <c r="S139" s="156" t="n">
        <v>0</v>
      </c>
      <c r="T139" s="156" t="n">
        <v>4</v>
      </c>
      <c r="U139" s="179" t="n">
        <v>0</v>
      </c>
      <c r="W139" s="156">
        <f>INDEX(Matrix!$AA$2:$AA$33, MATCH(G139, Matrix!$AC$2:$AC$33, 0))</f>
        <v/>
      </c>
      <c r="X139" s="156">
        <f>_xlfn.IFNA(MATCH(E137,'Injury Report'!$C$2:$C$6216,0),0)</f>
        <v/>
      </c>
    </row>
    <row r="140" ht="15.6" customHeight="1" s="152">
      <c r="A140" s="212" t="n">
        <v>137</v>
      </c>
      <c r="B140" s="167">
        <f>F140&amp;G140</f>
        <v/>
      </c>
      <c r="C140" s="156">
        <f>(K140/MAX(K:K)*$K$1)+(L140/MAX(L:L)*$L$1)+(M140/MAX(M:M)*$M$1)+(N140/MAX(N:N)*$N$1)+(T140/MAX(T:T)*$T$1)</f>
        <v/>
      </c>
      <c r="D140" s="156">
        <f>IFERROR(VLOOKUP(B140,#REF!,7,0),"")</f>
        <v/>
      </c>
      <c r="E140" s="156">
        <f>IFERROR(VLOOKUP(F140,AllPlayers!F:F,1,0),"------------")</f>
        <v/>
      </c>
      <c r="F140" s="156" t="inlineStr">
        <is>
          <t>Zonovan Knight</t>
        </is>
      </c>
      <c r="G140" s="156" t="inlineStr">
        <is>
          <t>ARI</t>
        </is>
      </c>
      <c r="H140" s="156" t="inlineStr">
        <is>
          <t>QB</t>
        </is>
      </c>
      <c r="I140" s="156" t="n">
        <v>10</v>
      </c>
      <c r="J140" s="179" t="n">
        <v>2.4</v>
      </c>
      <c r="K140" s="179" t="n">
        <v>10.1</v>
      </c>
      <c r="L140" s="281">
        <f>IF(J140=0,0,K140/J140)</f>
        <v/>
      </c>
      <c r="M140" s="281">
        <f>K140/17</f>
        <v/>
      </c>
      <c r="N140" s="156" t="n">
        <v>0.1</v>
      </c>
      <c r="O140" s="156" t="n">
        <v>0</v>
      </c>
      <c r="P140" s="156" t="n">
        <v>0</v>
      </c>
      <c r="Q140" s="156" t="n">
        <v>0</v>
      </c>
      <c r="R140" s="156" t="n">
        <v>0</v>
      </c>
      <c r="S140" s="156" t="n">
        <v>0</v>
      </c>
      <c r="T140" s="156" t="n">
        <v>5</v>
      </c>
      <c r="U140" s="179" t="n">
        <v>0</v>
      </c>
      <c r="W140" s="156">
        <f>INDEX(Matrix!$AA$2:$AA$33, MATCH(G140, Matrix!$AC$2:$AC$33, 0))</f>
        <v/>
      </c>
      <c r="X140" s="156">
        <f>_xlfn.IFNA(MATCH(E138,'Injury Report'!$C$2:$C$6216,0),0)</f>
        <v/>
      </c>
    </row>
    <row r="141" ht="15.6" customHeight="1" s="152">
      <c r="A141" s="212" t="n">
        <v>138</v>
      </c>
      <c r="B141" s="167">
        <f>F141&amp;G141</f>
        <v/>
      </c>
      <c r="C141" s="156">
        <f>(K141/MAX(K:K)*$K$1)+(L141/MAX(L:L)*$L$1)+(M141/MAX(M:M)*$M$1)+(N141/MAX(N:N)*$N$1)+(T141/MAX(T:T)*$T$1)</f>
        <v/>
      </c>
      <c r="D141" s="156">
        <f>IFERROR(VLOOKUP(B141,#REF!,7,0),"")</f>
        <v/>
      </c>
      <c r="E141" s="156">
        <f>IFERROR(VLOOKUP(F141,AllPlayers!F:F,1,0),"------------")</f>
        <v/>
      </c>
      <c r="F141" s="156" t="inlineStr">
        <is>
          <t>Velus Jones</t>
        </is>
      </c>
      <c r="G141" s="156" t="inlineStr">
        <is>
          <t>NO</t>
        </is>
      </c>
      <c r="H141" s="156" t="inlineStr">
        <is>
          <t>RB</t>
        </is>
      </c>
      <c r="I141" s="156" t="n">
        <v>1</v>
      </c>
      <c r="J141" s="179" t="n">
        <v>0</v>
      </c>
      <c r="K141" s="179" t="n">
        <v>0</v>
      </c>
      <c r="L141" s="281">
        <f>IF(J141=0,0,K141/J141)</f>
        <v/>
      </c>
      <c r="M141" s="281">
        <f>K141/17</f>
        <v/>
      </c>
      <c r="N141" s="156" t="n">
        <v>0</v>
      </c>
      <c r="O141" s="156" t="n">
        <v>0</v>
      </c>
      <c r="P141" s="156" t="n">
        <v>0</v>
      </c>
      <c r="Q141" s="156" t="n">
        <v>0</v>
      </c>
      <c r="R141" s="156" t="n">
        <v>0</v>
      </c>
      <c r="S141" s="156" t="n">
        <v>0</v>
      </c>
      <c r="T141" s="156" t="n">
        <v>0</v>
      </c>
      <c r="U141" s="179" t="n">
        <v>0</v>
      </c>
      <c r="W141" s="156">
        <f>INDEX(Matrix!$AA$2:$AA$33, MATCH(G141, Matrix!$AC$2:$AC$33, 0))</f>
        <v/>
      </c>
      <c r="X141" s="156">
        <f>_xlfn.IFNA(MATCH(E139,'Injury Report'!$C$2:$C$6216,0),0)</f>
        <v/>
      </c>
    </row>
    <row r="142" ht="15.6" customHeight="1" s="152">
      <c r="A142" s="212" t="n">
        <v>139</v>
      </c>
      <c r="B142" s="167">
        <f>F142&amp;G142</f>
        <v/>
      </c>
      <c r="C142" s="156">
        <f>(K142/MAX(K:K)*$K$1)+(L142/MAX(L:L)*$L$1)+(M142/MAX(M:M)*$M$1)+(N142/MAX(N:N)*$N$1)+(T142/MAX(T:T)*$T$1)</f>
        <v/>
      </c>
      <c r="D142" s="156">
        <f>IFERROR(VLOOKUP(B142,#REF!,7,0),"")</f>
        <v/>
      </c>
      <c r="E142" s="156">
        <f>IFERROR(VLOOKUP(F142,AllPlayers!F:F,1,0),"------------")</f>
        <v/>
      </c>
      <c r="F142" s="156" t="inlineStr">
        <is>
          <t>Terrell Jennings</t>
        </is>
      </c>
      <c r="G142" s="156" t="inlineStr">
        <is>
          <t>NE</t>
        </is>
      </c>
      <c r="H142" s="156" t="inlineStr">
        <is>
          <t>RB</t>
        </is>
      </c>
      <c r="I142" s="156" t="n">
        <v>3</v>
      </c>
      <c r="J142" s="179" t="n">
        <v>2.4</v>
      </c>
      <c r="K142" s="179" t="n">
        <v>10.1</v>
      </c>
      <c r="L142" s="281">
        <f>IF(J142=0,0,K142/J142)</f>
        <v/>
      </c>
      <c r="M142" s="281">
        <f>K142/17</f>
        <v/>
      </c>
      <c r="N142" s="156" t="n">
        <v>0.1</v>
      </c>
      <c r="O142" s="156" t="n">
        <v>1</v>
      </c>
      <c r="P142" s="156" t="n">
        <v>0</v>
      </c>
      <c r="Q142" s="156" t="n">
        <v>0</v>
      </c>
      <c r="R142" s="156" t="n">
        <v>0</v>
      </c>
      <c r="S142" s="156" t="n">
        <v>0</v>
      </c>
      <c r="T142" s="156" t="n">
        <v>0</v>
      </c>
      <c r="U142" s="179" t="n">
        <v>0</v>
      </c>
      <c r="W142" s="156">
        <f>INDEX(Matrix!$AA$2:$AA$33, MATCH(G142, Matrix!$AC$2:$AC$33, 0))</f>
        <v/>
      </c>
      <c r="X142" s="156">
        <f>_xlfn.IFNA(MATCH(E140,'Injury Report'!$C$2:$C$6216,0),0)</f>
        <v/>
      </c>
    </row>
    <row r="143" ht="15.6" customHeight="1" s="152">
      <c r="A143" s="212" t="n">
        <v>140</v>
      </c>
      <c r="B143" s="167">
        <f>F143&amp;G143</f>
        <v/>
      </c>
      <c r="C143" s="156">
        <f>(K143/MAX(K:K)*$K$1)+(L143/MAX(L:L)*$L$1)+(M143/MAX(M:M)*$M$1)+(N143/MAX(N:N)*$N$1)+(T143/MAX(T:T)*$T$1)</f>
        <v/>
      </c>
      <c r="D143" s="156">
        <f>IFERROR(VLOOKUP(B143,#REF!,7,0),"")</f>
        <v/>
      </c>
      <c r="E143" s="156">
        <f>IFERROR(VLOOKUP(F143,AllPlayers!F:F,1,0),"------------")</f>
        <v/>
      </c>
      <c r="F143" s="156" t="inlineStr">
        <is>
          <t>Jase Mcclellan</t>
        </is>
      </c>
      <c r="G143" s="156" t="inlineStr">
        <is>
          <t>TB</t>
        </is>
      </c>
      <c r="H143" s="156" t="inlineStr">
        <is>
          <t>WR</t>
        </is>
      </c>
      <c r="I143" s="156" t="n">
        <v>10</v>
      </c>
      <c r="J143" s="179" t="n">
        <v>1</v>
      </c>
      <c r="K143" s="179" t="n">
        <v>17</v>
      </c>
      <c r="L143" s="281">
        <f>IF(J143=0,0,K143/J143)</f>
        <v/>
      </c>
      <c r="M143" s="281">
        <f>K143/17</f>
        <v/>
      </c>
      <c r="N143" s="156" t="n">
        <v>0</v>
      </c>
      <c r="O143" s="156" t="n">
        <v>1</v>
      </c>
      <c r="P143" s="156" t="n">
        <v>0</v>
      </c>
      <c r="Q143" s="156" t="n">
        <v>0</v>
      </c>
      <c r="R143" s="156" t="n">
        <v>0</v>
      </c>
      <c r="S143" s="156" t="n">
        <v>0</v>
      </c>
      <c r="T143" s="156" t="n">
        <v>3</v>
      </c>
      <c r="U143" s="179" t="n">
        <v>0</v>
      </c>
      <c r="W143" s="156">
        <f>INDEX(Matrix!$AA$2:$AA$33, MATCH(G143, Matrix!$AC$2:$AC$33, 0))</f>
        <v/>
      </c>
      <c r="X143" s="156">
        <f>_xlfn.IFNA(MATCH(E141,'Injury Report'!$C$2:$C$6216,0),0)</f>
        <v/>
      </c>
    </row>
    <row r="144" ht="15.6" customHeight="1" s="152">
      <c r="A144" s="212" t="n">
        <v>141</v>
      </c>
      <c r="B144" s="167">
        <f>F144&amp;G144</f>
        <v/>
      </c>
      <c r="C144" s="156">
        <f>(K144/MAX(K:K)*$K$1)+(L144/MAX(L:L)*$L$1)+(M144/MAX(M:M)*$M$1)+(N144/MAX(N:N)*$N$1)+(T144/MAX(T:T)*$T$1)</f>
        <v/>
      </c>
      <c r="D144" s="156">
        <f>IFERROR(VLOOKUP(B144,#REF!,7,0),"")</f>
        <v/>
      </c>
      <c r="E144" s="156">
        <f>IFERROR(VLOOKUP(F144,AllPlayers!F:F,1,0),"------------")</f>
        <v/>
      </c>
      <c r="F144" s="156" t="inlineStr">
        <is>
          <t>Dylan Laube</t>
        </is>
      </c>
      <c r="G144" s="156" t="inlineStr">
        <is>
          <t>LV</t>
        </is>
      </c>
      <c r="H144" s="156" t="inlineStr">
        <is>
          <t>WR</t>
        </is>
      </c>
      <c r="I144" s="156" t="n">
        <v>2</v>
      </c>
      <c r="J144" s="179" t="n">
        <v>0</v>
      </c>
      <c r="K144" s="179" t="n">
        <v>0</v>
      </c>
      <c r="L144" s="281">
        <f>IF(J144=0,0,K144/J144)</f>
        <v/>
      </c>
      <c r="M144" s="281">
        <f>K144/17</f>
        <v/>
      </c>
      <c r="N144" s="156" t="n">
        <v>0</v>
      </c>
      <c r="O144" s="156" t="n">
        <v>0</v>
      </c>
      <c r="P144" s="156" t="n">
        <v>0</v>
      </c>
      <c r="Q144" s="156" t="n">
        <v>0</v>
      </c>
      <c r="R144" s="156" t="n">
        <v>0</v>
      </c>
      <c r="S144" s="156" t="n">
        <v>0</v>
      </c>
      <c r="T144" s="156" t="n">
        <v>0</v>
      </c>
      <c r="U144" s="179" t="n">
        <v>0</v>
      </c>
      <c r="W144" s="156">
        <f>INDEX(Matrix!$AA$2:$AA$33, MATCH(G144, Matrix!$AC$2:$AC$33, 0))</f>
        <v/>
      </c>
      <c r="X144" s="156">
        <f>_xlfn.IFNA(MATCH(E142,'Injury Report'!$C$2:$C$6216,0),0)</f>
        <v/>
      </c>
    </row>
    <row r="145" ht="15.6" customHeight="1" s="152">
      <c r="A145" s="212" t="n">
        <v>142</v>
      </c>
      <c r="B145" s="167">
        <f>F145&amp;G145</f>
        <v/>
      </c>
      <c r="C145" s="156">
        <f>(K145/MAX(K:K)*$K$1)+(L145/MAX(L:L)*$L$1)+(M145/MAX(M:M)*$M$1)+(N145/MAX(N:N)*$N$1)+(T145/MAX(T:T)*$T$1)</f>
        <v/>
      </c>
      <c r="D145" s="156">
        <f>IFERROR(VLOOKUP(B145,#REF!,7,0),"")</f>
        <v/>
      </c>
      <c r="E145" s="156">
        <f>IFERROR(VLOOKUP(F145,AllPlayers!F:F,1,0),"------------")</f>
        <v/>
      </c>
      <c r="F145" s="156" t="inlineStr">
        <is>
          <t>Robbie Ouzts</t>
        </is>
      </c>
      <c r="G145" s="156" t="inlineStr">
        <is>
          <t>SEA</t>
        </is>
      </c>
      <c r="H145" s="156" t="inlineStr">
        <is>
          <t>QB</t>
        </is>
      </c>
      <c r="I145" s="156" t="n">
        <v>1</v>
      </c>
      <c r="J145" s="179" t="n">
        <v>0</v>
      </c>
      <c r="K145" s="179" t="n">
        <v>0</v>
      </c>
      <c r="L145" s="281">
        <f>IF(J145=0,0,K145/J145)</f>
        <v/>
      </c>
      <c r="M145" s="281">
        <f>K145/17</f>
        <v/>
      </c>
      <c r="N145" s="156" t="n">
        <v>0</v>
      </c>
      <c r="O145" s="156" t="n">
        <v>0</v>
      </c>
      <c r="P145" s="156" t="n">
        <v>0</v>
      </c>
      <c r="Q145" s="156" t="n">
        <v>0</v>
      </c>
      <c r="R145" s="156" t="n">
        <v>0</v>
      </c>
      <c r="S145" s="156" t="n">
        <v>0</v>
      </c>
      <c r="T145" s="156" t="n">
        <v>0</v>
      </c>
      <c r="U145" s="179" t="n">
        <v>0</v>
      </c>
      <c r="W145" s="156">
        <f>INDEX(Matrix!$AA$2:$AA$33, MATCH(G145, Matrix!$AC$2:$AC$33, 0))</f>
        <v/>
      </c>
      <c r="X145" s="156">
        <f>_xlfn.IFNA(MATCH(E143,'Injury Report'!$C$2:$C$6216,0),0)</f>
        <v/>
      </c>
    </row>
    <row r="146" ht="15.6" customHeight="1" s="152">
      <c r="A146" s="212" t="n">
        <v>143</v>
      </c>
      <c r="B146" s="167">
        <f>F146&amp;G146</f>
        <v/>
      </c>
      <c r="C146" s="156">
        <f>(K146/MAX(K:K)*$K$1)+(L146/MAX(L:L)*$L$1)+(M146/MAX(M:M)*$M$1)+(N146/MAX(N:N)*$N$1)+(T146/MAX(T:T)*$T$1)</f>
        <v/>
      </c>
      <c r="D146" s="156">
        <f>IFERROR(VLOOKUP(B146,#REF!,7,0),"")</f>
        <v/>
      </c>
      <c r="E146" s="156">
        <f>IFERROR(VLOOKUP(F146,AllPlayers!F:F,1,0),"------------")</f>
        <v/>
      </c>
      <c r="F146" s="156" t="inlineStr">
        <is>
          <t>Carlos Washington</t>
        </is>
      </c>
      <c r="G146" s="156" t="inlineStr">
        <is>
          <t>ATL</t>
        </is>
      </c>
      <c r="H146" s="156" t="inlineStr">
        <is>
          <t>RB</t>
        </is>
      </c>
      <c r="I146" s="156" t="n">
        <v>7</v>
      </c>
      <c r="J146" s="179" t="n">
        <v>2</v>
      </c>
      <c r="K146" s="179" t="n">
        <v>15</v>
      </c>
      <c r="L146" s="281">
        <f>IF(J146=0,0,K146/J146)</f>
        <v/>
      </c>
      <c r="M146" s="281">
        <f>K146/17</f>
        <v/>
      </c>
      <c r="N146" s="156" t="n">
        <v>0</v>
      </c>
      <c r="O146" s="156" t="n">
        <v>0</v>
      </c>
      <c r="P146" s="156" t="n">
        <v>0</v>
      </c>
      <c r="Q146" s="156" t="n">
        <v>0</v>
      </c>
      <c r="R146" s="156" t="n">
        <v>0</v>
      </c>
      <c r="S146" s="156" t="n">
        <v>0</v>
      </c>
      <c r="T146" s="156" t="n">
        <v>0</v>
      </c>
      <c r="U146" s="179" t="n">
        <v>0</v>
      </c>
      <c r="W146" s="156">
        <f>INDEX(Matrix!$AA$2:$AA$33, MATCH(G146, Matrix!$AC$2:$AC$33, 0))</f>
        <v/>
      </c>
      <c r="X146" s="156">
        <f>_xlfn.IFNA(MATCH(E144,'Injury Report'!$C$2:$C$6216,0),0)</f>
        <v/>
      </c>
    </row>
    <row r="147" ht="15.6" customHeight="1" s="152">
      <c r="A147" s="212" t="n">
        <v>144</v>
      </c>
      <c r="B147" s="167">
        <f>F147&amp;G147</f>
        <v/>
      </c>
      <c r="C147" s="156">
        <f>(K147/MAX(K:K)*$K$1)+(L147/MAX(L:L)*$L$1)+(M147/MAX(M:M)*$M$1)+(N147/MAX(N:N)*$N$1)+(T147/MAX(T:T)*$T$1)</f>
        <v/>
      </c>
      <c r="D147" s="156">
        <f>IFERROR(VLOOKUP(B147,#REF!,7,0),"")</f>
        <v/>
      </c>
      <c r="E147" s="156">
        <f>IFERROR(VLOOKUP(F147,AllPlayers!F:F,1,0),"------------")</f>
        <v/>
      </c>
      <c r="F147" s="156" t="inlineStr">
        <is>
          <t>Scott Matlock</t>
        </is>
      </c>
      <c r="G147" s="156" t="inlineStr">
        <is>
          <t>LAC</t>
        </is>
      </c>
      <c r="H147" s="156" t="inlineStr">
        <is>
          <t>RB</t>
        </is>
      </c>
      <c r="I147" s="156" t="n">
        <v>5</v>
      </c>
      <c r="J147" s="179" t="n">
        <v>3</v>
      </c>
      <c r="K147" s="179" t="n">
        <v>0</v>
      </c>
      <c r="L147" s="281">
        <f>IF(J147=0,0,K147/J147)</f>
        <v/>
      </c>
      <c r="M147" s="281">
        <f>K147/17</f>
        <v/>
      </c>
      <c r="N147" s="156" t="n">
        <v>0</v>
      </c>
      <c r="O147" s="156" t="n">
        <v>0</v>
      </c>
      <c r="P147" s="156" t="n">
        <v>0</v>
      </c>
      <c r="Q147" s="156" t="n">
        <v>0</v>
      </c>
      <c r="R147" s="156" t="n">
        <v>0</v>
      </c>
      <c r="S147" s="156" t="n">
        <v>0</v>
      </c>
      <c r="T147" s="156" t="n">
        <v>0</v>
      </c>
      <c r="U147" s="179" t="n">
        <v>0</v>
      </c>
      <c r="W147" s="156">
        <f>INDEX(Matrix!$AA$2:$AA$33, MATCH(G147, Matrix!$AC$2:$AC$33, 0))</f>
        <v/>
      </c>
      <c r="X147" s="156">
        <f>_xlfn.IFNA(MATCH(E145,'Injury Report'!$C$2:$C$6216,0),0)</f>
        <v/>
      </c>
    </row>
    <row r="148" ht="15.6" customHeight="1" s="152">
      <c r="A148" s="212" t="n">
        <v>145</v>
      </c>
      <c r="B148" s="167">
        <f>F148&amp;G148</f>
        <v/>
      </c>
      <c r="C148" s="156">
        <f>(K148/MAX(K:K)*$K$1)+(L148/MAX(L:L)*$L$1)+(M148/MAX(M:M)*$M$1)+(N148/MAX(N:N)*$N$1)+(T148/MAX(T:T)*$T$1)</f>
        <v/>
      </c>
      <c r="D148" s="156">
        <f>IFERROR(VLOOKUP(B148,#REF!,7,0),"")</f>
        <v/>
      </c>
      <c r="E148" s="156">
        <f>IFERROR(VLOOKUP(F148,AllPlayers!F:F,1,0),"------------")</f>
        <v/>
      </c>
      <c r="F148" s="156" t="inlineStr">
        <is>
          <t>Raheim Sanders</t>
        </is>
      </c>
      <c r="G148" s="156" t="inlineStr">
        <is>
          <t>LAC</t>
        </is>
      </c>
      <c r="H148" s="156" t="inlineStr">
        <is>
          <t>WR</t>
        </is>
      </c>
      <c r="I148" s="156" t="n">
        <v>1</v>
      </c>
      <c r="J148" s="179" t="n">
        <v>3</v>
      </c>
      <c r="K148" s="179" t="n">
        <v>3</v>
      </c>
      <c r="L148" s="281">
        <f>IF(J148=0,0,K148/J148)</f>
        <v/>
      </c>
      <c r="M148" s="281">
        <f>K148/17</f>
        <v/>
      </c>
      <c r="N148" s="156" t="n">
        <v>1</v>
      </c>
      <c r="O148" s="156" t="n">
        <v>0</v>
      </c>
      <c r="P148" s="156" t="n">
        <v>0</v>
      </c>
      <c r="Q148" s="156" t="n">
        <v>0</v>
      </c>
      <c r="R148" s="156" t="n">
        <v>0</v>
      </c>
      <c r="S148" s="156" t="n">
        <v>0</v>
      </c>
      <c r="T148" s="156" t="n">
        <v>0</v>
      </c>
      <c r="U148" s="179" t="n">
        <v>0</v>
      </c>
      <c r="W148" s="156">
        <f>INDEX(Matrix!$AA$2:$AA$33, MATCH(G148, Matrix!$AC$2:$AC$33, 0))</f>
        <v/>
      </c>
      <c r="X148" s="156">
        <f>_xlfn.IFNA(MATCH(E146,'Injury Report'!$C$2:$C$6216,0),0)</f>
        <v/>
      </c>
    </row>
    <row r="149" ht="15.6" customHeight="1" s="152">
      <c r="A149" s="212" t="n">
        <v>146</v>
      </c>
      <c r="B149" s="167">
        <f>F149&amp;G149</f>
        <v/>
      </c>
      <c r="C149" s="156">
        <f>(K149/MAX(K:K)*$K$1)+(L149/MAX(L:L)*$L$1)+(M149/MAX(M:M)*$M$1)+(N149/MAX(N:N)*$N$1)+(T149/MAX(T:T)*$T$1)</f>
        <v/>
      </c>
      <c r="D149" s="156">
        <f>IFERROR(VLOOKUP(B149,#REF!,7,0),"")</f>
        <v/>
      </c>
      <c r="E149" s="156">
        <f>IFERROR(VLOOKUP(F149,AllPlayers!F:F,1,0),"------------")</f>
        <v/>
      </c>
      <c r="F149" s="156" t="inlineStr">
        <is>
          <t>Lan Larison</t>
        </is>
      </c>
      <c r="G149" s="156" t="inlineStr">
        <is>
          <t>NE</t>
        </is>
      </c>
      <c r="H149" s="156" t="inlineStr">
        <is>
          <t>RB</t>
        </is>
      </c>
      <c r="I149" s="156" t="n">
        <v>9</v>
      </c>
      <c r="J149" s="179" t="n">
        <v>5</v>
      </c>
      <c r="K149" s="179" t="n">
        <v>6</v>
      </c>
      <c r="L149" s="281">
        <f>IF(J149=0,0,K149/J149)</f>
        <v/>
      </c>
      <c r="M149" s="281">
        <f>K149/17</f>
        <v/>
      </c>
      <c r="N149" s="156" t="n">
        <v>0</v>
      </c>
      <c r="O149" s="156" t="n">
        <v>0</v>
      </c>
      <c r="P149" s="156" t="n">
        <v>0</v>
      </c>
      <c r="Q149" s="156" t="n">
        <v>0</v>
      </c>
      <c r="R149" s="156" t="n">
        <v>0</v>
      </c>
      <c r="S149" s="156" t="n">
        <v>0</v>
      </c>
      <c r="T149" s="156" t="n">
        <v>0</v>
      </c>
      <c r="U149" s="179" t="n">
        <v>0</v>
      </c>
      <c r="W149" s="156">
        <f>INDEX(Matrix!$AA$2:$AA$33, MATCH(G149, Matrix!$AC$2:$AC$33, 0))</f>
        <v/>
      </c>
      <c r="X149" s="156">
        <f>_xlfn.IFNA(MATCH(E147,'Injury Report'!$C$2:$C$6216,0),0)</f>
        <v/>
      </c>
    </row>
    <row r="150" ht="15.6" customHeight="1" s="152">
      <c r="A150" s="212" t="n">
        <v>147</v>
      </c>
      <c r="B150" s="167">
        <f>F150&amp;G150</f>
        <v/>
      </c>
      <c r="C150" s="156">
        <f>(K150/MAX(K:K)*$K$1)+(L150/MAX(L:L)*$L$1)+(M150/MAX(M:M)*$M$1)+(N150/MAX(N:N)*$N$1)+(T150/MAX(T:T)*$T$1)</f>
        <v/>
      </c>
      <c r="D150" s="156">
        <f>IFERROR(VLOOKUP(B150,#REF!,7,0),"")</f>
        <v/>
      </c>
      <c r="E150" s="156">
        <f>IFERROR(VLOOKUP(F150,AllPlayers!F:F,1,0),"------------")</f>
        <v/>
      </c>
      <c r="F150" s="156" t="inlineStr">
        <is>
          <t>Tyler Badie</t>
        </is>
      </c>
      <c r="G150" s="156" t="inlineStr">
        <is>
          <t>DEN</t>
        </is>
      </c>
      <c r="H150" s="156" t="inlineStr">
        <is>
          <t>WR</t>
        </is>
      </c>
      <c r="I150" s="156" t="n">
        <v>2</v>
      </c>
      <c r="J150" s="179" t="n">
        <v>1</v>
      </c>
      <c r="K150" s="179" t="n">
        <v>3</v>
      </c>
      <c r="L150" s="281">
        <f>IF(J150=0,0,K150/J150)</f>
        <v/>
      </c>
      <c r="M150" s="281">
        <f>K150/17</f>
        <v/>
      </c>
      <c r="N150" s="156" t="n">
        <v>0</v>
      </c>
      <c r="O150" s="156" t="n">
        <v>1</v>
      </c>
      <c r="P150" s="156" t="n">
        <v>0</v>
      </c>
      <c r="Q150" s="156" t="n">
        <v>0</v>
      </c>
      <c r="R150" s="156" t="n">
        <v>0</v>
      </c>
      <c r="S150" s="156" t="n">
        <v>0</v>
      </c>
      <c r="T150" s="156" t="n">
        <v>0</v>
      </c>
      <c r="U150" s="179" t="n">
        <v>0</v>
      </c>
      <c r="W150" s="156">
        <f>INDEX(Matrix!$AA$2:$AA$33, MATCH(G150, Matrix!$AC$2:$AC$33, 0))</f>
        <v/>
      </c>
      <c r="X150" s="156">
        <f>_xlfn.IFNA(MATCH(E148,'Injury Report'!$C$2:$C$6216,0),0)</f>
        <v/>
      </c>
    </row>
    <row r="151" ht="15.6" customHeight="1" s="152">
      <c r="A151" s="212" t="n">
        <v>148</v>
      </c>
      <c r="B151" s="167">
        <f>F151&amp;G151</f>
        <v/>
      </c>
      <c r="C151" s="156">
        <f>(K151/MAX(K:K)*$K$1)+(L151/MAX(L:L)*$L$1)+(M151/MAX(M:M)*$M$1)+(N151/MAX(N:N)*$N$1)+(T151/MAX(T:T)*$T$1)</f>
        <v/>
      </c>
      <c r="D151" s="156">
        <f>IFERROR(VLOOKUP(B151,#REF!,7,0),"")</f>
        <v/>
      </c>
      <c r="E151" s="156">
        <f>IFERROR(VLOOKUP(F151,AllPlayers!F:F,1,0),"------------")</f>
        <v/>
      </c>
      <c r="F151" s="156" t="inlineStr">
        <is>
          <t>Phil Mafah</t>
        </is>
      </c>
      <c r="G151" s="156" t="inlineStr">
        <is>
          <t>DAL</t>
        </is>
      </c>
      <c r="H151" s="156" t="inlineStr">
        <is>
          <t>QB</t>
        </is>
      </c>
      <c r="I151" s="156" t="n">
        <v>5</v>
      </c>
      <c r="J151" s="179" t="n">
        <v>7</v>
      </c>
      <c r="K151" s="179" t="n">
        <v>10.5</v>
      </c>
      <c r="L151" s="281">
        <f>IF(J151=0,0,K151/J151)</f>
        <v/>
      </c>
      <c r="M151" s="281">
        <f>K151/17</f>
        <v/>
      </c>
      <c r="N151" s="156" t="n">
        <v>0</v>
      </c>
      <c r="O151" s="156" t="n">
        <v>0</v>
      </c>
      <c r="P151" s="156" t="n">
        <v>0</v>
      </c>
      <c r="Q151" s="156" t="n">
        <v>0</v>
      </c>
      <c r="R151" s="156" t="n">
        <v>0</v>
      </c>
      <c r="S151" s="156" t="n">
        <v>0</v>
      </c>
      <c r="T151" s="156" t="n">
        <v>4</v>
      </c>
      <c r="U151" s="179" t="n">
        <v>0</v>
      </c>
      <c r="W151" s="156">
        <f>INDEX(Matrix!$AA$2:$AA$33, MATCH(G151, Matrix!$AC$2:$AC$33, 0))</f>
        <v/>
      </c>
      <c r="X151" s="156">
        <f>_xlfn.IFNA(MATCH(E149,'Injury Report'!$C$2:$C$6216,0),0)</f>
        <v/>
      </c>
    </row>
    <row r="152" ht="15.6" customHeight="1" s="152">
      <c r="A152" s="212" t="n">
        <v>149</v>
      </c>
      <c r="B152" s="167">
        <f>F152&amp;G152</f>
        <v/>
      </c>
      <c r="C152" s="156">
        <f>(K152/MAX(K:K)*$K$1)+(L152/MAX(L:L)*$L$1)+(M152/MAX(M:M)*$M$1)+(N152/MAX(N:N)*$N$1)+(T152/MAX(T:T)*$T$1)</f>
        <v/>
      </c>
      <c r="D152" s="156">
        <f>IFERROR(VLOOKUP(B152,#REF!,7,0),"")</f>
        <v/>
      </c>
      <c r="E152" s="156">
        <f>IFERROR(VLOOKUP(F152,AllPlayers!F:F,1,0),"------------")</f>
        <v/>
      </c>
      <c r="F152" s="156" t="inlineStr">
        <is>
          <t>Trayveon Williams</t>
        </is>
      </c>
      <c r="G152" s="156" t="inlineStr">
        <is>
          <t>CLE</t>
        </is>
      </c>
      <c r="H152" s="156" t="inlineStr">
        <is>
          <t>WR</t>
        </is>
      </c>
      <c r="I152" s="156" t="n">
        <v>3</v>
      </c>
      <c r="J152" s="179" t="n">
        <v>8</v>
      </c>
      <c r="K152" s="179" t="n">
        <v>5.1</v>
      </c>
      <c r="L152" s="281">
        <f>IF(J152=0,0,K152/J152)</f>
        <v/>
      </c>
      <c r="M152" s="281">
        <f>K152/17</f>
        <v/>
      </c>
      <c r="N152" s="156" t="n">
        <v>0</v>
      </c>
      <c r="O152" s="156" t="n">
        <v>1</v>
      </c>
      <c r="P152" s="156" t="n">
        <v>0</v>
      </c>
      <c r="Q152" s="156" t="n">
        <v>0</v>
      </c>
      <c r="R152" s="156" t="n">
        <v>0</v>
      </c>
      <c r="S152" s="156" t="n">
        <v>0</v>
      </c>
      <c r="T152" s="156" t="n">
        <v>0</v>
      </c>
      <c r="U152" s="179" t="n">
        <v>0</v>
      </c>
      <c r="W152" s="156">
        <f>INDEX(Matrix!$AA$2:$AA$33, MATCH(G152, Matrix!$AC$2:$AC$33, 0))</f>
        <v/>
      </c>
      <c r="X152" s="156">
        <f>_xlfn.IFNA(MATCH(E150,'Injury Report'!$C$2:$C$6216,0),0)</f>
        <v/>
      </c>
    </row>
    <row r="153" ht="15.6" customHeight="1" s="152">
      <c r="A153" s="212" t="n">
        <v>150</v>
      </c>
      <c r="B153" s="167">
        <f>F153&amp;G153</f>
        <v/>
      </c>
      <c r="C153" s="156">
        <f>(K153/MAX(K:K)*$K$1)+(L153/MAX(L:L)*$L$1)+(M153/MAX(M:M)*$M$1)+(N153/MAX(N:N)*$N$1)+(T153/MAX(T:T)*$T$1)</f>
        <v/>
      </c>
      <c r="D153" s="156">
        <f>IFERROR(VLOOKUP(B153,#REF!,7,0),"")</f>
        <v/>
      </c>
      <c r="E153" s="156">
        <f>IFERROR(VLOOKUP(F153,AllPlayers!F:F,1,0),"------------")</f>
        <v/>
      </c>
      <c r="F153" s="156" t="inlineStr">
        <is>
          <t>George Holani</t>
        </is>
      </c>
      <c r="G153" s="156" t="inlineStr">
        <is>
          <t>SEA</t>
        </is>
      </c>
      <c r="H153" s="156" t="inlineStr">
        <is>
          <t>WR</t>
        </is>
      </c>
      <c r="I153" s="156" t="n">
        <v>2</v>
      </c>
      <c r="J153" s="179" t="n">
        <v>0</v>
      </c>
      <c r="K153" s="179" t="n">
        <v>0</v>
      </c>
      <c r="L153" s="281">
        <f>IF(J153=0,0,K153/J153)</f>
        <v/>
      </c>
      <c r="M153" s="281">
        <f>K153/17</f>
        <v/>
      </c>
      <c r="N153" s="156" t="n">
        <v>0</v>
      </c>
      <c r="O153" s="156" t="n">
        <v>0</v>
      </c>
      <c r="P153" s="156" t="n">
        <v>0</v>
      </c>
      <c r="Q153" s="156" t="n">
        <v>0</v>
      </c>
      <c r="R153" s="156" t="n">
        <v>0</v>
      </c>
      <c r="S153" s="156" t="n">
        <v>0</v>
      </c>
      <c r="T153" s="156" t="n">
        <v>0</v>
      </c>
      <c r="U153" s="179" t="n">
        <v>0</v>
      </c>
      <c r="W153" s="156">
        <f>INDEX(Matrix!$AA$2:$AA$33, MATCH(G153, Matrix!$AC$2:$AC$33, 0))</f>
        <v/>
      </c>
      <c r="X153" s="156">
        <f>_xlfn.IFNA(MATCH(E151,'Injury Report'!$C$2:$C$6216,0),0)</f>
        <v/>
      </c>
    </row>
    <row r="154" ht="15.6" customHeight="1" s="152">
      <c r="A154" s="212" t="n">
        <v>151</v>
      </c>
      <c r="B154" s="167">
        <f>F154&amp;G154</f>
        <v/>
      </c>
      <c r="C154" s="156">
        <f>(K154/MAX(K:K)*$K$1)+(L154/MAX(L:L)*$L$1)+(M154/MAX(M:M)*$M$1)+(N154/MAX(N:N)*$N$1)+(T154/MAX(T:T)*$T$1)</f>
        <v/>
      </c>
      <c r="D154" s="156">
        <f>IFERROR(VLOOKUP(B154,#REF!,7,0),"")</f>
        <v/>
      </c>
      <c r="E154" s="156">
        <f>IFERROR(VLOOKUP(F154,AllPlayers!F:F,1,0),"------------")</f>
        <v/>
      </c>
      <c r="F154" s="156" t="inlineStr">
        <is>
          <t>Avery Williams</t>
        </is>
      </c>
      <c r="G154" s="156" t="inlineStr">
        <is>
          <t>PHI</t>
        </is>
      </c>
      <c r="H154" s="156" t="inlineStr">
        <is>
          <t>QB</t>
        </is>
      </c>
      <c r="I154" s="156" t="n">
        <v>10</v>
      </c>
      <c r="J154" s="179" t="n">
        <v>10</v>
      </c>
      <c r="K154" s="179" t="n">
        <v>5.7</v>
      </c>
      <c r="L154" s="281">
        <f>IF(J154=0,0,K154/J154)</f>
        <v/>
      </c>
      <c r="M154" s="281">
        <f>K154/17</f>
        <v/>
      </c>
      <c r="N154" s="156" t="n">
        <v>0</v>
      </c>
      <c r="O154" s="156" t="n">
        <v>0</v>
      </c>
      <c r="P154" s="156" t="n">
        <v>0</v>
      </c>
      <c r="Q154" s="156" t="n">
        <v>0</v>
      </c>
      <c r="R154" s="156" t="n">
        <v>0</v>
      </c>
      <c r="S154" s="156" t="n">
        <v>0</v>
      </c>
      <c r="T154" s="156" t="n">
        <v>6</v>
      </c>
      <c r="U154" s="179" t="n">
        <v>0.5</v>
      </c>
      <c r="W154" s="156">
        <f>INDEX(Matrix!$AA$2:$AA$33, MATCH(G154, Matrix!$AC$2:$AC$33, 0))</f>
        <v/>
      </c>
      <c r="X154" s="156">
        <f>_xlfn.IFNA(MATCH(E152,'Injury Report'!$C$2:$C$6216,0),0)</f>
        <v/>
      </c>
    </row>
    <row r="155" ht="15.6" customHeight="1" s="152">
      <c r="A155" s="212" t="n">
        <v>152</v>
      </c>
      <c r="B155" s="167">
        <f>F155&amp;G155</f>
        <v/>
      </c>
      <c r="C155" s="156">
        <f>(K155/MAX(K:K)*$K$1)+(L155/MAX(L:L)*$L$1)+(M155/MAX(M:M)*$M$1)+(N155/MAX(N:N)*$N$1)+(T155/MAX(T:T)*$T$1)</f>
        <v/>
      </c>
      <c r="D155" s="156">
        <f>IFERROR(VLOOKUP(B155,#REF!,7,0),"")</f>
        <v/>
      </c>
      <c r="E155" s="156">
        <f>IFERROR(VLOOKUP(F155,AllPlayers!F:F,1,0),"------------")</f>
        <v/>
      </c>
      <c r="F155" s="156" t="inlineStr">
        <is>
          <t>Keilan Robinson</t>
        </is>
      </c>
      <c r="G155" s="156" t="inlineStr">
        <is>
          <t>PHI</t>
        </is>
      </c>
      <c r="H155" s="156" t="inlineStr">
        <is>
          <t>RB</t>
        </is>
      </c>
      <c r="I155" s="156" t="n">
        <v>6</v>
      </c>
      <c r="J155" s="179" t="n">
        <v>11</v>
      </c>
      <c r="K155" s="179" t="n">
        <v>2</v>
      </c>
      <c r="L155" s="281">
        <f>IF(J155=0,0,K155/J155)</f>
        <v/>
      </c>
      <c r="M155" s="281">
        <f>K155/17</f>
        <v/>
      </c>
      <c r="N155" s="156" t="n">
        <v>0</v>
      </c>
      <c r="O155" s="156" t="n">
        <v>0</v>
      </c>
      <c r="P155" s="156" t="n">
        <v>0</v>
      </c>
      <c r="Q155" s="156" t="n">
        <v>0</v>
      </c>
      <c r="R155" s="156" t="n">
        <v>0</v>
      </c>
      <c r="S155" s="156" t="n">
        <v>0</v>
      </c>
      <c r="T155" s="156" t="n">
        <v>0</v>
      </c>
      <c r="U155" s="179" t="n">
        <v>0</v>
      </c>
      <c r="W155" s="156">
        <f>INDEX(Matrix!$AA$2:$AA$33, MATCH(G155, Matrix!$AC$2:$AC$33, 0))</f>
        <v/>
      </c>
      <c r="X155" s="156">
        <f>_xlfn.IFNA(MATCH(E153,'Injury Report'!$C$2:$C$6216,0),0)</f>
        <v/>
      </c>
    </row>
    <row r="156" ht="15.6" customHeight="1" s="152">
      <c r="A156" s="212" t="n">
        <v>153</v>
      </c>
      <c r="B156" s="167">
        <f>F156&amp;G156</f>
        <v/>
      </c>
      <c r="C156" s="156">
        <f>(K156/MAX(K:K)*$K$1)+(L156/MAX(L:L)*$L$1)+(M156/MAX(M:M)*$M$1)+(N156/MAX(N:N)*$N$1)+(T156/MAX(T:T)*$T$1)</f>
        <v/>
      </c>
      <c r="D156" s="156">
        <f>IFERROR(VLOOKUP(B156,#REF!,7,0),"")</f>
        <v/>
      </c>
      <c r="E156" s="156">
        <f>IFERROR(VLOOKUP(F156,AllPlayers!F:F,1,0),"------------")</f>
        <v/>
      </c>
      <c r="F156" s="156" t="inlineStr">
        <is>
          <t>Sione Vaki</t>
        </is>
      </c>
      <c r="G156" s="156" t="inlineStr">
        <is>
          <t>DET</t>
        </is>
      </c>
      <c r="H156" s="156" t="inlineStr">
        <is>
          <t>QB</t>
        </is>
      </c>
      <c r="I156" s="156" t="n">
        <v>16</v>
      </c>
      <c r="J156" s="179" t="n">
        <v>12</v>
      </c>
      <c r="K156" s="179" t="n">
        <v>4.5</v>
      </c>
      <c r="L156" s="281">
        <f>IF(J156=0,0,K156/J156)</f>
        <v/>
      </c>
      <c r="M156" s="281">
        <f>K156/17</f>
        <v/>
      </c>
      <c r="N156" s="156" t="n">
        <v>0</v>
      </c>
      <c r="O156" s="156" t="n">
        <v>0</v>
      </c>
      <c r="P156" s="156" t="n">
        <v>0</v>
      </c>
      <c r="Q156" s="156" t="n">
        <v>0</v>
      </c>
      <c r="R156" s="156" t="n">
        <v>0</v>
      </c>
      <c r="S156" s="156" t="n">
        <v>0</v>
      </c>
      <c r="T156" s="156" t="n">
        <v>6</v>
      </c>
      <c r="U156" s="179" t="n">
        <v>0</v>
      </c>
      <c r="W156" s="156">
        <f>INDEX(Matrix!$AA$2:$AA$33, MATCH(G156, Matrix!$AC$2:$AC$33, 0))</f>
        <v/>
      </c>
      <c r="X156" s="156">
        <f>_xlfn.IFNA(MATCH(E154,'Injury Report'!$C$2:$C$6216,0),0)</f>
        <v/>
      </c>
    </row>
    <row r="157" ht="15.6" customHeight="1" s="152">
      <c r="A157" s="212" t="n">
        <v>154</v>
      </c>
      <c r="B157" s="167">
        <f>F157&amp;G157</f>
        <v/>
      </c>
      <c r="C157" s="156">
        <f>(K157/MAX(K:K)*$K$1)+(L157/MAX(L:L)*$L$1)+(M157/MAX(M:M)*$M$1)+(N157/MAX(N:N)*$N$1)+(T157/MAX(T:T)*$T$1)</f>
        <v/>
      </c>
      <c r="D157" s="156">
        <f>IFERROR(VLOOKUP(B157,#REF!,7,0),"")</f>
        <v/>
      </c>
      <c r="E157" s="156">
        <f>IFERROR(VLOOKUP(F157,AllPlayers!F:F,1,0),"------------")</f>
        <v/>
      </c>
      <c r="F157" s="156" t="inlineStr">
        <is>
          <t>Jamycal Hasty</t>
        </is>
      </c>
      <c r="G157" s="156" t="inlineStr">
        <is>
          <t>NE</t>
        </is>
      </c>
      <c r="H157" s="156" t="inlineStr">
        <is>
          <t>WR</t>
        </is>
      </c>
      <c r="I157" s="156" t="n">
        <v>8</v>
      </c>
      <c r="J157" s="179" t="n">
        <v>13</v>
      </c>
      <c r="K157" s="179" t="n">
        <v>4</v>
      </c>
      <c r="L157" s="281">
        <f>IF(J157=0,0,K157/J157)</f>
        <v/>
      </c>
      <c r="M157" s="281">
        <f>K157/17</f>
        <v/>
      </c>
      <c r="N157" s="156" t="n">
        <v>0</v>
      </c>
      <c r="O157" s="156" t="n">
        <v>0</v>
      </c>
      <c r="P157" s="156" t="n">
        <v>0</v>
      </c>
      <c r="Q157" s="156" t="n">
        <v>0</v>
      </c>
      <c r="R157" s="156" t="n">
        <v>0</v>
      </c>
      <c r="S157" s="156" t="n">
        <v>0</v>
      </c>
      <c r="T157" s="156" t="n">
        <v>0</v>
      </c>
      <c r="U157" s="179" t="n">
        <v>0</v>
      </c>
      <c r="W157" s="156">
        <f>INDEX(Matrix!$AA$2:$AA$33, MATCH(G157, Matrix!$AC$2:$AC$33, 0))</f>
        <v/>
      </c>
      <c r="X157" s="156">
        <f>_xlfn.IFNA(MATCH(E155,'Injury Report'!$C$2:$C$6216,0),0)</f>
        <v/>
      </c>
    </row>
    <row r="158" ht="15.6" customHeight="1" s="152">
      <c r="A158" s="212" t="n">
        <v>155</v>
      </c>
      <c r="B158" s="167">
        <f>F158&amp;G158</f>
        <v/>
      </c>
      <c r="C158" s="156">
        <f>(K158/MAX(K:K)*$K$1)+(L158/MAX(L:L)*$L$1)+(M158/MAX(M:M)*$M$1)+(N158/MAX(N:N)*$N$1)+(T158/MAX(T:T)*$T$1)</f>
        <v/>
      </c>
      <c r="D158" s="156">
        <f>IFERROR(VLOOKUP(B158,#REF!,7,0),"")</f>
        <v/>
      </c>
      <c r="E158" s="156">
        <f>IFERROR(VLOOKUP(F158,AllPlayers!F:F,1,0),"------------")</f>
        <v/>
      </c>
      <c r="F158" s="156" t="inlineStr">
        <is>
          <t>Patrick Taylor</t>
        </is>
      </c>
      <c r="G158" s="156" t="inlineStr">
        <is>
          <t>SF</t>
        </is>
      </c>
      <c r="H158" s="156" t="inlineStr">
        <is>
          <t>RB</t>
        </is>
      </c>
      <c r="I158" s="156" t="n">
        <v>1</v>
      </c>
      <c r="J158" s="179" t="n">
        <v>14</v>
      </c>
      <c r="K158" s="179" t="n">
        <v>4</v>
      </c>
      <c r="L158" s="281">
        <f>IF(J158=0,0,K158/J158)</f>
        <v/>
      </c>
      <c r="M158" s="281">
        <f>K158/17</f>
        <v/>
      </c>
      <c r="N158" s="156" t="n">
        <v>0</v>
      </c>
      <c r="O158" s="156" t="n">
        <v>1</v>
      </c>
      <c r="P158" s="156" t="n">
        <v>1</v>
      </c>
      <c r="Q158" s="156" t="n">
        <v>0</v>
      </c>
      <c r="R158" s="156" t="n">
        <v>0</v>
      </c>
      <c r="S158" s="156" t="n">
        <v>0</v>
      </c>
      <c r="T158" s="156" t="n">
        <v>0</v>
      </c>
      <c r="U158" s="179" t="n">
        <v>0</v>
      </c>
      <c r="W158" s="156">
        <f>INDEX(Matrix!$AA$2:$AA$33, MATCH(G158, Matrix!$AC$2:$AC$33, 0))</f>
        <v/>
      </c>
      <c r="X158" s="156">
        <f>_xlfn.IFNA(MATCH(E156,'Injury Report'!$C$2:$C$6216,0),0)</f>
        <v/>
      </c>
    </row>
    <row r="159" ht="15.6" customHeight="1" s="152">
      <c r="A159" s="212" t="n">
        <v>156</v>
      </c>
      <c r="B159" s="167">
        <f>F159&amp;G159</f>
        <v/>
      </c>
      <c r="C159" s="156">
        <f>(K159/MAX(K:K)*$K$1)+(L159/MAX(L:L)*$L$1)+(M159/MAX(M:M)*$M$1)+(N159/MAX(N:N)*$N$1)+(T159/MAX(T:T)*$T$1)</f>
        <v/>
      </c>
      <c r="D159" s="156">
        <f>IFERROR(VLOOKUP(B159,#REF!,7,0),"")</f>
        <v/>
      </c>
      <c r="E159" s="156">
        <f>IFERROR(VLOOKUP(F159,AllPlayers!F:F,1,0),"------------")</f>
        <v/>
      </c>
      <c r="F159" s="156" t="inlineStr">
        <is>
          <t>D'ernest Johnson</t>
        </is>
      </c>
      <c r="G159" s="156" t="inlineStr">
        <is>
          <t>BAL</t>
        </is>
      </c>
      <c r="H159" s="156" t="inlineStr">
        <is>
          <t>WR</t>
        </is>
      </c>
      <c r="I159" s="156" t="n">
        <v>7</v>
      </c>
      <c r="J159" s="179" t="n">
        <v>15</v>
      </c>
      <c r="K159" s="179" t="n">
        <v>2</v>
      </c>
      <c r="L159" s="281">
        <f>IF(J159=0,0,K159/J159)</f>
        <v/>
      </c>
      <c r="M159" s="281">
        <f>K159/17</f>
        <v/>
      </c>
      <c r="N159" s="156" t="n">
        <v>0</v>
      </c>
      <c r="O159" s="156" t="n">
        <v>0</v>
      </c>
      <c r="P159" s="156" t="n">
        <v>0</v>
      </c>
      <c r="Q159" s="156" t="n">
        <v>0</v>
      </c>
      <c r="R159" s="156" t="n">
        <v>0</v>
      </c>
      <c r="S159" s="156" t="n">
        <v>0</v>
      </c>
      <c r="T159" s="156" t="n">
        <v>1</v>
      </c>
      <c r="U159" s="179" t="n">
        <v>0</v>
      </c>
      <c r="W159" s="156">
        <f>INDEX(Matrix!$AA$2:$AA$33, MATCH(G159, Matrix!$AC$2:$AC$33, 0))</f>
        <v/>
      </c>
      <c r="X159" s="156">
        <f>_xlfn.IFNA(MATCH(E157,'Injury Report'!$C$2:$C$6216,0),0)</f>
        <v/>
      </c>
    </row>
    <row r="160" ht="15.6" customHeight="1" s="152">
      <c r="A160" s="212" t="n">
        <v>157</v>
      </c>
      <c r="B160" s="167">
        <f>F160&amp;G160</f>
        <v/>
      </c>
      <c r="C160" s="156">
        <f>(K160/MAX(K:K)*$K$1)+(L160/MAX(L:L)*$L$1)+(M160/MAX(M:M)*$M$1)+(N160/MAX(N:N)*$N$1)+(T160/MAX(T:T)*$T$1)</f>
        <v/>
      </c>
      <c r="D160" s="156">
        <f>IFERROR(VLOOKUP(B160,#REF!,7,0),"")</f>
        <v/>
      </c>
      <c r="E160" s="156">
        <f>IFERROR(VLOOKUP(F160,AllPlayers!F:F,1,0),"------------")</f>
        <v/>
      </c>
      <c r="F160" s="156" t="inlineStr">
        <is>
          <t>Myles Gaskin</t>
        </is>
      </c>
      <c r="G160" s="156" t="inlineStr">
        <is>
          <t>BAL</t>
        </is>
      </c>
      <c r="H160" s="156" t="inlineStr">
        <is>
          <t>QB</t>
        </is>
      </c>
      <c r="I160" s="156" t="n">
        <v>8</v>
      </c>
      <c r="J160" s="179" t="n">
        <v>16</v>
      </c>
      <c r="K160" s="179" t="n">
        <v>0</v>
      </c>
      <c r="L160" s="281">
        <f>IF(J160=0,0,K160/J160)</f>
        <v/>
      </c>
      <c r="M160" s="281">
        <f>K160/17</f>
        <v/>
      </c>
      <c r="N160" s="156" t="n">
        <v>0</v>
      </c>
      <c r="O160" s="156" t="n">
        <v>1</v>
      </c>
      <c r="P160" s="156" t="n">
        <v>0</v>
      </c>
      <c r="Q160" s="156" t="n">
        <v>0</v>
      </c>
      <c r="R160" s="156" t="n">
        <v>0</v>
      </c>
      <c r="S160" s="156" t="n">
        <v>0</v>
      </c>
      <c r="T160" s="156" t="n">
        <v>4</v>
      </c>
      <c r="U160" s="179" t="n">
        <v>0</v>
      </c>
      <c r="W160" s="156">
        <f>INDEX(Matrix!$AA$2:$AA$33, MATCH(G160, Matrix!$AC$2:$AC$33, 0))</f>
        <v/>
      </c>
      <c r="X160" s="156">
        <f>_xlfn.IFNA(MATCH(E158,'Injury Report'!$C$2:$C$6216,0),0)</f>
        <v/>
      </c>
    </row>
    <row r="161" ht="15.6" customHeight="1" s="152">
      <c r="A161" s="212" t="n">
        <v>158</v>
      </c>
      <c r="B161" s="167">
        <f>F161&amp;G161</f>
        <v/>
      </c>
      <c r="C161" s="156">
        <f>(K161/MAX(K:K)*$K$1)+(L161/MAX(L:L)*$L$1)+(M161/MAX(M:M)*$M$1)+(N161/MAX(N:N)*$N$1)+(T161/MAX(T:T)*$T$1)</f>
        <v/>
      </c>
      <c r="D161" s="156">
        <f>IFERROR(VLOOKUP(B161,#REF!,7,0),"")</f>
        <v/>
      </c>
      <c r="E161" s="156">
        <f>IFERROR(VLOOKUP(F161,AllPlayers!F:F,1,0),"------------")</f>
        <v/>
      </c>
      <c r="F161" s="156" t="inlineStr">
        <is>
          <t>Nyheim Miller-hines</t>
        </is>
      </c>
      <c r="G161" s="156" t="inlineStr">
        <is>
          <t>LAC</t>
        </is>
      </c>
      <c r="H161" s="156" t="inlineStr">
        <is>
          <t>WR</t>
        </is>
      </c>
      <c r="I161" s="156" t="n">
        <v>6</v>
      </c>
      <c r="J161" s="179" t="n">
        <v>17</v>
      </c>
      <c r="K161" s="179" t="n">
        <v>0</v>
      </c>
      <c r="L161" s="281">
        <f>IF(J161=0,0,K161/J161)</f>
        <v/>
      </c>
      <c r="M161" s="281">
        <f>K161/17</f>
        <v/>
      </c>
      <c r="N161" s="156" t="n">
        <v>0</v>
      </c>
      <c r="O161" s="156" t="n">
        <v>0</v>
      </c>
      <c r="P161" s="156" t="n">
        <v>0</v>
      </c>
      <c r="Q161" s="156" t="n">
        <v>0</v>
      </c>
      <c r="R161" s="156" t="n">
        <v>0</v>
      </c>
      <c r="S161" s="156" t="n">
        <v>0</v>
      </c>
      <c r="T161" s="156" t="n">
        <v>0</v>
      </c>
      <c r="U161" s="179" t="n">
        <v>0</v>
      </c>
      <c r="W161" s="156">
        <f>INDEX(Matrix!$AA$2:$AA$33, MATCH(G161, Matrix!$AC$2:$AC$33, 0))</f>
        <v/>
      </c>
      <c r="X161" s="156">
        <f>_xlfn.IFNA(MATCH(E159,'Injury Report'!$C$2:$C$6216,0),0)</f>
        <v/>
      </c>
    </row>
    <row r="162" ht="15.6" customHeight="1" s="152">
      <c r="A162" s="212" t="n">
        <v>159</v>
      </c>
      <c r="B162" s="167">
        <f>F162&amp;G162</f>
        <v/>
      </c>
      <c r="C162" s="156">
        <f>(K162/MAX(K:K)*$K$1)+(L162/MAX(L:L)*$L$1)+(M162/MAX(M:M)*$M$1)+(N162/MAX(N:N)*$N$1)+(T162/MAX(T:T)*$T$1)</f>
        <v/>
      </c>
      <c r="D162" s="156">
        <f>IFERROR(VLOOKUP(B162,#REF!,7,0),"")</f>
        <v/>
      </c>
      <c r="E162" s="156">
        <f>IFERROR(VLOOKUP(F162,AllPlayers!F:F,1,0),"------------")</f>
        <v/>
      </c>
      <c r="F162" s="156" t="inlineStr">
        <is>
          <t>Alexander Mattison</t>
        </is>
      </c>
      <c r="G162" s="156" t="inlineStr">
        <is>
          <t>MIA</t>
        </is>
      </c>
      <c r="H162" s="156" t="inlineStr">
        <is>
          <t>WR</t>
        </is>
      </c>
      <c r="I162" s="156" t="n">
        <v>5</v>
      </c>
      <c r="J162" s="179" t="n">
        <v>18</v>
      </c>
      <c r="K162" s="179" t="n">
        <v>0</v>
      </c>
      <c r="L162" s="281">
        <f>IF(J162=0,0,K162/J162)</f>
        <v/>
      </c>
      <c r="M162" s="281">
        <f>K162/17</f>
        <v/>
      </c>
      <c r="N162" s="156" t="n">
        <v>0</v>
      </c>
      <c r="O162" s="156" t="n">
        <v>0</v>
      </c>
      <c r="P162" s="156" t="n">
        <v>0</v>
      </c>
      <c r="Q162" s="156" t="n">
        <v>0</v>
      </c>
      <c r="R162" s="156" t="n">
        <v>0</v>
      </c>
      <c r="S162" s="156" t="n">
        <v>0</v>
      </c>
      <c r="T162" s="156" t="n">
        <v>0</v>
      </c>
      <c r="U162" s="179" t="n">
        <v>0</v>
      </c>
      <c r="W162" s="156">
        <f>INDEX(Matrix!$AA$2:$AA$33, MATCH(G162, Matrix!$AC$2:$AC$33, 0))</f>
        <v/>
      </c>
      <c r="X162" s="156">
        <f>_xlfn.IFNA(MATCH(E160,'Injury Report'!$C$2:$C$6216,0),0)</f>
        <v/>
      </c>
    </row>
    <row r="163" ht="15.6" customHeight="1" s="152">
      <c r="A163" s="212" t="n">
        <v>160</v>
      </c>
      <c r="B163" s="167">
        <f>F163&amp;G163</f>
        <v/>
      </c>
      <c r="C163" s="156">
        <f>(K163/MAX(K:K)*$K$1)+(L163/MAX(L:L)*$L$1)+(M163/MAX(M:M)*$M$1)+(N163/MAX(N:N)*$N$1)+(T163/MAX(T:T)*$T$1)</f>
        <v/>
      </c>
      <c r="D163" s="156">
        <f>IFERROR(VLOOKUP(B163,#REF!,7,0),"")</f>
        <v/>
      </c>
      <c r="E163" s="156">
        <f>IFERROR(VLOOKUP(F163,AllPlayers!F:F,1,0),"------------")</f>
        <v/>
      </c>
      <c r="F163" s="156" t="inlineStr">
        <is>
          <t>Mike Boone</t>
        </is>
      </c>
      <c r="G163" s="156" t="inlineStr">
        <is>
          <t>MIA</t>
        </is>
      </c>
      <c r="H163" s="156" t="inlineStr">
        <is>
          <t>RB</t>
        </is>
      </c>
      <c r="I163" s="156" t="n">
        <v>5</v>
      </c>
      <c r="J163" s="179" t="n">
        <v>19</v>
      </c>
      <c r="K163" s="179" t="n">
        <v>0</v>
      </c>
      <c r="L163" s="281">
        <f>IF(J163=0,0,K163/J163)</f>
        <v/>
      </c>
      <c r="M163" s="281">
        <f>K163/17</f>
        <v/>
      </c>
      <c r="N163" s="156" t="n">
        <v>0</v>
      </c>
      <c r="O163" s="156" t="n">
        <v>0</v>
      </c>
      <c r="P163" s="156" t="n">
        <v>0</v>
      </c>
      <c r="Q163" s="156" t="n">
        <v>0</v>
      </c>
      <c r="R163" s="156" t="n">
        <v>0</v>
      </c>
      <c r="S163" s="156" t="n">
        <v>0</v>
      </c>
      <c r="T163" s="156" t="n">
        <v>0</v>
      </c>
      <c r="U163" s="179" t="n">
        <v>0</v>
      </c>
      <c r="W163" s="156">
        <f>INDEX(Matrix!$AA$2:$AA$33, MATCH(G163, Matrix!$AC$2:$AC$33, 0))</f>
        <v/>
      </c>
      <c r="X163" s="156">
        <f>_xlfn.IFNA(MATCH(E161,'Injury Report'!$C$2:$C$6216,0),0)</f>
        <v/>
      </c>
    </row>
    <row r="164" ht="15.6" customHeight="1" s="152">
      <c r="A164" s="212" t="n">
        <v>161</v>
      </c>
      <c r="B164" s="167">
        <f>F164&amp;G164</f>
        <v/>
      </c>
      <c r="C164" s="156">
        <f>(K164/MAX(K:K)*$K$1)+(L164/MAX(L:L)*$L$1)+(M164/MAX(M:M)*$M$1)+(N164/MAX(N:N)*$N$1)+(T164/MAX(T:T)*$T$1)</f>
        <v/>
      </c>
      <c r="D164" s="156">
        <f>IFERROR(VLOOKUP(B164,#REF!,7,0),"")</f>
        <v/>
      </c>
      <c r="E164" s="156">
        <f>IFERROR(VLOOKUP(F164,AllPlayers!F:F,1,0),"------------")</f>
        <v/>
      </c>
      <c r="F164" s="156" t="inlineStr">
        <is>
          <t>Andrew Beck</t>
        </is>
      </c>
      <c r="G164" s="156" t="inlineStr">
        <is>
          <t>NYJ</t>
        </is>
      </c>
      <c r="H164" s="156" t="inlineStr">
        <is>
          <t>RB</t>
        </is>
      </c>
      <c r="I164" s="156" t="n">
        <v>4</v>
      </c>
      <c r="J164" s="179" t="n">
        <v>20</v>
      </c>
      <c r="K164" s="179" t="n">
        <v>0</v>
      </c>
      <c r="L164" s="281">
        <f>IF(J164=0,0,K164/J164)</f>
        <v/>
      </c>
      <c r="M164" s="281">
        <f>K164/17</f>
        <v/>
      </c>
      <c r="N164" s="156" t="n">
        <v>0</v>
      </c>
      <c r="O164" s="156" t="n">
        <v>1</v>
      </c>
      <c r="P164" s="156" t="n">
        <v>0</v>
      </c>
      <c r="Q164" s="156" t="n">
        <v>0</v>
      </c>
      <c r="R164" s="156" t="n">
        <v>0</v>
      </c>
      <c r="S164" s="156" t="n">
        <v>0</v>
      </c>
      <c r="T164" s="156" t="n">
        <v>0</v>
      </c>
      <c r="U164" s="179" t="n">
        <v>0</v>
      </c>
      <c r="W164" s="156">
        <f>INDEX(Matrix!$AA$2:$AA$33, MATCH(G164, Matrix!$AC$2:$AC$33, 0))</f>
        <v/>
      </c>
      <c r="X164" s="156">
        <f>_xlfn.IFNA(MATCH(E162,'Injury Report'!$C$2:$C$6216,0),0)</f>
        <v/>
      </c>
    </row>
    <row r="165" ht="15.6" customHeight="1" s="152">
      <c r="A165" s="212" t="n">
        <v>162</v>
      </c>
      <c r="B165" s="167">
        <f>F165&amp;G165</f>
        <v/>
      </c>
      <c r="C165" s="156">
        <f>(K165/MAX(K:K)*$K$1)+(L165/MAX(L:L)*$L$1)+(M165/MAX(M:M)*$M$1)+(N165/MAX(N:N)*$N$1)+(T165/MAX(T:T)*$T$1)</f>
        <v/>
      </c>
      <c r="D165" s="156">
        <f>IFERROR(VLOOKUP(B165,#REF!,7,0),"")</f>
        <v/>
      </c>
      <c r="E165" s="156">
        <f>IFERROR(VLOOKUP(F165,AllPlayers!F:F,1,0),"------------")</f>
        <v/>
      </c>
      <c r="F165" s="156" t="inlineStr">
        <is>
          <t>Jakob Johnson</t>
        </is>
      </c>
      <c r="G165" s="156" t="inlineStr">
        <is>
          <t>HOU</t>
        </is>
      </c>
      <c r="H165" s="156" t="inlineStr">
        <is>
          <t>QB</t>
        </is>
      </c>
      <c r="I165" s="156" t="n">
        <v>1</v>
      </c>
      <c r="J165" s="179" t="n">
        <v>0</v>
      </c>
      <c r="K165" s="179" t="n">
        <v>0</v>
      </c>
      <c r="L165" s="281">
        <f>IF(J165=0,0,K165/J165)</f>
        <v/>
      </c>
      <c r="M165" s="281">
        <f>K165/17</f>
        <v/>
      </c>
      <c r="N165" s="156" t="n">
        <v>0</v>
      </c>
      <c r="O165" s="156" t="n">
        <v>0</v>
      </c>
      <c r="P165" s="156" t="n">
        <v>0</v>
      </c>
      <c r="Q165" s="156" t="n">
        <v>0</v>
      </c>
      <c r="R165" s="156" t="n">
        <v>0</v>
      </c>
      <c r="S165" s="156" t="n">
        <v>0</v>
      </c>
      <c r="T165" s="156" t="n">
        <v>0</v>
      </c>
      <c r="U165" s="179" t="n">
        <v>0</v>
      </c>
      <c r="W165" s="156">
        <f>INDEX(Matrix!$AA$2:$AA$33, MATCH(G165, Matrix!$AC$2:$AC$33, 0))</f>
        <v/>
      </c>
      <c r="X165" s="156">
        <f>_xlfn.IFNA(MATCH(E163,'Injury Report'!$C$2:$C$6216,0),0)</f>
        <v/>
      </c>
    </row>
    <row r="166" ht="15.6" customHeight="1" s="152">
      <c r="A166" s="212" t="n">
        <v>163</v>
      </c>
      <c r="B166" s="167">
        <f>F166&amp;G166</f>
        <v/>
      </c>
      <c r="C166" s="156">
        <f>(K166/MAX(K:K)*$K$1)+(L166/MAX(L:L)*$L$1)+(M166/MAX(M:M)*$M$1)+(N166/MAX(N:N)*$N$1)+(T166/MAX(T:T)*$T$1)</f>
        <v/>
      </c>
      <c r="D166" s="156">
        <f>IFERROR(VLOOKUP(B166,#REF!,7,0),"")</f>
        <v/>
      </c>
      <c r="E166" s="156">
        <f>IFERROR(VLOOKUP(F166,AllPlayers!F:F,1,0),"------------")</f>
        <v/>
      </c>
      <c r="F166" s="156" t="inlineStr">
        <is>
          <t>Ke'shawn Vaughn</t>
        </is>
      </c>
      <c r="G166" s="156" t="inlineStr">
        <is>
          <t>SF</t>
        </is>
      </c>
      <c r="H166" s="156" t="inlineStr">
        <is>
          <t>WR</t>
        </is>
      </c>
      <c r="I166" s="156" t="n">
        <v>5</v>
      </c>
      <c r="J166" s="179" t="n">
        <v>22</v>
      </c>
      <c r="K166" s="179" t="n">
        <v>0</v>
      </c>
      <c r="L166" s="281">
        <f>IF(J166=0,0,K166/J166)</f>
        <v/>
      </c>
      <c r="M166" s="281">
        <f>K166/17</f>
        <v/>
      </c>
      <c r="N166" s="156" t="n">
        <v>0</v>
      </c>
      <c r="O166" s="156" t="n">
        <v>0</v>
      </c>
      <c r="P166" s="156" t="n">
        <v>0</v>
      </c>
      <c r="Q166" s="156" t="n">
        <v>0</v>
      </c>
      <c r="R166" s="156" t="n">
        <v>0</v>
      </c>
      <c r="S166" s="156" t="n">
        <v>0</v>
      </c>
      <c r="T166" s="156" t="n">
        <v>0</v>
      </c>
      <c r="U166" s="179" t="n">
        <v>0</v>
      </c>
      <c r="W166" s="156">
        <f>INDEX(Matrix!$AA$2:$AA$33, MATCH(G166, Matrix!$AC$2:$AC$33, 0))</f>
        <v/>
      </c>
      <c r="X166" s="156">
        <f>_xlfn.IFNA(MATCH(E164,'Injury Report'!$C$2:$C$6216,0),0)</f>
        <v/>
      </c>
    </row>
    <row r="167" ht="15.6" customHeight="1" s="152">
      <c r="A167" s="212" t="n">
        <v>164</v>
      </c>
      <c r="B167" s="167">
        <f>F167&amp;G167</f>
        <v/>
      </c>
      <c r="C167" s="156">
        <f>(K167/MAX(K:K)*$K$1)+(L167/MAX(L:L)*$L$1)+(M167/MAX(M:M)*$M$1)+(N167/MAX(N:N)*$N$1)+(T167/MAX(T:T)*$T$1)</f>
        <v/>
      </c>
      <c r="D167" s="156">
        <f>IFERROR(VLOOKUP(B167,#REF!,7,0),"")</f>
        <v/>
      </c>
      <c r="E167" s="156">
        <f>IFERROR(VLOOKUP(F167,AllPlayers!F:F,1,0),"------------")</f>
        <v/>
      </c>
      <c r="F167" s="156" t="inlineStr">
        <is>
          <t>Salvon Ahmed</t>
        </is>
      </c>
      <c r="G167" s="156" t="inlineStr">
        <is>
          <t>IND</t>
        </is>
      </c>
      <c r="H167" s="156" t="inlineStr">
        <is>
          <t>WR</t>
        </is>
      </c>
      <c r="I167" s="156" t="n">
        <v>5</v>
      </c>
      <c r="J167" s="179" t="n">
        <v>23</v>
      </c>
      <c r="K167" s="179" t="n">
        <v>0</v>
      </c>
      <c r="L167" s="281">
        <f>IF(J167=0,0,K167/J167)</f>
        <v/>
      </c>
      <c r="M167" s="281">
        <f>K167/17</f>
        <v/>
      </c>
      <c r="N167" s="156" t="n">
        <v>0</v>
      </c>
      <c r="O167" s="156" t="n">
        <v>0</v>
      </c>
      <c r="P167" s="156" t="n">
        <v>0</v>
      </c>
      <c r="Q167" s="156" t="n">
        <v>0</v>
      </c>
      <c r="R167" s="156" t="n">
        <v>0</v>
      </c>
      <c r="S167" s="156" t="n">
        <v>0</v>
      </c>
      <c r="T167" s="156" t="n">
        <v>0</v>
      </c>
      <c r="U167" s="179" t="n">
        <v>0</v>
      </c>
      <c r="W167" s="156">
        <f>INDEX(Matrix!$AA$2:$AA$33, MATCH(G167, Matrix!$AC$2:$AC$33, 0))</f>
        <v/>
      </c>
      <c r="X167" s="156">
        <f>_xlfn.IFNA(MATCH(E165,'Injury Report'!$C$2:$C$6216,0),0)</f>
        <v/>
      </c>
    </row>
    <row r="168" ht="15.6" customHeight="1" s="152">
      <c r="A168" s="212" t="n">
        <v>165</v>
      </c>
      <c r="B168" s="167">
        <f>F168&amp;G168</f>
        <v/>
      </c>
      <c r="C168" s="156">
        <f>(K168/MAX(K:K)*$K$1)+(L168/MAX(L:L)*$L$1)+(M168/MAX(M:M)*$M$1)+(N168/MAX(N:N)*$N$1)+(T168/MAX(T:T)*$T$1)</f>
        <v/>
      </c>
      <c r="D168" s="156">
        <f>IFERROR(VLOOKUP(B168,#REF!,7,0),"")</f>
        <v/>
      </c>
      <c r="E168" s="156">
        <f>IFERROR(VLOOKUP(F168,AllPlayers!F:F,1,0),"------------")</f>
        <v/>
      </c>
      <c r="F168" s="156" t="inlineStr">
        <is>
          <t>Reggie Gilliam</t>
        </is>
      </c>
      <c r="G168" s="156" t="inlineStr">
        <is>
          <t>BUF</t>
        </is>
      </c>
      <c r="H168" s="156" t="inlineStr">
        <is>
          <t>RB</t>
        </is>
      </c>
      <c r="I168" s="156" t="n">
        <v>1</v>
      </c>
      <c r="J168" s="179" t="n">
        <v>0</v>
      </c>
      <c r="K168" s="179" t="n">
        <v>0</v>
      </c>
      <c r="L168" s="281">
        <f>IF(J168=0,0,K168/J168)</f>
        <v/>
      </c>
      <c r="M168" s="281">
        <f>K168/17</f>
        <v/>
      </c>
      <c r="N168" s="156" t="n">
        <v>0</v>
      </c>
      <c r="O168" s="156" t="n">
        <v>0</v>
      </c>
      <c r="P168" s="156" t="n">
        <v>0</v>
      </c>
      <c r="Q168" s="156" t="n">
        <v>0</v>
      </c>
      <c r="R168" s="156" t="n">
        <v>0</v>
      </c>
      <c r="S168" s="156" t="n">
        <v>0</v>
      </c>
      <c r="T168" s="156" t="n">
        <v>0</v>
      </c>
      <c r="U168" s="179" t="n">
        <v>0</v>
      </c>
      <c r="W168" s="156">
        <f>INDEX(Matrix!$AA$2:$AA$33, MATCH(G168, Matrix!$AC$2:$AC$33, 0))</f>
        <v/>
      </c>
      <c r="X168" s="156">
        <f>_xlfn.IFNA(MATCH(E166,'Injury Report'!$C$2:$C$6216,0),0)</f>
        <v/>
      </c>
    </row>
    <row r="169" ht="15.6" customHeight="1" s="152">
      <c r="A169" s="212" t="n">
        <v>166</v>
      </c>
      <c r="B169" s="167">
        <f>F169&amp;G169</f>
        <v/>
      </c>
      <c r="C169" s="156">
        <f>(K169/MAX(K:K)*$K$1)+(L169/MAX(L:L)*$L$1)+(M169/MAX(M:M)*$M$1)+(N169/MAX(N:N)*$N$1)+(T169/MAX(T:T)*$T$1)</f>
        <v/>
      </c>
      <c r="D169" s="156">
        <f>IFERROR(VLOOKUP(B169,#REF!,7,0),"")</f>
        <v/>
      </c>
      <c r="E169" s="156">
        <f>IFERROR(VLOOKUP(F169,AllPlayers!F:F,1,0),"------------")</f>
        <v/>
      </c>
      <c r="F169" s="156" t="inlineStr">
        <is>
          <t>Jonathan Ward</t>
        </is>
      </c>
      <c r="G169" s="156" t="inlineStr">
        <is>
          <t>NYG</t>
        </is>
      </c>
      <c r="H169" s="156" t="inlineStr">
        <is>
          <t>WR</t>
        </is>
      </c>
      <c r="I169" s="156" t="n">
        <v>4</v>
      </c>
      <c r="J169" s="179" t="n">
        <v>25</v>
      </c>
      <c r="K169" s="179" t="n">
        <v>0</v>
      </c>
      <c r="L169" s="281">
        <f>IF(J169=0,0,K169/J169)</f>
        <v/>
      </c>
      <c r="M169" s="281">
        <f>K169/17</f>
        <v/>
      </c>
      <c r="N169" s="156" t="n">
        <v>0</v>
      </c>
      <c r="O169" s="156" t="n">
        <v>0</v>
      </c>
      <c r="P169" s="156" t="n">
        <v>0</v>
      </c>
      <c r="Q169" s="156" t="n">
        <v>0</v>
      </c>
      <c r="R169" s="156" t="n">
        <v>0</v>
      </c>
      <c r="S169" s="156" t="n">
        <v>0</v>
      </c>
      <c r="T169" s="156" t="n">
        <v>0</v>
      </c>
      <c r="U169" s="179" t="n">
        <v>0</v>
      </c>
      <c r="W169" s="156">
        <f>INDEX(Matrix!$AA$2:$AA$33, MATCH(G169, Matrix!$AC$2:$AC$33, 0))</f>
        <v/>
      </c>
      <c r="X169" s="156">
        <f>_xlfn.IFNA(MATCH(E167,'Injury Report'!$C$2:$C$6216,0),0)</f>
        <v/>
      </c>
    </row>
    <row r="170" ht="15.6" customHeight="1" s="152">
      <c r="A170" s="212" t="n">
        <v>167</v>
      </c>
      <c r="B170" s="167">
        <f>F170&amp;G170</f>
        <v/>
      </c>
      <c r="C170" s="156">
        <f>(K170/MAX(K:K)*$K$1)+(L170/MAX(L:L)*$L$1)+(M170/MAX(M:M)*$M$1)+(N170/MAX(N:N)*$N$1)+(T170/MAX(T:T)*$T$1)</f>
        <v/>
      </c>
      <c r="D170" s="156">
        <f>IFERROR(VLOOKUP(B170,#REF!,7,0),"")</f>
        <v/>
      </c>
      <c r="E170" s="156">
        <f>IFERROR(VLOOKUP(F170,AllPlayers!F:F,1,0),"------------")</f>
        <v/>
      </c>
      <c r="F170" s="156" t="inlineStr">
        <is>
          <t>Jermar Jefferson</t>
        </is>
      </c>
      <c r="G170" s="156" t="inlineStr">
        <is>
          <t>TEN</t>
        </is>
      </c>
      <c r="H170" s="156" t="inlineStr">
        <is>
          <t>WR</t>
        </is>
      </c>
      <c r="I170" s="156" t="n">
        <v>2</v>
      </c>
      <c r="J170" s="179" t="n">
        <v>26</v>
      </c>
      <c r="K170" s="179" t="n">
        <v>0</v>
      </c>
      <c r="L170" s="281">
        <f>IF(J170=0,0,K170/J170)</f>
        <v/>
      </c>
      <c r="M170" s="281">
        <f>K170/17</f>
        <v/>
      </c>
      <c r="N170" s="156" t="n">
        <v>0</v>
      </c>
      <c r="O170" s="156" t="n">
        <v>1</v>
      </c>
      <c r="P170" s="156" t="n">
        <v>0</v>
      </c>
      <c r="Q170" s="156" t="n">
        <v>0</v>
      </c>
      <c r="R170" s="156" t="n">
        <v>0</v>
      </c>
      <c r="S170" s="156" t="n">
        <v>0</v>
      </c>
      <c r="T170" s="156" t="n">
        <v>0</v>
      </c>
      <c r="U170" s="179" t="n">
        <v>0</v>
      </c>
      <c r="W170" s="156">
        <f>INDEX(Matrix!$AA$2:$AA$33, MATCH(G170, Matrix!$AC$2:$AC$33, 0))</f>
        <v/>
      </c>
      <c r="X170" s="156">
        <f>_xlfn.IFNA(MATCH(E168,'Injury Report'!$C$2:$C$6216,0),0)</f>
        <v/>
      </c>
    </row>
    <row r="171" ht="15.6" customHeight="1" s="152">
      <c r="A171" s="212" t="n">
        <v>168</v>
      </c>
      <c r="B171" s="167">
        <f>F171&amp;G171</f>
        <v/>
      </c>
      <c r="C171" s="156">
        <f>(K171/MAX(K:K)*$K$1)+(L171/MAX(L:L)*$L$1)+(M171/MAX(M:M)*$M$1)+(N171/MAX(N:N)*$N$1)+(T171/MAX(T:T)*$T$1)</f>
        <v/>
      </c>
      <c r="D171" s="156">
        <f>IFERROR(VLOOKUP(B171,#REF!,7,0),"")</f>
        <v/>
      </c>
      <c r="E171" s="156">
        <f>IFERROR(VLOOKUP(F171,AllPlayers!F:F,1,0),"------------")</f>
        <v/>
      </c>
      <c r="F171" s="156" t="inlineStr">
        <is>
          <t>Demetric Felton</t>
        </is>
      </c>
      <c r="G171" s="156" t="inlineStr">
        <is>
          <t>WAS</t>
        </is>
      </c>
      <c r="H171" s="156" t="inlineStr">
        <is>
          <t>RB</t>
        </is>
      </c>
      <c r="I171" s="156" t="n">
        <v>3</v>
      </c>
      <c r="J171" s="179" t="n">
        <v>27</v>
      </c>
      <c r="K171" s="179" t="n">
        <v>0</v>
      </c>
      <c r="L171" s="281">
        <f>IF(J171=0,0,K171/J171)</f>
        <v/>
      </c>
      <c r="M171" s="281">
        <f>K171/17</f>
        <v/>
      </c>
      <c r="N171" s="156" t="n">
        <v>0</v>
      </c>
      <c r="O171" s="156" t="n">
        <v>0</v>
      </c>
      <c r="P171" s="156" t="n">
        <v>0</v>
      </c>
      <c r="Q171" s="156" t="n">
        <v>0</v>
      </c>
      <c r="R171" s="156" t="n">
        <v>0</v>
      </c>
      <c r="S171" s="156" t="n">
        <v>0</v>
      </c>
      <c r="T171" s="156" t="n">
        <v>0</v>
      </c>
      <c r="U171" s="179" t="n">
        <v>0</v>
      </c>
      <c r="W171" s="156">
        <f>INDEX(Matrix!$AA$2:$AA$33, MATCH(G171, Matrix!$AC$2:$AC$33, 0))</f>
        <v/>
      </c>
      <c r="X171" s="156">
        <f>_xlfn.IFNA(MATCH(E169,'Injury Report'!$C$2:$C$6216,0),0)</f>
        <v/>
      </c>
    </row>
    <row r="172" ht="15.6" customHeight="1" s="152">
      <c r="A172" s="212" t="n">
        <v>169</v>
      </c>
      <c r="B172" s="167">
        <f>F172&amp;G172</f>
        <v/>
      </c>
      <c r="C172" s="156">
        <f>(K172/MAX(K:K)*$K$1)+(L172/MAX(L:L)*$L$1)+(M172/MAX(M:M)*$M$1)+(N172/MAX(N:N)*$N$1)+(T172/MAX(T:T)*$T$1)</f>
        <v/>
      </c>
      <c r="D172" s="156">
        <f>IFERROR(VLOOKUP(B172,#REF!,7,0),"")</f>
        <v/>
      </c>
      <c r="E172" s="156">
        <f>IFERROR(VLOOKUP(F172,AllPlayers!F:F,1,0),"------------")</f>
        <v/>
      </c>
      <c r="F172" s="156" t="inlineStr">
        <is>
          <t>Kene Nwangwu</t>
        </is>
      </c>
      <c r="G172" s="156" t="inlineStr">
        <is>
          <t>NYJ</t>
        </is>
      </c>
      <c r="H172" s="156" t="inlineStr">
        <is>
          <t>WR</t>
        </is>
      </c>
      <c r="I172" s="156" t="n">
        <v>1</v>
      </c>
      <c r="J172" s="179" t="n">
        <v>0</v>
      </c>
      <c r="K172" s="179" t="n">
        <v>0</v>
      </c>
      <c r="L172" s="281">
        <f>IF(J172=0,0,K172/J172)</f>
        <v/>
      </c>
      <c r="M172" s="281">
        <f>K172/17</f>
        <v/>
      </c>
      <c r="N172" s="156" t="n">
        <v>0</v>
      </c>
      <c r="O172" s="156" t="n">
        <v>0</v>
      </c>
      <c r="P172" s="156" t="n">
        <v>0</v>
      </c>
      <c r="Q172" s="156" t="n">
        <v>0</v>
      </c>
      <c r="R172" s="156" t="n">
        <v>0</v>
      </c>
      <c r="S172" s="156" t="n">
        <v>0</v>
      </c>
      <c r="T172" s="156" t="n">
        <v>0</v>
      </c>
      <c r="U172" s="179" t="n">
        <v>0</v>
      </c>
      <c r="W172" s="156">
        <f>INDEX(Matrix!$AA$2:$AA$33, MATCH(G172, Matrix!$AC$2:$AC$33, 0))</f>
        <v/>
      </c>
      <c r="X172" s="156">
        <f>_xlfn.IFNA(MATCH(E170,'Injury Report'!$C$2:$C$6216,0),0)</f>
        <v/>
      </c>
    </row>
    <row r="173" ht="15.6" customHeight="1" s="152">
      <c r="A173" s="212" t="n">
        <v>170</v>
      </c>
      <c r="B173" s="167">
        <f>F173&amp;G173</f>
        <v/>
      </c>
      <c r="C173" s="156">
        <f>(K173/MAX(K:K)*$K$1)+(L173/MAX(L:L)*$L$1)+(M173/MAX(M:M)*$M$1)+(N173/MAX(N:N)*$N$1)+(T173/MAX(T:T)*$T$1)</f>
        <v/>
      </c>
      <c r="D173" s="156">
        <f>IFERROR(VLOOKUP(B173,#REF!,7,0),"")</f>
        <v/>
      </c>
      <c r="E173" s="156">
        <f>IFERROR(VLOOKUP(F173,AllPlayers!F:F,1,0),"------------")</f>
        <v/>
      </c>
      <c r="F173" s="156" t="inlineStr">
        <is>
          <t>Jaret Patterson</t>
        </is>
      </c>
      <c r="G173" s="156" t="inlineStr">
        <is>
          <t>LAC</t>
        </is>
      </c>
      <c r="H173" s="156" t="inlineStr">
        <is>
          <t>WR</t>
        </is>
      </c>
      <c r="I173" s="156" t="n">
        <v>6</v>
      </c>
      <c r="J173" s="179" t="n">
        <v>29</v>
      </c>
      <c r="K173" s="179" t="n">
        <v>0</v>
      </c>
      <c r="L173" s="281">
        <f>IF(J173=0,0,K173/J173)</f>
        <v/>
      </c>
      <c r="M173" s="281">
        <f>K173/17</f>
        <v/>
      </c>
      <c r="N173" s="156" t="n">
        <v>0</v>
      </c>
      <c r="O173" s="156" t="n">
        <v>0</v>
      </c>
      <c r="P173" s="156" t="n">
        <v>0</v>
      </c>
      <c r="Q173" s="156" t="n">
        <v>0</v>
      </c>
      <c r="R173" s="156" t="n">
        <v>0</v>
      </c>
      <c r="S173" s="156" t="n">
        <v>0</v>
      </c>
      <c r="T173" s="156" t="n">
        <v>0</v>
      </c>
      <c r="U173" s="179" t="n">
        <v>0</v>
      </c>
      <c r="W173" s="156">
        <f>INDEX(Matrix!$AA$2:$AA$33, MATCH(G173, Matrix!$AC$2:$AC$33, 0))</f>
        <v/>
      </c>
      <c r="X173" s="156">
        <f>_xlfn.IFNA(MATCH(E171,'Injury Report'!$C$2:$C$6216,0),0)</f>
        <v/>
      </c>
    </row>
    <row r="174" ht="15.6" customHeight="1" s="152">
      <c r="A174" s="212" t="n">
        <v>171</v>
      </c>
      <c r="B174" s="167">
        <f>F174&amp;G174</f>
        <v/>
      </c>
      <c r="C174" s="156">
        <f>(K174/MAX(K:K)*$K$1)+(L174/MAX(L:L)*$L$1)+(M174/MAX(M:M)*$M$1)+(N174/MAX(N:N)*$N$1)+(T174/MAX(T:T)*$T$1)</f>
        <v/>
      </c>
      <c r="D174" s="156">
        <f>IFERROR(VLOOKUP(B174,#REF!,7,0),"")</f>
        <v/>
      </c>
      <c r="E174" s="156">
        <f>IFERROR(VLOOKUP(F174,AllPlayers!F:F,1,0),"------------")</f>
        <v/>
      </c>
      <c r="F174" s="156" t="inlineStr">
        <is>
          <t>Deon Jackson</t>
        </is>
      </c>
      <c r="G174" s="156" t="inlineStr">
        <is>
          <t>DET</t>
        </is>
      </c>
      <c r="H174" s="156" t="inlineStr">
        <is>
          <t>WR</t>
        </is>
      </c>
      <c r="I174" s="156" t="n">
        <v>4</v>
      </c>
      <c r="J174" s="179" t="n">
        <v>30</v>
      </c>
      <c r="K174" s="179" t="n">
        <v>0</v>
      </c>
      <c r="L174" s="281">
        <f>IF(J174=0,0,K174/J174)</f>
        <v/>
      </c>
      <c r="M174" s="281">
        <f>K174/17</f>
        <v/>
      </c>
      <c r="N174" s="156" t="n">
        <v>0</v>
      </c>
      <c r="O174" s="156" t="n">
        <v>0</v>
      </c>
      <c r="P174" s="156" t="n">
        <v>0</v>
      </c>
      <c r="Q174" s="156" t="n">
        <v>0</v>
      </c>
      <c r="R174" s="156" t="n">
        <v>0</v>
      </c>
      <c r="S174" s="156" t="n">
        <v>0</v>
      </c>
      <c r="T174" s="156" t="n">
        <v>0</v>
      </c>
      <c r="U174" s="179" t="n">
        <v>0</v>
      </c>
      <c r="W174" s="156">
        <f>INDEX(Matrix!$AA$2:$AA$33, MATCH(G174, Matrix!$AC$2:$AC$33, 0))</f>
        <v/>
      </c>
      <c r="X174" s="156">
        <f>_xlfn.IFNA(MATCH(E172,'Injury Report'!$C$2:$C$6216,0),0)</f>
        <v/>
      </c>
    </row>
    <row r="175" ht="15.6" customHeight="1" s="152">
      <c r="A175" s="212" t="n">
        <v>172</v>
      </c>
      <c r="B175" s="167">
        <f>F175&amp;G175</f>
        <v/>
      </c>
      <c r="C175" s="156">
        <f>(K175/MAX(K:K)*$K$1)+(L175/MAX(L:L)*$L$1)+(M175/MAX(M:M)*$M$1)+(N175/MAX(N:N)*$N$1)+(T175/MAX(T:T)*$T$1)</f>
        <v/>
      </c>
      <c r="D175" s="156">
        <f>IFERROR(VLOOKUP(B175,#REF!,7,0),"")</f>
        <v/>
      </c>
      <c r="E175" s="156">
        <f>IFERROR(VLOOKUP(F175,AllPlayers!F:F,1,0),"------------")</f>
        <v/>
      </c>
      <c r="F175" s="156" t="inlineStr">
        <is>
          <t>Adam Prentice</t>
        </is>
      </c>
      <c r="G175" s="156" t="inlineStr">
        <is>
          <t>DEN</t>
        </is>
      </c>
      <c r="H175" s="156" t="inlineStr">
        <is>
          <t>WR</t>
        </is>
      </c>
      <c r="I175" s="156" t="n">
        <v>1</v>
      </c>
      <c r="J175" s="179" t="n">
        <v>0</v>
      </c>
      <c r="K175" s="179" t="n">
        <v>0</v>
      </c>
      <c r="L175" s="281">
        <f>IF(J175=0,0,K175/J175)</f>
        <v/>
      </c>
      <c r="M175" s="281">
        <f>K175/17</f>
        <v/>
      </c>
      <c r="N175" s="156" t="n">
        <v>0</v>
      </c>
      <c r="O175" s="156" t="n">
        <v>0</v>
      </c>
      <c r="P175" s="156" t="n">
        <v>0</v>
      </c>
      <c r="Q175" s="156" t="n">
        <v>0</v>
      </c>
      <c r="R175" s="156" t="n">
        <v>0</v>
      </c>
      <c r="S175" s="156" t="n">
        <v>0</v>
      </c>
      <c r="T175" s="156" t="n">
        <v>0</v>
      </c>
      <c r="U175" s="179" t="n">
        <v>0</v>
      </c>
      <c r="W175" s="156">
        <f>INDEX(Matrix!$AA$2:$AA$33, MATCH(G175, Matrix!$AC$2:$AC$33, 0))</f>
        <v/>
      </c>
      <c r="X175" s="156">
        <f>_xlfn.IFNA(MATCH(E173,'Injury Report'!$C$2:$C$6216,0),0)</f>
        <v/>
      </c>
    </row>
    <row r="176" ht="15.6" customHeight="1" s="152">
      <c r="A176" s="212" t="n">
        <v>173</v>
      </c>
      <c r="B176" s="167">
        <f>F176&amp;G176</f>
        <v/>
      </c>
      <c r="C176" s="156">
        <f>(K176/MAX(K:K)*$K$1)+(L176/MAX(L:L)*$L$1)+(M176/MAX(M:M)*$M$1)+(N176/MAX(N:N)*$N$1)+(T176/MAX(T:T)*$T$1)</f>
        <v/>
      </c>
      <c r="D176" s="156">
        <f>IFERROR(VLOOKUP(B176,#REF!,7,0),"")</f>
        <v/>
      </c>
      <c r="E176" s="156">
        <f>IFERROR(VLOOKUP(F176,AllPlayers!F:F,1,0),"------------")</f>
        <v/>
      </c>
      <c r="F176" s="156" t="inlineStr">
        <is>
          <t>Tyrion Davis-price</t>
        </is>
      </c>
      <c r="G176" s="156" t="inlineStr">
        <is>
          <t>GB</t>
        </is>
      </c>
      <c r="H176" s="156" t="inlineStr">
        <is>
          <t>QB</t>
        </is>
      </c>
      <c r="I176" s="156" t="n">
        <v>4</v>
      </c>
      <c r="J176" s="179" t="n">
        <v>32</v>
      </c>
      <c r="K176" s="179" t="n">
        <v>0</v>
      </c>
      <c r="L176" s="281">
        <f>IF(J176=0,0,K176/J176)</f>
        <v/>
      </c>
      <c r="M176" s="281">
        <f>K176/17</f>
        <v/>
      </c>
      <c r="N176" s="156" t="n">
        <v>0</v>
      </c>
      <c r="O176" s="156" t="n">
        <v>0</v>
      </c>
      <c r="P176" s="156" t="n">
        <v>0</v>
      </c>
      <c r="Q176" s="156" t="n">
        <v>0</v>
      </c>
      <c r="R176" s="156" t="n">
        <v>0</v>
      </c>
      <c r="S176" s="156" t="n">
        <v>0</v>
      </c>
      <c r="T176" s="156" t="n">
        <v>0</v>
      </c>
      <c r="U176" s="179" t="n">
        <v>0</v>
      </c>
      <c r="W176" s="156">
        <f>INDEX(Matrix!$AA$2:$AA$33, MATCH(G176, Matrix!$AC$2:$AC$33, 0))</f>
        <v/>
      </c>
      <c r="X176" s="156">
        <f>_xlfn.IFNA(MATCH(E174,'Injury Report'!$C$2:$C$6216,0),0)</f>
        <v/>
      </c>
    </row>
    <row r="177" ht="15.6" customHeight="1" s="152">
      <c r="A177" s="212" t="n">
        <v>174</v>
      </c>
      <c r="B177" s="167">
        <f>F177&amp;G177</f>
        <v/>
      </c>
      <c r="C177" s="156">
        <f>(K177/MAX(K:K)*$K$1)+(L177/MAX(L:L)*$L$1)+(M177/MAX(M:M)*$M$1)+(N177/MAX(N:N)*$N$1)+(T177/MAX(T:T)*$T$1)</f>
        <v/>
      </c>
      <c r="D177" s="156">
        <f>IFERROR(VLOOKUP(B177,#REF!,7,0),"")</f>
        <v/>
      </c>
      <c r="E177" s="156">
        <f>IFERROR(VLOOKUP(F177,AllPlayers!F:F,1,0),"------------")</f>
        <v/>
      </c>
      <c r="F177" s="156" t="inlineStr">
        <is>
          <t>Keaontay Ingram</t>
        </is>
      </c>
      <c r="G177" s="156" t="inlineStr">
        <is>
          <t>KC</t>
        </is>
      </c>
      <c r="H177" s="156" t="inlineStr">
        <is>
          <t>QB</t>
        </is>
      </c>
      <c r="I177" s="156" t="n">
        <v>11</v>
      </c>
      <c r="J177" s="179" t="n">
        <v>33</v>
      </c>
      <c r="K177" s="179" t="n">
        <v>0</v>
      </c>
      <c r="L177" s="281">
        <f>IF(J177=0,0,K177/J177)</f>
        <v/>
      </c>
      <c r="M177" s="281">
        <f>K177/17</f>
        <v/>
      </c>
      <c r="N177" s="156" t="n">
        <v>0</v>
      </c>
      <c r="O177" s="156" t="n">
        <v>0</v>
      </c>
      <c r="P177" s="156" t="n">
        <v>0</v>
      </c>
      <c r="Q177" s="156" t="n">
        <v>0</v>
      </c>
      <c r="R177" s="156" t="n">
        <v>0</v>
      </c>
      <c r="S177" s="156" t="n">
        <v>0</v>
      </c>
      <c r="T177" s="156" t="n">
        <v>5</v>
      </c>
      <c r="U177" s="179" t="n">
        <v>0</v>
      </c>
      <c r="W177" s="156">
        <f>INDEX(Matrix!$AA$2:$AA$33, MATCH(G177, Matrix!$AC$2:$AC$33, 0))</f>
        <v/>
      </c>
      <c r="X177" s="156">
        <f>_xlfn.IFNA(MATCH(E175,'Injury Report'!$C$2:$C$6216,0),0)</f>
        <v/>
      </c>
    </row>
    <row r="178" ht="15.6" customHeight="1" s="152">
      <c r="A178" s="212" t="n">
        <v>175</v>
      </c>
      <c r="B178" s="167">
        <f>F178&amp;G178</f>
        <v/>
      </c>
      <c r="C178" s="156">
        <f>(K178/MAX(K:K)*$K$1)+(L178/MAX(L:L)*$L$1)+(M178/MAX(M:M)*$M$1)+(N178/MAX(N:N)*$N$1)+(T178/MAX(T:T)*$T$1)</f>
        <v/>
      </c>
      <c r="D178" s="156">
        <f>IFERROR(VLOOKUP(B178,#REF!,7,0),"")</f>
        <v/>
      </c>
      <c r="E178" s="156">
        <f>IFERROR(VLOOKUP(F178,AllPlayers!F:F,1,0),"------------")</f>
        <v/>
      </c>
      <c r="F178" s="156" t="inlineStr">
        <is>
          <t>Brittain Brown</t>
        </is>
      </c>
      <c r="G178" s="156" t="inlineStr">
        <is>
          <t>CHI</t>
        </is>
      </c>
      <c r="H178" s="156" t="inlineStr">
        <is>
          <t>WR</t>
        </is>
      </c>
      <c r="I178" s="156" t="n">
        <v>10</v>
      </c>
      <c r="J178" s="179" t="n">
        <v>34</v>
      </c>
      <c r="K178" s="179" t="n">
        <v>0</v>
      </c>
      <c r="L178" s="281">
        <f>IF(J178=0,0,K178/J178)</f>
        <v/>
      </c>
      <c r="M178" s="281">
        <f>K178/17</f>
        <v/>
      </c>
      <c r="N178" s="156" t="n">
        <v>0</v>
      </c>
      <c r="O178" s="156" t="n">
        <v>0</v>
      </c>
      <c r="P178" s="156" t="n">
        <v>0</v>
      </c>
      <c r="Q178" s="156" t="n">
        <v>0</v>
      </c>
      <c r="R178" s="156" t="n">
        <v>0</v>
      </c>
      <c r="S178" s="156" t="n">
        <v>0</v>
      </c>
      <c r="T178" s="156" t="n">
        <v>2</v>
      </c>
      <c r="U178" s="179" t="n">
        <v>0</v>
      </c>
      <c r="W178" s="156">
        <f>INDEX(Matrix!$AA$2:$AA$33, MATCH(G178, Matrix!$AC$2:$AC$33, 0))</f>
        <v/>
      </c>
      <c r="X178" s="156">
        <f>_xlfn.IFNA(MATCH(E176,'Injury Report'!$C$2:$C$6216,0),0)</f>
        <v/>
      </c>
    </row>
    <row r="179" ht="15.6" customHeight="1" s="152">
      <c r="A179" s="212" t="n">
        <v>176</v>
      </c>
      <c r="B179" s="167">
        <f>F179&amp;G179</f>
        <v/>
      </c>
      <c r="C179" s="156">
        <f>(K179/MAX(K:K)*$K$1)+(L179/MAX(L:L)*$L$1)+(M179/MAX(M:M)*$M$1)+(N179/MAX(N:N)*$N$1)+(T179/MAX(T:T)*$T$1)</f>
        <v/>
      </c>
      <c r="D179" s="156">
        <f>IFERROR(VLOOKUP(B179,#REF!,7,0),"")</f>
        <v/>
      </c>
      <c r="E179" s="156">
        <f>IFERROR(VLOOKUP(F179,AllPlayers!F:F,1,0),"------------")</f>
        <v/>
      </c>
      <c r="F179" s="156" t="inlineStr">
        <is>
          <t>Malik Davis</t>
        </is>
      </c>
      <c r="G179" s="156" t="inlineStr">
        <is>
          <t>DAL</t>
        </is>
      </c>
      <c r="H179" s="156" t="inlineStr">
        <is>
          <t>FB</t>
        </is>
      </c>
      <c r="I179" s="156" t="n">
        <v>6</v>
      </c>
      <c r="J179" s="179" t="n">
        <v>35</v>
      </c>
      <c r="K179" s="179" t="n">
        <v>0</v>
      </c>
      <c r="L179" s="281">
        <f>IF(J179=0,0,K179/J179)</f>
        <v/>
      </c>
      <c r="M179" s="281">
        <f>K179/17</f>
        <v/>
      </c>
      <c r="N179" s="156" t="n">
        <v>0</v>
      </c>
      <c r="O179" s="156" t="n">
        <v>0</v>
      </c>
      <c r="P179" s="156" t="n">
        <v>0</v>
      </c>
      <c r="Q179" s="156" t="n">
        <v>0</v>
      </c>
      <c r="R179" s="156" t="n">
        <v>0</v>
      </c>
      <c r="S179" s="156" t="n">
        <v>0</v>
      </c>
      <c r="T179" s="156" t="n">
        <v>0</v>
      </c>
      <c r="U179" s="179" t="n">
        <v>0</v>
      </c>
      <c r="W179" s="156">
        <f>INDEX(Matrix!$AA$2:$AA$33, MATCH(G179, Matrix!$AC$2:$AC$33, 0))</f>
        <v/>
      </c>
      <c r="X179" s="156">
        <f>_xlfn.IFNA(MATCH(E177,'Injury Report'!$C$2:$C$6216,0),0)</f>
        <v/>
      </c>
    </row>
    <row r="180" ht="15.6" customHeight="1" s="152">
      <c r="A180" s="212" t="n">
        <v>177</v>
      </c>
      <c r="B180" s="167">
        <f>F180&amp;G180</f>
        <v/>
      </c>
      <c r="C180" s="156">
        <f>(K180/MAX(K:K)*$K$1)+(L180/MAX(L:L)*$L$1)+(M180/MAX(M:M)*$M$1)+(N180/MAX(N:N)*$N$1)+(T180/MAX(T:T)*$T$1)</f>
        <v/>
      </c>
      <c r="D180" s="156">
        <f>IFERROR(VLOOKUP(B180,#REF!,7,0),"")</f>
        <v/>
      </c>
      <c r="E180" s="156">
        <f>IFERROR(VLOOKUP(F180,AllPlayers!F:F,1,0),"------------")</f>
        <v/>
      </c>
      <c r="F180" s="156" t="inlineStr">
        <is>
          <t>Lew Nichols</t>
        </is>
      </c>
      <c r="G180" s="156" t="inlineStr">
        <is>
          <t>PIT</t>
        </is>
      </c>
      <c r="H180" s="156" t="inlineStr">
        <is>
          <t>QB</t>
        </is>
      </c>
      <c r="I180" s="156" t="n">
        <v>4</v>
      </c>
      <c r="J180" s="179" t="n">
        <v>36</v>
      </c>
      <c r="K180" s="179" t="n">
        <v>0</v>
      </c>
      <c r="L180" s="281">
        <f>IF(J180=0,0,K180/J180)</f>
        <v/>
      </c>
      <c r="M180" s="281">
        <f>K180/17</f>
        <v/>
      </c>
      <c r="N180" s="156" t="n">
        <v>0</v>
      </c>
      <c r="O180" s="156" t="n">
        <v>0</v>
      </c>
      <c r="P180" s="156" t="n">
        <v>0</v>
      </c>
      <c r="Q180" s="156" t="n">
        <v>0</v>
      </c>
      <c r="R180" s="156" t="n">
        <v>0</v>
      </c>
      <c r="S180" s="156" t="n">
        <v>0</v>
      </c>
      <c r="T180" s="156" t="n">
        <v>3</v>
      </c>
      <c r="U180" s="179" t="n">
        <v>0</v>
      </c>
      <c r="W180" s="156">
        <f>INDEX(Matrix!$AA$2:$AA$33, MATCH(G180, Matrix!$AC$2:$AC$33, 0))</f>
        <v/>
      </c>
      <c r="X180" s="156">
        <f>_xlfn.IFNA(MATCH(E178,'Injury Report'!$C$2:$C$6216,0),0)</f>
        <v/>
      </c>
    </row>
    <row r="181" ht="15.6" customHeight="1" s="152">
      <c r="A181" s="212" t="n">
        <v>178</v>
      </c>
      <c r="B181" s="167">
        <f>F181&amp;G181</f>
        <v/>
      </c>
      <c r="C181" s="156">
        <f>(K181/MAX(K:K)*$K$1)+(L181/MAX(L:L)*$L$1)+(M181/MAX(M:M)*$M$1)+(N181/MAX(N:N)*$N$1)+(T181/MAX(T:T)*$T$1)</f>
        <v/>
      </c>
      <c r="D181" s="156">
        <f>IFERROR(VLOOKUP(B181,#REF!,7,0),"")</f>
        <v/>
      </c>
      <c r="E181" s="156">
        <f>IFERROR(VLOOKUP(F181,AllPlayers!F:F,1,0),"------------")</f>
        <v/>
      </c>
      <c r="F181" s="156" t="inlineStr">
        <is>
          <t>Deneric Prince</t>
        </is>
      </c>
      <c r="G181" s="156" t="inlineStr">
        <is>
          <t>NE</t>
        </is>
      </c>
      <c r="H181" s="156" t="inlineStr">
        <is>
          <t>WR</t>
        </is>
      </c>
      <c r="I181" s="156" t="n">
        <v>2</v>
      </c>
      <c r="J181" s="179" t="n">
        <v>37</v>
      </c>
      <c r="K181" s="179" t="n">
        <v>0</v>
      </c>
      <c r="L181" s="281">
        <f>IF(J181=0,0,K181/J181)</f>
        <v/>
      </c>
      <c r="M181" s="281">
        <f>K181/17</f>
        <v/>
      </c>
      <c r="N181" s="156" t="n">
        <v>0</v>
      </c>
      <c r="O181" s="156" t="n">
        <v>1</v>
      </c>
      <c r="P181" s="156" t="n">
        <v>0</v>
      </c>
      <c r="Q181" s="156" t="n">
        <v>0</v>
      </c>
      <c r="R181" s="156" t="n">
        <v>0</v>
      </c>
      <c r="S181" s="156" t="n">
        <v>0</v>
      </c>
      <c r="T181" s="156" t="n">
        <v>0</v>
      </c>
      <c r="U181" s="179" t="n">
        <v>0</v>
      </c>
      <c r="W181" s="156">
        <f>INDEX(Matrix!$AA$2:$AA$33, MATCH(G181, Matrix!$AC$2:$AC$33, 0))</f>
        <v/>
      </c>
      <c r="X181" s="156">
        <f>_xlfn.IFNA(MATCH(E179,'Injury Report'!$C$2:$C$6216,0),0)</f>
        <v/>
      </c>
    </row>
    <row r="182" ht="15.6" customHeight="1" s="152">
      <c r="A182" s="212" t="n">
        <v>179</v>
      </c>
      <c r="B182" s="167">
        <f>F182&amp;G182</f>
        <v/>
      </c>
      <c r="C182" s="156">
        <f>(K182/MAX(K:K)*$K$1)+(L182/MAX(L:L)*$L$1)+(M182/MAX(M:M)*$M$1)+(N182/MAX(N:N)*$N$1)+(T182/MAX(T:T)*$T$1)</f>
        <v/>
      </c>
      <c r="D182" s="156">
        <f>IFERROR(VLOOKUP(B182,#REF!,7,0),"")</f>
        <v/>
      </c>
      <c r="E182" s="156">
        <f>IFERROR(VLOOKUP(F182,AllPlayers!F:F,1,0),"------------")</f>
        <v/>
      </c>
      <c r="F182" s="156" t="inlineStr">
        <is>
          <t>Ben Vansumeren</t>
        </is>
      </c>
      <c r="G182" s="156" t="inlineStr">
        <is>
          <t>PHI</t>
        </is>
      </c>
      <c r="H182" s="156" t="inlineStr">
        <is>
          <t>QB</t>
        </is>
      </c>
      <c r="I182" s="156" t="n">
        <v>5</v>
      </c>
      <c r="J182" s="179" t="n">
        <v>38</v>
      </c>
      <c r="K182" s="179" t="n">
        <v>0</v>
      </c>
      <c r="L182" s="281">
        <f>IF(J182=0,0,K182/J182)</f>
        <v/>
      </c>
      <c r="M182" s="281">
        <f>K182/17</f>
        <v/>
      </c>
      <c r="N182" s="156" t="n">
        <v>0</v>
      </c>
      <c r="O182" s="156" t="n">
        <v>0</v>
      </c>
      <c r="P182" s="156" t="n">
        <v>0</v>
      </c>
      <c r="Q182" s="156" t="n">
        <v>0</v>
      </c>
      <c r="R182" s="156" t="n">
        <v>0</v>
      </c>
      <c r="S182" s="156" t="n">
        <v>0</v>
      </c>
      <c r="T182" s="156" t="n">
        <v>2</v>
      </c>
      <c r="U182" s="179" t="n">
        <v>0</v>
      </c>
      <c r="W182" s="156">
        <f>INDEX(Matrix!$AA$2:$AA$33, MATCH(G182, Matrix!$AC$2:$AC$33, 0))</f>
        <v/>
      </c>
      <c r="X182" s="156">
        <f>_xlfn.IFNA(MATCH(E180,'Injury Report'!$C$2:$C$6216,0),0)</f>
        <v/>
      </c>
    </row>
    <row r="183" ht="15.6" customHeight="1" s="152">
      <c r="A183" s="212" t="n">
        <v>180</v>
      </c>
      <c r="B183" s="167">
        <f>F183&amp;G183</f>
        <v/>
      </c>
      <c r="C183" s="156">
        <f>(K183/MAX(K:K)*$K$1)+(L183/MAX(L:L)*$L$1)+(M183/MAX(M:M)*$M$1)+(N183/MAX(N:N)*$N$1)+(T183/MAX(T:T)*$T$1)</f>
        <v/>
      </c>
      <c r="D183" s="156">
        <f>IFERROR(VLOOKUP(B183,#REF!,7,0),"")</f>
        <v/>
      </c>
      <c r="E183" s="156">
        <f>IFERROR(VLOOKUP(F183,AllPlayers!F:F,1,0),"------------")</f>
        <v/>
      </c>
      <c r="F183" s="156" t="inlineStr">
        <is>
          <t>Brady Russell</t>
        </is>
      </c>
      <c r="G183" s="156" t="inlineStr">
        <is>
          <t>SEA</t>
        </is>
      </c>
      <c r="H183" s="156" t="inlineStr">
        <is>
          <t>WR</t>
        </is>
      </c>
      <c r="I183" s="156" t="n">
        <v>2</v>
      </c>
      <c r="J183" s="179" t="n">
        <v>0</v>
      </c>
      <c r="K183" s="179" t="n">
        <v>0</v>
      </c>
      <c r="L183" s="281">
        <f>IF(J183=0,0,K183/J183)</f>
        <v/>
      </c>
      <c r="M183" s="281">
        <f>K183/17</f>
        <v/>
      </c>
      <c r="N183" s="156" t="n">
        <v>0</v>
      </c>
      <c r="O183" s="156" t="n">
        <v>0</v>
      </c>
      <c r="P183" s="156" t="n">
        <v>0</v>
      </c>
      <c r="Q183" s="156" t="n">
        <v>0</v>
      </c>
      <c r="R183" s="156" t="n">
        <v>0</v>
      </c>
      <c r="S183" s="156" t="n">
        <v>0</v>
      </c>
      <c r="T183" s="156" t="n">
        <v>0</v>
      </c>
      <c r="U183" s="179" t="n">
        <v>0</v>
      </c>
      <c r="W183" s="156">
        <f>INDEX(Matrix!$AA$2:$AA$33, MATCH(G183, Matrix!$AC$2:$AC$33, 0))</f>
        <v/>
      </c>
      <c r="X183" s="156">
        <f>_xlfn.IFNA(MATCH(E181,'Injury Report'!$C$2:$C$6216,0),0)</f>
        <v/>
      </c>
    </row>
    <row r="184" ht="15.6" customHeight="1" s="152">
      <c r="A184" s="212" t="n">
        <v>181</v>
      </c>
      <c r="B184" s="167">
        <f>F184&amp;G184</f>
        <v/>
      </c>
      <c r="C184" s="156">
        <f>(K184/MAX(K:K)*$K$1)+(L184/MAX(L:L)*$L$1)+(M184/MAX(M:M)*$M$1)+(N184/MAX(N:N)*$N$1)+(T184/MAX(T:T)*$T$1)</f>
        <v/>
      </c>
      <c r="D184" s="156">
        <f>IFERROR(VLOOKUP(B184,#REF!,7,0),"")</f>
        <v/>
      </c>
      <c r="E184" s="156">
        <f>IFERROR(VLOOKUP(F184,AllPlayers!F:F,1,0),"------------")</f>
        <v/>
      </c>
      <c r="F184" s="156" t="inlineStr">
        <is>
          <t>Owen Wright</t>
        </is>
      </c>
      <c r="G184" s="156" t="inlineStr">
        <is>
          <t>TB</t>
        </is>
      </c>
      <c r="H184" s="156" t="inlineStr">
        <is>
          <t>RB</t>
        </is>
      </c>
      <c r="I184" s="156" t="n">
        <v>2</v>
      </c>
      <c r="J184" s="179" t="n">
        <v>40</v>
      </c>
      <c r="K184" s="179" t="n">
        <v>0</v>
      </c>
      <c r="L184" s="281">
        <f>IF(J184=0,0,K184/J184)</f>
        <v/>
      </c>
      <c r="M184" s="281">
        <f>K184/17</f>
        <v/>
      </c>
      <c r="N184" s="156" t="n">
        <v>0</v>
      </c>
      <c r="O184" s="156" t="n">
        <v>0</v>
      </c>
      <c r="P184" s="156" t="n">
        <v>0</v>
      </c>
      <c r="Q184" s="156" t="n">
        <v>0</v>
      </c>
      <c r="R184" s="156" t="n">
        <v>0</v>
      </c>
      <c r="S184" s="156" t="n">
        <v>0</v>
      </c>
      <c r="T184" s="156" t="n">
        <v>0</v>
      </c>
      <c r="U184" s="179" t="n">
        <v>0</v>
      </c>
      <c r="W184" s="156">
        <f>INDEX(Matrix!$AA$2:$AA$33, MATCH(G184, Matrix!$AC$2:$AC$33, 0))</f>
        <v/>
      </c>
      <c r="X184" s="156">
        <f>_xlfn.IFNA(MATCH(E182,'Injury Report'!$C$2:$C$6216,0),0)</f>
        <v/>
      </c>
    </row>
    <row r="185" ht="15.6" customHeight="1" s="152">
      <c r="A185" s="212" t="n">
        <v>182</v>
      </c>
      <c r="B185" s="167">
        <f>F185&amp;G185</f>
        <v/>
      </c>
      <c r="C185" s="156">
        <f>(K185/MAX(K:K)*$K$1)+(L185/MAX(L:L)*$L$1)+(M185/MAX(M:M)*$M$1)+(N185/MAX(N:N)*$N$1)+(T185/MAX(T:T)*$T$1)</f>
        <v/>
      </c>
      <c r="D185" s="156">
        <f>IFERROR(VLOOKUP(B185,#REF!,7,0),"")</f>
        <v/>
      </c>
      <c r="E185" s="156">
        <f>IFERROR(VLOOKUP(F185,AllPlayers!F:F,1,0),"------------")</f>
        <v/>
      </c>
      <c r="F185" s="156" t="inlineStr">
        <is>
          <t>Jonathon Brooks</t>
        </is>
      </c>
      <c r="G185" s="156" t="inlineStr">
        <is>
          <t>CAR</t>
        </is>
      </c>
      <c r="H185" s="156" t="inlineStr">
        <is>
          <t>QB</t>
        </is>
      </c>
      <c r="I185" s="156" t="n">
        <v>2</v>
      </c>
      <c r="J185" s="179" t="n">
        <v>41</v>
      </c>
      <c r="K185" s="179" t="n">
        <v>0</v>
      </c>
      <c r="L185" s="281">
        <f>IF(J185=0,0,K185/J185)</f>
        <v/>
      </c>
      <c r="M185" s="281">
        <f>K185/17</f>
        <v/>
      </c>
      <c r="N185" s="156" t="n">
        <v>0</v>
      </c>
      <c r="O185" s="156" t="n">
        <v>0</v>
      </c>
      <c r="P185" s="156" t="n">
        <v>0</v>
      </c>
      <c r="Q185" s="156" t="n">
        <v>0</v>
      </c>
      <c r="R185" s="156" t="n">
        <v>0</v>
      </c>
      <c r="S185" s="156" t="n">
        <v>0</v>
      </c>
      <c r="T185" s="156" t="n">
        <v>0</v>
      </c>
      <c r="U185" s="179" t="n">
        <v>0</v>
      </c>
      <c r="W185" s="156">
        <f>INDEX(Matrix!$AA$2:$AA$33, MATCH(G185, Matrix!$AC$2:$AC$33, 0))</f>
        <v/>
      </c>
      <c r="X185" s="156">
        <f>_xlfn.IFNA(MATCH(E183,'Injury Report'!$C$2:$C$6216,0),0)</f>
        <v/>
      </c>
    </row>
    <row r="186" ht="15.6" customHeight="1" s="152">
      <c r="A186" s="212" t="n">
        <v>183</v>
      </c>
      <c r="B186" s="167">
        <f>F186&amp;G186</f>
        <v/>
      </c>
      <c r="C186" s="156">
        <f>(K186/MAX(K:K)*$K$1)+(L186/MAX(L:L)*$L$1)+(M186/MAX(M:M)*$M$1)+(N186/MAX(N:N)*$N$1)+(T186/MAX(T:T)*$T$1)</f>
        <v/>
      </c>
      <c r="D186" s="156">
        <f>IFERROR(VLOOKUP(B186,#REF!,7,0),"")</f>
        <v/>
      </c>
      <c r="E186" s="156">
        <f>IFERROR(VLOOKUP(F186,AllPlayers!F:F,1,0),"------------")</f>
        <v/>
      </c>
      <c r="F186" s="156" t="inlineStr">
        <is>
          <t>Jawhar Jordan</t>
        </is>
      </c>
      <c r="G186" s="156" t="inlineStr">
        <is>
          <t>HOU</t>
        </is>
      </c>
      <c r="H186" s="156" t="inlineStr">
        <is>
          <t>RB</t>
        </is>
      </c>
      <c r="I186" s="156" t="n">
        <v>2</v>
      </c>
      <c r="J186" s="179" t="n">
        <v>42</v>
      </c>
      <c r="K186" s="179" t="n">
        <v>0</v>
      </c>
      <c r="L186" s="281">
        <f>IF(J186=0,0,K186/J186)</f>
        <v/>
      </c>
      <c r="M186" s="281">
        <f>K186/17</f>
        <v/>
      </c>
      <c r="N186" s="156" t="n">
        <v>0</v>
      </c>
      <c r="O186" s="156" t="n">
        <v>0</v>
      </c>
      <c r="P186" s="156" t="n">
        <v>0</v>
      </c>
      <c r="Q186" s="156" t="n">
        <v>0</v>
      </c>
      <c r="R186" s="156" t="n">
        <v>0</v>
      </c>
      <c r="S186" s="156" t="n">
        <v>0</v>
      </c>
      <c r="T186" s="156" t="n">
        <v>0</v>
      </c>
      <c r="U186" s="179" t="n">
        <v>0</v>
      </c>
      <c r="W186" s="156">
        <f>INDEX(Matrix!$AA$2:$AA$33, MATCH(G186, Matrix!$AC$2:$AC$33, 0))</f>
        <v/>
      </c>
      <c r="X186" s="156">
        <f>_xlfn.IFNA(MATCH(E184,'Injury Report'!$C$2:$C$6216,0),0)</f>
        <v/>
      </c>
    </row>
    <row r="187" ht="15.6" customHeight="1" s="152">
      <c r="A187" s="212" t="n">
        <v>184</v>
      </c>
      <c r="B187" s="167">
        <f>F187&amp;G187</f>
        <v/>
      </c>
      <c r="C187" s="156">
        <f>(K187/MAX(K:K)*$K$1)+(L187/MAX(L:L)*$L$1)+(M187/MAX(M:M)*$M$1)+(N187/MAX(N:N)*$N$1)+(T187/MAX(T:T)*$T$1)</f>
        <v/>
      </c>
      <c r="D187" s="156">
        <f>IFERROR(VLOOKUP(B187,#REF!,7,0),"")</f>
        <v/>
      </c>
      <c r="E187" s="156">
        <f>IFERROR(VLOOKUP(F187,AllPlayers!F:F,1,0),"------------")</f>
        <v/>
      </c>
      <c r="F187" s="156" t="inlineStr">
        <is>
          <t>Dante Miller</t>
        </is>
      </c>
      <c r="G187" s="156" t="inlineStr">
        <is>
          <t>NYG</t>
        </is>
      </c>
      <c r="H187" s="156" t="inlineStr">
        <is>
          <t>WR</t>
        </is>
      </c>
      <c r="I187" s="156" t="n">
        <v>3</v>
      </c>
      <c r="J187" s="179" t="n">
        <v>43</v>
      </c>
      <c r="K187" s="179" t="n">
        <v>0</v>
      </c>
      <c r="L187" s="281">
        <f>IF(J187=0,0,K187/J187)</f>
        <v/>
      </c>
      <c r="M187" s="281">
        <f>K187/17</f>
        <v/>
      </c>
      <c r="N187" s="156" t="n">
        <v>0</v>
      </c>
      <c r="O187" s="156" t="n">
        <v>0</v>
      </c>
      <c r="P187" s="156" t="n">
        <v>0</v>
      </c>
      <c r="Q187" s="156" t="n">
        <v>0</v>
      </c>
      <c r="R187" s="156" t="n">
        <v>0</v>
      </c>
      <c r="S187" s="156" t="n">
        <v>0</v>
      </c>
      <c r="T187" s="156" t="n">
        <v>0</v>
      </c>
      <c r="U187" s="179" t="n">
        <v>0</v>
      </c>
      <c r="W187" s="156">
        <f>INDEX(Matrix!$AA$2:$AA$33, MATCH(G187, Matrix!$AC$2:$AC$33, 0))</f>
        <v/>
      </c>
      <c r="X187" s="156">
        <f>_xlfn.IFNA(MATCH(E185,'Injury Report'!$C$2:$C$6216,0),0)</f>
        <v/>
      </c>
    </row>
    <row r="188" ht="15.6" customHeight="1" s="152">
      <c r="A188" s="212" t="n">
        <v>185</v>
      </c>
      <c r="B188" s="167">
        <f>F188&amp;G188</f>
        <v/>
      </c>
      <c r="C188" s="156">
        <f>(K188/MAX(K:K)*$K$1)+(L188/MAX(L:L)*$L$1)+(M188/MAX(M:M)*$M$1)+(N188/MAX(N:N)*$N$1)+(T188/MAX(T:T)*$T$1)</f>
        <v/>
      </c>
      <c r="D188" s="156">
        <f>IFERROR(VLOOKUP(B188,#REF!,7,0),"")</f>
        <v/>
      </c>
      <c r="E188" s="156">
        <f>IFERROR(VLOOKUP(F188,AllPlayers!F:F,1,0),"------------")</f>
        <v/>
      </c>
      <c r="F188" s="156" t="inlineStr">
        <is>
          <t>Blake Watson</t>
        </is>
      </c>
      <c r="G188" s="156" t="inlineStr">
        <is>
          <t>DEN</t>
        </is>
      </c>
      <c r="H188" s="156" t="inlineStr">
        <is>
          <t>WR</t>
        </is>
      </c>
      <c r="I188" s="156" t="n">
        <v>5</v>
      </c>
      <c r="J188" s="179" t="n">
        <v>44</v>
      </c>
      <c r="K188" s="179" t="n">
        <v>0</v>
      </c>
      <c r="L188" s="281">
        <f>IF(J188=0,0,K188/J188)</f>
        <v/>
      </c>
      <c r="M188" s="281">
        <f>K188/17</f>
        <v/>
      </c>
      <c r="N188" s="156" t="n">
        <v>0</v>
      </c>
      <c r="O188" s="156" t="n">
        <v>0</v>
      </c>
      <c r="P188" s="156" t="n">
        <v>0</v>
      </c>
      <c r="Q188" s="156" t="n">
        <v>0</v>
      </c>
      <c r="R188" s="156" t="n">
        <v>0</v>
      </c>
      <c r="S188" s="156" t="n">
        <v>0</v>
      </c>
      <c r="T188" s="156" t="n">
        <v>2</v>
      </c>
      <c r="U188" s="179" t="n">
        <v>0</v>
      </c>
      <c r="W188" s="156">
        <f>INDEX(Matrix!$AA$2:$AA$33, MATCH(G188, Matrix!$AC$2:$AC$33, 0))</f>
        <v/>
      </c>
      <c r="X188" s="156">
        <f>_xlfn.IFNA(MATCH(E186,'Injury Report'!$C$2:$C$6216,0),0)</f>
        <v/>
      </c>
    </row>
    <row r="189" ht="15.6" customHeight="1" s="152">
      <c r="A189" s="212" t="n">
        <v>186</v>
      </c>
      <c r="B189" s="167">
        <f>F189&amp;G189</f>
        <v/>
      </c>
      <c r="C189" s="156">
        <f>(K189/MAX(K:K)*$K$1)+(L189/MAX(L:L)*$L$1)+(M189/MAX(M:M)*$M$1)+(N189/MAX(N:N)*$N$1)+(T189/MAX(T:T)*$T$1)</f>
        <v/>
      </c>
      <c r="D189" s="156">
        <f>IFERROR(VLOOKUP(B189,#REF!,7,0),"")</f>
        <v/>
      </c>
      <c r="E189" s="156">
        <f>IFERROR(VLOOKUP(F189,AllPlayers!F:F,1,0),"------------")</f>
        <v/>
      </c>
      <c r="F189" s="156" t="inlineStr">
        <is>
          <t>Jacob Saylors</t>
        </is>
      </c>
      <c r="G189" s="156" t="inlineStr">
        <is>
          <t>DET</t>
        </is>
      </c>
      <c r="H189" s="156" t="inlineStr">
        <is>
          <t>RB</t>
        </is>
      </c>
      <c r="I189" s="156" t="n">
        <v>2</v>
      </c>
      <c r="J189" s="179" t="n">
        <v>0</v>
      </c>
      <c r="K189" s="179" t="n">
        <v>0</v>
      </c>
      <c r="L189" s="281">
        <f>IF(J189=0,0,K189/J189)</f>
        <v/>
      </c>
      <c r="M189" s="281">
        <f>K189/17</f>
        <v/>
      </c>
      <c r="N189" s="156" t="n">
        <v>0</v>
      </c>
      <c r="O189" s="156" t="n">
        <v>0</v>
      </c>
      <c r="P189" s="156" t="n">
        <v>0</v>
      </c>
      <c r="Q189" s="156" t="n">
        <v>0</v>
      </c>
      <c r="R189" s="156" t="n">
        <v>0</v>
      </c>
      <c r="S189" s="156" t="n">
        <v>0</v>
      </c>
      <c r="T189" s="156" t="n">
        <v>0</v>
      </c>
      <c r="U189" s="179" t="n">
        <v>0</v>
      </c>
      <c r="W189" s="156">
        <f>INDEX(Matrix!$AA$2:$AA$33, MATCH(G189, Matrix!$AC$2:$AC$33, 0))</f>
        <v/>
      </c>
      <c r="X189" s="156">
        <f>_xlfn.IFNA(MATCH(E187,'Injury Report'!$C$2:$C$6216,0),0)</f>
        <v/>
      </c>
    </row>
    <row r="190" ht="15.6" customHeight="1" s="152">
      <c r="A190" s="212" t="n">
        <v>187</v>
      </c>
      <c r="B190" s="167">
        <f>F190&amp;G190</f>
        <v/>
      </c>
      <c r="C190" s="156">
        <f>(K190/MAX(K:K)*$K$1)+(L190/MAX(L:L)*$L$1)+(M190/MAX(M:M)*$M$1)+(N190/MAX(N:N)*$N$1)+(T190/MAX(T:T)*$T$1)</f>
        <v/>
      </c>
      <c r="D190" s="156">
        <f>IFERROR(VLOOKUP(B190,#REF!,7,0),"")</f>
        <v/>
      </c>
      <c r="E190" s="156">
        <f>IFERROR(VLOOKUP(F190,AllPlayers!F:F,1,0),"------------")</f>
        <v/>
      </c>
      <c r="F190" s="156" t="inlineStr">
        <is>
          <t>Michael Wiley</t>
        </is>
      </c>
      <c r="G190" s="156" t="inlineStr">
        <is>
          <t>KC</t>
        </is>
      </c>
      <c r="H190" s="156" t="inlineStr">
        <is>
          <t>RB</t>
        </is>
      </c>
      <c r="I190" s="156" t="n">
        <v>8</v>
      </c>
      <c r="J190" s="179" t="n">
        <v>46</v>
      </c>
      <c r="K190" s="179" t="n">
        <v>0</v>
      </c>
      <c r="L190" s="281">
        <f>IF(J190=0,0,K190/J190)</f>
        <v/>
      </c>
      <c r="M190" s="281">
        <f>K190/17</f>
        <v/>
      </c>
      <c r="N190" s="156" t="n">
        <v>0</v>
      </c>
      <c r="O190" s="156" t="n">
        <v>0</v>
      </c>
      <c r="P190" s="156" t="n">
        <v>0</v>
      </c>
      <c r="Q190" s="156" t="n">
        <v>0</v>
      </c>
      <c r="R190" s="156" t="n">
        <v>0</v>
      </c>
      <c r="S190" s="156" t="n">
        <v>0</v>
      </c>
      <c r="T190" s="156" t="n">
        <v>2</v>
      </c>
      <c r="U190" s="179" t="n">
        <v>0</v>
      </c>
      <c r="W190" s="156">
        <f>INDEX(Matrix!$AA$2:$AA$33, MATCH(G190, Matrix!$AC$2:$AC$33, 0))</f>
        <v/>
      </c>
      <c r="X190" s="156">
        <f>_xlfn.IFNA(MATCH(E188,'Injury Report'!$C$2:$C$6216,0),0)</f>
        <v/>
      </c>
    </row>
    <row r="191" ht="15.6" customHeight="1" s="152">
      <c r="A191" s="212" t="n">
        <v>188</v>
      </c>
      <c r="B191" s="167">
        <f>F191&amp;G191</f>
        <v/>
      </c>
      <c r="C191" s="156">
        <f>(K191/MAX(K:K)*$K$1)+(L191/MAX(L:L)*$L$1)+(M191/MAX(M:M)*$M$1)+(N191/MAX(N:N)*$N$1)+(T191/MAX(T:T)*$T$1)</f>
        <v/>
      </c>
      <c r="D191" s="156">
        <f>IFERROR(VLOOKUP(B191,#REF!,7,0),"")</f>
        <v/>
      </c>
      <c r="E191" s="156">
        <f>IFERROR(VLOOKUP(F191,AllPlayers!F:F,1,0),"------------")</f>
        <v/>
      </c>
      <c r="F191" s="156" t="inlineStr">
        <is>
          <t>British Brooks</t>
        </is>
      </c>
      <c r="G191" s="156" t="inlineStr">
        <is>
          <t>HOU</t>
        </is>
      </c>
      <c r="H191" s="156" t="inlineStr">
        <is>
          <t>QB</t>
        </is>
      </c>
      <c r="I191" s="156" t="n">
        <v>5</v>
      </c>
      <c r="J191" s="179" t="n">
        <v>47</v>
      </c>
      <c r="K191" s="179" t="n">
        <v>0</v>
      </c>
      <c r="L191" s="281">
        <f>IF(J191=0,0,K191/J191)</f>
        <v/>
      </c>
      <c r="M191" s="281">
        <f>K191/17</f>
        <v/>
      </c>
      <c r="N191" s="156" t="n">
        <v>0</v>
      </c>
      <c r="O191" s="156" t="n">
        <v>0</v>
      </c>
      <c r="P191" s="156" t="n">
        <v>0</v>
      </c>
      <c r="Q191" s="156" t="n">
        <v>0</v>
      </c>
      <c r="R191" s="156" t="n">
        <v>0</v>
      </c>
      <c r="S191" s="156" t="n">
        <v>0</v>
      </c>
      <c r="T191" s="156" t="n">
        <v>2</v>
      </c>
      <c r="U191" s="179" t="n">
        <v>0</v>
      </c>
      <c r="W191" s="156">
        <f>INDEX(Matrix!$AA$2:$AA$33, MATCH(G191, Matrix!$AC$2:$AC$33, 0))</f>
        <v/>
      </c>
      <c r="X191" s="156">
        <f>_xlfn.IFNA(MATCH(E189,'Injury Report'!$C$2:$C$6216,0),0)</f>
        <v/>
      </c>
    </row>
    <row r="192" ht="15.6" customHeight="1" s="152">
      <c r="A192" s="212" t="n">
        <v>189</v>
      </c>
      <c r="B192" s="167">
        <f>F192&amp;G192</f>
        <v/>
      </c>
      <c r="C192" s="156">
        <f>(K192/MAX(K:K)*$K$1)+(L192/MAX(L:L)*$L$1)+(M192/MAX(M:M)*$M$1)+(N192/MAX(N:N)*$N$1)+(T192/MAX(T:T)*$T$1)</f>
        <v/>
      </c>
      <c r="D192" s="156">
        <f>IFERROR(VLOOKUP(B192,#REF!,7,0),"")</f>
        <v/>
      </c>
      <c r="E192" s="156">
        <f>IFERROR(VLOOKUP(F192,AllPlayers!F:F,1,0),"------------")</f>
        <v/>
      </c>
      <c r="F192" s="156" t="inlineStr">
        <is>
          <t>Cody Schrader</t>
        </is>
      </c>
      <c r="G192" s="156" t="inlineStr">
        <is>
          <t>LAR</t>
        </is>
      </c>
      <c r="H192" s="156" t="inlineStr">
        <is>
          <t>RB</t>
        </is>
      </c>
      <c r="I192" s="156" t="n">
        <v>2</v>
      </c>
      <c r="J192" s="179" t="n">
        <v>48</v>
      </c>
      <c r="K192" s="179" t="n">
        <v>0</v>
      </c>
      <c r="L192" s="281">
        <f>IF(J192=0,0,K192/J192)</f>
        <v/>
      </c>
      <c r="M192" s="281">
        <f>K192/17</f>
        <v/>
      </c>
      <c r="N192" s="156" t="n">
        <v>0</v>
      </c>
      <c r="O192" s="156" t="n">
        <v>0</v>
      </c>
      <c r="P192" s="156" t="n">
        <v>0</v>
      </c>
      <c r="Q192" s="156" t="n">
        <v>0</v>
      </c>
      <c r="R192" s="156" t="n">
        <v>0</v>
      </c>
      <c r="S192" s="156" t="n">
        <v>0</v>
      </c>
      <c r="T192" s="156" t="n">
        <v>0</v>
      </c>
      <c r="U192" s="179" t="n">
        <v>0</v>
      </c>
      <c r="W192" s="156">
        <f>INDEX(Matrix!$AA$2:$AA$33, MATCH(G192, Matrix!$AC$2:$AC$33, 0))</f>
        <v/>
      </c>
      <c r="X192" s="156">
        <f>_xlfn.IFNA(MATCH(E190,'Injury Report'!$C$2:$C$6216,0),0)</f>
        <v/>
      </c>
    </row>
    <row r="193" ht="15.6" customHeight="1" s="152">
      <c r="A193" s="212" t="n">
        <v>190</v>
      </c>
      <c r="B193" s="167">
        <f>F193&amp;G193</f>
        <v/>
      </c>
      <c r="C193" s="156">
        <f>(K193/MAX(K:K)*$K$1)+(L193/MAX(L:L)*$L$1)+(M193/MAX(M:M)*$M$1)+(N193/MAX(N:N)*$N$1)+(T193/MAX(T:T)*$T$1)</f>
        <v/>
      </c>
      <c r="D193" s="156">
        <f>IFERROR(VLOOKUP(B193,#REF!,7,0),"")</f>
        <v/>
      </c>
      <c r="E193" s="156">
        <f>IFERROR(VLOOKUP(F193,AllPlayers!F:F,1,0),"------------")</f>
        <v/>
      </c>
      <c r="F193" s="156" t="inlineStr">
        <is>
          <t>Aaron Shampklin</t>
        </is>
      </c>
      <c r="G193" s="156" t="inlineStr">
        <is>
          <t>MIA</t>
        </is>
      </c>
      <c r="H193" s="156" t="inlineStr">
        <is>
          <t>WR</t>
        </is>
      </c>
      <c r="I193" s="156" t="n">
        <v>3</v>
      </c>
      <c r="J193" s="179" t="n">
        <v>49</v>
      </c>
      <c r="K193" s="179" t="n">
        <v>0</v>
      </c>
      <c r="L193" s="281">
        <f>IF(J193=0,0,K193/J193)</f>
        <v/>
      </c>
      <c r="M193" s="281">
        <f>K193/17</f>
        <v/>
      </c>
      <c r="N193" s="156" t="n">
        <v>0</v>
      </c>
      <c r="O193" s="156" t="n">
        <v>0</v>
      </c>
      <c r="P193" s="156" t="n">
        <v>0</v>
      </c>
      <c r="Q193" s="156" t="n">
        <v>0</v>
      </c>
      <c r="R193" s="156" t="n">
        <v>0</v>
      </c>
      <c r="S193" s="156" t="n">
        <v>0</v>
      </c>
      <c r="T193" s="156" t="n">
        <v>1</v>
      </c>
      <c r="U193" s="179" t="n">
        <v>0</v>
      </c>
      <c r="W193" s="156">
        <f>INDEX(Matrix!$AA$2:$AA$33, MATCH(G193, Matrix!$AC$2:$AC$33, 0))</f>
        <v/>
      </c>
      <c r="X193" s="156">
        <f>_xlfn.IFNA(MATCH(E191,'Injury Report'!$C$2:$C$6216,0),0)</f>
        <v/>
      </c>
    </row>
    <row r="194" ht="15.6" customHeight="1" s="152">
      <c r="A194" s="212" t="n">
        <v>191</v>
      </c>
      <c r="B194" s="167">
        <f>F194&amp;G194</f>
        <v/>
      </c>
      <c r="C194" s="156">
        <f>(K194/MAX(K:K)*$K$1)+(L194/MAX(L:L)*$L$1)+(M194/MAX(M:M)*$M$1)+(N194/MAX(N:N)*$N$1)+(T194/MAX(T:T)*$T$1)</f>
        <v/>
      </c>
      <c r="D194" s="156">
        <f>IFERROR(VLOOKUP(B194,#REF!,7,0),"")</f>
        <v/>
      </c>
      <c r="E194" s="156">
        <f>IFERROR(VLOOKUP(F194,AllPlayers!F:F,1,0),"------------")</f>
        <v/>
      </c>
      <c r="F194" s="156" t="inlineStr">
        <is>
          <t>Kendall Milton</t>
        </is>
      </c>
      <c r="G194" s="156" t="inlineStr">
        <is>
          <t>CIN</t>
        </is>
      </c>
      <c r="H194" s="156" t="inlineStr">
        <is>
          <t>WR</t>
        </is>
      </c>
      <c r="I194" s="156" t="n">
        <v>2</v>
      </c>
      <c r="J194" s="179" t="n">
        <v>50</v>
      </c>
      <c r="K194" s="179" t="n">
        <v>0</v>
      </c>
      <c r="L194" s="281">
        <f>IF(J194=0,0,K194/J194)</f>
        <v/>
      </c>
      <c r="M194" s="281">
        <f>K194/17</f>
        <v/>
      </c>
      <c r="N194" s="156" t="n">
        <v>0</v>
      </c>
      <c r="O194" s="156" t="n">
        <v>0</v>
      </c>
      <c r="P194" s="156" t="n">
        <v>0</v>
      </c>
      <c r="Q194" s="156" t="n">
        <v>0</v>
      </c>
      <c r="R194" s="156" t="n">
        <v>0</v>
      </c>
      <c r="S194" s="156" t="n">
        <v>0</v>
      </c>
      <c r="T194" s="156" t="n">
        <v>1</v>
      </c>
      <c r="U194" s="179" t="n">
        <v>0</v>
      </c>
      <c r="W194" s="156">
        <f>INDEX(Matrix!$AA$2:$AA$33, MATCH(G194, Matrix!$AC$2:$AC$33, 0))</f>
        <v/>
      </c>
      <c r="X194" s="156">
        <f>_xlfn.IFNA(MATCH(E192,'Injury Report'!$C$2:$C$6216,0),0)</f>
        <v/>
      </c>
    </row>
    <row r="195" ht="15.6" customHeight="1" s="152">
      <c r="A195" s="212" t="n">
        <v>192</v>
      </c>
      <c r="B195" s="167">
        <f>F195&amp;G195</f>
        <v/>
      </c>
      <c r="C195" s="156">
        <f>(K195/MAX(K:K)*$K$1)+(L195/MAX(L:L)*$L$1)+(M195/MAX(M:M)*$M$1)+(N195/MAX(N:N)*$N$1)+(T195/MAX(T:T)*$T$1)</f>
        <v/>
      </c>
      <c r="D195" s="156">
        <f>IFERROR(VLOOKUP(B195,#REF!,7,0),"")</f>
        <v/>
      </c>
      <c r="E195" s="156">
        <f>IFERROR(VLOOKUP(F195,AllPlayers!F:F,1,0),"------------")</f>
        <v/>
      </c>
      <c r="F195" s="156" t="inlineStr">
        <is>
          <t>Chris Collier</t>
        </is>
      </c>
      <c r="G195" s="156" t="inlineStr">
        <is>
          <t>LV</t>
        </is>
      </c>
      <c r="H195" s="156" t="inlineStr">
        <is>
          <t>QB</t>
        </is>
      </c>
      <c r="I195" s="156" t="n">
        <v>5</v>
      </c>
      <c r="J195" s="179" t="n">
        <v>51</v>
      </c>
      <c r="K195" s="179" t="n">
        <v>0</v>
      </c>
      <c r="L195" s="281">
        <f>IF(J195=0,0,K195/J195)</f>
        <v/>
      </c>
      <c r="M195" s="281">
        <f>K195/17</f>
        <v/>
      </c>
      <c r="N195" s="156" t="n">
        <v>0</v>
      </c>
      <c r="O195" s="156" t="n">
        <v>1</v>
      </c>
      <c r="P195" s="156" t="n">
        <v>0</v>
      </c>
      <c r="Q195" s="156" t="n">
        <v>0</v>
      </c>
      <c r="R195" s="156" t="n">
        <v>0</v>
      </c>
      <c r="S195" s="156" t="n">
        <v>0</v>
      </c>
      <c r="T195" s="156" t="n">
        <v>3</v>
      </c>
      <c r="U195" s="179" t="n">
        <v>0</v>
      </c>
      <c r="W195" s="156">
        <f>INDEX(Matrix!$AA$2:$AA$33, MATCH(G195, Matrix!$AC$2:$AC$33, 0))</f>
        <v/>
      </c>
      <c r="X195" s="156">
        <f>_xlfn.IFNA(MATCH(E193,'Injury Report'!$C$2:$C$6216,0),0)</f>
        <v/>
      </c>
    </row>
    <row r="196" ht="15.6" customHeight="1" s="152">
      <c r="A196" s="212" t="n">
        <v>193</v>
      </c>
      <c r="B196" s="167">
        <f>F196&amp;G196</f>
        <v/>
      </c>
      <c r="C196" s="156">
        <f>(K196/MAX(K:K)*$K$1)+(L196/MAX(L:L)*$L$1)+(M196/MAX(M:M)*$M$1)+(N196/MAX(N:N)*$N$1)+(T196/MAX(T:T)*$T$1)</f>
        <v/>
      </c>
      <c r="D196" s="156">
        <f>IFERROR(VLOOKUP(B196,#REF!,7,0),"")</f>
        <v/>
      </c>
      <c r="E196" s="156">
        <f>IFERROR(VLOOKUP(F196,AllPlayers!F:F,1,0),"------------")</f>
        <v/>
      </c>
      <c r="F196" s="156" t="inlineStr">
        <is>
          <t>Donovan Edwards</t>
        </is>
      </c>
      <c r="G196" s="156" t="inlineStr">
        <is>
          <t>NYJ</t>
        </is>
      </c>
      <c r="H196" s="156" t="inlineStr">
        <is>
          <t>FB</t>
        </is>
      </c>
      <c r="I196" s="156" t="n">
        <v>5</v>
      </c>
      <c r="J196" s="179" t="n">
        <v>52</v>
      </c>
      <c r="K196" s="179" t="n">
        <v>0</v>
      </c>
      <c r="L196" s="281">
        <f>IF(J196=0,0,K196/J196)</f>
        <v/>
      </c>
      <c r="M196" s="281">
        <f>K196/17</f>
        <v/>
      </c>
      <c r="N196" s="156" t="n">
        <v>0</v>
      </c>
      <c r="O196" s="156" t="n">
        <v>0</v>
      </c>
      <c r="P196" s="156" t="n">
        <v>0</v>
      </c>
      <c r="Q196" s="156" t="n">
        <v>0</v>
      </c>
      <c r="R196" s="156" t="n">
        <v>0</v>
      </c>
      <c r="S196" s="156" t="n">
        <v>0</v>
      </c>
      <c r="T196" s="156" t="n">
        <v>1</v>
      </c>
      <c r="U196" s="179" t="n">
        <v>0</v>
      </c>
      <c r="W196" s="156">
        <f>INDEX(Matrix!$AA$2:$AA$33, MATCH(G196, Matrix!$AC$2:$AC$33, 0))</f>
        <v/>
      </c>
      <c r="X196" s="156">
        <f>_xlfn.IFNA(MATCH(E194,'Injury Report'!$C$2:$C$6216,0),0)</f>
        <v/>
      </c>
    </row>
    <row r="197" ht="15.6" customHeight="1" s="152">
      <c r="A197" s="212" t="n">
        <v>194</v>
      </c>
      <c r="B197" s="167">
        <f>F197&amp;G197</f>
        <v/>
      </c>
      <c r="C197" s="156">
        <f>(K197/MAX(K:K)*$K$1)+(L197/MAX(L:L)*$L$1)+(M197/MAX(M:M)*$M$1)+(N197/MAX(N:N)*$N$1)+(T197/MAX(T:T)*$T$1)</f>
        <v/>
      </c>
      <c r="D197" s="156">
        <f>IFERROR(VLOOKUP(B197,#REF!,7,0),"")</f>
        <v/>
      </c>
      <c r="E197" s="156">
        <f>IFERROR(VLOOKUP(F197,AllPlayers!F:F,1,0),"------------")</f>
        <v/>
      </c>
      <c r="F197" s="156" t="inlineStr">
        <is>
          <t>Corey Kiner</t>
        </is>
      </c>
      <c r="G197" s="156" t="inlineStr">
        <is>
          <t>SF</t>
        </is>
      </c>
      <c r="H197" s="156" t="inlineStr">
        <is>
          <t>WR</t>
        </is>
      </c>
      <c r="I197" s="156" t="n">
        <v>5</v>
      </c>
      <c r="J197" s="179" t="n">
        <v>53</v>
      </c>
      <c r="K197" s="179" t="n">
        <v>0</v>
      </c>
      <c r="L197" s="281">
        <f>IF(J197=0,0,K197/J197)</f>
        <v/>
      </c>
      <c r="M197" s="281">
        <f>K197/17</f>
        <v/>
      </c>
      <c r="N197" s="156" t="n">
        <v>0</v>
      </c>
      <c r="O197" s="156" t="n">
        <v>0</v>
      </c>
      <c r="P197" s="156" t="n">
        <v>0</v>
      </c>
      <c r="Q197" s="156" t="n">
        <v>0</v>
      </c>
      <c r="R197" s="156" t="n">
        <v>0</v>
      </c>
      <c r="S197" s="156" t="n">
        <v>0</v>
      </c>
      <c r="T197" s="156" t="n">
        <v>0</v>
      </c>
      <c r="U197" s="179" t="n">
        <v>0</v>
      </c>
      <c r="W197" s="156">
        <f>INDEX(Matrix!$AA$2:$AA$33, MATCH(G197, Matrix!$AC$2:$AC$33, 0))</f>
        <v/>
      </c>
      <c r="X197" s="156">
        <f>_xlfn.IFNA(MATCH(E195,'Injury Report'!$C$2:$C$6216,0),0)</f>
        <v/>
      </c>
    </row>
    <row r="198" ht="15.6" customHeight="1" s="152">
      <c r="A198" s="212" t="n">
        <v>195</v>
      </c>
      <c r="B198" s="167">
        <f>F198&amp;G198</f>
        <v/>
      </c>
      <c r="C198" s="156">
        <f>(K198/MAX(K:K)*$K$1)+(L198/MAX(L:L)*$L$1)+(M198/MAX(M:M)*$M$1)+(N198/MAX(N:N)*$N$1)+(T198/MAX(T:T)*$T$1)</f>
        <v/>
      </c>
      <c r="D198" s="156">
        <f>IFERROR(VLOOKUP(B198,#REF!,7,0),"")</f>
        <v/>
      </c>
      <c r="E198" s="156">
        <f>IFERROR(VLOOKUP(F198,AllPlayers!F:F,1,0),"------------")</f>
        <v/>
      </c>
      <c r="F198" s="156" t="inlineStr">
        <is>
          <t>Dyami Brown</t>
        </is>
      </c>
      <c r="G198" s="156">
        <f>VLOOKUP(F198,AllPlayers!Q:R,2,0)</f>
        <v/>
      </c>
      <c r="H198" s="156" t="inlineStr">
        <is>
          <t>WR</t>
        </is>
      </c>
      <c r="I198" s="156" t="n">
        <v>2</v>
      </c>
      <c r="J198" s="156" t="n">
        <v>3</v>
      </c>
      <c r="K198" s="156" t="n">
        <v>15</v>
      </c>
      <c r="L198" s="281">
        <f>IF(J198=0,0,K198/J198)</f>
        <v/>
      </c>
      <c r="M198" s="281">
        <f>K198/17</f>
        <v/>
      </c>
      <c r="N198" s="156" t="n">
        <v>0</v>
      </c>
      <c r="O198" s="156" t="n">
        <v>0</v>
      </c>
      <c r="P198" s="156" t="n">
        <v>0</v>
      </c>
      <c r="Q198" s="156" t="n">
        <v>0</v>
      </c>
      <c r="R198" s="156" t="n">
        <v>0</v>
      </c>
      <c r="S198" s="156" t="n">
        <v>0</v>
      </c>
      <c r="T198" s="156" t="n">
        <v>0</v>
      </c>
      <c r="U198" s="156" t="n">
        <v>0</v>
      </c>
      <c r="W198" s="156">
        <f>INDEX(Matrix!$AA$2:$AA$33, MATCH(G198, Matrix!$AC$2:$AC$33, 0))</f>
        <v/>
      </c>
      <c r="X198" s="156">
        <f>_xlfn.IFNA(MATCH(E196,'Injury Report'!$C$2:$C$6216,0),0)</f>
        <v/>
      </c>
    </row>
    <row r="199" ht="15.6" customHeight="1" s="152">
      <c r="A199" s="212" t="n">
        <v>196</v>
      </c>
      <c r="B199" s="167">
        <f>F199&amp;G199</f>
        <v/>
      </c>
      <c r="C199" s="156">
        <f>(K199/MAX(K:K)*$K$1)+(L199/MAX(L:L)*$L$1)+(M199/MAX(M:M)*$M$1)+(N199/MAX(N:N)*$N$1)+(T199/MAX(T:T)*$T$1)</f>
        <v/>
      </c>
      <c r="D199" s="156">
        <f>IFERROR(VLOOKUP(B199,#REF!,7,0),"")</f>
        <v/>
      </c>
      <c r="E199" s="156">
        <f>IFERROR(VLOOKUP(F199,AllPlayers!F:F,1,0),"------------")</f>
        <v/>
      </c>
      <c r="F199" s="156" t="inlineStr">
        <is>
          <t>Malik Washington</t>
        </is>
      </c>
      <c r="G199" s="156">
        <f>VLOOKUP(F199,AllPlayers!Q:R,2,0)</f>
        <v/>
      </c>
      <c r="H199" s="156" t="inlineStr">
        <is>
          <t>WR</t>
        </is>
      </c>
      <c r="I199" s="156" t="n">
        <v>2</v>
      </c>
      <c r="J199" s="156" t="n">
        <v>4</v>
      </c>
      <c r="K199" s="156" t="n">
        <v>32</v>
      </c>
      <c r="L199" s="281">
        <f>IF(J199=0,0,K199/J199)</f>
        <v/>
      </c>
      <c r="M199" s="281">
        <f>K199/17</f>
        <v/>
      </c>
      <c r="N199" s="156" t="n">
        <v>0</v>
      </c>
      <c r="O199" s="156" t="n">
        <v>0</v>
      </c>
      <c r="P199" s="156" t="n">
        <v>0</v>
      </c>
      <c r="Q199" s="156" t="n">
        <v>0</v>
      </c>
      <c r="R199" s="156" t="n">
        <v>0</v>
      </c>
      <c r="S199" s="156" t="n">
        <v>0</v>
      </c>
      <c r="T199" s="156" t="n">
        <v>0</v>
      </c>
      <c r="U199" s="156" t="n">
        <v>0</v>
      </c>
      <c r="W199" s="156">
        <f>INDEX(Matrix!$AA$2:$AA$33, MATCH(G199, Matrix!$AC$2:$AC$33, 0))</f>
        <v/>
      </c>
      <c r="X199" s="156">
        <f>_xlfn.IFNA(MATCH(E197,'Injury Report'!$C$2:$C$6216,0),0)</f>
        <v/>
      </c>
    </row>
    <row r="200" ht="15.6" customHeight="1" s="152">
      <c r="A200" s="212" t="n">
        <v>197</v>
      </c>
      <c r="B200" s="167">
        <f>F200&amp;G200</f>
        <v/>
      </c>
      <c r="C200" s="156">
        <f>(K200/MAX(K:K)*$K$1)+(L200/MAX(L:L)*$L$1)+(M200/MAX(M:M)*$M$1)+(N200/MAX(N:N)*$N$1)+(T200/MAX(T:T)*$T$1)</f>
        <v/>
      </c>
      <c r="D200" s="156">
        <f>IFERROR(VLOOKUP(B200,#REF!,7,0),"")</f>
        <v/>
      </c>
      <c r="E200" s="156">
        <f>IFERROR(VLOOKUP(F200,AllPlayers!F:F,1,0),"------------")</f>
        <v/>
      </c>
      <c r="F200" s="156" t="inlineStr">
        <is>
          <t>Jacob Kibodi</t>
        </is>
      </c>
      <c r="G200" s="156">
        <f>VLOOKUP(F200,AllPlayers!Q:R,2,0)</f>
        <v/>
      </c>
      <c r="H200" s="156" t="inlineStr">
        <is>
          <t>RB</t>
        </is>
      </c>
      <c r="I200" s="156" t="n">
        <v>1</v>
      </c>
      <c r="J200" s="156" t="n">
        <v>5</v>
      </c>
      <c r="K200" s="156" t="n">
        <v>24</v>
      </c>
      <c r="L200" s="281">
        <f>IF(J200=0,0,K200/J200)</f>
        <v/>
      </c>
      <c r="M200" s="281">
        <f>K200/17</f>
        <v/>
      </c>
      <c r="N200" s="156" t="n">
        <v>0</v>
      </c>
      <c r="O200" s="156" t="n">
        <v>0</v>
      </c>
      <c r="P200" s="156" t="n">
        <v>0</v>
      </c>
      <c r="Q200" s="156" t="n">
        <v>0</v>
      </c>
      <c r="R200" s="156" t="n">
        <v>0</v>
      </c>
      <c r="S200" s="156" t="n">
        <v>0</v>
      </c>
      <c r="T200" s="156" t="n">
        <v>0</v>
      </c>
      <c r="U200" s="156" t="n">
        <v>0</v>
      </c>
      <c r="W200" s="156">
        <f>INDEX(Matrix!$AA$2:$AA$33, MATCH(G200, Matrix!$AC$2:$AC$33, 0))</f>
        <v/>
      </c>
      <c r="X200" s="156">
        <f>_xlfn.IFNA(MATCH(E198,'Injury Report'!$C$2:$C$6216,0),0)</f>
        <v/>
      </c>
    </row>
    <row r="201" ht="15.6" customHeight="1" s="152">
      <c r="A201" s="212" t="n">
        <v>198</v>
      </c>
      <c r="B201" s="167">
        <f>F201&amp;G201</f>
        <v/>
      </c>
      <c r="C201" s="156">
        <f>(K201/MAX(K:K)*$K$1)+(L201/MAX(L:L)*$L$1)+(M201/MAX(M:M)*$M$1)+(N201/MAX(N:N)*$N$1)+(T201/MAX(T:T)*$T$1)</f>
        <v/>
      </c>
      <c r="D201" s="156">
        <f>IFERROR(VLOOKUP(B201,#REF!,7,0),"")</f>
        <v/>
      </c>
      <c r="E201" s="156">
        <f>IFERROR(VLOOKUP(F201,AllPlayers!F:F,1,0),"------------")</f>
        <v/>
      </c>
      <c r="F201" s="156" t="inlineStr">
        <is>
          <t>Xavier Legette</t>
        </is>
      </c>
      <c r="G201" s="156">
        <f>VLOOKUP(F201,AllPlayers!Q:R,2,0)</f>
        <v/>
      </c>
      <c r="H201" s="156" t="inlineStr">
        <is>
          <t>WR</t>
        </is>
      </c>
      <c r="I201" s="156" t="n">
        <v>2</v>
      </c>
      <c r="J201" s="156" t="n">
        <v>1</v>
      </c>
      <c r="K201" s="156" t="n">
        <v>0</v>
      </c>
      <c r="L201" s="281">
        <f>IF(J201=0,0,K201/J201)</f>
        <v/>
      </c>
      <c r="M201" s="281">
        <f>K201/17</f>
        <v/>
      </c>
      <c r="N201" s="156" t="n">
        <v>0</v>
      </c>
      <c r="O201" s="156" t="n">
        <v>0</v>
      </c>
      <c r="P201" s="156" t="n">
        <v>0</v>
      </c>
      <c r="Q201" s="156" t="n">
        <v>0</v>
      </c>
      <c r="R201" s="156" t="n">
        <v>0</v>
      </c>
      <c r="S201" s="156" t="n">
        <v>0</v>
      </c>
      <c r="T201" s="156" t="n">
        <v>0</v>
      </c>
      <c r="U201" s="156" t="n">
        <v>0</v>
      </c>
      <c r="W201" s="156">
        <f>INDEX(Matrix!$AA$2:$AA$33, MATCH(G201, Matrix!$AC$2:$AC$33, 0))</f>
        <v/>
      </c>
      <c r="X201" s="156">
        <f>_xlfn.IFNA(MATCH(E199,'Injury Report'!$C$2:$C$6216,0),0)</f>
        <v/>
      </c>
    </row>
    <row r="202" ht="15.6" customHeight="1" s="152">
      <c r="A202" s="212" t="n">
        <v>199</v>
      </c>
      <c r="B202" s="167">
        <f>F202&amp;G202</f>
        <v/>
      </c>
      <c r="C202" s="156">
        <f>(K202/MAX(K:K)*$K$1)+(L202/MAX(L:L)*$L$1)+(M202/MAX(M:M)*$M$1)+(N202/MAX(N:N)*$N$1)+(T202/MAX(T:T)*$T$1)</f>
        <v/>
      </c>
      <c r="D202" s="156">
        <f>IFERROR(VLOOKUP(B202,#REF!,7,0),"")</f>
        <v/>
      </c>
      <c r="E202" s="156">
        <f>IFERROR(VLOOKUP(F202,AllPlayers!F:F,1,0),"------------")</f>
        <v/>
      </c>
      <c r="F202" s="156" t="inlineStr">
        <is>
          <t>Joshua Dobbs</t>
        </is>
      </c>
      <c r="G202" s="156">
        <f>VLOOKUP(F202,AllPlayers!Q:R,2,0)</f>
        <v/>
      </c>
      <c r="H202" s="156" t="inlineStr">
        <is>
          <t>QB</t>
        </is>
      </c>
      <c r="I202" s="156" t="n">
        <v>2</v>
      </c>
      <c r="J202" s="156" t="n">
        <v>9</v>
      </c>
      <c r="K202" s="156" t="n">
        <v>24</v>
      </c>
      <c r="L202" s="281">
        <f>IF(J202=0,0,K202/J202)</f>
        <v/>
      </c>
      <c r="M202" s="281">
        <f>K202/17</f>
        <v/>
      </c>
      <c r="N202" s="156" t="n">
        <v>2</v>
      </c>
      <c r="O202" s="156" t="n">
        <v>0</v>
      </c>
      <c r="P202" s="156" t="n">
        <v>0</v>
      </c>
      <c r="Q202" s="156" t="n">
        <v>0</v>
      </c>
      <c r="R202" s="156" t="n">
        <v>0</v>
      </c>
      <c r="S202" s="156" t="n">
        <v>0</v>
      </c>
      <c r="T202" s="156" t="n">
        <v>2</v>
      </c>
      <c r="U202" s="156" t="n">
        <v>1</v>
      </c>
      <c r="W202" s="156">
        <f>INDEX(Matrix!$AA$2:$AA$33, MATCH(G202, Matrix!$AC$2:$AC$33, 0))</f>
        <v/>
      </c>
      <c r="X202" s="156">
        <f>_xlfn.IFNA(MATCH(E200,'Injury Report'!$C$2:$C$6216,0),0)</f>
        <v/>
      </c>
    </row>
    <row r="203" ht="15.6" customHeight="1" s="152">
      <c r="A203" s="212" t="n">
        <v>200</v>
      </c>
      <c r="B203" s="167">
        <f>F203&amp;G203</f>
        <v/>
      </c>
      <c r="C203" s="156">
        <f>(K203/MAX(K:K)*$K$1)+(L203/MAX(L:L)*$L$1)+(M203/MAX(M:M)*$M$1)+(N203/MAX(N:N)*$N$1)+(T203/MAX(T:T)*$T$1)</f>
        <v/>
      </c>
      <c r="D203" s="156">
        <f>IFERROR(VLOOKUP(B203,#REF!,7,0),"")</f>
        <v/>
      </c>
      <c r="E203" s="156">
        <f>IFERROR(VLOOKUP(F203,AllPlayers!F:F,1,0),"------------")</f>
        <v/>
      </c>
      <c r="F203" s="156" t="inlineStr">
        <is>
          <t>Travis Homer</t>
        </is>
      </c>
      <c r="G203" s="156">
        <f>VLOOKUP(F203,AllPlayers!Q:R,2,0)</f>
        <v/>
      </c>
      <c r="H203" s="156" t="inlineStr">
        <is>
          <t>RB</t>
        </is>
      </c>
      <c r="I203" s="156" t="n">
        <v>3</v>
      </c>
      <c r="J203" s="156" t="n">
        <v>6</v>
      </c>
      <c r="K203" s="156" t="n">
        <v>23</v>
      </c>
      <c r="L203" s="281">
        <f>IF(J203=0,0,K203/J203)</f>
        <v/>
      </c>
      <c r="M203" s="281">
        <f>K203/17</f>
        <v/>
      </c>
      <c r="N203" s="156" t="n">
        <v>0</v>
      </c>
      <c r="O203" s="156" t="n">
        <v>0</v>
      </c>
      <c r="P203" s="156" t="n">
        <v>0</v>
      </c>
      <c r="Q203" s="156" t="n">
        <v>0</v>
      </c>
      <c r="R203" s="156" t="n">
        <v>0</v>
      </c>
      <c r="S203" s="156" t="n">
        <v>0</v>
      </c>
      <c r="T203" s="156" t="n">
        <v>0</v>
      </c>
      <c r="U203" s="156" t="n">
        <v>0</v>
      </c>
      <c r="W203" s="156">
        <f>INDEX(Matrix!$AA$2:$AA$33, MATCH(G203, Matrix!$AC$2:$AC$33, 0))</f>
        <v/>
      </c>
      <c r="X203" s="156">
        <f>_xlfn.IFNA(MATCH(E201,'Injury Report'!$C$2:$C$6216,0),0)</f>
        <v/>
      </c>
    </row>
    <row r="204" ht="15.6" customHeight="1" s="152">
      <c r="A204" s="212" t="n">
        <v>201</v>
      </c>
      <c r="B204" s="167">
        <f>F204&amp;G204</f>
        <v/>
      </c>
      <c r="C204" s="156">
        <f>(K204/MAX(K:K)*$K$1)+(L204/MAX(L:L)*$L$1)+(M204/MAX(M:M)*$M$1)+(N204/MAX(N:N)*$N$1)+(T204/MAX(T:T)*$T$1)</f>
        <v/>
      </c>
      <c r="D204" s="156">
        <f>IFERROR(VLOOKUP(B204,#REF!,7,0),"")</f>
        <v/>
      </c>
      <c r="E204" s="156">
        <f>IFERROR(VLOOKUP(F204,AllPlayers!F:F,1,0),"------------")</f>
        <v/>
      </c>
      <c r="F204" s="156" t="inlineStr">
        <is>
          <t>Christian Watson</t>
        </is>
      </c>
      <c r="G204" s="156">
        <f>VLOOKUP(F204,AllPlayers!Q:R,2,0)</f>
        <v/>
      </c>
      <c r="H204" s="156" t="inlineStr">
        <is>
          <t>WR</t>
        </is>
      </c>
      <c r="I204" s="156" t="n">
        <v>3</v>
      </c>
      <c r="J204" s="156" t="n">
        <v>4</v>
      </c>
      <c r="K204" s="156" t="n">
        <v>23</v>
      </c>
      <c r="L204" s="281">
        <f>IF(J204=0,0,K204/J204)</f>
        <v/>
      </c>
      <c r="M204" s="281">
        <f>K204/17</f>
        <v/>
      </c>
      <c r="N204" s="156" t="n">
        <v>0</v>
      </c>
      <c r="O204" s="156" t="n">
        <v>0</v>
      </c>
      <c r="P204" s="156" t="n">
        <v>0</v>
      </c>
      <c r="Q204" s="156" t="n">
        <v>0</v>
      </c>
      <c r="R204" s="156" t="n">
        <v>0</v>
      </c>
      <c r="S204" s="156" t="n">
        <v>0</v>
      </c>
      <c r="T204" s="156" t="n">
        <v>0</v>
      </c>
      <c r="U204" s="156" t="n">
        <v>0</v>
      </c>
      <c r="W204" s="156">
        <f>INDEX(Matrix!$AA$2:$AA$33, MATCH(G204, Matrix!$AC$2:$AC$33, 0))</f>
        <v/>
      </c>
      <c r="X204" s="156">
        <f>_xlfn.IFNA(MATCH(E202,'Injury Report'!$C$2:$C$6216,0),0)</f>
        <v/>
      </c>
    </row>
    <row r="205" ht="15.6" customHeight="1" s="152">
      <c r="A205" s="212" t="n">
        <v>202</v>
      </c>
      <c r="B205" s="167">
        <f>F205&amp;G205</f>
        <v/>
      </c>
      <c r="C205" s="156">
        <f>(K205/MAX(K:K)*$K$1)+(L205/MAX(L:L)*$L$1)+(M205/MAX(M:M)*$M$1)+(N205/MAX(N:N)*$N$1)+(T205/MAX(T:T)*$T$1)</f>
        <v/>
      </c>
      <c r="D205" s="156">
        <f>IFERROR(VLOOKUP(B205,#REF!,7,0),"")</f>
        <v/>
      </c>
      <c r="E205" s="156">
        <f>IFERROR(VLOOKUP(F205,AllPlayers!F:F,1,0),"------------")</f>
        <v/>
      </c>
      <c r="F205" s="156" t="inlineStr">
        <is>
          <t>Jakobi Meyers</t>
        </is>
      </c>
      <c r="G205" s="156">
        <f>VLOOKUP(F205,AllPlayers!Q:R,2,0)</f>
        <v/>
      </c>
      <c r="H205" s="156" t="inlineStr">
        <is>
          <t>WR</t>
        </is>
      </c>
      <c r="I205" s="156" t="n">
        <v>2</v>
      </c>
      <c r="J205" s="156" t="n">
        <v>0</v>
      </c>
      <c r="K205" s="156" t="n">
        <v>0</v>
      </c>
      <c r="L205" s="281">
        <f>IF(J205=0,0,K205/J205)</f>
        <v/>
      </c>
      <c r="M205" s="281">
        <f>K205/17</f>
        <v/>
      </c>
      <c r="N205" s="156" t="n">
        <v>0</v>
      </c>
      <c r="O205" s="156" t="n">
        <v>1</v>
      </c>
      <c r="P205" s="156" t="n">
        <v>0</v>
      </c>
      <c r="Q205" s="156" t="n">
        <v>0</v>
      </c>
      <c r="R205" s="156" t="n">
        <v>0</v>
      </c>
      <c r="S205" s="156" t="n">
        <v>0</v>
      </c>
      <c r="T205" s="156" t="n">
        <v>0</v>
      </c>
      <c r="U205" s="156" t="n">
        <v>0</v>
      </c>
      <c r="W205" s="156">
        <f>INDEX(Matrix!$AA$2:$AA$33, MATCH(G205, Matrix!$AC$2:$AC$33, 0))</f>
        <v/>
      </c>
      <c r="X205" s="156">
        <f>_xlfn.IFNA(MATCH(E203,'Injury Report'!$C$2:$C$6216,0),0)</f>
        <v/>
      </c>
    </row>
    <row r="206" ht="15.6" customHeight="1" s="152">
      <c r="A206" s="212" t="n">
        <v>203</v>
      </c>
      <c r="B206" s="167">
        <f>F206&amp;G206</f>
        <v/>
      </c>
      <c r="C206" s="156">
        <f>(K206/MAX(K:K)*$K$1)+(L206/MAX(L:L)*$L$1)+(M206/MAX(M:M)*$M$1)+(N206/MAX(N:N)*$N$1)+(T206/MAX(T:T)*$T$1)</f>
        <v/>
      </c>
      <c r="D206" s="156">
        <f>IFERROR(VLOOKUP(B206,#REF!,7,0),"")</f>
        <v/>
      </c>
      <c r="E206" s="156">
        <f>IFERROR(VLOOKUP(F206,AllPlayers!F:F,1,0),"------------")</f>
        <v/>
      </c>
      <c r="F206" s="156" t="inlineStr">
        <is>
          <t>Jonathan Ward</t>
        </is>
      </c>
      <c r="G206" s="156">
        <f>VLOOKUP(F206,AllPlayers!Q:R,2,0)</f>
        <v/>
      </c>
      <c r="H206" s="156" t="inlineStr">
        <is>
          <t>RB</t>
        </is>
      </c>
      <c r="I206" s="156" t="n">
        <v>2</v>
      </c>
      <c r="J206" s="156" t="n">
        <v>5</v>
      </c>
      <c r="K206" s="156" t="n">
        <v>22</v>
      </c>
      <c r="L206" s="281">
        <f>IF(J206=0,0,K206/J206)</f>
        <v/>
      </c>
      <c r="M206" s="281">
        <f>K206/17</f>
        <v/>
      </c>
      <c r="N206" s="156" t="n">
        <v>0</v>
      </c>
      <c r="O206" s="156" t="n">
        <v>0</v>
      </c>
      <c r="P206" s="156" t="n">
        <v>0</v>
      </c>
      <c r="Q206" s="156" t="n">
        <v>0</v>
      </c>
      <c r="R206" s="156" t="n">
        <v>0</v>
      </c>
      <c r="S206" s="156" t="n">
        <v>0</v>
      </c>
      <c r="T206" s="156" t="n">
        <v>0</v>
      </c>
      <c r="U206" s="156" t="n">
        <v>0</v>
      </c>
      <c r="W206" s="156">
        <f>INDEX(Matrix!$AA$2:$AA$33, MATCH(G206, Matrix!$AC$2:$AC$33, 0))</f>
        <v/>
      </c>
      <c r="X206" s="156">
        <f>_xlfn.IFNA(MATCH(E204,'Injury Report'!$C$2:$C$6216,0),0)</f>
        <v/>
      </c>
    </row>
    <row r="207" ht="15.6" customHeight="1" s="152">
      <c r="A207" s="212" t="n">
        <v>204</v>
      </c>
      <c r="B207" s="167">
        <f>F207&amp;G207</f>
        <v/>
      </c>
      <c r="C207" s="156">
        <f>(K207/MAX(K:K)*$K$1)+(L207/MAX(L:L)*$L$1)+(M207/MAX(M:M)*$M$1)+(N207/MAX(N:N)*$N$1)+(T207/MAX(T:T)*$T$1)</f>
        <v/>
      </c>
      <c r="D207" s="156">
        <f>IFERROR(VLOOKUP(B207,#REF!,7,0),"")</f>
        <v/>
      </c>
      <c r="E207" s="156">
        <f>IFERROR(VLOOKUP(F207,AllPlayers!F:F,1,0),"------------")</f>
        <v/>
      </c>
      <c r="F207" s="156" t="inlineStr">
        <is>
          <t>Jake Haener</t>
        </is>
      </c>
      <c r="G207" s="156">
        <f>VLOOKUP(F207,AllPlayers!Q:R,2,0)</f>
        <v/>
      </c>
      <c r="H207" s="156" t="inlineStr">
        <is>
          <t>QB</t>
        </is>
      </c>
      <c r="I207" s="156" t="n">
        <v>6</v>
      </c>
      <c r="J207" s="156" t="n">
        <v>11</v>
      </c>
      <c r="K207" s="156" t="n">
        <v>22</v>
      </c>
      <c r="L207" s="281">
        <f>IF(J207=0,0,K207/J207)</f>
        <v/>
      </c>
      <c r="M207" s="281">
        <f>K207/17</f>
        <v/>
      </c>
      <c r="N207" s="156" t="n">
        <v>0</v>
      </c>
      <c r="O207" s="156" t="n">
        <v>0</v>
      </c>
      <c r="P207" s="156" t="n">
        <v>0</v>
      </c>
      <c r="Q207" s="156" t="n">
        <v>0</v>
      </c>
      <c r="R207" s="156" t="n">
        <v>0</v>
      </c>
      <c r="S207" s="156" t="n">
        <v>0</v>
      </c>
      <c r="T207" s="156" t="n">
        <v>0</v>
      </c>
      <c r="U207" s="156" t="n">
        <v>0</v>
      </c>
      <c r="W207" s="156">
        <f>INDEX(Matrix!$AA$2:$AA$33, MATCH(G207, Matrix!$AC$2:$AC$33, 0))</f>
        <v/>
      </c>
      <c r="X207" s="156">
        <f>_xlfn.IFNA(MATCH(E205,'Injury Report'!$C$2:$C$6216,0),0)</f>
        <v/>
      </c>
    </row>
    <row r="208" ht="15.6" customHeight="1" s="152">
      <c r="A208" s="212" t="n">
        <v>205</v>
      </c>
      <c r="B208" s="167">
        <f>F208&amp;G208</f>
        <v/>
      </c>
      <c r="C208" s="156">
        <f>(K208/MAX(K:K)*$K$1)+(L208/MAX(L:L)*$L$1)+(M208/MAX(M:M)*$M$1)+(N208/MAX(N:N)*$N$1)+(T208/MAX(T:T)*$T$1)</f>
        <v/>
      </c>
      <c r="D208" s="156">
        <f>IFERROR(VLOOKUP(B208,#REF!,7,0),"")</f>
        <v/>
      </c>
      <c r="E208" s="156">
        <f>IFERROR(VLOOKUP(F208,AllPlayers!F:F,1,0),"------------")</f>
        <v/>
      </c>
      <c r="F208" s="156" t="inlineStr">
        <is>
          <t>Jermar Jefferson</t>
        </is>
      </c>
      <c r="G208" s="156">
        <f>VLOOKUP(F208,AllPlayers!Q:R,2,0)</f>
        <v/>
      </c>
      <c r="H208" s="156" t="inlineStr">
        <is>
          <t>RB</t>
        </is>
      </c>
      <c r="I208" s="156" t="n">
        <v>2</v>
      </c>
      <c r="J208" s="156" t="n">
        <v>6</v>
      </c>
      <c r="K208" s="156" t="n">
        <v>22</v>
      </c>
      <c r="L208" s="281">
        <f>IF(J208=0,0,K208/J208)</f>
        <v/>
      </c>
      <c r="M208" s="281">
        <f>K208/17</f>
        <v/>
      </c>
      <c r="N208" s="156" t="n">
        <v>0</v>
      </c>
      <c r="O208" s="156" t="n">
        <v>0</v>
      </c>
      <c r="P208" s="156" t="n">
        <v>0</v>
      </c>
      <c r="Q208" s="156" t="n">
        <v>0</v>
      </c>
      <c r="R208" s="156" t="n">
        <v>0</v>
      </c>
      <c r="S208" s="156" t="n">
        <v>0</v>
      </c>
      <c r="T208" s="156" t="n">
        <v>0</v>
      </c>
      <c r="U208" s="156" t="n">
        <v>0</v>
      </c>
      <c r="W208" s="156">
        <f>INDEX(Matrix!$AA$2:$AA$33, MATCH(G208, Matrix!$AC$2:$AC$33, 0))</f>
        <v/>
      </c>
      <c r="X208" s="156">
        <f>_xlfn.IFNA(MATCH(E206,'Injury Report'!$C$2:$C$6216,0),0)</f>
        <v/>
      </c>
    </row>
    <row r="209" ht="15.6" customHeight="1" s="152">
      <c r="A209" s="212" t="n">
        <v>206</v>
      </c>
      <c r="B209" s="167">
        <f>F209&amp;G209</f>
        <v/>
      </c>
      <c r="C209" s="156">
        <f>(K209/MAX(K:K)*$K$1)+(L209/MAX(L:L)*$L$1)+(M209/MAX(M:M)*$M$1)+(N209/MAX(N:N)*$N$1)+(T209/MAX(T:T)*$T$1)</f>
        <v/>
      </c>
      <c r="D209" s="156">
        <f>IFERROR(VLOOKUP(B209,#REF!,7,0),"")</f>
        <v/>
      </c>
      <c r="E209" s="156">
        <f>IFERROR(VLOOKUP(F209,AllPlayers!F:F,1,0),"------------")</f>
        <v/>
      </c>
      <c r="F209" s="156" t="inlineStr">
        <is>
          <t>Jonathon Brooks</t>
        </is>
      </c>
      <c r="G209" s="156">
        <f>VLOOKUP(F209,AllPlayers!Q:R,2,0)</f>
        <v/>
      </c>
      <c r="H209" s="156" t="inlineStr">
        <is>
          <t>RB</t>
        </is>
      </c>
      <c r="I209" s="156" t="n">
        <v>3</v>
      </c>
      <c r="J209" s="156" t="n">
        <v>9</v>
      </c>
      <c r="K209" s="156" t="n">
        <v>22</v>
      </c>
      <c r="L209" s="281">
        <f>IF(J209=0,0,K209/J209)</f>
        <v/>
      </c>
      <c r="M209" s="281">
        <f>K209/17</f>
        <v/>
      </c>
      <c r="N209" s="156" t="n">
        <v>0</v>
      </c>
      <c r="O209" s="156" t="n">
        <v>0</v>
      </c>
      <c r="P209" s="156" t="n">
        <v>0</v>
      </c>
      <c r="Q209" s="156" t="n">
        <v>0</v>
      </c>
      <c r="R209" s="156" t="n">
        <v>0</v>
      </c>
      <c r="S209" s="156" t="n">
        <v>0</v>
      </c>
      <c r="T209" s="156" t="n">
        <v>0</v>
      </c>
      <c r="U209" s="156" t="n">
        <v>0</v>
      </c>
      <c r="W209" s="156">
        <f>INDEX(Matrix!$AA$2:$AA$33, MATCH(G209, Matrix!$AC$2:$AC$33, 0))</f>
        <v/>
      </c>
      <c r="X209" s="156">
        <f>_xlfn.IFNA(MATCH(E207,'Injury Report'!$C$2:$C$6216,0),0)</f>
        <v/>
      </c>
    </row>
    <row r="210" ht="15.6" customHeight="1" s="152">
      <c r="A210" s="212" t="n">
        <v>207</v>
      </c>
      <c r="B210" s="167">
        <f>F210&amp;G210</f>
        <v/>
      </c>
      <c r="C210" s="156">
        <f>(K210/MAX(K:K)*$K$1)+(L210/MAX(L:L)*$L$1)+(M210/MAX(M:M)*$M$1)+(N210/MAX(N:N)*$N$1)+(T210/MAX(T:T)*$T$1)</f>
        <v/>
      </c>
      <c r="D210" s="156">
        <f>IFERROR(VLOOKUP(B210,#REF!,7,0),"")</f>
        <v/>
      </c>
      <c r="E210" s="156">
        <f>IFERROR(VLOOKUP(F210,AllPlayers!F:F,1,0),"------------")</f>
        <v/>
      </c>
      <c r="F210" s="156" t="inlineStr">
        <is>
          <t>Ashtyn Davis</t>
        </is>
      </c>
      <c r="G210" s="156">
        <f>VLOOKUP(F210,AllPlayers!Q:R,2,0)</f>
        <v/>
      </c>
      <c r="H210" s="156" t="inlineStr">
        <is>
          <t>S</t>
        </is>
      </c>
      <c r="I210" s="156" t="n">
        <v>1</v>
      </c>
      <c r="J210" s="156" t="n">
        <v>0</v>
      </c>
      <c r="K210" s="156" t="n">
        <v>0</v>
      </c>
      <c r="L210" s="281">
        <f>IF(J210=0,0,K210/J210)</f>
        <v/>
      </c>
      <c r="M210" s="281">
        <f>K210/17</f>
        <v/>
      </c>
      <c r="N210" s="156" t="n">
        <v>0</v>
      </c>
      <c r="O210" s="156" t="n">
        <v>1</v>
      </c>
      <c r="P210" s="156" t="n">
        <v>0</v>
      </c>
      <c r="Q210" s="156" t="n">
        <v>0</v>
      </c>
      <c r="R210" s="156" t="n">
        <v>0</v>
      </c>
      <c r="S210" s="156" t="n">
        <v>0</v>
      </c>
      <c r="T210" s="156" t="n">
        <v>0</v>
      </c>
      <c r="U210" s="156" t="n">
        <v>0</v>
      </c>
      <c r="W210" s="156">
        <f>INDEX(Matrix!$AA$2:$AA$33, MATCH(G210, Matrix!$AC$2:$AC$33, 0))</f>
        <v/>
      </c>
      <c r="X210" s="156">
        <f>_xlfn.IFNA(MATCH(E208,'Injury Report'!$C$2:$C$6216,0),0)</f>
        <v/>
      </c>
    </row>
    <row r="211" ht="15.6" customHeight="1" s="152">
      <c r="A211" s="212" t="n">
        <v>208</v>
      </c>
      <c r="B211" s="167">
        <f>F211&amp;G211</f>
        <v/>
      </c>
      <c r="C211" s="156">
        <f>(K211/MAX(K:K)*$K$1)+(L211/MAX(L:L)*$L$1)+(M211/MAX(M:M)*$M$1)+(N211/MAX(N:N)*$N$1)+(T211/MAX(T:T)*$T$1)</f>
        <v/>
      </c>
      <c r="D211" s="156">
        <f>IFERROR(VLOOKUP(B211,#REF!,7,0),"")</f>
        <v/>
      </c>
      <c r="E211" s="156">
        <f>IFERROR(VLOOKUP(F211,AllPlayers!F:F,1,0),"------------")</f>
        <v/>
      </c>
      <c r="F211" s="156" t="inlineStr">
        <is>
          <t>Jordan Addison</t>
        </is>
      </c>
      <c r="G211" s="156">
        <f>VLOOKUP(F211,AllPlayers!Q:R,2,0)</f>
        <v/>
      </c>
      <c r="H211" s="156" t="inlineStr">
        <is>
          <t>WR</t>
        </is>
      </c>
      <c r="I211" s="156" t="n">
        <v>3</v>
      </c>
      <c r="J211" s="156" t="n">
        <v>3</v>
      </c>
      <c r="K211" s="156" t="n">
        <v>20</v>
      </c>
      <c r="L211" s="281">
        <f>IF(J211=0,0,K211/J211)</f>
        <v/>
      </c>
      <c r="M211" s="281">
        <f>K211/17</f>
        <v/>
      </c>
      <c r="N211" s="156" t="n">
        <v>1</v>
      </c>
      <c r="O211" s="156" t="n">
        <v>0</v>
      </c>
      <c r="P211" s="156" t="n">
        <v>0</v>
      </c>
      <c r="Q211" s="156" t="n">
        <v>0</v>
      </c>
      <c r="R211" s="156" t="n">
        <v>0</v>
      </c>
      <c r="S211" s="156" t="n">
        <v>0</v>
      </c>
      <c r="T211" s="156" t="n">
        <v>0</v>
      </c>
      <c r="U211" s="156" t="n">
        <v>0</v>
      </c>
      <c r="W211" s="156">
        <f>INDEX(Matrix!$AA$2:$AA$33, MATCH(G211, Matrix!$AC$2:$AC$33, 0))</f>
        <v/>
      </c>
      <c r="X211" s="156">
        <f>_xlfn.IFNA(MATCH(E209,'Injury Report'!$C$2:$C$6216,0),0)</f>
        <v/>
      </c>
    </row>
    <row r="212" ht="15.6" customHeight="1" s="152">
      <c r="A212" s="212" t="n">
        <v>209</v>
      </c>
      <c r="B212" s="167">
        <f>F212&amp;G212</f>
        <v/>
      </c>
      <c r="C212" s="156">
        <f>(K212/MAX(K:K)*$K$1)+(L212/MAX(L:L)*$L$1)+(M212/MAX(M:M)*$M$1)+(N212/MAX(N:N)*$N$1)+(T212/MAX(T:T)*$T$1)</f>
        <v/>
      </c>
      <c r="D212" s="156">
        <f>IFERROR(VLOOKUP(B212,#REF!,7,0),"")</f>
        <v/>
      </c>
      <c r="E212" s="156">
        <f>IFERROR(VLOOKUP(F212,AllPlayers!F:F,1,0),"------------")</f>
        <v/>
      </c>
      <c r="F212" s="156" t="inlineStr">
        <is>
          <t>Taylor Heinicke</t>
        </is>
      </c>
      <c r="G212" s="156">
        <f>VLOOKUP(F212,AllPlayers!Q:R,2,0)</f>
        <v/>
      </c>
      <c r="H212" s="156" t="inlineStr">
        <is>
          <t>QB</t>
        </is>
      </c>
      <c r="I212" s="156" t="n">
        <v>2</v>
      </c>
      <c r="J212" s="156" t="n">
        <v>2</v>
      </c>
      <c r="K212" s="156" t="n">
        <v>20</v>
      </c>
      <c r="L212" s="281">
        <f>IF(J212=0,0,K212/J212)</f>
        <v/>
      </c>
      <c r="M212" s="281">
        <f>K212/17</f>
        <v/>
      </c>
      <c r="N212" s="156" t="n">
        <v>0</v>
      </c>
      <c r="O212" s="156" t="n">
        <v>0</v>
      </c>
      <c r="P212" s="156" t="n">
        <v>0</v>
      </c>
      <c r="Q212" s="156" t="n">
        <v>0</v>
      </c>
      <c r="R212" s="156" t="n">
        <v>0</v>
      </c>
      <c r="S212" s="156" t="n">
        <v>0</v>
      </c>
      <c r="T212" s="156" t="n">
        <v>0</v>
      </c>
      <c r="U212" s="156" t="n">
        <v>0</v>
      </c>
      <c r="W212" s="156">
        <f>INDEX(Matrix!$AA$2:$AA$33, MATCH(G212, Matrix!$AC$2:$AC$33, 0))</f>
        <v/>
      </c>
      <c r="X212" s="156">
        <f>_xlfn.IFNA(MATCH(E210,'Injury Report'!$C$2:$C$6216,0),0)</f>
        <v/>
      </c>
    </row>
    <row r="213" ht="15.6" customHeight="1" s="152">
      <c r="A213" s="212" t="n">
        <v>210</v>
      </c>
      <c r="B213" s="167">
        <f>F213&amp;G213</f>
        <v/>
      </c>
      <c r="C213" s="156">
        <f>(K213/MAX(K:K)*$K$1)+(L213/MAX(L:L)*$L$1)+(M213/MAX(M:M)*$M$1)+(N213/MAX(N:N)*$N$1)+(T213/MAX(T:T)*$T$1)</f>
        <v/>
      </c>
      <c r="D213" s="156">
        <f>IFERROR(VLOOKUP(B213,#REF!,7,0),"")</f>
        <v/>
      </c>
      <c r="E213" s="156">
        <f>IFERROR(VLOOKUP(F213,AllPlayers!F:F,1,0),"------------")</f>
        <v/>
      </c>
      <c r="F213" s="156" t="inlineStr">
        <is>
          <t>Dalvin Cook</t>
        </is>
      </c>
      <c r="G213" s="156">
        <f>VLOOKUP(F213,AllPlayers!Q:R,2,0)</f>
        <v/>
      </c>
      <c r="H213" s="156" t="inlineStr">
        <is>
          <t>RB</t>
        </is>
      </c>
      <c r="I213" s="156" t="n">
        <v>2</v>
      </c>
      <c r="J213" s="156" t="n">
        <v>8</v>
      </c>
      <c r="K213" s="156" t="n">
        <v>20</v>
      </c>
      <c r="L213" s="281">
        <f>IF(J213=0,0,K213/J213)</f>
        <v/>
      </c>
      <c r="M213" s="281">
        <f>K213/17</f>
        <v/>
      </c>
      <c r="N213" s="156" t="n">
        <v>0</v>
      </c>
      <c r="O213" s="156" t="n">
        <v>0</v>
      </c>
      <c r="P213" s="156" t="n">
        <v>0</v>
      </c>
      <c r="Q213" s="156" t="n">
        <v>0</v>
      </c>
      <c r="R213" s="156" t="n">
        <v>0</v>
      </c>
      <c r="S213" s="156" t="n">
        <v>0</v>
      </c>
      <c r="T213" s="156" t="n">
        <v>0</v>
      </c>
      <c r="U213" s="156" t="n">
        <v>0</v>
      </c>
      <c r="W213" s="156">
        <f>INDEX(Matrix!$AA$2:$AA$33, MATCH(G213, Matrix!$AC$2:$AC$33, 0))</f>
        <v/>
      </c>
      <c r="X213" s="156">
        <f>_xlfn.IFNA(MATCH(E211,'Injury Report'!$C$2:$C$6216,0),0)</f>
        <v/>
      </c>
    </row>
    <row r="214" ht="15.6" customHeight="1" s="152">
      <c r="A214" s="212" t="n">
        <v>211</v>
      </c>
      <c r="B214" s="167">
        <f>F214&amp;G214</f>
        <v/>
      </c>
      <c r="C214" s="156">
        <f>(K214/MAX(K:K)*$K$1)+(L214/MAX(L:L)*$L$1)+(M214/MAX(M:M)*$M$1)+(N214/MAX(N:N)*$N$1)+(T214/MAX(T:T)*$T$1)</f>
        <v/>
      </c>
      <c r="D214" s="156">
        <f>IFERROR(VLOOKUP(B214,#REF!,7,0),"")</f>
        <v/>
      </c>
      <c r="E214" s="156">
        <f>IFERROR(VLOOKUP(F214,AllPlayers!F:F,1,0),"------------")</f>
        <v/>
      </c>
      <c r="F214" s="156" t="inlineStr">
        <is>
          <t>Cooper Rush</t>
        </is>
      </c>
      <c r="G214" s="156">
        <f>VLOOKUP(F214,AllPlayers!Q:R,2,0)</f>
        <v/>
      </c>
      <c r="H214" s="156" t="inlineStr">
        <is>
          <t>QB</t>
        </is>
      </c>
      <c r="I214" s="156" t="n">
        <v>1</v>
      </c>
      <c r="J214" s="156" t="n">
        <v>3</v>
      </c>
      <c r="K214" s="156" t="n">
        <v>-4</v>
      </c>
      <c r="L214" s="281">
        <f>IF(J214=0,0,K214/J214)</f>
        <v/>
      </c>
      <c r="M214" s="281">
        <f>K214/17</f>
        <v/>
      </c>
      <c r="N214" s="156" t="n">
        <v>0</v>
      </c>
      <c r="O214" s="156" t="n">
        <v>0</v>
      </c>
      <c r="P214" s="156" t="n">
        <v>0</v>
      </c>
      <c r="Q214" s="156" t="n">
        <v>0</v>
      </c>
      <c r="R214" s="156" t="n">
        <v>0</v>
      </c>
      <c r="S214" s="156" t="n">
        <v>0</v>
      </c>
      <c r="T214" s="156" t="n">
        <v>0</v>
      </c>
      <c r="U214" s="156" t="n">
        <v>0</v>
      </c>
      <c r="W214" s="156">
        <f>INDEX(Matrix!$AA$2:$AA$33, MATCH(G214, Matrix!$AC$2:$AC$33, 0))</f>
        <v/>
      </c>
      <c r="X214" s="156">
        <f>_xlfn.IFNA(MATCH(E212,'Injury Report'!$C$2:$C$6216,0),0)</f>
        <v/>
      </c>
    </row>
    <row r="215" ht="15.6" customHeight="1" s="152">
      <c r="A215" s="212" t="n">
        <v>212</v>
      </c>
      <c r="B215" s="167">
        <f>F215&amp;G215</f>
        <v/>
      </c>
      <c r="C215" s="156">
        <f>(K215/MAX(K:K)*$K$1)+(L215/MAX(L:L)*$L$1)+(M215/MAX(M:M)*$M$1)+(N215/MAX(N:N)*$N$1)+(T215/MAX(T:T)*$T$1)</f>
        <v/>
      </c>
      <c r="D215" s="156">
        <f>IFERROR(VLOOKUP(B215,#REF!,7,0),"")</f>
        <v/>
      </c>
      <c r="E215" s="156">
        <f>IFERROR(VLOOKUP(F215,AllPlayers!F:F,1,0),"------------")</f>
        <v/>
      </c>
      <c r="F215" s="156" t="inlineStr">
        <is>
          <t>Wan'dale Robinson</t>
        </is>
      </c>
      <c r="G215" s="156">
        <f>VLOOKUP(F215,AllPlayers!Q:R,2,0)</f>
        <v/>
      </c>
      <c r="H215" s="156" t="inlineStr">
        <is>
          <t>WR</t>
        </is>
      </c>
      <c r="I215" s="156" t="n">
        <v>2</v>
      </c>
      <c r="J215" s="156" t="n">
        <v>0</v>
      </c>
      <c r="K215" s="156" t="n">
        <v>0</v>
      </c>
      <c r="L215" s="281">
        <f>IF(J215=0,0,K215/J215)</f>
        <v/>
      </c>
      <c r="M215" s="281">
        <f>K215/17</f>
        <v/>
      </c>
      <c r="N215" s="156" t="n">
        <v>0</v>
      </c>
      <c r="O215" s="156" t="n">
        <v>0</v>
      </c>
      <c r="P215" s="156" t="n">
        <v>0</v>
      </c>
      <c r="Q215" s="156" t="n">
        <v>0</v>
      </c>
      <c r="R215" s="156" t="n">
        <v>0</v>
      </c>
      <c r="S215" s="156" t="n">
        <v>0</v>
      </c>
      <c r="T215" s="156" t="n">
        <v>0</v>
      </c>
      <c r="U215" s="156" t="n">
        <v>0</v>
      </c>
      <c r="W215" s="156">
        <f>INDEX(Matrix!$AA$2:$AA$33, MATCH(G215, Matrix!$AC$2:$AC$33, 0))</f>
        <v/>
      </c>
      <c r="X215" s="156">
        <f>_xlfn.IFNA(MATCH(E213,'Injury Report'!$C$2:$C$6216,0),0)</f>
        <v/>
      </c>
    </row>
    <row r="216" ht="15.6" customHeight="1" s="152">
      <c r="A216" s="212" t="n">
        <v>213</v>
      </c>
      <c r="B216" s="167">
        <f>F216&amp;G216</f>
        <v/>
      </c>
      <c r="C216" s="156">
        <f>(K216/MAX(K:K)*$K$1)+(L216/MAX(L:L)*$L$1)+(M216/MAX(M:M)*$M$1)+(N216/MAX(N:N)*$N$1)+(T216/MAX(T:T)*$T$1)</f>
        <v/>
      </c>
      <c r="D216" s="156">
        <f>IFERROR(VLOOKUP(B216,#REF!,7,0),"")</f>
        <v/>
      </c>
      <c r="E216" s="156">
        <f>IFERROR(VLOOKUP(F216,AllPlayers!F:F,1,0),"------------")</f>
        <v/>
      </c>
      <c r="F216" s="156" t="inlineStr">
        <is>
          <t>Darius Slayton</t>
        </is>
      </c>
      <c r="G216" s="156">
        <f>VLOOKUP(F216,AllPlayers!Q:R,2,0)</f>
        <v/>
      </c>
      <c r="H216" s="156" t="inlineStr">
        <is>
          <t>WR</t>
        </is>
      </c>
      <c r="I216" s="156" t="n">
        <v>2</v>
      </c>
      <c r="J216" s="156" t="n">
        <v>0</v>
      </c>
      <c r="K216" s="156" t="n">
        <v>0</v>
      </c>
      <c r="L216" s="281">
        <f>IF(J216=0,0,K216/J216)</f>
        <v/>
      </c>
      <c r="M216" s="281">
        <f>K216/17</f>
        <v/>
      </c>
      <c r="N216" s="156" t="n">
        <v>0</v>
      </c>
      <c r="O216" s="156" t="n">
        <v>0</v>
      </c>
      <c r="P216" s="156" t="n">
        <v>0</v>
      </c>
      <c r="Q216" s="156" t="n">
        <v>0</v>
      </c>
      <c r="R216" s="156" t="n">
        <v>0</v>
      </c>
      <c r="S216" s="156" t="n">
        <v>0</v>
      </c>
      <c r="T216" s="156" t="n">
        <v>0</v>
      </c>
      <c r="U216" s="156" t="n">
        <v>0</v>
      </c>
      <c r="W216" s="156">
        <f>INDEX(Matrix!$AA$2:$AA$33, MATCH(G216, Matrix!$AC$2:$AC$33, 0))</f>
        <v/>
      </c>
      <c r="X216" s="156">
        <f>_xlfn.IFNA(MATCH(E214,'Injury Report'!$C$2:$C$6216,0),0)</f>
        <v/>
      </c>
    </row>
    <row r="217" ht="15.6" customHeight="1" s="152">
      <c r="A217" s="212" t="n">
        <v>214</v>
      </c>
      <c r="B217" s="167">
        <f>F217&amp;G217</f>
        <v/>
      </c>
      <c r="C217" s="156">
        <f>(K217/MAX(K:K)*$K$1)+(L217/MAX(L:L)*$L$1)+(M217/MAX(M:M)*$M$1)+(N217/MAX(N:N)*$N$1)+(T217/MAX(T:T)*$T$1)</f>
        <v/>
      </c>
      <c r="D217" s="156">
        <f>IFERROR(VLOOKUP(B217,#REF!,7,0),"")</f>
        <v/>
      </c>
      <c r="E217" s="156">
        <f>IFERROR(VLOOKUP(F217,AllPlayers!F:F,1,0),"------------")</f>
        <v/>
      </c>
      <c r="F217" s="156" t="inlineStr">
        <is>
          <t>Aaron Shampklin</t>
        </is>
      </c>
      <c r="G217" s="156">
        <f>VLOOKUP(F217,AllPlayers!Q:R,2,0)</f>
        <v/>
      </c>
      <c r="H217" s="156" t="inlineStr">
        <is>
          <t>RB</t>
        </is>
      </c>
      <c r="I217" s="156" t="n">
        <v>3</v>
      </c>
      <c r="J217" s="156" t="n">
        <v>6</v>
      </c>
      <c r="K217" s="156" t="n">
        <v>17</v>
      </c>
      <c r="L217" s="281">
        <f>IF(J217=0,0,K217/J217)</f>
        <v/>
      </c>
      <c r="M217" s="281">
        <f>K217/17</f>
        <v/>
      </c>
      <c r="N217" s="156" t="n">
        <v>0</v>
      </c>
      <c r="O217" s="156" t="n">
        <v>0</v>
      </c>
      <c r="P217" s="156" t="n">
        <v>0</v>
      </c>
      <c r="Q217" s="156" t="n">
        <v>0</v>
      </c>
      <c r="R217" s="156" t="n">
        <v>0</v>
      </c>
      <c r="S217" s="156" t="n">
        <v>0</v>
      </c>
      <c r="T217" s="156" t="n">
        <v>0</v>
      </c>
      <c r="U217" s="156" t="n">
        <v>0</v>
      </c>
      <c r="W217" s="156">
        <f>INDEX(Matrix!$AA$2:$AA$33, MATCH(G217, Matrix!$AC$2:$AC$33, 0))</f>
        <v/>
      </c>
      <c r="X217" s="156">
        <f>_xlfn.IFNA(MATCH(E215,'Injury Report'!$C$2:$C$6216,0),0)</f>
        <v/>
      </c>
    </row>
    <row r="218" ht="15.6" customHeight="1" s="152">
      <c r="A218" s="212" t="n">
        <v>215</v>
      </c>
      <c r="B218" s="167">
        <f>F218&amp;G218</f>
        <v/>
      </c>
      <c r="C218" s="156">
        <f>(K218/MAX(K:K)*$K$1)+(L218/MAX(L:L)*$L$1)+(M218/MAX(M:M)*$M$1)+(N218/MAX(N:N)*$N$1)+(T218/MAX(T:T)*$T$1)</f>
        <v/>
      </c>
      <c r="D218" s="156">
        <f>IFERROR(VLOOKUP(B218,#REF!,7,0),"")</f>
        <v/>
      </c>
      <c r="E218" s="156">
        <f>IFERROR(VLOOKUP(F218,AllPlayers!F:F,1,0),"------------")</f>
        <v/>
      </c>
      <c r="F218" s="156" t="inlineStr">
        <is>
          <t>Alec Ingold</t>
        </is>
      </c>
      <c r="G218" s="156">
        <f>VLOOKUP(F218,AllPlayers!Q:R,2,0)</f>
        <v/>
      </c>
      <c r="H218" s="156" t="inlineStr">
        <is>
          <t>FB</t>
        </is>
      </c>
      <c r="I218" s="156" t="n">
        <v>2</v>
      </c>
      <c r="J218" s="156" t="n">
        <v>0</v>
      </c>
      <c r="K218" s="156" t="n">
        <v>0</v>
      </c>
      <c r="L218" s="281">
        <f>IF(J218=0,0,K218/J218)</f>
        <v/>
      </c>
      <c r="M218" s="281">
        <f>K218/17</f>
        <v/>
      </c>
      <c r="N218" s="156" t="n">
        <v>0</v>
      </c>
      <c r="O218" s="156" t="n">
        <v>0</v>
      </c>
      <c r="P218" s="156" t="n">
        <v>0</v>
      </c>
      <c r="Q218" s="156" t="n">
        <v>0</v>
      </c>
      <c r="R218" s="156" t="n">
        <v>0</v>
      </c>
      <c r="S218" s="156" t="n">
        <v>0</v>
      </c>
      <c r="T218" s="156" t="n">
        <v>0</v>
      </c>
      <c r="U218" s="156" t="n">
        <v>0</v>
      </c>
      <c r="W218" s="156">
        <f>INDEX(Matrix!$AA$2:$AA$33, MATCH(G218, Matrix!$AC$2:$AC$33, 0))</f>
        <v/>
      </c>
      <c r="X218" s="156">
        <f>_xlfn.IFNA(MATCH(E216,'Injury Report'!$C$2:$C$6216,0),0)</f>
        <v/>
      </c>
    </row>
    <row r="219" ht="15.6" customHeight="1" s="152">
      <c r="A219" s="212" t="n">
        <v>216</v>
      </c>
      <c r="B219" s="167">
        <f>F219&amp;G219</f>
        <v/>
      </c>
      <c r="C219" s="156">
        <f>(K219/MAX(K:K)*$K$1)+(L219/MAX(L:L)*$L$1)+(M219/MAX(M:M)*$M$1)+(N219/MAX(N:N)*$N$1)+(T219/MAX(T:T)*$T$1)</f>
        <v/>
      </c>
      <c r="D219" s="156">
        <f>IFERROR(VLOOKUP(B219,#REF!,7,0),"")</f>
        <v/>
      </c>
      <c r="E219" s="156">
        <f>IFERROR(VLOOKUP(F219,AllPlayers!F:F,1,0),"------------")</f>
        <v/>
      </c>
      <c r="F219" s="156" t="inlineStr">
        <is>
          <t>Chig Okonkwo</t>
        </is>
      </c>
      <c r="G219" s="156">
        <f>VLOOKUP(F219,AllPlayers!Q:R,2,0)</f>
        <v/>
      </c>
      <c r="H219" s="156" t="inlineStr">
        <is>
          <t>TE</t>
        </is>
      </c>
      <c r="I219" s="156" t="n">
        <v>2</v>
      </c>
      <c r="J219" s="156" t="n">
        <v>0</v>
      </c>
      <c r="K219" s="156" t="n">
        <v>0</v>
      </c>
      <c r="L219" s="281">
        <f>IF(J219=0,0,K219/J219)</f>
        <v/>
      </c>
      <c r="M219" s="281">
        <f>K219/17</f>
        <v/>
      </c>
      <c r="N219" s="156" t="n">
        <v>0</v>
      </c>
      <c r="O219" s="156" t="n">
        <v>0</v>
      </c>
      <c r="P219" s="156" t="n">
        <v>0</v>
      </c>
      <c r="Q219" s="156" t="n">
        <v>0</v>
      </c>
      <c r="R219" s="156" t="n">
        <v>0</v>
      </c>
      <c r="S219" s="156" t="n">
        <v>0</v>
      </c>
      <c r="T219" s="156" t="n">
        <v>0</v>
      </c>
      <c r="U219" s="156" t="n">
        <v>0</v>
      </c>
      <c r="W219" s="156">
        <f>INDEX(Matrix!$AA$2:$AA$33, MATCH(G219, Matrix!$AC$2:$AC$33, 0))</f>
        <v/>
      </c>
      <c r="X219" s="156">
        <f>_xlfn.IFNA(MATCH(E217,'Injury Report'!$C$2:$C$6216,0),0)</f>
        <v/>
      </c>
    </row>
    <row r="220" ht="15.6" customHeight="1" s="152">
      <c r="A220" s="212" t="n">
        <v>217</v>
      </c>
      <c r="B220" s="167">
        <f>F220&amp;G220</f>
        <v/>
      </c>
      <c r="C220" s="156">
        <f>(K220/MAX(K:K)*$K$1)+(L220/MAX(L:L)*$L$1)+(M220/MAX(M:M)*$M$1)+(N220/MAX(N:N)*$N$1)+(T220/MAX(T:T)*$T$1)</f>
        <v/>
      </c>
      <c r="D220" s="156">
        <f>IFERROR(VLOOKUP(B220,#REF!,7,0),"")</f>
        <v/>
      </c>
      <c r="E220" s="156">
        <f>IFERROR(VLOOKUP(F220,AllPlayers!F:F,1,0),"------------")</f>
        <v/>
      </c>
      <c r="F220" s="156" t="inlineStr">
        <is>
          <t>Demario Douglas</t>
        </is>
      </c>
      <c r="G220" s="156">
        <f>VLOOKUP(F220,AllPlayers!Q:R,2,0)</f>
        <v/>
      </c>
      <c r="H220" s="156" t="inlineStr">
        <is>
          <t>WR</t>
        </is>
      </c>
      <c r="I220" s="156" t="n">
        <v>2</v>
      </c>
      <c r="J220" s="156" t="n">
        <v>1</v>
      </c>
      <c r="K220" s="156" t="n">
        <v>4</v>
      </c>
      <c r="L220" s="281">
        <f>IF(J220=0,0,K220/J220)</f>
        <v/>
      </c>
      <c r="M220" s="281">
        <f>K220/17</f>
        <v/>
      </c>
      <c r="N220" s="156" t="n">
        <v>0</v>
      </c>
      <c r="O220" s="156" t="n">
        <v>0</v>
      </c>
      <c r="P220" s="156" t="n">
        <v>0</v>
      </c>
      <c r="Q220" s="156" t="n">
        <v>0</v>
      </c>
      <c r="R220" s="156" t="n">
        <v>0</v>
      </c>
      <c r="S220" s="156" t="n">
        <v>0</v>
      </c>
      <c r="T220" s="156" t="n">
        <v>0</v>
      </c>
      <c r="U220" s="156" t="n">
        <v>0</v>
      </c>
      <c r="W220" s="156">
        <f>INDEX(Matrix!$AA$2:$AA$33, MATCH(G220, Matrix!$AC$2:$AC$33, 0))</f>
        <v/>
      </c>
      <c r="X220" s="156">
        <f>_xlfn.IFNA(MATCH(E218,'Injury Report'!$C$2:$C$6216,0),0)</f>
        <v/>
      </c>
    </row>
    <row r="221" ht="15.6" customHeight="1" s="152">
      <c r="A221" s="212" t="n">
        <v>218</v>
      </c>
      <c r="B221" s="167">
        <f>F221&amp;G221</f>
        <v/>
      </c>
      <c r="C221" s="156">
        <f>(K221/MAX(K:K)*$K$1)+(L221/MAX(L:L)*$L$1)+(M221/MAX(M:M)*$M$1)+(N221/MAX(N:N)*$N$1)+(T221/MAX(T:T)*$T$1)</f>
        <v/>
      </c>
      <c r="D221" s="156">
        <f>IFERROR(VLOOKUP(B221,#REF!,7,0),"")</f>
        <v/>
      </c>
      <c r="E221" s="156">
        <f>IFERROR(VLOOKUP(F221,AllPlayers!F:F,1,0),"------------")</f>
        <v/>
      </c>
      <c r="F221" s="156" t="inlineStr">
        <is>
          <t>Joe Milton</t>
        </is>
      </c>
      <c r="G221" s="156">
        <f>VLOOKUP(F221,AllPlayers!Q:R,2,0)</f>
        <v/>
      </c>
      <c r="H221" s="156" t="inlineStr">
        <is>
          <t>QB</t>
        </is>
      </c>
      <c r="I221" s="156" t="n">
        <v>1</v>
      </c>
      <c r="J221" s="156" t="n">
        <v>10</v>
      </c>
      <c r="K221" s="156" t="n">
        <v>16</v>
      </c>
      <c r="L221" s="281">
        <f>IF(J221=0,0,K221/J221)</f>
        <v/>
      </c>
      <c r="M221" s="281">
        <f>K221/17</f>
        <v/>
      </c>
      <c r="N221" s="156" t="n">
        <v>1</v>
      </c>
      <c r="O221" s="156" t="n">
        <v>0</v>
      </c>
      <c r="P221" s="156" t="n">
        <v>0</v>
      </c>
      <c r="Q221" s="156" t="n">
        <v>0</v>
      </c>
      <c r="R221" s="156" t="n">
        <v>0</v>
      </c>
      <c r="S221" s="156" t="n">
        <v>0</v>
      </c>
      <c r="T221" s="156" t="n">
        <v>1</v>
      </c>
      <c r="U221" s="156" t="n">
        <v>1</v>
      </c>
      <c r="W221" s="156">
        <f>INDEX(Matrix!$AA$2:$AA$33, MATCH(G221, Matrix!$AC$2:$AC$33, 0))</f>
        <v/>
      </c>
      <c r="X221" s="156">
        <f>_xlfn.IFNA(MATCH(E219,'Injury Report'!$C$2:$C$6216,0),0)</f>
        <v/>
      </c>
    </row>
    <row r="222" ht="15.6" customHeight="1" s="152">
      <c r="A222" s="212" t="n">
        <v>219</v>
      </c>
      <c r="B222" s="167">
        <f>F222&amp;G222</f>
        <v/>
      </c>
      <c r="C222" s="156">
        <f>(K222/MAX(K:K)*$K$1)+(L222/MAX(L:L)*$L$1)+(M222/MAX(M:M)*$M$1)+(N222/MAX(N:N)*$N$1)+(T222/MAX(T:T)*$T$1)</f>
        <v/>
      </c>
      <c r="D222" s="156">
        <f>IFERROR(VLOOKUP(B222,#REF!,7,0),"")</f>
        <v/>
      </c>
      <c r="E222" s="156">
        <f>IFERROR(VLOOKUP(F222,AllPlayers!F:F,1,0),"------------")</f>
        <v/>
      </c>
      <c r="F222" s="156" t="inlineStr">
        <is>
          <t>Khalil Herbert</t>
        </is>
      </c>
      <c r="G222" s="156">
        <f>VLOOKUP(F222,AllPlayers!Q:R,2,0)</f>
        <v/>
      </c>
      <c r="H222" s="156" t="inlineStr">
        <is>
          <t>RB</t>
        </is>
      </c>
      <c r="I222" s="156" t="n">
        <v>3</v>
      </c>
      <c r="J222" s="156" t="n">
        <v>8</v>
      </c>
      <c r="K222" s="156" t="n">
        <v>16</v>
      </c>
      <c r="L222" s="281">
        <f>IF(J222=0,0,K222/J222)</f>
        <v/>
      </c>
      <c r="M222" s="281">
        <f>K222/17</f>
        <v/>
      </c>
      <c r="N222" s="156" t="n">
        <v>1</v>
      </c>
      <c r="O222" s="156" t="n">
        <v>0</v>
      </c>
      <c r="P222" s="156" t="n">
        <v>0</v>
      </c>
      <c r="Q222" s="156" t="n">
        <v>0</v>
      </c>
      <c r="R222" s="156" t="n">
        <v>0</v>
      </c>
      <c r="S222" s="156" t="n">
        <v>0</v>
      </c>
      <c r="T222" s="156" t="n">
        <v>0</v>
      </c>
      <c r="U222" s="156" t="n">
        <v>0</v>
      </c>
      <c r="W222" s="156">
        <f>INDEX(Matrix!$AA$2:$AA$33, MATCH(G222, Matrix!$AC$2:$AC$33, 0))</f>
        <v/>
      </c>
      <c r="X222" s="156">
        <f>_xlfn.IFNA(MATCH(E220,'Injury Report'!$C$2:$C$6216,0),0)</f>
        <v/>
      </c>
    </row>
    <row r="223" ht="15.6" customHeight="1" s="152">
      <c r="A223" s="212" t="n">
        <v>220</v>
      </c>
      <c r="B223" s="167">
        <f>F223&amp;G223</f>
        <v/>
      </c>
      <c r="C223" s="156">
        <f>(K223/MAX(K:K)*$K$1)+(L223/MAX(L:L)*$L$1)+(M223/MAX(M:M)*$M$1)+(N223/MAX(N:N)*$N$1)+(T223/MAX(T:T)*$T$1)</f>
        <v/>
      </c>
      <c r="D223" s="156">
        <f>IFERROR(VLOOKUP(B223,#REF!,7,0),"")</f>
        <v/>
      </c>
      <c r="E223" s="156">
        <f>IFERROR(VLOOKUP(F223,AllPlayers!F:F,1,0),"------------")</f>
        <v/>
      </c>
      <c r="F223" s="156" t="inlineStr">
        <is>
          <t>Rome Odunze</t>
        </is>
      </c>
      <c r="G223" s="156">
        <f>VLOOKUP(F223,AllPlayers!Q:R,2,0)</f>
        <v/>
      </c>
      <c r="H223" s="156" t="inlineStr">
        <is>
          <t>WR</t>
        </is>
      </c>
      <c r="I223" s="156" t="n">
        <v>2</v>
      </c>
      <c r="J223" s="156" t="n">
        <v>0</v>
      </c>
      <c r="K223" s="156" t="n">
        <v>0</v>
      </c>
      <c r="L223" s="281">
        <f>IF(J223=0,0,K223/J223)</f>
        <v/>
      </c>
      <c r="M223" s="281">
        <f>K223/17</f>
        <v/>
      </c>
      <c r="N223" s="156" t="n">
        <v>0</v>
      </c>
      <c r="O223" s="156" t="n">
        <v>0</v>
      </c>
      <c r="P223" s="156" t="n">
        <v>0</v>
      </c>
      <c r="Q223" s="156" t="n">
        <v>0</v>
      </c>
      <c r="R223" s="156" t="n">
        <v>0</v>
      </c>
      <c r="S223" s="156" t="n">
        <v>0</v>
      </c>
      <c r="T223" s="156" t="n">
        <v>0</v>
      </c>
      <c r="U223" s="156" t="n">
        <v>0</v>
      </c>
      <c r="W223" s="156">
        <f>INDEX(Matrix!$AA$2:$AA$33, MATCH(G223, Matrix!$AC$2:$AC$33, 0))</f>
        <v/>
      </c>
      <c r="X223" s="156">
        <f>_xlfn.IFNA(MATCH(E221,'Injury Report'!$C$2:$C$6216,0),0)</f>
        <v/>
      </c>
    </row>
    <row r="224" ht="15.6" customHeight="1" s="152">
      <c r="A224" s="212" t="n">
        <v>221</v>
      </c>
      <c r="B224" s="167">
        <f>F224&amp;G224</f>
        <v/>
      </c>
      <c r="C224" s="156">
        <f>(K224/MAX(K:K)*$K$1)+(L224/MAX(L:L)*$L$1)+(M224/MAX(M:M)*$M$1)+(N224/MAX(N:N)*$N$1)+(T224/MAX(T:T)*$T$1)</f>
        <v/>
      </c>
      <c r="D224" s="156">
        <f>IFERROR(VLOOKUP(B224,#REF!,7,0),"")</f>
        <v/>
      </c>
      <c r="E224" s="156">
        <f>IFERROR(VLOOKUP(F224,AllPlayers!F:F,1,0),"------------")</f>
        <v/>
      </c>
      <c r="F224" s="156" t="inlineStr">
        <is>
          <t>Marshawn Lloyd</t>
        </is>
      </c>
      <c r="G224" s="156">
        <f>VLOOKUP(F224,AllPlayers!Q:R,2,0)</f>
        <v/>
      </c>
      <c r="H224" s="156" t="inlineStr">
        <is>
          <t>RB</t>
        </is>
      </c>
      <c r="I224" s="156" t="n">
        <v>1</v>
      </c>
      <c r="J224" s="156" t="n">
        <v>6</v>
      </c>
      <c r="K224" s="156" t="n">
        <v>15</v>
      </c>
      <c r="L224" s="281">
        <f>IF(J224=0,0,K224/J224)</f>
        <v/>
      </c>
      <c r="M224" s="281">
        <f>K224/17</f>
        <v/>
      </c>
      <c r="N224" s="156" t="n">
        <v>0</v>
      </c>
      <c r="O224" s="156" t="n">
        <v>0</v>
      </c>
      <c r="P224" s="156" t="n">
        <v>0</v>
      </c>
      <c r="Q224" s="156" t="n">
        <v>0</v>
      </c>
      <c r="R224" s="156" t="n">
        <v>0</v>
      </c>
      <c r="S224" s="156" t="n">
        <v>0</v>
      </c>
      <c r="T224" s="156" t="n">
        <v>0</v>
      </c>
      <c r="U224" s="156" t="n">
        <v>0</v>
      </c>
      <c r="W224" s="156">
        <f>INDEX(Matrix!$AA$2:$AA$33, MATCH(G224, Matrix!$AC$2:$AC$33, 0))</f>
        <v/>
      </c>
      <c r="X224" s="156">
        <f>_xlfn.IFNA(MATCH(E222,'Injury Report'!$C$2:$C$6216,0),0)</f>
        <v/>
      </c>
    </row>
    <row r="225" ht="15.6" customHeight="1" s="152">
      <c r="A225" s="212" t="n">
        <v>222</v>
      </c>
      <c r="B225" s="167">
        <f>F225&amp;G225</f>
        <v/>
      </c>
      <c r="C225" s="156">
        <f>(K225/MAX(K:K)*$K$1)+(L225/MAX(L:L)*$L$1)+(M225/MAX(M:M)*$M$1)+(N225/MAX(N:N)*$N$1)+(T225/MAX(T:T)*$T$1)</f>
        <v/>
      </c>
      <c r="D225" s="156">
        <f>IFERROR(VLOOKUP(B225,#REF!,7,0),"")</f>
        <v/>
      </c>
      <c r="E225" s="156">
        <f>IFERROR(VLOOKUP(F225,AllPlayers!F:F,1,0),"------------")</f>
        <v/>
      </c>
      <c r="F225" s="156" t="inlineStr">
        <is>
          <t>Kenny Pickett</t>
        </is>
      </c>
      <c r="G225" s="156">
        <f>VLOOKUP(F225,AllPlayers!Q:R,2,0)</f>
        <v/>
      </c>
      <c r="H225" s="156" t="inlineStr">
        <is>
          <t>QB</t>
        </is>
      </c>
      <c r="I225" s="156" t="n">
        <v>4</v>
      </c>
      <c r="J225" s="156" t="n">
        <v>9</v>
      </c>
      <c r="K225" s="156" t="n">
        <v>15</v>
      </c>
      <c r="L225" s="281">
        <f>IF(J225=0,0,K225/J225)</f>
        <v/>
      </c>
      <c r="M225" s="281">
        <f>K225/17</f>
        <v/>
      </c>
      <c r="N225" s="156" t="n">
        <v>1</v>
      </c>
      <c r="O225" s="156" t="n">
        <v>0</v>
      </c>
      <c r="P225" s="156" t="n">
        <v>0</v>
      </c>
      <c r="Q225" s="156" t="n">
        <v>0</v>
      </c>
      <c r="R225" s="156" t="n">
        <v>0</v>
      </c>
      <c r="S225" s="156" t="n">
        <v>0</v>
      </c>
      <c r="T225" s="156" t="n">
        <v>1</v>
      </c>
      <c r="U225" s="156" t="n">
        <v>0</v>
      </c>
      <c r="W225" s="156">
        <f>INDEX(Matrix!$AA$2:$AA$33, MATCH(G225, Matrix!$AC$2:$AC$33, 0))</f>
        <v/>
      </c>
      <c r="X225" s="156">
        <f>_xlfn.IFNA(MATCH(E223,'Injury Report'!$C$2:$C$6216,0),0)</f>
        <v/>
      </c>
    </row>
    <row r="226" ht="15.6" customHeight="1" s="152">
      <c r="A226" s="212" t="n">
        <v>223</v>
      </c>
      <c r="B226" s="167">
        <f>F226&amp;G226</f>
        <v/>
      </c>
      <c r="C226" s="156">
        <f>(K226/MAX(K:K)*$K$1)+(L226/MAX(L:L)*$L$1)+(M226/MAX(M:M)*$M$1)+(N226/MAX(N:N)*$N$1)+(T226/MAX(T:T)*$T$1)</f>
        <v/>
      </c>
      <c r="D226" s="156">
        <f>IFERROR(VLOOKUP(B226,#REF!,7,0),"")</f>
        <v/>
      </c>
      <c r="E226" s="156">
        <f>IFERROR(VLOOKUP(F226,AllPlayers!F:F,1,0),"------------")</f>
        <v/>
      </c>
      <c r="F226" s="156" t="inlineStr">
        <is>
          <t>Sione Vaki</t>
        </is>
      </c>
      <c r="G226" s="156">
        <f>VLOOKUP(F226,AllPlayers!Q:R,2,0)</f>
        <v/>
      </c>
      <c r="H226" s="156" t="inlineStr">
        <is>
          <t>RB</t>
        </is>
      </c>
      <c r="I226" s="156" t="n">
        <v>2</v>
      </c>
      <c r="J226" s="156" t="n">
        <v>6</v>
      </c>
      <c r="K226" s="156" t="n">
        <v>14</v>
      </c>
      <c r="L226" s="281">
        <f>IF(J226=0,0,K226/J226)</f>
        <v/>
      </c>
      <c r="M226" s="281">
        <f>K226/17</f>
        <v/>
      </c>
      <c r="N226" s="156" t="n">
        <v>0</v>
      </c>
      <c r="O226" s="156" t="n">
        <v>0</v>
      </c>
      <c r="P226" s="156" t="n">
        <v>0</v>
      </c>
      <c r="Q226" s="156" t="n">
        <v>0</v>
      </c>
      <c r="R226" s="156" t="n">
        <v>0</v>
      </c>
      <c r="S226" s="156" t="n">
        <v>0</v>
      </c>
      <c r="T226" s="156" t="n">
        <v>0</v>
      </c>
      <c r="U226" s="156" t="n">
        <v>0</v>
      </c>
      <c r="W226" s="156">
        <f>INDEX(Matrix!$AA$2:$AA$33, MATCH(G226, Matrix!$AC$2:$AC$33, 0))</f>
        <v/>
      </c>
      <c r="X226" s="156">
        <f>_xlfn.IFNA(MATCH(E224,'Injury Report'!$C$2:$C$6216,0),0)</f>
        <v/>
      </c>
    </row>
    <row r="227" ht="15.6" customHeight="1" s="152">
      <c r="A227" s="212" t="n">
        <v>224</v>
      </c>
      <c r="B227" s="167">
        <f>F227&amp;G227</f>
        <v/>
      </c>
      <c r="C227" s="156">
        <f>(K227/MAX(K:K)*$K$1)+(L227/MAX(L:L)*$L$1)+(M227/MAX(M:M)*$M$1)+(N227/MAX(N:N)*$N$1)+(T227/MAX(T:T)*$T$1)</f>
        <v/>
      </c>
      <c r="D227" s="156">
        <f>IFERROR(VLOOKUP(B227,#REF!,7,0),"")</f>
        <v/>
      </c>
      <c r="E227" s="156">
        <f>IFERROR(VLOOKUP(F227,AllPlayers!F:F,1,0),"------------")</f>
        <v/>
      </c>
      <c r="F227" s="156" t="inlineStr">
        <is>
          <t>Curtis Samuel</t>
        </is>
      </c>
      <c r="G227" s="156">
        <f>VLOOKUP(F227,AllPlayers!Q:R,2,0)</f>
        <v/>
      </c>
      <c r="H227" s="156" t="inlineStr">
        <is>
          <t>WR</t>
        </is>
      </c>
      <c r="I227" s="156" t="n">
        <v>5</v>
      </c>
      <c r="J227" s="156" t="n">
        <v>5</v>
      </c>
      <c r="K227" s="156" t="n">
        <v>14</v>
      </c>
      <c r="L227" s="281">
        <f>IF(J227=0,0,K227/J227)</f>
        <v/>
      </c>
      <c r="M227" s="281">
        <f>K227/17</f>
        <v/>
      </c>
      <c r="N227" s="156" t="n">
        <v>0</v>
      </c>
      <c r="O227" s="156" t="n">
        <v>0</v>
      </c>
      <c r="P227" s="156" t="n">
        <v>0</v>
      </c>
      <c r="Q227" s="156" t="n">
        <v>0</v>
      </c>
      <c r="R227" s="156" t="n">
        <v>0</v>
      </c>
      <c r="S227" s="156" t="n">
        <v>0</v>
      </c>
      <c r="T227" s="156" t="n">
        <v>0</v>
      </c>
      <c r="U227" s="156" t="n">
        <v>0</v>
      </c>
      <c r="W227" s="156">
        <f>INDEX(Matrix!$AA$2:$AA$33, MATCH(G227, Matrix!$AC$2:$AC$33, 0))</f>
        <v/>
      </c>
      <c r="X227" s="156">
        <f>_xlfn.IFNA(MATCH(E225,'Injury Report'!$C$2:$C$6216,0),0)</f>
        <v/>
      </c>
    </row>
    <row r="228" ht="15.6" customHeight="1" s="152">
      <c r="A228" s="212" t="n">
        <v>225</v>
      </c>
      <c r="B228" s="167">
        <f>F228&amp;G228</f>
        <v/>
      </c>
      <c r="C228" s="156">
        <f>(K228/MAX(K:K)*$K$1)+(L228/MAX(L:L)*$L$1)+(M228/MAX(M:M)*$M$1)+(N228/MAX(N:N)*$N$1)+(T228/MAX(T:T)*$T$1)</f>
        <v/>
      </c>
      <c r="D228" s="156">
        <f>IFERROR(VLOOKUP(B228,#REF!,7,0),"")</f>
        <v/>
      </c>
      <c r="E228" s="156">
        <f>IFERROR(VLOOKUP(F228,AllPlayers!F:F,1,0),"------------")</f>
        <v/>
      </c>
      <c r="F228" s="156" t="inlineStr">
        <is>
          <t>Jahan Dotson</t>
        </is>
      </c>
      <c r="G228" s="156">
        <f>VLOOKUP(F228,AllPlayers!Q:R,2,0)</f>
        <v/>
      </c>
      <c r="H228" s="156" t="inlineStr">
        <is>
          <t>WR</t>
        </is>
      </c>
      <c r="I228" s="156" t="n">
        <v>2</v>
      </c>
      <c r="J228" s="156" t="n">
        <v>0</v>
      </c>
      <c r="K228" s="156" t="n">
        <v>0</v>
      </c>
      <c r="L228" s="281">
        <f>IF(J228=0,0,K228/J228)</f>
        <v/>
      </c>
      <c r="M228" s="281">
        <f>K228/17</f>
        <v/>
      </c>
      <c r="N228" s="156" t="n">
        <v>0</v>
      </c>
      <c r="O228" s="156" t="n">
        <v>0</v>
      </c>
      <c r="P228" s="156" t="n">
        <v>0</v>
      </c>
      <c r="Q228" s="156" t="n">
        <v>0</v>
      </c>
      <c r="R228" s="156" t="n">
        <v>0</v>
      </c>
      <c r="S228" s="156" t="n">
        <v>0</v>
      </c>
      <c r="T228" s="156" t="n">
        <v>0</v>
      </c>
      <c r="U228" s="156" t="n">
        <v>0</v>
      </c>
      <c r="W228" s="156">
        <f>INDEX(Matrix!$AA$2:$AA$33, MATCH(G228, Matrix!$AC$2:$AC$33, 0))</f>
        <v/>
      </c>
      <c r="X228" s="156">
        <f>_xlfn.IFNA(MATCH(E226,'Injury Report'!$C$2:$C$6216,0),0)</f>
        <v/>
      </c>
    </row>
    <row r="229" ht="15.6" customHeight="1" s="152">
      <c r="A229" s="212" t="n">
        <v>226</v>
      </c>
      <c r="B229" s="167">
        <f>F229&amp;G229</f>
        <v/>
      </c>
      <c r="C229" s="156">
        <f>(K229/MAX(K:K)*$K$1)+(L229/MAX(L:L)*$L$1)+(M229/MAX(M:M)*$M$1)+(N229/MAX(N:N)*$N$1)+(T229/MAX(T:T)*$T$1)</f>
        <v/>
      </c>
      <c r="D229" s="156">
        <f>IFERROR(VLOOKUP(B229,#REF!,7,0),"")</f>
        <v/>
      </c>
      <c r="E229" s="156">
        <f>IFERROR(VLOOKUP(F229,AllPlayers!F:F,1,0),"------------")</f>
        <v/>
      </c>
      <c r="F229" s="156" t="inlineStr">
        <is>
          <t>Tyrod Taylor</t>
        </is>
      </c>
      <c r="G229" s="156">
        <f>VLOOKUP(F229,AllPlayers!Q:R,2,0)</f>
        <v/>
      </c>
      <c r="H229" s="156" t="inlineStr">
        <is>
          <t>QB</t>
        </is>
      </c>
      <c r="I229" s="156" t="n">
        <v>1</v>
      </c>
      <c r="J229" s="156" t="n">
        <v>3</v>
      </c>
      <c r="K229" s="156" t="n">
        <v>21</v>
      </c>
      <c r="L229" s="281">
        <f>IF(J229=0,0,K229/J229)</f>
        <v/>
      </c>
      <c r="M229" s="281">
        <f>K229/17</f>
        <v/>
      </c>
      <c r="N229" s="156" t="n">
        <v>0</v>
      </c>
      <c r="O229" s="156" t="n">
        <v>0</v>
      </c>
      <c r="P229" s="156" t="n">
        <v>0</v>
      </c>
      <c r="Q229" s="156" t="n">
        <v>0</v>
      </c>
      <c r="R229" s="156" t="n">
        <v>0</v>
      </c>
      <c r="S229" s="156" t="n">
        <v>0</v>
      </c>
      <c r="T229" s="156" t="n">
        <v>0</v>
      </c>
      <c r="U229" s="156" t="n">
        <v>0</v>
      </c>
      <c r="W229" s="156">
        <f>INDEX(Matrix!$AA$2:$AA$33, MATCH(G229, Matrix!$AC$2:$AC$33, 0))</f>
        <v/>
      </c>
      <c r="X229" s="156">
        <f>_xlfn.IFNA(MATCH(E227,'Injury Report'!$C$2:$C$6216,0),0)</f>
        <v/>
      </c>
    </row>
    <row r="230" ht="15.6" customHeight="1" s="152">
      <c r="A230" s="212" t="n">
        <v>227</v>
      </c>
      <c r="B230" s="167">
        <f>F230&amp;G230</f>
        <v/>
      </c>
      <c r="C230" s="156">
        <f>(K230/MAX(K:K)*$K$1)+(L230/MAX(L:L)*$L$1)+(M230/MAX(M:M)*$M$1)+(N230/MAX(N:N)*$N$1)+(T230/MAX(T:T)*$T$1)</f>
        <v/>
      </c>
      <c r="D230" s="156">
        <f>IFERROR(VLOOKUP(B230,#REF!,7,0),"")</f>
        <v/>
      </c>
      <c r="E230" s="156">
        <f>IFERROR(VLOOKUP(F230,AllPlayers!F:F,1,0),"------------")</f>
        <v/>
      </c>
      <c r="F230" s="156" t="inlineStr">
        <is>
          <t>Brock Bowers</t>
        </is>
      </c>
      <c r="G230" s="156">
        <f>VLOOKUP(F230,AllPlayers!Q:R,2,0)</f>
        <v/>
      </c>
      <c r="H230" s="156" t="inlineStr">
        <is>
          <t>TE</t>
        </is>
      </c>
      <c r="I230" s="156" t="n">
        <v>2</v>
      </c>
      <c r="J230" s="156" t="n">
        <v>0</v>
      </c>
      <c r="K230" s="156" t="n">
        <v>0</v>
      </c>
      <c r="L230" s="281">
        <f>IF(J230=0,0,K230/J230)</f>
        <v/>
      </c>
      <c r="M230" s="281">
        <f>K230/17</f>
        <v/>
      </c>
      <c r="N230" s="156" t="n">
        <v>0</v>
      </c>
      <c r="O230" s="156" t="n">
        <v>0</v>
      </c>
      <c r="P230" s="156" t="n">
        <v>0</v>
      </c>
      <c r="Q230" s="156" t="n">
        <v>0</v>
      </c>
      <c r="R230" s="156" t="n">
        <v>0</v>
      </c>
      <c r="S230" s="156" t="n">
        <v>0</v>
      </c>
      <c r="T230" s="156" t="n">
        <v>0</v>
      </c>
      <c r="U230" s="156" t="n">
        <v>0</v>
      </c>
      <c r="W230" s="156">
        <f>INDEX(Matrix!$AA$2:$AA$33, MATCH(G230, Matrix!$AC$2:$AC$33, 0))</f>
        <v/>
      </c>
      <c r="X230" s="156">
        <f>_xlfn.IFNA(MATCH(E228,'Injury Report'!$C$2:$C$6216,0),0)</f>
        <v/>
      </c>
    </row>
    <row r="231" ht="15.6" customHeight="1" s="152">
      <c r="A231" s="212" t="n">
        <v>228</v>
      </c>
      <c r="B231" s="167">
        <f>F231&amp;G231</f>
        <v/>
      </c>
      <c r="C231" s="156">
        <f>(K231/MAX(K:K)*$K$1)+(L231/MAX(L:L)*$L$1)+(M231/MAX(M:M)*$M$1)+(N231/MAX(N:N)*$N$1)+(T231/MAX(T:T)*$T$1)</f>
        <v/>
      </c>
      <c r="D231" s="156">
        <f>IFERROR(VLOOKUP(B231,#REF!,7,0),"")</f>
        <v/>
      </c>
      <c r="E231" s="156">
        <f>IFERROR(VLOOKUP(F231,AllPlayers!F:F,1,0),"------------")</f>
        <v/>
      </c>
      <c r="F231" s="156" t="inlineStr">
        <is>
          <t>Chris Collier</t>
        </is>
      </c>
      <c r="G231" s="156">
        <f>VLOOKUP(F231,AllPlayers!Q:R,2,0)</f>
        <v/>
      </c>
      <c r="H231" s="156" t="inlineStr">
        <is>
          <t>RB</t>
        </is>
      </c>
      <c r="I231" s="156" t="n">
        <v>2</v>
      </c>
      <c r="J231" s="156" t="n">
        <v>5</v>
      </c>
      <c r="K231" s="156" t="n">
        <v>12</v>
      </c>
      <c r="L231" s="281">
        <f>IF(J231=0,0,K231/J231)</f>
        <v/>
      </c>
      <c r="M231" s="281">
        <f>K231/17</f>
        <v/>
      </c>
      <c r="N231" s="156" t="n">
        <v>0</v>
      </c>
      <c r="O231" s="156" t="n">
        <v>0</v>
      </c>
      <c r="P231" s="156" t="n">
        <v>0</v>
      </c>
      <c r="Q231" s="156" t="n">
        <v>0</v>
      </c>
      <c r="R231" s="156" t="n">
        <v>0</v>
      </c>
      <c r="S231" s="156" t="n">
        <v>0</v>
      </c>
      <c r="T231" s="156" t="n">
        <v>0</v>
      </c>
      <c r="U231" s="156" t="n">
        <v>0</v>
      </c>
      <c r="W231" s="156">
        <f>INDEX(Matrix!$AA$2:$AA$33, MATCH(G231, Matrix!$AC$2:$AC$33, 0))</f>
        <v/>
      </c>
      <c r="X231" s="156">
        <f>_xlfn.IFNA(MATCH(E229,'Injury Report'!$C$2:$C$6216,0),0)</f>
        <v/>
      </c>
    </row>
    <row r="232" ht="15.6" customHeight="1" s="152">
      <c r="A232" s="212" t="n">
        <v>229</v>
      </c>
      <c r="B232" s="167">
        <f>F232&amp;G232</f>
        <v/>
      </c>
      <c r="C232" s="156">
        <f>(K232/MAX(K:K)*$K$1)+(L232/MAX(L:L)*$L$1)+(M232/MAX(M:M)*$M$1)+(N232/MAX(N:N)*$N$1)+(T232/MAX(T:T)*$T$1)</f>
        <v/>
      </c>
      <c r="D232" s="156">
        <f>IFERROR(VLOOKUP(B232,#REF!,7,0),"")</f>
        <v/>
      </c>
      <c r="E232" s="156">
        <f>IFERROR(VLOOKUP(F232,AllPlayers!F:F,1,0),"------------")</f>
        <v/>
      </c>
      <c r="F232" s="156" t="inlineStr">
        <is>
          <t>Jaylen Waddle</t>
        </is>
      </c>
      <c r="G232" s="156">
        <f>VLOOKUP(F232,AllPlayers!Q:R,2,0)</f>
        <v/>
      </c>
      <c r="H232" s="156" t="inlineStr">
        <is>
          <t>WR</t>
        </is>
      </c>
      <c r="I232" s="156" t="n">
        <v>2</v>
      </c>
      <c r="J232" s="156" t="n">
        <v>0</v>
      </c>
      <c r="K232" s="156" t="n">
        <v>0</v>
      </c>
      <c r="L232" s="281">
        <f>IF(J232=0,0,K232/J232)</f>
        <v/>
      </c>
      <c r="M232" s="281">
        <f>K232/17</f>
        <v/>
      </c>
      <c r="N232" s="156" t="n">
        <v>0</v>
      </c>
      <c r="O232" s="156" t="n">
        <v>0</v>
      </c>
      <c r="P232" s="156" t="n">
        <v>0</v>
      </c>
      <c r="Q232" s="156" t="n">
        <v>0</v>
      </c>
      <c r="R232" s="156" t="n">
        <v>0</v>
      </c>
      <c r="S232" s="156" t="n">
        <v>0</v>
      </c>
      <c r="T232" s="156" t="n">
        <v>0</v>
      </c>
      <c r="U232" s="156" t="n">
        <v>0</v>
      </c>
      <c r="W232" s="156">
        <f>INDEX(Matrix!$AA$2:$AA$33, MATCH(G232, Matrix!$AC$2:$AC$33, 0))</f>
        <v/>
      </c>
      <c r="X232" s="156">
        <f>_xlfn.IFNA(MATCH(E230,'Injury Report'!$C$2:$C$6216,0),0)</f>
        <v/>
      </c>
    </row>
    <row r="233" ht="15.6" customHeight="1" s="152">
      <c r="A233" s="212" t="n">
        <v>230</v>
      </c>
      <c r="B233" s="167">
        <f>F233&amp;G233</f>
        <v/>
      </c>
      <c r="C233" s="156">
        <f>(K233/MAX(K:K)*$K$1)+(L233/MAX(L:L)*$L$1)+(M233/MAX(M:M)*$M$1)+(N233/MAX(N:N)*$N$1)+(T233/MAX(T:T)*$T$1)</f>
        <v/>
      </c>
      <c r="D233" s="156">
        <f>IFERROR(VLOOKUP(B233,#REF!,7,0),"")</f>
        <v/>
      </c>
      <c r="E233" s="156">
        <f>IFERROR(VLOOKUP(F233,AllPlayers!F:F,1,0),"------------")</f>
        <v/>
      </c>
      <c r="F233" s="156" t="inlineStr">
        <is>
          <t>Jordan Whittington</t>
        </is>
      </c>
      <c r="G233" s="156">
        <f>VLOOKUP(F233,AllPlayers!Q:R,2,0)</f>
        <v/>
      </c>
      <c r="H233" s="156" t="inlineStr">
        <is>
          <t>WR</t>
        </is>
      </c>
      <c r="I233" s="156" t="n">
        <v>2</v>
      </c>
      <c r="J233" s="156" t="n">
        <v>1</v>
      </c>
      <c r="K233" s="156" t="n">
        <v>5</v>
      </c>
      <c r="L233" s="281">
        <f>IF(J233=0,0,K233/J233)</f>
        <v/>
      </c>
      <c r="M233" s="281">
        <f>K233/17</f>
        <v/>
      </c>
      <c r="N233" s="156" t="n">
        <v>0</v>
      </c>
      <c r="O233" s="156" t="n">
        <v>0</v>
      </c>
      <c r="P233" s="156" t="n">
        <v>0</v>
      </c>
      <c r="Q233" s="156" t="n">
        <v>0</v>
      </c>
      <c r="R233" s="156" t="n">
        <v>0</v>
      </c>
      <c r="S233" s="156" t="n">
        <v>0</v>
      </c>
      <c r="T233" s="156" t="n">
        <v>0</v>
      </c>
      <c r="U233" s="156" t="n">
        <v>0</v>
      </c>
      <c r="W233" s="156">
        <f>INDEX(Matrix!$AA$2:$AA$33, MATCH(G233, Matrix!$AC$2:$AC$33, 0))</f>
        <v/>
      </c>
      <c r="X233" s="156">
        <f>_xlfn.IFNA(MATCH(E231,'Injury Report'!$C$2:$C$6216,0),0)</f>
        <v/>
      </c>
    </row>
    <row r="234" ht="15.6" customHeight="1" s="152">
      <c r="A234" s="212" t="n">
        <v>231</v>
      </c>
      <c r="B234" s="167">
        <f>F234&amp;G234</f>
        <v/>
      </c>
      <c r="C234" s="156">
        <f>(K234/MAX(K:K)*$K$1)+(L234/MAX(L:L)*$L$1)+(M234/MAX(M:M)*$M$1)+(N234/MAX(N:N)*$N$1)+(T234/MAX(T:T)*$T$1)</f>
        <v/>
      </c>
      <c r="D234" s="156">
        <f>IFERROR(VLOOKUP(B234,#REF!,7,0),"")</f>
        <v/>
      </c>
      <c r="E234" s="156">
        <f>IFERROR(VLOOKUP(F234,AllPlayers!F:F,1,0),"------------")</f>
        <v/>
      </c>
      <c r="F234" s="156" t="inlineStr">
        <is>
          <t>Tyreik Mcallister</t>
        </is>
      </c>
      <c r="G234" s="156">
        <f>VLOOKUP(F234,AllPlayers!Q:R,2,0)</f>
        <v/>
      </c>
      <c r="H234" s="156" t="inlineStr">
        <is>
          <t>WR</t>
        </is>
      </c>
      <c r="I234" s="156" t="n">
        <v>1</v>
      </c>
      <c r="J234" s="156" t="n">
        <v>2</v>
      </c>
      <c r="K234" s="156" t="n">
        <v>11</v>
      </c>
      <c r="L234" s="281">
        <f>IF(J234=0,0,K234/J234)</f>
        <v/>
      </c>
      <c r="M234" s="281">
        <f>K234/17</f>
        <v/>
      </c>
      <c r="N234" s="156" t="n">
        <v>0</v>
      </c>
      <c r="O234" s="156" t="n">
        <v>0</v>
      </c>
      <c r="P234" s="156" t="n">
        <v>0</v>
      </c>
      <c r="Q234" s="156" t="n">
        <v>0</v>
      </c>
      <c r="R234" s="156" t="n">
        <v>0</v>
      </c>
      <c r="S234" s="156" t="n">
        <v>0</v>
      </c>
      <c r="T234" s="156" t="n">
        <v>0</v>
      </c>
      <c r="U234" s="156" t="n">
        <v>0</v>
      </c>
      <c r="W234" s="156">
        <f>INDEX(Matrix!$AA$2:$AA$33, MATCH(G234, Matrix!$AC$2:$AC$33, 0))</f>
        <v/>
      </c>
      <c r="X234" s="156">
        <f>_xlfn.IFNA(MATCH(E232,'Injury Report'!$C$2:$C$6216,0),0)</f>
        <v/>
      </c>
    </row>
    <row r="235" ht="15.6" customHeight="1" s="152">
      <c r="A235" s="212" t="n">
        <v>232</v>
      </c>
      <c r="B235" s="167">
        <f>F235&amp;G235</f>
        <v/>
      </c>
      <c r="C235" s="156">
        <f>(K235/MAX(K:K)*$K$1)+(L235/MAX(L:L)*$L$1)+(M235/MAX(M:M)*$M$1)+(N235/MAX(N:N)*$N$1)+(T235/MAX(T:T)*$T$1)</f>
        <v/>
      </c>
      <c r="D235" s="156">
        <f>IFERROR(VLOOKUP(B235,#REF!,7,0),"")</f>
        <v/>
      </c>
      <c r="E235" s="156">
        <f>IFERROR(VLOOKUP(F235,AllPlayers!F:F,1,0),"------------")</f>
        <v/>
      </c>
      <c r="F235" s="156" t="inlineStr">
        <is>
          <t>Matthew Hayball</t>
        </is>
      </c>
      <c r="G235" s="156">
        <f>VLOOKUP(F235,AllPlayers!Q:R,2,0)</f>
        <v/>
      </c>
      <c r="H235" s="156" t="inlineStr">
        <is>
          <t>P</t>
        </is>
      </c>
      <c r="I235" s="156" t="n">
        <v>1</v>
      </c>
      <c r="J235" s="156" t="n">
        <v>1</v>
      </c>
      <c r="K235" s="156" t="n">
        <v>11</v>
      </c>
      <c r="L235" s="281">
        <f>IF(J235=0,0,K235/J235)</f>
        <v/>
      </c>
      <c r="M235" s="281">
        <f>K235/17</f>
        <v/>
      </c>
      <c r="N235" s="156" t="n">
        <v>0</v>
      </c>
      <c r="O235" s="156" t="n">
        <v>0</v>
      </c>
      <c r="P235" s="156" t="n">
        <v>0</v>
      </c>
      <c r="Q235" s="156" t="n">
        <v>0</v>
      </c>
      <c r="R235" s="156" t="n">
        <v>0</v>
      </c>
      <c r="S235" s="156" t="n">
        <v>0</v>
      </c>
      <c r="T235" s="156" t="n">
        <v>0</v>
      </c>
      <c r="U235" s="156" t="n">
        <v>0</v>
      </c>
      <c r="W235" s="156">
        <f>INDEX(Matrix!$AA$2:$AA$33, MATCH(G235, Matrix!$AC$2:$AC$33, 0))</f>
        <v/>
      </c>
      <c r="X235" s="156">
        <f>_xlfn.IFNA(MATCH(E233,'Injury Report'!$C$2:$C$6216,0),0)</f>
        <v/>
      </c>
    </row>
    <row r="236" ht="15.6" customHeight="1" s="152">
      <c r="A236" s="212" t="n">
        <v>233</v>
      </c>
      <c r="B236" s="167">
        <f>F236&amp;G236</f>
        <v/>
      </c>
      <c r="C236" s="156">
        <f>(K236/MAX(K:K)*$K$1)+(L236/MAX(L:L)*$L$1)+(M236/MAX(M:M)*$M$1)+(N236/MAX(N:N)*$N$1)+(T236/MAX(T:T)*$T$1)</f>
        <v/>
      </c>
      <c r="D236" s="156">
        <f>IFERROR(VLOOKUP(B236,#REF!,7,0),"")</f>
        <v/>
      </c>
      <c r="E236" s="156">
        <f>IFERROR(VLOOKUP(F236,AllPlayers!F:F,1,0),"------------")</f>
        <v/>
      </c>
      <c r="F236" s="156" t="inlineStr">
        <is>
          <t>Michael Penix</t>
        </is>
      </c>
      <c r="G236" s="156">
        <f>VLOOKUP(F236,AllPlayers!Q:R,2,0)</f>
        <v/>
      </c>
      <c r="H236" s="156" t="inlineStr">
        <is>
          <t>QB</t>
        </is>
      </c>
      <c r="I236" s="156" t="n">
        <v>2</v>
      </c>
      <c r="J236" s="156" t="n">
        <v>7</v>
      </c>
      <c r="K236" s="156" t="n">
        <v>20</v>
      </c>
      <c r="L236" s="281">
        <f>IF(J236=0,0,K236/J236)</f>
        <v/>
      </c>
      <c r="M236" s="281">
        <f>K236/17</f>
        <v/>
      </c>
      <c r="N236" s="156" t="n">
        <v>1</v>
      </c>
      <c r="O236" s="156" t="n">
        <v>0</v>
      </c>
      <c r="P236" s="156" t="n">
        <v>0</v>
      </c>
      <c r="Q236" s="156" t="n">
        <v>0</v>
      </c>
      <c r="R236" s="156" t="n">
        <v>0</v>
      </c>
      <c r="S236" s="156" t="n">
        <v>0</v>
      </c>
      <c r="T236" s="156" t="n">
        <v>1</v>
      </c>
      <c r="U236" s="156" t="n">
        <v>0</v>
      </c>
      <c r="W236" s="156">
        <f>INDEX(Matrix!$AA$2:$AA$33, MATCH(G236, Matrix!$AC$2:$AC$33, 0))</f>
        <v/>
      </c>
      <c r="X236" s="156">
        <f>_xlfn.IFNA(MATCH(E234,'Injury Report'!$C$2:$C$6216,0),0)</f>
        <v/>
      </c>
    </row>
    <row r="237" ht="15.6" customHeight="1" s="152">
      <c r="A237" s="212" t="n">
        <v>234</v>
      </c>
      <c r="B237" s="167">
        <f>F237&amp;G237</f>
        <v/>
      </c>
      <c r="C237" s="156">
        <f>(K237/MAX(K:K)*$K$1)+(L237/MAX(L:L)*$L$1)+(M237/MAX(M:M)*$M$1)+(N237/MAX(N:N)*$N$1)+(T237/MAX(T:T)*$T$1)</f>
        <v/>
      </c>
      <c r="D237" s="156">
        <f>IFERROR(VLOOKUP(B237,#REF!,7,0),"")</f>
        <v/>
      </c>
      <c r="E237" s="156">
        <f>IFERROR(VLOOKUP(F237,AllPlayers!F:F,1,0),"------------")</f>
        <v/>
      </c>
      <c r="F237" s="156" t="inlineStr">
        <is>
          <t>Velus Jones</t>
        </is>
      </c>
      <c r="G237" s="156">
        <f>VLOOKUP(F237,AllPlayers!Q:R,2,0)</f>
        <v/>
      </c>
      <c r="H237" s="156" t="inlineStr">
        <is>
          <t>RB</t>
        </is>
      </c>
      <c r="I237" s="156" t="n">
        <v>1</v>
      </c>
      <c r="J237" s="156" t="n">
        <v>0</v>
      </c>
      <c r="K237" s="156" t="n">
        <v>0</v>
      </c>
      <c r="L237" s="281">
        <f>IF(J237=0,0,K237/J237)</f>
        <v/>
      </c>
      <c r="M237" s="281">
        <f>K237/17</f>
        <v/>
      </c>
      <c r="N237" s="156" t="n">
        <v>0</v>
      </c>
      <c r="O237" s="156" t="n">
        <v>0</v>
      </c>
      <c r="P237" s="156" t="n">
        <v>0</v>
      </c>
      <c r="Q237" s="156" t="n">
        <v>0</v>
      </c>
      <c r="R237" s="156" t="n">
        <v>0</v>
      </c>
      <c r="S237" s="156" t="n">
        <v>0</v>
      </c>
      <c r="T237" s="156" t="n">
        <v>0</v>
      </c>
      <c r="U237" s="156" t="n">
        <v>0</v>
      </c>
      <c r="W237" s="156">
        <f>INDEX(Matrix!$AA$2:$AA$33, MATCH(G237, Matrix!$AC$2:$AC$33, 0))</f>
        <v/>
      </c>
      <c r="X237" s="156">
        <f>_xlfn.IFNA(MATCH(E235,'Injury Report'!$C$2:$C$6216,0),0)</f>
        <v/>
      </c>
    </row>
    <row r="238" ht="15.6" customHeight="1" s="152">
      <c r="A238" s="212" t="n">
        <v>235</v>
      </c>
      <c r="B238" s="167">
        <f>F238&amp;G238</f>
        <v/>
      </c>
      <c r="C238" s="156">
        <f>(K238/MAX(K:K)*$K$1)+(L238/MAX(L:L)*$L$1)+(M238/MAX(M:M)*$M$1)+(N238/MAX(N:N)*$N$1)+(T238/MAX(T:T)*$T$1)</f>
        <v/>
      </c>
      <c r="D238" s="156">
        <f>IFERROR(VLOOKUP(B238,#REF!,7,0),"")</f>
        <v/>
      </c>
      <c r="E238" s="156">
        <f>IFERROR(VLOOKUP(F238,AllPlayers!F:F,1,0),"------------")</f>
        <v/>
      </c>
      <c r="F238" s="156" t="inlineStr">
        <is>
          <t>Davis Mills</t>
        </is>
      </c>
      <c r="G238" s="156">
        <f>VLOOKUP(F238,AllPlayers!Q:R,2,0)</f>
        <v/>
      </c>
      <c r="H238" s="156" t="inlineStr">
        <is>
          <t>QB</t>
        </is>
      </c>
      <c r="I238" s="156" t="n">
        <v>1</v>
      </c>
      <c r="J238" s="156" t="n">
        <v>3</v>
      </c>
      <c r="K238" s="156" t="n">
        <v>11</v>
      </c>
      <c r="L238" s="281">
        <f>IF(J238=0,0,K238/J238)</f>
        <v/>
      </c>
      <c r="M238" s="281">
        <f>K238/17</f>
        <v/>
      </c>
      <c r="N238" s="156" t="n">
        <v>0</v>
      </c>
      <c r="O238" s="156" t="n">
        <v>0</v>
      </c>
      <c r="P238" s="156" t="n">
        <v>0</v>
      </c>
      <c r="Q238" s="156" t="n">
        <v>0</v>
      </c>
      <c r="R238" s="156" t="n">
        <v>0</v>
      </c>
      <c r="S238" s="156" t="n">
        <v>0</v>
      </c>
      <c r="T238" s="156" t="n">
        <v>0</v>
      </c>
      <c r="U238" s="156" t="n">
        <v>0</v>
      </c>
      <c r="W238" s="156">
        <f>INDEX(Matrix!$AA$2:$AA$33, MATCH(G238, Matrix!$AC$2:$AC$33, 0))</f>
        <v/>
      </c>
      <c r="X238" s="156">
        <f>_xlfn.IFNA(MATCH(E236,'Injury Report'!$C$2:$C$6216,0),0)</f>
        <v/>
      </c>
    </row>
    <row r="239" ht="15.6" customHeight="1" s="152">
      <c r="A239" s="212" t="n">
        <v>236</v>
      </c>
      <c r="B239" s="167">
        <f>F239&amp;G239</f>
        <v/>
      </c>
      <c r="C239" s="156">
        <f>(K239/MAX(K:K)*$K$1)+(L239/MAX(L:L)*$L$1)+(M239/MAX(M:M)*$M$1)+(N239/MAX(N:N)*$N$1)+(T239/MAX(T:T)*$T$1)</f>
        <v/>
      </c>
      <c r="D239" s="156">
        <f>IFERROR(VLOOKUP(B239,#REF!,7,0),"")</f>
        <v/>
      </c>
      <c r="E239" s="156">
        <f>IFERROR(VLOOKUP(F239,AllPlayers!F:F,1,0),"------------")</f>
        <v/>
      </c>
      <c r="F239" s="156" t="inlineStr">
        <is>
          <t>Kameron Johnson</t>
        </is>
      </c>
      <c r="G239" s="156">
        <f>VLOOKUP(F239,AllPlayers!Q:R,2,0)</f>
        <v/>
      </c>
      <c r="H239" s="156" t="inlineStr">
        <is>
          <t>WR</t>
        </is>
      </c>
      <c r="I239" s="156" t="n">
        <v>2</v>
      </c>
      <c r="J239" s="156" t="n">
        <v>0</v>
      </c>
      <c r="K239" s="156" t="n">
        <v>0</v>
      </c>
      <c r="L239" s="281">
        <f>IF(J239=0,0,K239/J239)</f>
        <v/>
      </c>
      <c r="M239" s="281">
        <f>K239/17</f>
        <v/>
      </c>
      <c r="N239" s="156" t="n">
        <v>0</v>
      </c>
      <c r="O239" s="156" t="n">
        <v>0</v>
      </c>
      <c r="P239" s="156" t="n">
        <v>0</v>
      </c>
      <c r="Q239" s="156" t="n">
        <v>0</v>
      </c>
      <c r="R239" s="156" t="n">
        <v>0</v>
      </c>
      <c r="S239" s="156" t="n">
        <v>0</v>
      </c>
      <c r="T239" s="156" t="n">
        <v>0</v>
      </c>
      <c r="U239" s="156" t="n">
        <v>0</v>
      </c>
      <c r="W239" s="156">
        <f>INDEX(Matrix!$AA$2:$AA$33, MATCH(G239, Matrix!$AC$2:$AC$33, 0))</f>
        <v/>
      </c>
      <c r="X239" s="156">
        <f>_xlfn.IFNA(MATCH(E237,'Injury Report'!$C$2:$C$6216,0),0)</f>
        <v/>
      </c>
    </row>
    <row r="240" ht="15.6" customHeight="1" s="152">
      <c r="A240" s="212" t="n">
        <v>237</v>
      </c>
      <c r="B240" s="167">
        <f>F240&amp;G240</f>
        <v/>
      </c>
      <c r="C240" s="156">
        <f>(K240/MAX(K:K)*$K$1)+(L240/MAX(L:L)*$L$1)+(M240/MAX(M:M)*$M$1)+(N240/MAX(N:N)*$N$1)+(T240/MAX(T:T)*$T$1)</f>
        <v/>
      </c>
      <c r="D240" s="156">
        <f>IFERROR(VLOOKUP(B240,#REF!,7,0),"")</f>
        <v/>
      </c>
      <c r="E240" s="156">
        <f>IFERROR(VLOOKUP(F240,AllPlayers!F:F,1,0),"------------")</f>
        <v/>
      </c>
      <c r="F240" s="156" t="inlineStr">
        <is>
          <t>George Holani</t>
        </is>
      </c>
      <c r="G240" s="156">
        <f>VLOOKUP(F240,AllPlayers!Q:R,2,0)</f>
        <v/>
      </c>
      <c r="H240" s="156" t="inlineStr">
        <is>
          <t>RB</t>
        </is>
      </c>
      <c r="I240" s="156" t="n">
        <v>2</v>
      </c>
      <c r="J240" s="156" t="n">
        <v>0</v>
      </c>
      <c r="K240" s="156" t="n">
        <v>0</v>
      </c>
      <c r="L240" s="281">
        <f>IF(J240=0,0,K240/J240)</f>
        <v/>
      </c>
      <c r="M240" s="281">
        <f>K240/17</f>
        <v/>
      </c>
      <c r="N240" s="156" t="n">
        <v>0</v>
      </c>
      <c r="O240" s="156" t="n">
        <v>0</v>
      </c>
      <c r="P240" s="156" t="n">
        <v>0</v>
      </c>
      <c r="Q240" s="156" t="n">
        <v>0</v>
      </c>
      <c r="R240" s="156" t="n">
        <v>0</v>
      </c>
      <c r="S240" s="156" t="n">
        <v>0</v>
      </c>
      <c r="T240" s="156" t="n">
        <v>0</v>
      </c>
      <c r="U240" s="156" t="n">
        <v>0</v>
      </c>
      <c r="W240" s="156">
        <f>INDEX(Matrix!$AA$2:$AA$33, MATCH(G240, Matrix!$AC$2:$AC$33, 0))</f>
        <v/>
      </c>
      <c r="X240" s="156">
        <f>_xlfn.IFNA(MATCH(E238,'Injury Report'!$C$2:$C$6216,0),0)</f>
        <v/>
      </c>
    </row>
    <row r="241" ht="15.6" customHeight="1" s="152">
      <c r="A241" s="212" t="n">
        <v>238</v>
      </c>
      <c r="B241" s="167">
        <f>F241&amp;G241</f>
        <v/>
      </c>
      <c r="C241" s="156">
        <f>(K241/MAX(K:K)*$K$1)+(L241/MAX(L:L)*$L$1)+(M241/MAX(M:M)*$M$1)+(N241/MAX(N:N)*$N$1)+(T241/MAX(T:T)*$T$1)</f>
        <v/>
      </c>
      <c r="D241" s="156">
        <f>IFERROR(VLOOKUP(B241,#REF!,7,0),"")</f>
        <v/>
      </c>
      <c r="E241" s="156">
        <f>IFERROR(VLOOKUP(F241,AllPlayers!F:F,1,0),"------------")</f>
        <v/>
      </c>
      <c r="F241" s="156" t="inlineStr">
        <is>
          <t>Blake Watson</t>
        </is>
      </c>
      <c r="G241" s="156">
        <f>VLOOKUP(F241,AllPlayers!Q:R,2,0)</f>
        <v/>
      </c>
      <c r="H241" s="156" t="inlineStr">
        <is>
          <t>RB</t>
        </is>
      </c>
      <c r="I241" s="156" t="n">
        <v>1</v>
      </c>
      <c r="J241" s="156" t="n">
        <v>4</v>
      </c>
      <c r="K241" s="156" t="n">
        <v>10</v>
      </c>
      <c r="L241" s="281">
        <f>IF(J241=0,0,K241/J241)</f>
        <v/>
      </c>
      <c r="M241" s="281">
        <f>K241/17</f>
        <v/>
      </c>
      <c r="N241" s="156" t="n">
        <v>0</v>
      </c>
      <c r="O241" s="156" t="n">
        <v>0</v>
      </c>
      <c r="P241" s="156" t="n">
        <v>0</v>
      </c>
      <c r="Q241" s="156" t="n">
        <v>0</v>
      </c>
      <c r="R241" s="156" t="n">
        <v>0</v>
      </c>
      <c r="S241" s="156" t="n">
        <v>0</v>
      </c>
      <c r="T241" s="156" t="n">
        <v>0</v>
      </c>
      <c r="U241" s="156" t="n">
        <v>0</v>
      </c>
      <c r="W241" s="156">
        <f>INDEX(Matrix!$AA$2:$AA$33, MATCH(G241, Matrix!$AC$2:$AC$33, 0))</f>
        <v/>
      </c>
      <c r="X241" s="156">
        <f>_xlfn.IFNA(MATCH(E239,'Injury Report'!$C$2:$C$6216,0),0)</f>
        <v/>
      </c>
    </row>
    <row r="242" ht="15.6" customHeight="1" s="152">
      <c r="A242" s="212" t="n">
        <v>239</v>
      </c>
      <c r="B242" s="167">
        <f>F242&amp;G242</f>
        <v/>
      </c>
      <c r="C242" s="156">
        <f>(K242/MAX(K:K)*$K$1)+(L242/MAX(L:L)*$L$1)+(M242/MAX(M:M)*$M$1)+(N242/MAX(N:N)*$N$1)+(T242/MAX(T:T)*$T$1)</f>
        <v/>
      </c>
      <c r="D242" s="156">
        <f>IFERROR(VLOOKUP(B242,#REF!,7,0),"")</f>
        <v/>
      </c>
      <c r="E242" s="156">
        <f>IFERROR(VLOOKUP(F242,AllPlayers!F:F,1,0),"------------")</f>
        <v/>
      </c>
      <c r="F242" s="156" t="inlineStr">
        <is>
          <t>Dane Belton</t>
        </is>
      </c>
      <c r="G242" s="156">
        <f>VLOOKUP(F242,AllPlayers!Q:R,2,0)</f>
        <v/>
      </c>
      <c r="H242" s="156" t="inlineStr">
        <is>
          <t>S</t>
        </is>
      </c>
      <c r="I242" s="156" t="n">
        <v>2</v>
      </c>
      <c r="J242" s="156" t="n">
        <v>0</v>
      </c>
      <c r="K242" s="156" t="n">
        <v>0</v>
      </c>
      <c r="L242" s="281">
        <f>IF(J242=0,0,K242/J242)</f>
        <v/>
      </c>
      <c r="M242" s="281">
        <f>K242/17</f>
        <v/>
      </c>
      <c r="N242" s="156" t="n">
        <v>0</v>
      </c>
      <c r="O242" s="156" t="n">
        <v>0</v>
      </c>
      <c r="P242" s="156" t="n">
        <v>0</v>
      </c>
      <c r="Q242" s="156" t="n">
        <v>0</v>
      </c>
      <c r="R242" s="156" t="n">
        <v>0</v>
      </c>
      <c r="S242" s="156" t="n">
        <v>0</v>
      </c>
      <c r="T242" s="156" t="n">
        <v>0</v>
      </c>
      <c r="U242" s="156" t="n">
        <v>0</v>
      </c>
      <c r="W242" s="156">
        <f>INDEX(Matrix!$AA$2:$AA$33, MATCH(G242, Matrix!$AC$2:$AC$33, 0))</f>
        <v/>
      </c>
      <c r="X242" s="156">
        <f>_xlfn.IFNA(MATCH(E240,'Injury Report'!$C$2:$C$6216,0),0)</f>
        <v/>
      </c>
    </row>
    <row r="243" ht="15.6" customHeight="1" s="152">
      <c r="A243" s="212" t="n">
        <v>240</v>
      </c>
      <c r="B243" s="167">
        <f>F243&amp;G243</f>
        <v/>
      </c>
      <c r="C243" s="156">
        <f>(K243/MAX(K:K)*$K$1)+(L243/MAX(L:L)*$L$1)+(M243/MAX(M:M)*$M$1)+(N243/MAX(N:N)*$N$1)+(T243/MAX(T:T)*$T$1)</f>
        <v/>
      </c>
      <c r="D243" s="156">
        <f>IFERROR(VLOOKUP(B243,#REF!,7,0),"")</f>
        <v/>
      </c>
      <c r="E243" s="156">
        <f>IFERROR(VLOOKUP(F243,AllPlayers!F:F,1,0),"------------")</f>
        <v/>
      </c>
      <c r="F243" s="156" t="inlineStr">
        <is>
          <t>Tim Boyle</t>
        </is>
      </c>
      <c r="G243" s="156">
        <f>VLOOKUP(F243,AllPlayers!Q:R,2,0)</f>
        <v/>
      </c>
      <c r="H243" s="156" t="inlineStr">
        <is>
          <t>QB</t>
        </is>
      </c>
      <c r="I243" s="156" t="n">
        <v>2</v>
      </c>
      <c r="J243" s="156" t="n">
        <v>2</v>
      </c>
      <c r="K243" s="156" t="n">
        <v>10</v>
      </c>
      <c r="L243" s="281">
        <f>IF(J243=0,0,K243/J243)</f>
        <v/>
      </c>
      <c r="M243" s="281">
        <f>K243/17</f>
        <v/>
      </c>
      <c r="N243" s="156" t="n">
        <v>0</v>
      </c>
      <c r="O243" s="156" t="n">
        <v>0</v>
      </c>
      <c r="P243" s="156" t="n">
        <v>0</v>
      </c>
      <c r="Q243" s="156" t="n">
        <v>0</v>
      </c>
      <c r="R243" s="156" t="n">
        <v>0</v>
      </c>
      <c r="S243" s="156" t="n">
        <v>0</v>
      </c>
      <c r="T243" s="156" t="n">
        <v>0</v>
      </c>
      <c r="U243" s="156" t="n">
        <v>0</v>
      </c>
      <c r="W243" s="156">
        <f>INDEX(Matrix!$AA$2:$AA$33, MATCH(G243, Matrix!$AC$2:$AC$33, 0))</f>
        <v/>
      </c>
      <c r="X243" s="156">
        <f>_xlfn.IFNA(MATCH(E241,'Injury Report'!$C$2:$C$6216,0),0)</f>
        <v/>
      </c>
    </row>
    <row r="244" ht="15.6" customHeight="1" s="152">
      <c r="A244" s="212" t="n">
        <v>241</v>
      </c>
      <c r="B244" s="167">
        <f>F244&amp;G244</f>
        <v/>
      </c>
      <c r="C244" s="156">
        <f>(K244/MAX(K:K)*$K$1)+(L244/MAX(L:L)*$L$1)+(M244/MAX(M:M)*$M$1)+(N244/MAX(N:N)*$N$1)+(T244/MAX(T:T)*$T$1)</f>
        <v/>
      </c>
      <c r="D244" s="156">
        <f>IFERROR(VLOOKUP(B244,#REF!,7,0),"")</f>
        <v/>
      </c>
      <c r="E244" s="156">
        <f>IFERROR(VLOOKUP(F244,AllPlayers!F:F,1,0),"------------")</f>
        <v/>
      </c>
      <c r="F244" s="156" t="inlineStr">
        <is>
          <t>C.J. Ham</t>
        </is>
      </c>
      <c r="G244" s="156">
        <f>VLOOKUP(F244,AllPlayers!Q:R,2,0)</f>
        <v/>
      </c>
      <c r="H244" s="156" t="inlineStr">
        <is>
          <t>FB</t>
        </is>
      </c>
      <c r="I244" s="156" t="n">
        <v>1</v>
      </c>
      <c r="J244" s="156" t="n">
        <v>2</v>
      </c>
      <c r="K244" s="156" t="n">
        <v>10</v>
      </c>
      <c r="L244" s="281">
        <f>IF(J244=0,0,K244/J244)</f>
        <v/>
      </c>
      <c r="M244" s="281">
        <f>K244/17</f>
        <v/>
      </c>
      <c r="N244" s="156" t="n">
        <v>1</v>
      </c>
      <c r="O244" s="156" t="n">
        <v>0</v>
      </c>
      <c r="P244" s="156" t="n">
        <v>0</v>
      </c>
      <c r="Q244" s="156" t="n">
        <v>0</v>
      </c>
      <c r="R244" s="156" t="n">
        <v>0</v>
      </c>
      <c r="S244" s="156" t="n">
        <v>0</v>
      </c>
      <c r="T244" s="156" t="n">
        <v>0</v>
      </c>
      <c r="U244" s="156" t="n">
        <v>0</v>
      </c>
      <c r="W244" s="156">
        <f>INDEX(Matrix!$AA$2:$AA$33, MATCH(G244, Matrix!$AC$2:$AC$33, 0))</f>
        <v/>
      </c>
      <c r="X244" s="156">
        <f>_xlfn.IFNA(MATCH(E242,'Injury Report'!$C$2:$C$6216,0),0)</f>
        <v/>
      </c>
    </row>
    <row r="245" ht="15.6" customHeight="1" s="152">
      <c r="A245" s="212" t="n">
        <v>242</v>
      </c>
      <c r="B245" s="167">
        <f>F245&amp;G245</f>
        <v/>
      </c>
      <c r="C245" s="156">
        <f>(K245/MAX(K:K)*$K$1)+(L245/MAX(L:L)*$L$1)+(M245/MAX(M:M)*$M$1)+(N245/MAX(N:N)*$N$1)+(T245/MAX(T:T)*$T$1)</f>
        <v/>
      </c>
      <c r="D245" s="156">
        <f>IFERROR(VLOOKUP(B245,#REF!,7,0),"")</f>
        <v/>
      </c>
      <c r="E245" s="156">
        <f>IFERROR(VLOOKUP(F245,AllPlayers!F:F,1,0),"------------")</f>
        <v/>
      </c>
      <c r="F245" s="156" t="inlineStr">
        <is>
          <t>Cooper Kupp</t>
        </is>
      </c>
      <c r="G245" s="156">
        <f>VLOOKUP(F245,AllPlayers!Q:R,2,0)</f>
        <v/>
      </c>
      <c r="H245" s="156" t="inlineStr">
        <is>
          <t>WR</t>
        </is>
      </c>
      <c r="I245" s="156" t="n">
        <v>2</v>
      </c>
      <c r="J245" s="156" t="n">
        <v>0</v>
      </c>
      <c r="K245" s="156" t="n">
        <v>0</v>
      </c>
      <c r="L245" s="281">
        <f>IF(J245=0,0,K245/J245)</f>
        <v/>
      </c>
      <c r="M245" s="281">
        <f>K245/17</f>
        <v/>
      </c>
      <c r="N245" s="156" t="n">
        <v>0</v>
      </c>
      <c r="O245" s="156" t="n">
        <v>0</v>
      </c>
      <c r="P245" s="156" t="n">
        <v>0</v>
      </c>
      <c r="Q245" s="156" t="n">
        <v>0</v>
      </c>
      <c r="R245" s="156" t="n">
        <v>0</v>
      </c>
      <c r="S245" s="156" t="n">
        <v>0</v>
      </c>
      <c r="T245" s="156" t="n">
        <v>0</v>
      </c>
      <c r="U245" s="156" t="n">
        <v>0</v>
      </c>
      <c r="W245" s="156">
        <f>INDEX(Matrix!$AA$2:$AA$33, MATCH(G245, Matrix!$AC$2:$AC$33, 0))</f>
        <v/>
      </c>
      <c r="X245" s="156">
        <f>_xlfn.IFNA(MATCH(E243,'Injury Report'!$C$2:$C$6216,0),0)</f>
        <v/>
      </c>
    </row>
    <row r="246" ht="15.6" customHeight="1" s="152">
      <c r="A246" s="212" t="n">
        <v>243</v>
      </c>
      <c r="B246" s="167">
        <f>F246&amp;G246</f>
        <v/>
      </c>
      <c r="C246" s="156">
        <f>(K246/MAX(K:K)*$K$1)+(L246/MAX(L:L)*$L$1)+(M246/MAX(M:M)*$M$1)+(N246/MAX(N:N)*$N$1)+(T246/MAX(T:T)*$T$1)</f>
        <v/>
      </c>
      <c r="D246" s="156">
        <f>IFERROR(VLOOKUP(B246,#REF!,7,0),"")</f>
        <v/>
      </c>
      <c r="E246" s="156">
        <f>IFERROR(VLOOKUP(F246,AllPlayers!F:F,1,0),"------------")</f>
        <v/>
      </c>
      <c r="F246" s="156" t="inlineStr">
        <is>
          <t>Kevin Austin</t>
        </is>
      </c>
      <c r="G246" s="156">
        <f>VLOOKUP(F246,AllPlayers!Q:R,2,0)</f>
        <v/>
      </c>
      <c r="H246" s="156" t="inlineStr">
        <is>
          <t>WR</t>
        </is>
      </c>
      <c r="I246" s="156" t="n">
        <v>1</v>
      </c>
      <c r="J246" s="156" t="n">
        <v>1</v>
      </c>
      <c r="K246" s="156" t="n">
        <v>9</v>
      </c>
      <c r="L246" s="281">
        <f>IF(J246=0,0,K246/J246)</f>
        <v/>
      </c>
      <c r="M246" s="281">
        <f>K246/17</f>
        <v/>
      </c>
      <c r="N246" s="156" t="n">
        <v>0</v>
      </c>
      <c r="O246" s="156" t="n">
        <v>0</v>
      </c>
      <c r="P246" s="156" t="n">
        <v>0</v>
      </c>
      <c r="Q246" s="156" t="n">
        <v>0</v>
      </c>
      <c r="R246" s="156" t="n">
        <v>0</v>
      </c>
      <c r="S246" s="156" t="n">
        <v>0</v>
      </c>
      <c r="T246" s="156" t="n">
        <v>0</v>
      </c>
      <c r="U246" s="156" t="n">
        <v>0</v>
      </c>
      <c r="W246" s="156">
        <f>INDEX(Matrix!$AA$2:$AA$33, MATCH(G246, Matrix!$AC$2:$AC$33, 0))</f>
        <v/>
      </c>
      <c r="X246" s="156">
        <f>_xlfn.IFNA(MATCH(E244,'Injury Report'!$C$2:$C$6216,0),0)</f>
        <v/>
      </c>
    </row>
    <row r="247" ht="15.6" customHeight="1" s="152">
      <c r="A247" s="212" t="n">
        <v>244</v>
      </c>
      <c r="B247" s="167">
        <f>F247&amp;G247</f>
        <v/>
      </c>
      <c r="C247" s="156">
        <f>(K247/MAX(K:K)*$K$1)+(L247/MAX(L:L)*$L$1)+(M247/MAX(M:M)*$M$1)+(N247/MAX(N:N)*$N$1)+(T247/MAX(T:T)*$T$1)</f>
        <v/>
      </c>
      <c r="D247" s="156">
        <f>IFERROR(VLOOKUP(B247,#REF!,7,0),"")</f>
        <v/>
      </c>
      <c r="E247" s="156">
        <f>IFERROR(VLOOKUP(F247,AllPlayers!F:F,1,0),"------------")</f>
        <v/>
      </c>
      <c r="F247" s="156" t="inlineStr">
        <is>
          <t>Keon Coleman</t>
        </is>
      </c>
      <c r="G247" s="156">
        <f>VLOOKUP(F247,AllPlayers!Q:R,2,0)</f>
        <v/>
      </c>
      <c r="H247" s="156" t="inlineStr">
        <is>
          <t>WR</t>
        </is>
      </c>
      <c r="I247" s="156" t="n">
        <v>2</v>
      </c>
      <c r="J247" s="156" t="n">
        <v>0</v>
      </c>
      <c r="K247" s="156" t="n">
        <v>0</v>
      </c>
      <c r="L247" s="281">
        <f>IF(J247=0,0,K247/J247)</f>
        <v/>
      </c>
      <c r="M247" s="281">
        <f>K247/17</f>
        <v/>
      </c>
      <c r="N247" s="156" t="n">
        <v>0</v>
      </c>
      <c r="O247" s="156" t="n">
        <v>0</v>
      </c>
      <c r="P247" s="156" t="n">
        <v>0</v>
      </c>
      <c r="Q247" s="156" t="n">
        <v>0</v>
      </c>
      <c r="R247" s="156" t="n">
        <v>0</v>
      </c>
      <c r="S247" s="156" t="n">
        <v>0</v>
      </c>
      <c r="T247" s="156" t="n">
        <v>0</v>
      </c>
      <c r="U247" s="156" t="n">
        <v>0</v>
      </c>
      <c r="W247" s="156">
        <f>INDEX(Matrix!$AA$2:$AA$33, MATCH(G247, Matrix!$AC$2:$AC$33, 0))</f>
        <v/>
      </c>
      <c r="X247" s="156">
        <f>_xlfn.IFNA(MATCH(E245,'Injury Report'!$C$2:$C$6216,0),0)</f>
        <v/>
      </c>
    </row>
    <row r="248" ht="15.6" customHeight="1" s="152">
      <c r="A248" s="212" t="n">
        <v>245</v>
      </c>
      <c r="B248" s="167">
        <f>F248&amp;G248</f>
        <v/>
      </c>
      <c r="C248" s="156">
        <f>(K248/MAX(K:K)*$K$1)+(L248/MAX(L:L)*$L$1)+(M248/MAX(M:M)*$M$1)+(N248/MAX(N:N)*$N$1)+(T248/MAX(T:T)*$T$1)</f>
        <v/>
      </c>
      <c r="D248" s="156">
        <f>IFERROR(VLOOKUP(B248,#REF!,7,0),"")</f>
        <v/>
      </c>
      <c r="E248" s="156">
        <f>IFERROR(VLOOKUP(F248,AllPlayers!F:F,1,0),"------------")</f>
        <v/>
      </c>
      <c r="F248" s="156" t="inlineStr">
        <is>
          <t>Troy Franklin</t>
        </is>
      </c>
      <c r="G248" s="156">
        <f>VLOOKUP(F248,AllPlayers!Q:R,2,0)</f>
        <v/>
      </c>
      <c r="H248" s="156" t="inlineStr">
        <is>
          <t>WR</t>
        </is>
      </c>
      <c r="I248" s="156" t="n">
        <v>2</v>
      </c>
      <c r="J248" s="156" t="n">
        <v>1</v>
      </c>
      <c r="K248" s="156" t="n">
        <v>11</v>
      </c>
      <c r="L248" s="281">
        <f>IF(J248=0,0,K248/J248)</f>
        <v/>
      </c>
      <c r="M248" s="281">
        <f>K248/17</f>
        <v/>
      </c>
      <c r="N248" s="156" t="n">
        <v>0</v>
      </c>
      <c r="O248" s="156" t="n">
        <v>0</v>
      </c>
      <c r="P248" s="156" t="n">
        <v>0</v>
      </c>
      <c r="Q248" s="156" t="n">
        <v>0</v>
      </c>
      <c r="R248" s="156" t="n">
        <v>0</v>
      </c>
      <c r="S248" s="156" t="n">
        <v>0</v>
      </c>
      <c r="T248" s="156" t="n">
        <v>0</v>
      </c>
      <c r="U248" s="156" t="n">
        <v>0</v>
      </c>
      <c r="W248" s="156">
        <f>INDEX(Matrix!$AA$2:$AA$33, MATCH(G248, Matrix!$AC$2:$AC$33, 0))</f>
        <v/>
      </c>
      <c r="X248" s="156">
        <f>_xlfn.IFNA(MATCH(E246,'Injury Report'!$C$2:$C$6216,0),0)</f>
        <v/>
      </c>
    </row>
    <row r="249" ht="15.6" customHeight="1" s="152">
      <c r="A249" s="212" t="n">
        <v>246</v>
      </c>
      <c r="B249" s="167">
        <f>F249&amp;G249</f>
        <v/>
      </c>
      <c r="C249" s="156">
        <f>(K249/MAX(K:K)*$K$1)+(L249/MAX(L:L)*$L$1)+(M249/MAX(M:M)*$M$1)+(N249/MAX(N:N)*$N$1)+(T249/MAX(T:T)*$T$1)</f>
        <v/>
      </c>
      <c r="D249" s="156">
        <f>IFERROR(VLOOKUP(B249,#REF!,7,0),"")</f>
        <v/>
      </c>
      <c r="E249" s="156">
        <f>IFERROR(VLOOKUP(F249,AllPlayers!F:F,1,0),"------------")</f>
        <v/>
      </c>
      <c r="F249" s="156" t="inlineStr">
        <is>
          <t>Michael Burton</t>
        </is>
      </c>
      <c r="G249" s="156">
        <f>VLOOKUP(F249,AllPlayers!Q:R,2,0)</f>
        <v/>
      </c>
      <c r="H249" s="156" t="inlineStr">
        <is>
          <t>FB</t>
        </is>
      </c>
      <c r="I249" s="156" t="n">
        <v>5</v>
      </c>
      <c r="J249" s="156" t="n">
        <v>7</v>
      </c>
      <c r="K249" s="156" t="n">
        <v>8</v>
      </c>
      <c r="L249" s="281">
        <f>IF(J249=0,0,K249/J249)</f>
        <v/>
      </c>
      <c r="M249" s="281">
        <f>K249/17</f>
        <v/>
      </c>
      <c r="N249" s="156" t="n">
        <v>1</v>
      </c>
      <c r="O249" s="156" t="n">
        <v>0</v>
      </c>
      <c r="P249" s="156" t="n">
        <v>0</v>
      </c>
      <c r="Q249" s="156" t="n">
        <v>0</v>
      </c>
      <c r="R249" s="156" t="n">
        <v>0</v>
      </c>
      <c r="S249" s="156" t="n">
        <v>0</v>
      </c>
      <c r="T249" s="156" t="n">
        <v>0</v>
      </c>
      <c r="U249" s="156" t="n">
        <v>0</v>
      </c>
      <c r="W249" s="156">
        <f>INDEX(Matrix!$AA$2:$AA$33, MATCH(G249, Matrix!$AC$2:$AC$33, 0))</f>
        <v/>
      </c>
      <c r="X249" s="156">
        <f>_xlfn.IFNA(MATCH(E247,'Injury Report'!$C$2:$C$6216,0),0)</f>
        <v/>
      </c>
    </row>
    <row r="250" ht="15.6" customHeight="1" s="152">
      <c r="A250" s="212" t="n">
        <v>247</v>
      </c>
      <c r="B250" s="167">
        <f>F250&amp;G250</f>
        <v/>
      </c>
      <c r="C250" s="156">
        <f>(K250/MAX(K:K)*$K$1)+(L250/MAX(L:L)*$L$1)+(M250/MAX(M:M)*$M$1)+(N250/MAX(N:N)*$N$1)+(T250/MAX(T:T)*$T$1)</f>
        <v/>
      </c>
      <c r="D250" s="156">
        <f>IFERROR(VLOOKUP(B250,#REF!,7,0),"")</f>
        <v/>
      </c>
      <c r="E250" s="156">
        <f>IFERROR(VLOOKUP(F250,AllPlayers!F:F,1,0),"------------")</f>
        <v/>
      </c>
      <c r="F250" s="156" t="inlineStr">
        <is>
          <t>Stefon Diggs</t>
        </is>
      </c>
      <c r="G250" s="156">
        <f>VLOOKUP(F250,AllPlayers!Q:R,2,0)</f>
        <v/>
      </c>
      <c r="H250" s="156" t="inlineStr">
        <is>
          <t>WR</t>
        </is>
      </c>
      <c r="I250" s="156" t="n">
        <v>2</v>
      </c>
      <c r="J250" s="156" t="n">
        <v>0</v>
      </c>
      <c r="K250" s="156" t="n">
        <v>0</v>
      </c>
      <c r="L250" s="281">
        <f>IF(J250=0,0,K250/J250)</f>
        <v/>
      </c>
      <c r="M250" s="281">
        <f>K250/17</f>
        <v/>
      </c>
      <c r="N250" s="156" t="n">
        <v>0</v>
      </c>
      <c r="O250" s="156" t="n">
        <v>0</v>
      </c>
      <c r="P250" s="156" t="n">
        <v>0</v>
      </c>
      <c r="Q250" s="156" t="n">
        <v>0</v>
      </c>
      <c r="R250" s="156" t="n">
        <v>0</v>
      </c>
      <c r="S250" s="156" t="n">
        <v>0</v>
      </c>
      <c r="T250" s="156" t="n">
        <v>0</v>
      </c>
      <c r="U250" s="156" t="n">
        <v>0</v>
      </c>
      <c r="W250" s="156">
        <f>INDEX(Matrix!$AA$2:$AA$33, MATCH(G250, Matrix!$AC$2:$AC$33, 0))</f>
        <v/>
      </c>
      <c r="X250" s="156">
        <f>_xlfn.IFNA(MATCH(E248,'Injury Report'!$C$2:$C$6216,0),0)</f>
        <v/>
      </c>
    </row>
    <row r="251" ht="15.6" customHeight="1" s="152">
      <c r="A251" s="212" t="n">
        <v>248</v>
      </c>
      <c r="B251" s="167">
        <f>F251&amp;G251</f>
        <v/>
      </c>
      <c r="C251" s="156">
        <f>(K251/MAX(K:K)*$K$1)+(L251/MAX(L:L)*$L$1)+(M251/MAX(M:M)*$M$1)+(N251/MAX(N:N)*$N$1)+(T251/MAX(T:T)*$T$1)</f>
        <v/>
      </c>
      <c r="D251" s="156">
        <f>IFERROR(VLOOKUP(B251,#REF!,7,0),"")</f>
        <v/>
      </c>
      <c r="E251" s="156">
        <f>IFERROR(VLOOKUP(F251,AllPlayers!F:F,1,0),"------------")</f>
        <v/>
      </c>
      <c r="F251" s="156" t="inlineStr">
        <is>
          <t>Olamide Zaccheaus</t>
        </is>
      </c>
      <c r="G251" s="156">
        <f>VLOOKUP(F251,AllPlayers!Q:R,2,0)</f>
        <v/>
      </c>
      <c r="H251" s="156" t="inlineStr">
        <is>
          <t>WR</t>
        </is>
      </c>
      <c r="I251" s="156" t="n">
        <v>2</v>
      </c>
      <c r="J251" s="156" t="n">
        <v>1</v>
      </c>
      <c r="K251" s="156" t="n">
        <v>9</v>
      </c>
      <c r="L251" s="281">
        <f>IF(J251=0,0,K251/J251)</f>
        <v/>
      </c>
      <c r="M251" s="281">
        <f>K251/17</f>
        <v/>
      </c>
      <c r="N251" s="156" t="n">
        <v>0</v>
      </c>
      <c r="O251" s="156" t="n">
        <v>0</v>
      </c>
      <c r="P251" s="156" t="n">
        <v>0</v>
      </c>
      <c r="Q251" s="156" t="n">
        <v>0</v>
      </c>
      <c r="R251" s="156" t="n">
        <v>0</v>
      </c>
      <c r="S251" s="156" t="n">
        <v>0</v>
      </c>
      <c r="T251" s="156" t="n">
        <v>0</v>
      </c>
      <c r="U251" s="156" t="n">
        <v>0</v>
      </c>
      <c r="W251" s="156">
        <f>INDEX(Matrix!$AA$2:$AA$33, MATCH(G251, Matrix!$AC$2:$AC$33, 0))</f>
        <v/>
      </c>
      <c r="X251" s="156">
        <f>_xlfn.IFNA(MATCH(E249,'Injury Report'!$C$2:$C$6216,0),0)</f>
        <v/>
      </c>
    </row>
    <row r="252" ht="15.6" customHeight="1" s="152">
      <c r="A252" s="212" t="n">
        <v>249</v>
      </c>
      <c r="B252" s="167">
        <f>F252&amp;G252</f>
        <v/>
      </c>
      <c r="C252" s="156">
        <f>(K252/MAX(K:K)*$K$1)+(L252/MAX(L:L)*$L$1)+(M252/MAX(M:M)*$M$1)+(N252/MAX(N:N)*$N$1)+(T252/MAX(T:T)*$T$1)</f>
        <v/>
      </c>
      <c r="D252" s="156">
        <f>IFERROR(VLOOKUP(B252,#REF!,7,0),"")</f>
        <v/>
      </c>
      <c r="E252" s="156">
        <f>IFERROR(VLOOKUP(F252,AllPlayers!F:F,1,0),"------------")</f>
        <v/>
      </c>
      <c r="F252" s="156" t="inlineStr">
        <is>
          <t>Jacob Cowing</t>
        </is>
      </c>
      <c r="G252" s="156">
        <f>VLOOKUP(F252,AllPlayers!Q:R,2,0)</f>
        <v/>
      </c>
      <c r="H252" s="156" t="inlineStr">
        <is>
          <t>WR</t>
        </is>
      </c>
      <c r="I252" s="156" t="n">
        <v>1</v>
      </c>
      <c r="J252" s="156" t="n">
        <v>1</v>
      </c>
      <c r="K252" s="156" t="n">
        <v>7</v>
      </c>
      <c r="L252" s="281">
        <f>IF(J252=0,0,K252/J252)</f>
        <v/>
      </c>
      <c r="M252" s="281">
        <f>K252/17</f>
        <v/>
      </c>
      <c r="N252" s="156" t="n">
        <v>0</v>
      </c>
      <c r="O252" s="156" t="n">
        <v>0</v>
      </c>
      <c r="P252" s="156" t="n">
        <v>0</v>
      </c>
      <c r="Q252" s="156" t="n">
        <v>0</v>
      </c>
      <c r="R252" s="156" t="n">
        <v>0</v>
      </c>
      <c r="S252" s="156" t="n">
        <v>0</v>
      </c>
      <c r="T252" s="156" t="n">
        <v>0</v>
      </c>
      <c r="U252" s="156" t="n">
        <v>0</v>
      </c>
      <c r="W252" s="156">
        <f>INDEX(Matrix!$AA$2:$AA$33, MATCH(G252, Matrix!$AC$2:$AC$33, 0))</f>
        <v/>
      </c>
      <c r="X252" s="156">
        <f>_xlfn.IFNA(MATCH(E250,'Injury Report'!$C$2:$C$6216,0),0)</f>
        <v/>
      </c>
    </row>
    <row r="253" ht="15.6" customHeight="1" s="152">
      <c r="A253" s="212" t="n">
        <v>250</v>
      </c>
      <c r="B253" s="167">
        <f>F253&amp;G253</f>
        <v/>
      </c>
      <c r="C253" s="156">
        <f>(K253/MAX(K:K)*$K$1)+(L253/MAX(L:L)*$L$1)+(M253/MAX(M:M)*$M$1)+(N253/MAX(N:N)*$N$1)+(T253/MAX(T:T)*$T$1)</f>
        <v/>
      </c>
      <c r="D253" s="156">
        <f>IFERROR(VLOOKUP(B253,#REF!,7,0),"")</f>
        <v/>
      </c>
      <c r="E253" s="156">
        <f>IFERROR(VLOOKUP(F253,AllPlayers!F:F,1,0),"------------")</f>
        <v/>
      </c>
      <c r="F253" s="156" t="inlineStr">
        <is>
          <t>Deven Thompkins</t>
        </is>
      </c>
      <c r="G253" s="156">
        <f>VLOOKUP(F253,AllPlayers!Q:R,2,0)</f>
        <v/>
      </c>
      <c r="H253" s="156" t="inlineStr">
        <is>
          <t>WR</t>
        </is>
      </c>
      <c r="I253" s="156" t="n">
        <v>2</v>
      </c>
      <c r="J253" s="156" t="n">
        <v>2</v>
      </c>
      <c r="K253" s="156" t="n">
        <v>7</v>
      </c>
      <c r="L253" s="281">
        <f>IF(J253=0,0,K253/J253)</f>
        <v/>
      </c>
      <c r="M253" s="281">
        <f>K253/17</f>
        <v/>
      </c>
      <c r="N253" s="156" t="n">
        <v>0</v>
      </c>
      <c r="O253" s="156" t="n">
        <v>0</v>
      </c>
      <c r="P253" s="156" t="n">
        <v>0</v>
      </c>
      <c r="Q253" s="156" t="n">
        <v>0</v>
      </c>
      <c r="R253" s="156" t="n">
        <v>0</v>
      </c>
      <c r="S253" s="156" t="n">
        <v>0</v>
      </c>
      <c r="T253" s="156" t="n">
        <v>0</v>
      </c>
      <c r="U253" s="156" t="n">
        <v>0</v>
      </c>
      <c r="W253" s="156">
        <f>INDEX(Matrix!$AA$2:$AA$33, MATCH(G253, Matrix!$AC$2:$AC$33, 0))</f>
        <v/>
      </c>
      <c r="X253" s="156">
        <f>_xlfn.IFNA(MATCH(E251,'Injury Report'!$C$2:$C$6216,0),0)</f>
        <v/>
      </c>
    </row>
    <row r="254" ht="15.6" customHeight="1" s="152">
      <c r="A254" s="212" t="n">
        <v>251</v>
      </c>
      <c r="B254" s="167">
        <f>F254&amp;G254</f>
        <v/>
      </c>
      <c r="C254" s="156">
        <f>(K254/MAX(K:K)*$K$1)+(L254/MAX(L:L)*$L$1)+(M254/MAX(M:M)*$M$1)+(N254/MAX(N:N)*$N$1)+(T254/MAX(T:T)*$T$1)</f>
        <v/>
      </c>
      <c r="D254" s="156">
        <f>IFERROR(VLOOKUP(B254,#REF!,7,0),"")</f>
        <v/>
      </c>
      <c r="E254" s="156">
        <f>IFERROR(VLOOKUP(F254,AllPlayers!F:F,1,0),"------------")</f>
        <v/>
      </c>
      <c r="F254" s="156" t="inlineStr">
        <is>
          <t>Michael Wilson</t>
        </is>
      </c>
      <c r="G254" s="156">
        <f>VLOOKUP(F254,AllPlayers!Q:R,2,0)</f>
        <v/>
      </c>
      <c r="H254" s="156" t="inlineStr">
        <is>
          <t>WR</t>
        </is>
      </c>
      <c r="I254" s="156" t="n">
        <v>2</v>
      </c>
      <c r="J254" s="156" t="n">
        <v>0</v>
      </c>
      <c r="K254" s="156" t="n">
        <v>0</v>
      </c>
      <c r="L254" s="281">
        <f>IF(J254=0,0,K254/J254)</f>
        <v/>
      </c>
      <c r="M254" s="281">
        <f>K254/17</f>
        <v/>
      </c>
      <c r="N254" s="156" t="n">
        <v>0</v>
      </c>
      <c r="O254" s="156" t="n">
        <v>0</v>
      </c>
      <c r="P254" s="156" t="n">
        <v>0</v>
      </c>
      <c r="Q254" s="156" t="n">
        <v>0</v>
      </c>
      <c r="R254" s="156" t="n">
        <v>0</v>
      </c>
      <c r="S254" s="156" t="n">
        <v>0</v>
      </c>
      <c r="T254" s="156" t="n">
        <v>0</v>
      </c>
      <c r="U254" s="156" t="n">
        <v>0</v>
      </c>
      <c r="W254" s="156">
        <f>INDEX(Matrix!$AA$2:$AA$33, MATCH(G254, Matrix!$AC$2:$AC$33, 0))</f>
        <v/>
      </c>
      <c r="X254" s="156">
        <f>_xlfn.IFNA(MATCH(E252,'Injury Report'!$C$2:$C$6216,0),0)</f>
        <v/>
      </c>
    </row>
    <row r="255" ht="15.6" customHeight="1" s="152">
      <c r="A255" s="212" t="n">
        <v>252</v>
      </c>
      <c r="B255" s="167">
        <f>F255&amp;G255</f>
        <v/>
      </c>
      <c r="C255" s="156">
        <f>(K255/MAX(K:K)*$K$1)+(L255/MAX(L:L)*$L$1)+(M255/MAX(M:M)*$M$1)+(N255/MAX(N:N)*$N$1)+(T255/MAX(T:T)*$T$1)</f>
        <v/>
      </c>
      <c r="D255" s="156">
        <f>IFERROR(VLOOKUP(B255,#REF!,7,0),"")</f>
        <v/>
      </c>
      <c r="E255" s="156">
        <f>IFERROR(VLOOKUP(F255,AllPlayers!F:F,1,0),"------------")</f>
        <v/>
      </c>
      <c r="F255" s="156" t="inlineStr">
        <is>
          <t>Reggie Gilliam</t>
        </is>
      </c>
      <c r="G255" s="156">
        <f>VLOOKUP(F255,AllPlayers!Q:R,2,0)</f>
        <v/>
      </c>
      <c r="H255" s="156" t="inlineStr">
        <is>
          <t>FB</t>
        </is>
      </c>
      <c r="I255" s="156" t="n">
        <v>1</v>
      </c>
      <c r="J255" s="156" t="n">
        <v>0</v>
      </c>
      <c r="K255" s="156" t="n">
        <v>0</v>
      </c>
      <c r="L255" s="281">
        <f>IF(J255=0,0,K255/J255)</f>
        <v/>
      </c>
      <c r="M255" s="281">
        <f>K255/17</f>
        <v/>
      </c>
      <c r="N255" s="156" t="n">
        <v>0</v>
      </c>
      <c r="O255" s="156" t="n">
        <v>0</v>
      </c>
      <c r="P255" s="156" t="n">
        <v>0</v>
      </c>
      <c r="Q255" s="156" t="n">
        <v>0</v>
      </c>
      <c r="R255" s="156" t="n">
        <v>0</v>
      </c>
      <c r="S255" s="156" t="n">
        <v>0</v>
      </c>
      <c r="T255" s="156" t="n">
        <v>0</v>
      </c>
      <c r="U255" s="156" t="n">
        <v>0</v>
      </c>
      <c r="W255" s="156">
        <f>INDEX(Matrix!$AA$2:$AA$33, MATCH(G255, Matrix!$AC$2:$AC$33, 0))</f>
        <v/>
      </c>
      <c r="X255" s="156">
        <f>_xlfn.IFNA(MATCH(E253,'Injury Report'!$C$2:$C$6216,0),0)</f>
        <v/>
      </c>
    </row>
    <row r="256" ht="15.6" customHeight="1" s="152">
      <c r="A256" s="212" t="n">
        <v>253</v>
      </c>
      <c r="B256" s="167">
        <f>F256&amp;G256</f>
        <v/>
      </c>
      <c r="C256" s="156">
        <f>(K256/MAX(K:K)*$K$1)+(L256/MAX(L:L)*$L$1)+(M256/MAX(M:M)*$M$1)+(N256/MAX(N:N)*$N$1)+(T256/MAX(T:T)*$T$1)</f>
        <v/>
      </c>
      <c r="D256" s="156">
        <f>IFERROR(VLOOKUP(B256,#REF!,7,0),"")</f>
        <v/>
      </c>
      <c r="E256" s="156">
        <f>IFERROR(VLOOKUP(F256,AllPlayers!F:F,1,0),"------------")</f>
        <v/>
      </c>
      <c r="F256" s="156" t="inlineStr">
        <is>
          <t>Chris Olave</t>
        </is>
      </c>
      <c r="G256" s="156">
        <f>VLOOKUP(F256,AllPlayers!Q:R,2,0)</f>
        <v/>
      </c>
      <c r="H256" s="156" t="inlineStr">
        <is>
          <t>WR</t>
        </is>
      </c>
      <c r="I256" s="156" t="n">
        <v>2</v>
      </c>
      <c r="J256" s="156" t="n">
        <v>0</v>
      </c>
      <c r="K256" s="156" t="n">
        <v>0</v>
      </c>
      <c r="L256" s="281">
        <f>IF(J256=0,0,K256/J256)</f>
        <v/>
      </c>
      <c r="M256" s="281">
        <f>K256/17</f>
        <v/>
      </c>
      <c r="N256" s="156" t="n">
        <v>0</v>
      </c>
      <c r="O256" s="156" t="n">
        <v>0</v>
      </c>
      <c r="P256" s="156" t="n">
        <v>0</v>
      </c>
      <c r="Q256" s="156" t="n">
        <v>0</v>
      </c>
      <c r="R256" s="156" t="n">
        <v>0</v>
      </c>
      <c r="S256" s="156" t="n">
        <v>0</v>
      </c>
      <c r="T256" s="156" t="n">
        <v>0</v>
      </c>
      <c r="U256" s="156" t="n">
        <v>0</v>
      </c>
      <c r="W256" s="156">
        <f>INDEX(Matrix!$AA$2:$AA$33, MATCH(G256, Matrix!$AC$2:$AC$33, 0))</f>
        <v/>
      </c>
      <c r="X256" s="156">
        <f>_xlfn.IFNA(MATCH(E254,'Injury Report'!$C$2:$C$6216,0),0)</f>
        <v/>
      </c>
    </row>
    <row r="257" ht="15.6" customHeight="1" s="152">
      <c r="A257" s="212" t="n">
        <v>254</v>
      </c>
      <c r="B257" s="167">
        <f>F257&amp;G257</f>
        <v/>
      </c>
      <c r="C257" s="156">
        <f>(K257/MAX(K:K)*$K$1)+(L257/MAX(L:L)*$L$1)+(M257/MAX(M:M)*$M$1)+(N257/MAX(N:N)*$N$1)+(T257/MAX(T:T)*$T$1)</f>
        <v/>
      </c>
      <c r="D257" s="156">
        <f>IFERROR(VLOOKUP(B257,#REF!,7,0),"")</f>
        <v/>
      </c>
      <c r="E257" s="156">
        <f>IFERROR(VLOOKUP(F257,AllPlayers!F:F,1,0),"------------")</f>
        <v/>
      </c>
      <c r="F257" s="156" t="inlineStr">
        <is>
          <t>Tyrion Davis-price</t>
        </is>
      </c>
      <c r="G257" s="156">
        <f>VLOOKUP(F257,AllPlayers!Q:R,2,0)</f>
        <v/>
      </c>
      <c r="H257" s="156" t="inlineStr">
        <is>
          <t>RB</t>
        </is>
      </c>
      <c r="I257" s="156" t="n">
        <v>1</v>
      </c>
      <c r="J257" s="156" t="n">
        <v>3</v>
      </c>
      <c r="K257" s="156" t="n">
        <v>7</v>
      </c>
      <c r="L257" s="281">
        <f>IF(J257=0,0,K257/J257)</f>
        <v/>
      </c>
      <c r="M257" s="281">
        <f>K257/17</f>
        <v/>
      </c>
      <c r="N257" s="156" t="n">
        <v>0</v>
      </c>
      <c r="O257" s="156" t="n">
        <v>0</v>
      </c>
      <c r="P257" s="156" t="n">
        <v>0</v>
      </c>
      <c r="Q257" s="156" t="n">
        <v>0</v>
      </c>
      <c r="R257" s="156" t="n">
        <v>0</v>
      </c>
      <c r="S257" s="156" t="n">
        <v>0</v>
      </c>
      <c r="T257" s="156" t="n">
        <v>0</v>
      </c>
      <c r="U257" s="156" t="n">
        <v>0</v>
      </c>
      <c r="W257" s="156">
        <f>INDEX(Matrix!$AA$2:$AA$33, MATCH(G257, Matrix!$AC$2:$AC$33, 0))</f>
        <v/>
      </c>
      <c r="X257" s="156">
        <f>_xlfn.IFNA(MATCH(E255,'Injury Report'!$C$2:$C$6216,0),0)</f>
        <v/>
      </c>
    </row>
    <row r="258" ht="15.6" customHeight="1" s="152">
      <c r="A258" s="212" t="n">
        <v>255</v>
      </c>
      <c r="B258" s="167">
        <f>F258&amp;G258</f>
        <v/>
      </c>
      <c r="C258" s="156">
        <f>(K258/MAX(K:K)*$K$1)+(L258/MAX(L:L)*$L$1)+(M258/MAX(M:M)*$M$1)+(N258/MAX(N:N)*$N$1)+(T258/MAX(T:T)*$T$1)</f>
        <v/>
      </c>
      <c r="D258" s="156">
        <f>IFERROR(VLOOKUP(B258,#REF!,7,0),"")</f>
        <v/>
      </c>
      <c r="E258" s="156">
        <f>IFERROR(VLOOKUP(F258,AllPlayers!F:F,1,0),"------------")</f>
        <v/>
      </c>
      <c r="F258" s="156" t="inlineStr">
        <is>
          <t>Tutu Atwell</t>
        </is>
      </c>
      <c r="G258" s="156">
        <f>VLOOKUP(F258,AllPlayers!Q:R,2,0)</f>
        <v/>
      </c>
      <c r="H258" s="156" t="inlineStr">
        <is>
          <t>WR</t>
        </is>
      </c>
      <c r="I258" s="156" t="n">
        <v>2</v>
      </c>
      <c r="J258" s="156" t="n">
        <v>0</v>
      </c>
      <c r="K258" s="156" t="n">
        <v>0</v>
      </c>
      <c r="L258" s="281">
        <f>IF(J258=0,0,K258/J258)</f>
        <v/>
      </c>
      <c r="M258" s="281">
        <f>K258/17</f>
        <v/>
      </c>
      <c r="N258" s="156" t="n">
        <v>0</v>
      </c>
      <c r="O258" s="156" t="n">
        <v>0</v>
      </c>
      <c r="P258" s="156" t="n">
        <v>0</v>
      </c>
      <c r="Q258" s="156" t="n">
        <v>0</v>
      </c>
      <c r="R258" s="156" t="n">
        <v>0</v>
      </c>
      <c r="S258" s="156" t="n">
        <v>0</v>
      </c>
      <c r="T258" s="156" t="n">
        <v>0</v>
      </c>
      <c r="U258" s="156" t="n">
        <v>0</v>
      </c>
      <c r="W258" s="156">
        <f>INDEX(Matrix!$AA$2:$AA$33, MATCH(G258, Matrix!$AC$2:$AC$33, 0))</f>
        <v/>
      </c>
      <c r="X258" s="156">
        <f>_xlfn.IFNA(MATCH(E256,'Injury Report'!$C$2:$C$6216,0),0)</f>
        <v/>
      </c>
    </row>
    <row r="259" ht="15.6" customHeight="1" s="152">
      <c r="A259" s="212" t="n">
        <v>256</v>
      </c>
      <c r="B259" s="167">
        <f>F259&amp;G259</f>
        <v/>
      </c>
      <c r="C259" s="156">
        <f>(K259/MAX(K:K)*$K$1)+(L259/MAX(L:L)*$L$1)+(M259/MAX(M:M)*$M$1)+(N259/MAX(N:N)*$N$1)+(T259/MAX(T:T)*$T$1)</f>
        <v/>
      </c>
      <c r="D259" s="156">
        <f>IFERROR(VLOOKUP(B259,#REF!,7,0),"")</f>
        <v/>
      </c>
      <c r="E259" s="156">
        <f>IFERROR(VLOOKUP(F259,AllPlayers!F:F,1,0),"------------")</f>
        <v/>
      </c>
      <c r="F259" s="156" t="inlineStr">
        <is>
          <t>Quentin Johnston</t>
        </is>
      </c>
      <c r="G259" s="156">
        <f>VLOOKUP(F259,AllPlayers!Q:R,2,0)</f>
        <v/>
      </c>
      <c r="H259" s="156" t="inlineStr">
        <is>
          <t>WR</t>
        </is>
      </c>
      <c r="I259" s="156" t="n">
        <v>2</v>
      </c>
      <c r="J259" s="156" t="n">
        <v>1</v>
      </c>
      <c r="K259" s="156" t="n">
        <v>-2</v>
      </c>
      <c r="L259" s="281">
        <f>IF(J259=0,0,K259/J259)</f>
        <v/>
      </c>
      <c r="M259" s="281">
        <f>K259/17</f>
        <v/>
      </c>
      <c r="N259" s="156" t="n">
        <v>0</v>
      </c>
      <c r="O259" s="156" t="n">
        <v>0</v>
      </c>
      <c r="P259" s="156" t="n">
        <v>0</v>
      </c>
      <c r="Q259" s="156" t="n">
        <v>0</v>
      </c>
      <c r="R259" s="156" t="n">
        <v>0</v>
      </c>
      <c r="S259" s="156" t="n">
        <v>0</v>
      </c>
      <c r="T259" s="156" t="n">
        <v>0</v>
      </c>
      <c r="U259" s="156" t="n">
        <v>0</v>
      </c>
      <c r="W259" s="156">
        <f>INDEX(Matrix!$AA$2:$AA$33, MATCH(G259, Matrix!$AC$2:$AC$33, 0))</f>
        <v/>
      </c>
      <c r="X259" s="156">
        <f>_xlfn.IFNA(MATCH(E257,'Injury Report'!$C$2:$C$6216,0),0)</f>
        <v/>
      </c>
    </row>
    <row r="260" ht="15.6" customHeight="1" s="152">
      <c r="A260" s="212" t="n">
        <v>257</v>
      </c>
      <c r="B260" s="167">
        <f>F260&amp;G260</f>
        <v/>
      </c>
      <c r="C260" s="156">
        <f>(K260/MAX(K:K)*$K$1)+(L260/MAX(L:L)*$L$1)+(M260/MAX(M:M)*$M$1)+(N260/MAX(N:N)*$N$1)+(T260/MAX(T:T)*$T$1)</f>
        <v/>
      </c>
      <c r="D260" s="156">
        <f>IFERROR(VLOOKUP(B260,#REF!,7,0),"")</f>
        <v/>
      </c>
      <c r="E260" s="156">
        <f>IFERROR(VLOOKUP(F260,AllPlayers!F:F,1,0),"------------")</f>
        <v/>
      </c>
      <c r="F260" s="156" t="inlineStr">
        <is>
          <t>Ainias Smith</t>
        </is>
      </c>
      <c r="G260" s="156">
        <f>VLOOKUP(F260,AllPlayers!Q:R,2,0)</f>
        <v/>
      </c>
      <c r="H260" s="156" t="inlineStr">
        <is>
          <t>WR</t>
        </is>
      </c>
      <c r="I260" s="156" t="n">
        <v>2</v>
      </c>
      <c r="J260" s="156" t="n">
        <v>2</v>
      </c>
      <c r="K260" s="156" t="n">
        <v>6</v>
      </c>
      <c r="L260" s="281">
        <f>IF(J260=0,0,K260/J260)</f>
        <v/>
      </c>
      <c r="M260" s="281">
        <f>K260/17</f>
        <v/>
      </c>
      <c r="N260" s="156" t="n">
        <v>0</v>
      </c>
      <c r="O260" s="156" t="n">
        <v>0</v>
      </c>
      <c r="P260" s="156" t="n">
        <v>0</v>
      </c>
      <c r="Q260" s="156" t="n">
        <v>0</v>
      </c>
      <c r="R260" s="156" t="n">
        <v>0</v>
      </c>
      <c r="S260" s="156" t="n">
        <v>0</v>
      </c>
      <c r="T260" s="156" t="n">
        <v>0</v>
      </c>
      <c r="U260" s="156" t="n">
        <v>0</v>
      </c>
      <c r="W260" s="156">
        <f>INDEX(Matrix!$AA$2:$AA$33, MATCH(G260, Matrix!$AC$2:$AC$33, 0))</f>
        <v/>
      </c>
      <c r="X260" s="156">
        <f>_xlfn.IFNA(MATCH(E258,'Injury Report'!$C$2:$C$6216,0),0)</f>
        <v/>
      </c>
    </row>
    <row r="261" ht="15.6" customHeight="1" s="152">
      <c r="A261" s="212" t="n">
        <v>258</v>
      </c>
      <c r="B261" s="167">
        <f>F261&amp;G261</f>
        <v/>
      </c>
      <c r="C261" s="156">
        <f>(K261/MAX(K:K)*$K$1)+(L261/MAX(L:L)*$L$1)+(M261/MAX(M:M)*$M$1)+(N261/MAX(N:N)*$N$1)+(T261/MAX(T:T)*$T$1)</f>
        <v/>
      </c>
      <c r="D261" s="156">
        <f>IFERROR(VLOOKUP(B261,#REF!,7,0),"")</f>
        <v/>
      </c>
      <c r="E261" s="156">
        <f>IFERROR(VLOOKUP(F261,AllPlayers!F:F,1,0),"------------")</f>
        <v/>
      </c>
      <c r="F261" s="156" t="inlineStr">
        <is>
          <t>Kendrick Bourne</t>
        </is>
      </c>
      <c r="G261" s="156">
        <f>VLOOKUP(F261,AllPlayers!Q:R,2,0)</f>
        <v/>
      </c>
      <c r="H261" s="156" t="inlineStr">
        <is>
          <t>WR</t>
        </is>
      </c>
      <c r="I261" s="156" t="n">
        <v>1</v>
      </c>
      <c r="J261" s="156" t="n">
        <v>0</v>
      </c>
      <c r="K261" s="156" t="n">
        <v>0</v>
      </c>
      <c r="L261" s="281">
        <f>IF(J261=0,0,K261/J261)</f>
        <v/>
      </c>
      <c r="M261" s="281">
        <f>K261/17</f>
        <v/>
      </c>
      <c r="N261" s="156" t="n">
        <v>0</v>
      </c>
      <c r="O261" s="156" t="n">
        <v>0</v>
      </c>
      <c r="P261" s="156" t="n">
        <v>0</v>
      </c>
      <c r="Q261" s="156" t="n">
        <v>0</v>
      </c>
      <c r="R261" s="156" t="n">
        <v>0</v>
      </c>
      <c r="S261" s="156" t="n">
        <v>0</v>
      </c>
      <c r="T261" s="156" t="n">
        <v>0</v>
      </c>
      <c r="U261" s="156" t="n">
        <v>0</v>
      </c>
      <c r="W261" s="156">
        <f>INDEX(Matrix!$AA$2:$AA$33, MATCH(G261, Matrix!$AC$2:$AC$33, 0))</f>
        <v/>
      </c>
      <c r="X261" s="156">
        <f>_xlfn.IFNA(MATCH(E259,'Injury Report'!$C$2:$C$6216,0),0)</f>
        <v/>
      </c>
    </row>
    <row r="262" ht="15.6" customHeight="1" s="152">
      <c r="A262" s="212" t="n">
        <v>259</v>
      </c>
      <c r="B262" s="167">
        <f>F262&amp;G262</f>
        <v/>
      </c>
      <c r="C262" s="156">
        <f>(K262/MAX(K:K)*$K$1)+(L262/MAX(L:L)*$L$1)+(M262/MAX(M:M)*$M$1)+(N262/MAX(N:N)*$N$1)+(T262/MAX(T:T)*$T$1)</f>
        <v/>
      </c>
      <c r="D262" s="156">
        <f>IFERROR(VLOOKUP(B262,#REF!,7,0),"")</f>
        <v/>
      </c>
      <c r="E262" s="156">
        <f>IFERROR(VLOOKUP(F262,AllPlayers!F:F,1,0),"------------")</f>
        <v/>
      </c>
      <c r="F262" s="156" t="inlineStr">
        <is>
          <t>Diontae Johnson</t>
        </is>
      </c>
      <c r="G262" s="156">
        <f>VLOOKUP(F262,AllPlayers!Q:R,2,0)</f>
        <v/>
      </c>
      <c r="H262" s="156" t="inlineStr">
        <is>
          <t>WR</t>
        </is>
      </c>
      <c r="I262" s="156" t="n">
        <v>1</v>
      </c>
      <c r="J262" s="156" t="n">
        <v>2</v>
      </c>
      <c r="K262" s="156" t="n">
        <v>6</v>
      </c>
      <c r="L262" s="281">
        <f>IF(J262=0,0,K262/J262)</f>
        <v/>
      </c>
      <c r="M262" s="281">
        <f>K262/17</f>
        <v/>
      </c>
      <c r="N262" s="156" t="n">
        <v>0</v>
      </c>
      <c r="O262" s="156" t="n">
        <v>0</v>
      </c>
      <c r="P262" s="156" t="n">
        <v>0</v>
      </c>
      <c r="Q262" s="156" t="n">
        <v>0</v>
      </c>
      <c r="R262" s="156" t="n">
        <v>0</v>
      </c>
      <c r="S262" s="156" t="n">
        <v>0</v>
      </c>
      <c r="T262" s="156" t="n">
        <v>0</v>
      </c>
      <c r="U262" s="156" t="n">
        <v>0</v>
      </c>
      <c r="W262" s="156">
        <f>INDEX(Matrix!$AA$2:$AA$33, MATCH(G262, Matrix!$AC$2:$AC$33, 0))</f>
        <v/>
      </c>
      <c r="X262" s="156">
        <f>_xlfn.IFNA(MATCH(E260,'Injury Report'!$C$2:$C$6216,0),0)</f>
        <v/>
      </c>
    </row>
    <row r="263" ht="15.6" customHeight="1" s="152">
      <c r="A263" s="212" t="n">
        <v>260</v>
      </c>
      <c r="B263" s="167">
        <f>F263&amp;G263</f>
        <v/>
      </c>
      <c r="C263" s="156">
        <f>(K263/MAX(K:K)*$K$1)+(L263/MAX(L:L)*$L$1)+(M263/MAX(M:M)*$M$1)+(N263/MAX(N:N)*$N$1)+(T263/MAX(T:T)*$T$1)</f>
        <v/>
      </c>
      <c r="D263" s="156">
        <f>IFERROR(VLOOKUP(B263,#REF!,7,0),"")</f>
        <v/>
      </c>
      <c r="E263" s="156">
        <f>IFERROR(VLOOKUP(F263,AllPlayers!F:F,1,0),"------------")</f>
        <v/>
      </c>
      <c r="F263" s="156" t="inlineStr">
        <is>
          <t>Tucker Kraft</t>
        </is>
      </c>
      <c r="G263" s="156">
        <f>VLOOKUP(F263,AllPlayers!Q:R,2,0)</f>
        <v/>
      </c>
      <c r="H263" s="156" t="inlineStr">
        <is>
          <t>TE</t>
        </is>
      </c>
      <c r="I263" s="156" t="n">
        <v>2</v>
      </c>
      <c r="J263" s="156" t="n">
        <v>1</v>
      </c>
      <c r="K263" s="156" t="n">
        <v>3</v>
      </c>
      <c r="L263" s="281">
        <f>IF(J263=0,0,K263/J263)</f>
        <v/>
      </c>
      <c r="M263" s="281">
        <f>K263/17</f>
        <v/>
      </c>
      <c r="N263" s="156" t="n">
        <v>0</v>
      </c>
      <c r="O263" s="156" t="n">
        <v>0</v>
      </c>
      <c r="P263" s="156" t="n">
        <v>0</v>
      </c>
      <c r="Q263" s="156" t="n">
        <v>0</v>
      </c>
      <c r="R263" s="156" t="n">
        <v>0</v>
      </c>
      <c r="S263" s="156" t="n">
        <v>0</v>
      </c>
      <c r="T263" s="156" t="n">
        <v>0</v>
      </c>
      <c r="U263" s="156" t="n">
        <v>0</v>
      </c>
      <c r="W263" s="156">
        <f>INDEX(Matrix!$AA$2:$AA$33, MATCH(G263, Matrix!$AC$2:$AC$33, 0))</f>
        <v/>
      </c>
      <c r="X263" s="156">
        <f>_xlfn.IFNA(MATCH(E261,'Injury Report'!$C$2:$C$6216,0),0)</f>
        <v/>
      </c>
    </row>
    <row r="264" ht="15.6" customHeight="1" s="152">
      <c r="A264" s="212" t="n">
        <v>261</v>
      </c>
      <c r="B264" s="167">
        <f>F264&amp;G264</f>
        <v/>
      </c>
      <c r="C264" s="156">
        <f>(K264/MAX(K:K)*$K$1)+(L264/MAX(L:L)*$L$1)+(M264/MAX(M:M)*$M$1)+(N264/MAX(N:N)*$N$1)+(T264/MAX(T:T)*$T$1)</f>
        <v/>
      </c>
      <c r="D264" s="156">
        <f>IFERROR(VLOOKUP(B264,#REF!,7,0),"")</f>
        <v/>
      </c>
      <c r="E264" s="156">
        <f>IFERROR(VLOOKUP(F264,AllPlayers!F:F,1,0),"------------")</f>
        <v/>
      </c>
      <c r="F264" s="156" t="inlineStr">
        <is>
          <t>Adonai Mitchell</t>
        </is>
      </c>
      <c r="G264" s="156">
        <f>VLOOKUP(F264,AllPlayers!Q:R,2,0)</f>
        <v/>
      </c>
      <c r="H264" s="156" t="inlineStr">
        <is>
          <t>WR</t>
        </is>
      </c>
      <c r="I264" s="156" t="n">
        <v>2</v>
      </c>
      <c r="J264" s="156" t="n">
        <v>0</v>
      </c>
      <c r="K264" s="156" t="n">
        <v>0</v>
      </c>
      <c r="L264" s="281">
        <f>IF(J264=0,0,K264/J264)</f>
        <v/>
      </c>
      <c r="M264" s="281">
        <f>K264/17</f>
        <v/>
      </c>
      <c r="N264" s="156" t="n">
        <v>0</v>
      </c>
      <c r="O264" s="156" t="n">
        <v>0</v>
      </c>
      <c r="P264" s="156" t="n">
        <v>0</v>
      </c>
      <c r="Q264" s="156" t="n">
        <v>0</v>
      </c>
      <c r="R264" s="156" t="n">
        <v>0</v>
      </c>
      <c r="S264" s="156" t="n">
        <v>0</v>
      </c>
      <c r="T264" s="156" t="n">
        <v>0</v>
      </c>
      <c r="U264" s="156" t="n">
        <v>0</v>
      </c>
      <c r="W264" s="156">
        <f>INDEX(Matrix!$AA$2:$AA$33, MATCH(G264, Matrix!$AC$2:$AC$33, 0))</f>
        <v/>
      </c>
      <c r="X264" s="156">
        <f>_xlfn.IFNA(MATCH(E262,'Injury Report'!$C$2:$C$6216,0),0)</f>
        <v/>
      </c>
    </row>
    <row r="265" ht="15.6" customHeight="1" s="152">
      <c r="A265" s="212" t="n">
        <v>262</v>
      </c>
      <c r="B265" s="167">
        <f>F265&amp;G265</f>
        <v/>
      </c>
      <c r="C265" s="156">
        <f>(K265/MAX(K:K)*$K$1)+(L265/MAX(L:L)*$L$1)+(M265/MAX(M:M)*$M$1)+(N265/MAX(N:N)*$N$1)+(T265/MAX(T:T)*$T$1)</f>
        <v/>
      </c>
      <c r="D265" s="156">
        <f>IFERROR(VLOOKUP(B265,#REF!,7,0),"")</f>
        <v/>
      </c>
      <c r="E265" s="156">
        <f>IFERROR(VLOOKUP(F265,AllPlayers!F:F,1,0),"------------")</f>
        <v/>
      </c>
      <c r="F265" s="156" t="inlineStr">
        <is>
          <t>Amon-ra St. Brown</t>
        </is>
      </c>
      <c r="G265" s="156">
        <f>VLOOKUP(F265,AllPlayers!Q:R,2,0)</f>
        <v/>
      </c>
      <c r="H265" s="156" t="inlineStr">
        <is>
          <t>WR</t>
        </is>
      </c>
      <c r="I265" s="156" t="n">
        <v>2</v>
      </c>
      <c r="J265" s="156" t="n">
        <v>2</v>
      </c>
      <c r="K265" s="156" t="n">
        <v>7</v>
      </c>
      <c r="L265" s="281">
        <f>IF(J265=0,0,K265/J265)</f>
        <v/>
      </c>
      <c r="M265" s="281">
        <f>K265/17</f>
        <v/>
      </c>
      <c r="N265" s="156" t="n">
        <v>0</v>
      </c>
      <c r="O265" s="156" t="n">
        <v>0</v>
      </c>
      <c r="P265" s="156" t="n">
        <v>0</v>
      </c>
      <c r="Q265" s="156" t="n">
        <v>0</v>
      </c>
      <c r="R265" s="156" t="n">
        <v>0</v>
      </c>
      <c r="S265" s="156" t="n">
        <v>0</v>
      </c>
      <c r="T265" s="156" t="n">
        <v>0</v>
      </c>
      <c r="U265" s="156" t="n">
        <v>0</v>
      </c>
      <c r="W265" s="156">
        <f>INDEX(Matrix!$AA$2:$AA$33, MATCH(G265, Matrix!$AC$2:$AC$33, 0))</f>
        <v/>
      </c>
      <c r="X265" s="156">
        <f>_xlfn.IFNA(MATCH(E263,'Injury Report'!$C$2:$C$6216,0),0)</f>
        <v/>
      </c>
    </row>
    <row r="266" ht="15.6" customHeight="1" s="152">
      <c r="A266" s="212" t="n">
        <v>263</v>
      </c>
      <c r="B266" s="167">
        <f>F266&amp;G266</f>
        <v/>
      </c>
      <c r="C266" s="156">
        <f>(K266/MAX(K:K)*$K$1)+(L266/MAX(L:L)*$L$1)+(M266/MAX(M:M)*$M$1)+(N266/MAX(N:N)*$N$1)+(T266/MAX(T:T)*$T$1)</f>
        <v/>
      </c>
      <c r="D266" s="156">
        <f>IFERROR(VLOOKUP(B266,#REF!,7,0),"")</f>
        <v/>
      </c>
      <c r="E266" s="156">
        <f>IFERROR(VLOOKUP(F266,AllPlayers!F:F,1,0),"------------")</f>
        <v/>
      </c>
      <c r="F266" s="156" t="inlineStr">
        <is>
          <t>Jarrett Stidham</t>
        </is>
      </c>
      <c r="G266" s="156">
        <f>VLOOKUP(F266,AllPlayers!Q:R,2,0)</f>
        <v/>
      </c>
      <c r="H266" s="156" t="inlineStr">
        <is>
          <t>QB</t>
        </is>
      </c>
      <c r="I266" s="156" t="n">
        <v>2</v>
      </c>
      <c r="J266" s="156" t="n">
        <v>4</v>
      </c>
      <c r="K266" s="156" t="n">
        <v>5</v>
      </c>
      <c r="L266" s="281">
        <f>IF(J266=0,0,K266/J266)</f>
        <v/>
      </c>
      <c r="M266" s="281">
        <f>K266/17</f>
        <v/>
      </c>
      <c r="N266" s="156" t="n">
        <v>0</v>
      </c>
      <c r="O266" s="156" t="n">
        <v>0</v>
      </c>
      <c r="P266" s="156" t="n">
        <v>0</v>
      </c>
      <c r="Q266" s="156" t="n">
        <v>0</v>
      </c>
      <c r="R266" s="156" t="n">
        <v>0</v>
      </c>
      <c r="S266" s="156" t="n">
        <v>0</v>
      </c>
      <c r="T266" s="156" t="n">
        <v>0</v>
      </c>
      <c r="U266" s="156" t="n">
        <v>0</v>
      </c>
      <c r="W266" s="156">
        <f>INDEX(Matrix!$AA$2:$AA$33, MATCH(G266, Matrix!$AC$2:$AC$33, 0))</f>
        <v/>
      </c>
      <c r="X266" s="156">
        <f>_xlfn.IFNA(MATCH(E264,'Injury Report'!$C$2:$C$6216,0),0)</f>
        <v/>
      </c>
    </row>
    <row r="267" ht="15.6" customHeight="1" s="152">
      <c r="A267" s="212" t="n">
        <v>264</v>
      </c>
      <c r="B267" s="167">
        <f>F267&amp;G267</f>
        <v/>
      </c>
      <c r="C267" s="156">
        <f>(K267/MAX(K:K)*$K$1)+(L267/MAX(L:L)*$L$1)+(M267/MAX(M:M)*$M$1)+(N267/MAX(N:N)*$N$1)+(T267/MAX(T:T)*$T$1)</f>
        <v/>
      </c>
      <c r="D267" s="156">
        <f>IFERROR(VLOOKUP(B267,#REF!,7,0),"")</f>
        <v/>
      </c>
      <c r="E267" s="156">
        <f>IFERROR(VLOOKUP(F267,AllPlayers!F:F,1,0),"------------")</f>
        <v/>
      </c>
      <c r="F267" s="156" t="inlineStr">
        <is>
          <t>Jonathan Mingo</t>
        </is>
      </c>
      <c r="G267" s="156">
        <f>VLOOKUP(F267,AllPlayers!Q:R,2,0)</f>
        <v/>
      </c>
      <c r="H267" s="156" t="inlineStr">
        <is>
          <t>WR</t>
        </is>
      </c>
      <c r="I267" s="156" t="n">
        <v>2</v>
      </c>
      <c r="J267" s="156" t="n">
        <v>2</v>
      </c>
      <c r="K267" s="156" t="n">
        <v>5</v>
      </c>
      <c r="L267" s="281">
        <f>IF(J267=0,0,K267/J267)</f>
        <v/>
      </c>
      <c r="M267" s="281">
        <f>K267/17</f>
        <v/>
      </c>
      <c r="N267" s="156" t="n">
        <v>0</v>
      </c>
      <c r="O267" s="156" t="n">
        <v>0</v>
      </c>
      <c r="P267" s="156" t="n">
        <v>0</v>
      </c>
      <c r="Q267" s="156" t="n">
        <v>0</v>
      </c>
      <c r="R267" s="156" t="n">
        <v>0</v>
      </c>
      <c r="S267" s="156" t="n">
        <v>0</v>
      </c>
      <c r="T267" s="156" t="n">
        <v>1</v>
      </c>
      <c r="U267" s="156" t="n">
        <v>1</v>
      </c>
      <c r="W267" s="156">
        <f>INDEX(Matrix!$AA$2:$AA$33, MATCH(G267, Matrix!$AC$2:$AC$33, 0))</f>
        <v/>
      </c>
      <c r="X267" s="156">
        <f>_xlfn.IFNA(MATCH(E265,'Injury Report'!$C$2:$C$6216,0),0)</f>
        <v/>
      </c>
    </row>
    <row r="268" ht="15.6" customHeight="1" s="152">
      <c r="A268" s="212" t="n">
        <v>265</v>
      </c>
      <c r="B268" s="167">
        <f>F268&amp;G268</f>
        <v/>
      </c>
      <c r="C268" s="156">
        <f>(K268/MAX(K:K)*$K$1)+(L268/MAX(L:L)*$L$1)+(M268/MAX(M:M)*$M$1)+(N268/MAX(N:N)*$N$1)+(T268/MAX(T:T)*$T$1)</f>
        <v/>
      </c>
      <c r="D268" s="156">
        <f>IFERROR(VLOOKUP(B268,#REF!,7,0),"")</f>
        <v/>
      </c>
      <c r="E268" s="156">
        <f>IFERROR(VLOOKUP(F268,AllPlayers!F:F,1,0),"------------")</f>
        <v/>
      </c>
      <c r="F268" s="156" t="inlineStr">
        <is>
          <t>Mark Andrews</t>
        </is>
      </c>
      <c r="G268" s="156">
        <f>VLOOKUP(F268,AllPlayers!Q:R,2,0)</f>
        <v/>
      </c>
      <c r="H268" s="156" t="inlineStr">
        <is>
          <t>TE</t>
        </is>
      </c>
      <c r="I268" s="156" t="n">
        <v>2</v>
      </c>
      <c r="J268" s="156" t="n">
        <v>1</v>
      </c>
      <c r="K268" s="156" t="n">
        <v>2</v>
      </c>
      <c r="L268" s="281">
        <f>IF(J268=0,0,K268/J268)</f>
        <v/>
      </c>
      <c r="M268" s="281">
        <f>K268/17</f>
        <v/>
      </c>
      <c r="N268" s="156" t="n">
        <v>0</v>
      </c>
      <c r="O268" s="156" t="n">
        <v>0</v>
      </c>
      <c r="P268" s="156" t="n">
        <v>0</v>
      </c>
      <c r="Q268" s="156" t="n">
        <v>0</v>
      </c>
      <c r="R268" s="156" t="n">
        <v>0</v>
      </c>
      <c r="S268" s="156" t="n">
        <v>0</v>
      </c>
      <c r="T268" s="156" t="n">
        <v>0</v>
      </c>
      <c r="U268" s="156" t="n">
        <v>0</v>
      </c>
      <c r="W268" s="156">
        <f>INDEX(Matrix!$AA$2:$AA$33, MATCH(G268, Matrix!$AC$2:$AC$33, 0))</f>
        <v/>
      </c>
      <c r="X268" s="156">
        <f>_xlfn.IFNA(MATCH(E266,'Injury Report'!$C$2:$C$6216,0),0)</f>
        <v/>
      </c>
    </row>
    <row r="269" ht="15.6" customHeight="1" s="152">
      <c r="A269" s="212" t="n">
        <v>266</v>
      </c>
      <c r="B269" s="167">
        <f>F269&amp;G269</f>
        <v/>
      </c>
      <c r="C269" s="156">
        <f>(K269/MAX(K:K)*$K$1)+(L269/MAX(L:L)*$L$1)+(M269/MAX(M:M)*$M$1)+(N269/MAX(N:N)*$N$1)+(T269/MAX(T:T)*$T$1)</f>
        <v/>
      </c>
      <c r="D269" s="156">
        <f>IFERROR(VLOOKUP(B269,#REF!,7,0),"")</f>
        <v/>
      </c>
      <c r="E269" s="156">
        <f>IFERROR(VLOOKUP(F269,AllPlayers!F:F,1,0),"------------")</f>
        <v/>
      </c>
      <c r="F269" s="156" t="inlineStr">
        <is>
          <t>Marcus Jones</t>
        </is>
      </c>
      <c r="G269" s="156">
        <f>VLOOKUP(F269,AllPlayers!Q:R,2,0)</f>
        <v/>
      </c>
      <c r="H269" s="156" t="inlineStr">
        <is>
          <t>CB</t>
        </is>
      </c>
      <c r="I269" s="156" t="n">
        <v>2</v>
      </c>
      <c r="J269" s="156" t="n">
        <v>0</v>
      </c>
      <c r="K269" s="156" t="n">
        <v>0</v>
      </c>
      <c r="L269" s="281">
        <f>IF(J269=0,0,K269/J269)</f>
        <v/>
      </c>
      <c r="M269" s="281">
        <f>K269/17</f>
        <v/>
      </c>
      <c r="N269" s="156" t="n">
        <v>0</v>
      </c>
      <c r="O269" s="156" t="n">
        <v>0</v>
      </c>
      <c r="P269" s="156" t="n">
        <v>0</v>
      </c>
      <c r="Q269" s="156" t="n">
        <v>0</v>
      </c>
      <c r="R269" s="156" t="n">
        <v>0</v>
      </c>
      <c r="S269" s="156" t="n">
        <v>0</v>
      </c>
      <c r="T269" s="156" t="n">
        <v>0</v>
      </c>
      <c r="U269" s="156" t="n">
        <v>0</v>
      </c>
      <c r="W269" s="156">
        <f>INDEX(Matrix!$AA$2:$AA$33, MATCH(G269, Matrix!$AC$2:$AC$33, 0))</f>
        <v/>
      </c>
      <c r="X269" s="156">
        <f>_xlfn.IFNA(MATCH(E267,'Injury Report'!$C$2:$C$6216,0),0)</f>
        <v/>
      </c>
    </row>
    <row r="270" ht="15.6" customHeight="1" s="152">
      <c r="A270" s="212" t="n">
        <v>267</v>
      </c>
      <c r="B270" s="167">
        <f>F270&amp;G270</f>
        <v/>
      </c>
      <c r="C270" s="156">
        <f>(K270/MAX(K:K)*$K$1)+(L270/MAX(L:L)*$L$1)+(M270/MAX(M:M)*$M$1)+(N270/MAX(N:N)*$N$1)+(T270/MAX(T:T)*$T$1)</f>
        <v/>
      </c>
      <c r="D270" s="156">
        <f>IFERROR(VLOOKUP(B270,#REF!,7,0),"")</f>
        <v/>
      </c>
      <c r="E270" s="156">
        <f>IFERROR(VLOOKUP(F270,AllPlayers!F:F,1,0),"------------")</f>
        <v/>
      </c>
      <c r="F270" s="156" t="inlineStr">
        <is>
          <t>Garrett Wilson</t>
        </is>
      </c>
      <c r="G270" s="156">
        <f>VLOOKUP(F270,AllPlayers!Q:R,2,0)</f>
        <v/>
      </c>
      <c r="H270" s="156" t="inlineStr">
        <is>
          <t>WR</t>
        </is>
      </c>
      <c r="I270" s="156" t="n">
        <v>2</v>
      </c>
      <c r="J270" s="156" t="n">
        <v>0</v>
      </c>
      <c r="K270" s="156" t="n">
        <v>0</v>
      </c>
      <c r="L270" s="281">
        <f>IF(J270=0,0,K270/J270)</f>
        <v/>
      </c>
      <c r="M270" s="281">
        <f>K270/17</f>
        <v/>
      </c>
      <c r="N270" s="156" t="n">
        <v>0</v>
      </c>
      <c r="O270" s="156" t="n">
        <v>0</v>
      </c>
      <c r="P270" s="156" t="n">
        <v>0</v>
      </c>
      <c r="Q270" s="156" t="n">
        <v>0</v>
      </c>
      <c r="R270" s="156" t="n">
        <v>0</v>
      </c>
      <c r="S270" s="156" t="n">
        <v>0</v>
      </c>
      <c r="T270" s="156" t="n">
        <v>0</v>
      </c>
      <c r="U270" s="156" t="n">
        <v>0</v>
      </c>
      <c r="W270" s="156">
        <f>INDEX(Matrix!$AA$2:$AA$33, MATCH(G270, Matrix!$AC$2:$AC$33, 0))</f>
        <v/>
      </c>
      <c r="X270" s="156">
        <f>_xlfn.IFNA(MATCH(E268,'Injury Report'!$C$2:$C$6216,0),0)</f>
        <v/>
      </c>
    </row>
    <row r="271" ht="15.6" customHeight="1" s="152">
      <c r="A271" s="212" t="n">
        <v>268</v>
      </c>
      <c r="B271" s="167">
        <f>F271&amp;G271</f>
        <v/>
      </c>
      <c r="C271" s="156">
        <f>(K271/MAX(K:K)*$K$1)+(L271/MAX(L:L)*$L$1)+(M271/MAX(M:M)*$M$1)+(N271/MAX(N:N)*$N$1)+(T271/MAX(T:T)*$T$1)</f>
        <v/>
      </c>
      <c r="D271" s="156">
        <f>IFERROR(VLOOKUP(B271,#REF!,7,0),"")</f>
        <v/>
      </c>
      <c r="E271" s="156">
        <f>IFERROR(VLOOKUP(F271,AllPlayers!F:F,1,0),"------------")</f>
        <v/>
      </c>
      <c r="F271" s="156" t="inlineStr">
        <is>
          <t>Xavier Gipson</t>
        </is>
      </c>
      <c r="G271" s="156">
        <f>VLOOKUP(F271,AllPlayers!Q:R,2,0)</f>
        <v/>
      </c>
      <c r="H271" s="156" t="inlineStr">
        <is>
          <t>WR</t>
        </is>
      </c>
      <c r="I271" s="156" t="n">
        <v>1</v>
      </c>
      <c r="J271" s="156" t="n">
        <v>0</v>
      </c>
      <c r="K271" s="156" t="n">
        <v>0</v>
      </c>
      <c r="L271" s="281">
        <f>IF(J271=0,0,K271/J271)</f>
        <v/>
      </c>
      <c r="M271" s="281">
        <f>K271/17</f>
        <v/>
      </c>
      <c r="N271" s="156" t="n">
        <v>0</v>
      </c>
      <c r="O271" s="156" t="n">
        <v>0</v>
      </c>
      <c r="P271" s="156" t="n">
        <v>0</v>
      </c>
      <c r="Q271" s="156" t="n">
        <v>0</v>
      </c>
      <c r="R271" s="156" t="n">
        <v>0</v>
      </c>
      <c r="S271" s="156" t="n">
        <v>0</v>
      </c>
      <c r="T271" s="156" t="n">
        <v>0</v>
      </c>
      <c r="U271" s="156" t="n">
        <v>0</v>
      </c>
      <c r="W271" s="156">
        <f>INDEX(Matrix!$AA$2:$AA$33, MATCH(G271, Matrix!$AC$2:$AC$33, 0))</f>
        <v/>
      </c>
      <c r="X271" s="156">
        <f>_xlfn.IFNA(MATCH(E269,'Injury Report'!$C$2:$C$6216,0),0)</f>
        <v/>
      </c>
    </row>
    <row r="272" ht="15.6" customHeight="1" s="152">
      <c r="A272" s="212" t="n">
        <v>269</v>
      </c>
      <c r="B272" s="167">
        <f>F272&amp;G272</f>
        <v/>
      </c>
      <c r="C272" s="156">
        <f>(K272/MAX(K:K)*$K$1)+(L272/MAX(L:L)*$L$1)+(M272/MAX(M:M)*$M$1)+(N272/MAX(N:N)*$N$1)+(T272/MAX(T:T)*$T$1)</f>
        <v/>
      </c>
      <c r="D272" s="156">
        <f>IFERROR(VLOOKUP(B272,#REF!,7,0),"")</f>
        <v/>
      </c>
      <c r="E272" s="156">
        <f>IFERROR(VLOOKUP(F272,AllPlayers!F:F,1,0),"------------")</f>
        <v/>
      </c>
      <c r="F272" s="156" t="inlineStr">
        <is>
          <t>Jimmy Garoppolo</t>
        </is>
      </c>
      <c r="G272" s="156">
        <f>VLOOKUP(F272,AllPlayers!Q:R,2,0)</f>
        <v/>
      </c>
      <c r="H272" s="156" t="inlineStr">
        <is>
          <t>QB</t>
        </is>
      </c>
      <c r="I272" s="156" t="n">
        <v>1</v>
      </c>
      <c r="J272" s="156" t="n">
        <v>2</v>
      </c>
      <c r="K272" s="156" t="n">
        <v>5</v>
      </c>
      <c r="L272" s="281">
        <f>IF(J272=0,0,K272/J272)</f>
        <v/>
      </c>
      <c r="M272" s="281">
        <f>K272/17</f>
        <v/>
      </c>
      <c r="N272" s="156" t="n">
        <v>0</v>
      </c>
      <c r="O272" s="156" t="n">
        <v>0</v>
      </c>
      <c r="P272" s="156" t="n">
        <v>0</v>
      </c>
      <c r="Q272" s="156" t="n">
        <v>0</v>
      </c>
      <c r="R272" s="156" t="n">
        <v>0</v>
      </c>
      <c r="S272" s="156" t="n">
        <v>0</v>
      </c>
      <c r="T272" s="156" t="n">
        <v>0</v>
      </c>
      <c r="U272" s="156" t="n">
        <v>0</v>
      </c>
      <c r="W272" s="156">
        <f>INDEX(Matrix!$AA$2:$AA$33, MATCH(G272, Matrix!$AC$2:$AC$33, 0))</f>
        <v/>
      </c>
      <c r="X272" s="156">
        <f>_xlfn.IFNA(MATCH(E270,'Injury Report'!$C$2:$C$6216,0),0)</f>
        <v/>
      </c>
    </row>
    <row r="273" ht="15.6" customHeight="1" s="152">
      <c r="A273" s="212" t="n">
        <v>270</v>
      </c>
      <c r="B273" s="167">
        <f>F273&amp;G273</f>
        <v/>
      </c>
      <c r="C273" s="156">
        <f>(K273/MAX(K:K)*$K$1)+(L273/MAX(L:L)*$L$1)+(M273/MAX(M:M)*$M$1)+(N273/MAX(N:N)*$N$1)+(T273/MAX(T:T)*$T$1)</f>
        <v/>
      </c>
      <c r="D273" s="156">
        <f>IFERROR(VLOOKUP(B273,#REF!,7,0),"")</f>
        <v/>
      </c>
      <c r="E273" s="156">
        <f>IFERROR(VLOOKUP(F273,AllPlayers!F:F,1,0),"------------")</f>
        <v/>
      </c>
      <c r="F273" s="156" t="inlineStr">
        <is>
          <t>Chris Oladokun</t>
        </is>
      </c>
      <c r="G273" s="156">
        <f>VLOOKUP(F273,AllPlayers!Q:R,2,0)</f>
        <v/>
      </c>
      <c r="H273" s="156" t="inlineStr">
        <is>
          <t>QB</t>
        </is>
      </c>
      <c r="I273" s="156" t="n">
        <v>1</v>
      </c>
      <c r="J273" s="156" t="n">
        <v>1</v>
      </c>
      <c r="K273" s="156" t="n">
        <v>5</v>
      </c>
      <c r="L273" s="281">
        <f>IF(J273=0,0,K273/J273)</f>
        <v/>
      </c>
      <c r="M273" s="281">
        <f>K273/17</f>
        <v/>
      </c>
      <c r="N273" s="156" t="n">
        <v>0</v>
      </c>
      <c r="O273" s="156" t="n">
        <v>0</v>
      </c>
      <c r="P273" s="156" t="n">
        <v>0</v>
      </c>
      <c r="Q273" s="156" t="n">
        <v>0</v>
      </c>
      <c r="R273" s="156" t="n">
        <v>0</v>
      </c>
      <c r="S273" s="156" t="n">
        <v>0</v>
      </c>
      <c r="T273" s="156" t="n">
        <v>1</v>
      </c>
      <c r="U273" s="156" t="n">
        <v>0</v>
      </c>
      <c r="W273" s="156">
        <f>INDEX(Matrix!$AA$2:$AA$33, MATCH(G273, Matrix!$AC$2:$AC$33, 0))</f>
        <v/>
      </c>
      <c r="X273" s="156">
        <f>_xlfn.IFNA(MATCH(E271,'Injury Report'!$C$2:$C$6216,0),0)</f>
        <v/>
      </c>
    </row>
    <row r="274" ht="15.6" customHeight="1" s="152">
      <c r="A274" s="212" t="n">
        <v>271</v>
      </c>
      <c r="B274" s="167">
        <f>F274&amp;G274</f>
        <v/>
      </c>
      <c r="C274" s="156">
        <f>(K274/MAX(K:K)*$K$1)+(L274/MAX(L:L)*$L$1)+(M274/MAX(M:M)*$M$1)+(N274/MAX(N:N)*$N$1)+(T274/MAX(T:T)*$T$1)</f>
        <v/>
      </c>
      <c r="D274" s="156">
        <f>IFERROR(VLOOKUP(B274,#REF!,7,0),"")</f>
        <v/>
      </c>
      <c r="E274" s="156">
        <f>IFERROR(VLOOKUP(F274,AllPlayers!F:F,1,0),"------------")</f>
        <v/>
      </c>
      <c r="F274" s="156" t="inlineStr">
        <is>
          <t>Skylar Thompson</t>
        </is>
      </c>
      <c r="G274" s="156">
        <f>VLOOKUP(F274,AllPlayers!Q:R,2,0)</f>
        <v/>
      </c>
      <c r="H274" s="156" t="inlineStr">
        <is>
          <t>QB</t>
        </is>
      </c>
      <c r="I274" s="156" t="n">
        <v>1</v>
      </c>
      <c r="J274" s="156" t="n">
        <v>1</v>
      </c>
      <c r="K274" s="156" t="n">
        <v>4</v>
      </c>
      <c r="L274" s="281">
        <f>IF(J274=0,0,K274/J274)</f>
        <v/>
      </c>
      <c r="M274" s="281">
        <f>K274/17</f>
        <v/>
      </c>
      <c r="N274" s="156" t="n">
        <v>0</v>
      </c>
      <c r="O274" s="156" t="n">
        <v>0</v>
      </c>
      <c r="P274" s="156" t="n">
        <v>0</v>
      </c>
      <c r="Q274" s="156" t="n">
        <v>0</v>
      </c>
      <c r="R274" s="156" t="n">
        <v>0</v>
      </c>
      <c r="S274" s="156" t="n">
        <v>0</v>
      </c>
      <c r="T274" s="156" t="n">
        <v>0</v>
      </c>
      <c r="U274" s="156" t="n">
        <v>0</v>
      </c>
      <c r="W274" s="156">
        <f>INDEX(Matrix!$AA$2:$AA$33, MATCH(G274, Matrix!$AC$2:$AC$33, 0))</f>
        <v/>
      </c>
      <c r="X274" s="156">
        <f>_xlfn.IFNA(MATCH(E272,'Injury Report'!$C$2:$C$6216,0),0)</f>
        <v/>
      </c>
    </row>
    <row r="275" ht="15.6" customHeight="1" s="152">
      <c r="A275" s="212" t="n">
        <v>272</v>
      </c>
      <c r="B275" s="167">
        <f>F275&amp;G275</f>
        <v/>
      </c>
      <c r="C275" s="156">
        <f>(K275/MAX(K:K)*$K$1)+(L275/MAX(L:L)*$L$1)+(M275/MAX(M:M)*$M$1)+(N275/MAX(N:N)*$N$1)+(T275/MAX(T:T)*$T$1)</f>
        <v/>
      </c>
      <c r="D275" s="156">
        <f>IFERROR(VLOOKUP(B275,#REF!,7,0),"")</f>
        <v/>
      </c>
      <c r="E275" s="156">
        <f>IFERROR(VLOOKUP(F275,AllPlayers!F:F,1,0),"------------")</f>
        <v/>
      </c>
      <c r="F275" s="156" t="inlineStr">
        <is>
          <t>Marquez Valdes-scantling</t>
        </is>
      </c>
      <c r="G275" s="156">
        <f>VLOOKUP(F275,AllPlayers!Q:R,2,0)</f>
        <v/>
      </c>
      <c r="H275" s="156" t="inlineStr">
        <is>
          <t>WR</t>
        </is>
      </c>
      <c r="I275" s="156" t="n">
        <v>1</v>
      </c>
      <c r="J275" s="156" t="n">
        <v>0</v>
      </c>
      <c r="K275" s="156" t="n">
        <v>0</v>
      </c>
      <c r="L275" s="281">
        <f>IF(J275=0,0,K275/J275)</f>
        <v/>
      </c>
      <c r="M275" s="281">
        <f>K275/17</f>
        <v/>
      </c>
      <c r="N275" s="156" t="n">
        <v>0</v>
      </c>
      <c r="O275" s="156" t="n">
        <v>0</v>
      </c>
      <c r="P275" s="156" t="n">
        <v>0</v>
      </c>
      <c r="Q275" s="156" t="n">
        <v>0</v>
      </c>
      <c r="R275" s="156" t="n">
        <v>0</v>
      </c>
      <c r="S275" s="156" t="n">
        <v>0</v>
      </c>
      <c r="T275" s="156" t="n">
        <v>0</v>
      </c>
      <c r="U275" s="156" t="n">
        <v>0</v>
      </c>
      <c r="W275" s="156">
        <f>INDEX(Matrix!$AA$2:$AA$33, MATCH(G275, Matrix!$AC$2:$AC$33, 0))</f>
        <v/>
      </c>
      <c r="X275" s="156">
        <f>_xlfn.IFNA(MATCH(E273,'Injury Report'!$C$2:$C$6216,0),0)</f>
        <v/>
      </c>
    </row>
    <row r="276" ht="15.6" customHeight="1" s="152">
      <c r="A276" s="212" t="n">
        <v>273</v>
      </c>
      <c r="B276" s="167">
        <f>F276&amp;G276</f>
        <v/>
      </c>
      <c r="C276" s="156">
        <f>(K276/MAX(K:K)*$K$1)+(L276/MAX(L:L)*$L$1)+(M276/MAX(M:M)*$M$1)+(N276/MAX(N:N)*$N$1)+(T276/MAX(T:T)*$T$1)</f>
        <v/>
      </c>
      <c r="D276" s="156">
        <f>IFERROR(VLOOKUP(B276,#REF!,7,0),"")</f>
        <v/>
      </c>
      <c r="E276" s="156">
        <f>IFERROR(VLOOKUP(F276,AllPlayers!F:F,1,0),"------------")</f>
        <v/>
      </c>
      <c r="F276" s="156" t="inlineStr">
        <is>
          <t>Khalil Shakir</t>
        </is>
      </c>
      <c r="G276" s="156">
        <f>VLOOKUP(F276,AllPlayers!Q:R,2,0)</f>
        <v/>
      </c>
      <c r="H276" s="156" t="inlineStr">
        <is>
          <t>WR</t>
        </is>
      </c>
      <c r="I276" s="156" t="n">
        <v>2</v>
      </c>
      <c r="J276" s="156" t="n">
        <v>0</v>
      </c>
      <c r="K276" s="156" t="n">
        <v>0</v>
      </c>
      <c r="L276" s="281">
        <f>IF(J276=0,0,K276/J276)</f>
        <v/>
      </c>
      <c r="M276" s="281">
        <f>K276/17</f>
        <v/>
      </c>
      <c r="N276" s="156" t="n">
        <v>0</v>
      </c>
      <c r="O276" s="156" t="n">
        <v>0</v>
      </c>
      <c r="P276" s="156" t="n">
        <v>0</v>
      </c>
      <c r="Q276" s="156" t="n">
        <v>0</v>
      </c>
      <c r="R276" s="156" t="n">
        <v>0</v>
      </c>
      <c r="S276" s="156" t="n">
        <v>0</v>
      </c>
      <c r="T276" s="156" t="n">
        <v>0</v>
      </c>
      <c r="U276" s="156" t="n">
        <v>0</v>
      </c>
      <c r="W276" s="156">
        <f>INDEX(Matrix!$AA$2:$AA$33, MATCH(G276, Matrix!$AC$2:$AC$33, 0))</f>
        <v/>
      </c>
      <c r="X276" s="156">
        <f>_xlfn.IFNA(MATCH(E274,'Injury Report'!$C$2:$C$6216,0),0)</f>
        <v/>
      </c>
    </row>
    <row r="277" ht="15.6" customHeight="1" s="152">
      <c r="A277" s="212" t="n">
        <v>274</v>
      </c>
      <c r="B277" s="167">
        <f>F277&amp;G277</f>
        <v/>
      </c>
      <c r="C277" s="156">
        <f>(K277/MAX(K:K)*$K$1)+(L277/MAX(L:L)*$L$1)+(M277/MAX(M:M)*$M$1)+(N277/MAX(N:N)*$N$1)+(T277/MAX(T:T)*$T$1)</f>
        <v/>
      </c>
      <c r="D277" s="156">
        <f>IFERROR(VLOOKUP(B277,#REF!,7,0),"")</f>
        <v/>
      </c>
      <c r="E277" s="156">
        <f>IFERROR(VLOOKUP(F277,AllPlayers!F:F,1,0),"------------")</f>
        <v/>
      </c>
      <c r="F277" s="156" t="inlineStr">
        <is>
          <t>Brandon Allen</t>
        </is>
      </c>
      <c r="G277" s="156">
        <f>VLOOKUP(F277,AllPlayers!Q:R,2,0)</f>
        <v/>
      </c>
      <c r="H277" s="156" t="inlineStr">
        <is>
          <t>QB</t>
        </is>
      </c>
      <c r="I277" s="156" t="n">
        <v>2</v>
      </c>
      <c r="J277" s="156" t="n">
        <v>3</v>
      </c>
      <c r="K277" s="156" t="n">
        <v>4</v>
      </c>
      <c r="L277" s="281">
        <f>IF(J277=0,0,K277/J277)</f>
        <v/>
      </c>
      <c r="M277" s="281">
        <f>K277/17</f>
        <v/>
      </c>
      <c r="N277" s="156" t="n">
        <v>0</v>
      </c>
      <c r="O277" s="156" t="n">
        <v>0</v>
      </c>
      <c r="P277" s="156" t="n">
        <v>0</v>
      </c>
      <c r="Q277" s="156" t="n">
        <v>0</v>
      </c>
      <c r="R277" s="156" t="n">
        <v>0</v>
      </c>
      <c r="S277" s="156" t="n">
        <v>0</v>
      </c>
      <c r="T277" s="156" t="n">
        <v>2</v>
      </c>
      <c r="U277" s="156" t="n">
        <v>1</v>
      </c>
      <c r="W277" s="156">
        <f>INDEX(Matrix!$AA$2:$AA$33, MATCH(G277, Matrix!$AC$2:$AC$33, 0))</f>
        <v/>
      </c>
      <c r="X277" s="156">
        <f>_xlfn.IFNA(MATCH(E275,'Injury Report'!$C$2:$C$6216,0),0)</f>
        <v/>
      </c>
    </row>
    <row r="278" ht="15.6" customHeight="1" s="152">
      <c r="A278" s="212" t="n">
        <v>275</v>
      </c>
      <c r="B278" s="167">
        <f>F278&amp;G278</f>
        <v/>
      </c>
      <c r="C278" s="156">
        <f>(K278/MAX(K:K)*$K$1)+(L278/MAX(L:L)*$L$1)+(M278/MAX(M:M)*$M$1)+(N278/MAX(N:N)*$N$1)+(T278/MAX(T:T)*$T$1)</f>
        <v/>
      </c>
      <c r="D278" s="156">
        <f>IFERROR(VLOOKUP(B278,#REF!,7,0),"")</f>
        <v/>
      </c>
      <c r="E278" s="156">
        <f>IFERROR(VLOOKUP(F278,AllPlayers!F:F,1,0),"------------")</f>
        <v/>
      </c>
      <c r="F278" s="156" t="inlineStr">
        <is>
          <t>Ke'shawn Vaughn</t>
        </is>
      </c>
      <c r="G278" s="156">
        <f>VLOOKUP(F278,AllPlayers!Q:R,2,0)</f>
        <v/>
      </c>
      <c r="H278" s="156" t="inlineStr">
        <is>
          <t>RB</t>
        </is>
      </c>
      <c r="I278" s="156" t="n">
        <v>1</v>
      </c>
      <c r="J278" s="156" t="n">
        <v>2</v>
      </c>
      <c r="K278" s="156" t="n">
        <v>4</v>
      </c>
      <c r="L278" s="281">
        <f>IF(J278=0,0,K278/J278)</f>
        <v/>
      </c>
      <c r="M278" s="281">
        <f>K278/17</f>
        <v/>
      </c>
      <c r="N278" s="156" t="n">
        <v>0</v>
      </c>
      <c r="O278" s="156" t="n">
        <v>0</v>
      </c>
      <c r="P278" s="156" t="n">
        <v>0</v>
      </c>
      <c r="Q278" s="156" t="n">
        <v>0</v>
      </c>
      <c r="R278" s="156" t="n">
        <v>0</v>
      </c>
      <c r="S278" s="156" t="n">
        <v>0</v>
      </c>
      <c r="T278" s="156" t="n">
        <v>0</v>
      </c>
      <c r="U278" s="156" t="n">
        <v>0</v>
      </c>
      <c r="W278" s="156">
        <f>INDEX(Matrix!$AA$2:$AA$33, MATCH(G278, Matrix!$AC$2:$AC$33, 0))</f>
        <v/>
      </c>
      <c r="X278" s="156">
        <f>_xlfn.IFNA(MATCH(E276,'Injury Report'!$C$2:$C$6216,0),0)</f>
        <v/>
      </c>
    </row>
    <row r="279" ht="15.6" customHeight="1" s="152">
      <c r="A279" s="212" t="n">
        <v>276</v>
      </c>
      <c r="B279" s="167">
        <f>F279&amp;G279</f>
        <v/>
      </c>
      <c r="C279" s="156">
        <f>(K279/MAX(K:K)*$K$1)+(L279/MAX(L:L)*$L$1)+(M279/MAX(M:M)*$M$1)+(N279/MAX(N:N)*$N$1)+(T279/MAX(T:T)*$T$1)</f>
        <v/>
      </c>
      <c r="D279" s="156">
        <f>IFERROR(VLOOKUP(B279,#REF!,7,0),"")</f>
        <v/>
      </c>
      <c r="E279" s="156">
        <f>IFERROR(VLOOKUP(F279,AllPlayers!F:F,1,0),"------------")</f>
        <v/>
      </c>
      <c r="F279" s="156" t="inlineStr">
        <is>
          <t>Tyler Boyd</t>
        </is>
      </c>
      <c r="G279" s="156">
        <f>VLOOKUP(F279,AllPlayers!Q:R,2,0)</f>
        <v/>
      </c>
      <c r="H279" s="156" t="inlineStr">
        <is>
          <t>WR</t>
        </is>
      </c>
      <c r="I279" s="156" t="n">
        <v>1</v>
      </c>
      <c r="J279" s="156" t="n">
        <v>1</v>
      </c>
      <c r="K279" s="156" t="n">
        <v>3</v>
      </c>
      <c r="L279" s="281">
        <f>IF(J279=0,0,K279/J279)</f>
        <v/>
      </c>
      <c r="M279" s="281">
        <f>K279/17</f>
        <v/>
      </c>
      <c r="N279" s="156" t="n">
        <v>0</v>
      </c>
      <c r="O279" s="156" t="n">
        <v>0</v>
      </c>
      <c r="P279" s="156" t="n">
        <v>0</v>
      </c>
      <c r="Q279" s="156" t="n">
        <v>0</v>
      </c>
      <c r="R279" s="156" t="n">
        <v>0</v>
      </c>
      <c r="S279" s="156" t="n">
        <v>0</v>
      </c>
      <c r="T279" s="156" t="n">
        <v>0</v>
      </c>
      <c r="U279" s="156" t="n">
        <v>0</v>
      </c>
      <c r="W279" s="156">
        <f>INDEX(Matrix!$AA$2:$AA$33, MATCH(G279, Matrix!$AC$2:$AC$33, 0))</f>
        <v/>
      </c>
      <c r="X279" s="156">
        <f>_xlfn.IFNA(MATCH(E277,'Injury Report'!$C$2:$C$6216,0),0)</f>
        <v/>
      </c>
    </row>
    <row r="280" ht="15.6" customHeight="1" s="152">
      <c r="A280" s="212" t="n">
        <v>277</v>
      </c>
      <c r="B280" s="167">
        <f>F280&amp;G280</f>
        <v/>
      </c>
      <c r="C280" s="156">
        <f>(K280/MAX(K:K)*$K$1)+(L280/MAX(L:L)*$L$1)+(M280/MAX(M:M)*$M$1)+(N280/MAX(N:N)*$N$1)+(T280/MAX(T:T)*$T$1)</f>
        <v/>
      </c>
      <c r="D280" s="156">
        <f>IFERROR(VLOOKUP(B280,#REF!,7,0),"")</f>
        <v/>
      </c>
      <c r="E280" s="156">
        <f>IFERROR(VLOOKUP(F280,AllPlayers!F:F,1,0),"------------")</f>
        <v/>
      </c>
      <c r="F280" s="156" t="inlineStr">
        <is>
          <t>Darrynton Evans</t>
        </is>
      </c>
      <c r="G280" s="156">
        <f>VLOOKUP(F280,AllPlayers!Q:R,2,0)</f>
        <v/>
      </c>
      <c r="H280" s="156" t="inlineStr">
        <is>
          <t>RB</t>
        </is>
      </c>
      <c r="I280" s="156" t="n">
        <v>1</v>
      </c>
      <c r="J280" s="156" t="n">
        <v>3</v>
      </c>
      <c r="K280" s="156" t="n">
        <v>3</v>
      </c>
      <c r="L280" s="281">
        <f>IF(J280=0,0,K280/J280)</f>
        <v/>
      </c>
      <c r="M280" s="281">
        <f>K280/17</f>
        <v/>
      </c>
      <c r="N280" s="156" t="n">
        <v>0</v>
      </c>
      <c r="O280" s="156" t="n">
        <v>0</v>
      </c>
      <c r="P280" s="156" t="n">
        <v>0</v>
      </c>
      <c r="Q280" s="156" t="n">
        <v>0</v>
      </c>
      <c r="R280" s="156" t="n">
        <v>0</v>
      </c>
      <c r="S280" s="156" t="n">
        <v>0</v>
      </c>
      <c r="T280" s="156" t="n">
        <v>0</v>
      </c>
      <c r="U280" s="156" t="n">
        <v>0</v>
      </c>
      <c r="W280" s="156">
        <f>INDEX(Matrix!$AA$2:$AA$33, MATCH(G280, Matrix!$AC$2:$AC$33, 0))</f>
        <v/>
      </c>
      <c r="X280" s="156">
        <f>_xlfn.IFNA(MATCH(E278,'Injury Report'!$C$2:$C$6216,0),0)</f>
        <v/>
      </c>
    </row>
    <row r="281" ht="15.6" customHeight="1" s="152">
      <c r="A281" s="212" t="n">
        <v>278</v>
      </c>
      <c r="B281" s="167">
        <f>F281&amp;G281</f>
        <v/>
      </c>
      <c r="C281" s="156">
        <f>(K281/MAX(K:K)*$K$1)+(L281/MAX(L:L)*$L$1)+(M281/MAX(M:M)*$M$1)+(N281/MAX(N:N)*$N$1)+(T281/MAX(T:T)*$T$1)</f>
        <v/>
      </c>
      <c r="D281" s="156">
        <f>IFERROR(VLOOKUP(B281,#REF!,7,0),"")</f>
        <v/>
      </c>
      <c r="E281" s="156">
        <f>IFERROR(VLOOKUP(F281,AllPlayers!F:F,1,0),"------------")</f>
        <v/>
      </c>
      <c r="F281" s="156" t="inlineStr">
        <is>
          <t>Devin Duvernay</t>
        </is>
      </c>
      <c r="G281" s="156">
        <f>VLOOKUP(F281,AllPlayers!Q:R,2,0)</f>
        <v/>
      </c>
      <c r="H281" s="156" t="inlineStr">
        <is>
          <t>WR</t>
        </is>
      </c>
      <c r="I281" s="156" t="n">
        <v>2</v>
      </c>
      <c r="J281" s="156" t="n">
        <v>0</v>
      </c>
      <c r="K281" s="156" t="n">
        <v>0</v>
      </c>
      <c r="L281" s="281">
        <f>IF(J281=0,0,K281/J281)</f>
        <v/>
      </c>
      <c r="M281" s="281">
        <f>K281/17</f>
        <v/>
      </c>
      <c r="N281" s="156" t="n">
        <v>0</v>
      </c>
      <c r="O281" s="156" t="n">
        <v>0</v>
      </c>
      <c r="P281" s="156" t="n">
        <v>0</v>
      </c>
      <c r="Q281" s="156" t="n">
        <v>0</v>
      </c>
      <c r="R281" s="156" t="n">
        <v>0</v>
      </c>
      <c r="S281" s="156" t="n">
        <v>0</v>
      </c>
      <c r="T281" s="156" t="n">
        <v>0</v>
      </c>
      <c r="U281" s="156" t="n">
        <v>0</v>
      </c>
      <c r="W281" s="156">
        <f>INDEX(Matrix!$AA$2:$AA$33, MATCH(G281, Matrix!$AC$2:$AC$33, 0))</f>
        <v/>
      </c>
      <c r="X281" s="156">
        <f>_xlfn.IFNA(MATCH(E279,'Injury Report'!$C$2:$C$6216,0),0)</f>
        <v/>
      </c>
    </row>
    <row r="282" ht="15.6" customHeight="1" s="152">
      <c r="A282" s="212" t="n">
        <v>279</v>
      </c>
      <c r="B282" s="167">
        <f>F282&amp;G282</f>
        <v/>
      </c>
      <c r="C282" s="156">
        <f>(K282/MAX(K:K)*$K$1)+(L282/MAX(L:L)*$L$1)+(M282/MAX(M:M)*$M$1)+(N282/MAX(N:N)*$N$1)+(T282/MAX(T:T)*$T$1)</f>
        <v/>
      </c>
      <c r="D282" s="156">
        <f>IFERROR(VLOOKUP(B282,#REF!,7,0),"")</f>
        <v/>
      </c>
      <c r="E282" s="156">
        <f>IFERROR(VLOOKUP(F282,AllPlayers!F:F,1,0),"------------")</f>
        <v/>
      </c>
      <c r="F282" s="156" t="inlineStr">
        <is>
          <t>Justin Jefferson</t>
        </is>
      </c>
      <c r="G282" s="156">
        <f>VLOOKUP(F282,AllPlayers!Q:R,2,0)</f>
        <v/>
      </c>
      <c r="H282" s="156" t="inlineStr">
        <is>
          <t>WR</t>
        </is>
      </c>
      <c r="I282" s="156" t="n">
        <v>2</v>
      </c>
      <c r="J282" s="156" t="n">
        <v>1</v>
      </c>
      <c r="K282" s="156" t="n">
        <v>4</v>
      </c>
      <c r="L282" s="281">
        <f>IF(J282=0,0,K282/J282)</f>
        <v/>
      </c>
      <c r="M282" s="281">
        <f>K282/17</f>
        <v/>
      </c>
      <c r="N282" s="156" t="n">
        <v>0</v>
      </c>
      <c r="O282" s="156" t="n">
        <v>0</v>
      </c>
      <c r="P282" s="156" t="n">
        <v>0</v>
      </c>
      <c r="Q282" s="156" t="n">
        <v>0</v>
      </c>
      <c r="R282" s="156" t="n">
        <v>0</v>
      </c>
      <c r="S282" s="156" t="n">
        <v>0</v>
      </c>
      <c r="T282" s="156" t="n">
        <v>0</v>
      </c>
      <c r="U282" s="156" t="n">
        <v>0</v>
      </c>
      <c r="W282" s="156">
        <f>INDEX(Matrix!$AA$2:$AA$33, MATCH(G282, Matrix!$AC$2:$AC$33, 0))</f>
        <v/>
      </c>
      <c r="X282" s="156">
        <f>_xlfn.IFNA(MATCH(E280,'Injury Report'!$C$2:$C$6216,0),0)</f>
        <v/>
      </c>
    </row>
    <row r="283" ht="15.6" customHeight="1" s="152">
      <c r="A283" s="212" t="n">
        <v>280</v>
      </c>
      <c r="B283" s="167">
        <f>F283&amp;G283</f>
        <v/>
      </c>
      <c r="C283" s="156">
        <f>(K283/MAX(K:K)*$K$1)+(L283/MAX(L:L)*$L$1)+(M283/MAX(M:M)*$M$1)+(N283/MAX(N:N)*$N$1)+(T283/MAX(T:T)*$T$1)</f>
        <v/>
      </c>
      <c r="D283" s="156">
        <f>IFERROR(VLOOKUP(B283,#REF!,7,0),"")</f>
        <v/>
      </c>
      <c r="E283" s="156">
        <f>IFERROR(VLOOKUP(F283,AllPlayers!F:F,1,0),"------------")</f>
        <v/>
      </c>
      <c r="F283" s="156" t="inlineStr">
        <is>
          <t>Cody Schrader</t>
        </is>
      </c>
      <c r="G283" s="156">
        <f>VLOOKUP(F283,AllPlayers!Q:R,2,0)</f>
        <v/>
      </c>
      <c r="H283" s="156" t="inlineStr">
        <is>
          <t>RB</t>
        </is>
      </c>
      <c r="I283" s="156" t="n">
        <v>1</v>
      </c>
      <c r="J283" s="156" t="n">
        <v>1</v>
      </c>
      <c r="K283" s="156" t="n">
        <v>3</v>
      </c>
      <c r="L283" s="281">
        <f>IF(J283=0,0,K283/J283)</f>
        <v/>
      </c>
      <c r="M283" s="281">
        <f>K283/17</f>
        <v/>
      </c>
      <c r="N283" s="156" t="n">
        <v>0</v>
      </c>
      <c r="O283" s="156" t="n">
        <v>0</v>
      </c>
      <c r="P283" s="156" t="n">
        <v>0</v>
      </c>
      <c r="Q283" s="156" t="n">
        <v>0</v>
      </c>
      <c r="R283" s="156" t="n">
        <v>0</v>
      </c>
      <c r="S283" s="156" t="n">
        <v>0</v>
      </c>
      <c r="T283" s="156" t="n">
        <v>0</v>
      </c>
      <c r="U283" s="156" t="n">
        <v>0</v>
      </c>
      <c r="W283" s="156">
        <f>INDEX(Matrix!$AA$2:$AA$33, MATCH(G283, Matrix!$AC$2:$AC$33, 0))</f>
        <v/>
      </c>
      <c r="X283" s="156">
        <f>_xlfn.IFNA(MATCH(E281,'Injury Report'!$C$2:$C$6216,0),0)</f>
        <v/>
      </c>
    </row>
    <row r="284" ht="15.6" customHeight="1" s="152">
      <c r="A284" s="212" t="n">
        <v>281</v>
      </c>
      <c r="B284" s="167">
        <f>F284&amp;G284</f>
        <v/>
      </c>
      <c r="C284" s="156">
        <f>(K284/MAX(K:K)*$K$1)+(L284/MAX(L:L)*$L$1)+(M284/MAX(M:M)*$M$1)+(N284/MAX(N:N)*$N$1)+(T284/MAX(T:T)*$T$1)</f>
        <v/>
      </c>
      <c r="D284" s="156">
        <f>IFERROR(VLOOKUP(B284,#REF!,7,0),"")</f>
        <v/>
      </c>
      <c r="E284" s="156">
        <f>IFERROR(VLOOKUP(F284,AllPlayers!F:F,1,0),"------------")</f>
        <v/>
      </c>
      <c r="F284" s="156" t="inlineStr">
        <is>
          <t>Dell Pettus</t>
        </is>
      </c>
      <c r="G284" s="156">
        <f>VLOOKUP(F284,AllPlayers!Q:R,2,0)</f>
        <v/>
      </c>
      <c r="H284" s="156" t="inlineStr">
        <is>
          <t>S</t>
        </is>
      </c>
      <c r="I284" s="156" t="n">
        <v>2</v>
      </c>
      <c r="J284" s="156" t="n">
        <v>0</v>
      </c>
      <c r="K284" s="156" t="n">
        <v>0</v>
      </c>
      <c r="L284" s="281">
        <f>IF(J284=0,0,K284/J284)</f>
        <v/>
      </c>
      <c r="M284" s="281">
        <f>K284/17</f>
        <v/>
      </c>
      <c r="N284" s="156" t="n">
        <v>0</v>
      </c>
      <c r="O284" s="156" t="n">
        <v>0</v>
      </c>
      <c r="P284" s="156" t="n">
        <v>0</v>
      </c>
      <c r="Q284" s="156" t="n">
        <v>0</v>
      </c>
      <c r="R284" s="156" t="n">
        <v>0</v>
      </c>
      <c r="S284" s="156" t="n">
        <v>0</v>
      </c>
      <c r="T284" s="156" t="n">
        <v>0</v>
      </c>
      <c r="U284" s="156" t="n">
        <v>0</v>
      </c>
      <c r="W284" s="156">
        <f>INDEX(Matrix!$AA$2:$AA$33, MATCH(G284, Matrix!$AC$2:$AC$33, 0))</f>
        <v/>
      </c>
      <c r="X284" s="156">
        <f>_xlfn.IFNA(MATCH(E282,'Injury Report'!$C$2:$C$6216,0),0)</f>
        <v/>
      </c>
    </row>
    <row r="285" ht="15.6" customHeight="1" s="152">
      <c r="A285" s="212" t="n">
        <v>282</v>
      </c>
      <c r="B285" s="167">
        <f>F285&amp;G285</f>
        <v/>
      </c>
      <c r="C285" s="156">
        <f>(K285/MAX(K:K)*$K$1)+(L285/MAX(L:L)*$L$1)+(M285/MAX(M:M)*$M$1)+(N285/MAX(N:N)*$N$1)+(T285/MAX(T:T)*$T$1)</f>
        <v/>
      </c>
      <c r="D285" s="156">
        <f>IFERROR(VLOOKUP(B285,#REF!,7,0),"")</f>
        <v/>
      </c>
      <c r="E285" s="156">
        <f>IFERROR(VLOOKUP(F285,AllPlayers!F:F,1,0),"------------")</f>
        <v/>
      </c>
      <c r="F285" s="156" t="inlineStr">
        <is>
          <t>Malik Nabers</t>
        </is>
      </c>
      <c r="G285" s="156">
        <f>VLOOKUP(F285,AllPlayers!Q:R,2,0)</f>
        <v/>
      </c>
      <c r="H285" s="156" t="inlineStr">
        <is>
          <t>WR</t>
        </is>
      </c>
      <c r="I285" s="156" t="n">
        <v>2</v>
      </c>
      <c r="J285" s="156" t="n">
        <v>0</v>
      </c>
      <c r="K285" s="156" t="n">
        <v>0</v>
      </c>
      <c r="L285" s="281">
        <f>IF(J285=0,0,K285/J285)</f>
        <v/>
      </c>
      <c r="M285" s="281">
        <f>K285/17</f>
        <v/>
      </c>
      <c r="N285" s="156" t="n">
        <v>0</v>
      </c>
      <c r="O285" s="156" t="n">
        <v>0</v>
      </c>
      <c r="P285" s="156" t="n">
        <v>0</v>
      </c>
      <c r="Q285" s="156" t="n">
        <v>0</v>
      </c>
      <c r="R285" s="156" t="n">
        <v>0</v>
      </c>
      <c r="S285" s="156" t="n">
        <v>0</v>
      </c>
      <c r="T285" s="156" t="n">
        <v>0</v>
      </c>
      <c r="U285" s="156" t="n">
        <v>0</v>
      </c>
      <c r="W285" s="156">
        <f>INDEX(Matrix!$AA$2:$AA$33, MATCH(G285, Matrix!$AC$2:$AC$33, 0))</f>
        <v/>
      </c>
      <c r="X285" s="156">
        <f>_xlfn.IFNA(MATCH(E283,'Injury Report'!$C$2:$C$6216,0),0)</f>
        <v/>
      </c>
    </row>
    <row r="286" ht="15.6" customHeight="1" s="152">
      <c r="A286" s="212" t="n">
        <v>283</v>
      </c>
      <c r="B286" s="167">
        <f>F286&amp;G286</f>
        <v/>
      </c>
      <c r="C286" s="156">
        <f>(K286/MAX(K:K)*$K$1)+(L286/MAX(L:L)*$L$1)+(M286/MAX(M:M)*$M$1)+(N286/MAX(N:N)*$N$1)+(T286/MAX(T:T)*$T$1)</f>
        <v/>
      </c>
      <c r="D286" s="156">
        <f>IFERROR(VLOOKUP(B286,#REF!,7,0),"")</f>
        <v/>
      </c>
      <c r="E286" s="156">
        <f>IFERROR(VLOOKUP(F286,AllPlayers!F:F,1,0),"------------")</f>
        <v/>
      </c>
      <c r="F286" s="156" t="inlineStr">
        <is>
          <t>British Brooks</t>
        </is>
      </c>
      <c r="G286" s="156">
        <f>VLOOKUP(F286,AllPlayers!Q:R,2,0)</f>
        <v/>
      </c>
      <c r="H286" s="156" t="inlineStr">
        <is>
          <t>RB</t>
        </is>
      </c>
      <c r="I286" s="156" t="n">
        <v>1</v>
      </c>
      <c r="J286" s="156" t="n">
        <v>1</v>
      </c>
      <c r="K286" s="156" t="n">
        <v>2</v>
      </c>
      <c r="L286" s="281">
        <f>IF(J286=0,0,K286/J286)</f>
        <v/>
      </c>
      <c r="M286" s="281">
        <f>K286/17</f>
        <v/>
      </c>
      <c r="N286" s="156" t="n">
        <v>0</v>
      </c>
      <c r="O286" s="156" t="n">
        <v>0</v>
      </c>
      <c r="P286" s="156" t="n">
        <v>0</v>
      </c>
      <c r="Q286" s="156" t="n">
        <v>0</v>
      </c>
      <c r="R286" s="156" t="n">
        <v>0</v>
      </c>
      <c r="S286" s="156" t="n">
        <v>0</v>
      </c>
      <c r="T286" s="156" t="n">
        <v>0</v>
      </c>
      <c r="U286" s="156" t="n">
        <v>0</v>
      </c>
      <c r="W286" s="156">
        <f>INDEX(Matrix!$AA$2:$AA$33, MATCH(G286, Matrix!$AC$2:$AC$33, 0))</f>
        <v/>
      </c>
      <c r="X286" s="156">
        <f>_xlfn.IFNA(MATCH(E284,'Injury Report'!$C$2:$C$6216,0),0)</f>
        <v/>
      </c>
    </row>
    <row r="287" ht="15.6" customHeight="1" s="152">
      <c r="A287" s="212" t="n">
        <v>284</v>
      </c>
      <c r="B287" s="167">
        <f>F287&amp;G287</f>
        <v/>
      </c>
      <c r="C287" s="156">
        <f>(K287/MAX(K:K)*$K$1)+(L287/MAX(L:L)*$L$1)+(M287/MAX(M:M)*$M$1)+(N287/MAX(N:N)*$N$1)+(T287/MAX(T:T)*$T$1)</f>
        <v/>
      </c>
      <c r="D287" s="156">
        <f>IFERROR(VLOOKUP(B287,#REF!,7,0),"")</f>
        <v/>
      </c>
      <c r="E287" s="156">
        <f>IFERROR(VLOOKUP(F287,AllPlayers!F:F,1,0),"------------")</f>
        <v/>
      </c>
      <c r="F287" s="156" t="inlineStr">
        <is>
          <t>Hendon Hooker</t>
        </is>
      </c>
      <c r="G287" s="156">
        <f>VLOOKUP(F287,AllPlayers!Q:R,2,0)</f>
        <v/>
      </c>
      <c r="H287" s="156" t="inlineStr">
        <is>
          <t>QB</t>
        </is>
      </c>
      <c r="I287" s="156" t="n">
        <v>2</v>
      </c>
      <c r="J287" s="156" t="n">
        <v>5</v>
      </c>
      <c r="K287" s="156" t="n">
        <v>2</v>
      </c>
      <c r="L287" s="281">
        <f>IF(J287=0,0,K287/J287)</f>
        <v/>
      </c>
      <c r="M287" s="281">
        <f>K287/17</f>
        <v/>
      </c>
      <c r="N287" s="156" t="n">
        <v>0</v>
      </c>
      <c r="O287" s="156" t="n">
        <v>0</v>
      </c>
      <c r="P287" s="156" t="n">
        <v>0</v>
      </c>
      <c r="Q287" s="156" t="n">
        <v>0</v>
      </c>
      <c r="R287" s="156" t="n">
        <v>0</v>
      </c>
      <c r="S287" s="156" t="n">
        <v>0</v>
      </c>
      <c r="T287" s="156" t="n">
        <v>0</v>
      </c>
      <c r="U287" s="156" t="n">
        <v>0</v>
      </c>
      <c r="W287" s="156">
        <f>INDEX(Matrix!$AA$2:$AA$33, MATCH(G287, Matrix!$AC$2:$AC$33, 0))</f>
        <v/>
      </c>
      <c r="X287" s="156">
        <f>_xlfn.IFNA(MATCH(E285,'Injury Report'!$C$2:$C$6216,0),0)</f>
        <v/>
      </c>
    </row>
    <row r="288" ht="15.6" customHeight="1" s="152">
      <c r="A288" s="212" t="n">
        <v>285</v>
      </c>
      <c r="B288" s="167">
        <f>F288&amp;G288</f>
        <v/>
      </c>
      <c r="C288" s="156">
        <f>(K288/MAX(K:K)*$K$1)+(L288/MAX(L:L)*$L$1)+(M288/MAX(M:M)*$M$1)+(N288/MAX(N:N)*$N$1)+(T288/MAX(T:T)*$T$1)</f>
        <v/>
      </c>
      <c r="D288" s="156">
        <f>IFERROR(VLOOKUP(B288,#REF!,7,0),"")</f>
        <v/>
      </c>
      <c r="E288" s="156">
        <f>IFERROR(VLOOKUP(F288,AllPlayers!F:F,1,0),"------------")</f>
        <v/>
      </c>
      <c r="F288" s="156" t="inlineStr">
        <is>
          <t>Bailey Zappe</t>
        </is>
      </c>
      <c r="G288" s="156">
        <f>VLOOKUP(F288,AllPlayers!Q:R,2,0)</f>
        <v/>
      </c>
      <c r="H288" s="156" t="inlineStr">
        <is>
          <t>QB</t>
        </is>
      </c>
      <c r="I288" s="156" t="n">
        <v>1</v>
      </c>
      <c r="J288" s="156" t="n">
        <v>2</v>
      </c>
      <c r="K288" s="156" t="n">
        <v>2</v>
      </c>
      <c r="L288" s="281">
        <f>IF(J288=0,0,K288/J288)</f>
        <v/>
      </c>
      <c r="M288" s="281">
        <f>K288/17</f>
        <v/>
      </c>
      <c r="N288" s="156" t="n">
        <v>0</v>
      </c>
      <c r="O288" s="156" t="n">
        <v>0</v>
      </c>
      <c r="P288" s="156" t="n">
        <v>0</v>
      </c>
      <c r="Q288" s="156" t="n">
        <v>0</v>
      </c>
      <c r="R288" s="156" t="n">
        <v>0</v>
      </c>
      <c r="S288" s="156" t="n">
        <v>0</v>
      </c>
      <c r="T288" s="156" t="n">
        <v>0</v>
      </c>
      <c r="U288" s="156" t="n">
        <v>0</v>
      </c>
      <c r="W288" s="156">
        <f>INDEX(Matrix!$AA$2:$AA$33, MATCH(G288, Matrix!$AC$2:$AC$33, 0))</f>
        <v/>
      </c>
      <c r="X288" s="156">
        <f>_xlfn.IFNA(MATCH(E286,'Injury Report'!$C$2:$C$6216,0),0)</f>
        <v/>
      </c>
    </row>
    <row r="289" ht="15.6" customHeight="1" s="152">
      <c r="A289" s="212" t="n">
        <v>286</v>
      </c>
      <c r="B289" s="167">
        <f>F289&amp;G289</f>
        <v/>
      </c>
      <c r="C289" s="156">
        <f>(K289/MAX(K:K)*$K$1)+(L289/MAX(L:L)*$L$1)+(M289/MAX(M:M)*$M$1)+(N289/MAX(N:N)*$N$1)+(T289/MAX(T:T)*$T$1)</f>
        <v/>
      </c>
      <c r="D289" s="156">
        <f>IFERROR(VLOOKUP(B289,#REF!,7,0),"")</f>
        <v/>
      </c>
      <c r="E289" s="156">
        <f>IFERROR(VLOOKUP(F289,AllPlayers!F:F,1,0),"------------")</f>
        <v/>
      </c>
      <c r="F289" s="156" t="inlineStr">
        <is>
          <t>Charlie Kolar</t>
        </is>
      </c>
      <c r="G289" s="156">
        <f>VLOOKUP(F289,AllPlayers!Q:R,2,0)</f>
        <v/>
      </c>
      <c r="H289" s="156" t="inlineStr">
        <is>
          <t>TE</t>
        </is>
      </c>
      <c r="I289" s="156" t="n">
        <v>1</v>
      </c>
      <c r="J289" s="156" t="n">
        <v>1</v>
      </c>
      <c r="K289" s="156" t="n">
        <v>2</v>
      </c>
      <c r="L289" s="281">
        <f>IF(J289=0,0,K289/J289)</f>
        <v/>
      </c>
      <c r="M289" s="281">
        <f>K289/17</f>
        <v/>
      </c>
      <c r="N289" s="156" t="n">
        <v>0</v>
      </c>
      <c r="O289" s="156" t="n">
        <v>0</v>
      </c>
      <c r="P289" s="156" t="n">
        <v>0</v>
      </c>
      <c r="Q289" s="156" t="n">
        <v>0</v>
      </c>
      <c r="R289" s="156" t="n">
        <v>0</v>
      </c>
      <c r="S289" s="156" t="n">
        <v>0</v>
      </c>
      <c r="T289" s="156" t="n">
        <v>0</v>
      </c>
      <c r="U289" s="156" t="n">
        <v>0</v>
      </c>
      <c r="W289" s="156">
        <f>INDEX(Matrix!$AA$2:$AA$33, MATCH(G289, Matrix!$AC$2:$AC$33, 0))</f>
        <v/>
      </c>
      <c r="X289" s="156">
        <f>_xlfn.IFNA(MATCH(E287,'Injury Report'!$C$2:$C$6216,0),0)</f>
        <v/>
      </c>
    </row>
    <row r="290" ht="15.6" customHeight="1" s="152">
      <c r="A290" s="212" t="n">
        <v>287</v>
      </c>
      <c r="B290" s="167">
        <f>F290&amp;G290</f>
        <v/>
      </c>
      <c r="C290" s="156">
        <f>(K290/MAX(K:K)*$K$1)+(L290/MAX(L:L)*$L$1)+(M290/MAX(M:M)*$M$1)+(N290/MAX(N:N)*$N$1)+(T290/MAX(T:T)*$T$1)</f>
        <v/>
      </c>
      <c r="D290" s="156">
        <f>IFERROR(VLOOKUP(B290,#REF!,7,0),"")</f>
        <v/>
      </c>
      <c r="E290" s="156">
        <f>IFERROR(VLOOKUP(F290,AllPlayers!F:F,1,0),"------------")</f>
        <v/>
      </c>
      <c r="F290" s="156" t="inlineStr">
        <is>
          <t>Trey Mcbride</t>
        </is>
      </c>
      <c r="G290" s="156">
        <f>VLOOKUP(F290,AllPlayers!Q:R,2,0)</f>
        <v/>
      </c>
      <c r="H290" s="156" t="inlineStr">
        <is>
          <t>TE</t>
        </is>
      </c>
      <c r="I290" s="156" t="n">
        <v>2</v>
      </c>
      <c r="J290" s="156" t="n">
        <v>0</v>
      </c>
      <c r="K290" s="156" t="n">
        <v>0</v>
      </c>
      <c r="L290" s="281">
        <f>IF(J290=0,0,K290/J290)</f>
        <v/>
      </c>
      <c r="M290" s="281">
        <f>K290/17</f>
        <v/>
      </c>
      <c r="N290" s="156" t="n">
        <v>0</v>
      </c>
      <c r="O290" s="156" t="n">
        <v>0</v>
      </c>
      <c r="P290" s="156" t="n">
        <v>0</v>
      </c>
      <c r="Q290" s="156" t="n">
        <v>0</v>
      </c>
      <c r="R290" s="156" t="n">
        <v>0</v>
      </c>
      <c r="S290" s="156" t="n">
        <v>0</v>
      </c>
      <c r="T290" s="156" t="n">
        <v>0</v>
      </c>
      <c r="U290" s="156" t="n">
        <v>0</v>
      </c>
      <c r="W290" s="156">
        <f>INDEX(Matrix!$AA$2:$AA$33, MATCH(G290, Matrix!$AC$2:$AC$33, 0))</f>
        <v/>
      </c>
      <c r="X290" s="156">
        <f>_xlfn.IFNA(MATCH(E288,'Injury Report'!$C$2:$C$6216,0),0)</f>
        <v/>
      </c>
    </row>
    <row r="291" ht="15.6" customHeight="1" s="152">
      <c r="A291" s="212" t="n">
        <v>288</v>
      </c>
      <c r="B291" s="167">
        <f>F291&amp;G291</f>
        <v/>
      </c>
      <c r="C291" s="156">
        <f>(K291/MAX(K:K)*$K$1)+(L291/MAX(L:L)*$L$1)+(M291/MAX(M:M)*$M$1)+(N291/MAX(N:N)*$N$1)+(T291/MAX(T:T)*$T$1)</f>
        <v/>
      </c>
      <c r="D291" s="156">
        <f>IFERROR(VLOOKUP(B291,#REF!,7,0),"")</f>
        <v/>
      </c>
      <c r="E291" s="156">
        <f>IFERROR(VLOOKUP(F291,AllPlayers!F:F,1,0),"------------")</f>
        <v/>
      </c>
      <c r="F291" s="156" t="inlineStr">
        <is>
          <t>Joshua Kelley</t>
        </is>
      </c>
      <c r="G291" s="156">
        <f>VLOOKUP(F291,AllPlayers!Q:R,2,0)</f>
        <v/>
      </c>
      <c r="H291" s="156" t="inlineStr">
        <is>
          <t>RB</t>
        </is>
      </c>
      <c r="I291" s="156" t="n">
        <v>1</v>
      </c>
      <c r="J291" s="156" t="n">
        <v>1</v>
      </c>
      <c r="K291" s="156" t="n">
        <v>2</v>
      </c>
      <c r="L291" s="281">
        <f>IF(J291=0,0,K291/J291)</f>
        <v/>
      </c>
      <c r="M291" s="281">
        <f>K291/17</f>
        <v/>
      </c>
      <c r="N291" s="156" t="n">
        <v>0</v>
      </c>
      <c r="O291" s="156" t="n">
        <v>0</v>
      </c>
      <c r="P291" s="156" t="n">
        <v>0</v>
      </c>
      <c r="Q291" s="156" t="n">
        <v>0</v>
      </c>
      <c r="R291" s="156" t="n">
        <v>0</v>
      </c>
      <c r="S291" s="156" t="n">
        <v>0</v>
      </c>
      <c r="T291" s="156" t="n">
        <v>0</v>
      </c>
      <c r="U291" s="156" t="n">
        <v>0</v>
      </c>
      <c r="W291" s="156">
        <f>INDEX(Matrix!$AA$2:$AA$33, MATCH(G291, Matrix!$AC$2:$AC$33, 0))</f>
        <v/>
      </c>
      <c r="X291" s="156">
        <f>_xlfn.IFNA(MATCH(E289,'Injury Report'!$C$2:$C$6216,0),0)</f>
        <v/>
      </c>
    </row>
    <row r="292" ht="15.6" customHeight="1" s="152">
      <c r="A292" s="212" t="n">
        <v>289</v>
      </c>
      <c r="B292" s="167">
        <f>F292&amp;G292</f>
        <v/>
      </c>
      <c r="C292" s="156">
        <f>(K292/MAX(K:K)*$K$1)+(L292/MAX(L:L)*$L$1)+(M292/MAX(M:M)*$M$1)+(N292/MAX(N:N)*$N$1)+(T292/MAX(T:T)*$T$1)</f>
        <v/>
      </c>
      <c r="D292" s="156">
        <f>IFERROR(VLOOKUP(B292,#REF!,7,0),"")</f>
        <v/>
      </c>
      <c r="E292" s="156">
        <f>IFERROR(VLOOKUP(F292,AllPlayers!F:F,1,0),"------------")</f>
        <v/>
      </c>
      <c r="F292" s="156" t="inlineStr">
        <is>
          <t>Chris Godwin</t>
        </is>
      </c>
      <c r="G292" s="156">
        <f>VLOOKUP(F292,AllPlayers!Q:R,2,0)</f>
        <v/>
      </c>
      <c r="H292" s="156" t="inlineStr">
        <is>
          <t>WR</t>
        </is>
      </c>
      <c r="I292" s="156" t="n">
        <v>1</v>
      </c>
      <c r="J292" s="156" t="n">
        <v>1</v>
      </c>
      <c r="K292" s="156" t="n">
        <v>2</v>
      </c>
      <c r="L292" s="281">
        <f>IF(J292=0,0,K292/J292)</f>
        <v/>
      </c>
      <c r="M292" s="281">
        <f>K292/17</f>
        <v/>
      </c>
      <c r="N292" s="156" t="n">
        <v>0</v>
      </c>
      <c r="O292" s="156" t="n">
        <v>0</v>
      </c>
      <c r="P292" s="156" t="n">
        <v>0</v>
      </c>
      <c r="Q292" s="156" t="n">
        <v>0</v>
      </c>
      <c r="R292" s="156" t="n">
        <v>0</v>
      </c>
      <c r="S292" s="156" t="n">
        <v>0</v>
      </c>
      <c r="T292" s="156" t="n">
        <v>1</v>
      </c>
      <c r="U292" s="156" t="n">
        <v>0</v>
      </c>
      <c r="W292" s="156">
        <f>INDEX(Matrix!$AA$2:$AA$33, MATCH(G292, Matrix!$AC$2:$AC$33, 0))</f>
        <v/>
      </c>
      <c r="X292" s="156">
        <f>_xlfn.IFNA(MATCH(E290,'Injury Report'!$C$2:$C$6216,0),0)</f>
        <v/>
      </c>
    </row>
    <row r="293" ht="15.6" customHeight="1" s="152">
      <c r="A293" s="212" t="n">
        <v>290</v>
      </c>
      <c r="B293" s="167">
        <f>F293&amp;G293</f>
        <v/>
      </c>
      <c r="C293" s="156">
        <f>(K293/MAX(K:K)*$K$1)+(L293/MAX(L:L)*$L$1)+(M293/MAX(M:M)*$M$1)+(N293/MAX(N:N)*$N$1)+(T293/MAX(T:T)*$T$1)</f>
        <v/>
      </c>
      <c r="D293" s="156">
        <f>IFERROR(VLOOKUP(B293,#REF!,7,0),"")</f>
        <v/>
      </c>
      <c r="E293" s="156">
        <f>IFERROR(VLOOKUP(F293,AllPlayers!F:F,1,0),"------------")</f>
        <v/>
      </c>
      <c r="F293" s="156" t="inlineStr">
        <is>
          <t>Julian Love</t>
        </is>
      </c>
      <c r="G293" s="156">
        <f>VLOOKUP(F293,AllPlayers!Q:R,2,0)</f>
        <v/>
      </c>
      <c r="H293" s="156" t="inlineStr">
        <is>
          <t>S</t>
        </is>
      </c>
      <c r="I293" s="156" t="n">
        <v>2</v>
      </c>
      <c r="J293" s="156" t="n">
        <v>0</v>
      </c>
      <c r="K293" s="156" t="n">
        <v>0</v>
      </c>
      <c r="L293" s="281">
        <f>IF(J293=0,0,K293/J293)</f>
        <v/>
      </c>
      <c r="M293" s="281">
        <f>K293/17</f>
        <v/>
      </c>
      <c r="N293" s="156" t="n">
        <v>0</v>
      </c>
      <c r="O293" s="156" t="n">
        <v>0</v>
      </c>
      <c r="P293" s="156" t="n">
        <v>0</v>
      </c>
      <c r="Q293" s="156" t="n">
        <v>0</v>
      </c>
      <c r="R293" s="156" t="n">
        <v>0</v>
      </c>
      <c r="S293" s="156" t="n">
        <v>0</v>
      </c>
      <c r="T293" s="156" t="n">
        <v>0</v>
      </c>
      <c r="U293" s="156" t="n">
        <v>0</v>
      </c>
      <c r="W293" s="156">
        <f>INDEX(Matrix!$AA$2:$AA$33, MATCH(G293, Matrix!$AC$2:$AC$33, 0))</f>
        <v/>
      </c>
      <c r="X293" s="156">
        <f>_xlfn.IFNA(MATCH(E291,'Injury Report'!$C$2:$C$6216,0),0)</f>
        <v/>
      </c>
    </row>
    <row r="294" ht="15.6" customHeight="1" s="152">
      <c r="A294" s="212" t="n">
        <v>291</v>
      </c>
      <c r="B294" s="167">
        <f>F294&amp;G294</f>
        <v/>
      </c>
      <c r="C294" s="156">
        <f>(K294/MAX(K:K)*$K$1)+(L294/MAX(L:L)*$L$1)+(M294/MAX(M:M)*$M$1)+(N294/MAX(N:N)*$N$1)+(T294/MAX(T:T)*$T$1)</f>
        <v/>
      </c>
      <c r="D294" s="156">
        <f>IFERROR(VLOOKUP(B294,#REF!,7,0),"")</f>
        <v/>
      </c>
      <c r="E294" s="156">
        <f>IFERROR(VLOOKUP(F294,AllPlayers!F:F,1,0),"------------")</f>
        <v/>
      </c>
      <c r="F294" s="156" t="inlineStr">
        <is>
          <t>Sam Howell</t>
        </is>
      </c>
      <c r="G294" s="156">
        <f>VLOOKUP(F294,AllPlayers!Q:R,2,0)</f>
        <v/>
      </c>
      <c r="H294" s="156" t="inlineStr">
        <is>
          <t>QB</t>
        </is>
      </c>
      <c r="I294" s="156" t="n">
        <v>1</v>
      </c>
      <c r="J294" s="156" t="n">
        <v>1</v>
      </c>
      <c r="K294" s="156" t="n">
        <v>2</v>
      </c>
      <c r="L294" s="281">
        <f>IF(J294=0,0,K294/J294)</f>
        <v/>
      </c>
      <c r="M294" s="281">
        <f>K294/17</f>
        <v/>
      </c>
      <c r="N294" s="156" t="n">
        <v>0</v>
      </c>
      <c r="O294" s="156" t="n">
        <v>0</v>
      </c>
      <c r="P294" s="156" t="n">
        <v>0</v>
      </c>
      <c r="Q294" s="156" t="n">
        <v>0</v>
      </c>
      <c r="R294" s="156" t="n">
        <v>0</v>
      </c>
      <c r="S294" s="156" t="n">
        <v>0</v>
      </c>
      <c r="T294" s="156" t="n">
        <v>0</v>
      </c>
      <c r="U294" s="156" t="n">
        <v>0</v>
      </c>
      <c r="W294" s="156">
        <f>INDEX(Matrix!$AA$2:$AA$33, MATCH(G294, Matrix!$AC$2:$AC$33, 0))</f>
        <v/>
      </c>
      <c r="X294" s="156">
        <f>_xlfn.IFNA(MATCH(E292,'Injury Report'!$C$2:$C$6216,0),0)</f>
        <v/>
      </c>
    </row>
    <row r="295" ht="15.6" customHeight="1" s="152">
      <c r="A295" s="212" t="n">
        <v>292</v>
      </c>
      <c r="B295" s="167">
        <f>F295&amp;G295</f>
        <v/>
      </c>
      <c r="C295" s="156">
        <f>(K295/MAX(K:K)*$K$1)+(L295/MAX(L:L)*$L$1)+(M295/MAX(M:M)*$M$1)+(N295/MAX(N:N)*$N$1)+(T295/MAX(T:T)*$T$1)</f>
        <v/>
      </c>
      <c r="D295" s="156">
        <f>IFERROR(VLOOKUP(B295,#REF!,7,0),"")</f>
        <v/>
      </c>
      <c r="E295" s="156">
        <f>IFERROR(VLOOKUP(F295,AllPlayers!F:F,1,0),"------------")</f>
        <v/>
      </c>
      <c r="F295" s="156" t="inlineStr">
        <is>
          <t>Terry Mclaurin</t>
        </is>
      </c>
      <c r="G295" s="156">
        <f>VLOOKUP(F295,AllPlayers!Q:R,2,0)</f>
        <v/>
      </c>
      <c r="H295" s="156" t="inlineStr">
        <is>
          <t>WR</t>
        </is>
      </c>
      <c r="I295" s="156" t="n">
        <v>2</v>
      </c>
      <c r="J295" s="156" t="n">
        <v>0</v>
      </c>
      <c r="K295" s="156" t="n">
        <v>0</v>
      </c>
      <c r="L295" s="281">
        <f>IF(J295=0,0,K295/J295)</f>
        <v/>
      </c>
      <c r="M295" s="281">
        <f>K295/17</f>
        <v/>
      </c>
      <c r="N295" s="156" t="n">
        <v>0</v>
      </c>
      <c r="O295" s="156" t="n">
        <v>0</v>
      </c>
      <c r="P295" s="156" t="n">
        <v>0</v>
      </c>
      <c r="Q295" s="156" t="n">
        <v>0</v>
      </c>
      <c r="R295" s="156" t="n">
        <v>0</v>
      </c>
      <c r="S295" s="156" t="n">
        <v>0</v>
      </c>
      <c r="T295" s="156" t="n">
        <v>0</v>
      </c>
      <c r="U295" s="156" t="n">
        <v>0</v>
      </c>
      <c r="W295" s="156">
        <f>INDEX(Matrix!$AA$2:$AA$33, MATCH(G295, Matrix!$AC$2:$AC$33, 0))</f>
        <v/>
      </c>
      <c r="X295" s="156">
        <f>_xlfn.IFNA(MATCH(E293,'Injury Report'!$C$2:$C$6216,0),0)</f>
        <v/>
      </c>
    </row>
    <row r="296" ht="15.6" customHeight="1" s="152">
      <c r="A296" s="212" t="n">
        <v>293</v>
      </c>
      <c r="B296" s="167">
        <f>F296&amp;G296</f>
        <v/>
      </c>
      <c r="C296" s="156">
        <f>(K296/MAX(K:K)*$K$1)+(L296/MAX(L:L)*$L$1)+(M296/MAX(M:M)*$M$1)+(N296/MAX(N:N)*$N$1)+(T296/MAX(T:T)*$T$1)</f>
        <v/>
      </c>
      <c r="D296" s="156">
        <f>IFERROR(VLOOKUP(B296,#REF!,7,0),"")</f>
        <v/>
      </c>
      <c r="E296" s="156">
        <f>IFERROR(VLOOKUP(F296,AllPlayers!F:F,1,0),"------------")</f>
        <v/>
      </c>
      <c r="F296" s="156" t="inlineStr">
        <is>
          <t>Laviska Shenault</t>
        </is>
      </c>
      <c r="G296" s="156">
        <f>VLOOKUP(F296,AllPlayers!Q:R,2,0)</f>
        <v/>
      </c>
      <c r="H296" s="156" t="inlineStr">
        <is>
          <t>WR</t>
        </is>
      </c>
      <c r="I296" s="156" t="n">
        <v>1</v>
      </c>
      <c r="J296" s="156" t="n">
        <v>1</v>
      </c>
      <c r="K296" s="156" t="n">
        <v>1</v>
      </c>
      <c r="L296" s="281">
        <f>IF(J296=0,0,K296/J296)</f>
        <v/>
      </c>
      <c r="M296" s="281">
        <f>K296/17</f>
        <v/>
      </c>
      <c r="N296" s="156" t="n">
        <v>0</v>
      </c>
      <c r="O296" s="156" t="n">
        <v>0</v>
      </c>
      <c r="P296" s="156" t="n">
        <v>0</v>
      </c>
      <c r="Q296" s="156" t="n">
        <v>0</v>
      </c>
      <c r="R296" s="156" t="n">
        <v>0</v>
      </c>
      <c r="S296" s="156" t="n">
        <v>0</v>
      </c>
      <c r="T296" s="156" t="n">
        <v>0</v>
      </c>
      <c r="U296" s="156" t="n">
        <v>0</v>
      </c>
      <c r="W296" s="156">
        <f>INDEX(Matrix!$AA$2:$AA$33, MATCH(G296, Matrix!$AC$2:$AC$33, 0))</f>
        <v/>
      </c>
      <c r="X296" s="156">
        <f>_xlfn.IFNA(MATCH(E294,'Injury Report'!$C$2:$C$6216,0),0)</f>
        <v/>
      </c>
    </row>
    <row r="297" ht="15.6" customHeight="1" s="152">
      <c r="A297" s="212" t="n">
        <v>294</v>
      </c>
      <c r="B297" s="167">
        <f>F297&amp;G297</f>
        <v/>
      </c>
      <c r="C297" s="156">
        <f>(K297/MAX(K:K)*$K$1)+(L297/MAX(L:L)*$L$1)+(M297/MAX(M:M)*$M$1)+(N297/MAX(N:N)*$N$1)+(T297/MAX(T:T)*$T$1)</f>
        <v/>
      </c>
      <c r="D297" s="156">
        <f>IFERROR(VLOOKUP(B297,#REF!,7,0),"")</f>
        <v/>
      </c>
      <c r="E297" s="156">
        <f>IFERROR(VLOOKUP(F297,AllPlayers!F:F,1,0),"------------")</f>
        <v/>
      </c>
      <c r="F297" s="156" t="inlineStr">
        <is>
          <t>Treylon Burks</t>
        </is>
      </c>
      <c r="G297" s="156">
        <f>VLOOKUP(F297,AllPlayers!Q:R,2,0)</f>
        <v/>
      </c>
      <c r="H297" s="156" t="inlineStr">
        <is>
          <t>WR</t>
        </is>
      </c>
      <c r="I297" s="156" t="n">
        <v>1</v>
      </c>
      <c r="J297" s="156" t="n">
        <v>2</v>
      </c>
      <c r="K297" s="156" t="n">
        <v>1</v>
      </c>
      <c r="L297" s="281">
        <f>IF(J297=0,0,K297/J297)</f>
        <v/>
      </c>
      <c r="M297" s="281">
        <f>K297/17</f>
        <v/>
      </c>
      <c r="N297" s="156" t="n">
        <v>0</v>
      </c>
      <c r="O297" s="156" t="n">
        <v>0</v>
      </c>
      <c r="P297" s="156" t="n">
        <v>0</v>
      </c>
      <c r="Q297" s="156" t="n">
        <v>0</v>
      </c>
      <c r="R297" s="156" t="n">
        <v>0</v>
      </c>
      <c r="S297" s="156" t="n">
        <v>0</v>
      </c>
      <c r="T297" s="156" t="n">
        <v>0</v>
      </c>
      <c r="U297" s="156" t="n">
        <v>0</v>
      </c>
      <c r="W297" s="156">
        <f>INDEX(Matrix!$AA$2:$AA$33, MATCH(G297, Matrix!$AC$2:$AC$33, 0))</f>
        <v/>
      </c>
      <c r="X297" s="156">
        <f>_xlfn.IFNA(MATCH(E295,'Injury Report'!$C$2:$C$6216,0),0)</f>
        <v/>
      </c>
    </row>
    <row r="298" ht="15.6" customHeight="1" s="152">
      <c r="A298" s="212" t="n">
        <v>295</v>
      </c>
      <c r="B298" s="167">
        <f>F298&amp;G298</f>
        <v/>
      </c>
      <c r="C298" s="156">
        <f>(K298/MAX(K:K)*$K$1)+(L298/MAX(L:L)*$L$1)+(M298/MAX(M:M)*$M$1)+(N298/MAX(N:N)*$N$1)+(T298/MAX(T:T)*$T$1)</f>
        <v/>
      </c>
      <c r="D298" s="156">
        <f>IFERROR(VLOOKUP(B298,#REF!,7,0),"")</f>
        <v/>
      </c>
      <c r="E298" s="156">
        <f>IFERROR(VLOOKUP(F298,AllPlayers!F:F,1,0),"------------")</f>
        <v/>
      </c>
      <c r="F298" s="156" t="inlineStr">
        <is>
          <t>Josh Johnson</t>
        </is>
      </c>
      <c r="G298" s="156">
        <f>VLOOKUP(F298,AllPlayers!Q:R,2,0)</f>
        <v/>
      </c>
      <c r="H298" s="156" t="inlineStr">
        <is>
          <t>QB</t>
        </is>
      </c>
      <c r="I298" s="156" t="n">
        <v>2</v>
      </c>
      <c r="J298" s="156" t="n">
        <v>4</v>
      </c>
      <c r="K298" s="156" t="n">
        <v>1</v>
      </c>
      <c r="L298" s="281">
        <f>IF(J298=0,0,K298/J298)</f>
        <v/>
      </c>
      <c r="M298" s="281">
        <f>K298/17</f>
        <v/>
      </c>
      <c r="N298" s="156" t="n">
        <v>0</v>
      </c>
      <c r="O298" s="156" t="n">
        <v>0</v>
      </c>
      <c r="P298" s="156" t="n">
        <v>0</v>
      </c>
      <c r="Q298" s="156" t="n">
        <v>0</v>
      </c>
      <c r="R298" s="156" t="n">
        <v>0</v>
      </c>
      <c r="S298" s="156" t="n">
        <v>0</v>
      </c>
      <c r="T298" s="156" t="n">
        <v>0</v>
      </c>
      <c r="U298" s="156" t="n">
        <v>0</v>
      </c>
      <c r="W298" s="156">
        <f>INDEX(Matrix!$AA$2:$AA$33, MATCH(G298, Matrix!$AC$2:$AC$33, 0))</f>
        <v/>
      </c>
      <c r="X298" s="156">
        <f>_xlfn.IFNA(MATCH(E296,'Injury Report'!$C$2:$C$6216,0),0)</f>
        <v/>
      </c>
    </row>
    <row r="299" ht="15.6" customHeight="1" s="152">
      <c r="A299" s="212" t="n">
        <v>296</v>
      </c>
      <c r="B299" s="167">
        <f>F299&amp;G299</f>
        <v/>
      </c>
      <c r="C299" s="156">
        <f>(K299/MAX(K:K)*$K$1)+(L299/MAX(L:L)*$L$1)+(M299/MAX(M:M)*$M$1)+(N299/MAX(N:N)*$N$1)+(T299/MAX(T:T)*$T$1)</f>
        <v/>
      </c>
      <c r="D299" s="156">
        <f>IFERROR(VLOOKUP(B299,#REF!,7,0),"")</f>
        <v/>
      </c>
      <c r="E299" s="156">
        <f>IFERROR(VLOOKUP(F299,AllPlayers!F:F,1,0),"------------")</f>
        <v/>
      </c>
      <c r="F299" s="156" t="inlineStr">
        <is>
          <t>Mitchell Trubisky</t>
        </is>
      </c>
      <c r="G299" s="156">
        <f>VLOOKUP(F299,AllPlayers!Q:R,2,0)</f>
        <v/>
      </c>
      <c r="H299" s="156" t="inlineStr">
        <is>
          <t>QB</t>
        </is>
      </c>
      <c r="I299" s="156" t="n">
        <v>1</v>
      </c>
      <c r="J299" s="156" t="n">
        <v>3</v>
      </c>
      <c r="K299" s="156" t="n">
        <v>-3</v>
      </c>
      <c r="L299" s="281">
        <f>IF(J299=0,0,K299/J299)</f>
        <v/>
      </c>
      <c r="M299" s="281">
        <f>K299/17</f>
        <v/>
      </c>
      <c r="N299" s="156" t="n">
        <v>0</v>
      </c>
      <c r="O299" s="156" t="n">
        <v>0</v>
      </c>
      <c r="P299" s="156" t="n">
        <v>0</v>
      </c>
      <c r="Q299" s="156" t="n">
        <v>0</v>
      </c>
      <c r="R299" s="156" t="n">
        <v>0</v>
      </c>
      <c r="S299" s="156" t="n">
        <v>0</v>
      </c>
      <c r="T299" s="156" t="n">
        <v>0</v>
      </c>
      <c r="U299" s="156" t="n">
        <v>0</v>
      </c>
      <c r="W299" s="156">
        <f>INDEX(Matrix!$AA$2:$AA$33, MATCH(G299, Matrix!$AC$2:$AC$33, 0))</f>
        <v/>
      </c>
      <c r="X299" s="156">
        <f>_xlfn.IFNA(MATCH(E297,'Injury Report'!$C$2:$C$6216,0),0)</f>
        <v/>
      </c>
    </row>
    <row r="300" ht="15.6" customHeight="1" s="152">
      <c r="A300" s="212" t="n">
        <v>297</v>
      </c>
      <c r="B300" s="167">
        <f>F300&amp;G300</f>
        <v/>
      </c>
      <c r="C300" s="156">
        <f>(K300/MAX(K:K)*$K$1)+(L300/MAX(L:L)*$L$1)+(M300/MAX(M:M)*$M$1)+(N300/MAX(N:N)*$N$1)+(T300/MAX(T:T)*$T$1)</f>
        <v/>
      </c>
      <c r="D300" s="156">
        <f>IFERROR(VLOOKUP(B300,#REF!,7,0),"")</f>
        <v/>
      </c>
      <c r="E300" s="156">
        <f>IFERROR(VLOOKUP(F300,AllPlayers!F:F,1,0),"------------")</f>
        <v/>
      </c>
      <c r="F300" s="156" t="inlineStr">
        <is>
          <t>Tanner Hudson</t>
        </is>
      </c>
      <c r="G300" s="156">
        <f>VLOOKUP(F300,AllPlayers!Q:R,2,0)</f>
        <v/>
      </c>
      <c r="H300" s="156" t="inlineStr">
        <is>
          <t>TE</t>
        </is>
      </c>
      <c r="I300" s="156" t="n">
        <v>1</v>
      </c>
      <c r="J300" s="156" t="n">
        <v>1</v>
      </c>
      <c r="K300" s="156" t="n">
        <v>1</v>
      </c>
      <c r="L300" s="281">
        <f>IF(J300=0,0,K300/J300)</f>
        <v/>
      </c>
      <c r="M300" s="281">
        <f>K300/17</f>
        <v/>
      </c>
      <c r="N300" s="156" t="n">
        <v>0</v>
      </c>
      <c r="O300" s="156" t="n">
        <v>0</v>
      </c>
      <c r="P300" s="156" t="n">
        <v>0</v>
      </c>
      <c r="Q300" s="156" t="n">
        <v>0</v>
      </c>
      <c r="R300" s="156" t="n">
        <v>0</v>
      </c>
      <c r="S300" s="156" t="n">
        <v>0</v>
      </c>
      <c r="T300" s="156" t="n">
        <v>0</v>
      </c>
      <c r="U300" s="156" t="n">
        <v>0</v>
      </c>
      <c r="W300" s="156">
        <f>INDEX(Matrix!$AA$2:$AA$33, MATCH(G300, Matrix!$AC$2:$AC$33, 0))</f>
        <v/>
      </c>
      <c r="X300" s="156">
        <f>_xlfn.IFNA(MATCH(E298,'Injury Report'!$C$2:$C$6216,0),0)</f>
        <v/>
      </c>
    </row>
    <row r="301" ht="15.6" customHeight="1" s="152">
      <c r="A301" s="212" t="n">
        <v>298</v>
      </c>
      <c r="B301" s="167">
        <f>F301&amp;G301</f>
        <v/>
      </c>
      <c r="C301" s="156">
        <f>(K301/MAX(K:K)*$K$1)+(L301/MAX(L:L)*$L$1)+(M301/MAX(M:M)*$M$1)+(N301/MAX(N:N)*$N$1)+(T301/MAX(T:T)*$T$1)</f>
        <v/>
      </c>
      <c r="D301" s="156">
        <f>IFERROR(VLOOKUP(B301,#REF!,7,0),"")</f>
        <v/>
      </c>
      <c r="E301" s="156">
        <f>IFERROR(VLOOKUP(F301,AllPlayers!F:F,1,0),"------------")</f>
        <v/>
      </c>
      <c r="F301" s="156" t="inlineStr">
        <is>
          <t>Elijah Moore</t>
        </is>
      </c>
      <c r="G301" s="156">
        <f>VLOOKUP(F301,AllPlayers!Q:R,2,0)</f>
        <v/>
      </c>
      <c r="H301" s="156" t="inlineStr">
        <is>
          <t>WR</t>
        </is>
      </c>
      <c r="I301" s="156" t="n">
        <v>2</v>
      </c>
      <c r="J301" s="156" t="n">
        <v>3</v>
      </c>
      <c r="K301" s="156" t="n">
        <v>14</v>
      </c>
      <c r="L301" s="281">
        <f>IF(J301=0,0,K301/J301)</f>
        <v/>
      </c>
      <c r="M301" s="281">
        <f>K301/17</f>
        <v/>
      </c>
      <c r="N301" s="156" t="n">
        <v>1</v>
      </c>
      <c r="O301" s="156" t="n">
        <v>0</v>
      </c>
      <c r="P301" s="156" t="n">
        <v>0</v>
      </c>
      <c r="Q301" s="156" t="n">
        <v>0</v>
      </c>
      <c r="R301" s="156" t="n">
        <v>0</v>
      </c>
      <c r="S301" s="156" t="n">
        <v>0</v>
      </c>
      <c r="T301" s="156" t="n">
        <v>0</v>
      </c>
      <c r="U301" s="156" t="n">
        <v>0</v>
      </c>
      <c r="W301" s="156">
        <f>INDEX(Matrix!$AA$2:$AA$33, MATCH(G301, Matrix!$AC$2:$AC$33, 0))</f>
        <v/>
      </c>
      <c r="X301" s="156">
        <f>_xlfn.IFNA(MATCH(E299,'Injury Report'!$C$2:$C$6216,0),0)</f>
        <v/>
      </c>
    </row>
    <row r="302" ht="15.6" customHeight="1" s="152">
      <c r="A302" s="212" t="n">
        <v>299</v>
      </c>
      <c r="B302" s="167">
        <f>F302&amp;G302</f>
        <v/>
      </c>
      <c r="C302" s="156">
        <f>(K302/MAX(K:K)*$K$1)+(L302/MAX(L:L)*$L$1)+(M302/MAX(M:M)*$M$1)+(N302/MAX(N:N)*$N$1)+(T302/MAX(T:T)*$T$1)</f>
        <v/>
      </c>
      <c r="D302" s="156">
        <f>IFERROR(VLOOKUP(B302,#REF!,7,0),"")</f>
        <v/>
      </c>
      <c r="E302" s="156">
        <f>IFERROR(VLOOKUP(F302,AllPlayers!F:F,1,0),"------------")</f>
        <v/>
      </c>
      <c r="F302" s="156" t="inlineStr">
        <is>
          <t>Jalen Reeves-maybin</t>
        </is>
      </c>
      <c r="G302" s="156">
        <f>VLOOKUP(F302,AllPlayers!Q:R,2,0)</f>
        <v/>
      </c>
      <c r="H302" s="156" t="inlineStr">
        <is>
          <t>LB</t>
        </is>
      </c>
      <c r="I302" s="156" t="n">
        <v>1</v>
      </c>
      <c r="J302" s="156" t="n">
        <v>1</v>
      </c>
      <c r="K302" s="156" t="n">
        <v>1</v>
      </c>
      <c r="L302" s="281">
        <f>IF(J302=0,0,K302/J302)</f>
        <v/>
      </c>
      <c r="M302" s="281">
        <f>K302/17</f>
        <v/>
      </c>
      <c r="N302" s="156" t="n">
        <v>0</v>
      </c>
      <c r="O302" s="156" t="n">
        <v>0</v>
      </c>
      <c r="P302" s="156" t="n">
        <v>0</v>
      </c>
      <c r="Q302" s="156" t="n">
        <v>0</v>
      </c>
      <c r="R302" s="156" t="n">
        <v>0</v>
      </c>
      <c r="S302" s="156" t="n">
        <v>0</v>
      </c>
      <c r="T302" s="156" t="n">
        <v>0</v>
      </c>
      <c r="U302" s="156" t="n">
        <v>0</v>
      </c>
      <c r="W302" s="156">
        <f>INDEX(Matrix!$AA$2:$AA$33, MATCH(G302, Matrix!$AC$2:$AC$33, 0))</f>
        <v/>
      </c>
      <c r="X302" s="156">
        <f>_xlfn.IFNA(MATCH(E300,'Injury Report'!$C$2:$C$6216,0),0)</f>
        <v/>
      </c>
    </row>
    <row r="303" ht="15.6" customHeight="1" s="152">
      <c r="A303" s="212" t="n">
        <v>300</v>
      </c>
      <c r="B303" s="167">
        <f>F303&amp;G303</f>
        <v/>
      </c>
      <c r="C303" s="156">
        <f>(K303/MAX(K:K)*$K$1)+(L303/MAX(L:L)*$L$1)+(M303/MAX(M:M)*$M$1)+(N303/MAX(N:N)*$N$1)+(T303/MAX(T:T)*$T$1)</f>
        <v/>
      </c>
      <c r="D303" s="156">
        <f>IFERROR(VLOOKUP(B303,#REF!,7,0),"")</f>
        <v/>
      </c>
      <c r="E303" s="156">
        <f>IFERROR(VLOOKUP(F303,AllPlayers!F:F,1,0),"------------")</f>
        <v/>
      </c>
      <c r="F303" s="156" t="inlineStr">
        <is>
          <t>Devonta Smith</t>
        </is>
      </c>
      <c r="G303" s="156">
        <f>VLOOKUP(F303,AllPlayers!Q:R,2,0)</f>
        <v/>
      </c>
      <c r="H303" s="156" t="inlineStr">
        <is>
          <t>WR</t>
        </is>
      </c>
      <c r="I303" s="156" t="n">
        <v>2</v>
      </c>
      <c r="J303" s="156" t="n">
        <v>0</v>
      </c>
      <c r="K303" s="156" t="n">
        <v>0</v>
      </c>
      <c r="L303" s="281">
        <f>IF(J303=0,0,K303/J303)</f>
        <v/>
      </c>
      <c r="M303" s="281">
        <f>K303/17</f>
        <v/>
      </c>
      <c r="N303" s="156" t="n">
        <v>0</v>
      </c>
      <c r="O303" s="156" t="n">
        <v>0</v>
      </c>
      <c r="P303" s="156" t="n">
        <v>0</v>
      </c>
      <c r="Q303" s="156" t="n">
        <v>0</v>
      </c>
      <c r="R303" s="156" t="n">
        <v>0</v>
      </c>
      <c r="S303" s="156" t="n">
        <v>0</v>
      </c>
      <c r="T303" s="156" t="n">
        <v>0</v>
      </c>
      <c r="U303" s="156" t="n">
        <v>0</v>
      </c>
      <c r="W303" s="156">
        <f>INDEX(Matrix!$AA$2:$AA$33, MATCH(G303, Matrix!$AC$2:$AC$33, 0))</f>
        <v/>
      </c>
      <c r="X303" s="156">
        <f>_xlfn.IFNA(MATCH(E301,'Injury Report'!$C$2:$C$6216,0),0)</f>
        <v/>
      </c>
    </row>
    <row r="304" ht="15.6" customHeight="1" s="152">
      <c r="A304" s="212" t="n">
        <v>301</v>
      </c>
      <c r="B304" s="167">
        <f>F304&amp;G304</f>
        <v/>
      </c>
      <c r="C304" s="156">
        <f>(K304/MAX(K:K)*$K$1)+(L304/MAX(L:L)*$L$1)+(M304/MAX(M:M)*$M$1)+(N304/MAX(N:N)*$N$1)+(T304/MAX(T:T)*$T$1)</f>
        <v/>
      </c>
      <c r="D304" s="156">
        <f>IFERROR(VLOOKUP(B304,#REF!,7,0),"")</f>
        <v/>
      </c>
      <c r="E304" s="156">
        <f>IFERROR(VLOOKUP(F304,AllPlayers!F:F,1,0),"------------")</f>
        <v/>
      </c>
      <c r="F304" s="156" t="inlineStr">
        <is>
          <t>Rashee Rice</t>
        </is>
      </c>
      <c r="G304" s="156">
        <f>VLOOKUP(F304,AllPlayers!Q:R,2,0)</f>
        <v/>
      </c>
      <c r="H304" s="156" t="inlineStr">
        <is>
          <t>WR</t>
        </is>
      </c>
      <c r="I304" s="156" t="n">
        <v>1</v>
      </c>
      <c r="J304" s="156" t="n">
        <v>1</v>
      </c>
      <c r="K304" s="156" t="n">
        <v>1</v>
      </c>
      <c r="L304" s="281">
        <f>IF(J304=0,0,K304/J304)</f>
        <v/>
      </c>
      <c r="M304" s="281">
        <f>K304/17</f>
        <v/>
      </c>
      <c r="N304" s="156" t="n">
        <v>0</v>
      </c>
      <c r="O304" s="156" t="n">
        <v>0</v>
      </c>
      <c r="P304" s="156" t="n">
        <v>0</v>
      </c>
      <c r="Q304" s="156" t="n">
        <v>0</v>
      </c>
      <c r="R304" s="156" t="n">
        <v>0</v>
      </c>
      <c r="S304" s="156" t="n">
        <v>0</v>
      </c>
      <c r="T304" s="156" t="n">
        <v>0</v>
      </c>
      <c r="U304" s="156" t="n">
        <v>0</v>
      </c>
      <c r="W304" s="156">
        <f>INDEX(Matrix!$AA$2:$AA$33, MATCH(G304, Matrix!$AC$2:$AC$33, 0))</f>
        <v/>
      </c>
      <c r="X304" s="156">
        <f>_xlfn.IFNA(MATCH(E302,'Injury Report'!$C$2:$C$6216,0),0)</f>
        <v/>
      </c>
    </row>
    <row r="305" ht="15.6" customHeight="1" s="152">
      <c r="A305" s="212" t="n">
        <v>302</v>
      </c>
      <c r="B305" s="167">
        <f>F305&amp;G305</f>
        <v/>
      </c>
      <c r="C305" s="156">
        <f>(K305/MAX(K:K)*$K$1)+(L305/MAX(L:L)*$L$1)+(M305/MAX(M:M)*$M$1)+(N305/MAX(N:N)*$N$1)+(T305/MAX(T:T)*$T$1)</f>
        <v/>
      </c>
      <c r="D305" s="156">
        <f>IFERROR(VLOOKUP(B305,#REF!,7,0),"")</f>
        <v/>
      </c>
      <c r="E305" s="156">
        <f>IFERROR(VLOOKUP(F305,AllPlayers!F:F,1,0),"------------")</f>
        <v/>
      </c>
      <c r="F305" s="156" t="inlineStr">
        <is>
          <t>Jaden Hicks</t>
        </is>
      </c>
      <c r="G305" s="156">
        <f>VLOOKUP(F305,AllPlayers!Q:R,2,0)</f>
        <v/>
      </c>
      <c r="H305" s="156" t="inlineStr">
        <is>
          <t>S</t>
        </is>
      </c>
      <c r="I305" s="156" t="n">
        <v>2</v>
      </c>
      <c r="J305" s="156" t="n">
        <v>0</v>
      </c>
      <c r="K305" s="156" t="n">
        <v>0</v>
      </c>
      <c r="L305" s="281">
        <f>IF(J305=0,0,K305/J305)</f>
        <v/>
      </c>
      <c r="M305" s="281">
        <f>K305/17</f>
        <v/>
      </c>
      <c r="N305" s="156" t="n">
        <v>0</v>
      </c>
      <c r="O305" s="156" t="n">
        <v>0</v>
      </c>
      <c r="P305" s="156" t="n">
        <v>0</v>
      </c>
      <c r="Q305" s="156" t="n">
        <v>0</v>
      </c>
      <c r="R305" s="156" t="n">
        <v>0</v>
      </c>
      <c r="S305" s="156" t="n">
        <v>0</v>
      </c>
      <c r="T305" s="156" t="n">
        <v>0</v>
      </c>
      <c r="U305" s="156" t="n">
        <v>0</v>
      </c>
      <c r="W305" s="156">
        <f>INDEX(Matrix!$AA$2:$AA$33, MATCH(G305, Matrix!$AC$2:$AC$33, 0))</f>
        <v/>
      </c>
      <c r="X305" s="156">
        <f>_xlfn.IFNA(MATCH(E303,'Injury Report'!$C$2:$C$6216,0),0)</f>
        <v/>
      </c>
    </row>
    <row r="306" ht="15.6" customHeight="1" s="152">
      <c r="A306" s="212" t="n">
        <v>303</v>
      </c>
      <c r="B306" s="167">
        <f>F306&amp;G306</f>
        <v/>
      </c>
      <c r="C306" s="156">
        <f>(K306/MAX(K:K)*$K$1)+(L306/MAX(L:L)*$L$1)+(M306/MAX(M:M)*$M$1)+(N306/MAX(N:N)*$N$1)+(T306/MAX(T:T)*$T$1)</f>
        <v/>
      </c>
      <c r="D306" s="156">
        <f>IFERROR(VLOOKUP(B306,#REF!,7,0),"")</f>
        <v/>
      </c>
      <c r="E306" s="156">
        <f>IFERROR(VLOOKUP(F306,AllPlayers!F:F,1,0),"------------")</f>
        <v/>
      </c>
      <c r="F306" s="156" t="inlineStr">
        <is>
          <t>Travis Kelce</t>
        </is>
      </c>
      <c r="G306" s="156">
        <f>VLOOKUP(F306,AllPlayers!Q:R,2,0)</f>
        <v/>
      </c>
      <c r="H306" s="156" t="inlineStr">
        <is>
          <t>TE</t>
        </is>
      </c>
      <c r="I306" s="156" t="n">
        <v>2</v>
      </c>
      <c r="J306" s="156" t="n">
        <v>0</v>
      </c>
      <c r="K306" s="156" t="n">
        <v>0</v>
      </c>
      <c r="L306" s="281">
        <f>IF(J306=0,0,K306/J306)</f>
        <v/>
      </c>
      <c r="M306" s="281">
        <f>K306/17</f>
        <v/>
      </c>
      <c r="N306" s="156" t="n">
        <v>0</v>
      </c>
      <c r="O306" s="156" t="n">
        <v>0</v>
      </c>
      <c r="P306" s="156" t="n">
        <v>0</v>
      </c>
      <c r="Q306" s="156" t="n">
        <v>0</v>
      </c>
      <c r="R306" s="156" t="n">
        <v>0</v>
      </c>
      <c r="S306" s="156" t="n">
        <v>0</v>
      </c>
      <c r="T306" s="156" t="n">
        <v>0</v>
      </c>
      <c r="U306" s="156" t="n">
        <v>0</v>
      </c>
      <c r="W306" s="156">
        <f>INDEX(Matrix!$AA$2:$AA$33, MATCH(G306, Matrix!$AC$2:$AC$33, 0))</f>
        <v/>
      </c>
      <c r="X306" s="156">
        <f>_xlfn.IFNA(MATCH(E304,'Injury Report'!$C$2:$C$6216,0),0)</f>
        <v/>
      </c>
    </row>
    <row r="307" ht="15.6" customHeight="1" s="152">
      <c r="A307" s="212" t="n">
        <v>304</v>
      </c>
      <c r="B307" s="167">
        <f>F307&amp;G307</f>
        <v/>
      </c>
      <c r="C307" s="156">
        <f>(K307/MAX(K:K)*$K$1)+(L307/MAX(L:L)*$L$1)+(M307/MAX(M:M)*$M$1)+(N307/MAX(N:N)*$N$1)+(T307/MAX(T:T)*$T$1)</f>
        <v/>
      </c>
      <c r="D307" s="156">
        <f>IFERROR(VLOOKUP(B307,#REF!,7,0),"")</f>
        <v/>
      </c>
      <c r="E307" s="156">
        <f>IFERROR(VLOOKUP(F307,AllPlayers!F:F,1,0),"------------")</f>
        <v/>
      </c>
      <c r="F307" s="156" t="inlineStr">
        <is>
          <t>Carson Wentz</t>
        </is>
      </c>
      <c r="G307" s="156">
        <f>VLOOKUP(F307,AllPlayers!Q:R,2,0)</f>
        <v/>
      </c>
      <c r="H307" s="156" t="inlineStr">
        <is>
          <t>QB</t>
        </is>
      </c>
      <c r="I307" s="156" t="n">
        <v>1</v>
      </c>
      <c r="J307" s="156" t="n">
        <v>3</v>
      </c>
      <c r="K307" s="156" t="n">
        <v>0</v>
      </c>
      <c r="L307" s="281">
        <f>IF(J307=0,0,K307/J307)</f>
        <v/>
      </c>
      <c r="M307" s="281">
        <f>K307/17</f>
        <v/>
      </c>
      <c r="N307" s="156" t="n">
        <v>0</v>
      </c>
      <c r="O307" s="156" t="n">
        <v>0</v>
      </c>
      <c r="P307" s="156" t="n">
        <v>0</v>
      </c>
      <c r="Q307" s="156" t="n">
        <v>0</v>
      </c>
      <c r="R307" s="156" t="n">
        <v>0</v>
      </c>
      <c r="S307" s="156" t="n">
        <v>0</v>
      </c>
      <c r="T307" s="156" t="n">
        <v>0</v>
      </c>
      <c r="U307" s="156" t="n">
        <v>0</v>
      </c>
      <c r="W307" s="156">
        <f>INDEX(Matrix!$AA$2:$AA$33, MATCH(G307, Matrix!$AC$2:$AC$33, 0))</f>
        <v/>
      </c>
      <c r="X307" s="156">
        <f>_xlfn.IFNA(MATCH(E305,'Injury Report'!$C$2:$C$6216,0),0)</f>
        <v/>
      </c>
    </row>
    <row r="308" ht="15.6" customHeight="1" s="152">
      <c r="A308" s="212" t="n">
        <v>305</v>
      </c>
      <c r="B308" s="167">
        <f>F308&amp;G308</f>
        <v/>
      </c>
      <c r="C308" s="156">
        <f>(K308/MAX(K:K)*$K$1)+(L308/MAX(L:L)*$L$1)+(M308/MAX(M:M)*$M$1)+(N308/MAX(N:N)*$N$1)+(T308/MAX(T:T)*$T$1)</f>
        <v/>
      </c>
      <c r="D308" s="156">
        <f>IFERROR(VLOOKUP(B308,#REF!,7,0),"")</f>
        <v/>
      </c>
      <c r="E308" s="156">
        <f>IFERROR(VLOOKUP(F308,AllPlayers!F:F,1,0),"------------")</f>
        <v/>
      </c>
      <c r="F308" s="156" t="inlineStr">
        <is>
          <t>J.K. Scott</t>
        </is>
      </c>
      <c r="G308" s="156">
        <f>VLOOKUP(F308,AllPlayers!Q:R,2,0)</f>
        <v/>
      </c>
      <c r="H308" s="156" t="inlineStr">
        <is>
          <t>P</t>
        </is>
      </c>
      <c r="I308" s="156" t="n">
        <v>2</v>
      </c>
      <c r="J308" s="156" t="n">
        <v>0</v>
      </c>
      <c r="K308" s="156" t="n">
        <v>0</v>
      </c>
      <c r="L308" s="281">
        <f>IF(J308=0,0,K308/J308)</f>
        <v/>
      </c>
      <c r="M308" s="281">
        <f>K308/17</f>
        <v/>
      </c>
      <c r="N308" s="156" t="n">
        <v>0</v>
      </c>
      <c r="O308" s="156" t="n">
        <v>0</v>
      </c>
      <c r="P308" s="156" t="n">
        <v>0</v>
      </c>
      <c r="Q308" s="156" t="n">
        <v>0</v>
      </c>
      <c r="R308" s="156" t="n">
        <v>0</v>
      </c>
      <c r="S308" s="156" t="n">
        <v>0</v>
      </c>
      <c r="T308" s="156" t="n">
        <v>0</v>
      </c>
      <c r="U308" s="156" t="n">
        <v>0</v>
      </c>
      <c r="W308" s="156">
        <f>INDEX(Matrix!$AA$2:$AA$33, MATCH(G308, Matrix!$AC$2:$AC$33, 0))</f>
        <v/>
      </c>
      <c r="X308" s="156">
        <f>_xlfn.IFNA(MATCH(E306,'Injury Report'!$C$2:$C$6216,0),0)</f>
        <v/>
      </c>
    </row>
    <row r="309" ht="15.6" customHeight="1" s="152">
      <c r="A309" s="212" t="n">
        <v>306</v>
      </c>
      <c r="B309" s="167">
        <f>F309&amp;G309</f>
        <v/>
      </c>
      <c r="C309" s="156">
        <f>(K309/MAX(K:K)*$K$1)+(L309/MAX(L:L)*$L$1)+(M309/MAX(M:M)*$M$1)+(N309/MAX(N:N)*$N$1)+(T309/MAX(T:T)*$T$1)</f>
        <v/>
      </c>
      <c r="D309" s="156">
        <f>IFERROR(VLOOKUP(B309,#REF!,7,0),"")</f>
        <v/>
      </c>
      <c r="E309" s="156">
        <f>IFERROR(VLOOKUP(F309,AllPlayers!F:F,1,0),"------------")</f>
        <v/>
      </c>
      <c r="F309" s="156" t="inlineStr">
        <is>
          <t>Jake Bailey</t>
        </is>
      </c>
      <c r="G309" s="156">
        <f>VLOOKUP(F309,AllPlayers!Q:R,2,0)</f>
        <v/>
      </c>
      <c r="H309" s="156" t="inlineStr">
        <is>
          <t>P</t>
        </is>
      </c>
      <c r="I309" s="156" t="n">
        <v>2</v>
      </c>
      <c r="J309" s="156" t="n">
        <v>0</v>
      </c>
      <c r="K309" s="156" t="n">
        <v>0</v>
      </c>
      <c r="L309" s="281">
        <f>IF(J309=0,0,K309/J309)</f>
        <v/>
      </c>
      <c r="M309" s="281">
        <f>K309/17</f>
        <v/>
      </c>
      <c r="N309" s="156" t="n">
        <v>0</v>
      </c>
      <c r="O309" s="156" t="n">
        <v>0</v>
      </c>
      <c r="P309" s="156" t="n">
        <v>0</v>
      </c>
      <c r="Q309" s="156" t="n">
        <v>0</v>
      </c>
      <c r="R309" s="156" t="n">
        <v>0</v>
      </c>
      <c r="S309" s="156" t="n">
        <v>0</v>
      </c>
      <c r="T309" s="156" t="n">
        <v>0</v>
      </c>
      <c r="U309" s="156" t="n">
        <v>0</v>
      </c>
      <c r="W309" s="156">
        <f>INDEX(Matrix!$AA$2:$AA$33, MATCH(G309, Matrix!$AC$2:$AC$33, 0))</f>
        <v/>
      </c>
      <c r="X309" s="156">
        <f>_xlfn.IFNA(MATCH(E307,'Injury Report'!$C$2:$C$6216,0),0)</f>
        <v/>
      </c>
    </row>
    <row r="310" ht="15.6" customHeight="1" s="152">
      <c r="A310" s="212" t="n">
        <v>307</v>
      </c>
      <c r="B310" s="167">
        <f>F310&amp;G310</f>
        <v/>
      </c>
      <c r="C310" s="156">
        <f>(K310/MAX(K:K)*$K$1)+(L310/MAX(L:L)*$L$1)+(M310/MAX(M:M)*$M$1)+(N310/MAX(N:N)*$N$1)+(T310/MAX(T:T)*$T$1)</f>
        <v/>
      </c>
      <c r="D310" s="156">
        <f>IFERROR(VLOOKUP(B310,#REF!,7,0),"")</f>
        <v/>
      </c>
      <c r="E310" s="156">
        <f>IFERROR(VLOOKUP(F310,AllPlayers!F:F,1,0),"------------")</f>
        <v/>
      </c>
      <c r="F310" s="156" t="inlineStr">
        <is>
          <t>Dylan Laube</t>
        </is>
      </c>
      <c r="G310" s="156">
        <f>VLOOKUP(F310,AllPlayers!Q:R,2,0)</f>
        <v/>
      </c>
      <c r="H310" s="156" t="inlineStr">
        <is>
          <t>RB</t>
        </is>
      </c>
      <c r="I310" s="156" t="n">
        <v>2</v>
      </c>
      <c r="J310" s="156" t="n">
        <v>0</v>
      </c>
      <c r="K310" s="156" t="n">
        <v>0</v>
      </c>
      <c r="L310" s="281">
        <f>IF(J310=0,0,K310/J310)</f>
        <v/>
      </c>
      <c r="M310" s="281">
        <f>K310/17</f>
        <v/>
      </c>
      <c r="N310" s="156" t="n">
        <v>0</v>
      </c>
      <c r="O310" s="156" t="n">
        <v>0</v>
      </c>
      <c r="P310" s="156" t="n">
        <v>0</v>
      </c>
      <c r="Q310" s="156" t="n">
        <v>0</v>
      </c>
      <c r="R310" s="156" t="n">
        <v>0</v>
      </c>
      <c r="S310" s="156" t="n">
        <v>0</v>
      </c>
      <c r="T310" s="156" t="n">
        <v>0</v>
      </c>
      <c r="U310" s="156" t="n">
        <v>0</v>
      </c>
      <c r="W310" s="156">
        <f>INDEX(Matrix!$AA$2:$AA$33, MATCH(G310, Matrix!$AC$2:$AC$33, 0))</f>
        <v/>
      </c>
      <c r="X310" s="156">
        <f>_xlfn.IFNA(MATCH(E308,'Injury Report'!$C$2:$C$6216,0),0)</f>
        <v/>
      </c>
    </row>
    <row r="311" ht="15.6" customHeight="1" s="152">
      <c r="A311" s="212" t="n">
        <v>308</v>
      </c>
      <c r="B311" s="167">
        <f>F311&amp;G311</f>
        <v/>
      </c>
      <c r="C311" s="156">
        <f>(K311/MAX(K:K)*$K$1)+(L311/MAX(L:L)*$L$1)+(M311/MAX(M:M)*$M$1)+(N311/MAX(N:N)*$N$1)+(T311/MAX(T:T)*$T$1)</f>
        <v/>
      </c>
      <c r="D311" s="156">
        <f>IFERROR(VLOOKUP(B311,#REF!,7,0),"")</f>
        <v/>
      </c>
      <c r="E311" s="156">
        <f>IFERROR(VLOOKUP(F311,AllPlayers!F:F,1,0),"------------")</f>
        <v/>
      </c>
      <c r="F311" s="156" t="inlineStr">
        <is>
          <t>Tyler Conklin</t>
        </is>
      </c>
      <c r="G311" s="156">
        <f>VLOOKUP(F311,AllPlayers!Q:R,2,0)</f>
        <v/>
      </c>
      <c r="H311" s="156" t="inlineStr">
        <is>
          <t>TE</t>
        </is>
      </c>
      <c r="I311" s="156" t="n">
        <v>1</v>
      </c>
      <c r="J311" s="156" t="n">
        <v>1</v>
      </c>
      <c r="K311" s="156" t="n">
        <v>2</v>
      </c>
      <c r="L311" s="281">
        <f>IF(J311=0,0,K311/J311)</f>
        <v/>
      </c>
      <c r="M311" s="281">
        <f>K311/17</f>
        <v/>
      </c>
      <c r="N311" s="156" t="n">
        <v>0</v>
      </c>
      <c r="O311" s="156" t="n">
        <v>0</v>
      </c>
      <c r="P311" s="156" t="n">
        <v>0</v>
      </c>
      <c r="Q311" s="156" t="n">
        <v>0</v>
      </c>
      <c r="R311" s="156" t="n">
        <v>0</v>
      </c>
      <c r="S311" s="156" t="n">
        <v>0</v>
      </c>
      <c r="T311" s="156" t="n">
        <v>0</v>
      </c>
      <c r="U311" s="156" t="n">
        <v>0</v>
      </c>
      <c r="W311" s="156">
        <f>INDEX(Matrix!$AA$2:$AA$33, MATCH(G311, Matrix!$AC$2:$AC$33, 0))</f>
        <v/>
      </c>
      <c r="X311" s="156">
        <f>_xlfn.IFNA(MATCH(E309,'Injury Report'!$C$2:$C$6216,0),0)</f>
        <v/>
      </c>
    </row>
    <row r="312" ht="15.6" customHeight="1" s="152">
      <c r="A312" s="212" t="n">
        <v>309</v>
      </c>
      <c r="B312" s="167">
        <f>F312&amp;G312</f>
        <v/>
      </c>
      <c r="C312" s="156">
        <f>(K312/MAX(K:K)*$K$1)+(L312/MAX(L:L)*$L$1)+(M312/MAX(M:M)*$M$1)+(N312/MAX(N:N)*$N$1)+(T312/MAX(T:T)*$T$1)</f>
        <v/>
      </c>
      <c r="D312" s="156">
        <f>IFERROR(VLOOKUP(B312,#REF!,7,0),"")</f>
        <v/>
      </c>
      <c r="E312" s="156">
        <f>IFERROR(VLOOKUP(F312,AllPlayers!F:F,1,0),"------------")</f>
        <v/>
      </c>
      <c r="F312" s="156" t="inlineStr">
        <is>
          <t>Ja'lynn Polk</t>
        </is>
      </c>
      <c r="G312" s="156">
        <f>VLOOKUP(F312,AllPlayers!Q:R,2,0)</f>
        <v/>
      </c>
      <c r="H312" s="156" t="inlineStr">
        <is>
          <t>WR</t>
        </is>
      </c>
      <c r="I312" s="156" t="n">
        <v>1</v>
      </c>
      <c r="J312" s="156" t="n">
        <v>1</v>
      </c>
      <c r="K312" s="156" t="n">
        <v>0</v>
      </c>
      <c r="L312" s="281">
        <f>IF(J312=0,0,K312/J312)</f>
        <v/>
      </c>
      <c r="M312" s="281">
        <f>K312/17</f>
        <v/>
      </c>
      <c r="N312" s="156" t="n">
        <v>0</v>
      </c>
      <c r="O312" s="156" t="n">
        <v>0</v>
      </c>
      <c r="P312" s="156" t="n">
        <v>0</v>
      </c>
      <c r="Q312" s="156" t="n">
        <v>0</v>
      </c>
      <c r="R312" s="156" t="n">
        <v>0</v>
      </c>
      <c r="S312" s="156" t="n">
        <v>0</v>
      </c>
      <c r="T312" s="156" t="n">
        <v>0</v>
      </c>
      <c r="U312" s="156" t="n">
        <v>0</v>
      </c>
      <c r="W312" s="156">
        <f>INDEX(Matrix!$AA$2:$AA$33, MATCH(G312, Matrix!$AC$2:$AC$33, 0))</f>
        <v/>
      </c>
      <c r="X312" s="156">
        <f>_xlfn.IFNA(MATCH(E310,'Injury Report'!$C$2:$C$6216,0),0)</f>
        <v/>
      </c>
    </row>
    <row r="313" ht="15.6" customHeight="1" s="152">
      <c r="A313" s="212" t="n">
        <v>310</v>
      </c>
      <c r="B313" s="167">
        <f>F313&amp;G313</f>
        <v/>
      </c>
      <c r="C313" s="156">
        <f>(K313/MAX(K:K)*$K$1)+(L313/MAX(L:L)*$L$1)+(M313/MAX(M:M)*$M$1)+(N313/MAX(N:N)*$N$1)+(T313/MAX(T:T)*$T$1)</f>
        <v/>
      </c>
      <c r="D313" s="156">
        <f>IFERROR(VLOOKUP(B313,#REF!,7,0),"")</f>
        <v/>
      </c>
      <c r="E313" s="156">
        <f>IFERROR(VLOOKUP(F313,AllPlayers!F:F,1,0),"------------")</f>
        <v/>
      </c>
      <c r="F313" s="156" t="inlineStr">
        <is>
          <t>Kalif Raymond</t>
        </is>
      </c>
      <c r="G313" s="156">
        <f>VLOOKUP(F313,AllPlayers!Q:R,2,0)</f>
        <v/>
      </c>
      <c r="H313" s="156" t="inlineStr">
        <is>
          <t>WR</t>
        </is>
      </c>
      <c r="I313" s="156" t="n">
        <v>2</v>
      </c>
      <c r="J313" s="156" t="n">
        <v>1</v>
      </c>
      <c r="K313" s="156" t="n">
        <v>9</v>
      </c>
      <c r="L313" s="281">
        <f>IF(J313=0,0,K313/J313)</f>
        <v/>
      </c>
      <c r="M313" s="281">
        <f>K313/17</f>
        <v/>
      </c>
      <c r="N313" s="156" t="n">
        <v>0</v>
      </c>
      <c r="O313" s="156" t="n">
        <v>0</v>
      </c>
      <c r="P313" s="156" t="n">
        <v>0</v>
      </c>
      <c r="Q313" s="156" t="n">
        <v>0</v>
      </c>
      <c r="R313" s="156" t="n">
        <v>0</v>
      </c>
      <c r="S313" s="156" t="n">
        <v>0</v>
      </c>
      <c r="T313" s="156" t="n">
        <v>0</v>
      </c>
      <c r="U313" s="156" t="n">
        <v>0</v>
      </c>
      <c r="W313" s="156">
        <f>INDEX(Matrix!$AA$2:$AA$33, MATCH(G313, Matrix!$AC$2:$AC$33, 0))</f>
        <v/>
      </c>
      <c r="X313" s="156">
        <f>_xlfn.IFNA(MATCH(E311,'Injury Report'!$C$2:$C$6216,0),0)</f>
        <v/>
      </c>
    </row>
    <row r="314" ht="15.6" customHeight="1" s="152">
      <c r="A314" s="212" t="n">
        <v>311</v>
      </c>
      <c r="B314" s="167">
        <f>F314&amp;G314</f>
        <v/>
      </c>
      <c r="C314" s="156">
        <f>(K314/MAX(K:K)*$K$1)+(L314/MAX(L:L)*$L$1)+(M314/MAX(M:M)*$M$1)+(N314/MAX(N:N)*$N$1)+(T314/MAX(T:T)*$T$1)</f>
        <v/>
      </c>
      <c r="D314" s="156">
        <f>IFERROR(VLOOKUP(B314,#REF!,7,0),"")</f>
        <v/>
      </c>
      <c r="E314" s="156">
        <f>IFERROR(VLOOKUP(F314,AllPlayers!F:F,1,0),"------------")</f>
        <v/>
      </c>
      <c r="F314" s="156" t="inlineStr">
        <is>
          <t>Steven Sims</t>
        </is>
      </c>
      <c r="G314" s="156">
        <f>VLOOKUP(F314,AllPlayers!Q:R,2,0)</f>
        <v/>
      </c>
      <c r="H314" s="156" t="inlineStr">
        <is>
          <t>WR</t>
        </is>
      </c>
      <c r="I314" s="156" t="n">
        <v>1</v>
      </c>
      <c r="J314" s="156" t="n">
        <v>1</v>
      </c>
      <c r="K314" s="156" t="n">
        <v>0</v>
      </c>
      <c r="L314" s="281">
        <f>IF(J314=0,0,K314/J314)</f>
        <v/>
      </c>
      <c r="M314" s="281">
        <f>K314/17</f>
        <v/>
      </c>
      <c r="N314" s="156" t="n">
        <v>0</v>
      </c>
      <c r="O314" s="156" t="n">
        <v>0</v>
      </c>
      <c r="P314" s="156" t="n">
        <v>0</v>
      </c>
      <c r="Q314" s="156" t="n">
        <v>0</v>
      </c>
      <c r="R314" s="156" t="n">
        <v>0</v>
      </c>
      <c r="S314" s="156" t="n">
        <v>0</v>
      </c>
      <c r="T314" s="156" t="n">
        <v>1</v>
      </c>
      <c r="U314" s="156" t="n">
        <v>1</v>
      </c>
      <c r="W314" s="156">
        <f>INDEX(Matrix!$AA$2:$AA$33, MATCH(G314, Matrix!$AC$2:$AC$33, 0))</f>
        <v/>
      </c>
      <c r="X314" s="156">
        <f>_xlfn.IFNA(MATCH(E312,'Injury Report'!$C$2:$C$6216,0),0)</f>
        <v/>
      </c>
    </row>
    <row r="315" ht="15.6" customHeight="1" s="152">
      <c r="A315" s="212" t="n">
        <v>312</v>
      </c>
      <c r="B315" s="167">
        <f>F315&amp;G315</f>
        <v/>
      </c>
      <c r="C315" s="156">
        <f>(K315/MAX(K:K)*$K$1)+(L315/MAX(L:L)*$L$1)+(M315/MAX(M:M)*$M$1)+(N315/MAX(N:N)*$N$1)+(T315/MAX(T:T)*$T$1)</f>
        <v/>
      </c>
      <c r="D315" s="156">
        <f>IFERROR(VLOOKUP(B315,#REF!,7,0),"")</f>
        <v/>
      </c>
      <c r="E315" s="156">
        <f>IFERROR(VLOOKUP(F315,AllPlayers!F:F,1,0),"------------")</f>
        <v/>
      </c>
      <c r="F315" s="156" t="inlineStr">
        <is>
          <t>Velus Jones</t>
        </is>
      </c>
      <c r="G315" s="156">
        <f>VLOOKUP(F315,AllPlayers!Q:R,2,0)</f>
        <v/>
      </c>
      <c r="H315" s="156" t="inlineStr">
        <is>
          <t>RB</t>
        </is>
      </c>
      <c r="I315" s="156" t="n">
        <v>1</v>
      </c>
      <c r="J315" s="156" t="n">
        <v>0</v>
      </c>
      <c r="K315" s="156" t="n">
        <v>0</v>
      </c>
      <c r="L315" s="281">
        <f>IF(J315=0,0,K315/J315)</f>
        <v/>
      </c>
      <c r="M315" s="281">
        <f>K315/17</f>
        <v/>
      </c>
      <c r="N315" s="156" t="n">
        <v>0</v>
      </c>
      <c r="O315" s="156" t="n">
        <v>0</v>
      </c>
      <c r="P315" s="156" t="n">
        <v>0</v>
      </c>
      <c r="Q315" s="156" t="n">
        <v>0</v>
      </c>
      <c r="R315" s="156" t="n">
        <v>0</v>
      </c>
      <c r="S315" s="156" t="n">
        <v>0</v>
      </c>
      <c r="T315" s="156" t="n">
        <v>0</v>
      </c>
      <c r="U315" s="156" t="n">
        <v>0</v>
      </c>
      <c r="W315" s="156">
        <f>INDEX(Matrix!$AA$2:$AA$33, MATCH(G315, Matrix!$AC$2:$AC$33, 0))</f>
        <v/>
      </c>
      <c r="X315" s="156">
        <f>_xlfn.IFNA(MATCH(E313,'Injury Report'!$C$2:$C$6216,0),0)</f>
        <v/>
      </c>
    </row>
    <row r="316" ht="15.6" customHeight="1" s="152">
      <c r="A316" s="212" t="n">
        <v>313</v>
      </c>
      <c r="B316" s="167">
        <f>F316&amp;G316</f>
        <v/>
      </c>
      <c r="C316" s="156">
        <f>(K316/MAX(K:K)*$K$1)+(L316/MAX(L:L)*$L$1)+(M316/MAX(M:M)*$M$1)+(N316/MAX(N:N)*$N$1)+(T316/MAX(T:T)*$T$1)</f>
        <v/>
      </c>
      <c r="D316" s="156">
        <f>IFERROR(VLOOKUP(B316,#REF!,7,0),"")</f>
        <v/>
      </c>
      <c r="E316" s="156">
        <f>IFERROR(VLOOKUP(F316,AllPlayers!F:F,1,0),"------------")</f>
        <v/>
      </c>
      <c r="F316" s="156" t="inlineStr">
        <is>
          <t>David Moore</t>
        </is>
      </c>
      <c r="G316" s="156">
        <f>VLOOKUP(F316,AllPlayers!Q:R,2,0)</f>
        <v/>
      </c>
      <c r="H316" s="156" t="inlineStr">
        <is>
          <t>WR</t>
        </is>
      </c>
      <c r="I316" s="156" t="n">
        <v>1</v>
      </c>
      <c r="J316" s="156" t="n">
        <v>0</v>
      </c>
      <c r="K316" s="156" t="n">
        <v>0</v>
      </c>
      <c r="L316" s="281">
        <f>IF(J316=0,0,K316/J316)</f>
        <v/>
      </c>
      <c r="M316" s="281">
        <f>K316/17</f>
        <v/>
      </c>
      <c r="N316" s="156" t="n">
        <v>0</v>
      </c>
      <c r="O316" s="156" t="n">
        <v>0</v>
      </c>
      <c r="P316" s="156" t="n">
        <v>0</v>
      </c>
      <c r="Q316" s="156" t="n">
        <v>0</v>
      </c>
      <c r="R316" s="156" t="n">
        <v>0</v>
      </c>
      <c r="S316" s="156" t="n">
        <v>0</v>
      </c>
      <c r="T316" s="156" t="n">
        <v>0</v>
      </c>
      <c r="U316" s="156" t="n">
        <v>0</v>
      </c>
      <c r="W316" s="156">
        <f>INDEX(Matrix!$AA$2:$AA$33, MATCH(G316, Matrix!$AC$2:$AC$33, 0))</f>
        <v/>
      </c>
      <c r="X316" s="156">
        <f>_xlfn.IFNA(MATCH(E314,'Injury Report'!$C$2:$C$6216,0),0)</f>
        <v/>
      </c>
    </row>
    <row r="317" ht="15.6" customHeight="1" s="152">
      <c r="A317" s="212" t="n">
        <v>314</v>
      </c>
      <c r="B317" s="167">
        <f>F317&amp;G317</f>
        <v/>
      </c>
      <c r="C317" s="156">
        <f>(K317/MAX(K:K)*$K$1)+(L317/MAX(L:L)*$L$1)+(M317/MAX(M:M)*$M$1)+(N317/MAX(N:N)*$N$1)+(T317/MAX(T:T)*$T$1)</f>
        <v/>
      </c>
      <c r="D317" s="156">
        <f>IFERROR(VLOOKUP(B317,#REF!,7,0),"")</f>
        <v/>
      </c>
      <c r="E317" s="156">
        <f>IFERROR(VLOOKUP(F317,AllPlayers!F:F,1,0),"------------")</f>
        <v/>
      </c>
      <c r="F317" s="156" t="inlineStr">
        <is>
          <t>Kirk Cousins</t>
        </is>
      </c>
      <c r="G317" s="156">
        <f>VLOOKUP(F317,AllPlayers!Q:R,2,0)</f>
        <v/>
      </c>
      <c r="H317" s="156" t="inlineStr">
        <is>
          <t>QB</t>
        </is>
      </c>
      <c r="I317" s="156" t="n">
        <v>10</v>
      </c>
      <c r="J317" s="156" t="n">
        <v>23</v>
      </c>
      <c r="K317" s="156" t="n">
        <v>0</v>
      </c>
      <c r="L317" s="281">
        <f>IF(J317=0,0,K317/J317)</f>
        <v/>
      </c>
      <c r="M317" s="281">
        <f>K317/17</f>
        <v/>
      </c>
      <c r="N317" s="156" t="n">
        <v>0</v>
      </c>
      <c r="O317" s="156" t="n">
        <v>0</v>
      </c>
      <c r="P317" s="156" t="n">
        <v>0</v>
      </c>
      <c r="Q317" s="156" t="n">
        <v>0</v>
      </c>
      <c r="R317" s="156" t="n">
        <v>0</v>
      </c>
      <c r="S317" s="156" t="n">
        <v>0</v>
      </c>
      <c r="T317" s="156" t="n">
        <v>10</v>
      </c>
      <c r="U317" s="156" t="n">
        <v>2</v>
      </c>
      <c r="W317" s="156">
        <f>INDEX(Matrix!$AA$2:$AA$33, MATCH(G317, Matrix!$AC$2:$AC$33, 0))</f>
        <v/>
      </c>
      <c r="X317" s="156">
        <f>_xlfn.IFNA(MATCH(E315,'Injury Report'!$C$2:$C$6216,0),0)</f>
        <v/>
      </c>
    </row>
    <row r="318" ht="15.6" customHeight="1" s="152">
      <c r="A318" s="212" t="n">
        <v>315</v>
      </c>
      <c r="B318" s="167">
        <f>F318&amp;G318</f>
        <v/>
      </c>
      <c r="C318" s="156">
        <f>(K318/MAX(K:K)*$K$1)+(L318/MAX(L:L)*$L$1)+(M318/MAX(M:M)*$M$1)+(N318/MAX(N:N)*$N$1)+(T318/MAX(T:T)*$T$1)</f>
        <v/>
      </c>
      <c r="D318" s="156">
        <f>IFERROR(VLOOKUP(B318,#REF!,7,0),"")</f>
        <v/>
      </c>
      <c r="E318" s="156">
        <f>IFERROR(VLOOKUP(F318,AllPlayers!F:F,1,0),"------------")</f>
        <v/>
      </c>
      <c r="F318" s="156" t="inlineStr">
        <is>
          <t>Josh Downs</t>
        </is>
      </c>
      <c r="G318" s="156">
        <f>VLOOKUP(F318,AllPlayers!Q:R,2,0)</f>
        <v/>
      </c>
      <c r="H318" s="156" t="inlineStr">
        <is>
          <t>WR</t>
        </is>
      </c>
      <c r="I318" s="156" t="n">
        <v>2</v>
      </c>
      <c r="J318" s="156" t="n">
        <v>0</v>
      </c>
      <c r="K318" s="156" t="n">
        <v>0</v>
      </c>
      <c r="L318" s="281">
        <f>IF(J318=0,0,K318/J318)</f>
        <v/>
      </c>
      <c r="M318" s="281">
        <f>K318/17</f>
        <v/>
      </c>
      <c r="N318" s="156" t="n">
        <v>0</v>
      </c>
      <c r="O318" s="156" t="n">
        <v>0</v>
      </c>
      <c r="P318" s="156" t="n">
        <v>0</v>
      </c>
      <c r="Q318" s="156" t="n">
        <v>0</v>
      </c>
      <c r="R318" s="156" t="n">
        <v>0</v>
      </c>
      <c r="S318" s="156" t="n">
        <v>0</v>
      </c>
      <c r="T318" s="156" t="n">
        <v>0</v>
      </c>
      <c r="U318" s="156" t="n">
        <v>0</v>
      </c>
      <c r="W318" s="156">
        <f>INDEX(Matrix!$AA$2:$AA$33, MATCH(G318, Matrix!$AC$2:$AC$33, 0))</f>
        <v/>
      </c>
      <c r="X318" s="156">
        <f>_xlfn.IFNA(MATCH(E316,'Injury Report'!$C$2:$C$6216,0),0)</f>
        <v/>
      </c>
    </row>
    <row r="319" ht="15.6" customHeight="1" s="152">
      <c r="A319" s="212" t="n">
        <v>316</v>
      </c>
      <c r="B319" s="167">
        <f>F319&amp;G319</f>
        <v/>
      </c>
      <c r="C319" s="156">
        <f>(K319/MAX(K:K)*$K$1)+(L319/MAX(L:L)*$L$1)+(M319/MAX(M:M)*$M$1)+(N319/MAX(N:N)*$N$1)+(T319/MAX(T:T)*$T$1)</f>
        <v/>
      </c>
      <c r="D319" s="156">
        <f>IFERROR(VLOOKUP(B319,#REF!,7,0),"")</f>
        <v/>
      </c>
      <c r="E319" s="156">
        <f>IFERROR(VLOOKUP(F319,AllPlayers!F:F,1,0),"------------")</f>
        <v/>
      </c>
      <c r="F319" s="156" t="inlineStr">
        <is>
          <t>Myles Gaskin</t>
        </is>
      </c>
      <c r="G319" s="156">
        <f>VLOOKUP(F319,AllPlayers!Q:R,2,0)</f>
        <v/>
      </c>
      <c r="H319" s="156" t="inlineStr">
        <is>
          <t>RB</t>
        </is>
      </c>
      <c r="I319" s="156" t="n">
        <v>2</v>
      </c>
      <c r="J319" s="156" t="n">
        <v>3</v>
      </c>
      <c r="K319" s="156" t="n">
        <v>-1</v>
      </c>
      <c r="L319" s="281">
        <f>IF(J319=0,0,K319/J319)</f>
        <v/>
      </c>
      <c r="M319" s="281">
        <f>K319/17</f>
        <v/>
      </c>
      <c r="N319" s="156" t="n">
        <v>0</v>
      </c>
      <c r="O319" s="156" t="n">
        <v>0</v>
      </c>
      <c r="P319" s="156" t="n">
        <v>0</v>
      </c>
      <c r="Q319" s="156" t="n">
        <v>0</v>
      </c>
      <c r="R319" s="156" t="n">
        <v>0</v>
      </c>
      <c r="S319" s="156" t="n">
        <v>0</v>
      </c>
      <c r="T319" s="156" t="n">
        <v>0</v>
      </c>
      <c r="U319" s="156" t="n">
        <v>0</v>
      </c>
      <c r="W319" s="156">
        <f>INDEX(Matrix!$AA$2:$AA$33, MATCH(G319, Matrix!$AC$2:$AC$33, 0))</f>
        <v/>
      </c>
      <c r="X319" s="156">
        <f>_xlfn.IFNA(MATCH(E317,'Injury Report'!$C$2:$C$6216,0),0)</f>
        <v/>
      </c>
    </row>
    <row r="320" ht="15.6" customHeight="1" s="152">
      <c r="A320" s="212" t="n">
        <v>317</v>
      </c>
      <c r="B320" s="167">
        <f>F320&amp;G320</f>
        <v/>
      </c>
      <c r="C320" s="156">
        <f>(K320/MAX(K:K)*$K$1)+(L320/MAX(L:L)*$L$1)+(M320/MAX(M:M)*$M$1)+(N320/MAX(N:N)*$N$1)+(T320/MAX(T:T)*$T$1)</f>
        <v/>
      </c>
      <c r="D320" s="156">
        <f>IFERROR(VLOOKUP(B320,#REF!,7,0),"")</f>
        <v/>
      </c>
      <c r="E320" s="156">
        <f>IFERROR(VLOOKUP(F320,AllPlayers!F:F,1,0),"------------")</f>
        <v/>
      </c>
      <c r="F320" s="156" t="inlineStr">
        <is>
          <t>Tim Boyle</t>
        </is>
      </c>
      <c r="G320" s="156">
        <f>VLOOKUP(F320,AllPlayers!Q:R,2,0)</f>
        <v/>
      </c>
      <c r="H320" s="156" t="inlineStr">
        <is>
          <t>QB</t>
        </is>
      </c>
      <c r="I320" s="156" t="n">
        <v>1</v>
      </c>
      <c r="J320" s="156" t="n">
        <v>1</v>
      </c>
      <c r="K320" s="156" t="n">
        <v>-1</v>
      </c>
      <c r="L320" s="281">
        <f>IF(J320=0,0,K320/J320)</f>
        <v/>
      </c>
      <c r="M320" s="281">
        <f>K320/17</f>
        <v/>
      </c>
      <c r="N320" s="156" t="n">
        <v>0</v>
      </c>
      <c r="O320" s="156" t="n">
        <v>0</v>
      </c>
      <c r="P320" s="156" t="n">
        <v>0</v>
      </c>
      <c r="Q320" s="156" t="n">
        <v>0</v>
      </c>
      <c r="R320" s="156" t="n">
        <v>0</v>
      </c>
      <c r="S320" s="156" t="n">
        <v>0</v>
      </c>
      <c r="T320" s="156" t="n">
        <v>0</v>
      </c>
      <c r="U320" s="156" t="n">
        <v>0</v>
      </c>
      <c r="W320" s="156">
        <f>INDEX(Matrix!$AA$2:$AA$33, MATCH(G320, Matrix!$AC$2:$AC$33, 0))</f>
        <v/>
      </c>
      <c r="X320" s="156">
        <f>_xlfn.IFNA(MATCH(E318,'Injury Report'!$C$2:$C$6216,0),0)</f>
        <v/>
      </c>
    </row>
    <row r="321" ht="15.6" customHeight="1" s="152">
      <c r="A321" s="212" t="n">
        <v>318</v>
      </c>
      <c r="B321" s="167">
        <f>F321&amp;G321</f>
        <v/>
      </c>
      <c r="C321" s="156">
        <f>(K321/MAX(K:K)*$K$1)+(L321/MAX(L:L)*$L$1)+(M321/MAX(M:M)*$M$1)+(N321/MAX(N:N)*$N$1)+(T321/MAX(T:T)*$T$1)</f>
        <v/>
      </c>
      <c r="D321" s="156">
        <f>IFERROR(VLOOKUP(B321,#REF!,7,0),"")</f>
        <v/>
      </c>
      <c r="E321" s="156">
        <f>IFERROR(VLOOKUP(F321,AllPlayers!F:F,1,0),"------------")</f>
        <v/>
      </c>
      <c r="F321" s="156" t="inlineStr">
        <is>
          <t>Jermaine Jackson</t>
        </is>
      </c>
      <c r="G321" s="156">
        <f>VLOOKUP(F321,AllPlayers!Q:R,2,0)</f>
        <v/>
      </c>
      <c r="H321" s="156" t="inlineStr">
        <is>
          <t>WR</t>
        </is>
      </c>
      <c r="I321" s="156" t="n">
        <v>1</v>
      </c>
      <c r="J321" s="156" t="n">
        <v>1</v>
      </c>
      <c r="K321" s="156" t="n">
        <v>-1</v>
      </c>
      <c r="L321" s="281">
        <f>IF(J321=0,0,K321/J321)</f>
        <v/>
      </c>
      <c r="M321" s="281">
        <f>K321/17</f>
        <v/>
      </c>
      <c r="N321" s="156" t="n">
        <v>0</v>
      </c>
      <c r="O321" s="156" t="n">
        <v>0</v>
      </c>
      <c r="P321" s="156" t="n">
        <v>0</v>
      </c>
      <c r="Q321" s="156" t="n">
        <v>0</v>
      </c>
      <c r="R321" s="156" t="n">
        <v>0</v>
      </c>
      <c r="S321" s="156" t="n">
        <v>0</v>
      </c>
      <c r="T321" s="156" t="n">
        <v>0</v>
      </c>
      <c r="U321" s="156" t="n">
        <v>0</v>
      </c>
      <c r="W321" s="156">
        <f>INDEX(Matrix!$AA$2:$AA$33, MATCH(G321, Matrix!$AC$2:$AC$33, 0))</f>
        <v/>
      </c>
      <c r="X321" s="156">
        <f>_xlfn.IFNA(MATCH(E319,'Injury Report'!$C$2:$C$6216,0),0)</f>
        <v/>
      </c>
    </row>
    <row r="322" ht="15.6" customHeight="1" s="152">
      <c r="A322" s="212" t="n">
        <v>319</v>
      </c>
      <c r="B322" s="167">
        <f>F322&amp;G322</f>
        <v/>
      </c>
      <c r="C322" s="156">
        <f>(K322/MAX(K:K)*$K$1)+(L322/MAX(L:L)*$L$1)+(M322/MAX(M:M)*$M$1)+(N322/MAX(N:N)*$N$1)+(T322/MAX(T:T)*$T$1)</f>
        <v/>
      </c>
      <c r="D322" s="156">
        <f>IFERROR(VLOOKUP(B322,#REF!,7,0),"")</f>
        <v/>
      </c>
      <c r="E322" s="156">
        <f>IFERROR(VLOOKUP(F322,AllPlayers!F:F,1,0),"------------")</f>
        <v/>
      </c>
      <c r="F322" s="156" t="inlineStr">
        <is>
          <t>Tanner Mckee</t>
        </is>
      </c>
      <c r="G322" s="156">
        <f>VLOOKUP(F322,AllPlayers!Q:R,2,0)</f>
        <v/>
      </c>
      <c r="H322" s="156" t="inlineStr">
        <is>
          <t>QB</t>
        </is>
      </c>
      <c r="I322" s="156" t="n">
        <v>2</v>
      </c>
      <c r="J322" s="156" t="n">
        <v>5</v>
      </c>
      <c r="K322" s="156" t="n">
        <v>-1</v>
      </c>
      <c r="L322" s="281">
        <f>IF(J322=0,0,K322/J322)</f>
        <v/>
      </c>
      <c r="M322" s="281">
        <f>K322/17</f>
        <v/>
      </c>
      <c r="N322" s="156" t="n">
        <v>0</v>
      </c>
      <c r="O322" s="156" t="n">
        <v>0</v>
      </c>
      <c r="P322" s="156" t="n">
        <v>0</v>
      </c>
      <c r="Q322" s="156" t="n">
        <v>0</v>
      </c>
      <c r="R322" s="156" t="n">
        <v>0</v>
      </c>
      <c r="S322" s="156" t="n">
        <v>0</v>
      </c>
      <c r="T322" s="156" t="n">
        <v>0</v>
      </c>
      <c r="U322" s="156" t="n">
        <v>0</v>
      </c>
      <c r="W322" s="156">
        <f>INDEX(Matrix!$AA$2:$AA$33, MATCH(G322, Matrix!$AC$2:$AC$33, 0))</f>
        <v/>
      </c>
      <c r="X322" s="156">
        <f>_xlfn.IFNA(MATCH(E320,'Injury Report'!$C$2:$C$6216,0),0)</f>
        <v/>
      </c>
    </row>
    <row r="323" ht="15.6" customHeight="1" s="152">
      <c r="A323" s="212" t="n">
        <v>320</v>
      </c>
      <c r="B323" s="167">
        <f>F323&amp;G323</f>
        <v/>
      </c>
      <c r="C323" s="156">
        <f>(K323/MAX(K:K)*$K$1)+(L323/MAX(L:L)*$L$1)+(M323/MAX(M:M)*$M$1)+(N323/MAX(N:N)*$N$1)+(T323/MAX(T:T)*$T$1)</f>
        <v/>
      </c>
      <c r="D323" s="156">
        <f>IFERROR(VLOOKUP(B323,#REF!,7,0),"")</f>
        <v/>
      </c>
      <c r="E323" s="156">
        <f>IFERROR(VLOOKUP(F323,AllPlayers!F:F,1,0),"------------")</f>
        <v/>
      </c>
      <c r="F323" s="156" t="inlineStr">
        <is>
          <t>Jonnu Smith</t>
        </is>
      </c>
      <c r="G323" s="156">
        <f>VLOOKUP(F323,AllPlayers!Q:R,2,0)</f>
        <v/>
      </c>
      <c r="H323" s="156" t="inlineStr">
        <is>
          <t>TE</t>
        </is>
      </c>
      <c r="I323" s="156" t="n">
        <v>2</v>
      </c>
      <c r="J323" s="156" t="n">
        <v>0</v>
      </c>
      <c r="K323" s="156" t="n">
        <v>0</v>
      </c>
      <c r="L323" s="281">
        <f>IF(J323=0,0,K323/J323)</f>
        <v/>
      </c>
      <c r="M323" s="281">
        <f>K323/17</f>
        <v/>
      </c>
      <c r="N323" s="156" t="n">
        <v>0</v>
      </c>
      <c r="O323" s="156" t="n">
        <v>0</v>
      </c>
      <c r="P323" s="156" t="n">
        <v>0</v>
      </c>
      <c r="Q323" s="156" t="n">
        <v>0</v>
      </c>
      <c r="R323" s="156" t="n">
        <v>0</v>
      </c>
      <c r="S323" s="156" t="n">
        <v>0</v>
      </c>
      <c r="T323" s="156" t="n">
        <v>0</v>
      </c>
      <c r="U323" s="156" t="n">
        <v>0</v>
      </c>
      <c r="W323" s="156">
        <f>INDEX(Matrix!$AA$2:$AA$33, MATCH(G323, Matrix!$AC$2:$AC$33, 0))</f>
        <v/>
      </c>
      <c r="X323" s="156">
        <f>_xlfn.IFNA(MATCH(E321,'Injury Report'!$C$2:$C$6216,0),0)</f>
        <v/>
      </c>
    </row>
    <row r="324" ht="15.6" customHeight="1" s="152">
      <c r="A324" s="212" t="n">
        <v>321</v>
      </c>
      <c r="B324" s="167">
        <f>F324&amp;G324</f>
        <v/>
      </c>
      <c r="C324" s="156">
        <f>(K324/MAX(K:K)*$K$1)+(L324/MAX(L:L)*$L$1)+(M324/MAX(M:M)*$M$1)+(N324/MAX(N:N)*$N$1)+(T324/MAX(T:T)*$T$1)</f>
        <v/>
      </c>
      <c r="D324" s="156">
        <f>IFERROR(VLOOKUP(B324,#REF!,7,0),"")</f>
        <v/>
      </c>
      <c r="E324" s="156">
        <f>IFERROR(VLOOKUP(F324,AllPlayers!F:F,1,0),"------------")</f>
        <v/>
      </c>
      <c r="F324" s="156" t="inlineStr">
        <is>
          <t>Nick Mullens</t>
        </is>
      </c>
      <c r="G324" s="156">
        <f>VLOOKUP(F324,AllPlayers!Q:R,2,0)</f>
        <v/>
      </c>
      <c r="H324" s="156" t="inlineStr">
        <is>
          <t>QB</t>
        </is>
      </c>
      <c r="I324" s="156" t="n">
        <v>2</v>
      </c>
      <c r="J324" s="156" t="n">
        <v>3</v>
      </c>
      <c r="K324" s="156" t="n">
        <v>-2</v>
      </c>
      <c r="L324" s="281">
        <f>IF(J324=0,0,K324/J324)</f>
        <v/>
      </c>
      <c r="M324" s="281">
        <f>K324/17</f>
        <v/>
      </c>
      <c r="N324" s="156" t="n">
        <v>0</v>
      </c>
      <c r="O324" s="156" t="n">
        <v>0</v>
      </c>
      <c r="P324" s="156" t="n">
        <v>0</v>
      </c>
      <c r="Q324" s="156" t="n">
        <v>0</v>
      </c>
      <c r="R324" s="156" t="n">
        <v>0</v>
      </c>
      <c r="S324" s="156" t="n">
        <v>0</v>
      </c>
      <c r="T324" s="156" t="n">
        <v>0</v>
      </c>
      <c r="U324" s="156" t="n">
        <v>0</v>
      </c>
      <c r="W324" s="156">
        <f>INDEX(Matrix!$AA$2:$AA$33, MATCH(G324, Matrix!$AC$2:$AC$33, 0))</f>
        <v/>
      </c>
      <c r="X324" s="156">
        <f>_xlfn.IFNA(MATCH(E322,'Injury Report'!$C$2:$C$6216,0),0)</f>
        <v/>
      </c>
    </row>
    <row r="325" ht="15.6" customHeight="1" s="152">
      <c r="A325" s="212" t="n">
        <v>322</v>
      </c>
      <c r="B325" s="167">
        <f>F325&amp;G325</f>
        <v/>
      </c>
      <c r="C325" s="156">
        <f>(K325/MAX(K:K)*$K$1)+(L325/MAX(L:L)*$L$1)+(M325/MAX(M:M)*$M$1)+(N325/MAX(N:N)*$N$1)+(T325/MAX(T:T)*$T$1)</f>
        <v/>
      </c>
      <c r="D325" s="156">
        <f>IFERROR(VLOOKUP(B325,#REF!,7,0),"")</f>
        <v/>
      </c>
      <c r="E325" s="156">
        <f>IFERROR(VLOOKUP(F325,AllPlayers!F:F,1,0),"------------")</f>
        <v/>
      </c>
      <c r="F325" s="156" t="inlineStr">
        <is>
          <t>Jake Browning</t>
        </is>
      </c>
      <c r="G325" s="156">
        <f>VLOOKUP(F325,AllPlayers!Q:R,2,0)</f>
        <v/>
      </c>
      <c r="H325" s="156" t="inlineStr">
        <is>
          <t>QB</t>
        </is>
      </c>
      <c r="I325" s="156" t="n">
        <v>1</v>
      </c>
      <c r="J325" s="156" t="n">
        <v>1</v>
      </c>
      <c r="K325" s="156" t="n">
        <v>1</v>
      </c>
      <c r="L325" s="281">
        <f>IF(J325=0,0,K325/J325)</f>
        <v/>
      </c>
      <c r="M325" s="281">
        <f>K325/17</f>
        <v/>
      </c>
      <c r="N325" s="156" t="n">
        <v>1</v>
      </c>
      <c r="O325" s="156" t="n">
        <v>0</v>
      </c>
      <c r="P325" s="156" t="n">
        <v>0</v>
      </c>
      <c r="Q325" s="156" t="n">
        <v>0</v>
      </c>
      <c r="R325" s="156" t="n">
        <v>0</v>
      </c>
      <c r="S325" s="156" t="n">
        <v>0</v>
      </c>
      <c r="T325" s="156" t="n">
        <v>0</v>
      </c>
      <c r="U325" s="156" t="n">
        <v>0</v>
      </c>
      <c r="W325" s="156">
        <f>INDEX(Matrix!$AA$2:$AA$33, MATCH(G325, Matrix!$AC$2:$AC$33, 0))</f>
        <v/>
      </c>
      <c r="X325" s="156">
        <f>_xlfn.IFNA(MATCH(E323,'Injury Report'!$C$2:$C$6216,0),0)</f>
        <v/>
      </c>
    </row>
    <row r="326" ht="15.6" customHeight="1" s="152">
      <c r="A326" s="212" t="n">
        <v>323</v>
      </c>
      <c r="B326" s="167">
        <f>F326&amp;G326</f>
        <v/>
      </c>
      <c r="C326" s="156">
        <f>(K326/MAX(K:K)*$K$1)+(L326/MAX(L:L)*$L$1)+(M326/MAX(M:M)*$M$1)+(N326/MAX(N:N)*$N$1)+(T326/MAX(T:T)*$T$1)</f>
        <v/>
      </c>
      <c r="D326" s="156">
        <f>IFERROR(VLOOKUP(B326,#REF!,7,0),"")</f>
        <v/>
      </c>
      <c r="E326" s="156">
        <f>IFERROR(VLOOKUP(F326,AllPlayers!F:F,1,0),"------------")</f>
        <v/>
      </c>
      <c r="F326" s="156" t="inlineStr">
        <is>
          <t>Tavierre Thomas</t>
        </is>
      </c>
      <c r="G326" s="156">
        <f>VLOOKUP(F326,AllPlayers!Q:R,2,0)</f>
        <v/>
      </c>
      <c r="H326" s="156" t="inlineStr">
        <is>
          <t>CB</t>
        </is>
      </c>
      <c r="I326" s="156" t="n">
        <v>2</v>
      </c>
      <c r="J326" s="156" t="n">
        <v>0</v>
      </c>
      <c r="K326" s="156" t="n">
        <v>0</v>
      </c>
      <c r="L326" s="281">
        <f>IF(J326=0,0,K326/J326)</f>
        <v/>
      </c>
      <c r="M326" s="281">
        <f>K326/17</f>
        <v/>
      </c>
      <c r="N326" s="156" t="n">
        <v>0</v>
      </c>
      <c r="O326" s="156" t="n">
        <v>0</v>
      </c>
      <c r="P326" s="156" t="n">
        <v>0</v>
      </c>
      <c r="Q326" s="156" t="n">
        <v>0</v>
      </c>
      <c r="R326" s="156" t="n">
        <v>0</v>
      </c>
      <c r="S326" s="156" t="n">
        <v>0</v>
      </c>
      <c r="T326" s="156" t="n">
        <v>0</v>
      </c>
      <c r="U326" s="156" t="n">
        <v>0</v>
      </c>
      <c r="W326" s="156">
        <f>INDEX(Matrix!$AA$2:$AA$33, MATCH(G326, Matrix!$AC$2:$AC$33, 0))</f>
        <v/>
      </c>
      <c r="X326" s="156">
        <f>_xlfn.IFNA(MATCH(E324,'Injury Report'!$C$2:$C$6216,0),0)</f>
        <v/>
      </c>
    </row>
    <row r="327" ht="15.6" customHeight="1" s="152">
      <c r="A327" s="212" t="n">
        <v>324</v>
      </c>
      <c r="B327" s="167">
        <f>F327&amp;G327</f>
        <v/>
      </c>
      <c r="C327" s="156">
        <f>(K327/MAX(K:K)*$K$1)+(L327/MAX(L:L)*$L$1)+(M327/MAX(M:M)*$M$1)+(N327/MAX(N:N)*$N$1)+(T327/MAX(T:T)*$T$1)</f>
        <v/>
      </c>
      <c r="D327" s="156">
        <f>IFERROR(VLOOKUP(B327,#REF!,7,0),"")</f>
        <v/>
      </c>
      <c r="E327" s="156">
        <f>IFERROR(VLOOKUP(F327,AllPlayers!F:F,1,0),"------------")</f>
        <v/>
      </c>
      <c r="F327" s="156" t="inlineStr">
        <is>
          <t>Drake London</t>
        </is>
      </c>
      <c r="G327" s="156">
        <f>VLOOKUP(F327,AllPlayers!Q:R,2,0)</f>
        <v/>
      </c>
      <c r="H327" s="156" t="inlineStr">
        <is>
          <t>WR</t>
        </is>
      </c>
      <c r="I327" s="156" t="n">
        <v>2</v>
      </c>
      <c r="J327" s="156" t="n">
        <v>0</v>
      </c>
      <c r="K327" s="156" t="n">
        <v>0</v>
      </c>
      <c r="L327" s="281">
        <f>IF(J327=0,0,K327/J327)</f>
        <v/>
      </c>
      <c r="M327" s="281">
        <f>K327/17</f>
        <v/>
      </c>
      <c r="N327" s="156" t="n">
        <v>0</v>
      </c>
      <c r="O327" s="156" t="n">
        <v>0</v>
      </c>
      <c r="P327" s="156" t="n">
        <v>0</v>
      </c>
      <c r="Q327" s="156" t="n">
        <v>0</v>
      </c>
      <c r="R327" s="156" t="n">
        <v>0</v>
      </c>
      <c r="S327" s="156" t="n">
        <v>0</v>
      </c>
      <c r="T327" s="156" t="n">
        <v>0</v>
      </c>
      <c r="U327" s="156" t="n">
        <v>0</v>
      </c>
      <c r="W327" s="156">
        <f>INDEX(Matrix!$AA$2:$AA$33, MATCH(G327, Matrix!$AC$2:$AC$33, 0))</f>
        <v/>
      </c>
      <c r="X327" s="156">
        <f>_xlfn.IFNA(MATCH(E325,'Injury Report'!$C$2:$C$6216,0),0)</f>
        <v/>
      </c>
    </row>
    <row r="328" ht="15.6" customHeight="1" s="152">
      <c r="A328" s="212" t="n">
        <v>325</v>
      </c>
      <c r="B328" s="167">
        <f>F328&amp;G328</f>
        <v/>
      </c>
      <c r="C328" s="156">
        <f>(K328/MAX(K:K)*$K$1)+(L328/MAX(L:L)*$L$1)+(M328/MAX(M:M)*$M$1)+(N328/MAX(N:N)*$N$1)+(T328/MAX(T:T)*$T$1)</f>
        <v/>
      </c>
      <c r="D328" s="156">
        <f>IFERROR(VLOOKUP(B328,#REF!,7,0),"")</f>
        <v/>
      </c>
      <c r="E328" s="156">
        <f>IFERROR(VLOOKUP(F328,AllPlayers!F:F,1,0),"------------")</f>
        <v/>
      </c>
      <c r="F328" s="156" t="inlineStr">
        <is>
          <t>Brandin Cooks</t>
        </is>
      </c>
      <c r="G328" s="156">
        <f>VLOOKUP(F328,AllPlayers!Q:R,2,0)</f>
        <v/>
      </c>
      <c r="H328" s="156" t="inlineStr">
        <is>
          <t>WR</t>
        </is>
      </c>
      <c r="I328" s="156" t="n">
        <v>2</v>
      </c>
      <c r="J328" s="156" t="n">
        <v>0</v>
      </c>
      <c r="K328" s="156" t="n">
        <v>0</v>
      </c>
      <c r="L328" s="281">
        <f>IF(J328=0,0,K328/J328)</f>
        <v/>
      </c>
      <c r="M328" s="281">
        <f>K328/17</f>
        <v/>
      </c>
      <c r="N328" s="156" t="n">
        <v>0</v>
      </c>
      <c r="O328" s="156" t="n">
        <v>0</v>
      </c>
      <c r="P328" s="156" t="n">
        <v>0</v>
      </c>
      <c r="Q328" s="156" t="n">
        <v>0</v>
      </c>
      <c r="R328" s="156" t="n">
        <v>0</v>
      </c>
      <c r="S328" s="156" t="n">
        <v>0</v>
      </c>
      <c r="T328" s="156" t="n">
        <v>0</v>
      </c>
      <c r="U328" s="156" t="n">
        <v>0</v>
      </c>
      <c r="W328" s="156">
        <f>INDEX(Matrix!$AA$2:$AA$33, MATCH(G328, Matrix!$AC$2:$AC$33, 0))</f>
        <v/>
      </c>
      <c r="X328" s="156">
        <f>_xlfn.IFNA(MATCH(E326,'Injury Report'!$C$2:$C$6216,0),0)</f>
        <v/>
      </c>
    </row>
    <row r="329" ht="15.6" customHeight="1" s="152">
      <c r="A329" s="212" t="n">
        <v>326</v>
      </c>
      <c r="B329" s="167">
        <f>F329&amp;G329</f>
        <v/>
      </c>
      <c r="C329" s="156">
        <f>(K329/MAX(K:K)*$K$1)+(L329/MAX(L:L)*$L$1)+(M329/MAX(M:M)*$M$1)+(N329/MAX(N:N)*$N$1)+(T329/MAX(T:T)*$T$1)</f>
        <v/>
      </c>
      <c r="D329" s="156">
        <f>IFERROR(VLOOKUP(B329,#REF!,7,0),"")</f>
        <v/>
      </c>
      <c r="E329" s="156">
        <f>IFERROR(VLOOKUP(F329,AllPlayers!F:F,1,0),"------------")</f>
        <v/>
      </c>
      <c r="F329" s="156" t="inlineStr">
        <is>
          <t>Jalen Reagor</t>
        </is>
      </c>
      <c r="G329" s="156">
        <f>VLOOKUP(F329,AllPlayers!Q:R,2,0)</f>
        <v/>
      </c>
      <c r="H329" s="156" t="inlineStr">
        <is>
          <t>WR</t>
        </is>
      </c>
      <c r="I329" s="156" t="n">
        <v>2</v>
      </c>
      <c r="J329" s="156" t="n">
        <v>3</v>
      </c>
      <c r="K329" s="156" t="n">
        <v>-3</v>
      </c>
      <c r="L329" s="281">
        <f>IF(J329=0,0,K329/J329)</f>
        <v/>
      </c>
      <c r="M329" s="281">
        <f>K329/17</f>
        <v/>
      </c>
      <c r="N329" s="156" t="n">
        <v>0</v>
      </c>
      <c r="O329" s="156" t="n">
        <v>0</v>
      </c>
      <c r="P329" s="156" t="n">
        <v>0</v>
      </c>
      <c r="Q329" s="156" t="n">
        <v>0</v>
      </c>
      <c r="R329" s="156" t="n">
        <v>0</v>
      </c>
      <c r="S329" s="156" t="n">
        <v>0</v>
      </c>
      <c r="T329" s="156" t="n">
        <v>1</v>
      </c>
      <c r="U329" s="156" t="n">
        <v>1</v>
      </c>
      <c r="W329" s="156">
        <f>INDEX(Matrix!$AA$2:$AA$33, MATCH(G329, Matrix!$AC$2:$AC$33, 0))</f>
        <v/>
      </c>
      <c r="X329" s="156">
        <f>_xlfn.IFNA(MATCH(E327,'Injury Report'!$C$2:$C$6216,0),0)</f>
        <v/>
      </c>
    </row>
    <row r="330" ht="15.6" customHeight="1" s="152">
      <c r="A330" s="212" t="n">
        <v>327</v>
      </c>
      <c r="B330" s="167">
        <f>F330&amp;G330</f>
        <v/>
      </c>
      <c r="C330" s="156">
        <f>(K330/MAX(K:K)*$K$1)+(L330/MAX(L:L)*$L$1)+(M330/MAX(M:M)*$M$1)+(N330/MAX(N:N)*$N$1)+(T330/MAX(T:T)*$T$1)</f>
        <v/>
      </c>
      <c r="D330" s="156">
        <f>IFERROR(VLOOKUP(B330,#REF!,7,0),"")</f>
        <v/>
      </c>
      <c r="E330" s="156">
        <f>IFERROR(VLOOKUP(F330,AllPlayers!F:F,1,0),"------------")</f>
        <v/>
      </c>
      <c r="F330" s="156" t="inlineStr">
        <is>
          <t>Noah Gray</t>
        </is>
      </c>
      <c r="G330" s="156">
        <f>VLOOKUP(F330,AllPlayers!Q:R,2,0)</f>
        <v/>
      </c>
      <c r="H330" s="156" t="inlineStr">
        <is>
          <t>TE</t>
        </is>
      </c>
      <c r="I330" s="156" t="n">
        <v>2</v>
      </c>
      <c r="J330" s="156" t="n">
        <v>0</v>
      </c>
      <c r="K330" s="156" t="n">
        <v>0</v>
      </c>
      <c r="L330" s="281">
        <f>IF(J330=0,0,K330/J330)</f>
        <v/>
      </c>
      <c r="M330" s="281">
        <f>K330/17</f>
        <v/>
      </c>
      <c r="N330" s="156" t="n">
        <v>0</v>
      </c>
      <c r="O330" s="156" t="n">
        <v>0</v>
      </c>
      <c r="P330" s="156" t="n">
        <v>0</v>
      </c>
      <c r="Q330" s="156" t="n">
        <v>0</v>
      </c>
      <c r="R330" s="156" t="n">
        <v>0</v>
      </c>
      <c r="S330" s="156" t="n">
        <v>0</v>
      </c>
      <c r="T330" s="156" t="n">
        <v>0</v>
      </c>
      <c r="U330" s="156" t="n">
        <v>0</v>
      </c>
      <c r="W330" s="156">
        <f>INDEX(Matrix!$AA$2:$AA$33, MATCH(G330, Matrix!$AC$2:$AC$33, 0))</f>
        <v/>
      </c>
      <c r="X330" s="156">
        <f>_xlfn.IFNA(MATCH(E328,'Injury Report'!$C$2:$C$6216,0),0)</f>
        <v/>
      </c>
    </row>
    <row r="331" ht="15.6" customHeight="1" s="152">
      <c r="A331" s="212" t="n">
        <v>328</v>
      </c>
      <c r="B331" s="167">
        <f>F331&amp;G331</f>
        <v/>
      </c>
      <c r="C331" s="156">
        <f>(K331/MAX(K:K)*$K$1)+(L331/MAX(L:L)*$L$1)+(M331/MAX(M:M)*$M$1)+(N331/MAX(N:N)*$N$1)+(T331/MAX(T:T)*$T$1)</f>
        <v/>
      </c>
      <c r="D331" s="156">
        <f>IFERROR(VLOOKUP(B331,#REF!,7,0),"")</f>
        <v/>
      </c>
      <c r="E331" s="156">
        <f>IFERROR(VLOOKUP(F331,AllPlayers!F:F,1,0),"------------")</f>
        <v/>
      </c>
      <c r="F331" s="156" t="inlineStr">
        <is>
          <t>Jalen Nailor</t>
        </is>
      </c>
      <c r="G331" s="156">
        <f>VLOOKUP(F331,AllPlayers!Q:R,2,0)</f>
        <v/>
      </c>
      <c r="H331" s="156" t="inlineStr">
        <is>
          <t>WR</t>
        </is>
      </c>
      <c r="I331" s="156" t="n">
        <v>2</v>
      </c>
      <c r="J331" s="156" t="n">
        <v>0</v>
      </c>
      <c r="K331" s="156" t="n">
        <v>0</v>
      </c>
      <c r="L331" s="281">
        <f>IF(J331=0,0,K331/J331)</f>
        <v/>
      </c>
      <c r="M331" s="281">
        <f>K331/17</f>
        <v/>
      </c>
      <c r="N331" s="156" t="n">
        <v>0</v>
      </c>
      <c r="O331" s="156" t="n">
        <v>0</v>
      </c>
      <c r="P331" s="156" t="n">
        <v>0</v>
      </c>
      <c r="Q331" s="156" t="n">
        <v>0</v>
      </c>
      <c r="R331" s="156" t="n">
        <v>0</v>
      </c>
      <c r="S331" s="156" t="n">
        <v>0</v>
      </c>
      <c r="T331" s="156" t="n">
        <v>0</v>
      </c>
      <c r="U331" s="156" t="n">
        <v>0</v>
      </c>
      <c r="W331" s="156">
        <f>INDEX(Matrix!$AA$2:$AA$33, MATCH(G331, Matrix!$AC$2:$AC$33, 0))</f>
        <v/>
      </c>
      <c r="X331" s="156">
        <f>_xlfn.IFNA(MATCH(E329,'Injury Report'!$C$2:$C$6216,0),0)</f>
        <v/>
      </c>
    </row>
    <row r="332" ht="15.6" customHeight="1" s="152">
      <c r="A332" s="212" t="n">
        <v>329</v>
      </c>
      <c r="B332" s="167">
        <f>F332&amp;G332</f>
        <v/>
      </c>
      <c r="C332" s="156">
        <f>(K332/MAX(K:K)*$K$1)+(L332/MAX(L:L)*$L$1)+(M332/MAX(M:M)*$M$1)+(N332/MAX(N:N)*$N$1)+(T332/MAX(T:T)*$T$1)</f>
        <v/>
      </c>
      <c r="D332" s="156">
        <f>IFERROR(VLOOKUP(B332,#REF!,7,0),"")</f>
        <v/>
      </c>
      <c r="E332" s="156">
        <f>IFERROR(VLOOKUP(F332,AllPlayers!F:F,1,0),"------------")</f>
        <v/>
      </c>
      <c r="F332" s="156" t="inlineStr">
        <is>
          <t>Kadarius Toney</t>
        </is>
      </c>
      <c r="G332" s="156">
        <f>VLOOKUP(F332,AllPlayers!Q:R,2,0)</f>
        <v/>
      </c>
      <c r="H332" s="156" t="inlineStr">
        <is>
          <t>WR</t>
        </is>
      </c>
      <c r="I332" s="156" t="n">
        <v>2</v>
      </c>
      <c r="J332" s="156" t="n">
        <v>2</v>
      </c>
      <c r="K332" s="156" t="n">
        <v>-4</v>
      </c>
      <c r="L332" s="281">
        <f>IF(J332=0,0,K332/J332)</f>
        <v/>
      </c>
      <c r="M332" s="281">
        <f>K332/17</f>
        <v/>
      </c>
      <c r="N332" s="156" t="n">
        <v>0</v>
      </c>
      <c r="O332" s="156" t="n">
        <v>0</v>
      </c>
      <c r="P332" s="156" t="n">
        <v>0</v>
      </c>
      <c r="Q332" s="156" t="n">
        <v>0</v>
      </c>
      <c r="R332" s="156" t="n">
        <v>0</v>
      </c>
      <c r="S332" s="156" t="n">
        <v>0</v>
      </c>
      <c r="T332" s="156" t="n">
        <v>0</v>
      </c>
      <c r="U332" s="156" t="n">
        <v>0</v>
      </c>
      <c r="W332" s="156">
        <f>INDEX(Matrix!$AA$2:$AA$33, MATCH(G332, Matrix!$AC$2:$AC$33, 0))</f>
        <v/>
      </c>
      <c r="X332" s="156">
        <f>_xlfn.IFNA(MATCH(E330,'Injury Report'!$C$2:$C$6216,0),0)</f>
        <v/>
      </c>
    </row>
    <row r="333" ht="15.6" customHeight="1" s="152">
      <c r="A333" s="212" t="n">
        <v>330</v>
      </c>
      <c r="B333" s="167">
        <f>F333&amp;G333</f>
        <v/>
      </c>
      <c r="C333" s="156">
        <f>(K333/MAX(K:K)*$K$1)+(L333/MAX(L:L)*$L$1)+(M333/MAX(M:M)*$M$1)+(N333/MAX(N:N)*$N$1)+(T333/MAX(T:T)*$T$1)</f>
        <v/>
      </c>
      <c r="D333" s="156">
        <f>IFERROR(VLOOKUP(B333,#REF!,7,0),"")</f>
        <v/>
      </c>
      <c r="E333" s="156">
        <f>IFERROR(VLOOKUP(F333,AllPlayers!F:F,1,0),"------------")</f>
        <v/>
      </c>
      <c r="F333" s="156" t="inlineStr">
        <is>
          <t>Clayton Tune</t>
        </is>
      </c>
      <c r="G333" s="156">
        <f>VLOOKUP(F333,AllPlayers!Q:R,2,0)</f>
        <v/>
      </c>
      <c r="H333" s="156" t="inlineStr">
        <is>
          <t>QB</t>
        </is>
      </c>
      <c r="I333" s="156" t="n">
        <v>5</v>
      </c>
      <c r="J333" s="156" t="n">
        <v>7</v>
      </c>
      <c r="K333" s="156" t="n">
        <v>-4</v>
      </c>
      <c r="L333" s="281">
        <f>IF(J333=0,0,K333/J333)</f>
        <v/>
      </c>
      <c r="M333" s="281">
        <f>K333/17</f>
        <v/>
      </c>
      <c r="N333" s="156" t="n">
        <v>0</v>
      </c>
      <c r="O333" s="156" t="n">
        <v>0</v>
      </c>
      <c r="P333" s="156" t="n">
        <v>0</v>
      </c>
      <c r="Q333" s="156" t="n">
        <v>0</v>
      </c>
      <c r="R333" s="156" t="n">
        <v>0</v>
      </c>
      <c r="S333" s="156" t="n">
        <v>0</v>
      </c>
      <c r="T333" s="156" t="n">
        <v>1</v>
      </c>
      <c r="U333" s="156" t="n">
        <v>1</v>
      </c>
      <c r="W333" s="156">
        <f>INDEX(Matrix!$AA$2:$AA$33, MATCH(G333, Matrix!$AC$2:$AC$33, 0))</f>
        <v/>
      </c>
      <c r="X333" s="156">
        <f>_xlfn.IFNA(MATCH(E331,'Injury Report'!$C$2:$C$6216,0),0)</f>
        <v/>
      </c>
    </row>
    <row r="334" ht="15.6" customHeight="1" s="152">
      <c r="A334" s="212" t="n">
        <v>331</v>
      </c>
      <c r="B334" s="167">
        <f>F334&amp;G334</f>
        <v/>
      </c>
      <c r="C334" s="156">
        <f>(K334/MAX(K:K)*$K$1)+(L334/MAX(L:L)*$L$1)+(M334/MAX(M:M)*$M$1)+(N334/MAX(N:N)*$N$1)+(T334/MAX(T:T)*$T$1)</f>
        <v/>
      </c>
      <c r="D334" s="156">
        <f>IFERROR(VLOOKUP(B334,#REF!,7,0),"")</f>
        <v/>
      </c>
      <c r="E334" s="156">
        <f>IFERROR(VLOOKUP(F334,AllPlayers!F:F,1,0),"------------")</f>
        <v/>
      </c>
      <c r="F334" s="156" t="inlineStr">
        <is>
          <t>Drew Sample</t>
        </is>
      </c>
      <c r="G334" s="156">
        <f>VLOOKUP(F334,AllPlayers!Q:R,2,0)</f>
        <v/>
      </c>
      <c r="H334" s="156" t="inlineStr">
        <is>
          <t>TE</t>
        </is>
      </c>
      <c r="I334" s="156" t="n">
        <v>2</v>
      </c>
      <c r="J334" s="156" t="n">
        <v>0</v>
      </c>
      <c r="K334" s="156" t="n">
        <v>0</v>
      </c>
      <c r="L334" s="281">
        <f>IF(J334=0,0,K334/J334)</f>
        <v/>
      </c>
      <c r="M334" s="281">
        <f>K334/17</f>
        <v/>
      </c>
      <c r="N334" s="156" t="n">
        <v>0</v>
      </c>
      <c r="O334" s="156" t="n">
        <v>0</v>
      </c>
      <c r="P334" s="156" t="n">
        <v>0</v>
      </c>
      <c r="Q334" s="156" t="n">
        <v>0</v>
      </c>
      <c r="R334" s="156" t="n">
        <v>0</v>
      </c>
      <c r="S334" s="156" t="n">
        <v>0</v>
      </c>
      <c r="T334" s="156" t="n">
        <v>0</v>
      </c>
      <c r="U334" s="156" t="n">
        <v>0</v>
      </c>
      <c r="W334" s="156">
        <f>INDEX(Matrix!$AA$2:$AA$33, MATCH(G334, Matrix!$AC$2:$AC$33, 0))</f>
        <v/>
      </c>
      <c r="X334" s="156">
        <f>_xlfn.IFNA(MATCH(E332,'Injury Report'!$C$2:$C$6216,0),0)</f>
        <v/>
      </c>
    </row>
    <row r="335" ht="15.6" customHeight="1" s="152">
      <c r="A335" s="212" t="n">
        <v>332</v>
      </c>
      <c r="B335" s="167">
        <f>F335&amp;G335</f>
        <v/>
      </c>
      <c r="C335" s="156">
        <f>(K335/MAX(K:K)*$K$1)+(L335/MAX(L:L)*$L$1)+(M335/MAX(M:M)*$M$1)+(N335/MAX(N:N)*$N$1)+(T335/MAX(T:T)*$T$1)</f>
        <v/>
      </c>
      <c r="D335" s="156">
        <f>IFERROR(VLOOKUP(B335,#REF!,7,0),"")</f>
        <v/>
      </c>
      <c r="E335" s="156">
        <f>IFERROR(VLOOKUP(F335,AllPlayers!F:F,1,0),"------------")</f>
        <v/>
      </c>
      <c r="F335" s="156" t="inlineStr">
        <is>
          <t>Kyle Trask</t>
        </is>
      </c>
      <c r="G335" s="156">
        <f>VLOOKUP(F335,AllPlayers!Q:R,2,0)</f>
        <v/>
      </c>
      <c r="H335" s="156" t="inlineStr">
        <is>
          <t>QB</t>
        </is>
      </c>
      <c r="I335" s="156" t="n">
        <v>2</v>
      </c>
      <c r="J335" s="156" t="n">
        <v>5</v>
      </c>
      <c r="K335" s="156" t="n">
        <v>-4</v>
      </c>
      <c r="L335" s="281">
        <f>IF(J335=0,0,K335/J335)</f>
        <v/>
      </c>
      <c r="M335" s="281">
        <f>K335/17</f>
        <v/>
      </c>
      <c r="N335" s="156" t="n">
        <v>0</v>
      </c>
      <c r="O335" s="156" t="n">
        <v>0</v>
      </c>
      <c r="P335" s="156" t="n">
        <v>0</v>
      </c>
      <c r="Q335" s="156" t="n">
        <v>0</v>
      </c>
      <c r="R335" s="156" t="n">
        <v>0</v>
      </c>
      <c r="S335" s="156" t="n">
        <v>0</v>
      </c>
      <c r="T335" s="156" t="n">
        <v>0</v>
      </c>
      <c r="U335" s="156" t="n">
        <v>0</v>
      </c>
      <c r="W335" s="156">
        <f>INDEX(Matrix!$AA$2:$AA$33, MATCH(G335, Matrix!$AC$2:$AC$33, 0))</f>
        <v/>
      </c>
      <c r="X335" s="156">
        <f>_xlfn.IFNA(MATCH(E333,'Injury Report'!$C$2:$C$6216,0),0)</f>
        <v/>
      </c>
    </row>
    <row r="336" ht="15.6" customHeight="1" s="152">
      <c r="A336" s="212" t="n">
        <v>333</v>
      </c>
      <c r="B336" s="167">
        <f>F336&amp;G336</f>
        <v/>
      </c>
      <c r="C336" s="156">
        <f>(K336/MAX(K:K)*$K$1)+(L336/MAX(L:L)*$L$1)+(M336/MAX(M:M)*$M$1)+(N336/MAX(N:N)*$N$1)+(T336/MAX(T:T)*$T$1)</f>
        <v/>
      </c>
      <c r="D336" s="156">
        <f>IFERROR(VLOOKUP(B336,#REF!,7,0),"")</f>
        <v/>
      </c>
      <c r="E336" s="156">
        <f>IFERROR(VLOOKUP(F336,AllPlayers!F:F,1,0),"------------")</f>
        <v/>
      </c>
      <c r="F336" s="156" t="inlineStr">
        <is>
          <t>Cade Otton</t>
        </is>
      </c>
      <c r="G336" s="156">
        <f>VLOOKUP(F336,AllPlayers!Q:R,2,0)</f>
        <v/>
      </c>
      <c r="H336" s="156" t="inlineStr">
        <is>
          <t>TE</t>
        </is>
      </c>
      <c r="I336" s="156" t="n">
        <v>2</v>
      </c>
      <c r="J336" s="156" t="n">
        <v>0</v>
      </c>
      <c r="K336" s="156" t="n">
        <v>0</v>
      </c>
      <c r="L336" s="281">
        <f>IF(J336=0,0,K336/J336)</f>
        <v/>
      </c>
      <c r="M336" s="281">
        <f>K336/17</f>
        <v/>
      </c>
      <c r="N336" s="156" t="n">
        <v>0</v>
      </c>
      <c r="O336" s="156" t="n">
        <v>0</v>
      </c>
      <c r="P336" s="156" t="n">
        <v>0</v>
      </c>
      <c r="Q336" s="156" t="n">
        <v>0</v>
      </c>
      <c r="R336" s="156" t="n">
        <v>0</v>
      </c>
      <c r="S336" s="156" t="n">
        <v>0</v>
      </c>
      <c r="T336" s="156" t="n">
        <v>0</v>
      </c>
      <c r="U336" s="156" t="n">
        <v>0</v>
      </c>
      <c r="W336" s="156">
        <f>INDEX(Matrix!$AA$2:$AA$33, MATCH(G336, Matrix!$AC$2:$AC$33, 0))</f>
        <v/>
      </c>
      <c r="X336" s="156">
        <f>_xlfn.IFNA(MATCH(E334,'Injury Report'!$C$2:$C$6216,0),0)</f>
        <v/>
      </c>
    </row>
    <row r="337" ht="15.6" customHeight="1" s="152">
      <c r="A337" s="212" t="n">
        <v>334</v>
      </c>
      <c r="B337" s="167">
        <f>F337&amp;G337</f>
        <v/>
      </c>
      <c r="C337" s="156">
        <f>(K337/MAX(K:K)*$K$1)+(L337/MAX(L:L)*$L$1)+(M337/MAX(M:M)*$M$1)+(N337/MAX(N:N)*$N$1)+(T337/MAX(T:T)*$T$1)</f>
        <v/>
      </c>
      <c r="D337" s="156">
        <f>IFERROR(VLOOKUP(B337,#REF!,7,0),"")</f>
        <v/>
      </c>
      <c r="E337" s="156">
        <f>IFERROR(VLOOKUP(F337,AllPlayers!F:F,1,0),"------------")</f>
        <v/>
      </c>
      <c r="F337" s="156" t="inlineStr">
        <is>
          <t>Jha'quan Jackson</t>
        </is>
      </c>
      <c r="G337" s="156">
        <f>VLOOKUP(F337,AllPlayers!Q:R,2,0)</f>
        <v/>
      </c>
      <c r="H337" s="156" t="inlineStr">
        <is>
          <t>WR</t>
        </is>
      </c>
      <c r="I337" s="156" t="n">
        <v>1</v>
      </c>
      <c r="J337" s="156" t="n">
        <v>1</v>
      </c>
      <c r="K337" s="156" t="n">
        <v>-5</v>
      </c>
      <c r="L337" s="281">
        <f>IF(J337=0,0,K337/J337)</f>
        <v/>
      </c>
      <c r="M337" s="281">
        <f>K337/17</f>
        <v/>
      </c>
      <c r="N337" s="156" t="n">
        <v>0</v>
      </c>
      <c r="O337" s="156" t="n">
        <v>0</v>
      </c>
      <c r="P337" s="156" t="n">
        <v>0</v>
      </c>
      <c r="Q337" s="156" t="n">
        <v>0</v>
      </c>
      <c r="R337" s="156" t="n">
        <v>0</v>
      </c>
      <c r="S337" s="156" t="n">
        <v>0</v>
      </c>
      <c r="T337" s="156" t="n">
        <v>2</v>
      </c>
      <c r="U337" s="156" t="n">
        <v>0</v>
      </c>
      <c r="W337" s="156">
        <f>INDEX(Matrix!$AA$2:$AA$33, MATCH(G337, Matrix!$AC$2:$AC$33, 0))</f>
        <v/>
      </c>
      <c r="X337" s="156">
        <f>_xlfn.IFNA(MATCH(E335,'Injury Report'!$C$2:$C$6216,0),0)</f>
        <v/>
      </c>
    </row>
    <row r="338" ht="15.6" customHeight="1" s="152">
      <c r="A338" s="212" t="n">
        <v>335</v>
      </c>
      <c r="B338" s="167">
        <f>F338&amp;G338</f>
        <v/>
      </c>
      <c r="C338" s="156">
        <f>(K338/MAX(K:K)*$K$1)+(L338/MAX(L:L)*$L$1)+(M338/MAX(M:M)*$M$1)+(N338/MAX(N:N)*$N$1)+(T338/MAX(T:T)*$T$1)</f>
        <v/>
      </c>
      <c r="D338" s="156">
        <f>IFERROR(VLOOKUP(B338,#REF!,7,0),"")</f>
        <v/>
      </c>
      <c r="E338" s="156">
        <f>IFERROR(VLOOKUP(F338,AllPlayers!F:F,1,0),"------------")</f>
        <v/>
      </c>
      <c r="F338" s="156" t="inlineStr">
        <is>
          <t>Cedric Tillman</t>
        </is>
      </c>
      <c r="G338" s="156">
        <f>VLOOKUP(F338,AllPlayers!Q:R,2,0)</f>
        <v/>
      </c>
      <c r="H338" s="156" t="inlineStr">
        <is>
          <t>WR</t>
        </is>
      </c>
      <c r="I338" s="156" t="n">
        <v>2</v>
      </c>
      <c r="J338" s="156" t="n">
        <v>0</v>
      </c>
      <c r="K338" s="156" t="n">
        <v>0</v>
      </c>
      <c r="L338" s="281">
        <f>IF(J338=0,0,K338/J338)</f>
        <v/>
      </c>
      <c r="M338" s="281">
        <f>K338/17</f>
        <v/>
      </c>
      <c r="N338" s="156" t="n">
        <v>0</v>
      </c>
      <c r="O338" s="156" t="n">
        <v>0</v>
      </c>
      <c r="P338" s="156" t="n">
        <v>0</v>
      </c>
      <c r="Q338" s="156" t="n">
        <v>0</v>
      </c>
      <c r="R338" s="156" t="n">
        <v>0</v>
      </c>
      <c r="S338" s="156" t="n">
        <v>0</v>
      </c>
      <c r="T338" s="156" t="n">
        <v>0</v>
      </c>
      <c r="U338" s="156" t="n">
        <v>0</v>
      </c>
      <c r="W338" s="156">
        <f>INDEX(Matrix!$AA$2:$AA$33, MATCH(G338, Matrix!$AC$2:$AC$33, 0))</f>
        <v/>
      </c>
      <c r="X338" s="156">
        <f>_xlfn.IFNA(MATCH(E336,'Injury Report'!$C$2:$C$6216,0),0)</f>
        <v/>
      </c>
    </row>
    <row r="339" ht="15.6" customHeight="1" s="152">
      <c r="A339" s="212" t="n">
        <v>336</v>
      </c>
      <c r="B339" s="167">
        <f>F339&amp;G339</f>
        <v/>
      </c>
      <c r="C339" s="156">
        <f>(K339/MAX(K:K)*$K$1)+(L339/MAX(L:L)*$L$1)+(M339/MAX(M:M)*$M$1)+(N339/MAX(N:N)*$N$1)+(T339/MAX(T:T)*$T$1)</f>
        <v/>
      </c>
      <c r="D339" s="156">
        <f>IFERROR(VLOOKUP(B339,#REF!,7,0),"")</f>
        <v/>
      </c>
      <c r="E339" s="156">
        <f>IFERROR(VLOOKUP(F339,AllPlayers!F:F,1,0),"------------")</f>
        <v/>
      </c>
      <c r="F339" s="156" t="inlineStr">
        <is>
          <t>George Pickens</t>
        </is>
      </c>
      <c r="G339" s="156">
        <f>VLOOKUP(F339,AllPlayers!Q:R,2,0)</f>
        <v/>
      </c>
      <c r="H339" s="156" t="inlineStr">
        <is>
          <t>WR</t>
        </is>
      </c>
      <c r="I339" s="156" t="n">
        <v>2</v>
      </c>
      <c r="J339" s="156" t="n">
        <v>0</v>
      </c>
      <c r="K339" s="156" t="n">
        <v>0</v>
      </c>
      <c r="L339" s="281">
        <f>IF(J339=0,0,K339/J339)</f>
        <v/>
      </c>
      <c r="M339" s="281">
        <f>K339/17</f>
        <v/>
      </c>
      <c r="N339" s="156" t="n">
        <v>0</v>
      </c>
      <c r="O339" s="156" t="n">
        <v>0</v>
      </c>
      <c r="P339" s="156" t="n">
        <v>0</v>
      </c>
      <c r="Q339" s="156" t="n">
        <v>0</v>
      </c>
      <c r="R339" s="156" t="n">
        <v>0</v>
      </c>
      <c r="S339" s="156" t="n">
        <v>0</v>
      </c>
      <c r="T339" s="156" t="n">
        <v>0</v>
      </c>
      <c r="U339" s="156" t="n">
        <v>0</v>
      </c>
      <c r="W339" s="156">
        <f>INDEX(Matrix!$AA$2:$AA$33, MATCH(G339, Matrix!$AC$2:$AC$33, 0))</f>
        <v/>
      </c>
      <c r="X339" s="156">
        <f>_xlfn.IFNA(MATCH(E337,'Injury Report'!$C$2:$C$6216,0),0)</f>
        <v/>
      </c>
    </row>
    <row r="340" ht="15.6" customHeight="1" s="152">
      <c r="A340" s="212" t="n">
        <v>337</v>
      </c>
      <c r="B340" s="167">
        <f>F340&amp;G340</f>
        <v/>
      </c>
      <c r="C340" s="156">
        <f>(K340/MAX(K:K)*$K$1)+(L340/MAX(L:L)*$L$1)+(M340/MAX(M:M)*$M$1)+(N340/MAX(N:N)*$N$1)+(T340/MAX(T:T)*$T$1)</f>
        <v/>
      </c>
      <c r="D340" s="156">
        <f>IFERROR(VLOOKUP(B340,#REF!,7,0),"")</f>
        <v/>
      </c>
      <c r="E340" s="156">
        <f>IFERROR(VLOOKUP(F340,AllPlayers!F:F,1,0),"------------")</f>
        <v/>
      </c>
      <c r="F340" s="156" t="inlineStr">
        <is>
          <t>Tyson Bagent</t>
        </is>
      </c>
      <c r="G340" s="156">
        <f>VLOOKUP(F340,AllPlayers!Q:R,2,0)</f>
        <v/>
      </c>
      <c r="H340" s="156" t="inlineStr">
        <is>
          <t>QB</t>
        </is>
      </c>
      <c r="I340" s="156" t="n">
        <v>1</v>
      </c>
      <c r="J340" s="156" t="n">
        <v>2</v>
      </c>
      <c r="K340" s="156" t="n">
        <v>7</v>
      </c>
      <c r="L340" s="281">
        <f>IF(J340=0,0,K340/J340)</f>
        <v/>
      </c>
      <c r="M340" s="281">
        <f>K340/17</f>
        <v/>
      </c>
      <c r="N340" s="156" t="n">
        <v>0</v>
      </c>
      <c r="O340" s="156" t="n">
        <v>0</v>
      </c>
      <c r="P340" s="156" t="n">
        <v>0</v>
      </c>
      <c r="Q340" s="156" t="n">
        <v>0</v>
      </c>
      <c r="R340" s="156" t="n">
        <v>0</v>
      </c>
      <c r="S340" s="156" t="n">
        <v>0</v>
      </c>
      <c r="T340" s="156" t="n">
        <v>1</v>
      </c>
      <c r="U340" s="156" t="n">
        <v>0</v>
      </c>
      <c r="W340" s="156">
        <f>INDEX(Matrix!$AA$2:$AA$33, MATCH(G340, Matrix!$AC$2:$AC$33, 0))</f>
        <v/>
      </c>
      <c r="X340" s="156">
        <f>_xlfn.IFNA(MATCH(E338,'Injury Report'!$C$2:$C$6216,0),0)</f>
        <v/>
      </c>
    </row>
    <row r="341" ht="15.6" customHeight="1" s="152">
      <c r="A341" s="212" t="n">
        <v>338</v>
      </c>
      <c r="B341" s="167">
        <f>F341&amp;G341</f>
        <v/>
      </c>
      <c r="C341" s="156">
        <f>(K341/MAX(K:K)*$K$1)+(L341/MAX(L:L)*$L$1)+(M341/MAX(M:M)*$M$1)+(N341/MAX(N:N)*$N$1)+(T341/MAX(T:T)*$T$1)</f>
        <v/>
      </c>
      <c r="D341" s="156">
        <f>IFERROR(VLOOKUP(B341,#REF!,7,0),"")</f>
        <v/>
      </c>
      <c r="E341" s="156">
        <f>IFERROR(VLOOKUP(F341,AllPlayers!F:F,1,0),"------------")</f>
        <v/>
      </c>
      <c r="F341" s="156" t="inlineStr">
        <is>
          <t>Nan</t>
        </is>
      </c>
      <c r="G341" s="156">
        <f>VLOOKUP(F341,AllPlayers!Q:R,2,0)</f>
        <v/>
      </c>
      <c r="I341" s="156" t="n">
        <v>32</v>
      </c>
      <c r="J341" s="156" t="n">
        <v>0</v>
      </c>
      <c r="K341" s="156" t="n">
        <v>0</v>
      </c>
      <c r="N341" s="156" t="n">
        <v>0</v>
      </c>
      <c r="T341" s="156" t="n">
        <v>0</v>
      </c>
      <c r="U341" s="156" t="n">
        <v>0</v>
      </c>
      <c r="W341" s="156">
        <f>INDEX(Matrix!$AA$2:$AA$33, MATCH(G341, Matrix!$AC$2:$AC$33, 0))</f>
        <v/>
      </c>
      <c r="X341" s="156">
        <f>_xlfn.IFNA(MATCH(E339,'Injury Report'!$C$2:$C$6216,0),0)</f>
        <v/>
      </c>
    </row>
    <row r="342" ht="15.6" customHeight="1" s="152">
      <c r="A342" s="212" t="n">
        <v>339</v>
      </c>
      <c r="B342" s="167">
        <f>F342&amp;G342</f>
        <v/>
      </c>
      <c r="C342" s="156">
        <f>(K342/MAX(K:K)*$K$1)+(L342/MAX(L:L)*$L$1)+(M342/MAX(M:M)*$M$1)+(N342/MAX(N:N)*$N$1)+(T342/MAX(T:T)*$T$1)</f>
        <v/>
      </c>
      <c r="D342" s="156">
        <f>IFERROR(VLOOKUP(B342,#REF!,7,0),"")</f>
        <v/>
      </c>
      <c r="E342" s="156">
        <f>IFERROR(VLOOKUP(F342,AllPlayers!F:F,1,0),"------------")</f>
        <v/>
      </c>
      <c r="F342" s="156" t="inlineStr">
        <is>
          <t>Nan</t>
        </is>
      </c>
      <c r="G342" s="156">
        <f>VLOOKUP(F342,AllPlayers!Q:R,2,0)</f>
        <v/>
      </c>
      <c r="I342" s="156" t="n">
        <v>32</v>
      </c>
      <c r="J342" s="156" t="n">
        <v>0</v>
      </c>
      <c r="K342" s="156" t="n">
        <v>0</v>
      </c>
      <c r="N342" s="156" t="n">
        <v>0</v>
      </c>
      <c r="T342" s="156" t="n">
        <v>0</v>
      </c>
      <c r="U342" s="156" t="n">
        <v>0</v>
      </c>
      <c r="W342" s="156">
        <f>INDEX(Matrix!$AA$2:$AA$33, MATCH(G342, Matrix!$AC$2:$AC$33, 0))</f>
        <v/>
      </c>
      <c r="X342" s="156">
        <f>_xlfn.IFNA(MATCH(E340,'Injury Report'!$C$2:$C$6216,0),0)</f>
        <v/>
      </c>
    </row>
    <row r="343" ht="15.6" customHeight="1" s="152">
      <c r="A343" s="212" t="n">
        <v>340</v>
      </c>
      <c r="B343" s="167">
        <f>F343&amp;G343</f>
        <v/>
      </c>
      <c r="C343" s="156">
        <f>(K343/MAX(K:K)*$K$1)+(L343/MAX(L:L)*$L$1)+(M343/MAX(M:M)*$M$1)+(N343/MAX(N:N)*$N$1)+(T343/MAX(T:T)*$T$1)</f>
        <v/>
      </c>
      <c r="D343" s="156">
        <f>IFERROR(VLOOKUP(B343,#REF!,7,0),"")</f>
        <v/>
      </c>
      <c r="E343" s="156">
        <f>IFERROR(VLOOKUP(F343,AllPlayers!F:F,1,0),"------------")</f>
        <v/>
      </c>
      <c r="F343" s="156" t="inlineStr">
        <is>
          <t>Nan</t>
        </is>
      </c>
      <c r="G343" s="156">
        <f>VLOOKUP(F343,AllPlayers!Q:R,2,0)</f>
        <v/>
      </c>
      <c r="I343" s="156" t="n">
        <v>32</v>
      </c>
      <c r="J343" s="156" t="n">
        <v>0</v>
      </c>
      <c r="K343" s="156" t="n">
        <v>0</v>
      </c>
      <c r="N343" s="156" t="n">
        <v>0</v>
      </c>
      <c r="T343" s="156" t="n">
        <v>0</v>
      </c>
      <c r="U343" s="156" t="n">
        <v>0</v>
      </c>
      <c r="W343" s="156">
        <f>INDEX(Matrix!$AA$2:$AA$33, MATCH(G343, Matrix!$AC$2:$AC$33, 0))</f>
        <v/>
      </c>
      <c r="X343" s="156">
        <f>_xlfn.IFNA(MATCH(E341,'Injury Report'!$C$2:$C$6216,0),0)</f>
        <v/>
      </c>
    </row>
    <row r="344" ht="15.6" customHeight="1" s="152">
      <c r="A344" s="212" t="n">
        <v>341</v>
      </c>
      <c r="B344" s="167">
        <f>F344&amp;G344</f>
        <v/>
      </c>
      <c r="C344" s="156">
        <f>(K344/MAX(K:K)*$K$1)+(L344/MAX(L:L)*$L$1)+(M344/MAX(M:M)*$M$1)+(N344/MAX(N:N)*$N$1)+(T344/MAX(T:T)*$T$1)</f>
        <v/>
      </c>
      <c r="D344" s="156">
        <f>IFERROR(VLOOKUP(B344,#REF!,7,0),"")</f>
        <v/>
      </c>
      <c r="E344" s="156">
        <f>IFERROR(VLOOKUP(F344,AllPlayers!F:F,1,0),"------------")</f>
        <v/>
      </c>
      <c r="F344" s="156" t="inlineStr">
        <is>
          <t>Nan</t>
        </is>
      </c>
      <c r="G344" s="156">
        <f>VLOOKUP(F344,AllPlayers!Q:R,2,0)</f>
        <v/>
      </c>
      <c r="I344" s="156" t="n">
        <v>32</v>
      </c>
      <c r="J344" s="156" t="n">
        <v>0</v>
      </c>
      <c r="K344" s="156" t="n">
        <v>0</v>
      </c>
      <c r="N344" s="156" t="n">
        <v>0</v>
      </c>
      <c r="T344" s="156" t="n">
        <v>0</v>
      </c>
      <c r="U344" s="156" t="n">
        <v>0</v>
      </c>
      <c r="W344" s="156">
        <f>INDEX(Matrix!$AA$2:$AA$33, MATCH(G344, Matrix!$AC$2:$AC$33, 0))</f>
        <v/>
      </c>
      <c r="X344" s="156">
        <f>_xlfn.IFNA(MATCH(E342,'Injury Report'!$C$2:$C$6216,0),0)</f>
        <v/>
      </c>
    </row>
    <row r="345" ht="15.6" customHeight="1" s="152">
      <c r="A345" s="212" t="n">
        <v>342</v>
      </c>
      <c r="B345" s="167">
        <f>F345&amp;G345</f>
        <v/>
      </c>
      <c r="C345" s="156">
        <f>(K345/MAX(K:K)*$K$1)+(L345/MAX(L:L)*$L$1)+(M345/MAX(M:M)*$M$1)+(N345/MAX(N:N)*$N$1)+(T345/MAX(T:T)*$T$1)</f>
        <v/>
      </c>
      <c r="D345" s="156">
        <f>IFERROR(VLOOKUP(B345,#REF!,7,0),"")</f>
        <v/>
      </c>
      <c r="E345" s="156">
        <f>IFERROR(VLOOKUP(F345,AllPlayers!F:F,1,0),"------------")</f>
        <v/>
      </c>
      <c r="F345" s="156" t="inlineStr">
        <is>
          <t>Nan</t>
        </is>
      </c>
      <c r="G345" s="156">
        <f>VLOOKUP(F345,AllPlayers!Q:R,2,0)</f>
        <v/>
      </c>
      <c r="I345" s="156" t="n">
        <v>32</v>
      </c>
      <c r="J345" s="156" t="n">
        <v>0</v>
      </c>
      <c r="K345" s="156" t="n">
        <v>0</v>
      </c>
      <c r="N345" s="156" t="n">
        <v>0</v>
      </c>
      <c r="T345" s="156" t="n">
        <v>0</v>
      </c>
      <c r="U345" s="156" t="n">
        <v>0</v>
      </c>
      <c r="W345" s="156">
        <f>INDEX(Matrix!$AA$2:$AA$33, MATCH(G345, Matrix!$AC$2:$AC$33, 0))</f>
        <v/>
      </c>
      <c r="X345" s="156">
        <f>_xlfn.IFNA(MATCH(E343,'Injury Report'!$C$2:$C$6216,0),0)</f>
        <v/>
      </c>
    </row>
    <row r="346" ht="15.6" customHeight="1" s="152">
      <c r="A346" s="212" t="n">
        <v>343</v>
      </c>
      <c r="B346" s="167">
        <f>F346&amp;G346</f>
        <v/>
      </c>
      <c r="C346" s="156">
        <f>(K346/MAX(K:K)*$K$1)+(L346/MAX(L:L)*$L$1)+(M346/MAX(M:M)*$M$1)+(N346/MAX(N:N)*$N$1)+(T346/MAX(T:T)*$T$1)</f>
        <v/>
      </c>
      <c r="D346" s="156">
        <f>IFERROR(VLOOKUP(B346,#REF!,7,0),"")</f>
        <v/>
      </c>
      <c r="E346" s="156">
        <f>IFERROR(VLOOKUP(F346,AllPlayers!F:F,1,0),"------------")</f>
        <v/>
      </c>
      <c r="F346" s="156" t="inlineStr">
        <is>
          <t>Nan</t>
        </is>
      </c>
      <c r="G346" s="156">
        <f>VLOOKUP(F346,AllPlayers!Q:R,2,0)</f>
        <v/>
      </c>
      <c r="I346" s="156" t="n">
        <v>32</v>
      </c>
      <c r="J346" s="156" t="n">
        <v>0</v>
      </c>
      <c r="K346" s="156" t="n">
        <v>0</v>
      </c>
      <c r="N346" s="156" t="n">
        <v>0</v>
      </c>
      <c r="T346" s="156" t="n">
        <v>0</v>
      </c>
      <c r="U346" s="156" t="n">
        <v>0</v>
      </c>
      <c r="W346" s="156">
        <f>INDEX(Matrix!$AA$2:$AA$33, MATCH(G346, Matrix!$AC$2:$AC$33, 0))</f>
        <v/>
      </c>
      <c r="X346" s="156">
        <f>_xlfn.IFNA(MATCH(E344,'Injury Report'!$C$2:$C$6216,0),0)</f>
        <v/>
      </c>
    </row>
    <row r="347" ht="13.8" customHeight="1" s="152">
      <c r="W347" s="156">
        <f>INDEX(Matrix!$AA$2:$AA$33, MATCH(G347, Matrix!$AC$2:$AC$33, 0))</f>
        <v/>
      </c>
      <c r="X347" s="156">
        <f>_xlfn.IFNA(MATCH(E345,'Injury Report'!$C$2:$C$6216,0),0)</f>
        <v/>
      </c>
    </row>
    <row r="348" ht="13.8" customHeight="1" s="152">
      <c r="W348" s="156">
        <f>INDEX(Matrix!$AA$2:$AA$33, MATCH(G348, Matrix!$AC$2:$AC$33, 0))</f>
        <v/>
      </c>
      <c r="X348" s="156">
        <f>_xlfn.IFNA(MATCH(E346,'Injury Report'!$C$2:$C$6216,0),0)</f>
        <v/>
      </c>
    </row>
    <row r="349" ht="13.8" customHeight="1" s="152">
      <c r="W349" s="156">
        <f>INDEX(Matrix!$AA$2:$AA$33, MATCH(G349, Matrix!$AC$2:$AC$33, 0))</f>
        <v/>
      </c>
      <c r="X349" s="156">
        <f>_xlfn.IFNA(MATCH(E347,'Injury Report'!$C$2:$C$6216,0),0)</f>
        <v/>
      </c>
    </row>
    <row r="350" ht="13.8" customHeight="1" s="152">
      <c r="W350" s="156">
        <f>INDEX(Matrix!$AA$2:$AA$33, MATCH(G350, Matrix!$AC$2:$AC$33, 0))</f>
        <v/>
      </c>
      <c r="X350" s="156">
        <f>_xlfn.IFNA(MATCH(E348,'Injury Report'!$C$2:$C$6216,0),0)</f>
        <v/>
      </c>
    </row>
    <row r="351" ht="13.8" customHeight="1" s="152">
      <c r="W351" s="156">
        <f>INDEX(Matrix!$AA$2:$AA$33, MATCH(G351, Matrix!$AC$2:$AC$33, 0))</f>
        <v/>
      </c>
      <c r="X351" s="156">
        <f>_xlfn.IFNA(MATCH(E349,'Injury Report'!$C$2:$C$6216,0),0)</f>
        <v/>
      </c>
    </row>
    <row r="352" ht="13.8" customHeight="1" s="152">
      <c r="W352" s="156">
        <f>INDEX(Matrix!$AA$2:$AA$33, MATCH(G352, Matrix!$AC$2:$AC$33, 0))</f>
        <v/>
      </c>
      <c r="X352" s="156">
        <f>_xlfn.IFNA(MATCH(E350,'Injury Report'!$C$2:$C$6216,0),0)</f>
        <v/>
      </c>
    </row>
    <row r="353" ht="13.8" customHeight="1" s="152">
      <c r="W353" s="156">
        <f>INDEX(Matrix!$AA$2:$AA$33, MATCH(G353, Matrix!$AC$2:$AC$33, 0))</f>
        <v/>
      </c>
      <c r="X353" s="156">
        <f>_xlfn.IFNA(MATCH(E351,'Injury Report'!$C$2:$C$6216,0),0)</f>
        <v/>
      </c>
    </row>
    <row r="354" ht="13.8" customHeight="1" s="152">
      <c r="W354" s="156">
        <f>INDEX(Matrix!$AA$2:$AA$33, MATCH(G354, Matrix!$AC$2:$AC$33, 0))</f>
        <v/>
      </c>
      <c r="X354" s="156">
        <f>_xlfn.IFNA(MATCH(E352,'Injury Report'!$C$2:$C$6216,0),0)</f>
        <v/>
      </c>
    </row>
    <row r="355" ht="13.8" customHeight="1" s="152">
      <c r="W355" s="156">
        <f>INDEX(Matrix!$AA$2:$AA$33, MATCH(G355, Matrix!$AC$2:$AC$33, 0))</f>
        <v/>
      </c>
      <c r="X355" s="156">
        <f>_xlfn.IFNA(MATCH(E353,'Injury Report'!$C$2:$C$6216,0),0)</f>
        <v/>
      </c>
    </row>
    <row r="356" ht="13.8" customHeight="1" s="152">
      <c r="W356" s="156">
        <f>INDEX(Matrix!$AA$2:$AA$33, MATCH(G356, Matrix!$AC$2:$AC$33, 0))</f>
        <v/>
      </c>
      <c r="X356" s="156">
        <f>_xlfn.IFNA(MATCH(E354,'Injury Report'!$C$2:$C$6216,0),0)</f>
        <v/>
      </c>
    </row>
    <row r="357" ht="13.8" customHeight="1" s="152">
      <c r="W357" s="156">
        <f>INDEX(Matrix!$AA$2:$AA$33, MATCH(G357, Matrix!$AC$2:$AC$33, 0))</f>
        <v/>
      </c>
      <c r="X357" s="156">
        <f>_xlfn.IFNA(MATCH(E355,'Injury Report'!$C$2:$C$6216,0),0)</f>
        <v/>
      </c>
    </row>
    <row r="358" ht="13.8" customHeight="1" s="152">
      <c r="W358" s="156">
        <f>INDEX(Matrix!$AA$2:$AA$33, MATCH(G358, Matrix!$AC$2:$AC$33, 0))</f>
        <v/>
      </c>
      <c r="X358" s="156">
        <f>_xlfn.IFNA(MATCH(E356,'Injury Report'!$C$2:$C$6216,0),0)</f>
        <v/>
      </c>
    </row>
    <row r="359" ht="13.8" customHeight="1" s="152">
      <c r="W359" s="156">
        <f>INDEX(Matrix!$AA$2:$AA$33, MATCH(G359, Matrix!$AC$2:$AC$33, 0))</f>
        <v/>
      </c>
      <c r="X359" s="156">
        <f>_xlfn.IFNA(MATCH(E357,'Injury Report'!$C$2:$C$6216,0),0)</f>
        <v/>
      </c>
    </row>
    <row r="360" ht="13.8" customHeight="1" s="152">
      <c r="W360" s="156">
        <f>INDEX(Matrix!$AA$2:$AA$33, MATCH(G360, Matrix!$AC$2:$AC$33, 0))</f>
        <v/>
      </c>
      <c r="X360" s="156">
        <f>_xlfn.IFNA(MATCH(E358,'Injury Report'!$C$2:$C$6216,0),0)</f>
        <v/>
      </c>
    </row>
    <row r="361" ht="13.8" customHeight="1" s="152">
      <c r="W361" s="156">
        <f>INDEX(Matrix!$AA$2:$AA$33, MATCH(G361, Matrix!$AC$2:$AC$33, 0))</f>
        <v/>
      </c>
      <c r="X361" s="156">
        <f>_xlfn.IFNA(MATCH(E359,'Injury Report'!$C$2:$C$6216,0),0)</f>
        <v/>
      </c>
    </row>
    <row r="362" ht="13.8" customHeight="1" s="152">
      <c r="W362" s="156">
        <f>INDEX(Matrix!$AA$2:$AA$33, MATCH(G362, Matrix!$AC$2:$AC$33, 0))</f>
        <v/>
      </c>
      <c r="X362" s="156">
        <f>_xlfn.IFNA(MATCH(E360,'Injury Report'!$C$2:$C$6216,0),0)</f>
        <v/>
      </c>
    </row>
    <row r="363" ht="13.8" customHeight="1" s="152">
      <c r="W363" s="156">
        <f>INDEX(Matrix!$AA$2:$AA$33, MATCH(G363, Matrix!$AC$2:$AC$33, 0))</f>
        <v/>
      </c>
      <c r="X363" s="156">
        <f>_xlfn.IFNA(MATCH(E361,'Injury Report'!$C$2:$C$6216,0),0)</f>
        <v/>
      </c>
    </row>
    <row r="364" ht="13.8" customHeight="1" s="152">
      <c r="W364" s="156">
        <f>INDEX(Matrix!$AA$2:$AA$33, MATCH(G364, Matrix!$AC$2:$AC$33, 0))</f>
        <v/>
      </c>
      <c r="X364" s="156">
        <f>_xlfn.IFNA(MATCH(E362,'Injury Report'!$C$2:$C$6216,0),0)</f>
        <v/>
      </c>
    </row>
    <row r="365" ht="13.8" customHeight="1" s="152">
      <c r="W365" s="156">
        <f>INDEX(Matrix!$AA$2:$AA$33, MATCH(G365, Matrix!$AC$2:$AC$33, 0))</f>
        <v/>
      </c>
      <c r="X365" s="156">
        <f>_xlfn.IFNA(MATCH(E363,'Injury Report'!$C$2:$C$6216,0),0)</f>
        <v/>
      </c>
    </row>
    <row r="366" ht="13.8" customHeight="1" s="152">
      <c r="W366" s="156">
        <f>INDEX(Matrix!$AA$2:$AA$33, MATCH(G366, Matrix!$AC$2:$AC$33, 0))</f>
        <v/>
      </c>
      <c r="X366" s="156">
        <f>_xlfn.IFNA(MATCH(E364,'Injury Report'!$C$2:$C$6216,0),0)</f>
        <v/>
      </c>
    </row>
    <row r="367" ht="13.8" customHeight="1" s="152">
      <c r="W367" s="156">
        <f>INDEX(Matrix!$AA$2:$AA$33, MATCH(G367, Matrix!$AC$2:$AC$33, 0))</f>
        <v/>
      </c>
      <c r="X367" s="156">
        <f>_xlfn.IFNA(MATCH(E365,'Injury Report'!$C$2:$C$6216,0),0)</f>
        <v/>
      </c>
    </row>
    <row r="368" ht="13.8" customHeight="1" s="152">
      <c r="W368" s="156">
        <f>INDEX(Matrix!$AA$2:$AA$33, MATCH(G368, Matrix!$AC$2:$AC$33, 0))</f>
        <v/>
      </c>
      <c r="X368" s="156">
        <f>_xlfn.IFNA(MATCH(E366,'Injury Report'!$C$2:$C$6216,0),0)</f>
        <v/>
      </c>
    </row>
    <row r="369" ht="13.8" customHeight="1" s="152">
      <c r="W369" s="156">
        <f>INDEX(Matrix!$AA$2:$AA$33, MATCH(G369, Matrix!$AC$2:$AC$33, 0))</f>
        <v/>
      </c>
      <c r="X369" s="156">
        <f>_xlfn.IFNA(MATCH(E367,'Injury Report'!$C$2:$C$6216,0),0)</f>
        <v/>
      </c>
    </row>
    <row r="370" ht="13.8" customHeight="1" s="152">
      <c r="W370" s="156">
        <f>INDEX(Matrix!$AA$2:$AA$33, MATCH(G370, Matrix!$AC$2:$AC$33, 0))</f>
        <v/>
      </c>
      <c r="X370" s="156">
        <f>_xlfn.IFNA(MATCH(E368,'Injury Report'!$C$2:$C$6216,0),0)</f>
        <v/>
      </c>
    </row>
    <row r="371" ht="13.8" customHeight="1" s="152">
      <c r="W371" s="156">
        <f>INDEX(Matrix!$AA$2:$AA$33, MATCH(G371, Matrix!$AC$2:$AC$33, 0))</f>
        <v/>
      </c>
      <c r="X371" s="156">
        <f>_xlfn.IFNA(MATCH(E369,'Injury Report'!$C$2:$C$6216,0),0)</f>
        <v/>
      </c>
    </row>
    <row r="372" ht="13.8" customHeight="1" s="152">
      <c r="W372" s="156">
        <f>INDEX(Matrix!$AA$2:$AA$33, MATCH(G372, Matrix!$AC$2:$AC$33, 0))</f>
        <v/>
      </c>
      <c r="X372" s="156">
        <f>_xlfn.IFNA(MATCH(E370,'Injury Report'!$C$2:$C$6216,0),0)</f>
        <v/>
      </c>
    </row>
    <row r="373" ht="13.8" customHeight="1" s="152">
      <c r="W373" s="156">
        <f>INDEX(Matrix!$AA$2:$AA$33, MATCH(G373, Matrix!$AC$2:$AC$33, 0))</f>
        <v/>
      </c>
      <c r="X373" s="156">
        <f>_xlfn.IFNA(MATCH(E371,'Injury Report'!$C$2:$C$6216,0),0)</f>
        <v/>
      </c>
    </row>
    <row r="374" ht="13.8" customHeight="1" s="152">
      <c r="W374" s="156">
        <f>INDEX(Matrix!$AA$2:$AA$33, MATCH(G374, Matrix!$AC$2:$AC$33, 0))</f>
        <v/>
      </c>
      <c r="X374" s="156">
        <f>_xlfn.IFNA(MATCH(E372,'Injury Report'!$C$2:$C$6216,0),0)</f>
        <v/>
      </c>
    </row>
    <row r="375" ht="13.8" customHeight="1" s="152">
      <c r="W375" s="156">
        <f>INDEX(Matrix!$AA$2:$AA$33, MATCH(G375, Matrix!$AC$2:$AC$33, 0))</f>
        <v/>
      </c>
      <c r="X375" s="156">
        <f>_xlfn.IFNA(MATCH(E373,'Injury Report'!$C$2:$C$6216,0),0)</f>
        <v/>
      </c>
    </row>
    <row r="376" ht="13.8" customHeight="1" s="152">
      <c r="W376" s="156">
        <f>INDEX(Matrix!$AA$2:$AA$33, MATCH(G376, Matrix!$AC$2:$AC$33, 0))</f>
        <v/>
      </c>
      <c r="X376" s="156">
        <f>_xlfn.IFNA(MATCH(E374,'Injury Report'!$C$2:$C$6216,0),0)</f>
        <v/>
      </c>
    </row>
    <row r="377" ht="13.8" customHeight="1" s="152">
      <c r="W377" s="156">
        <f>INDEX(Matrix!$AA$2:$AA$33, MATCH(G377, Matrix!$AC$2:$AC$33, 0))</f>
        <v/>
      </c>
      <c r="X377" s="156">
        <f>_xlfn.IFNA(MATCH(E375,'Injury Report'!$C$2:$C$6216,0),0)</f>
        <v/>
      </c>
    </row>
    <row r="378" ht="13.8" customHeight="1" s="152">
      <c r="W378" s="156">
        <f>INDEX(Matrix!$AA$2:$AA$33, MATCH(G378, Matrix!$AC$2:$AC$33, 0))</f>
        <v/>
      </c>
      <c r="X378" s="156">
        <f>_xlfn.IFNA(MATCH(E376,'Injury Report'!$C$2:$C$6216,0),0)</f>
        <v/>
      </c>
    </row>
    <row r="379" ht="13.8" customHeight="1" s="152">
      <c r="W379" s="156">
        <f>INDEX(Matrix!$AA$2:$AA$33, MATCH(G379, Matrix!$AC$2:$AC$33, 0))</f>
        <v/>
      </c>
      <c r="X379" s="156">
        <f>_xlfn.IFNA(MATCH(E377,'Injury Report'!$C$2:$C$6216,0),0)</f>
        <v/>
      </c>
    </row>
    <row r="380" ht="13.8" customHeight="1" s="152">
      <c r="W380" s="156">
        <f>INDEX(Matrix!$AA$2:$AA$33, MATCH(G380, Matrix!$AC$2:$AC$33, 0))</f>
        <v/>
      </c>
      <c r="X380" s="156">
        <f>_xlfn.IFNA(MATCH(E378,'Injury Report'!$C$2:$C$6216,0),0)</f>
        <v/>
      </c>
    </row>
    <row r="381" ht="13.8" customHeight="1" s="152">
      <c r="W381" s="156">
        <f>INDEX(Matrix!$AA$2:$AA$33, MATCH(G381, Matrix!$AC$2:$AC$33, 0))</f>
        <v/>
      </c>
      <c r="X381" s="156">
        <f>_xlfn.IFNA(MATCH(E379,'Injury Report'!$C$2:$C$6216,0),0)</f>
        <v/>
      </c>
    </row>
    <row r="382" ht="13.8" customHeight="1" s="152">
      <c r="W382" s="156">
        <f>INDEX(Matrix!$AA$2:$AA$33, MATCH(G382, Matrix!$AC$2:$AC$33, 0))</f>
        <v/>
      </c>
      <c r="X382" s="156">
        <f>_xlfn.IFNA(MATCH(E380,'Injury Report'!$C$2:$C$6216,0),0)</f>
        <v/>
      </c>
    </row>
    <row r="383" ht="13.8" customHeight="1" s="152">
      <c r="W383" s="156">
        <f>INDEX(Matrix!$AA$2:$AA$33, MATCH(G383, Matrix!$AC$2:$AC$33, 0))</f>
        <v/>
      </c>
      <c r="X383" s="156">
        <f>_xlfn.IFNA(MATCH(E381,'Injury Report'!$C$2:$C$6216,0),0)</f>
        <v/>
      </c>
    </row>
    <row r="384" ht="13.8" customHeight="1" s="152">
      <c r="W384" s="156">
        <f>INDEX(Matrix!$AA$2:$AA$33, MATCH(G384, Matrix!$AC$2:$AC$33, 0))</f>
        <v/>
      </c>
      <c r="X384" s="156">
        <f>_xlfn.IFNA(MATCH(E382,'Injury Report'!$C$2:$C$6216,0),0)</f>
        <v/>
      </c>
    </row>
    <row r="385" ht="13.8" customHeight="1" s="152">
      <c r="W385" s="156">
        <f>INDEX(Matrix!$AA$2:$AA$33, MATCH(G385, Matrix!$AC$2:$AC$33, 0))</f>
        <v/>
      </c>
      <c r="X385" s="156">
        <f>_xlfn.IFNA(MATCH(E383,'Injury Report'!$C$2:$C$6216,0),0)</f>
        <v/>
      </c>
    </row>
    <row r="386" ht="13.8" customHeight="1" s="152">
      <c r="W386" s="156">
        <f>INDEX(Matrix!$AA$2:$AA$33, MATCH(G386, Matrix!$AC$2:$AC$33, 0))</f>
        <v/>
      </c>
      <c r="X386" s="156">
        <f>_xlfn.IFNA(MATCH(E384,'Injury Report'!$C$2:$C$6216,0),0)</f>
        <v/>
      </c>
    </row>
    <row r="387" ht="13.8" customHeight="1" s="152">
      <c r="W387" s="156">
        <f>INDEX(Matrix!$AA$2:$AA$33, MATCH(G387, Matrix!$AC$2:$AC$33, 0))</f>
        <v/>
      </c>
      <c r="X387" s="156">
        <f>_xlfn.IFNA(MATCH(E385,'Injury Report'!$C$2:$C$6216,0),0)</f>
        <v/>
      </c>
    </row>
    <row r="388" ht="13.8" customHeight="1" s="152">
      <c r="W388" s="156">
        <f>INDEX(Matrix!$AA$2:$AA$33, MATCH(G388, Matrix!$AC$2:$AC$33, 0))</f>
        <v/>
      </c>
      <c r="X388" s="156">
        <f>_xlfn.IFNA(MATCH(E386,'Injury Report'!$C$2:$C$6216,0),0)</f>
        <v/>
      </c>
    </row>
    <row r="389" ht="13.8" customHeight="1" s="152">
      <c r="W389" s="156">
        <f>INDEX(Matrix!$AA$2:$AA$33, MATCH(G389, Matrix!$AC$2:$AC$33, 0))</f>
        <v/>
      </c>
      <c r="X389" s="156">
        <f>_xlfn.IFNA(MATCH(E387,'Injury Report'!$C$2:$C$6216,0),0)</f>
        <v/>
      </c>
    </row>
    <row r="390" ht="13.8" customHeight="1" s="152">
      <c r="W390" s="156">
        <f>INDEX(Matrix!$AA$2:$AA$33, MATCH(G390, Matrix!$AC$2:$AC$33, 0))</f>
        <v/>
      </c>
      <c r="X390" s="156">
        <f>_xlfn.IFNA(MATCH(E388,'Injury Report'!$C$2:$C$6216,0),0)</f>
        <v/>
      </c>
    </row>
    <row r="391" ht="13.8" customHeight="1" s="152">
      <c r="W391" s="156">
        <f>INDEX(Matrix!$AA$2:$AA$33, MATCH(G391, Matrix!$AC$2:$AC$33, 0))</f>
        <v/>
      </c>
      <c r="X391" s="156">
        <f>_xlfn.IFNA(MATCH(E389,'Injury Report'!$C$2:$C$6216,0),0)</f>
        <v/>
      </c>
    </row>
    <row r="392" ht="13.8" customHeight="1" s="152">
      <c r="W392" s="156">
        <f>INDEX(Matrix!$AA$2:$AA$33, MATCH(G392, Matrix!$AC$2:$AC$33, 0))</f>
        <v/>
      </c>
      <c r="X392" s="156">
        <f>_xlfn.IFNA(MATCH(E390,'Injury Report'!$C$2:$C$6216,0),0)</f>
        <v/>
      </c>
    </row>
    <row r="393" ht="13.8" customHeight="1" s="152">
      <c r="W393" s="156">
        <f>INDEX(Matrix!$AA$2:$AA$33, MATCH(G393, Matrix!$AC$2:$AC$33, 0))</f>
        <v/>
      </c>
      <c r="X393" s="156">
        <f>_xlfn.IFNA(MATCH(E391,'Injury Report'!$C$2:$C$6216,0),0)</f>
        <v/>
      </c>
    </row>
    <row r="394" ht="13.8" customHeight="1" s="152">
      <c r="W394" s="156">
        <f>INDEX(Matrix!$AA$2:$AA$33, MATCH(G394, Matrix!$AC$2:$AC$33, 0))</f>
        <v/>
      </c>
      <c r="X394" s="156">
        <f>_xlfn.IFNA(MATCH(E392,'Injury Report'!$C$2:$C$6216,0),0)</f>
        <v/>
      </c>
    </row>
    <row r="395" ht="13.8" customHeight="1" s="152">
      <c r="W395" s="156">
        <f>INDEX(Matrix!$AA$2:$AA$33, MATCH(G395, Matrix!$AC$2:$AC$33, 0))</f>
        <v/>
      </c>
      <c r="X395" s="156">
        <f>_xlfn.IFNA(MATCH(E393,'Injury Report'!$C$2:$C$6216,0),0)</f>
        <v/>
      </c>
    </row>
    <row r="396" ht="13.8" customHeight="1" s="152">
      <c r="W396" s="156">
        <f>INDEX(Matrix!$AA$2:$AA$33, MATCH(G396, Matrix!$AC$2:$AC$33, 0))</f>
        <v/>
      </c>
      <c r="X396" s="156">
        <f>_xlfn.IFNA(MATCH(E394,'Injury Report'!$C$2:$C$6216,0),0)</f>
        <v/>
      </c>
    </row>
    <row r="397" ht="13.8" customHeight="1" s="152">
      <c r="W397" s="156">
        <f>INDEX(Matrix!$AA$2:$AA$33, MATCH(G397, Matrix!$AC$2:$AC$33, 0))</f>
        <v/>
      </c>
      <c r="X397" s="156">
        <f>_xlfn.IFNA(MATCH(E395,'Injury Report'!$C$2:$C$6216,0),0)</f>
        <v/>
      </c>
    </row>
    <row r="398" ht="13.8" customHeight="1" s="152">
      <c r="W398" s="156">
        <f>INDEX(Matrix!$AA$2:$AA$33, MATCH(G398, Matrix!$AC$2:$AC$33, 0))</f>
        <v/>
      </c>
      <c r="X398" s="156">
        <f>_xlfn.IFNA(MATCH(E396,'Injury Report'!$C$2:$C$6216,0),0)</f>
        <v/>
      </c>
    </row>
    <row r="399" ht="13.8" customHeight="1" s="152">
      <c r="W399" s="156">
        <f>INDEX(Matrix!$AA$2:$AA$33, MATCH(G399, Matrix!$AC$2:$AC$33, 0))</f>
        <v/>
      </c>
      <c r="X399" s="156">
        <f>_xlfn.IFNA(MATCH(E397,'Injury Report'!$C$2:$C$6216,0),0)</f>
        <v/>
      </c>
    </row>
    <row r="400" ht="13.8" customHeight="1" s="152">
      <c r="W400" s="156">
        <f>INDEX(Matrix!$AA$2:$AA$33, MATCH(G400, Matrix!$AC$2:$AC$33, 0))</f>
        <v/>
      </c>
      <c r="X400" s="156">
        <f>_xlfn.IFNA(MATCH(E398,'Injury Report'!$C$2:$C$6216,0),0)</f>
        <v/>
      </c>
    </row>
    <row r="401" ht="13.8" customHeight="1" s="152">
      <c r="W401" s="156">
        <f>INDEX(Matrix!$AA$2:$AA$33, MATCH(G401, Matrix!$AC$2:$AC$33, 0))</f>
        <v/>
      </c>
      <c r="X401" s="156">
        <f>_xlfn.IFNA(MATCH(E399,'Injury Report'!$C$2:$C$6216,0),0)</f>
        <v/>
      </c>
    </row>
    <row r="402" ht="13.8" customHeight="1" s="152">
      <c r="W402" s="156">
        <f>INDEX(Matrix!$AA$2:$AA$33, MATCH(G402, Matrix!$AC$2:$AC$33, 0))</f>
        <v/>
      </c>
      <c r="X402" s="156">
        <f>_xlfn.IFNA(MATCH(E400,'Injury Report'!$C$2:$C$6216,0),0)</f>
        <v/>
      </c>
    </row>
    <row r="403" ht="13.8" customHeight="1" s="152">
      <c r="W403" s="156">
        <f>INDEX(Matrix!$AA$2:$AA$33, MATCH(G403, Matrix!$AC$2:$AC$33, 0))</f>
        <v/>
      </c>
      <c r="X403" s="156">
        <f>_xlfn.IFNA(MATCH(E401,'Injury Report'!$C$2:$C$6216,0),0)</f>
        <v/>
      </c>
    </row>
    <row r="404" ht="13.8" customHeight="1" s="152">
      <c r="W404" s="156">
        <f>INDEX(Matrix!$AA$2:$AA$33, MATCH(G404, Matrix!$AC$2:$AC$33, 0))</f>
        <v/>
      </c>
      <c r="X404" s="156">
        <f>_xlfn.IFNA(MATCH(E402,'Injury Report'!$C$2:$C$6216,0),0)</f>
        <v/>
      </c>
    </row>
    <row r="405" ht="13.8" customHeight="1" s="152">
      <c r="W405" s="156">
        <f>INDEX(Matrix!$AA$2:$AA$33, MATCH(G405, Matrix!$AC$2:$AC$33, 0))</f>
        <v/>
      </c>
      <c r="X405" s="156">
        <f>_xlfn.IFNA(MATCH(E403,'Injury Report'!$C$2:$C$6216,0),0)</f>
        <v/>
      </c>
    </row>
    <row r="406" ht="13.8" customHeight="1" s="152">
      <c r="W406" s="156">
        <f>INDEX(Matrix!$AA$2:$AA$33, MATCH(G406, Matrix!$AC$2:$AC$33, 0))</f>
        <v/>
      </c>
      <c r="X406" s="156">
        <f>_xlfn.IFNA(MATCH(E404,'Injury Report'!$C$2:$C$6216,0),0)</f>
        <v/>
      </c>
    </row>
    <row r="407" ht="13.8" customHeight="1" s="152">
      <c r="W407" s="156">
        <f>INDEX(Matrix!$AA$2:$AA$33, MATCH(G407, Matrix!$AC$2:$AC$33, 0))</f>
        <v/>
      </c>
      <c r="X407" s="156">
        <f>_xlfn.IFNA(MATCH(E405,'Injury Report'!$C$2:$C$6216,0),0)</f>
        <v/>
      </c>
    </row>
    <row r="408" ht="13.8" customHeight="1" s="152">
      <c r="W408" s="156">
        <f>INDEX(Matrix!$AA$2:$AA$33, MATCH(G408, Matrix!$AC$2:$AC$33, 0))</f>
        <v/>
      </c>
      <c r="X408" s="156">
        <f>_xlfn.IFNA(MATCH(E406,'Injury Report'!$C$2:$C$6216,0),0)</f>
        <v/>
      </c>
    </row>
    <row r="409" ht="13.8" customHeight="1" s="152">
      <c r="W409" s="156">
        <f>INDEX(Matrix!$AA$2:$AA$33, MATCH(G409, Matrix!$AC$2:$AC$33, 0))</f>
        <v/>
      </c>
      <c r="X409" s="156">
        <f>_xlfn.IFNA(MATCH(E407,'Injury Report'!$C$2:$C$6216,0),0)</f>
        <v/>
      </c>
    </row>
    <row r="410" ht="13.8" customHeight="1" s="152">
      <c r="W410" s="156">
        <f>INDEX(Matrix!$AA$2:$AA$33, MATCH(G410, Matrix!$AC$2:$AC$33, 0))</f>
        <v/>
      </c>
      <c r="X410" s="156">
        <f>_xlfn.IFNA(MATCH(E408,'Injury Report'!$C$2:$C$6216,0),0)</f>
        <v/>
      </c>
    </row>
    <row r="411" ht="13.8" customHeight="1" s="152">
      <c r="W411" s="156">
        <f>INDEX(Matrix!$AA$2:$AA$33, MATCH(G411, Matrix!$AC$2:$AC$33, 0))</f>
        <v/>
      </c>
      <c r="X411" s="156">
        <f>_xlfn.IFNA(MATCH(E409,'Injury Report'!$C$2:$C$6216,0),0)</f>
        <v/>
      </c>
    </row>
    <row r="412" ht="13.8" customHeight="1" s="152">
      <c r="W412" s="156">
        <f>INDEX(Matrix!$AA$2:$AA$33, MATCH(G412, Matrix!$AC$2:$AC$33, 0))</f>
        <v/>
      </c>
      <c r="X412" s="156">
        <f>_xlfn.IFNA(MATCH(E410,'Injury Report'!$C$2:$C$6216,0),0)</f>
        <v/>
      </c>
    </row>
    <row r="413" ht="13.8" customHeight="1" s="152">
      <c r="W413" s="156">
        <f>INDEX(Matrix!$AA$2:$AA$33, MATCH(G413, Matrix!$AC$2:$AC$33, 0))</f>
        <v/>
      </c>
      <c r="X413" s="156">
        <f>_xlfn.IFNA(MATCH(E411,'Injury Report'!$C$2:$C$6216,0),0)</f>
        <v/>
      </c>
    </row>
    <row r="414" ht="13.8" customHeight="1" s="152">
      <c r="W414" s="156">
        <f>INDEX(Matrix!$AA$2:$AA$33, MATCH(G414, Matrix!$AC$2:$AC$33, 0))</f>
        <v/>
      </c>
      <c r="X414" s="156">
        <f>_xlfn.IFNA(MATCH(E412,'Injury Report'!$C$2:$C$6216,0),0)</f>
        <v/>
      </c>
    </row>
    <row r="415" ht="13.8" customHeight="1" s="152">
      <c r="W415" s="156">
        <f>INDEX(Matrix!$AA$2:$AA$33, MATCH(G415, Matrix!$AC$2:$AC$33, 0))</f>
        <v/>
      </c>
      <c r="X415" s="156">
        <f>_xlfn.IFNA(MATCH(E413,'Injury Report'!$C$2:$C$6216,0),0)</f>
        <v/>
      </c>
    </row>
    <row r="416" ht="13.8" customHeight="1" s="152">
      <c r="W416" s="156">
        <f>INDEX(Matrix!$AA$2:$AA$33, MATCH(G416, Matrix!$AC$2:$AC$33, 0))</f>
        <v/>
      </c>
      <c r="X416" s="156">
        <f>_xlfn.IFNA(MATCH(E414,'Injury Report'!$C$2:$C$6216,0),0)</f>
        <v/>
      </c>
    </row>
    <row r="417" ht="13.8" customHeight="1" s="152">
      <c r="W417" s="156">
        <f>INDEX(Matrix!$AA$2:$AA$33, MATCH(G417, Matrix!$AC$2:$AC$33, 0))</f>
        <v/>
      </c>
      <c r="X417" s="156">
        <f>_xlfn.IFNA(MATCH(E415,'Injury Report'!$C$2:$C$6216,0),0)</f>
        <v/>
      </c>
    </row>
    <row r="418" ht="13.8" customHeight="1" s="152">
      <c r="W418" s="156">
        <f>INDEX(Matrix!$AA$2:$AA$33, MATCH(G418, Matrix!$AC$2:$AC$33, 0))</f>
        <v/>
      </c>
      <c r="X418" s="156">
        <f>_xlfn.IFNA(MATCH(E416,'Injury Report'!$C$2:$C$6216,0),0)</f>
        <v/>
      </c>
    </row>
    <row r="419" ht="13.8" customHeight="1" s="152">
      <c r="W419" s="156">
        <f>INDEX(Matrix!$AA$2:$AA$33, MATCH(G419, Matrix!$AC$2:$AC$33, 0))</f>
        <v/>
      </c>
      <c r="X419" s="156">
        <f>_xlfn.IFNA(MATCH(E417,'Injury Report'!$C$2:$C$6216,0),0)</f>
        <v/>
      </c>
    </row>
    <row r="420" ht="13.8" customHeight="1" s="152">
      <c r="W420" s="156">
        <f>INDEX(Matrix!$AA$2:$AA$33, MATCH(G420, Matrix!$AC$2:$AC$33, 0))</f>
        <v/>
      </c>
      <c r="X420" s="156">
        <f>_xlfn.IFNA(MATCH(E418,'Injury Report'!$C$2:$C$6216,0),0)</f>
        <v/>
      </c>
    </row>
    <row r="421" ht="13.8" customHeight="1" s="152">
      <c r="W421" s="156">
        <f>INDEX(Matrix!$AA$2:$AA$33, MATCH(G421, Matrix!$AC$2:$AC$33, 0))</f>
        <v/>
      </c>
      <c r="X421" s="156">
        <f>_xlfn.IFNA(MATCH(E419,'Injury Report'!$C$2:$C$6216,0),0)</f>
        <v/>
      </c>
    </row>
    <row r="422" ht="13.8" customHeight="1" s="152">
      <c r="W422" s="156">
        <f>INDEX(Matrix!$AA$2:$AA$33, MATCH(G422, Matrix!$AC$2:$AC$33, 0))</f>
        <v/>
      </c>
      <c r="X422" s="156">
        <f>_xlfn.IFNA(MATCH(E420,'Injury Report'!$C$2:$C$6216,0),0)</f>
        <v/>
      </c>
    </row>
    <row r="423" ht="13.8" customHeight="1" s="152">
      <c r="W423" s="156">
        <f>INDEX(Matrix!$AA$2:$AA$33, MATCH(G423, Matrix!$AC$2:$AC$33, 0))</f>
        <v/>
      </c>
      <c r="X423" s="156">
        <f>_xlfn.IFNA(MATCH(E421,'Injury Report'!$C$2:$C$6216,0),0)</f>
        <v/>
      </c>
    </row>
    <row r="424" ht="13.8" customHeight="1" s="152">
      <c r="W424" s="156">
        <f>INDEX(Matrix!$AA$2:$AA$33, MATCH(G424, Matrix!$AC$2:$AC$33, 0))</f>
        <v/>
      </c>
      <c r="X424" s="156">
        <f>_xlfn.IFNA(MATCH(E422,'Injury Report'!$C$2:$C$6216,0),0)</f>
        <v/>
      </c>
    </row>
    <row r="425" ht="13.8" customHeight="1" s="152">
      <c r="W425" s="156">
        <f>INDEX(Matrix!$AA$2:$AA$33, MATCH(G425, Matrix!$AC$2:$AC$33, 0))</f>
        <v/>
      </c>
      <c r="X425" s="156">
        <f>_xlfn.IFNA(MATCH(E423,'Injury Report'!$C$2:$C$6216,0),0)</f>
        <v/>
      </c>
    </row>
    <row r="426" ht="13.8" customHeight="1" s="152">
      <c r="W426" s="156">
        <f>INDEX(Matrix!$AA$2:$AA$33, MATCH(G426, Matrix!$AC$2:$AC$33, 0))</f>
        <v/>
      </c>
      <c r="X426" s="156">
        <f>_xlfn.IFNA(MATCH(E424,'Injury Report'!$C$2:$C$6216,0),0)</f>
        <v/>
      </c>
    </row>
    <row r="427" ht="13.8" customHeight="1" s="152">
      <c r="W427" s="156">
        <f>INDEX(Matrix!$AA$2:$AA$33, MATCH(G427, Matrix!$AC$2:$AC$33, 0))</f>
        <v/>
      </c>
      <c r="X427" s="156">
        <f>_xlfn.IFNA(MATCH(E425,'Injury Report'!$C$2:$C$6216,0),0)</f>
        <v/>
      </c>
    </row>
    <row r="428" ht="13.8" customHeight="1" s="152">
      <c r="W428" s="156">
        <f>INDEX(Matrix!$AA$2:$AA$33, MATCH(G428, Matrix!$AC$2:$AC$33, 0))</f>
        <v/>
      </c>
      <c r="X428" s="156">
        <f>_xlfn.IFNA(MATCH(E426,'Injury Report'!$C$2:$C$6216,0),0)</f>
        <v/>
      </c>
    </row>
    <row r="429" ht="13.8" customHeight="1" s="152">
      <c r="W429" s="156">
        <f>INDEX(Matrix!$AA$2:$AA$33, MATCH(G429, Matrix!$AC$2:$AC$33, 0))</f>
        <v/>
      </c>
      <c r="X429" s="156">
        <f>_xlfn.IFNA(MATCH(E427,'Injury Report'!$C$2:$C$6216,0),0)</f>
        <v/>
      </c>
    </row>
    <row r="430" ht="13.8" customHeight="1" s="152">
      <c r="W430" s="156">
        <f>INDEX(Matrix!$AA$2:$AA$33, MATCH(G430, Matrix!$AC$2:$AC$33, 0))</f>
        <v/>
      </c>
      <c r="X430" s="156">
        <f>_xlfn.IFNA(MATCH(E428,'Injury Report'!$C$2:$C$6216,0),0)</f>
        <v/>
      </c>
    </row>
    <row r="431" ht="13.8" customHeight="1" s="152">
      <c r="W431" s="156">
        <f>INDEX(Matrix!$AA$2:$AA$33, MATCH(G431, Matrix!$AC$2:$AC$33, 0))</f>
        <v/>
      </c>
      <c r="X431" s="156">
        <f>_xlfn.IFNA(MATCH(E429,'Injury Report'!$C$2:$C$6216,0),0)</f>
        <v/>
      </c>
    </row>
    <row r="432" ht="13.8" customHeight="1" s="152">
      <c r="W432" s="156">
        <f>INDEX(Matrix!$AA$2:$AA$33, MATCH(G432, Matrix!$AC$2:$AC$33, 0))</f>
        <v/>
      </c>
      <c r="X432" s="156">
        <f>_xlfn.IFNA(MATCH(E430,'Injury Report'!$C$2:$C$6216,0),0)</f>
        <v/>
      </c>
    </row>
    <row r="433" ht="13.8" customHeight="1" s="152">
      <c r="W433" s="156">
        <f>INDEX(Matrix!$AA$2:$AA$33, MATCH(G433, Matrix!$AC$2:$AC$33, 0))</f>
        <v/>
      </c>
      <c r="X433" s="156">
        <f>_xlfn.IFNA(MATCH(E431,'Injury Report'!$C$2:$C$6216,0),0)</f>
        <v/>
      </c>
    </row>
    <row r="434" ht="13.8" customHeight="1" s="152">
      <c r="W434" s="156">
        <f>INDEX(Matrix!$AA$2:$AA$33, MATCH(G434, Matrix!$AC$2:$AC$33, 0))</f>
        <v/>
      </c>
      <c r="X434" s="156">
        <f>_xlfn.IFNA(MATCH(E432,'Injury Report'!$C$2:$C$6216,0),0)</f>
        <v/>
      </c>
    </row>
    <row r="435" ht="13.8" customHeight="1" s="152">
      <c r="W435" s="156">
        <f>INDEX(Matrix!$AA$2:$AA$33, MATCH(G435, Matrix!$AC$2:$AC$33, 0))</f>
        <v/>
      </c>
      <c r="X435" s="156">
        <f>_xlfn.IFNA(MATCH(E433,'Injury Report'!$C$2:$C$6216,0),0)</f>
        <v/>
      </c>
    </row>
    <row r="436" ht="13.8" customHeight="1" s="152">
      <c r="W436" s="156">
        <f>INDEX(Matrix!$AA$2:$AA$33, MATCH(G436, Matrix!$AC$2:$AC$33, 0))</f>
        <v/>
      </c>
      <c r="X436" s="156">
        <f>_xlfn.IFNA(MATCH(E434,'Injury Report'!$C$2:$C$6216,0),0)</f>
        <v/>
      </c>
    </row>
    <row r="437" ht="13.8" customHeight="1" s="152">
      <c r="W437" s="156">
        <f>INDEX(Matrix!$AA$2:$AA$33, MATCH(G437, Matrix!$AC$2:$AC$33, 0))</f>
        <v/>
      </c>
      <c r="X437" s="156">
        <f>_xlfn.IFNA(MATCH(E435,'Injury Report'!$C$2:$C$6216,0),0)</f>
        <v/>
      </c>
    </row>
    <row r="438" ht="13.8" customHeight="1" s="152">
      <c r="W438" s="156">
        <f>INDEX(Matrix!$AA$2:$AA$33, MATCH(G438, Matrix!$AC$2:$AC$33, 0))</f>
        <v/>
      </c>
      <c r="X438" s="156">
        <f>_xlfn.IFNA(MATCH(E436,'Injury Report'!$C$2:$C$6216,0),0)</f>
        <v/>
      </c>
    </row>
    <row r="439" ht="13.8" customHeight="1" s="152">
      <c r="W439" s="156">
        <f>INDEX(Matrix!$AA$2:$AA$33, MATCH(G439, Matrix!$AC$2:$AC$33, 0))</f>
        <v/>
      </c>
      <c r="X439" s="156">
        <f>_xlfn.IFNA(MATCH(E437,'Injury Report'!$C$2:$C$6216,0),0)</f>
        <v/>
      </c>
    </row>
    <row r="440" ht="13.8" customHeight="1" s="152">
      <c r="W440" s="156">
        <f>INDEX(Matrix!$AA$2:$AA$33, MATCH(G440, Matrix!$AC$2:$AC$33, 0))</f>
        <v/>
      </c>
      <c r="X440" s="156">
        <f>_xlfn.IFNA(MATCH(E438,'Injury Report'!$C$2:$C$6216,0),0)</f>
        <v/>
      </c>
    </row>
    <row r="441" ht="13.8" customHeight="1" s="152">
      <c r="W441" s="156">
        <f>INDEX(Matrix!$AA$2:$AA$33, MATCH(G441, Matrix!$AC$2:$AC$33, 0))</f>
        <v/>
      </c>
      <c r="X441" s="156">
        <f>_xlfn.IFNA(MATCH(E439,'Injury Report'!$C$2:$C$6216,0),0)</f>
        <v/>
      </c>
    </row>
    <row r="442" ht="13.8" customHeight="1" s="152">
      <c r="W442" s="156">
        <f>INDEX(Matrix!$AA$2:$AA$33, MATCH(G442, Matrix!$AC$2:$AC$33, 0))</f>
        <v/>
      </c>
      <c r="X442" s="156">
        <f>_xlfn.IFNA(MATCH(E440,'Injury Report'!$C$2:$C$6216,0),0)</f>
        <v/>
      </c>
    </row>
    <row r="443" ht="13.8" customHeight="1" s="152">
      <c r="W443" s="156">
        <f>INDEX(Matrix!$AA$2:$AA$33, MATCH(G443, Matrix!$AC$2:$AC$33, 0))</f>
        <v/>
      </c>
      <c r="X443" s="156">
        <f>_xlfn.IFNA(MATCH(E441,'Injury Report'!$C$2:$C$6216,0),0)</f>
        <v/>
      </c>
    </row>
    <row r="444" ht="13.8" customHeight="1" s="152">
      <c r="W444" s="156">
        <f>INDEX(Matrix!$AA$2:$AA$33, MATCH(G444, Matrix!$AC$2:$AC$33, 0))</f>
        <v/>
      </c>
      <c r="X444" s="156">
        <f>_xlfn.IFNA(MATCH(E442,'Injury Report'!$C$2:$C$6216,0),0)</f>
        <v/>
      </c>
    </row>
    <row r="445" ht="13.8" customHeight="1" s="152">
      <c r="W445" s="156">
        <f>INDEX(Matrix!$AA$2:$AA$33, MATCH(G445, Matrix!$AC$2:$AC$33, 0))</f>
        <v/>
      </c>
      <c r="X445" s="156">
        <f>_xlfn.IFNA(MATCH(E443,'Injury Report'!$C$2:$C$6216,0),0)</f>
        <v/>
      </c>
    </row>
    <row r="446" ht="13.8" customHeight="1" s="152">
      <c r="W446" s="156">
        <f>INDEX(Matrix!$AA$2:$AA$33, MATCH(G446, Matrix!$AC$2:$AC$33, 0))</f>
        <v/>
      </c>
      <c r="X446" s="156">
        <f>_xlfn.IFNA(MATCH(E444,'Injury Report'!$C$2:$C$6216,0),0)</f>
        <v/>
      </c>
    </row>
    <row r="447" ht="13.8" customHeight="1" s="152">
      <c r="W447" s="156">
        <f>INDEX(Matrix!$AA$2:$AA$33, MATCH(G447, Matrix!$AC$2:$AC$33, 0))</f>
        <v/>
      </c>
      <c r="X447" s="156">
        <f>_xlfn.IFNA(MATCH(E445,'Injury Report'!$C$2:$C$6216,0),0)</f>
        <v/>
      </c>
    </row>
    <row r="448" ht="13.8" customHeight="1" s="152">
      <c r="W448" s="156">
        <f>INDEX(Matrix!$AA$2:$AA$33, MATCH(G448, Matrix!$AC$2:$AC$33, 0))</f>
        <v/>
      </c>
      <c r="X448" s="156">
        <f>_xlfn.IFNA(MATCH(E446,'Injury Report'!$C$2:$C$6216,0),0)</f>
        <v/>
      </c>
    </row>
    <row r="449" ht="13.8" customHeight="1" s="152">
      <c r="W449" s="156">
        <f>INDEX(Matrix!$AA$2:$AA$33, MATCH(G449, Matrix!$AC$2:$AC$33, 0))</f>
        <v/>
      </c>
      <c r="X449" s="156">
        <f>_xlfn.IFNA(MATCH(E447,'Injury Report'!$C$2:$C$6216,0),0)</f>
        <v/>
      </c>
    </row>
    <row r="450" ht="13.8" customHeight="1" s="152">
      <c r="W450" s="156">
        <f>INDEX(Matrix!$AA$2:$AA$33, MATCH(G450, Matrix!$AC$2:$AC$33, 0))</f>
        <v/>
      </c>
      <c r="X450" s="156">
        <f>_xlfn.IFNA(MATCH(E448,'Injury Report'!$C$2:$C$6216,0),0)</f>
        <v/>
      </c>
    </row>
    <row r="451" ht="13.8" customHeight="1" s="152">
      <c r="W451" s="156">
        <f>INDEX(Matrix!$AA$2:$AA$33, MATCH(G451, Matrix!$AC$2:$AC$33, 0))</f>
        <v/>
      </c>
      <c r="X451" s="156">
        <f>_xlfn.IFNA(MATCH(E449,'Injury Report'!$C$2:$C$6216,0),0)</f>
        <v/>
      </c>
    </row>
    <row r="452" ht="13.8" customHeight="1" s="152">
      <c r="W452" s="156">
        <f>INDEX(Matrix!$AA$2:$AA$33, MATCH(G452, Matrix!$AC$2:$AC$33, 0))</f>
        <v/>
      </c>
      <c r="X452" s="156">
        <f>_xlfn.IFNA(MATCH(E450,'Injury Report'!$C$2:$C$6216,0),0)</f>
        <v/>
      </c>
    </row>
    <row r="453" ht="13.8" customHeight="1" s="152">
      <c r="W453" s="156">
        <f>INDEX(Matrix!$AA$2:$AA$33, MATCH(G453, Matrix!$AC$2:$AC$33, 0))</f>
        <v/>
      </c>
      <c r="X453" s="156">
        <f>_xlfn.IFNA(MATCH(E451,'Injury Report'!$C$2:$C$6216,0),0)</f>
        <v/>
      </c>
    </row>
    <row r="454" ht="13.8" customHeight="1" s="152">
      <c r="W454" s="156">
        <f>INDEX(Matrix!$AA$2:$AA$33, MATCH(G454, Matrix!$AC$2:$AC$33, 0))</f>
        <v/>
      </c>
      <c r="X454" s="156">
        <f>_xlfn.IFNA(MATCH(E452,'Injury Report'!$C$2:$C$6216,0),0)</f>
        <v/>
      </c>
    </row>
    <row r="455" ht="13.8" customHeight="1" s="152">
      <c r="W455" s="156">
        <f>INDEX(Matrix!$AA$2:$AA$33, MATCH(G455, Matrix!$AC$2:$AC$33, 0))</f>
        <v/>
      </c>
      <c r="X455" s="156">
        <f>_xlfn.IFNA(MATCH(E453,'Injury Report'!$C$2:$C$6216,0),0)</f>
        <v/>
      </c>
    </row>
    <row r="456" ht="13.8" customHeight="1" s="152">
      <c r="W456" s="156">
        <f>INDEX(Matrix!$AA$2:$AA$33, MATCH(G456, Matrix!$AC$2:$AC$33, 0))</f>
        <v/>
      </c>
      <c r="X456" s="156">
        <f>_xlfn.IFNA(MATCH(E454,'Injury Report'!$C$2:$C$6216,0),0)</f>
        <v/>
      </c>
    </row>
    <row r="457" ht="13.8" customHeight="1" s="152">
      <c r="W457" s="156">
        <f>INDEX(Matrix!$AA$2:$AA$33, MATCH(G457, Matrix!$AC$2:$AC$33, 0))</f>
        <v/>
      </c>
      <c r="X457" s="156">
        <f>_xlfn.IFNA(MATCH(E455,'Injury Report'!$C$2:$C$6216,0),0)</f>
        <v/>
      </c>
    </row>
    <row r="458" ht="13.8" customHeight="1" s="152">
      <c r="W458" s="156">
        <f>INDEX(Matrix!$AA$2:$AA$33, MATCH(G458, Matrix!$AC$2:$AC$33, 0))</f>
        <v/>
      </c>
      <c r="X458" s="156">
        <f>_xlfn.IFNA(MATCH(E456,'Injury Report'!$C$2:$C$6216,0),0)</f>
        <v/>
      </c>
    </row>
    <row r="459" ht="13.8" customHeight="1" s="152">
      <c r="W459" s="156">
        <f>INDEX(Matrix!$AA$2:$AA$33, MATCH(G459, Matrix!$AC$2:$AC$33, 0))</f>
        <v/>
      </c>
      <c r="X459" s="156">
        <f>_xlfn.IFNA(MATCH(E457,'Injury Report'!$C$2:$C$6216,0),0)</f>
        <v/>
      </c>
    </row>
    <row r="460" ht="13.8" customHeight="1" s="152">
      <c r="W460" s="156">
        <f>INDEX(Matrix!$AA$2:$AA$33, MATCH(G460, Matrix!$AC$2:$AC$33, 0))</f>
        <v/>
      </c>
      <c r="X460" s="156">
        <f>_xlfn.IFNA(MATCH(E458,'Injury Report'!$C$2:$C$6216,0),0)</f>
        <v/>
      </c>
    </row>
    <row r="461" ht="13.8" customHeight="1" s="152">
      <c r="W461" s="156">
        <f>INDEX(Matrix!$AA$2:$AA$33, MATCH(G461, Matrix!$AC$2:$AC$33, 0))</f>
        <v/>
      </c>
      <c r="X461" s="156">
        <f>_xlfn.IFNA(MATCH(E459,'Injury Report'!$C$2:$C$6216,0),0)</f>
        <v/>
      </c>
    </row>
    <row r="462" ht="13.8" customHeight="1" s="152">
      <c r="W462" s="156">
        <f>INDEX(Matrix!$AA$2:$AA$33, MATCH(G462, Matrix!$AC$2:$AC$33, 0))</f>
        <v/>
      </c>
      <c r="X462" s="156">
        <f>_xlfn.IFNA(MATCH(E460,'Injury Report'!$C$2:$C$6216,0),0)</f>
        <v/>
      </c>
    </row>
    <row r="463" ht="13.8" customHeight="1" s="152">
      <c r="W463" s="156">
        <f>INDEX(Matrix!$AA$2:$AA$33, MATCH(G463, Matrix!$AC$2:$AC$33, 0))</f>
        <v/>
      </c>
      <c r="X463" s="156">
        <f>_xlfn.IFNA(MATCH(E461,'Injury Report'!$C$2:$C$6216,0),0)</f>
        <v/>
      </c>
    </row>
    <row r="464" ht="13.8" customHeight="1" s="152">
      <c r="W464" s="156">
        <f>INDEX(Matrix!$AA$2:$AA$33, MATCH(G464, Matrix!$AC$2:$AC$33, 0))</f>
        <v/>
      </c>
      <c r="X464" s="156">
        <f>_xlfn.IFNA(MATCH(E462,'Injury Report'!$C$2:$C$6216,0),0)</f>
        <v/>
      </c>
    </row>
    <row r="465" ht="13.8" customHeight="1" s="152">
      <c r="W465" s="156">
        <f>INDEX(Matrix!$AA$2:$AA$33, MATCH(G465, Matrix!$AC$2:$AC$33, 0))</f>
        <v/>
      </c>
      <c r="X465" s="156">
        <f>_xlfn.IFNA(MATCH(E463,'Injury Report'!$C$2:$C$6216,0),0)</f>
        <v/>
      </c>
    </row>
    <row r="466" ht="13.8" customHeight="1" s="152">
      <c r="W466" s="156">
        <f>INDEX(Matrix!$AA$2:$AA$33, MATCH(G466, Matrix!$AC$2:$AC$33, 0))</f>
        <v/>
      </c>
      <c r="X466" s="156">
        <f>_xlfn.IFNA(MATCH(E464,'Injury Report'!$C$2:$C$6216,0),0)</f>
        <v/>
      </c>
    </row>
    <row r="467" ht="13.8" customHeight="1" s="152">
      <c r="W467" s="156">
        <f>INDEX(Matrix!$AA$2:$AA$33, MATCH(G467, Matrix!$AC$2:$AC$33, 0))</f>
        <v/>
      </c>
      <c r="X467" s="156">
        <f>_xlfn.IFNA(MATCH(E465,'Injury Report'!$C$2:$C$6216,0),0)</f>
        <v/>
      </c>
    </row>
    <row r="468" ht="13.8" customHeight="1" s="152">
      <c r="W468" s="156">
        <f>INDEX(Matrix!$AA$2:$AA$33, MATCH(G468, Matrix!$AC$2:$AC$33, 0))</f>
        <v/>
      </c>
      <c r="X468" s="156">
        <f>_xlfn.IFNA(MATCH(E466,'Injury Report'!$C$2:$C$6216,0),0)</f>
        <v/>
      </c>
    </row>
    <row r="469" ht="13.8" customHeight="1" s="152">
      <c r="W469" s="156">
        <f>INDEX(Matrix!$AA$2:$AA$33, MATCH(G469, Matrix!$AC$2:$AC$33, 0))</f>
        <v/>
      </c>
      <c r="X469" s="156">
        <f>_xlfn.IFNA(MATCH(E467,'Injury Report'!$C$2:$C$6216,0),0)</f>
        <v/>
      </c>
    </row>
    <row r="470" ht="13.8" customHeight="1" s="152">
      <c r="W470" s="156">
        <f>INDEX(Matrix!$AA$2:$AA$33, MATCH(G470, Matrix!$AC$2:$AC$33, 0))</f>
        <v/>
      </c>
      <c r="X470" s="156">
        <f>_xlfn.IFNA(MATCH(E468,'Injury Report'!$C$2:$C$6216,0),0)</f>
        <v/>
      </c>
    </row>
    <row r="471" ht="13.8" customHeight="1" s="152">
      <c r="W471" s="156">
        <f>INDEX(Matrix!$AA$2:$AA$33, MATCH(G471, Matrix!$AC$2:$AC$33, 0))</f>
        <v/>
      </c>
      <c r="X471" s="156">
        <f>_xlfn.IFNA(MATCH(E469,'Injury Report'!$C$2:$C$6216,0),0)</f>
        <v/>
      </c>
    </row>
    <row r="472" ht="13.8" customHeight="1" s="152">
      <c r="W472" s="156">
        <f>INDEX(Matrix!$AA$2:$AA$33, MATCH(G472, Matrix!$AC$2:$AC$33, 0))</f>
        <v/>
      </c>
      <c r="X472" s="156">
        <f>_xlfn.IFNA(MATCH(E470,'Injury Report'!$C$2:$C$6216,0),0)</f>
        <v/>
      </c>
    </row>
    <row r="473" ht="13.8" customHeight="1" s="152">
      <c r="W473" s="156">
        <f>INDEX(Matrix!$AA$2:$AA$33, MATCH(G473, Matrix!$AC$2:$AC$33, 0))</f>
        <v/>
      </c>
      <c r="X473" s="156">
        <f>_xlfn.IFNA(MATCH(E471,'Injury Report'!$C$2:$C$6216,0),0)</f>
        <v/>
      </c>
    </row>
    <row r="474" ht="13.8" customHeight="1" s="152">
      <c r="W474" s="156">
        <f>INDEX(Matrix!$AA$2:$AA$33, MATCH(G474, Matrix!$AC$2:$AC$33, 0))</f>
        <v/>
      </c>
      <c r="X474" s="156">
        <f>_xlfn.IFNA(MATCH(E472,'Injury Report'!$C$2:$C$6216,0),0)</f>
        <v/>
      </c>
    </row>
    <row r="475" ht="13.8" customHeight="1" s="152">
      <c r="W475" s="156">
        <f>INDEX(Matrix!$AA$2:$AA$33, MATCH(G475, Matrix!$AC$2:$AC$33, 0))</f>
        <v/>
      </c>
      <c r="X475" s="156">
        <f>_xlfn.IFNA(MATCH(E473,'Injury Report'!$C$2:$C$6216,0),0)</f>
        <v/>
      </c>
    </row>
    <row r="476" ht="13.8" customHeight="1" s="152">
      <c r="W476" s="156">
        <f>INDEX(Matrix!$AA$2:$AA$33, MATCH(G476, Matrix!$AC$2:$AC$33, 0))</f>
        <v/>
      </c>
      <c r="X476" s="156">
        <f>_xlfn.IFNA(MATCH(E474,'Injury Report'!$C$2:$C$6216,0),0)</f>
        <v/>
      </c>
    </row>
    <row r="477" ht="13.8" customHeight="1" s="152">
      <c r="W477" s="156">
        <f>INDEX(Matrix!$AA$2:$AA$33, MATCH(G477, Matrix!$AC$2:$AC$33, 0))</f>
        <v/>
      </c>
      <c r="X477" s="156">
        <f>_xlfn.IFNA(MATCH(E475,'Injury Report'!$C$2:$C$6216,0),0)</f>
        <v/>
      </c>
    </row>
    <row r="478" ht="13.8" customHeight="1" s="152">
      <c r="W478" s="156">
        <f>INDEX(Matrix!$AA$2:$AA$33, MATCH(G478, Matrix!$AC$2:$AC$33, 0))</f>
        <v/>
      </c>
      <c r="X478" s="156">
        <f>_xlfn.IFNA(MATCH(E476,'Injury Report'!$C$2:$C$6216,0),0)</f>
        <v/>
      </c>
    </row>
    <row r="479" ht="13.8" customHeight="1" s="152">
      <c r="W479" s="156">
        <f>INDEX(Matrix!$AA$2:$AA$33, MATCH(G479, Matrix!$AC$2:$AC$33, 0))</f>
        <v/>
      </c>
      <c r="X479" s="156">
        <f>_xlfn.IFNA(MATCH(E477,'Injury Report'!$C$2:$C$6216,0),0)</f>
        <v/>
      </c>
    </row>
    <row r="480" ht="13.8" customHeight="1" s="152">
      <c r="W480" s="156">
        <f>INDEX(Matrix!$AA$2:$AA$33, MATCH(G480, Matrix!$AC$2:$AC$33, 0))</f>
        <v/>
      </c>
      <c r="X480" s="156">
        <f>_xlfn.IFNA(MATCH(E478,'Injury Report'!$C$2:$C$6216,0),0)</f>
        <v/>
      </c>
    </row>
    <row r="481" ht="13.8" customHeight="1" s="152">
      <c r="W481" s="156">
        <f>INDEX(Matrix!$AA$2:$AA$33, MATCH(G481, Matrix!$AC$2:$AC$33, 0))</f>
        <v/>
      </c>
      <c r="X481" s="156">
        <f>_xlfn.IFNA(MATCH(E479,'Injury Report'!$C$2:$C$6216,0),0)</f>
        <v/>
      </c>
    </row>
    <row r="482" ht="13.8" customHeight="1" s="152">
      <c r="W482" s="156">
        <f>INDEX(Matrix!$AA$2:$AA$33, MATCH(G482, Matrix!$AC$2:$AC$33, 0))</f>
        <v/>
      </c>
      <c r="X482" s="156">
        <f>_xlfn.IFNA(MATCH(E480,'Injury Report'!$C$2:$C$6216,0),0)</f>
        <v/>
      </c>
    </row>
    <row r="483" ht="13.8" customHeight="1" s="152">
      <c r="W483" s="156">
        <f>INDEX(Matrix!$AA$2:$AA$33, MATCH(G483, Matrix!$AC$2:$AC$33, 0))</f>
        <v/>
      </c>
      <c r="X483" s="156">
        <f>_xlfn.IFNA(MATCH(E481,'Injury Report'!$C$2:$C$6216,0),0)</f>
        <v/>
      </c>
    </row>
    <row r="484" ht="13.8" customHeight="1" s="152">
      <c r="W484" s="156">
        <f>INDEX(Matrix!$AA$2:$AA$33, MATCH(G484, Matrix!$AC$2:$AC$33, 0))</f>
        <v/>
      </c>
      <c r="X484" s="156">
        <f>_xlfn.IFNA(MATCH(E482,'Injury Report'!$C$2:$C$6216,0),0)</f>
        <v/>
      </c>
    </row>
    <row r="485" ht="13.8" customHeight="1" s="152">
      <c r="W485" s="156">
        <f>INDEX(Matrix!$AA$2:$AA$33, MATCH(G485, Matrix!$AC$2:$AC$33, 0))</f>
        <v/>
      </c>
      <c r="X485" s="156">
        <f>_xlfn.IFNA(MATCH(E483,'Injury Report'!$C$2:$C$6216,0),0)</f>
        <v/>
      </c>
    </row>
    <row r="486" ht="13.8" customHeight="1" s="152">
      <c r="W486" s="156">
        <f>INDEX(Matrix!$AA$2:$AA$33, MATCH(G486, Matrix!$AC$2:$AC$33, 0))</f>
        <v/>
      </c>
      <c r="X486" s="156">
        <f>_xlfn.IFNA(MATCH(E484,'Injury Report'!$C$2:$C$6216,0),0)</f>
        <v/>
      </c>
    </row>
    <row r="487" ht="13.8" customHeight="1" s="152">
      <c r="W487" s="156">
        <f>INDEX(Matrix!$AA$2:$AA$33, MATCH(G487, Matrix!$AC$2:$AC$33, 0))</f>
        <v/>
      </c>
      <c r="X487" s="156">
        <f>_xlfn.IFNA(MATCH(E485,'Injury Report'!$C$2:$C$6216,0),0)</f>
        <v/>
      </c>
    </row>
    <row r="488" ht="13.8" customHeight="1" s="152">
      <c r="W488" s="156">
        <f>INDEX(Matrix!$AA$2:$AA$33, MATCH(G488, Matrix!$AC$2:$AC$33, 0))</f>
        <v/>
      </c>
      <c r="X488" s="156">
        <f>_xlfn.IFNA(MATCH(E486,'Injury Report'!$C$2:$C$6216,0),0)</f>
        <v/>
      </c>
    </row>
    <row r="489" ht="13.8" customHeight="1" s="152">
      <c r="W489" s="156">
        <f>INDEX(Matrix!$AA$2:$AA$33, MATCH(G489, Matrix!$AC$2:$AC$33, 0))</f>
        <v/>
      </c>
      <c r="X489" s="156">
        <f>_xlfn.IFNA(MATCH(E487,'Injury Report'!$C$2:$C$6216,0),0)</f>
        <v/>
      </c>
    </row>
    <row r="490" ht="13.8" customHeight="1" s="152">
      <c r="W490" s="156">
        <f>INDEX(Matrix!$AA$2:$AA$33, MATCH(G490, Matrix!$AC$2:$AC$33, 0))</f>
        <v/>
      </c>
      <c r="X490" s="156">
        <f>_xlfn.IFNA(MATCH(E488,'Injury Report'!$C$2:$C$6216,0),0)</f>
        <v/>
      </c>
    </row>
    <row r="491" ht="13.8" customHeight="1" s="152">
      <c r="W491" s="156">
        <f>INDEX(Matrix!$AA$2:$AA$33, MATCH(G491, Matrix!$AC$2:$AC$33, 0))</f>
        <v/>
      </c>
      <c r="X491" s="156">
        <f>_xlfn.IFNA(MATCH(E489,'Injury Report'!$C$2:$C$6216,0),0)</f>
        <v/>
      </c>
    </row>
    <row r="492" ht="13.8" customHeight="1" s="152">
      <c r="W492" s="156">
        <f>INDEX(Matrix!$AA$2:$AA$33, MATCH(G492, Matrix!$AC$2:$AC$33, 0))</f>
        <v/>
      </c>
      <c r="X492" s="156">
        <f>_xlfn.IFNA(MATCH(E490,'Injury Report'!$C$2:$C$6216,0),0)</f>
        <v/>
      </c>
    </row>
    <row r="493" ht="13.8" customHeight="1" s="152">
      <c r="W493" s="156">
        <f>INDEX(Matrix!$AA$2:$AA$33, MATCH(G493, Matrix!$AC$2:$AC$33, 0))</f>
        <v/>
      </c>
      <c r="X493" s="156">
        <f>_xlfn.IFNA(MATCH(E491,'Injury Report'!$C$2:$C$6216,0),0)</f>
        <v/>
      </c>
    </row>
    <row r="494" ht="13.8" customHeight="1" s="152">
      <c r="W494" s="156">
        <f>INDEX(Matrix!$AA$2:$AA$33, MATCH(G494, Matrix!$AC$2:$AC$33, 0))</f>
        <v/>
      </c>
      <c r="X494" s="156">
        <f>_xlfn.IFNA(MATCH(E492,'Injury Report'!$C$2:$C$6216,0),0)</f>
        <v/>
      </c>
    </row>
    <row r="495" ht="13.8" customHeight="1" s="152">
      <c r="W495" s="156">
        <f>INDEX(Matrix!$AA$2:$AA$33, MATCH(G495, Matrix!$AC$2:$AC$33, 0))</f>
        <v/>
      </c>
      <c r="X495" s="156">
        <f>_xlfn.IFNA(MATCH(E493,'Injury Report'!$C$2:$C$6216,0),0)</f>
        <v/>
      </c>
    </row>
    <row r="496" ht="13.8" customHeight="1" s="152">
      <c r="W496" s="156">
        <f>INDEX(Matrix!$AA$2:$AA$33, MATCH(G496, Matrix!$AC$2:$AC$33, 0))</f>
        <v/>
      </c>
      <c r="X496" s="156">
        <f>_xlfn.IFNA(MATCH(E494,'Injury Report'!$C$2:$C$6216,0),0)</f>
        <v/>
      </c>
    </row>
    <row r="497" ht="13.8" customHeight="1" s="152">
      <c r="W497" s="156">
        <f>INDEX(Matrix!$AA$2:$AA$33, MATCH(G497, Matrix!$AC$2:$AC$33, 0))</f>
        <v/>
      </c>
      <c r="X497" s="156">
        <f>_xlfn.IFNA(MATCH(E495,'Injury Report'!$C$2:$C$6216,0),0)</f>
        <v/>
      </c>
    </row>
    <row r="498" ht="13.8" customHeight="1" s="152">
      <c r="W498" s="156">
        <f>INDEX(Matrix!$AA$2:$AA$33, MATCH(G498, Matrix!$AC$2:$AC$33, 0))</f>
        <v/>
      </c>
      <c r="X498" s="156">
        <f>_xlfn.IFNA(MATCH(E496,'Injury Report'!$C$2:$C$6216,0),0)</f>
        <v/>
      </c>
    </row>
    <row r="499" ht="13.8" customHeight="1" s="152">
      <c r="W499" s="156">
        <f>INDEX(Matrix!$AA$2:$AA$33, MATCH(G499, Matrix!$AC$2:$AC$33, 0))</f>
        <v/>
      </c>
      <c r="X499" s="156">
        <f>_xlfn.IFNA(MATCH(E497,'Injury Report'!$C$2:$C$6216,0),0)</f>
        <v/>
      </c>
    </row>
    <row r="500" ht="13.8" customHeight="1" s="152">
      <c r="W500" s="156">
        <f>INDEX(Matrix!$AA$2:$AA$33, MATCH(G500, Matrix!$AC$2:$AC$33, 0))</f>
        <v/>
      </c>
      <c r="X500" s="156">
        <f>_xlfn.IFNA(MATCH(E498,'Injury Report'!$C$2:$C$6216,0),0)</f>
        <v/>
      </c>
    </row>
    <row r="501" ht="13.8" customHeight="1" s="152">
      <c r="W501" s="156">
        <f>INDEX(Matrix!$AA$2:$AA$33, MATCH(G501, Matrix!$AC$2:$AC$33, 0))</f>
        <v/>
      </c>
      <c r="X501" s="156">
        <f>_xlfn.IFNA(MATCH(E499,'Injury Report'!$C$2:$C$6216,0),0)</f>
        <v/>
      </c>
    </row>
    <row r="502" ht="13.8" customHeight="1" s="152">
      <c r="W502" s="156">
        <f>INDEX(Matrix!$AA$2:$AA$33, MATCH(G502, Matrix!$AC$2:$AC$33, 0))</f>
        <v/>
      </c>
      <c r="X502" s="156">
        <f>_xlfn.IFNA(MATCH(E500,'Injury Report'!$C$2:$C$6216,0),0)</f>
        <v/>
      </c>
    </row>
    <row r="503" ht="13.8" customHeight="1" s="152">
      <c r="W503" s="156">
        <f>INDEX(Matrix!$AA$2:$AA$33, MATCH(G503, Matrix!$AC$2:$AC$33, 0))</f>
        <v/>
      </c>
      <c r="X503" s="156">
        <f>_xlfn.IFNA(MATCH(E501,'Injury Report'!$C$2:$C$6216,0),0)</f>
        <v/>
      </c>
    </row>
    <row r="504" ht="13.8" customHeight="1" s="152">
      <c r="W504" s="156">
        <f>INDEX(Matrix!$AA$2:$AA$33, MATCH(G504, Matrix!$AC$2:$AC$33, 0))</f>
        <v/>
      </c>
      <c r="X504" s="156">
        <f>_xlfn.IFNA(MATCH(E502,'Injury Report'!$C$2:$C$6216,0),0)</f>
        <v/>
      </c>
    </row>
    <row r="505" ht="13.8" customHeight="1" s="152">
      <c r="W505" s="156">
        <f>INDEX(Matrix!$AA$2:$AA$33, MATCH(G505, Matrix!$AC$2:$AC$33, 0))</f>
        <v/>
      </c>
      <c r="X505" s="156">
        <f>_xlfn.IFNA(MATCH(E503,'Injury Report'!$C$2:$C$6216,0),0)</f>
        <v/>
      </c>
    </row>
    <row r="506" ht="13.8" customHeight="1" s="152">
      <c r="W506" s="156">
        <f>INDEX(Matrix!$AA$2:$AA$33, MATCH(G506, Matrix!$AC$2:$AC$33, 0))</f>
        <v/>
      </c>
      <c r="X506" s="156">
        <f>_xlfn.IFNA(MATCH(E504,'Injury Report'!$C$2:$C$6216,0),0)</f>
        <v/>
      </c>
    </row>
    <row r="507" ht="13.8" customHeight="1" s="152">
      <c r="W507" s="156">
        <f>INDEX(Matrix!$AA$2:$AA$33, MATCH(G507, Matrix!$AC$2:$AC$33, 0))</f>
        <v/>
      </c>
      <c r="X507" s="156">
        <f>_xlfn.IFNA(MATCH(E505,'Injury Report'!$C$2:$C$6216,0),0)</f>
        <v/>
      </c>
    </row>
    <row r="508" ht="13.8" customHeight="1" s="152">
      <c r="W508" s="156">
        <f>INDEX(Matrix!$AA$2:$AA$33, MATCH(G508, Matrix!$AC$2:$AC$33, 0))</f>
        <v/>
      </c>
      <c r="X508" s="156">
        <f>_xlfn.IFNA(MATCH(E506,'Injury Report'!$C$2:$C$6216,0),0)</f>
        <v/>
      </c>
    </row>
    <row r="509" ht="13.8" customHeight="1" s="152">
      <c r="W509" s="156">
        <f>INDEX(Matrix!$AA$2:$AA$33, MATCH(G509, Matrix!$AC$2:$AC$33, 0))</f>
        <v/>
      </c>
      <c r="X509" s="156">
        <f>_xlfn.IFNA(MATCH(E507,'Injury Report'!$C$2:$C$6216,0),0)</f>
        <v/>
      </c>
    </row>
    <row r="510" ht="13.8" customHeight="1" s="152">
      <c r="W510" s="156">
        <f>INDEX(Matrix!$AA$2:$AA$33, MATCH(G510, Matrix!$AC$2:$AC$33, 0))</f>
        <v/>
      </c>
      <c r="X510" s="156">
        <f>_xlfn.IFNA(MATCH(E508,'Injury Report'!$C$2:$C$6216,0),0)</f>
        <v/>
      </c>
    </row>
    <row r="511" ht="13.8" customHeight="1" s="152">
      <c r="W511" s="156">
        <f>INDEX(Matrix!$AA$2:$AA$33, MATCH(G511, Matrix!$AC$2:$AC$33, 0))</f>
        <v/>
      </c>
      <c r="X511" s="156">
        <f>_xlfn.IFNA(MATCH(E509,'Injury Report'!$C$2:$C$6216,0),0)</f>
        <v/>
      </c>
    </row>
    <row r="512" ht="13.8" customHeight="1" s="152">
      <c r="W512" s="156">
        <f>INDEX(Matrix!$AA$2:$AA$33, MATCH(G512, Matrix!$AC$2:$AC$33, 0))</f>
        <v/>
      </c>
      <c r="X512" s="156">
        <f>_xlfn.IFNA(MATCH(E510,'Injury Report'!$C$2:$C$6216,0),0)</f>
        <v/>
      </c>
    </row>
    <row r="513" ht="13.8" customHeight="1" s="152">
      <c r="W513" s="156">
        <f>INDEX(Matrix!$AA$2:$AA$33, MATCH(G513, Matrix!$AC$2:$AC$33, 0))</f>
        <v/>
      </c>
      <c r="X513" s="156">
        <f>_xlfn.IFNA(MATCH(E511,'Injury Report'!$C$2:$C$6216,0),0)</f>
        <v/>
      </c>
    </row>
    <row r="514" ht="13.8" customHeight="1" s="152">
      <c r="W514" s="156">
        <f>INDEX(Matrix!$AA$2:$AA$33, MATCH(G514, Matrix!$AC$2:$AC$33, 0))</f>
        <v/>
      </c>
      <c r="X514" s="156">
        <f>_xlfn.IFNA(MATCH(E512,'Injury Report'!$C$2:$C$6216,0),0)</f>
        <v/>
      </c>
    </row>
    <row r="515" ht="13.8" customHeight="1" s="152">
      <c r="W515" s="156">
        <f>INDEX(Matrix!$AA$2:$AA$33, MATCH(G515, Matrix!$AC$2:$AC$33, 0))</f>
        <v/>
      </c>
      <c r="X515" s="156">
        <f>_xlfn.IFNA(MATCH(E513,'Injury Report'!$C$2:$C$6216,0),0)</f>
        <v/>
      </c>
    </row>
    <row r="516" ht="13.8" customHeight="1" s="152">
      <c r="W516" s="156">
        <f>INDEX(Matrix!$AA$2:$AA$33, MATCH(G516, Matrix!$AC$2:$AC$33, 0))</f>
        <v/>
      </c>
      <c r="X516" s="156">
        <f>_xlfn.IFNA(MATCH(E514,'Injury Report'!$C$2:$C$6216,0),0)</f>
        <v/>
      </c>
    </row>
    <row r="517" ht="13.8" customHeight="1" s="152">
      <c r="W517" s="156">
        <f>INDEX(Matrix!$AA$2:$AA$33, MATCH(G517, Matrix!$AC$2:$AC$33, 0))</f>
        <v/>
      </c>
      <c r="X517" s="156">
        <f>_xlfn.IFNA(MATCH(E515,'Injury Report'!$C$2:$C$6216,0),0)</f>
        <v/>
      </c>
    </row>
    <row r="518" ht="13.8" customHeight="1" s="152">
      <c r="W518" s="156">
        <f>INDEX(Matrix!$AA$2:$AA$33, MATCH(G518, Matrix!$AC$2:$AC$33, 0))</f>
        <v/>
      </c>
      <c r="X518" s="156">
        <f>_xlfn.IFNA(MATCH(E516,'Injury Report'!$C$2:$C$6216,0),0)</f>
        <v/>
      </c>
    </row>
    <row r="519" ht="13.8" customHeight="1" s="152">
      <c r="W519" s="156">
        <f>INDEX(Matrix!$AA$2:$AA$33, MATCH(G519, Matrix!$AC$2:$AC$33, 0))</f>
        <v/>
      </c>
      <c r="X519" s="156">
        <f>_xlfn.IFNA(MATCH(E517,'Injury Report'!$C$2:$C$6216,0),0)</f>
        <v/>
      </c>
    </row>
    <row r="520" ht="13.8" customHeight="1" s="152">
      <c r="W520" s="156">
        <f>INDEX(Matrix!$AA$2:$AA$33, MATCH(G520, Matrix!$AC$2:$AC$33, 0))</f>
        <v/>
      </c>
      <c r="X520" s="156">
        <f>_xlfn.IFNA(MATCH(E518,'Injury Report'!$C$2:$C$6216,0),0)</f>
        <v/>
      </c>
    </row>
    <row r="521" ht="13.8" customHeight="1" s="152">
      <c r="W521" s="156">
        <f>INDEX(Matrix!$AA$2:$AA$33, MATCH(G521, Matrix!$AC$2:$AC$33, 0))</f>
        <v/>
      </c>
      <c r="X521" s="156">
        <f>_xlfn.IFNA(MATCH(E519,'Injury Report'!$C$2:$C$6216,0),0)</f>
        <v/>
      </c>
    </row>
    <row r="522" ht="13.8" customHeight="1" s="152">
      <c r="W522" s="156">
        <f>INDEX(Matrix!$AA$2:$AA$33, MATCH(G522, Matrix!$AC$2:$AC$33, 0))</f>
        <v/>
      </c>
      <c r="X522" s="156">
        <f>_xlfn.IFNA(MATCH(E520,'Injury Report'!$C$2:$C$6216,0),0)</f>
        <v/>
      </c>
    </row>
    <row r="523" ht="13.8" customHeight="1" s="152">
      <c r="W523" s="156">
        <f>INDEX(Matrix!$AA$2:$AA$33, MATCH(G523, Matrix!$AC$2:$AC$33, 0))</f>
        <v/>
      </c>
      <c r="X523" s="156">
        <f>_xlfn.IFNA(MATCH(E521,'Injury Report'!$C$2:$C$6216,0),0)</f>
        <v/>
      </c>
    </row>
    <row r="524" ht="13.8" customHeight="1" s="152">
      <c r="W524" s="156">
        <f>INDEX(Matrix!$AA$2:$AA$33, MATCH(G524, Matrix!$AC$2:$AC$33, 0))</f>
        <v/>
      </c>
      <c r="X524" s="156">
        <f>_xlfn.IFNA(MATCH(E522,'Injury Report'!$C$2:$C$6216,0),0)</f>
        <v/>
      </c>
    </row>
    <row r="525" ht="13.8" customHeight="1" s="152">
      <c r="W525" s="156">
        <f>INDEX(Matrix!$AA$2:$AA$33, MATCH(G525, Matrix!$AC$2:$AC$33, 0))</f>
        <v/>
      </c>
      <c r="X525" s="156">
        <f>_xlfn.IFNA(MATCH(E523,'Injury Report'!$C$2:$C$6216,0),0)</f>
        <v/>
      </c>
    </row>
    <row r="526" ht="13.8" customHeight="1" s="152">
      <c r="W526" s="156">
        <f>INDEX(Matrix!$AA$2:$AA$33, MATCH(G526, Matrix!$AC$2:$AC$33, 0))</f>
        <v/>
      </c>
      <c r="X526" s="156">
        <f>_xlfn.IFNA(MATCH(E524,'Injury Report'!$C$2:$C$6216,0),0)</f>
        <v/>
      </c>
    </row>
    <row r="527" ht="13.8" customHeight="1" s="152">
      <c r="W527" s="156">
        <f>INDEX(Matrix!$AA$2:$AA$33, MATCH(G527, Matrix!$AC$2:$AC$33, 0))</f>
        <v/>
      </c>
      <c r="X527" s="156">
        <f>_xlfn.IFNA(MATCH(E525,'Injury Report'!$C$2:$C$6216,0),0)</f>
        <v/>
      </c>
    </row>
    <row r="528" ht="13.8" customHeight="1" s="152">
      <c r="W528" s="156">
        <f>INDEX(Matrix!$AA$2:$AA$33, MATCH(G528, Matrix!$AC$2:$AC$33, 0))</f>
        <v/>
      </c>
      <c r="X528" s="156">
        <f>_xlfn.IFNA(MATCH(E526,'Injury Report'!$C$2:$C$6216,0),0)</f>
        <v/>
      </c>
    </row>
    <row r="529" ht="13.8" customHeight="1" s="152">
      <c r="W529" s="156">
        <f>INDEX(Matrix!$AA$2:$AA$33, MATCH(G529, Matrix!$AC$2:$AC$33, 0))</f>
        <v/>
      </c>
      <c r="X529" s="156">
        <f>_xlfn.IFNA(MATCH(E527,'Injury Report'!$C$2:$C$6216,0),0)</f>
        <v/>
      </c>
    </row>
    <row r="530" ht="13.8" customHeight="1" s="152">
      <c r="W530" s="156">
        <f>INDEX(Matrix!$AA$2:$AA$33, MATCH(G530, Matrix!$AC$2:$AC$33, 0))</f>
        <v/>
      </c>
      <c r="X530" s="156">
        <f>_xlfn.IFNA(MATCH(E528,'Injury Report'!$C$2:$C$6216,0),0)</f>
        <v/>
      </c>
    </row>
    <row r="531" ht="13.8" customHeight="1" s="152">
      <c r="W531" s="156">
        <f>INDEX(Matrix!$AA$2:$AA$33, MATCH(G531, Matrix!$AC$2:$AC$33, 0))</f>
        <v/>
      </c>
      <c r="X531" s="156">
        <f>_xlfn.IFNA(MATCH(E529,'Injury Report'!$C$2:$C$6216,0),0)</f>
        <v/>
      </c>
    </row>
    <row r="532" ht="13.8" customHeight="1" s="152">
      <c r="W532" s="156">
        <f>INDEX(Matrix!$AA$2:$AA$33, MATCH(G532, Matrix!$AC$2:$AC$33, 0))</f>
        <v/>
      </c>
      <c r="X532" s="156">
        <f>_xlfn.IFNA(MATCH(E530,'Injury Report'!$C$2:$C$6216,0),0)</f>
        <v/>
      </c>
    </row>
    <row r="533" ht="13.8" customHeight="1" s="152">
      <c r="W533" s="156">
        <f>INDEX(Matrix!$AA$2:$AA$33, MATCH(G533, Matrix!$AC$2:$AC$33, 0))</f>
        <v/>
      </c>
      <c r="X533" s="156">
        <f>_xlfn.IFNA(MATCH(E531,'Injury Report'!$C$2:$C$6216,0),0)</f>
        <v/>
      </c>
    </row>
    <row r="534" ht="13.8" customHeight="1" s="152">
      <c r="W534" s="156">
        <f>INDEX(Matrix!$AA$2:$AA$33, MATCH(G534, Matrix!$AC$2:$AC$33, 0))</f>
        <v/>
      </c>
      <c r="X534" s="156">
        <f>_xlfn.IFNA(MATCH(E532,'Injury Report'!$C$2:$C$6216,0),0)</f>
        <v/>
      </c>
    </row>
    <row r="535" ht="13.8" customHeight="1" s="152">
      <c r="W535" s="156">
        <f>INDEX(Matrix!$AA$2:$AA$33, MATCH(G535, Matrix!$AC$2:$AC$33, 0))</f>
        <v/>
      </c>
      <c r="X535" s="156">
        <f>_xlfn.IFNA(MATCH(E533,'Injury Report'!$C$2:$C$6216,0),0)</f>
        <v/>
      </c>
    </row>
    <row r="536" ht="13.8" customHeight="1" s="152">
      <c r="W536" s="156">
        <f>INDEX(Matrix!$AA$2:$AA$33, MATCH(G536, Matrix!$AC$2:$AC$33, 0))</f>
        <v/>
      </c>
      <c r="X536" s="156">
        <f>_xlfn.IFNA(MATCH(E534,'Injury Report'!$C$2:$C$6216,0),0)</f>
        <v/>
      </c>
    </row>
    <row r="537" ht="13.8" customHeight="1" s="152">
      <c r="W537" s="156">
        <f>INDEX(Matrix!$AA$2:$AA$33, MATCH(G537, Matrix!$AC$2:$AC$33, 0))</f>
        <v/>
      </c>
      <c r="X537" s="156">
        <f>_xlfn.IFNA(MATCH(E535,'Injury Report'!$C$2:$C$6216,0),0)</f>
        <v/>
      </c>
    </row>
    <row r="538" ht="13.8" customHeight="1" s="152">
      <c r="W538" s="156">
        <f>INDEX(Matrix!$AA$2:$AA$33, MATCH(G538, Matrix!$AC$2:$AC$33, 0))</f>
        <v/>
      </c>
      <c r="X538" s="156">
        <f>_xlfn.IFNA(MATCH(E536,'Injury Report'!$C$2:$C$6216,0),0)</f>
        <v/>
      </c>
    </row>
    <row r="539" ht="13.8" customHeight="1" s="152">
      <c r="W539" s="156">
        <f>INDEX(Matrix!$AA$2:$AA$33, MATCH(G539, Matrix!$AC$2:$AC$33, 0))</f>
        <v/>
      </c>
      <c r="X539" s="156">
        <f>_xlfn.IFNA(MATCH(E537,'Injury Report'!$C$2:$C$6216,0),0)</f>
        <v/>
      </c>
    </row>
    <row r="540" ht="13.8" customHeight="1" s="152">
      <c r="W540" s="156">
        <f>INDEX(Matrix!$AA$2:$AA$33, MATCH(G540, Matrix!$AC$2:$AC$33, 0))</f>
        <v/>
      </c>
      <c r="X540" s="156">
        <f>_xlfn.IFNA(MATCH(E538,'Injury Report'!$C$2:$C$6216,0),0)</f>
        <v/>
      </c>
    </row>
    <row r="541" ht="13.8" customHeight="1" s="152">
      <c r="W541" s="156">
        <f>INDEX(Matrix!$AA$2:$AA$33, MATCH(G541, Matrix!$AC$2:$AC$33, 0))</f>
        <v/>
      </c>
      <c r="X541" s="156">
        <f>_xlfn.IFNA(MATCH(E539,'Injury Report'!$C$2:$C$6216,0),0)</f>
        <v/>
      </c>
    </row>
    <row r="542" ht="13.8" customHeight="1" s="152">
      <c r="W542" s="156">
        <f>INDEX(Matrix!$AA$2:$AA$33, MATCH(G542, Matrix!$AC$2:$AC$33, 0))</f>
        <v/>
      </c>
      <c r="X542" s="156">
        <f>_xlfn.IFNA(MATCH(E540,'Injury Report'!$C$2:$C$6216,0),0)</f>
        <v/>
      </c>
    </row>
    <row r="543" ht="13.8" customHeight="1" s="152">
      <c r="W543" s="156">
        <f>INDEX(Matrix!$AA$2:$AA$33, MATCH(G543, Matrix!$AC$2:$AC$33, 0))</f>
        <v/>
      </c>
      <c r="X543" s="156">
        <f>_xlfn.IFNA(MATCH(E541,'Injury Report'!$C$2:$C$6216,0),0)</f>
        <v/>
      </c>
    </row>
    <row r="544" ht="13.8" customHeight="1" s="152">
      <c r="W544" s="156">
        <f>INDEX(Matrix!$AA$2:$AA$33, MATCH(G544, Matrix!$AC$2:$AC$33, 0))</f>
        <v/>
      </c>
      <c r="X544" s="156">
        <f>_xlfn.IFNA(MATCH(E542,'Injury Report'!$C$2:$C$6216,0),0)</f>
        <v/>
      </c>
    </row>
    <row r="545" ht="13.8" customHeight="1" s="152">
      <c r="W545" s="156">
        <f>INDEX(Matrix!$AA$2:$AA$33, MATCH(G545, Matrix!$AC$2:$AC$33, 0))</f>
        <v/>
      </c>
      <c r="X545" s="156">
        <f>_xlfn.IFNA(MATCH(E543,'Injury Report'!$C$2:$C$6216,0),0)</f>
        <v/>
      </c>
    </row>
    <row r="546" ht="13.8" customHeight="1" s="152">
      <c r="W546" s="156">
        <f>INDEX(Matrix!$AA$2:$AA$33, MATCH(G546, Matrix!$AC$2:$AC$33, 0))</f>
        <v/>
      </c>
      <c r="X546" s="156">
        <f>_xlfn.IFNA(MATCH(E544,'Injury Report'!$C$2:$C$6216,0),0)</f>
        <v/>
      </c>
    </row>
    <row r="547" ht="13.8" customHeight="1" s="152">
      <c r="W547" s="156">
        <f>INDEX(Matrix!$AA$2:$AA$33, MATCH(G547, Matrix!$AC$2:$AC$33, 0))</f>
        <v/>
      </c>
      <c r="X547" s="156">
        <f>_xlfn.IFNA(MATCH(E545,'Injury Report'!$C$2:$C$6216,0),0)</f>
        <v/>
      </c>
    </row>
    <row r="548" ht="13.8" customHeight="1" s="152">
      <c r="W548" s="156">
        <f>INDEX(Matrix!$AA$2:$AA$33, MATCH(G548, Matrix!$AC$2:$AC$33, 0))</f>
        <v/>
      </c>
      <c r="X548" s="156">
        <f>_xlfn.IFNA(MATCH(E546,'Injury Report'!$C$2:$C$6216,0),0)</f>
        <v/>
      </c>
    </row>
    <row r="549" ht="13.8" customHeight="1" s="152">
      <c r="W549" s="156">
        <f>INDEX(Matrix!$AA$2:$AA$33, MATCH(G549, Matrix!$AC$2:$AC$33, 0))</f>
        <v/>
      </c>
      <c r="X549" s="156">
        <f>_xlfn.IFNA(MATCH(E547,'Injury Report'!$C$2:$C$6216,0),0)</f>
        <v/>
      </c>
    </row>
    <row r="550" ht="13.8" customHeight="1" s="152">
      <c r="W550" s="156">
        <f>INDEX(Matrix!$AA$2:$AA$33, MATCH(G550, Matrix!$AC$2:$AC$33, 0))</f>
        <v/>
      </c>
      <c r="X550" s="156">
        <f>_xlfn.IFNA(MATCH(E548,'Injury Report'!$C$2:$C$6216,0),0)</f>
        <v/>
      </c>
    </row>
    <row r="551" ht="13.8" customHeight="1" s="152">
      <c r="W551" s="156">
        <f>INDEX(Matrix!$AA$2:$AA$33, MATCH(G551, Matrix!$AC$2:$AC$33, 0))</f>
        <v/>
      </c>
      <c r="X551" s="156">
        <f>_xlfn.IFNA(MATCH(E549,'Injury Report'!$C$2:$C$6216,0),0)</f>
        <v/>
      </c>
    </row>
    <row r="552" ht="13.8" customHeight="1" s="152">
      <c r="W552" s="156">
        <f>INDEX(Matrix!$AA$2:$AA$33, MATCH(G552, Matrix!$AC$2:$AC$33, 0))</f>
        <v/>
      </c>
      <c r="X552" s="156">
        <f>_xlfn.IFNA(MATCH(E550,'Injury Report'!$C$2:$C$6216,0),0)</f>
        <v/>
      </c>
    </row>
    <row r="553" ht="13.8" customHeight="1" s="152">
      <c r="W553" s="156">
        <f>INDEX(Matrix!$AA$2:$AA$33, MATCH(G553, Matrix!$AC$2:$AC$33, 0))</f>
        <v/>
      </c>
      <c r="X553" s="156">
        <f>_xlfn.IFNA(MATCH(E551,'Injury Report'!$C$2:$C$6216,0),0)</f>
        <v/>
      </c>
    </row>
    <row r="554" ht="13.8" customHeight="1" s="152">
      <c r="W554" s="156">
        <f>INDEX(Matrix!$AA$2:$AA$33, MATCH(G554, Matrix!$AC$2:$AC$33, 0))</f>
        <v/>
      </c>
      <c r="X554" s="156">
        <f>_xlfn.IFNA(MATCH(E552,'Injury Report'!$C$2:$C$6216,0),0)</f>
        <v/>
      </c>
    </row>
    <row r="555" ht="13.8" customHeight="1" s="152">
      <c r="W555" s="156">
        <f>INDEX(Matrix!$AA$2:$AA$33, MATCH(G555, Matrix!$AC$2:$AC$33, 0))</f>
        <v/>
      </c>
      <c r="X555" s="156">
        <f>_xlfn.IFNA(MATCH(E553,'Injury Report'!$C$2:$C$6216,0),0)</f>
        <v/>
      </c>
    </row>
    <row r="556" ht="13.8" customHeight="1" s="152">
      <c r="W556" s="156">
        <f>INDEX(Matrix!$AA$2:$AA$33, MATCH(G556, Matrix!$AC$2:$AC$33, 0))</f>
        <v/>
      </c>
      <c r="X556" s="156">
        <f>_xlfn.IFNA(MATCH(E554,'Injury Report'!$C$2:$C$6216,0),0)</f>
        <v/>
      </c>
    </row>
    <row r="557" ht="13.8" customHeight="1" s="152">
      <c r="W557" s="156">
        <f>INDEX(Matrix!$AA$2:$AA$33, MATCH(G557, Matrix!$AC$2:$AC$33, 0))</f>
        <v/>
      </c>
      <c r="X557" s="156">
        <f>_xlfn.IFNA(MATCH(E555,'Injury Report'!$C$2:$C$6216,0),0)</f>
        <v/>
      </c>
    </row>
    <row r="558" ht="13.8" customHeight="1" s="152">
      <c r="W558" s="156">
        <f>INDEX(Matrix!$AA$2:$AA$33, MATCH(G558, Matrix!$AC$2:$AC$33, 0))</f>
        <v/>
      </c>
      <c r="X558" s="156">
        <f>_xlfn.IFNA(MATCH(E556,'Injury Report'!$C$2:$C$6216,0),0)</f>
        <v/>
      </c>
    </row>
    <row r="559" ht="13.8" customHeight="1" s="152">
      <c r="W559" s="156">
        <f>INDEX(Matrix!$AA$2:$AA$33, MATCH(G559, Matrix!$AC$2:$AC$33, 0))</f>
        <v/>
      </c>
      <c r="X559" s="156">
        <f>_xlfn.IFNA(MATCH(E557,'Injury Report'!$C$2:$C$6216,0),0)</f>
        <v/>
      </c>
    </row>
    <row r="560" ht="13.8" customHeight="1" s="152">
      <c r="W560" s="156">
        <f>INDEX(Matrix!$AA$2:$AA$33, MATCH(G560, Matrix!$AC$2:$AC$33, 0))</f>
        <v/>
      </c>
      <c r="X560" s="156">
        <f>_xlfn.IFNA(MATCH(E558,'Injury Report'!$C$2:$C$6216,0),0)</f>
        <v/>
      </c>
    </row>
    <row r="561" ht="13.8" customHeight="1" s="152">
      <c r="W561" s="156">
        <f>INDEX(Matrix!$AA$2:$AA$33, MATCH(G561, Matrix!$AC$2:$AC$33, 0))</f>
        <v/>
      </c>
      <c r="X561" s="156">
        <f>_xlfn.IFNA(MATCH(E559,'Injury Report'!$C$2:$C$6216,0),0)</f>
        <v/>
      </c>
    </row>
    <row r="562" ht="13.8" customHeight="1" s="152">
      <c r="W562" s="156">
        <f>INDEX(Matrix!$AA$2:$AA$33, MATCH(G562, Matrix!$AC$2:$AC$33, 0))</f>
        <v/>
      </c>
      <c r="X562" s="156">
        <f>_xlfn.IFNA(MATCH(E560,'Injury Report'!$C$2:$C$6216,0),0)</f>
        <v/>
      </c>
    </row>
    <row r="563" ht="13.8" customHeight="1" s="152">
      <c r="W563" s="156">
        <f>INDEX(Matrix!$AA$2:$AA$33, MATCH(G563, Matrix!$AC$2:$AC$33, 0))</f>
        <v/>
      </c>
      <c r="X563" s="156">
        <f>_xlfn.IFNA(MATCH(E561,'Injury Report'!$C$2:$C$6216,0),0)</f>
        <v/>
      </c>
    </row>
    <row r="564" ht="13.8" customHeight="1" s="152">
      <c r="W564" s="156">
        <f>INDEX(Matrix!$AA$2:$AA$33, MATCH(G564, Matrix!$AC$2:$AC$33, 0))</f>
        <v/>
      </c>
      <c r="X564" s="156">
        <f>_xlfn.IFNA(MATCH(E562,'Injury Report'!$C$2:$C$6216,0),0)</f>
        <v/>
      </c>
    </row>
    <row r="565" ht="13.8" customHeight="1" s="152">
      <c r="W565" s="156">
        <f>INDEX(Matrix!$AA$2:$AA$33, MATCH(G565, Matrix!$AC$2:$AC$33, 0))</f>
        <v/>
      </c>
      <c r="X565" s="156">
        <f>_xlfn.IFNA(MATCH(E563,'Injury Report'!$C$2:$C$6216,0),0)</f>
        <v/>
      </c>
    </row>
    <row r="566" ht="13.8" customHeight="1" s="152">
      <c r="W566" s="156">
        <f>INDEX(Matrix!$AA$2:$AA$33, MATCH(G566, Matrix!$AC$2:$AC$33, 0))</f>
        <v/>
      </c>
      <c r="X566" s="156">
        <f>_xlfn.IFNA(MATCH(E564,'Injury Report'!$C$2:$C$6216,0),0)</f>
        <v/>
      </c>
    </row>
    <row r="567" ht="13.8" customHeight="1" s="152">
      <c r="W567" s="156">
        <f>INDEX(Matrix!$AA$2:$AA$33, MATCH(G567, Matrix!$AC$2:$AC$33, 0))</f>
        <v/>
      </c>
      <c r="X567" s="156">
        <f>_xlfn.IFNA(MATCH(E565,'Injury Report'!$C$2:$C$6216,0),0)</f>
        <v/>
      </c>
    </row>
    <row r="568" ht="13.8" customHeight="1" s="152">
      <c r="W568" s="156">
        <f>INDEX(Matrix!$AA$2:$AA$33, MATCH(G568, Matrix!$AC$2:$AC$33, 0))</f>
        <v/>
      </c>
      <c r="X568" s="156">
        <f>_xlfn.IFNA(MATCH(E566,'Injury Report'!$C$2:$C$6216,0),0)</f>
        <v/>
      </c>
    </row>
    <row r="569" ht="13.8" customHeight="1" s="152">
      <c r="W569" s="156">
        <f>INDEX(Matrix!$AA$2:$AA$33, MATCH(G569, Matrix!$AC$2:$AC$33, 0))</f>
        <v/>
      </c>
      <c r="X569" s="156">
        <f>_xlfn.IFNA(MATCH(E567,'Injury Report'!$C$2:$C$6216,0),0)</f>
        <v/>
      </c>
    </row>
    <row r="570" ht="13.8" customHeight="1" s="152">
      <c r="W570" s="156">
        <f>INDEX(Matrix!$AA$2:$AA$33, MATCH(G570, Matrix!$AC$2:$AC$33, 0))</f>
        <v/>
      </c>
      <c r="X570" s="156">
        <f>_xlfn.IFNA(MATCH(E568,'Injury Report'!$C$2:$C$6216,0),0)</f>
        <v/>
      </c>
    </row>
    <row r="571" ht="13.8" customHeight="1" s="152">
      <c r="W571" s="156">
        <f>INDEX(Matrix!$AA$2:$AA$33, MATCH(G571, Matrix!$AC$2:$AC$33, 0))</f>
        <v/>
      </c>
      <c r="X571" s="156">
        <f>_xlfn.IFNA(MATCH(E569,'Injury Report'!$C$2:$C$6216,0),0)</f>
        <v/>
      </c>
    </row>
    <row r="572" ht="13.8" customHeight="1" s="152">
      <c r="W572" s="156">
        <f>INDEX(Matrix!$AA$2:$AA$33, MATCH(G572, Matrix!$AC$2:$AC$33, 0))</f>
        <v/>
      </c>
      <c r="X572" s="156">
        <f>_xlfn.IFNA(MATCH(E570,'Injury Report'!$C$2:$C$6216,0),0)</f>
        <v/>
      </c>
    </row>
    <row r="573" ht="13.8" customHeight="1" s="152">
      <c r="W573" s="156">
        <f>INDEX(Matrix!$AA$2:$AA$33, MATCH(G573, Matrix!$AC$2:$AC$33, 0))</f>
        <v/>
      </c>
      <c r="X573" s="156">
        <f>_xlfn.IFNA(MATCH(E571,'Injury Report'!$C$2:$C$6216,0),0)</f>
        <v/>
      </c>
    </row>
    <row r="574" ht="13.8" customHeight="1" s="152">
      <c r="W574" s="156">
        <f>INDEX(Matrix!$AA$2:$AA$33, MATCH(G574, Matrix!$AC$2:$AC$33, 0))</f>
        <v/>
      </c>
      <c r="X574" s="156">
        <f>_xlfn.IFNA(MATCH(E572,'Injury Report'!$C$2:$C$6216,0),0)</f>
        <v/>
      </c>
    </row>
    <row r="575" ht="13.8" customHeight="1" s="152">
      <c r="W575" s="156">
        <f>INDEX(Matrix!$AA$2:$AA$33, MATCH(G575, Matrix!$AC$2:$AC$33, 0))</f>
        <v/>
      </c>
      <c r="X575" s="156">
        <f>_xlfn.IFNA(MATCH(E573,'Injury Report'!$C$2:$C$6216,0),0)</f>
        <v/>
      </c>
    </row>
    <row r="576" ht="13.8" customHeight="1" s="152">
      <c r="W576" s="156">
        <f>INDEX(Matrix!$AA$2:$AA$33, MATCH(G576, Matrix!$AC$2:$AC$33, 0))</f>
        <v/>
      </c>
      <c r="X576" s="156">
        <f>_xlfn.IFNA(MATCH(E574,'Injury Report'!$C$2:$C$6216,0),0)</f>
        <v/>
      </c>
    </row>
    <row r="577" ht="13.8" customHeight="1" s="152">
      <c r="W577" s="156">
        <f>INDEX(Matrix!$AA$2:$AA$33, MATCH(G577, Matrix!$AC$2:$AC$33, 0))</f>
        <v/>
      </c>
      <c r="X577" s="156">
        <f>_xlfn.IFNA(MATCH(E575,'Injury Report'!$C$2:$C$6216,0),0)</f>
        <v/>
      </c>
    </row>
    <row r="578" ht="13.8" customHeight="1" s="152">
      <c r="W578" s="156">
        <f>INDEX(Matrix!$AA$2:$AA$33, MATCH(G578, Matrix!$AC$2:$AC$33, 0))</f>
        <v/>
      </c>
      <c r="X578" s="156">
        <f>_xlfn.IFNA(MATCH(E576,'Injury Report'!$C$2:$C$6216,0),0)</f>
        <v/>
      </c>
    </row>
    <row r="579" ht="13.8" customHeight="1" s="152">
      <c r="W579" s="156">
        <f>INDEX(Matrix!$AA$2:$AA$33, MATCH(G579, Matrix!$AC$2:$AC$33, 0))</f>
        <v/>
      </c>
      <c r="X579" s="156">
        <f>_xlfn.IFNA(MATCH(E577,'Injury Report'!$C$2:$C$6216,0),0)</f>
        <v/>
      </c>
    </row>
    <row r="580" ht="13.8" customHeight="1" s="152">
      <c r="W580" s="156">
        <f>INDEX(Matrix!$AA$2:$AA$33, MATCH(G580, Matrix!$AC$2:$AC$33, 0))</f>
        <v/>
      </c>
      <c r="X580" s="156">
        <f>_xlfn.IFNA(MATCH(E578,'Injury Report'!$C$2:$C$6216,0),0)</f>
        <v/>
      </c>
    </row>
    <row r="581" ht="13.8" customHeight="1" s="152">
      <c r="W581" s="156">
        <f>INDEX(Matrix!$AA$2:$AA$33, MATCH(G581, Matrix!$AC$2:$AC$33, 0))</f>
        <v/>
      </c>
      <c r="X581" s="156">
        <f>_xlfn.IFNA(MATCH(E579,'Injury Report'!$C$2:$C$6216,0),0)</f>
        <v/>
      </c>
    </row>
    <row r="582" ht="13.8" customHeight="1" s="152">
      <c r="W582" s="156">
        <f>INDEX(Matrix!$AA$2:$AA$33, MATCH(G582, Matrix!$AC$2:$AC$33, 0))</f>
        <v/>
      </c>
      <c r="X582" s="156">
        <f>_xlfn.IFNA(MATCH(E580,'Injury Report'!$C$2:$C$6216,0),0)</f>
        <v/>
      </c>
    </row>
    <row r="583" ht="13.8" customHeight="1" s="152">
      <c r="W583" s="156">
        <f>INDEX(Matrix!$AA$2:$AA$33, MATCH(G583, Matrix!$AC$2:$AC$33, 0))</f>
        <v/>
      </c>
      <c r="X583" s="156">
        <f>_xlfn.IFNA(MATCH(E581,'Injury Report'!$C$2:$C$6216,0),0)</f>
        <v/>
      </c>
    </row>
    <row r="584" ht="13.8" customHeight="1" s="152">
      <c r="W584" s="156">
        <f>INDEX(Matrix!$AA$2:$AA$33, MATCH(G584, Matrix!$AC$2:$AC$33, 0))</f>
        <v/>
      </c>
      <c r="X584" s="156">
        <f>_xlfn.IFNA(MATCH(E582,'Injury Report'!$C$2:$C$6216,0),0)</f>
        <v/>
      </c>
    </row>
    <row r="585" ht="13.8" customHeight="1" s="152">
      <c r="W585" s="156">
        <f>INDEX(Matrix!$AA$2:$AA$33, MATCH(G585, Matrix!$AC$2:$AC$33, 0))</f>
        <v/>
      </c>
      <c r="X585" s="156">
        <f>_xlfn.IFNA(MATCH(E583,'Injury Report'!$C$2:$C$6216,0),0)</f>
        <v/>
      </c>
    </row>
    <row r="586" ht="13.8" customHeight="1" s="152">
      <c r="W586" s="156">
        <f>INDEX(Matrix!$AA$2:$AA$33, MATCH(G586, Matrix!$AC$2:$AC$33, 0))</f>
        <v/>
      </c>
      <c r="X586" s="156">
        <f>_xlfn.IFNA(MATCH(E584,'Injury Report'!$C$2:$C$6216,0),0)</f>
        <v/>
      </c>
    </row>
    <row r="587" ht="13.8" customHeight="1" s="152">
      <c r="W587" s="156">
        <f>INDEX(Matrix!$AA$2:$AA$33, MATCH(G587, Matrix!$AC$2:$AC$33, 0))</f>
        <v/>
      </c>
      <c r="X587" s="156">
        <f>_xlfn.IFNA(MATCH(E585,'Injury Report'!$C$2:$C$6216,0),0)</f>
        <v/>
      </c>
    </row>
    <row r="588" ht="13.8" customHeight="1" s="152">
      <c r="W588" s="156">
        <f>INDEX(Matrix!$AA$2:$AA$33, MATCH(G588, Matrix!$AC$2:$AC$33, 0))</f>
        <v/>
      </c>
      <c r="X588" s="156">
        <f>_xlfn.IFNA(MATCH(E586,'Injury Report'!$C$2:$C$6216,0),0)</f>
        <v/>
      </c>
    </row>
    <row r="589" ht="13.8" customHeight="1" s="152">
      <c r="W589" s="156">
        <f>INDEX(Matrix!$AA$2:$AA$33, MATCH(G589, Matrix!$AC$2:$AC$33, 0))</f>
        <v/>
      </c>
      <c r="X589" s="156">
        <f>_xlfn.IFNA(MATCH(E587,'Injury Report'!$C$2:$C$6216,0),0)</f>
        <v/>
      </c>
    </row>
    <row r="590" ht="13.8" customHeight="1" s="152">
      <c r="W590" s="156">
        <f>INDEX(Matrix!$AA$2:$AA$33, MATCH(G590, Matrix!$AC$2:$AC$33, 0))</f>
        <v/>
      </c>
      <c r="X590" s="156">
        <f>_xlfn.IFNA(MATCH(E588,'Injury Report'!$C$2:$C$6216,0),0)</f>
        <v/>
      </c>
    </row>
    <row r="591" ht="13.8" customHeight="1" s="152">
      <c r="W591" s="156">
        <f>INDEX(Matrix!$AA$2:$AA$33, MATCH(G591, Matrix!$AC$2:$AC$33, 0))</f>
        <v/>
      </c>
      <c r="X591" s="156">
        <f>_xlfn.IFNA(MATCH(E589,'Injury Report'!$C$2:$C$6216,0),0)</f>
        <v/>
      </c>
    </row>
    <row r="592" ht="13.8" customHeight="1" s="152">
      <c r="W592" s="156">
        <f>INDEX(Matrix!$AA$2:$AA$33, MATCH(G592, Matrix!$AC$2:$AC$33, 0))</f>
        <v/>
      </c>
      <c r="X592" s="156">
        <f>_xlfn.IFNA(MATCH(E590,'Injury Report'!$C$2:$C$6216,0),0)</f>
        <v/>
      </c>
    </row>
    <row r="593" ht="13.8" customHeight="1" s="152">
      <c r="W593" s="156">
        <f>INDEX(Matrix!$AA$2:$AA$33, MATCH(G593, Matrix!$AC$2:$AC$33, 0))</f>
        <v/>
      </c>
      <c r="X593" s="156">
        <f>_xlfn.IFNA(MATCH(E591,'Injury Report'!$C$2:$C$6216,0),0)</f>
        <v/>
      </c>
    </row>
    <row r="594" ht="13.8" customHeight="1" s="152">
      <c r="W594" s="156">
        <f>INDEX(Matrix!$AA$2:$AA$33, MATCH(G594, Matrix!$AC$2:$AC$33, 0))</f>
        <v/>
      </c>
      <c r="X594" s="156">
        <f>_xlfn.IFNA(MATCH(E592,'Injury Report'!$C$2:$C$6216,0),0)</f>
        <v/>
      </c>
    </row>
    <row r="595" ht="13.8" customHeight="1" s="152">
      <c r="W595" s="156">
        <f>INDEX(Matrix!$AA$2:$AA$33, MATCH(G595, Matrix!$AC$2:$AC$33, 0))</f>
        <v/>
      </c>
      <c r="X595" s="156">
        <f>_xlfn.IFNA(MATCH(E593,'Injury Report'!$C$2:$C$6216,0),0)</f>
        <v/>
      </c>
    </row>
    <row r="596" ht="13.8" customHeight="1" s="152">
      <c r="W596" s="156">
        <f>INDEX(Matrix!$AA$2:$AA$33, MATCH(G596, Matrix!$AC$2:$AC$33, 0))</f>
        <v/>
      </c>
      <c r="X596" s="156">
        <f>_xlfn.IFNA(MATCH(E594,'Injury Report'!$C$2:$C$6216,0),0)</f>
        <v/>
      </c>
    </row>
    <row r="597" ht="13.8" customHeight="1" s="152">
      <c r="W597" s="156">
        <f>INDEX(Matrix!$AA$2:$AA$33, MATCH(G597, Matrix!$AC$2:$AC$33, 0))</f>
        <v/>
      </c>
      <c r="X597" s="156">
        <f>_xlfn.IFNA(MATCH(E595,'Injury Report'!$C$2:$C$6216,0),0)</f>
        <v/>
      </c>
    </row>
    <row r="598" ht="13.8" customHeight="1" s="152">
      <c r="W598" s="156">
        <f>INDEX(Matrix!$AA$2:$AA$33, MATCH(G598, Matrix!$AC$2:$AC$33, 0))</f>
        <v/>
      </c>
      <c r="X598" s="156">
        <f>_xlfn.IFNA(MATCH(E596,'Injury Report'!$C$2:$C$6216,0),0)</f>
        <v/>
      </c>
    </row>
    <row r="599" ht="13.8" customHeight="1" s="152">
      <c r="W599" s="156">
        <f>INDEX(Matrix!$AA$2:$AA$33, MATCH(G599, Matrix!$AC$2:$AC$33, 0))</f>
        <v/>
      </c>
      <c r="X599" s="156">
        <f>_xlfn.IFNA(MATCH(E597,'Injury Report'!$C$2:$C$6216,0),0)</f>
        <v/>
      </c>
    </row>
    <row r="600" ht="13.8" customHeight="1" s="152">
      <c r="W600" s="156">
        <f>INDEX(Matrix!$AA$2:$AA$33, MATCH(G600, Matrix!$AC$2:$AC$33, 0))</f>
        <v/>
      </c>
      <c r="X600" s="156">
        <f>_xlfn.IFNA(MATCH(E598,'Injury Report'!$C$2:$C$6216,0),0)</f>
        <v/>
      </c>
    </row>
    <row r="601" ht="13.8" customHeight="1" s="152">
      <c r="W601" s="156">
        <f>INDEX(Matrix!$AA$2:$AA$33, MATCH(G601, Matrix!$AC$2:$AC$33, 0))</f>
        <v/>
      </c>
      <c r="X601" s="156">
        <f>_xlfn.IFNA(MATCH(E599,'Injury Report'!$C$2:$C$6216,0),0)</f>
        <v/>
      </c>
    </row>
    <row r="602" ht="13.8" customHeight="1" s="152">
      <c r="W602" s="156">
        <f>INDEX(Matrix!$AA$2:$AA$33, MATCH(G602, Matrix!$AC$2:$AC$33, 0))</f>
        <v/>
      </c>
      <c r="X602" s="156">
        <f>_xlfn.IFNA(MATCH(E600,'Injury Report'!$C$2:$C$6216,0),0)</f>
        <v/>
      </c>
    </row>
    <row r="603" ht="13.8" customHeight="1" s="152">
      <c r="W603" s="156">
        <f>INDEX(Matrix!$AA$2:$AA$33, MATCH(G603, Matrix!$AC$2:$AC$33, 0))</f>
        <v/>
      </c>
      <c r="X603" s="156">
        <f>_xlfn.IFNA(MATCH(E601,'Injury Report'!$C$2:$C$6216,0),0)</f>
        <v/>
      </c>
    </row>
    <row r="604" ht="13.8" customHeight="1" s="152">
      <c r="W604" s="156">
        <f>INDEX(Matrix!$AA$2:$AA$33, MATCH(G604, Matrix!$AC$2:$AC$33, 0))</f>
        <v/>
      </c>
      <c r="X604" s="156">
        <f>_xlfn.IFNA(MATCH(E602,'Injury Report'!$C$2:$C$6216,0),0)</f>
        <v/>
      </c>
    </row>
    <row r="605" ht="13.8" customHeight="1" s="152">
      <c r="W605" s="156">
        <f>INDEX(Matrix!$AA$2:$AA$33, MATCH(G605, Matrix!$AC$2:$AC$33, 0))</f>
        <v/>
      </c>
      <c r="X605" s="156">
        <f>_xlfn.IFNA(MATCH(E603,'Injury Report'!$C$2:$C$6216,0),0)</f>
        <v/>
      </c>
    </row>
    <row r="606" ht="13.8" customHeight="1" s="152">
      <c r="W606" s="156">
        <f>INDEX(Matrix!$AA$2:$AA$33, MATCH(G606, Matrix!$AC$2:$AC$33, 0))</f>
        <v/>
      </c>
      <c r="X606" s="156">
        <f>_xlfn.IFNA(MATCH(E604,'Injury Report'!$C$2:$C$6216,0),0)</f>
        <v/>
      </c>
    </row>
    <row r="607" ht="13.8" customHeight="1" s="152">
      <c r="W607" s="156">
        <f>INDEX(Matrix!$AA$2:$AA$33, MATCH(G607, Matrix!$AC$2:$AC$33, 0))</f>
        <v/>
      </c>
      <c r="X607" s="156">
        <f>_xlfn.IFNA(MATCH(E605,'Injury Report'!$C$2:$C$6216,0),0)</f>
        <v/>
      </c>
    </row>
    <row r="608" ht="13.8" customHeight="1" s="152">
      <c r="W608" s="156">
        <f>INDEX(Matrix!$AA$2:$AA$33, MATCH(G608, Matrix!$AC$2:$AC$33, 0))</f>
        <v/>
      </c>
      <c r="X608" s="156">
        <f>_xlfn.IFNA(MATCH(E606,'Injury Report'!$C$2:$C$6216,0),0)</f>
        <v/>
      </c>
    </row>
    <row r="609" ht="13.8" customHeight="1" s="152">
      <c r="W609" s="156">
        <f>INDEX(Matrix!$AA$2:$AA$33, MATCH(G609, Matrix!$AC$2:$AC$33, 0))</f>
        <v/>
      </c>
      <c r="X609" s="156">
        <f>_xlfn.IFNA(MATCH(E607,'Injury Report'!$C$2:$C$6216,0),0)</f>
        <v/>
      </c>
    </row>
    <row r="610" ht="13.8" customHeight="1" s="152">
      <c r="W610" s="156">
        <f>INDEX(Matrix!$AA$2:$AA$33, MATCH(G610, Matrix!$AC$2:$AC$33, 0))</f>
        <v/>
      </c>
      <c r="X610" s="156">
        <f>_xlfn.IFNA(MATCH(E608,'Injury Report'!$C$2:$C$6216,0),0)</f>
        <v/>
      </c>
    </row>
    <row r="611" ht="13.8" customHeight="1" s="152">
      <c r="W611" s="156">
        <f>INDEX(Matrix!$AA$2:$AA$33, MATCH(G611, Matrix!$AC$2:$AC$33, 0))</f>
        <v/>
      </c>
      <c r="X611" s="156">
        <f>_xlfn.IFNA(MATCH(E609,'Injury Report'!$C$2:$C$6216,0),0)</f>
        <v/>
      </c>
    </row>
    <row r="612" ht="13.8" customHeight="1" s="152">
      <c r="W612" s="156">
        <f>INDEX(Matrix!$AA$2:$AA$33, MATCH(G612, Matrix!$AC$2:$AC$33, 0))</f>
        <v/>
      </c>
      <c r="X612" s="156">
        <f>_xlfn.IFNA(MATCH(E610,'Injury Report'!$C$2:$C$6216,0),0)</f>
        <v/>
      </c>
    </row>
    <row r="613" ht="13.8" customHeight="1" s="152">
      <c r="W613" s="156">
        <f>INDEX(Matrix!$AA$2:$AA$33, MATCH(G613, Matrix!$AC$2:$AC$33, 0))</f>
        <v/>
      </c>
      <c r="X613" s="156">
        <f>_xlfn.IFNA(MATCH(E611,'Injury Report'!$C$2:$C$6216,0),0)</f>
        <v/>
      </c>
    </row>
    <row r="614" ht="13.8" customHeight="1" s="152">
      <c r="W614" s="156">
        <f>INDEX(Matrix!$AA$2:$AA$33, MATCH(G614, Matrix!$AC$2:$AC$33, 0))</f>
        <v/>
      </c>
      <c r="X614" s="156">
        <f>_xlfn.IFNA(MATCH(E612,'Injury Report'!$C$2:$C$6216,0),0)</f>
        <v/>
      </c>
    </row>
    <row r="615" ht="13.8" customHeight="1" s="152">
      <c r="W615" s="156">
        <f>INDEX(Matrix!$AA$2:$AA$33, MATCH(G615, Matrix!$AC$2:$AC$33, 0))</f>
        <v/>
      </c>
      <c r="X615" s="156">
        <f>_xlfn.IFNA(MATCH(E613,'Injury Report'!$C$2:$C$6216,0),0)</f>
        <v/>
      </c>
    </row>
    <row r="616" ht="13.8" customHeight="1" s="152">
      <c r="W616" s="156">
        <f>INDEX(Matrix!$AA$2:$AA$33, MATCH(G616, Matrix!$AC$2:$AC$33, 0))</f>
        <v/>
      </c>
      <c r="X616" s="156">
        <f>_xlfn.IFNA(MATCH(E614,'Injury Report'!$C$2:$C$6216,0),0)</f>
        <v/>
      </c>
    </row>
    <row r="617" ht="13.8" customHeight="1" s="152">
      <c r="W617" s="156">
        <f>INDEX(Matrix!$AA$2:$AA$33, MATCH(G617, Matrix!$AC$2:$AC$33, 0))</f>
        <v/>
      </c>
      <c r="X617" s="156">
        <f>_xlfn.IFNA(MATCH(E615,'Injury Report'!$C$2:$C$6216,0),0)</f>
        <v/>
      </c>
    </row>
    <row r="618" ht="13.8" customHeight="1" s="152">
      <c r="W618" s="156">
        <f>INDEX(Matrix!$AA$2:$AA$33, MATCH(G618, Matrix!$AC$2:$AC$33, 0))</f>
        <v/>
      </c>
      <c r="X618" s="156">
        <f>_xlfn.IFNA(MATCH(E616,'Injury Report'!$C$2:$C$6216,0),0)</f>
        <v/>
      </c>
    </row>
    <row r="619" ht="13.8" customHeight="1" s="152">
      <c r="W619" s="156">
        <f>INDEX(Matrix!$AA$2:$AA$33, MATCH(G619, Matrix!$AC$2:$AC$33, 0))</f>
        <v/>
      </c>
      <c r="X619" s="156">
        <f>_xlfn.IFNA(MATCH(E617,'Injury Report'!$C$2:$C$6216,0),0)</f>
        <v/>
      </c>
    </row>
    <row r="620" ht="13.8" customHeight="1" s="152">
      <c r="W620" s="156">
        <f>INDEX(Matrix!$AA$2:$AA$33, MATCH(G620, Matrix!$AC$2:$AC$33, 0))</f>
        <v/>
      </c>
      <c r="X620" s="156">
        <f>_xlfn.IFNA(MATCH(E618,'Injury Report'!$C$2:$C$6216,0),0)</f>
        <v/>
      </c>
    </row>
    <row r="621" ht="13.8" customHeight="1" s="152">
      <c r="W621" s="156">
        <f>INDEX(Matrix!$AA$2:$AA$33, MATCH(G621, Matrix!$AC$2:$AC$33, 0))</f>
        <v/>
      </c>
      <c r="X621" s="156">
        <f>_xlfn.IFNA(MATCH(E619,'Injury Report'!$C$2:$C$6216,0),0)</f>
        <v/>
      </c>
    </row>
    <row r="622" ht="13.8" customHeight="1" s="152">
      <c r="W622" s="156">
        <f>INDEX(Matrix!$AA$2:$AA$33, MATCH(G622, Matrix!$AC$2:$AC$33, 0))</f>
        <v/>
      </c>
      <c r="X622" s="156">
        <f>_xlfn.IFNA(MATCH(E620,'Injury Report'!$C$2:$C$6216,0),0)</f>
        <v/>
      </c>
    </row>
    <row r="623" ht="13.8" customHeight="1" s="152">
      <c r="W623" s="156">
        <f>INDEX(Matrix!$AA$2:$AA$33, MATCH(G623, Matrix!$AC$2:$AC$33, 0))</f>
        <v/>
      </c>
      <c r="X623" s="156">
        <f>_xlfn.IFNA(MATCH(E621,'Injury Report'!$C$2:$C$6216,0),0)</f>
        <v/>
      </c>
    </row>
    <row r="624" ht="13.8" customHeight="1" s="152">
      <c r="W624" s="156">
        <f>INDEX(Matrix!$AA$2:$AA$33, MATCH(G624, Matrix!$AC$2:$AC$33, 0))</f>
        <v/>
      </c>
      <c r="X624" s="156">
        <f>_xlfn.IFNA(MATCH(E622,'Injury Report'!$C$2:$C$6216,0),0)</f>
        <v/>
      </c>
    </row>
    <row r="625" ht="13.8" customHeight="1" s="152">
      <c r="W625" s="156">
        <f>INDEX(Matrix!$AA$2:$AA$33, MATCH(G625, Matrix!$AC$2:$AC$33, 0))</f>
        <v/>
      </c>
      <c r="X625" s="156">
        <f>_xlfn.IFNA(MATCH(E623,'Injury Report'!$C$2:$C$6216,0),0)</f>
        <v/>
      </c>
    </row>
    <row r="626" ht="13.8" customHeight="1" s="152">
      <c r="W626" s="156">
        <f>INDEX(Matrix!$AA$2:$AA$33, MATCH(G626, Matrix!$AC$2:$AC$33, 0))</f>
        <v/>
      </c>
      <c r="X626" s="156">
        <f>_xlfn.IFNA(MATCH(E624,'Injury Report'!$C$2:$C$6216,0),0)</f>
        <v/>
      </c>
    </row>
    <row r="627" ht="13.8" customHeight="1" s="152">
      <c r="W627" s="156">
        <f>INDEX(Matrix!$AA$2:$AA$33, MATCH(G627, Matrix!$AC$2:$AC$33, 0))</f>
        <v/>
      </c>
      <c r="X627" s="156">
        <f>_xlfn.IFNA(MATCH(E625,'Injury Report'!$C$2:$C$6216,0),0)</f>
        <v/>
      </c>
    </row>
    <row r="628" ht="13.8" customHeight="1" s="152">
      <c r="W628" s="156">
        <f>INDEX(Matrix!$AA$2:$AA$33, MATCH(G628, Matrix!$AC$2:$AC$33, 0))</f>
        <v/>
      </c>
      <c r="X628" s="156">
        <f>_xlfn.IFNA(MATCH(E626,'Injury Report'!$C$2:$C$6216,0),0)</f>
        <v/>
      </c>
    </row>
    <row r="629" ht="13.8" customHeight="1" s="152">
      <c r="W629" s="156">
        <f>INDEX(Matrix!$AA$2:$AA$33, MATCH(G629, Matrix!$AC$2:$AC$33, 0))</f>
        <v/>
      </c>
      <c r="X629" s="156">
        <f>_xlfn.IFNA(MATCH(E627,'Injury Report'!$C$2:$C$6216,0),0)</f>
        <v/>
      </c>
    </row>
    <row r="630" ht="13.8" customHeight="1" s="152">
      <c r="W630" s="156">
        <f>INDEX(Matrix!$AA$2:$AA$33, MATCH(G630, Matrix!$AC$2:$AC$33, 0))</f>
        <v/>
      </c>
      <c r="X630" s="156">
        <f>_xlfn.IFNA(MATCH(E628,'Injury Report'!$C$2:$C$6216,0),0)</f>
        <v/>
      </c>
    </row>
    <row r="631" ht="13.8" customHeight="1" s="152">
      <c r="W631" s="156">
        <f>INDEX(Matrix!$AA$2:$AA$33, MATCH(G631, Matrix!$AC$2:$AC$33, 0))</f>
        <v/>
      </c>
      <c r="X631" s="156">
        <f>_xlfn.IFNA(MATCH(E629,'Injury Report'!$C$2:$C$6216,0),0)</f>
        <v/>
      </c>
    </row>
    <row r="632" ht="13.8" customHeight="1" s="152">
      <c r="W632" s="156">
        <f>INDEX(Matrix!$AA$2:$AA$33, MATCH(G632, Matrix!$AC$2:$AC$33, 0))</f>
        <v/>
      </c>
      <c r="X632" s="156">
        <f>_xlfn.IFNA(MATCH(E630,'Injury Report'!$C$2:$C$6216,0),0)</f>
        <v/>
      </c>
    </row>
    <row r="633" ht="13.8" customHeight="1" s="152">
      <c r="W633" s="156">
        <f>INDEX(Matrix!$AA$2:$AA$33, MATCH(G633, Matrix!$AC$2:$AC$33, 0))</f>
        <v/>
      </c>
      <c r="X633" s="156">
        <f>_xlfn.IFNA(MATCH(E631,'Injury Report'!$C$2:$C$6216,0),0)</f>
        <v/>
      </c>
    </row>
    <row r="634" ht="13.8" customHeight="1" s="152">
      <c r="W634" s="156">
        <f>INDEX(Matrix!$AA$2:$AA$33, MATCH(G634, Matrix!$AC$2:$AC$33, 0))</f>
        <v/>
      </c>
      <c r="X634" s="156">
        <f>_xlfn.IFNA(MATCH(E632,'Injury Report'!$C$2:$C$6216,0),0)</f>
        <v/>
      </c>
    </row>
    <row r="635" ht="13.8" customHeight="1" s="152">
      <c r="W635" s="156">
        <f>INDEX(Matrix!$AA$2:$AA$33, MATCH(G635, Matrix!$AC$2:$AC$33, 0))</f>
        <v/>
      </c>
      <c r="X635" s="156">
        <f>_xlfn.IFNA(MATCH(E633,'Injury Report'!$C$2:$C$6216,0),0)</f>
        <v/>
      </c>
    </row>
    <row r="636" ht="13.8" customHeight="1" s="152">
      <c r="W636" s="156">
        <f>INDEX(Matrix!$AA$2:$AA$33, MATCH(G636, Matrix!$AC$2:$AC$33, 0))</f>
        <v/>
      </c>
      <c r="X636" s="156">
        <f>_xlfn.IFNA(MATCH(E634,'Injury Report'!$C$2:$C$6216,0),0)</f>
        <v/>
      </c>
    </row>
    <row r="637" ht="13.8" customHeight="1" s="152">
      <c r="W637" s="156">
        <f>INDEX(Matrix!$AA$2:$AA$33, MATCH(G637, Matrix!$AC$2:$AC$33, 0))</f>
        <v/>
      </c>
      <c r="X637" s="156">
        <f>_xlfn.IFNA(MATCH(E635,'Injury Report'!$C$2:$C$6216,0),0)</f>
        <v/>
      </c>
    </row>
    <row r="638" ht="13.8" customHeight="1" s="152">
      <c r="W638" s="156">
        <f>INDEX(Matrix!$AA$2:$AA$33, MATCH(G638, Matrix!$AC$2:$AC$33, 0))</f>
        <v/>
      </c>
      <c r="X638" s="156">
        <f>_xlfn.IFNA(MATCH(E636,'Injury Report'!$C$2:$C$6216,0),0)</f>
        <v/>
      </c>
    </row>
    <row r="639" ht="13.8" customHeight="1" s="152">
      <c r="W639" s="156">
        <f>INDEX(Matrix!$AA$2:$AA$33, MATCH(G639, Matrix!$AC$2:$AC$33, 0))</f>
        <v/>
      </c>
      <c r="X639" s="156">
        <f>_xlfn.IFNA(MATCH(E637,'Injury Report'!$C$2:$C$6216,0),0)</f>
        <v/>
      </c>
    </row>
    <row r="640" ht="13.8" customHeight="1" s="152">
      <c r="W640" s="156">
        <f>INDEX(Matrix!$AA$2:$AA$33, MATCH(G640, Matrix!$AC$2:$AC$33, 0))</f>
        <v/>
      </c>
      <c r="X640" s="156">
        <f>_xlfn.IFNA(MATCH(E638,'Injury Report'!$C$2:$C$6216,0),0)</f>
        <v/>
      </c>
    </row>
    <row r="641" ht="13.8" customHeight="1" s="152">
      <c r="W641" s="156">
        <f>INDEX(Matrix!$AA$2:$AA$33, MATCH(G641, Matrix!$AC$2:$AC$33, 0))</f>
        <v/>
      </c>
      <c r="X641" s="156">
        <f>_xlfn.IFNA(MATCH(E639,'Injury Report'!$C$2:$C$6216,0),0)</f>
        <v/>
      </c>
    </row>
    <row r="642" ht="13.8" customHeight="1" s="152">
      <c r="W642" s="156">
        <f>INDEX(Matrix!$AA$2:$AA$33, MATCH(G642, Matrix!$AC$2:$AC$33, 0))</f>
        <v/>
      </c>
      <c r="X642" s="156">
        <f>_xlfn.IFNA(MATCH(E640,'Injury Report'!$C$2:$C$6216,0),0)</f>
        <v/>
      </c>
    </row>
    <row r="643" ht="13.8" customHeight="1" s="152">
      <c r="W643" s="156">
        <f>INDEX(Matrix!$AA$2:$AA$33, MATCH(G643, Matrix!$AC$2:$AC$33, 0))</f>
        <v/>
      </c>
      <c r="X643" s="156">
        <f>_xlfn.IFNA(MATCH(E641,'Injury Report'!$C$2:$C$6216,0),0)</f>
        <v/>
      </c>
    </row>
    <row r="644" ht="13.8" customHeight="1" s="152">
      <c r="W644" s="156">
        <f>INDEX(Matrix!$AA$2:$AA$33, MATCH(G644, Matrix!$AC$2:$AC$33, 0))</f>
        <v/>
      </c>
      <c r="X644" s="156">
        <f>_xlfn.IFNA(MATCH(E642,'Injury Report'!$C$2:$C$6216,0),0)</f>
        <v/>
      </c>
    </row>
    <row r="645" ht="13.8" customHeight="1" s="152">
      <c r="W645" s="156">
        <f>INDEX(Matrix!$AA$2:$AA$33, MATCH(G645, Matrix!$AC$2:$AC$33, 0))</f>
        <v/>
      </c>
      <c r="X645" s="156">
        <f>_xlfn.IFNA(MATCH(E643,'Injury Report'!$C$2:$C$6216,0),0)</f>
        <v/>
      </c>
    </row>
    <row r="646" ht="13.8" customHeight="1" s="152">
      <c r="W646" s="156">
        <f>INDEX(Matrix!$AA$2:$AA$33, MATCH(G646, Matrix!$AC$2:$AC$33, 0))</f>
        <v/>
      </c>
      <c r="X646" s="156">
        <f>_xlfn.IFNA(MATCH(E644,'Injury Report'!$C$2:$C$6216,0),0)</f>
        <v/>
      </c>
    </row>
    <row r="647" ht="13.8" customHeight="1" s="152">
      <c r="W647" s="156">
        <f>INDEX(Matrix!$AA$2:$AA$33, MATCH(G647, Matrix!$AC$2:$AC$33, 0))</f>
        <v/>
      </c>
      <c r="X647" s="156">
        <f>_xlfn.IFNA(MATCH(E645,'Injury Report'!$C$2:$C$6216,0),0)</f>
        <v/>
      </c>
    </row>
    <row r="648" ht="13.8" customHeight="1" s="152">
      <c r="W648" s="156">
        <f>INDEX(Matrix!$AA$2:$AA$33, MATCH(G648, Matrix!$AC$2:$AC$33, 0))</f>
        <v/>
      </c>
      <c r="X648" s="156">
        <f>_xlfn.IFNA(MATCH(E646,'Injury Report'!$C$2:$C$6216,0),0)</f>
        <v/>
      </c>
    </row>
    <row r="649" ht="13.8" customHeight="1" s="152">
      <c r="W649" s="156">
        <f>INDEX(Matrix!$AA$2:$AA$33, MATCH(G649, Matrix!$AC$2:$AC$33, 0))</f>
        <v/>
      </c>
      <c r="X649" s="156">
        <f>_xlfn.IFNA(MATCH(E647,'Injury Report'!$C$2:$C$6216,0),0)</f>
        <v/>
      </c>
    </row>
    <row r="650" ht="13.8" customHeight="1" s="152">
      <c r="W650" s="156">
        <f>INDEX(Matrix!$AA$2:$AA$33, MATCH(G650, Matrix!$AC$2:$AC$33, 0))</f>
        <v/>
      </c>
      <c r="X650" s="156">
        <f>_xlfn.IFNA(MATCH(E648,'Injury Report'!$C$2:$C$6216,0),0)</f>
        <v/>
      </c>
    </row>
    <row r="651" ht="13.8" customHeight="1" s="152">
      <c r="W651" s="156">
        <f>INDEX(Matrix!$AA$2:$AA$33, MATCH(G651, Matrix!$AC$2:$AC$33, 0))</f>
        <v/>
      </c>
      <c r="X651" s="156">
        <f>_xlfn.IFNA(MATCH(E649,'Injury Report'!$C$2:$C$6216,0),0)</f>
        <v/>
      </c>
    </row>
    <row r="652" ht="13.8" customHeight="1" s="152">
      <c r="W652" s="156">
        <f>INDEX(Matrix!$AA$2:$AA$33, MATCH(G652, Matrix!$AC$2:$AC$33, 0))</f>
        <v/>
      </c>
      <c r="X652" s="156">
        <f>_xlfn.IFNA(MATCH(E650,'Injury Report'!$C$2:$C$6216,0),0)</f>
        <v/>
      </c>
    </row>
    <row r="653" ht="13.8" customHeight="1" s="152">
      <c r="W653" s="156">
        <f>INDEX(Matrix!$AA$2:$AA$33, MATCH(G653, Matrix!$AC$2:$AC$33, 0))</f>
        <v/>
      </c>
      <c r="X653" s="156">
        <f>_xlfn.IFNA(MATCH(E651,'Injury Report'!$C$2:$C$6216,0),0)</f>
        <v/>
      </c>
    </row>
    <row r="654" ht="13.8" customHeight="1" s="152">
      <c r="W654" s="156">
        <f>INDEX(Matrix!$AA$2:$AA$33, MATCH(G654, Matrix!$AC$2:$AC$33, 0))</f>
        <v/>
      </c>
      <c r="X654" s="156">
        <f>_xlfn.IFNA(MATCH(E652,'Injury Report'!$C$2:$C$6216,0),0)</f>
        <v/>
      </c>
    </row>
    <row r="655" ht="13.8" customHeight="1" s="152">
      <c r="W655" s="156">
        <f>INDEX(Matrix!$AA$2:$AA$33, MATCH(G655, Matrix!$AC$2:$AC$33, 0))</f>
        <v/>
      </c>
      <c r="X655" s="156">
        <f>_xlfn.IFNA(MATCH(E653,'Injury Report'!$C$2:$C$6216,0),0)</f>
        <v/>
      </c>
    </row>
    <row r="656" ht="13.8" customHeight="1" s="152">
      <c r="W656" s="156">
        <f>INDEX(Matrix!$AA$2:$AA$33, MATCH(G656, Matrix!$AC$2:$AC$33, 0))</f>
        <v/>
      </c>
      <c r="X656" s="156">
        <f>_xlfn.IFNA(MATCH(E654,'Injury Report'!$C$2:$C$6216,0),0)</f>
        <v/>
      </c>
    </row>
    <row r="657" ht="13.8" customHeight="1" s="152">
      <c r="W657" s="156">
        <f>INDEX(Matrix!$AA$2:$AA$33, MATCH(G657, Matrix!$AC$2:$AC$33, 0))</f>
        <v/>
      </c>
      <c r="X657" s="156">
        <f>_xlfn.IFNA(MATCH(E655,'Injury Report'!$C$2:$C$6216,0),0)</f>
        <v/>
      </c>
    </row>
    <row r="658" ht="13.8" customHeight="1" s="152">
      <c r="W658" s="156">
        <f>INDEX(Matrix!$AA$2:$AA$33, MATCH(G658, Matrix!$AC$2:$AC$33, 0))</f>
        <v/>
      </c>
      <c r="X658" s="156">
        <f>_xlfn.IFNA(MATCH(E656,'Injury Report'!$C$2:$C$6216,0),0)</f>
        <v/>
      </c>
    </row>
    <row r="659" ht="13.8" customHeight="1" s="152">
      <c r="W659" s="156">
        <f>INDEX(Matrix!$AA$2:$AA$33, MATCH(G659, Matrix!$AC$2:$AC$33, 0))</f>
        <v/>
      </c>
      <c r="X659" s="156">
        <f>_xlfn.IFNA(MATCH(E657,'Injury Report'!$C$2:$C$6216,0),0)</f>
        <v/>
      </c>
    </row>
    <row r="660" ht="13.8" customHeight="1" s="152">
      <c r="W660" s="156">
        <f>INDEX(Matrix!$AA$2:$AA$33, MATCH(G660, Matrix!$AC$2:$AC$33, 0))</f>
        <v/>
      </c>
      <c r="X660" s="156">
        <f>_xlfn.IFNA(MATCH(E658,'Injury Report'!$C$2:$C$6216,0),0)</f>
        <v/>
      </c>
    </row>
    <row r="661" ht="13.8" customHeight="1" s="152">
      <c r="W661" s="156">
        <f>INDEX(Matrix!$AA$2:$AA$33, MATCH(G661, Matrix!$AC$2:$AC$33, 0))</f>
        <v/>
      </c>
      <c r="X661" s="156">
        <f>_xlfn.IFNA(MATCH(E659,'Injury Report'!$C$2:$C$6216,0),0)</f>
        <v/>
      </c>
    </row>
    <row r="662" ht="13.8" customHeight="1" s="152">
      <c r="W662" s="156">
        <f>INDEX(Matrix!$AA$2:$AA$33, MATCH(G662, Matrix!$AC$2:$AC$33, 0))</f>
        <v/>
      </c>
      <c r="X662" s="156">
        <f>_xlfn.IFNA(MATCH(E660,'Injury Report'!$C$2:$C$6216,0),0)</f>
        <v/>
      </c>
    </row>
    <row r="663" ht="13.8" customHeight="1" s="152">
      <c r="W663" s="156">
        <f>INDEX(Matrix!$AA$2:$AA$33, MATCH(G663, Matrix!$AC$2:$AC$33, 0))</f>
        <v/>
      </c>
      <c r="X663" s="156">
        <f>_xlfn.IFNA(MATCH(E661,'Injury Report'!$C$2:$C$6216,0),0)</f>
        <v/>
      </c>
    </row>
    <row r="664" ht="13.8" customHeight="1" s="152">
      <c r="W664" s="156">
        <f>INDEX(Matrix!$AA$2:$AA$33, MATCH(G664, Matrix!$AC$2:$AC$33, 0))</f>
        <v/>
      </c>
      <c r="X664" s="156">
        <f>_xlfn.IFNA(MATCH(E662,'Injury Report'!$C$2:$C$6216,0),0)</f>
        <v/>
      </c>
    </row>
    <row r="665" ht="13.8" customHeight="1" s="152">
      <c r="W665" s="156">
        <f>INDEX(Matrix!$AA$2:$AA$33, MATCH(G665, Matrix!$AC$2:$AC$33, 0))</f>
        <v/>
      </c>
      <c r="X665" s="156">
        <f>_xlfn.IFNA(MATCH(E663,'Injury Report'!$C$2:$C$6216,0),0)</f>
        <v/>
      </c>
    </row>
    <row r="666" ht="13.8" customHeight="1" s="152">
      <c r="W666" s="156">
        <f>INDEX(Matrix!$AA$2:$AA$33, MATCH(G666, Matrix!$AC$2:$AC$33, 0))</f>
        <v/>
      </c>
      <c r="X666" s="156">
        <f>_xlfn.IFNA(MATCH(E664,'Injury Report'!$C$2:$C$6216,0),0)</f>
        <v/>
      </c>
    </row>
    <row r="667" ht="13.8" customHeight="1" s="152">
      <c r="W667" s="156">
        <f>INDEX(Matrix!$AA$2:$AA$33, MATCH(G667, Matrix!$AC$2:$AC$33, 0))</f>
        <v/>
      </c>
      <c r="X667" s="156">
        <f>_xlfn.IFNA(MATCH(E665,'Injury Report'!$C$2:$C$6216,0),0)</f>
        <v/>
      </c>
    </row>
    <row r="668" ht="13.8" customHeight="1" s="152">
      <c r="W668" s="156">
        <f>INDEX(Matrix!$AA$2:$AA$33, MATCH(G668, Matrix!$AC$2:$AC$33, 0))</f>
        <v/>
      </c>
      <c r="X668" s="156">
        <f>_xlfn.IFNA(MATCH(E666,'Injury Report'!$C$2:$C$6216,0),0)</f>
        <v/>
      </c>
    </row>
    <row r="669" ht="13.8" customHeight="1" s="152">
      <c r="W669" s="156">
        <f>INDEX(Matrix!$AA$2:$AA$33, MATCH(G669, Matrix!$AC$2:$AC$33, 0))</f>
        <v/>
      </c>
      <c r="X669" s="156">
        <f>_xlfn.IFNA(MATCH(E667,'Injury Report'!$C$2:$C$6216,0),0)</f>
        <v/>
      </c>
    </row>
    <row r="670" ht="13.8" customHeight="1" s="152">
      <c r="W670" s="156">
        <f>INDEX(Matrix!$AA$2:$AA$33, MATCH(G670, Matrix!$AC$2:$AC$33, 0))</f>
        <v/>
      </c>
      <c r="X670" s="156">
        <f>_xlfn.IFNA(MATCH(E668,'Injury Report'!$C$2:$C$6216,0),0)</f>
        <v/>
      </c>
    </row>
    <row r="671" ht="13.8" customHeight="1" s="152">
      <c r="W671" s="156">
        <f>INDEX(Matrix!$AA$2:$AA$33, MATCH(G671, Matrix!$AC$2:$AC$33, 0))</f>
        <v/>
      </c>
      <c r="X671" s="156">
        <f>_xlfn.IFNA(MATCH(E669,'Injury Report'!$C$2:$C$6216,0),0)</f>
        <v/>
      </c>
    </row>
    <row r="672" ht="13.8" customHeight="1" s="152">
      <c r="W672" s="156">
        <f>INDEX(Matrix!$AA$2:$AA$33, MATCH(G672, Matrix!$AC$2:$AC$33, 0))</f>
        <v/>
      </c>
      <c r="X672" s="156">
        <f>_xlfn.IFNA(MATCH(E670,'Injury Report'!$C$2:$C$6216,0),0)</f>
        <v/>
      </c>
    </row>
    <row r="673" ht="13.8" customHeight="1" s="152">
      <c r="W673" s="156">
        <f>INDEX(Matrix!$AA$2:$AA$33, MATCH(G673, Matrix!$AC$2:$AC$33, 0))</f>
        <v/>
      </c>
      <c r="X673" s="156">
        <f>_xlfn.IFNA(MATCH(E671,'Injury Report'!$C$2:$C$6216,0),0)</f>
        <v/>
      </c>
    </row>
    <row r="674" ht="13.8" customHeight="1" s="152">
      <c r="W674" s="156">
        <f>INDEX(Matrix!$AA$2:$AA$33, MATCH(G674, Matrix!$AC$2:$AC$33, 0))</f>
        <v/>
      </c>
      <c r="X674" s="156">
        <f>_xlfn.IFNA(MATCH(E672,'Injury Report'!$C$2:$C$6216,0),0)</f>
        <v/>
      </c>
    </row>
    <row r="675" ht="13.8" customHeight="1" s="152">
      <c r="W675" s="156">
        <f>INDEX(Matrix!$AA$2:$AA$33, MATCH(G675, Matrix!$AC$2:$AC$33, 0))</f>
        <v/>
      </c>
      <c r="X675" s="156">
        <f>_xlfn.IFNA(MATCH(E673,'Injury Report'!$C$2:$C$6216,0),0)</f>
        <v/>
      </c>
    </row>
    <row r="676" ht="13.8" customHeight="1" s="152">
      <c r="W676" s="156">
        <f>INDEX(Matrix!$AA$2:$AA$33, MATCH(G676, Matrix!$AC$2:$AC$33, 0))</f>
        <v/>
      </c>
      <c r="X676" s="156">
        <f>_xlfn.IFNA(MATCH(E674,'Injury Report'!$C$2:$C$6216,0),0)</f>
        <v/>
      </c>
    </row>
    <row r="677" ht="13.8" customHeight="1" s="152">
      <c r="W677" s="156">
        <f>INDEX(Matrix!$AA$2:$AA$33, MATCH(G677, Matrix!$AC$2:$AC$33, 0))</f>
        <v/>
      </c>
      <c r="X677" s="156">
        <f>_xlfn.IFNA(MATCH(E675,'Injury Report'!$C$2:$C$6216,0),0)</f>
        <v/>
      </c>
    </row>
    <row r="678" ht="13.8" customHeight="1" s="152">
      <c r="W678" s="156">
        <f>INDEX(Matrix!$AA$2:$AA$33, MATCH(G678, Matrix!$AC$2:$AC$33, 0))</f>
        <v/>
      </c>
      <c r="X678" s="156">
        <f>_xlfn.IFNA(MATCH(E676,'Injury Report'!$C$2:$C$6216,0),0)</f>
        <v/>
      </c>
    </row>
    <row r="679" ht="13.8" customHeight="1" s="152">
      <c r="W679" s="156">
        <f>INDEX(Matrix!$AA$2:$AA$33, MATCH(G679, Matrix!$AC$2:$AC$33, 0))</f>
        <v/>
      </c>
      <c r="X679" s="156">
        <f>_xlfn.IFNA(MATCH(E677,'Injury Report'!$C$2:$C$6216,0),0)</f>
        <v/>
      </c>
    </row>
    <row r="680" ht="13.8" customHeight="1" s="152">
      <c r="W680" s="156">
        <f>INDEX(Matrix!$AA$2:$AA$33, MATCH(G680, Matrix!$AC$2:$AC$33, 0))</f>
        <v/>
      </c>
      <c r="X680" s="156">
        <f>_xlfn.IFNA(MATCH(E678,'Injury Report'!$C$2:$C$6216,0),0)</f>
        <v/>
      </c>
    </row>
    <row r="681" ht="13.8" customHeight="1" s="152">
      <c r="W681" s="156">
        <f>INDEX(Matrix!$AA$2:$AA$33, MATCH(G681, Matrix!$AC$2:$AC$33, 0))</f>
        <v/>
      </c>
      <c r="X681" s="156">
        <f>_xlfn.IFNA(MATCH(E679,'Injury Report'!$C$2:$C$6216,0),0)</f>
        <v/>
      </c>
    </row>
    <row r="682" ht="13.8" customHeight="1" s="152">
      <c r="W682" s="156">
        <f>INDEX(Matrix!$AA$2:$AA$33, MATCH(G682, Matrix!$AC$2:$AC$33, 0))</f>
        <v/>
      </c>
      <c r="X682" s="156">
        <f>_xlfn.IFNA(MATCH(E680,'Injury Report'!$C$2:$C$6216,0),0)</f>
        <v/>
      </c>
    </row>
    <row r="683" ht="13.8" customHeight="1" s="152">
      <c r="W683" s="156">
        <f>INDEX(Matrix!$AA$2:$AA$33, MATCH(G683, Matrix!$AC$2:$AC$33, 0))</f>
        <v/>
      </c>
      <c r="X683" s="156">
        <f>_xlfn.IFNA(MATCH(E681,'Injury Report'!$C$2:$C$6216,0),0)</f>
        <v/>
      </c>
    </row>
    <row r="684" ht="13.8" customHeight="1" s="152">
      <c r="W684" s="156">
        <f>INDEX(Matrix!$AA$2:$AA$33, MATCH(G684, Matrix!$AC$2:$AC$33, 0))</f>
        <v/>
      </c>
      <c r="X684" s="156">
        <f>_xlfn.IFNA(MATCH(E682,'Injury Report'!$C$2:$C$6216,0),0)</f>
        <v/>
      </c>
    </row>
    <row r="685" ht="13.8" customHeight="1" s="152">
      <c r="W685" s="156">
        <f>INDEX(Matrix!$AA$2:$AA$33, MATCH(G685, Matrix!$AC$2:$AC$33, 0))</f>
        <v/>
      </c>
      <c r="X685" s="156">
        <f>_xlfn.IFNA(MATCH(E683,'Injury Report'!$C$2:$C$6216,0),0)</f>
        <v/>
      </c>
    </row>
    <row r="686" ht="13.8" customHeight="1" s="152">
      <c r="W686" s="156">
        <f>INDEX(Matrix!$AA$2:$AA$33, MATCH(G686, Matrix!$AC$2:$AC$33, 0))</f>
        <v/>
      </c>
      <c r="X686" s="156">
        <f>_xlfn.IFNA(MATCH(E684,'Injury Report'!$C$2:$C$6216,0),0)</f>
        <v/>
      </c>
    </row>
    <row r="687" ht="13.8" customHeight="1" s="152">
      <c r="W687" s="156">
        <f>INDEX(Matrix!$AA$2:$AA$33, MATCH(G687, Matrix!$AC$2:$AC$33, 0))</f>
        <v/>
      </c>
      <c r="X687" s="156">
        <f>_xlfn.IFNA(MATCH(E685,'Injury Report'!$C$2:$C$6216,0),0)</f>
        <v/>
      </c>
    </row>
    <row r="688" ht="13.8" customHeight="1" s="152">
      <c r="W688" s="156">
        <f>INDEX(Matrix!$AA$2:$AA$33, MATCH(G688, Matrix!$AC$2:$AC$33, 0))</f>
        <v/>
      </c>
      <c r="X688" s="156">
        <f>_xlfn.IFNA(MATCH(E686,'Injury Report'!$C$2:$C$6216,0),0)</f>
        <v/>
      </c>
    </row>
    <row r="689" ht="13.8" customHeight="1" s="152">
      <c r="W689" s="156">
        <f>INDEX(Matrix!$AA$2:$AA$33, MATCH(G689, Matrix!$AC$2:$AC$33, 0))</f>
        <v/>
      </c>
      <c r="X689" s="156">
        <f>_xlfn.IFNA(MATCH(E687,'Injury Report'!$C$2:$C$6216,0),0)</f>
        <v/>
      </c>
    </row>
    <row r="690" ht="13.8" customHeight="1" s="152">
      <c r="W690" s="156">
        <f>INDEX(Matrix!$AA$2:$AA$33, MATCH(G690, Matrix!$AC$2:$AC$33, 0))</f>
        <v/>
      </c>
      <c r="X690" s="156">
        <f>_xlfn.IFNA(MATCH(E688,'Injury Report'!$C$2:$C$6216,0),0)</f>
        <v/>
      </c>
    </row>
    <row r="691" ht="13.8" customHeight="1" s="152">
      <c r="W691" s="156">
        <f>INDEX(Matrix!$AA$2:$AA$33, MATCH(G691, Matrix!$AC$2:$AC$33, 0))</f>
        <v/>
      </c>
      <c r="X691" s="156">
        <f>_xlfn.IFNA(MATCH(E689,'Injury Report'!$C$2:$C$6216,0),0)</f>
        <v/>
      </c>
    </row>
    <row r="692" ht="13.8" customHeight="1" s="152">
      <c r="W692" s="156">
        <f>INDEX(Matrix!$AA$2:$AA$33, MATCH(G692, Matrix!$AC$2:$AC$33, 0))</f>
        <v/>
      </c>
      <c r="X692" s="156">
        <f>_xlfn.IFNA(MATCH(E690,'Injury Report'!$C$2:$C$6216,0),0)</f>
        <v/>
      </c>
    </row>
    <row r="693" ht="13.8" customHeight="1" s="152">
      <c r="W693" s="156">
        <f>INDEX(Matrix!$AA$2:$AA$33, MATCH(G693, Matrix!$AC$2:$AC$33, 0))</f>
        <v/>
      </c>
      <c r="X693" s="156">
        <f>_xlfn.IFNA(MATCH(E691,'Injury Report'!$C$2:$C$6216,0),0)</f>
        <v/>
      </c>
    </row>
    <row r="694" ht="13.8" customHeight="1" s="152">
      <c r="W694" s="156">
        <f>INDEX(Matrix!$AA$2:$AA$33, MATCH(G694, Matrix!$AC$2:$AC$33, 0))</f>
        <v/>
      </c>
      <c r="X694" s="156">
        <f>_xlfn.IFNA(MATCH(E692,'Injury Report'!$C$2:$C$6216,0),0)</f>
        <v/>
      </c>
    </row>
    <row r="695" ht="13.8" customHeight="1" s="152">
      <c r="W695" s="156">
        <f>INDEX(Matrix!$AA$2:$AA$33, MATCH(G695, Matrix!$AC$2:$AC$33, 0))</f>
        <v/>
      </c>
      <c r="X695" s="156">
        <f>_xlfn.IFNA(MATCH(E693,'Injury Report'!$C$2:$C$6216,0),0)</f>
        <v/>
      </c>
    </row>
    <row r="696" ht="13.8" customHeight="1" s="152">
      <c r="W696" s="156">
        <f>INDEX(Matrix!$AA$2:$AA$33, MATCH(G696, Matrix!$AC$2:$AC$33, 0))</f>
        <v/>
      </c>
      <c r="X696" s="156">
        <f>_xlfn.IFNA(MATCH(E694,'Injury Report'!$C$2:$C$6216,0),0)</f>
        <v/>
      </c>
    </row>
    <row r="697" ht="13.8" customHeight="1" s="152">
      <c r="W697" s="156">
        <f>INDEX(Matrix!$AA$2:$AA$33, MATCH(G697, Matrix!$AC$2:$AC$33, 0))</f>
        <v/>
      </c>
      <c r="X697" s="156">
        <f>_xlfn.IFNA(MATCH(E695,'Injury Report'!$C$2:$C$6216,0),0)</f>
        <v/>
      </c>
    </row>
    <row r="698" ht="13.8" customHeight="1" s="152">
      <c r="W698" s="156">
        <f>INDEX(Matrix!$AA$2:$AA$33, MATCH(G698, Matrix!$AC$2:$AC$33, 0))</f>
        <v/>
      </c>
      <c r="X698" s="156">
        <f>_xlfn.IFNA(MATCH(E696,'Injury Report'!$C$2:$C$6216,0),0)</f>
        <v/>
      </c>
    </row>
    <row r="699" ht="13.8" customHeight="1" s="152">
      <c r="W699" s="156">
        <f>INDEX(Matrix!$AA$2:$AA$33, MATCH(G699, Matrix!$AC$2:$AC$33, 0))</f>
        <v/>
      </c>
      <c r="X699" s="156">
        <f>_xlfn.IFNA(MATCH(E697,'Injury Report'!$C$2:$C$6216,0),0)</f>
        <v/>
      </c>
    </row>
    <row r="700" ht="13.8" customHeight="1" s="152">
      <c r="W700" s="156">
        <f>INDEX(Matrix!$AA$2:$AA$33, MATCH(G700, Matrix!$AC$2:$AC$33, 0))</f>
        <v/>
      </c>
      <c r="X700" s="156">
        <f>_xlfn.IFNA(MATCH(E698,'Injury Report'!$C$2:$C$6216,0),0)</f>
        <v/>
      </c>
    </row>
    <row r="701" ht="13.8" customHeight="1" s="152">
      <c r="W701" s="156">
        <f>INDEX(Matrix!$AA$2:$AA$33, MATCH(G701, Matrix!$AC$2:$AC$33, 0))</f>
        <v/>
      </c>
      <c r="X701" s="156">
        <f>_xlfn.IFNA(MATCH(E699,'Injury Report'!$C$2:$C$6216,0),0)</f>
        <v/>
      </c>
    </row>
    <row r="702" ht="13.8" customHeight="1" s="152">
      <c r="W702" s="156">
        <f>INDEX(Matrix!$AA$2:$AA$33, MATCH(G702, Matrix!$AC$2:$AC$33, 0))</f>
        <v/>
      </c>
      <c r="X702" s="156">
        <f>_xlfn.IFNA(MATCH(E700,'Injury Report'!$C$2:$C$6216,0),0)</f>
        <v/>
      </c>
    </row>
    <row r="703" ht="13.8" customHeight="1" s="152">
      <c r="W703" s="156">
        <f>INDEX(Matrix!$AA$2:$AA$33, MATCH(G703, Matrix!$AC$2:$AC$33, 0))</f>
        <v/>
      </c>
      <c r="X703" s="156">
        <f>_xlfn.IFNA(MATCH(E701,'Injury Report'!$C$2:$C$6216,0),0)</f>
        <v/>
      </c>
    </row>
    <row r="704" ht="13.8" customHeight="1" s="152">
      <c r="W704" s="156">
        <f>INDEX(Matrix!$AA$2:$AA$33, MATCH(G704, Matrix!$AC$2:$AC$33, 0))</f>
        <v/>
      </c>
      <c r="X704" s="156">
        <f>_xlfn.IFNA(MATCH(E702,'Injury Report'!$C$2:$C$6216,0),0)</f>
        <v/>
      </c>
    </row>
    <row r="705" ht="13.8" customHeight="1" s="152">
      <c r="W705" s="156">
        <f>INDEX(Matrix!$AA$2:$AA$33, MATCH(G705, Matrix!$AC$2:$AC$33, 0))</f>
        <v/>
      </c>
      <c r="X705" s="156">
        <f>_xlfn.IFNA(MATCH(E703,'Injury Report'!$C$2:$C$6216,0),0)</f>
        <v/>
      </c>
    </row>
    <row r="706" ht="13.8" customHeight="1" s="152">
      <c r="W706" s="156">
        <f>INDEX(Matrix!$AA$2:$AA$33, MATCH(G706, Matrix!$AC$2:$AC$33, 0))</f>
        <v/>
      </c>
      <c r="X706" s="156">
        <f>_xlfn.IFNA(MATCH(E704,'Injury Report'!$C$2:$C$6216,0),0)</f>
        <v/>
      </c>
    </row>
    <row r="707" ht="13.8" customHeight="1" s="152">
      <c r="W707" s="156">
        <f>INDEX(Matrix!$AA$2:$AA$33, MATCH(G707, Matrix!$AC$2:$AC$33, 0))</f>
        <v/>
      </c>
      <c r="X707" s="156">
        <f>_xlfn.IFNA(MATCH(E705,'Injury Report'!$C$2:$C$6216,0),0)</f>
        <v/>
      </c>
    </row>
    <row r="708" ht="13.8" customHeight="1" s="152">
      <c r="W708" s="156">
        <f>INDEX(Matrix!$AA$2:$AA$33, MATCH(G708, Matrix!$AC$2:$AC$33, 0))</f>
        <v/>
      </c>
      <c r="X708" s="156">
        <f>_xlfn.IFNA(MATCH(E706,'Injury Report'!$C$2:$C$6216,0),0)</f>
        <v/>
      </c>
    </row>
    <row r="709" ht="13.8" customHeight="1" s="152">
      <c r="W709" s="156">
        <f>INDEX(Matrix!$AA$2:$AA$33, MATCH(G709, Matrix!$AC$2:$AC$33, 0))</f>
        <v/>
      </c>
      <c r="X709" s="156">
        <f>_xlfn.IFNA(MATCH(E707,'Injury Report'!$C$2:$C$6216,0),0)</f>
        <v/>
      </c>
    </row>
    <row r="710" ht="13.8" customHeight="1" s="152">
      <c r="W710" s="156">
        <f>INDEX(Matrix!$AA$2:$AA$33, MATCH(G710, Matrix!$AC$2:$AC$33, 0))</f>
        <v/>
      </c>
      <c r="X710" s="156">
        <f>_xlfn.IFNA(MATCH(E708,'Injury Report'!$C$2:$C$6216,0),0)</f>
        <v/>
      </c>
    </row>
    <row r="711" ht="13.8" customHeight="1" s="152">
      <c r="W711" s="156">
        <f>INDEX(Matrix!$AA$2:$AA$33, MATCH(G711, Matrix!$AC$2:$AC$33, 0))</f>
        <v/>
      </c>
      <c r="X711" s="156">
        <f>_xlfn.IFNA(MATCH(E709,'Injury Report'!$C$2:$C$6216,0),0)</f>
        <v/>
      </c>
    </row>
    <row r="712" ht="13.8" customHeight="1" s="152">
      <c r="W712" s="156">
        <f>INDEX(Matrix!$AA$2:$AA$33, MATCH(G712, Matrix!$AC$2:$AC$33, 0))</f>
        <v/>
      </c>
      <c r="X712" s="156">
        <f>_xlfn.IFNA(MATCH(E710,'Injury Report'!$C$2:$C$6216,0),0)</f>
        <v/>
      </c>
    </row>
    <row r="713" ht="13.8" customHeight="1" s="152">
      <c r="W713" s="156">
        <f>INDEX(Matrix!$AA$2:$AA$33, MATCH(G713, Matrix!$AC$2:$AC$33, 0))</f>
        <v/>
      </c>
      <c r="X713" s="156">
        <f>_xlfn.IFNA(MATCH(E711,'Injury Report'!$C$2:$C$6216,0),0)</f>
        <v/>
      </c>
    </row>
    <row r="714" ht="13.8" customHeight="1" s="152">
      <c r="W714" s="156">
        <f>INDEX(Matrix!$AA$2:$AA$33, MATCH(G714, Matrix!$AC$2:$AC$33, 0))</f>
        <v/>
      </c>
      <c r="X714" s="156">
        <f>_xlfn.IFNA(MATCH(E712,'Injury Report'!$C$2:$C$6216,0),0)</f>
        <v/>
      </c>
    </row>
    <row r="715" ht="13.8" customHeight="1" s="152">
      <c r="W715" s="156">
        <f>INDEX(Matrix!$AA$2:$AA$33, MATCH(G715, Matrix!$AC$2:$AC$33, 0))</f>
        <v/>
      </c>
      <c r="X715" s="156">
        <f>_xlfn.IFNA(MATCH(E713,'Injury Report'!$C$2:$C$6216,0),0)</f>
        <v/>
      </c>
    </row>
    <row r="716" ht="13.8" customHeight="1" s="152">
      <c r="W716" s="156">
        <f>INDEX(Matrix!$AA$2:$AA$33, MATCH(G716, Matrix!$AC$2:$AC$33, 0))</f>
        <v/>
      </c>
      <c r="X716" s="156">
        <f>_xlfn.IFNA(MATCH(E714,'Injury Report'!$C$2:$C$6216,0),0)</f>
        <v/>
      </c>
    </row>
    <row r="717" ht="13.8" customHeight="1" s="152">
      <c r="W717" s="156">
        <f>INDEX(Matrix!$AA$2:$AA$33, MATCH(G717, Matrix!$AC$2:$AC$33, 0))</f>
        <v/>
      </c>
      <c r="X717" s="156">
        <f>_xlfn.IFNA(MATCH(E715,'Injury Report'!$C$2:$C$6216,0),0)</f>
        <v/>
      </c>
    </row>
    <row r="718" ht="13.8" customHeight="1" s="152">
      <c r="W718" s="156">
        <f>INDEX(Matrix!$AA$2:$AA$33, MATCH(G718, Matrix!$AC$2:$AC$33, 0))</f>
        <v/>
      </c>
      <c r="X718" s="156">
        <f>_xlfn.IFNA(MATCH(E716,'Injury Report'!$C$2:$C$6216,0),0)</f>
        <v/>
      </c>
    </row>
    <row r="719" ht="13.8" customHeight="1" s="152">
      <c r="W719" s="156">
        <f>INDEX(Matrix!$AA$2:$AA$33, MATCH(G719, Matrix!$AC$2:$AC$33, 0))</f>
        <v/>
      </c>
      <c r="X719" s="156">
        <f>_xlfn.IFNA(MATCH(E717,'Injury Report'!$C$2:$C$6216,0),0)</f>
        <v/>
      </c>
    </row>
    <row r="720" ht="13.8" customHeight="1" s="152">
      <c r="W720" s="156">
        <f>INDEX(Matrix!$AA$2:$AA$33, MATCH(G720, Matrix!$AC$2:$AC$33, 0))</f>
        <v/>
      </c>
      <c r="X720" s="156">
        <f>_xlfn.IFNA(MATCH(E718,'Injury Report'!$C$2:$C$6216,0),0)</f>
        <v/>
      </c>
    </row>
    <row r="721" ht="13.8" customHeight="1" s="152">
      <c r="W721" s="156">
        <f>INDEX(Matrix!$AA$2:$AA$33, MATCH(G721, Matrix!$AC$2:$AC$33, 0))</f>
        <v/>
      </c>
      <c r="X721" s="156">
        <f>_xlfn.IFNA(MATCH(E719,'Injury Report'!$C$2:$C$6216,0),0)</f>
        <v/>
      </c>
    </row>
    <row r="722" ht="13.8" customHeight="1" s="152">
      <c r="W722" s="156">
        <f>INDEX(Matrix!$AA$2:$AA$33, MATCH(G722, Matrix!$AC$2:$AC$33, 0))</f>
        <v/>
      </c>
      <c r="X722" s="156">
        <f>_xlfn.IFNA(MATCH(E720,'Injury Report'!$C$2:$C$6216,0),0)</f>
        <v/>
      </c>
    </row>
    <row r="723" ht="13.8" customHeight="1" s="152">
      <c r="W723" s="156">
        <f>INDEX(Matrix!$AA$2:$AA$33, MATCH(G723, Matrix!$AC$2:$AC$33, 0))</f>
        <v/>
      </c>
      <c r="X723" s="156">
        <f>_xlfn.IFNA(MATCH(E721,'Injury Report'!$C$2:$C$6216,0),0)</f>
        <v/>
      </c>
    </row>
    <row r="724" ht="13.8" customHeight="1" s="152">
      <c r="W724" s="156">
        <f>INDEX(Matrix!$AA$2:$AA$33, MATCH(G724, Matrix!$AC$2:$AC$33, 0))</f>
        <v/>
      </c>
      <c r="X724" s="156">
        <f>_xlfn.IFNA(MATCH(E722,'Injury Report'!$C$2:$C$6216,0),0)</f>
        <v/>
      </c>
    </row>
    <row r="725" ht="13.8" customHeight="1" s="152">
      <c r="W725" s="156">
        <f>INDEX(Matrix!$AA$2:$AA$33, MATCH(G725, Matrix!$AC$2:$AC$33, 0))</f>
        <v/>
      </c>
      <c r="X725" s="156">
        <f>_xlfn.IFNA(MATCH(E723,'Injury Report'!$C$2:$C$6216,0),0)</f>
        <v/>
      </c>
    </row>
    <row r="726" ht="13.8" customHeight="1" s="152">
      <c r="W726" s="156">
        <f>INDEX(Matrix!$AA$2:$AA$33, MATCH(G726, Matrix!$AC$2:$AC$33, 0))</f>
        <v/>
      </c>
      <c r="X726" s="156">
        <f>_xlfn.IFNA(MATCH(E724,'Injury Report'!$C$2:$C$6216,0),0)</f>
        <v/>
      </c>
    </row>
    <row r="727" ht="13.8" customHeight="1" s="152">
      <c r="W727" s="156">
        <f>INDEX(Matrix!$AA$2:$AA$33, MATCH(G727, Matrix!$AC$2:$AC$33, 0))</f>
        <v/>
      </c>
      <c r="X727" s="156">
        <f>_xlfn.IFNA(MATCH(E725,'Injury Report'!$C$2:$C$6216,0),0)</f>
        <v/>
      </c>
    </row>
    <row r="728" ht="13.8" customHeight="1" s="152">
      <c r="W728" s="156">
        <f>INDEX(Matrix!$AA$2:$AA$33, MATCH(G728, Matrix!$AC$2:$AC$33, 0))</f>
        <v/>
      </c>
      <c r="X728" s="156">
        <f>_xlfn.IFNA(MATCH(E726,'Injury Report'!$C$2:$C$6216,0),0)</f>
        <v/>
      </c>
    </row>
    <row r="729" ht="13.8" customHeight="1" s="152">
      <c r="W729" s="156">
        <f>INDEX(Matrix!$AA$2:$AA$33, MATCH(G729, Matrix!$AC$2:$AC$33, 0))</f>
        <v/>
      </c>
      <c r="X729" s="156">
        <f>_xlfn.IFNA(MATCH(E727,'Injury Report'!$C$2:$C$6216,0),0)</f>
        <v/>
      </c>
    </row>
    <row r="730" ht="13.8" customHeight="1" s="152">
      <c r="W730" s="156">
        <f>INDEX(Matrix!$AA$2:$AA$33, MATCH(G730, Matrix!$AC$2:$AC$33, 0))</f>
        <v/>
      </c>
      <c r="X730" s="156">
        <f>_xlfn.IFNA(MATCH(E728,'Injury Report'!$C$2:$C$6216,0),0)</f>
        <v/>
      </c>
    </row>
    <row r="731" ht="13.8" customHeight="1" s="152">
      <c r="W731" s="156">
        <f>INDEX(Matrix!$AA$2:$AA$33, MATCH(G731, Matrix!$AC$2:$AC$33, 0))</f>
        <v/>
      </c>
      <c r="X731" s="156">
        <f>_xlfn.IFNA(MATCH(E729,'Injury Report'!$C$2:$C$6216,0),0)</f>
        <v/>
      </c>
    </row>
    <row r="732" ht="13.8" customHeight="1" s="152">
      <c r="W732" s="156">
        <f>INDEX(Matrix!$AA$2:$AA$33, MATCH(G732, Matrix!$AC$2:$AC$33, 0))</f>
        <v/>
      </c>
      <c r="X732" s="156">
        <f>_xlfn.IFNA(MATCH(E730,'Injury Report'!$C$2:$C$6216,0),0)</f>
        <v/>
      </c>
    </row>
    <row r="733" ht="13.8" customHeight="1" s="152">
      <c r="W733" s="156">
        <f>INDEX(Matrix!$AA$2:$AA$33, MATCH(G733, Matrix!$AC$2:$AC$33, 0))</f>
        <v/>
      </c>
      <c r="X733" s="156">
        <f>_xlfn.IFNA(MATCH(E731,'Injury Report'!$C$2:$C$6216,0),0)</f>
        <v/>
      </c>
    </row>
    <row r="734" ht="13.8" customHeight="1" s="152">
      <c r="W734" s="156">
        <f>INDEX(Matrix!$AA$2:$AA$33, MATCH(G734, Matrix!$AC$2:$AC$33, 0))</f>
        <v/>
      </c>
      <c r="X734" s="156">
        <f>_xlfn.IFNA(MATCH(E732,'Injury Report'!$C$2:$C$6216,0),0)</f>
        <v/>
      </c>
    </row>
    <row r="735" ht="13.8" customHeight="1" s="152">
      <c r="W735" s="156">
        <f>INDEX(Matrix!$AA$2:$AA$33, MATCH(G735, Matrix!$AC$2:$AC$33, 0))</f>
        <v/>
      </c>
      <c r="X735" s="156">
        <f>_xlfn.IFNA(MATCH(E733,'Injury Report'!$C$2:$C$6216,0),0)</f>
        <v/>
      </c>
    </row>
    <row r="736" ht="13.8" customHeight="1" s="152">
      <c r="W736" s="156">
        <f>INDEX(Matrix!$AA$2:$AA$33, MATCH(G736, Matrix!$AC$2:$AC$33, 0))</f>
        <v/>
      </c>
      <c r="X736" s="156">
        <f>_xlfn.IFNA(MATCH(E734,'Injury Report'!$C$2:$C$6216,0),0)</f>
        <v/>
      </c>
    </row>
    <row r="737" ht="13.8" customHeight="1" s="152">
      <c r="W737" s="156">
        <f>INDEX(Matrix!$AA$2:$AA$33, MATCH(G737, Matrix!$AC$2:$AC$33, 0))</f>
        <v/>
      </c>
      <c r="X737" s="156">
        <f>_xlfn.IFNA(MATCH(E735,'Injury Report'!$C$2:$C$6216,0),0)</f>
        <v/>
      </c>
    </row>
    <row r="738" ht="13.8" customHeight="1" s="152">
      <c r="W738" s="156">
        <f>INDEX(Matrix!$AA$2:$AA$33, MATCH(G738, Matrix!$AC$2:$AC$33, 0))</f>
        <v/>
      </c>
      <c r="X738" s="156">
        <f>_xlfn.IFNA(MATCH(E736,'Injury Report'!$C$2:$C$6216,0),0)</f>
        <v/>
      </c>
    </row>
    <row r="739" ht="13.8" customHeight="1" s="152">
      <c r="W739" s="156">
        <f>INDEX(Matrix!$AA$2:$AA$33, MATCH(G739, Matrix!$AC$2:$AC$33, 0))</f>
        <v/>
      </c>
      <c r="X739" s="156">
        <f>_xlfn.IFNA(MATCH(E737,'Injury Report'!$C$2:$C$6216,0),0)</f>
        <v/>
      </c>
    </row>
    <row r="740" ht="13.8" customHeight="1" s="152">
      <c r="W740" s="156">
        <f>INDEX(Matrix!$AA$2:$AA$33, MATCH(G740, Matrix!$AC$2:$AC$33, 0))</f>
        <v/>
      </c>
      <c r="X740" s="156">
        <f>_xlfn.IFNA(MATCH(E738,'Injury Report'!$C$2:$C$6216,0),0)</f>
        <v/>
      </c>
    </row>
    <row r="741" ht="13.8" customHeight="1" s="152">
      <c r="W741" s="156">
        <f>INDEX(Matrix!$AA$2:$AA$33, MATCH(G741, Matrix!$AC$2:$AC$33, 0))</f>
        <v/>
      </c>
      <c r="X741" s="156">
        <f>_xlfn.IFNA(MATCH(E739,'Injury Report'!$C$2:$C$6216,0),0)</f>
        <v/>
      </c>
    </row>
    <row r="742" ht="13.8" customHeight="1" s="152">
      <c r="W742" s="156">
        <f>INDEX(Matrix!$AA$2:$AA$33, MATCH(G742, Matrix!$AC$2:$AC$33, 0))</f>
        <v/>
      </c>
      <c r="X742" s="156">
        <f>_xlfn.IFNA(MATCH(E740,'Injury Report'!$C$2:$C$6216,0),0)</f>
        <v/>
      </c>
    </row>
    <row r="743" ht="13.8" customHeight="1" s="152">
      <c r="W743" s="156">
        <f>INDEX(Matrix!$AA$2:$AA$33, MATCH(G743, Matrix!$AC$2:$AC$33, 0))</f>
        <v/>
      </c>
      <c r="X743" s="156">
        <f>_xlfn.IFNA(MATCH(E741,'Injury Report'!$C$2:$C$6216,0),0)</f>
        <v/>
      </c>
    </row>
    <row r="744" ht="13.8" customHeight="1" s="152">
      <c r="W744" s="156">
        <f>INDEX(Matrix!$AA$2:$AA$33, MATCH(G744, Matrix!$AC$2:$AC$33, 0))</f>
        <v/>
      </c>
      <c r="X744" s="156">
        <f>_xlfn.IFNA(MATCH(E742,'Injury Report'!$C$2:$C$6216,0),0)</f>
        <v/>
      </c>
    </row>
    <row r="745" ht="13.8" customHeight="1" s="152">
      <c r="W745" s="156">
        <f>INDEX(Matrix!$AA$2:$AA$33, MATCH(G745, Matrix!$AC$2:$AC$33, 0))</f>
        <v/>
      </c>
      <c r="X745" s="156">
        <f>_xlfn.IFNA(MATCH(E743,'Injury Report'!$C$2:$C$6216,0),0)</f>
        <v/>
      </c>
    </row>
    <row r="746" ht="13.8" customHeight="1" s="152">
      <c r="W746" s="156">
        <f>INDEX(Matrix!$AA$2:$AA$33, MATCH(G746, Matrix!$AC$2:$AC$33, 0))</f>
        <v/>
      </c>
      <c r="X746" s="156">
        <f>_xlfn.IFNA(MATCH(E744,'Injury Report'!$C$2:$C$6216,0),0)</f>
        <v/>
      </c>
    </row>
    <row r="747" ht="13.8" customHeight="1" s="152">
      <c r="W747" s="156">
        <f>INDEX(Matrix!$AA$2:$AA$33, MATCH(G747, Matrix!$AC$2:$AC$33, 0))</f>
        <v/>
      </c>
      <c r="X747" s="156">
        <f>_xlfn.IFNA(MATCH(E745,'Injury Report'!$C$2:$C$6216,0),0)</f>
        <v/>
      </c>
    </row>
    <row r="748" ht="13.8" customHeight="1" s="152">
      <c r="W748" s="156">
        <f>INDEX(Matrix!$AA$2:$AA$33, MATCH(G748, Matrix!$AC$2:$AC$33, 0))</f>
        <v/>
      </c>
      <c r="X748" s="156">
        <f>_xlfn.IFNA(MATCH(E746,'Injury Report'!$C$2:$C$6216,0),0)</f>
        <v/>
      </c>
    </row>
    <row r="749" ht="13.8" customHeight="1" s="152">
      <c r="W749" s="156">
        <f>INDEX(Matrix!$AA$2:$AA$33, MATCH(G749, Matrix!$AC$2:$AC$33, 0))</f>
        <v/>
      </c>
      <c r="X749" s="156">
        <f>_xlfn.IFNA(MATCH(E747,'Injury Report'!$C$2:$C$6216,0),0)</f>
        <v/>
      </c>
    </row>
    <row r="750" ht="13.8" customHeight="1" s="152">
      <c r="W750" s="156">
        <f>INDEX(Matrix!$AA$2:$AA$33, MATCH(G750, Matrix!$AC$2:$AC$33, 0))</f>
        <v/>
      </c>
      <c r="X750" s="156">
        <f>_xlfn.IFNA(MATCH(E748,'Injury Report'!$C$2:$C$6216,0),0)</f>
        <v/>
      </c>
    </row>
    <row r="751" ht="13.8" customHeight="1" s="152">
      <c r="W751" s="156">
        <f>INDEX(Matrix!$AA$2:$AA$33, MATCH(G751, Matrix!$AC$2:$AC$33, 0))</f>
        <v/>
      </c>
      <c r="X751" s="156">
        <f>_xlfn.IFNA(MATCH(E749,'Injury Report'!$C$2:$C$6216,0),0)</f>
        <v/>
      </c>
    </row>
    <row r="752" ht="13.8" customHeight="1" s="152">
      <c r="W752" s="156">
        <f>INDEX(Matrix!$AA$2:$AA$33, MATCH(G752, Matrix!$AC$2:$AC$33, 0))</f>
        <v/>
      </c>
      <c r="X752" s="156">
        <f>_xlfn.IFNA(MATCH(E750,'Injury Report'!$C$2:$C$6216,0),0)</f>
        <v/>
      </c>
    </row>
    <row r="753" ht="13.8" customHeight="1" s="152">
      <c r="W753" s="156">
        <f>INDEX(Matrix!$AA$2:$AA$33, MATCH(G753, Matrix!$AC$2:$AC$33, 0))</f>
        <v/>
      </c>
      <c r="X753" s="156">
        <f>_xlfn.IFNA(MATCH(E751,'Injury Report'!$C$2:$C$6216,0),0)</f>
        <v/>
      </c>
    </row>
    <row r="754" ht="13.8" customHeight="1" s="152">
      <c r="W754" s="156">
        <f>INDEX(Matrix!$AA$2:$AA$33, MATCH(G754, Matrix!$AC$2:$AC$33, 0))</f>
        <v/>
      </c>
      <c r="X754" s="156">
        <f>_xlfn.IFNA(MATCH(E752,'Injury Report'!$C$2:$C$6216,0),0)</f>
        <v/>
      </c>
    </row>
    <row r="755" ht="13.8" customHeight="1" s="152">
      <c r="W755" s="156">
        <f>INDEX(Matrix!$AA$2:$AA$33, MATCH(G755, Matrix!$AC$2:$AC$33, 0))</f>
        <v/>
      </c>
      <c r="X755" s="156">
        <f>_xlfn.IFNA(MATCH(E753,'Injury Report'!$C$2:$C$6216,0),0)</f>
        <v/>
      </c>
    </row>
    <row r="756" ht="13.8" customHeight="1" s="152">
      <c r="W756" s="156">
        <f>INDEX(Matrix!$AA$2:$AA$33, MATCH(G756, Matrix!$AC$2:$AC$33, 0))</f>
        <v/>
      </c>
      <c r="X756" s="156">
        <f>_xlfn.IFNA(MATCH(E754,'Injury Report'!$C$2:$C$6216,0),0)</f>
        <v/>
      </c>
    </row>
    <row r="757" ht="13.8" customHeight="1" s="152">
      <c r="W757" s="156">
        <f>INDEX(Matrix!$AA$2:$AA$33, MATCH(G757, Matrix!$AC$2:$AC$33, 0))</f>
        <v/>
      </c>
      <c r="X757" s="156">
        <f>_xlfn.IFNA(MATCH(E755,'Injury Report'!$C$2:$C$6216,0),0)</f>
        <v/>
      </c>
    </row>
    <row r="758" ht="13.8" customHeight="1" s="152">
      <c r="W758" s="156">
        <f>INDEX(Matrix!$AA$2:$AA$33, MATCH(G758, Matrix!$AC$2:$AC$33, 0))</f>
        <v/>
      </c>
      <c r="X758" s="156">
        <f>_xlfn.IFNA(MATCH(E756,'Injury Report'!$C$2:$C$6216,0),0)</f>
        <v/>
      </c>
    </row>
    <row r="759" ht="13.8" customHeight="1" s="152">
      <c r="W759" s="156">
        <f>INDEX(Matrix!$AA$2:$AA$33, MATCH(G759, Matrix!$AC$2:$AC$33, 0))</f>
        <v/>
      </c>
      <c r="X759" s="156">
        <f>_xlfn.IFNA(MATCH(E757,'Injury Report'!$C$2:$C$6216,0),0)</f>
        <v/>
      </c>
    </row>
    <row r="760" ht="13.8" customHeight="1" s="152">
      <c r="W760" s="156">
        <f>INDEX(Matrix!$AA$2:$AA$33, MATCH(G760, Matrix!$AC$2:$AC$33, 0))</f>
        <v/>
      </c>
      <c r="X760" s="156">
        <f>_xlfn.IFNA(MATCH(E758,'Injury Report'!$C$2:$C$6216,0),0)</f>
        <v/>
      </c>
    </row>
    <row r="761" ht="13.8" customHeight="1" s="152">
      <c r="W761" s="156">
        <f>INDEX(Matrix!$AA$2:$AA$33, MATCH(G761, Matrix!$AC$2:$AC$33, 0))</f>
        <v/>
      </c>
      <c r="X761" s="156">
        <f>_xlfn.IFNA(MATCH(E759,'Injury Report'!$C$2:$C$6216,0),0)</f>
        <v/>
      </c>
    </row>
    <row r="762" ht="13.8" customHeight="1" s="152">
      <c r="W762" s="156">
        <f>INDEX(Matrix!$AA$2:$AA$33, MATCH(G762, Matrix!$AC$2:$AC$33, 0))</f>
        <v/>
      </c>
      <c r="X762" s="156">
        <f>_xlfn.IFNA(MATCH(E760,'Injury Report'!$C$2:$C$6216,0),0)</f>
        <v/>
      </c>
    </row>
    <row r="763" ht="13.8" customHeight="1" s="152">
      <c r="W763" s="156">
        <f>INDEX(Matrix!$AA$2:$AA$33, MATCH(G763, Matrix!$AC$2:$AC$33, 0))</f>
        <v/>
      </c>
      <c r="X763" s="156">
        <f>_xlfn.IFNA(MATCH(E761,'Injury Report'!$C$2:$C$6216,0),0)</f>
        <v/>
      </c>
    </row>
    <row r="764" ht="13.8" customHeight="1" s="152">
      <c r="W764" s="156">
        <f>INDEX(Matrix!$AA$2:$AA$33, MATCH(G764, Matrix!$AC$2:$AC$33, 0))</f>
        <v/>
      </c>
      <c r="X764" s="156">
        <f>_xlfn.IFNA(MATCH(E762,'Injury Report'!$C$2:$C$6216,0),0)</f>
        <v/>
      </c>
    </row>
    <row r="765" ht="13.8" customHeight="1" s="152">
      <c r="W765" s="156">
        <f>INDEX(Matrix!$AA$2:$AA$33, MATCH(G765, Matrix!$AC$2:$AC$33, 0))</f>
        <v/>
      </c>
      <c r="X765" s="156">
        <f>_xlfn.IFNA(MATCH(E763,'Injury Report'!$C$2:$C$6216,0),0)</f>
        <v/>
      </c>
    </row>
    <row r="766" ht="13.8" customHeight="1" s="152">
      <c r="W766" s="156">
        <f>INDEX(Matrix!$AA$2:$AA$33, MATCH(G766, Matrix!$AC$2:$AC$33, 0))</f>
        <v/>
      </c>
      <c r="X766" s="156">
        <f>_xlfn.IFNA(MATCH(E764,'Injury Report'!$C$2:$C$6216,0),0)</f>
        <v/>
      </c>
    </row>
    <row r="767" ht="13.8" customHeight="1" s="152">
      <c r="W767" s="156">
        <f>INDEX(Matrix!$AA$2:$AA$33, MATCH(G767, Matrix!$AC$2:$AC$33, 0))</f>
        <v/>
      </c>
      <c r="X767" s="156">
        <f>_xlfn.IFNA(MATCH(E765,'Injury Report'!$C$2:$C$6216,0),0)</f>
        <v/>
      </c>
    </row>
    <row r="768" ht="13.8" customHeight="1" s="152">
      <c r="W768" s="156">
        <f>INDEX(Matrix!$AA$2:$AA$33, MATCH(G768, Matrix!$AC$2:$AC$33, 0))</f>
        <v/>
      </c>
      <c r="X768" s="156">
        <f>_xlfn.IFNA(MATCH(E766,'Injury Report'!$C$2:$C$6216,0),0)</f>
        <v/>
      </c>
    </row>
    <row r="769" ht="13.8" customHeight="1" s="152">
      <c r="W769" s="156">
        <f>INDEX(Matrix!$AA$2:$AA$33, MATCH(G769, Matrix!$AC$2:$AC$33, 0))</f>
        <v/>
      </c>
      <c r="X769" s="156">
        <f>_xlfn.IFNA(MATCH(E767,'Injury Report'!$C$2:$C$6216,0),0)</f>
        <v/>
      </c>
    </row>
    <row r="770" ht="13.8" customHeight="1" s="152">
      <c r="W770" s="156">
        <f>INDEX(Matrix!$AA$2:$AA$33, MATCH(G770, Matrix!$AC$2:$AC$33, 0))</f>
        <v/>
      </c>
      <c r="X770" s="156">
        <f>_xlfn.IFNA(MATCH(E768,'Injury Report'!$C$2:$C$6216,0),0)</f>
        <v/>
      </c>
    </row>
    <row r="771" ht="13.8" customHeight="1" s="152">
      <c r="W771" s="156">
        <f>INDEX(Matrix!$AA$2:$AA$33, MATCH(G771, Matrix!$AC$2:$AC$33, 0))</f>
        <v/>
      </c>
      <c r="X771" s="156">
        <f>_xlfn.IFNA(MATCH(E769,'Injury Report'!$C$2:$C$6216,0),0)</f>
        <v/>
      </c>
    </row>
  </sheetData>
  <autoFilter ref="B3:U374">
    <sortState ref="B4:U374">
      <sortCondition descending="1" ref="C4:C374" customList=""/>
    </sortState>
  </autoFilter>
  <conditionalFormatting sqref="C2:C1048576">
    <cfRule type="dataBar" priority="2">
      <dataBar minLength="10" maxLength="90" showValue="1">
        <cfvo type="min" val="0"/>
        <cfvo type="max" val="0"/>
        <color rgb="FF385724"/>
      </dataBar>
    </cfRule>
  </conditionalFormatting>
  <conditionalFormatting sqref="D4:D346">
    <cfRule type="dataBar" priority="3">
      <dataBar minLength="10" maxLength="90" showValue="1">
        <cfvo type="min" val="0"/>
        <cfvo type="max" val="0"/>
        <color rgb="FF63C384"/>
      </dataBar>
    </cfRule>
  </conditionalFormatting>
  <conditionalFormatting sqref="C1:C3">
    <cfRule type="dataBar" priority="4">
      <dataBar minLength="10" maxLength="90" showValue="1">
        <cfvo type="min" val="0"/>
        <cfvo type="max" val="0"/>
        <color rgb="FF385724"/>
      </dataBar>
    </cfRule>
  </conditionalFormatting>
  <hyperlinks>
    <hyperlink xmlns:r="http://schemas.openxmlformats.org/officeDocument/2006/relationships" ref="W1" display="https://www.rotowire.com/football/player-stats.php?view=rushing"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tabColor rgb="FF000000"/>
    <outlinePr summaryBelow="1" summaryRight="1"/>
    <pageSetUpPr fitToPage="0"/>
  </sheetPr>
  <dimension ref="A1:Y770"/>
  <sheetViews>
    <sheetView showFormulas="0" showGridLines="0" showRowColHeaders="1" showZeros="1" rightToLeft="0" tabSelected="0" showOutlineSymbols="1" defaultGridColor="1" view="normal" topLeftCell="A1" colorId="64" zoomScale="95" zoomScaleNormal="95" zoomScalePageLayoutView="100" workbookViewId="0">
      <pane xSplit="0" ySplit="2" topLeftCell="A3" activePane="bottomLeft" state="frozen"/>
      <selection pane="topLeft" activeCell="A1" activeCellId="0" sqref="A1"/>
      <selection pane="bottomLeft" activeCell="P3" activeCellId="0" sqref="P3"/>
    </sheetView>
  </sheetViews>
  <sheetFormatPr baseColWidth="8" defaultColWidth="8.796875" defaultRowHeight="14.4" zeroHeight="0" outlineLevelRow="0"/>
  <cols>
    <col width="6.35" customWidth="1" style="212" min="1" max="1"/>
    <col width="20.89" customWidth="1" style="156" min="2" max="2"/>
    <col width="15.66" customWidth="1" style="156" min="3" max="3"/>
    <col width="11.45" customWidth="1" style="156" min="4" max="4"/>
    <col width="27.12" customWidth="1" style="156" min="5" max="5"/>
    <col width="25.56" customWidth="1" style="156" min="6" max="6"/>
    <col width="14.01" customWidth="1" style="156" min="7" max="7"/>
    <col width="7" customWidth="1" style="156" min="8" max="8"/>
    <col width="5.1" customWidth="1" style="156" min="9" max="9"/>
    <col width="7" customWidth="1" style="156" min="10" max="10"/>
    <col width="7.11" customWidth="1" style="156" min="11" max="11"/>
    <col width="6.88" customWidth="1" style="156" min="12" max="12"/>
    <col width="9.44" customWidth="1" style="156" min="13" max="13"/>
    <col width="6.11" customWidth="1" style="156" min="14" max="14"/>
    <col width="7.11" customWidth="1" style="156" min="15" max="15"/>
    <col width="8.039999999999999" customWidth="1" style="156" min="16" max="16"/>
    <col width="6.88" customWidth="1" style="156" min="17" max="18"/>
    <col width="7.87" customWidth="1" style="156" min="19" max="21"/>
    <col width="7.11" customWidth="1" style="156" min="22" max="22"/>
    <col width="8" customWidth="1" style="156" min="23" max="23"/>
  </cols>
  <sheetData>
    <row r="1" ht="14.4" customHeight="1" s="152">
      <c r="A1" s="212" t="inlineStr">
        <is>
          <t>Line</t>
        </is>
      </c>
      <c r="K1" s="156" t="n">
        <v>0.3</v>
      </c>
      <c r="M1" s="156" t="n">
        <v>0.3</v>
      </c>
      <c r="N1" s="156" t="n">
        <v>0.3</v>
      </c>
      <c r="O1" s="156" t="n">
        <v>0.2</v>
      </c>
      <c r="P1" s="156" t="n">
        <v>0.1</v>
      </c>
      <c r="V1" s="156" t="n">
        <v>-0.2</v>
      </c>
      <c r="X1" s="220">
        <f>SUM(J1:W1)</f>
        <v/>
      </c>
      <c r="Y1" s="156" t="inlineStr">
        <is>
          <t>https://www.rotowire.com/football/player-stats.php?view=receiving</t>
        </is>
      </c>
    </row>
    <row r="2" ht="14.4" customHeight="1" s="152">
      <c r="A2" s="156" t="n">
        <v>1</v>
      </c>
      <c r="B2" s="167" t="inlineStr">
        <is>
          <t>Combo Name Team</t>
        </is>
      </c>
      <c r="C2" s="167" t="inlineStr">
        <is>
          <t>C- Score</t>
        </is>
      </c>
      <c r="D2" s="167" t="inlineStr">
        <is>
          <t>N/A</t>
        </is>
      </c>
      <c r="E2" s="167" t="inlineStr">
        <is>
          <t>ALP Exist</t>
        </is>
      </c>
      <c r="F2" s="279" t="inlineStr">
        <is>
          <t>Ja'marr Chase</t>
        </is>
      </c>
      <c r="G2" s="279" t="inlineStr">
        <is>
          <t>CIN</t>
        </is>
      </c>
      <c r="H2" s="279" t="inlineStr">
        <is>
          <t>WR</t>
        </is>
      </c>
      <c r="I2" s="279" t="n">
        <v>2</v>
      </c>
      <c r="J2" s="279" t="n">
        <v>16</v>
      </c>
      <c r="K2" s="279" t="n">
        <v>191</v>
      </c>
      <c r="L2" s="279" t="inlineStr">
        <is>
          <t>YPC</t>
        </is>
      </c>
      <c r="M2" s="279" t="inlineStr">
        <is>
          <t>YDS/G</t>
        </is>
      </c>
      <c r="N2" s="279" t="n">
        <v>1</v>
      </c>
      <c r="O2" s="279" t="n">
        <v>21</v>
      </c>
      <c r="P2" s="279" t="inlineStr">
        <is>
          <t>YPT</t>
        </is>
      </c>
      <c r="Q2" s="279" t="n">
        <v>19</v>
      </c>
      <c r="R2" s="279" t="n">
        <v>8</v>
      </c>
      <c r="S2" s="279" t="n">
        <v>5</v>
      </c>
      <c r="T2" s="279" t="n">
        <v>3</v>
      </c>
      <c r="U2" s="279" t="n">
        <v>1</v>
      </c>
      <c r="V2" s="279" t="n">
        <v>0</v>
      </c>
      <c r="W2" s="279" t="n">
        <v>0</v>
      </c>
    </row>
    <row r="3" ht="15.6" customHeight="1" s="152">
      <c r="A3" s="212" t="n">
        <v>1</v>
      </c>
      <c r="B3" s="167">
        <f>F3&amp;G3</f>
        <v/>
      </c>
      <c r="C3" s="156">
        <f>(K3/MAX(K:K)*$K$1)+(O3/MAX(O:O)*$O$1)+(M3/MAX(M:M)*$M$1)+(N3/MAX(N:N)*$N$1)+(V3/MAX(V:V)*$V$1)+(P3/MAX(P:P)*$P$1)</f>
        <v/>
      </c>
      <c r="E3" s="156">
        <f>IFERROR(VLOOKUP(F3,AllPlayers!F:F,1,0),"------------")</f>
        <v/>
      </c>
      <c r="F3" s="156" t="inlineStr">
        <is>
          <t>Ja'marr Chase</t>
        </is>
      </c>
      <c r="G3" s="167" t="inlineStr">
        <is>
          <t>CIN</t>
        </is>
      </c>
      <c r="H3" s="156" t="inlineStr">
        <is>
          <t>WR</t>
        </is>
      </c>
      <c r="I3" s="156" t="n">
        <v>2</v>
      </c>
      <c r="J3" s="156" t="n">
        <v>16</v>
      </c>
      <c r="K3" s="156" t="n">
        <v>191</v>
      </c>
      <c r="L3" s="156">
        <f>IF(J3=0,0,K3/J3)</f>
        <v/>
      </c>
      <c r="M3" s="156">
        <f>K3/17</f>
        <v/>
      </c>
      <c r="N3" s="156" t="n">
        <v>1</v>
      </c>
      <c r="O3" s="156" t="n">
        <v>21</v>
      </c>
      <c r="P3" s="281">
        <f>IF(K3=0,0,K3/O3)</f>
        <v/>
      </c>
      <c r="Q3" s="156" t="n">
        <v>19</v>
      </c>
      <c r="R3" s="156" t="n">
        <v>8</v>
      </c>
      <c r="S3" s="156" t="n">
        <v>5</v>
      </c>
      <c r="T3" s="156" t="n">
        <v>3</v>
      </c>
      <c r="U3" s="156" t="n">
        <v>1</v>
      </c>
      <c r="V3" s="156" t="n">
        <v>0</v>
      </c>
      <c r="W3" s="156" t="n">
        <v>0</v>
      </c>
      <c r="X3" s="204">
        <f>INDEX(Matrix!$AA$2:$AA$33, MATCH(G3, Matrix!$AC$2:$AC$33, 0))</f>
        <v/>
      </c>
      <c r="Y3" s="156">
        <f>_xlfn.IFNA(MATCH(E2,'Injury Report'!$C$2:$C$6216,0),0)</f>
        <v/>
      </c>
    </row>
    <row r="4" ht="15.6" customHeight="1" s="152">
      <c r="A4" s="212" t="n">
        <v>2</v>
      </c>
      <c r="B4" s="167">
        <f>F4&amp;G4</f>
        <v/>
      </c>
      <c r="C4" s="156">
        <f>(K4/MAX(K:K)*$K$1)+(O4/MAX(O:O)*$O$1)+(M4/MAX(M:M)*$M$1)+(N4/MAX(N:N)*$N$1)+(V4/MAX(V:V)*$V$1)+(P4/MAX(P:P)*$P$1)</f>
        <v/>
      </c>
      <c r="E4" s="156">
        <f>IFERROR(VLOOKUP(F4,AllPlayers!F:F,1,0),"------------")</f>
        <v/>
      </c>
      <c r="F4" s="156" t="inlineStr">
        <is>
          <t>Justin Jefferson</t>
        </is>
      </c>
      <c r="G4" s="167" t="inlineStr">
        <is>
          <t>MIN</t>
        </is>
      </c>
      <c r="H4" s="156" t="inlineStr">
        <is>
          <t>WR</t>
        </is>
      </c>
      <c r="I4" s="156" t="n">
        <v>2</v>
      </c>
      <c r="J4" s="156" t="n">
        <v>7</v>
      </c>
      <c r="K4" s="156" t="n">
        <v>125</v>
      </c>
      <c r="L4" s="156">
        <f>IF(J4=0,0,K4/J4)</f>
        <v/>
      </c>
      <c r="M4" s="156">
        <f>K4/17</f>
        <v/>
      </c>
      <c r="N4" s="156" t="n">
        <v>1</v>
      </c>
      <c r="O4" s="156" t="n">
        <v>13</v>
      </c>
      <c r="P4" s="281">
        <f>IF(K4=0,0,K4/O4)</f>
        <v/>
      </c>
      <c r="Q4" s="156" t="n">
        <v>28</v>
      </c>
      <c r="R4" s="156" t="n">
        <v>4</v>
      </c>
      <c r="S4" s="156" t="n">
        <v>5</v>
      </c>
      <c r="T4" s="156" t="n">
        <v>0</v>
      </c>
      <c r="U4" s="156" t="n">
        <v>0</v>
      </c>
      <c r="V4" s="156" t="n">
        <v>0</v>
      </c>
      <c r="W4" s="156" t="n">
        <v>0</v>
      </c>
      <c r="X4" s="204">
        <f>INDEX(Matrix!$AA$2:$AA$33, MATCH(G4, Matrix!$AC$2:$AC$33, 0))</f>
        <v/>
      </c>
      <c r="Y4" s="156">
        <f>_xlfn.IFNA(MATCH(E3,'Injury Report'!$C$2:$C$6216,0),0)</f>
        <v/>
      </c>
    </row>
    <row r="5" ht="15.6" customHeight="1" s="152">
      <c r="A5" s="212" t="n">
        <v>3</v>
      </c>
      <c r="B5" s="167">
        <f>F5&amp;G5</f>
        <v/>
      </c>
      <c r="C5" s="156">
        <f>(K5/MAX(K:K)*$K$1)+(O5/MAX(O:O)*$O$1)+(M5/MAX(M:M)*$M$1)+(N5/MAX(N:N)*$N$1)+(V5/MAX(V:V)*$V$1)+(P5/MAX(P:P)*$P$1)</f>
        <v/>
      </c>
      <c r="E5" s="156">
        <f>IFERROR(VLOOKUP(F5,AllPlayers!F:F,1,0),"------------")</f>
        <v/>
      </c>
      <c r="F5" s="156" t="inlineStr">
        <is>
          <t>Ceedee Lamb</t>
        </is>
      </c>
      <c r="G5" s="167" t="inlineStr">
        <is>
          <t>DAL</t>
        </is>
      </c>
      <c r="H5" s="156" t="inlineStr">
        <is>
          <t>WR</t>
        </is>
      </c>
      <c r="I5" s="156" t="n">
        <v>2</v>
      </c>
      <c r="J5" s="156" t="n">
        <v>16</v>
      </c>
      <c r="K5" s="156" t="n">
        <v>222</v>
      </c>
      <c r="L5" s="156">
        <f>IF(J5=0,0,K5/J5)</f>
        <v/>
      </c>
      <c r="M5" s="156">
        <f>K5/17</f>
        <v/>
      </c>
      <c r="N5" s="156" t="n">
        <v>0</v>
      </c>
      <c r="O5" s="156" t="n">
        <v>24</v>
      </c>
      <c r="P5" s="281">
        <f>IF(K5=0,0,K5/O5)</f>
        <v/>
      </c>
      <c r="Q5" s="156" t="n">
        <v>18</v>
      </c>
      <c r="R5" s="156" t="n">
        <v>7</v>
      </c>
      <c r="S5" s="156" t="n">
        <v>4</v>
      </c>
      <c r="T5" s="156" t="n">
        <v>0</v>
      </c>
      <c r="U5" s="156" t="n">
        <v>0</v>
      </c>
      <c r="V5" s="156" t="n">
        <v>0</v>
      </c>
      <c r="W5" s="156" t="n">
        <v>0</v>
      </c>
      <c r="X5" s="204">
        <f>INDEX(Matrix!$AA$2:$AA$33, MATCH(G5, Matrix!$AC$2:$AC$33, 0))</f>
        <v/>
      </c>
      <c r="Y5" s="156">
        <f>_xlfn.IFNA(MATCH(E4,'Injury Report'!$C$2:$C$6216,0),0)</f>
        <v/>
      </c>
    </row>
    <row r="6" ht="15.6" customHeight="1" s="152">
      <c r="A6" s="212" t="n">
        <v>4</v>
      </c>
      <c r="B6" s="167">
        <f>F6&amp;G6</f>
        <v/>
      </c>
      <c r="C6" s="156">
        <f>(K6/MAX(K:K)*$K$1)+(O6/MAX(O:O)*$O$1)+(M6/MAX(M:M)*$M$1)+(N6/MAX(N:N)*$N$1)+(V6/MAX(V:V)*$V$1)+(P6/MAX(P:P)*$P$1)</f>
        <v/>
      </c>
      <c r="E6" s="156">
        <f>IFERROR(VLOOKUP(F6,AllPlayers!F:F,1,0),"------------")</f>
        <v/>
      </c>
      <c r="F6" s="156" t="inlineStr">
        <is>
          <t>Puka Nacua</t>
        </is>
      </c>
      <c r="G6" s="167" t="inlineStr">
        <is>
          <t>LAR</t>
        </is>
      </c>
      <c r="H6" s="156" t="inlineStr">
        <is>
          <t>WR</t>
        </is>
      </c>
      <c r="I6" s="156" t="n">
        <v>2</v>
      </c>
      <c r="J6" s="156" t="n">
        <v>18</v>
      </c>
      <c r="K6" s="156" t="n">
        <v>221</v>
      </c>
      <c r="L6" s="156">
        <f>IF(J6=0,0,K6/J6)</f>
        <v/>
      </c>
      <c r="M6" s="156">
        <f>K6/17</f>
        <v/>
      </c>
      <c r="N6" s="156" t="n">
        <v>0</v>
      </c>
      <c r="O6" s="156" t="n">
        <v>20</v>
      </c>
      <c r="P6" s="281">
        <f>IF(K6=0,0,K6/O6)</f>
        <v/>
      </c>
      <c r="Q6" s="156" t="n">
        <v>12</v>
      </c>
      <c r="R6" s="156" t="n">
        <v>0</v>
      </c>
      <c r="S6" s="156" t="n">
        <v>3</v>
      </c>
      <c r="T6" s="156" t="n">
        <v>2</v>
      </c>
      <c r="U6" s="156" t="n">
        <v>0</v>
      </c>
      <c r="V6" s="156" t="n">
        <v>0</v>
      </c>
      <c r="W6" s="156" t="n">
        <v>0</v>
      </c>
      <c r="X6" s="204">
        <f>INDEX(Matrix!$AA$2:$AA$33, MATCH(G6, Matrix!$AC$2:$AC$33, 0))</f>
        <v/>
      </c>
      <c r="Y6" s="156">
        <f>_xlfn.IFNA(MATCH(E5,'Injury Report'!$C$2:$C$6216,0),0)</f>
        <v/>
      </c>
    </row>
    <row r="7" ht="15.6" customHeight="1" s="152">
      <c r="A7" s="212" t="n">
        <v>5</v>
      </c>
      <c r="B7" s="167">
        <f>F7&amp;G7</f>
        <v/>
      </c>
      <c r="C7" s="156">
        <f>(K7/MAX(K:K)*$K$1)+(O7/MAX(O:O)*$O$1)+(M7/MAX(M:M)*$M$1)+(N7/MAX(N:N)*$N$1)+(V7/MAX(V:V)*$V$1)+(P7/MAX(P:P)*$P$1)</f>
        <v/>
      </c>
      <c r="E7" s="156">
        <f>IFERROR(VLOOKUP(F7,AllPlayers!F:F,1,0),"------------")</f>
        <v/>
      </c>
      <c r="F7" s="156" t="inlineStr">
        <is>
          <t>Malik Nabers</t>
        </is>
      </c>
      <c r="G7" s="167" t="inlineStr">
        <is>
          <t>NYG</t>
        </is>
      </c>
      <c r="H7" s="156" t="inlineStr">
        <is>
          <t>WR</t>
        </is>
      </c>
      <c r="I7" s="156" t="n">
        <v>2</v>
      </c>
      <c r="J7" s="156" t="n">
        <v>14</v>
      </c>
      <c r="K7" s="156" t="n">
        <v>238</v>
      </c>
      <c r="L7" s="156">
        <f>IF(J7=0,0,K7/J7)</f>
        <v/>
      </c>
      <c r="M7" s="156">
        <f>K7/17</f>
        <v/>
      </c>
      <c r="N7" s="156" t="n">
        <v>2</v>
      </c>
      <c r="O7" s="156" t="n">
        <v>25</v>
      </c>
      <c r="P7" s="281">
        <f>IF(K7=0,0,K7/O7)</f>
        <v/>
      </c>
      <c r="Q7" s="156" t="n">
        <v>14</v>
      </c>
      <c r="R7" s="156" t="n">
        <v>1</v>
      </c>
      <c r="S7" s="156" t="n">
        <v>4</v>
      </c>
      <c r="T7" s="156" t="n">
        <v>2</v>
      </c>
      <c r="U7" s="156" t="n">
        <v>0</v>
      </c>
      <c r="V7" s="156" t="n">
        <v>0</v>
      </c>
      <c r="W7" s="156" t="n">
        <v>0</v>
      </c>
      <c r="X7" s="204">
        <f>INDEX(Matrix!$AA$2:$AA$33, MATCH(G7, Matrix!$AC$2:$AC$33, 0))</f>
        <v/>
      </c>
      <c r="Y7" s="156">
        <f>_xlfn.IFNA(MATCH(E6,'Injury Report'!$C$2:$C$6216,0),0)</f>
        <v/>
      </c>
    </row>
    <row r="8" ht="15.6" customHeight="1" s="152">
      <c r="A8" s="212" t="n">
        <v>6</v>
      </c>
      <c r="B8" s="167">
        <f>F8&amp;G8</f>
        <v/>
      </c>
      <c r="C8" s="156">
        <f>(K8/MAX(K:K)*$K$1)+(O8/MAX(O:O)*$O$1)+(M8/MAX(M:M)*$M$1)+(N8/MAX(N:N)*$N$1)+(V8/MAX(V:V)*$V$1)+(P8/MAX(P:P)*$P$1)</f>
        <v/>
      </c>
      <c r="E8" s="156">
        <f>IFERROR(VLOOKUP(F8,AllPlayers!F:F,1,0),"------------")</f>
        <v/>
      </c>
      <c r="F8" s="156" t="inlineStr">
        <is>
          <t>Nico Collins</t>
        </is>
      </c>
      <c r="G8" s="167" t="inlineStr">
        <is>
          <t>HOU</t>
        </is>
      </c>
      <c r="H8" s="156" t="inlineStr">
        <is>
          <t>WR</t>
        </is>
      </c>
      <c r="I8" s="156" t="n">
        <v>2</v>
      </c>
      <c r="J8" s="156" t="n">
        <v>6</v>
      </c>
      <c r="K8" s="156" t="n">
        <v>77</v>
      </c>
      <c r="L8" s="156">
        <f>IF(J8=0,0,K8/J8)</f>
        <v/>
      </c>
      <c r="M8" s="156">
        <f>K8/17</f>
        <v/>
      </c>
      <c r="N8" s="156" t="n">
        <v>1</v>
      </c>
      <c r="O8" s="156" t="n">
        <v>14</v>
      </c>
      <c r="P8" s="281">
        <f>IF(K8=0,0,K8/O8)</f>
        <v/>
      </c>
      <c r="Q8" s="156" t="n">
        <v>13</v>
      </c>
      <c r="R8" s="156" t="n">
        <v>3</v>
      </c>
      <c r="S8" s="156" t="n">
        <v>3</v>
      </c>
      <c r="T8" s="156" t="n">
        <v>1</v>
      </c>
      <c r="U8" s="156" t="n">
        <v>1</v>
      </c>
      <c r="V8" s="156" t="n">
        <v>0</v>
      </c>
      <c r="W8" s="156" t="n">
        <v>0</v>
      </c>
      <c r="X8" s="204">
        <f>INDEX(Matrix!$AA$2:$AA$33, MATCH(G8, Matrix!$AC$2:$AC$33, 0))</f>
        <v/>
      </c>
      <c r="Y8" s="156">
        <f>_xlfn.IFNA(MATCH(E7,'Injury Report'!$C$2:$C$6216,0),0)</f>
        <v/>
      </c>
    </row>
    <row r="9" ht="15.6" customHeight="1" s="152">
      <c r="A9" s="212" t="n">
        <v>7</v>
      </c>
      <c r="B9" s="167">
        <f>F9&amp;G9</f>
        <v/>
      </c>
      <c r="C9" s="156">
        <f>(K9/MAX(K:K)*$K$1)+(O9/MAX(O:O)*$O$1)+(M9/MAX(M:M)*$M$1)+(N9/MAX(N:N)*$N$1)+(V9/MAX(V:V)*$V$1)+(P9/MAX(P:P)*$P$1)</f>
        <v/>
      </c>
      <c r="E9" s="156">
        <f>IFERROR(VLOOKUP(F9,AllPlayers!F:F,1,0),"------------")</f>
        <v/>
      </c>
      <c r="F9" s="156" t="inlineStr">
        <is>
          <t>Brian Thomas</t>
        </is>
      </c>
      <c r="G9" s="167" t="inlineStr">
        <is>
          <t>JAX</t>
        </is>
      </c>
      <c r="H9" s="156" t="inlineStr">
        <is>
          <t>WR</t>
        </is>
      </c>
      <c r="I9" s="156" t="n">
        <v>2</v>
      </c>
      <c r="J9" s="156" t="n">
        <v>5</v>
      </c>
      <c r="K9" s="156" t="n">
        <v>60</v>
      </c>
      <c r="L9" s="156">
        <f>IF(J9=0,0,K9/J9)</f>
        <v/>
      </c>
      <c r="M9" s="156">
        <f>K9/17</f>
        <v/>
      </c>
      <c r="N9" s="156" t="n">
        <v>0</v>
      </c>
      <c r="O9" s="156" t="n">
        <v>19</v>
      </c>
      <c r="P9" s="281">
        <f>IF(K9=0,0,K9/O9)</f>
        <v/>
      </c>
      <c r="Q9" s="156" t="n">
        <v>16</v>
      </c>
      <c r="R9" s="156" t="n">
        <v>2</v>
      </c>
      <c r="S9" s="156" t="n">
        <v>3</v>
      </c>
      <c r="T9" s="156" t="n">
        <v>1</v>
      </c>
      <c r="U9" s="156" t="n">
        <v>0</v>
      </c>
      <c r="V9" s="156" t="n">
        <v>0</v>
      </c>
      <c r="W9" s="156" t="n">
        <v>0</v>
      </c>
      <c r="X9" s="204">
        <f>INDEX(Matrix!$AA$2:$AA$33, MATCH(G9, Matrix!$AC$2:$AC$33, 0))</f>
        <v/>
      </c>
      <c r="Y9" s="156">
        <f>_xlfn.IFNA(MATCH(E8,'Injury Report'!$C$2:$C$6216,0),0)</f>
        <v/>
      </c>
    </row>
    <row r="10" ht="15.6" customHeight="1" s="152">
      <c r="A10" s="212" t="n">
        <v>8</v>
      </c>
      <c r="B10" s="167">
        <f>F10&amp;G10</f>
        <v/>
      </c>
      <c r="C10" s="156">
        <f>(K10/MAX(K:K)*$K$1)+(O10/MAX(O:O)*$O$1)+(M10/MAX(M:M)*$M$1)+(N10/MAX(N:N)*$N$1)+(V10/MAX(V:V)*$V$1)+(P10/MAX(P:P)*$P$1)</f>
        <v/>
      </c>
      <c r="E10" s="156">
        <f>IFERROR(VLOOKUP(F10,AllPlayers!F:F,1,0),"------------")</f>
        <v/>
      </c>
      <c r="F10" s="156" t="inlineStr">
        <is>
          <t>Amon-ra St. Brown</t>
        </is>
      </c>
      <c r="G10" s="167" t="inlineStr">
        <is>
          <t>DET</t>
        </is>
      </c>
      <c r="H10" s="156" t="inlineStr">
        <is>
          <t>WR</t>
        </is>
      </c>
      <c r="I10" s="156" t="n">
        <v>2</v>
      </c>
      <c r="J10" s="156" t="n">
        <v>13</v>
      </c>
      <c r="K10" s="156" t="n">
        <v>160</v>
      </c>
      <c r="L10" s="156">
        <f>IF(J10=0,0,K10/J10)</f>
        <v/>
      </c>
      <c r="M10" s="156">
        <f>K10/17</f>
        <v/>
      </c>
      <c r="N10" s="156" t="n">
        <v>3</v>
      </c>
      <c r="O10" s="156" t="n">
        <v>17</v>
      </c>
      <c r="P10" s="281">
        <f>IF(K10=0,0,K10/O10)</f>
        <v/>
      </c>
      <c r="Q10" s="156" t="n">
        <v>16</v>
      </c>
      <c r="R10" s="156" t="n">
        <v>4</v>
      </c>
      <c r="S10" s="156" t="n">
        <v>3</v>
      </c>
      <c r="T10" s="156" t="n">
        <v>0</v>
      </c>
      <c r="U10" s="156" t="n">
        <v>0</v>
      </c>
      <c r="V10" s="156" t="n">
        <v>0</v>
      </c>
      <c r="W10" s="156" t="n">
        <v>0</v>
      </c>
      <c r="X10" s="204">
        <f>INDEX(Matrix!$AA$2:$AA$33, MATCH(G10, Matrix!$AC$2:$AC$33, 0))</f>
        <v/>
      </c>
      <c r="Y10" s="156">
        <f>_xlfn.IFNA(MATCH(E9,'Injury Report'!$C$2:$C$6216,0),0)</f>
        <v/>
      </c>
    </row>
    <row r="11" ht="15.6" customHeight="1" s="152">
      <c r="A11" s="212" t="n">
        <v>9</v>
      </c>
      <c r="B11" s="167">
        <f>F11&amp;G11</f>
        <v/>
      </c>
      <c r="C11" s="156">
        <f>(K11/MAX(K:K)*$K$1)+(O11/MAX(O:O)*$O$1)+(M11/MAX(M:M)*$M$1)+(N11/MAX(N:N)*$N$1)+(V11/MAX(V:V)*$V$1)+(P11/MAX(P:P)*$P$1)</f>
        <v/>
      </c>
      <c r="E11" s="156">
        <f>IFERROR(VLOOKUP(F11,AllPlayers!F:F,1,0),"------------")</f>
        <v/>
      </c>
      <c r="F11" s="156" t="inlineStr">
        <is>
          <t>A.J. Brown</t>
        </is>
      </c>
      <c r="G11" s="167" t="inlineStr">
        <is>
          <t>PHI</t>
        </is>
      </c>
      <c r="H11" s="156" t="inlineStr">
        <is>
          <t>WR</t>
        </is>
      </c>
      <c r="I11" s="156" t="n">
        <v>2</v>
      </c>
      <c r="J11" s="156" t="n">
        <v>6</v>
      </c>
      <c r="K11" s="156" t="n">
        <v>35</v>
      </c>
      <c r="L11" s="156">
        <f>IF(J11=0,0,K11/J11)</f>
        <v/>
      </c>
      <c r="M11" s="156">
        <f>K11/17</f>
        <v/>
      </c>
      <c r="N11" s="156" t="n">
        <v>0</v>
      </c>
      <c r="O11" s="156" t="n">
        <v>9</v>
      </c>
      <c r="P11" s="281">
        <f>IF(K11=0,0,K11/O11)</f>
        <v/>
      </c>
      <c r="Q11" s="156" t="n">
        <v>15</v>
      </c>
      <c r="R11" s="156" t="n">
        <v>1</v>
      </c>
      <c r="S11" s="156" t="n">
        <v>2</v>
      </c>
      <c r="T11" s="156" t="n">
        <v>0</v>
      </c>
      <c r="U11" s="156" t="n">
        <v>0</v>
      </c>
      <c r="V11" s="156" t="n">
        <v>0</v>
      </c>
      <c r="W11" s="156" t="n">
        <v>0</v>
      </c>
      <c r="X11" s="204">
        <f>INDEX(Matrix!$AA$2:$AA$33, MATCH(G11, Matrix!$AC$2:$AC$33, 0))</f>
        <v/>
      </c>
      <c r="Y11" s="156">
        <f>_xlfn.IFNA(MATCH(E10,'Injury Report'!$C$2:$C$6216,0),0)</f>
        <v/>
      </c>
    </row>
    <row r="12" ht="15.6" customHeight="1" s="152">
      <c r="A12" s="212" t="n">
        <v>10</v>
      </c>
      <c r="B12" s="167">
        <f>F12&amp;G12</f>
        <v/>
      </c>
      <c r="C12" s="156">
        <f>(K12/MAX(K:K)*$K$1)+(O12/MAX(O:O)*$O$1)+(M12/MAX(M:M)*$M$1)+(N12/MAX(N:N)*$N$1)+(V12/MAX(V:V)*$V$1)+(P12/MAX(P:P)*$P$1)</f>
        <v/>
      </c>
      <c r="E12" s="156">
        <f>IFERROR(VLOOKUP(F12,AllPlayers!F:F,1,0),"------------")</f>
        <v/>
      </c>
      <c r="F12" s="156" t="inlineStr">
        <is>
          <t>Drake London</t>
        </is>
      </c>
      <c r="G12" s="167" t="inlineStr">
        <is>
          <t>ATL</t>
        </is>
      </c>
      <c r="H12" s="156" t="inlineStr">
        <is>
          <t>WR</t>
        </is>
      </c>
      <c r="I12" s="156" t="n">
        <v>2</v>
      </c>
      <c r="J12" s="156" t="n">
        <v>11</v>
      </c>
      <c r="K12" s="156" t="n">
        <v>104</v>
      </c>
      <c r="L12" s="156">
        <f>IF(J12=0,0,K12/J12)</f>
        <v/>
      </c>
      <c r="M12" s="156">
        <f>K12/17</f>
        <v/>
      </c>
      <c r="N12" s="156" t="n">
        <v>0</v>
      </c>
      <c r="O12" s="156" t="n">
        <v>19</v>
      </c>
      <c r="P12" s="281">
        <f>IF(K12=0,0,K12/O12)</f>
        <v/>
      </c>
      <c r="Q12" s="156" t="n">
        <v>15</v>
      </c>
      <c r="R12" s="156" t="n">
        <v>4</v>
      </c>
      <c r="S12" s="156" t="n">
        <v>3</v>
      </c>
      <c r="T12" s="156" t="n">
        <v>0</v>
      </c>
      <c r="U12" s="156" t="n">
        <v>0</v>
      </c>
      <c r="V12" s="156" t="n">
        <v>1</v>
      </c>
      <c r="W12" s="156" t="n">
        <v>1</v>
      </c>
      <c r="X12" s="204">
        <f>INDEX(Matrix!$AA$2:$AA$33, MATCH(G12, Matrix!$AC$2:$AC$33, 0))</f>
        <v/>
      </c>
      <c r="Y12" s="156">
        <f>_xlfn.IFNA(MATCH(E11,'Injury Report'!$C$2:$C$6216,0),0)</f>
        <v/>
      </c>
    </row>
    <row r="13" ht="15.6" customHeight="1" s="152">
      <c r="A13" s="212" t="n">
        <v>11</v>
      </c>
      <c r="B13" s="167">
        <f>F13&amp;G13</f>
        <v/>
      </c>
      <c r="C13" s="156">
        <f>(K13/MAX(K:K)*$K$1)+(O13/MAX(O:O)*$O$1)+(M13/MAX(M:M)*$M$1)+(N13/MAX(N:N)*$N$1)+(V13/MAX(V:V)*$V$1)+(P13/MAX(P:P)*$P$1)</f>
        <v/>
      </c>
      <c r="E13" s="156">
        <f>IFERROR(VLOOKUP(F13,AllPlayers!F:F,1,0),"------------")</f>
        <v/>
      </c>
      <c r="F13" s="156" t="inlineStr">
        <is>
          <t>Tyreek Hill</t>
        </is>
      </c>
      <c r="G13" s="167" t="inlineStr">
        <is>
          <t>MIA</t>
        </is>
      </c>
      <c r="H13" s="156" t="inlineStr">
        <is>
          <t>WR</t>
        </is>
      </c>
      <c r="I13" s="156" t="n">
        <v>2</v>
      </c>
      <c r="J13" s="156" t="n">
        <v>10</v>
      </c>
      <c r="K13" s="156" t="n">
        <v>149</v>
      </c>
      <c r="L13" s="156">
        <f>IF(J13=0,0,K13/J13)</f>
        <v/>
      </c>
      <c r="M13" s="156">
        <f>K13/17</f>
        <v/>
      </c>
      <c r="N13" s="156" t="n">
        <v>0</v>
      </c>
      <c r="O13" s="156" t="n">
        <v>13</v>
      </c>
      <c r="P13" s="281">
        <f>IF(K13=0,0,K13/O13)</f>
        <v/>
      </c>
      <c r="Q13" s="156" t="n">
        <v>10</v>
      </c>
      <c r="R13" s="156" t="n">
        <v>0</v>
      </c>
      <c r="S13" s="156" t="n">
        <v>3</v>
      </c>
      <c r="T13" s="156" t="n">
        <v>0</v>
      </c>
      <c r="U13" s="156" t="n">
        <v>0</v>
      </c>
      <c r="V13" s="156" t="n">
        <v>0</v>
      </c>
      <c r="W13" s="156" t="n">
        <v>0</v>
      </c>
      <c r="X13" s="204">
        <f>INDEX(Matrix!$AA$2:$AA$33, MATCH(G13, Matrix!$AC$2:$AC$33, 0))</f>
        <v/>
      </c>
      <c r="Y13" s="156">
        <f>_xlfn.IFNA(MATCH(E12,'Injury Report'!$C$2:$C$6216,0),0)</f>
        <v/>
      </c>
    </row>
    <row r="14" ht="15.6" customHeight="1" s="152">
      <c r="A14" s="212" t="n">
        <v>12</v>
      </c>
      <c r="B14" s="167">
        <f>F14&amp;G14</f>
        <v/>
      </c>
      <c r="C14" s="156">
        <f>(K14/MAX(K:K)*$K$1)+(O14/MAX(O:O)*$O$1)+(M14/MAX(M:M)*$M$1)+(N14/MAX(N:N)*$N$1)+(V14/MAX(V:V)*$V$1)+(P14/MAX(P:P)*$P$1)</f>
        <v/>
      </c>
      <c r="E14" s="156">
        <f>IFERROR(VLOOKUP(F14,AllPlayers!F:F,1,0),"------------")</f>
        <v/>
      </c>
      <c r="F14" s="156" t="inlineStr">
        <is>
          <t>Mike Evans</t>
        </is>
      </c>
      <c r="G14" s="167" t="inlineStr">
        <is>
          <t>TB</t>
        </is>
      </c>
      <c r="H14" s="156" t="inlineStr">
        <is>
          <t>WR</t>
        </is>
      </c>
      <c r="I14" s="156" t="n">
        <v>2</v>
      </c>
      <c r="J14" s="156" t="n">
        <v>10</v>
      </c>
      <c r="K14" s="156" t="n">
        <v>107</v>
      </c>
      <c r="L14" s="156">
        <f>IF(J14=0,0,K14/J14)</f>
        <v/>
      </c>
      <c r="M14" s="156">
        <f>K14/17</f>
        <v/>
      </c>
      <c r="N14" s="156" t="n">
        <v>0</v>
      </c>
      <c r="O14" s="156" t="n">
        <v>19</v>
      </c>
      <c r="P14" s="281">
        <f>IF(K14=0,0,K14/O14)</f>
        <v/>
      </c>
      <c r="Q14" s="156" t="n">
        <v>14</v>
      </c>
      <c r="R14" s="156" t="n">
        <v>2</v>
      </c>
      <c r="S14" s="156" t="n">
        <v>3</v>
      </c>
      <c r="T14" s="156" t="n">
        <v>1</v>
      </c>
      <c r="U14" s="156" t="n">
        <v>0</v>
      </c>
      <c r="V14" s="156" t="n">
        <v>0</v>
      </c>
      <c r="W14" s="156" t="n">
        <v>0</v>
      </c>
      <c r="X14" s="204">
        <f>INDEX(Matrix!$AA$2:$AA$33, MATCH(G14, Matrix!$AC$2:$AC$33, 0))</f>
        <v/>
      </c>
      <c r="Y14" s="156">
        <f>_xlfn.IFNA(MATCH(E13,'Injury Report'!$C$2:$C$6216,0),0)</f>
        <v/>
      </c>
    </row>
    <row r="15" ht="15.6" customHeight="1" s="152">
      <c r="A15" s="212" t="n">
        <v>13</v>
      </c>
      <c r="B15" s="167">
        <f>F15&amp;G15</f>
        <v/>
      </c>
      <c r="C15" s="156">
        <f>(K15/MAX(K:K)*$K$1)+(O15/MAX(O:O)*$O$1)+(M15/MAX(M:M)*$M$1)+(N15/MAX(N:N)*$N$1)+(V15/MAX(V:V)*$V$1)+(P15/MAX(P:P)*$P$1)</f>
        <v/>
      </c>
      <c r="E15" s="156">
        <f>IFERROR(VLOOKUP(F15,AllPlayers!F:F,1,0),"------------")</f>
        <v/>
      </c>
      <c r="F15" s="156" t="inlineStr">
        <is>
          <t>Ladd Mcconkey</t>
        </is>
      </c>
      <c r="G15" s="167" t="inlineStr">
        <is>
          <t>LAC</t>
        </is>
      </c>
      <c r="H15" s="156" t="inlineStr">
        <is>
          <t>WR</t>
        </is>
      </c>
      <c r="I15" s="156" t="n">
        <v>2</v>
      </c>
      <c r="J15" s="156" t="n">
        <v>11</v>
      </c>
      <c r="K15" s="156" t="n">
        <v>122</v>
      </c>
      <c r="L15" s="156">
        <f>IF(J15=0,0,K15/J15)</f>
        <v/>
      </c>
      <c r="M15" s="156">
        <f>K15/17</f>
        <v/>
      </c>
      <c r="N15" s="156" t="n">
        <v>0</v>
      </c>
      <c r="O15" s="156" t="n">
        <v>14</v>
      </c>
      <c r="P15" s="281">
        <f>IF(K15=0,0,K15/O15)</f>
        <v/>
      </c>
      <c r="Q15" s="156" t="n">
        <v>21</v>
      </c>
      <c r="R15" s="156" t="n">
        <v>2</v>
      </c>
      <c r="S15" s="156" t="n">
        <v>4</v>
      </c>
      <c r="T15" s="156" t="n">
        <v>1</v>
      </c>
      <c r="U15" s="156" t="n">
        <v>0</v>
      </c>
      <c r="V15" s="156" t="n">
        <v>0</v>
      </c>
      <c r="W15" s="156" t="n">
        <v>0</v>
      </c>
      <c r="X15" s="204">
        <f>INDEX(Matrix!$AA$2:$AA$33, MATCH(G15, Matrix!$AC$2:$AC$33, 0))</f>
        <v/>
      </c>
      <c r="Y15" s="156">
        <f>_xlfn.IFNA(MATCH(E14,'Injury Report'!$C$2:$C$6216,0),0)</f>
        <v/>
      </c>
    </row>
    <row r="16" ht="15.6" customHeight="1" s="152">
      <c r="A16" s="212" t="n">
        <v>14</v>
      </c>
      <c r="B16" s="167">
        <f>F16&amp;G16</f>
        <v/>
      </c>
      <c r="C16" s="156">
        <f>(K16/MAX(K:K)*$K$1)+(O16/MAX(O:O)*$O$1)+(M16/MAX(M:M)*$M$1)+(N16/MAX(N:N)*$N$1)+(V16/MAX(V:V)*$V$1)+(P16/MAX(P:P)*$P$1)</f>
        <v/>
      </c>
      <c r="E16" s="156">
        <f>IFERROR(VLOOKUP(F16,AllPlayers!F:F,1,0),"------------")</f>
        <v/>
      </c>
      <c r="F16" s="156" t="inlineStr">
        <is>
          <t>Tee Higgins</t>
        </is>
      </c>
      <c r="G16" s="167" t="inlineStr">
        <is>
          <t>CIN</t>
        </is>
      </c>
      <c r="H16" s="156" t="inlineStr">
        <is>
          <t>WR</t>
        </is>
      </c>
      <c r="I16" s="156" t="n">
        <v>2</v>
      </c>
      <c r="J16" s="156" t="n">
        <v>6</v>
      </c>
      <c r="K16" s="156" t="n">
        <v>89</v>
      </c>
      <c r="L16" s="156">
        <f>IF(J16=0,0,K16/J16)</f>
        <v/>
      </c>
      <c r="M16" s="156">
        <f>K16/17</f>
        <v/>
      </c>
      <c r="N16" s="156" t="n">
        <v>1</v>
      </c>
      <c r="O16" s="156" t="n">
        <v>12</v>
      </c>
      <c r="P16" s="281">
        <f>IF(K16=0,0,K16/O16)</f>
        <v/>
      </c>
      <c r="Q16" s="156" t="n">
        <v>16</v>
      </c>
      <c r="R16" s="156" t="n">
        <v>1</v>
      </c>
      <c r="S16" s="156" t="n">
        <v>4</v>
      </c>
      <c r="T16" s="156" t="n">
        <v>0</v>
      </c>
      <c r="U16" s="156" t="n">
        <v>0</v>
      </c>
      <c r="V16" s="156" t="n">
        <v>0</v>
      </c>
      <c r="W16" s="156" t="n">
        <v>0</v>
      </c>
      <c r="X16" s="204">
        <f>INDEX(Matrix!$AA$2:$AA$33, MATCH(G16, Matrix!$AC$2:$AC$33, 0))</f>
        <v/>
      </c>
      <c r="Y16" s="156">
        <f>_xlfn.IFNA(MATCH(E15,'Injury Report'!$C$2:$C$6216,0),0)</f>
        <v/>
      </c>
    </row>
    <row r="17" ht="15.6" customHeight="1" s="152">
      <c r="A17" s="212" t="n">
        <v>15</v>
      </c>
      <c r="B17" s="167">
        <f>F17&amp;G17</f>
        <v/>
      </c>
      <c r="C17" s="156">
        <f>(K17/MAX(K:K)*$K$1)+(O17/MAX(O:O)*$O$1)+(M17/MAX(M:M)*$M$1)+(N17/MAX(N:N)*$N$1)+(V17/MAX(V:V)*$V$1)+(P17/MAX(P:P)*$P$1)</f>
        <v/>
      </c>
      <c r="E17" s="156">
        <f>IFERROR(VLOOKUP(F17,AllPlayers!F:F,1,0),"------------")</f>
        <v/>
      </c>
      <c r="F17" s="156" t="inlineStr">
        <is>
          <t>Davante Adams</t>
        </is>
      </c>
      <c r="G17" s="167" t="inlineStr">
        <is>
          <t>LAR</t>
        </is>
      </c>
      <c r="H17" s="156" t="inlineStr">
        <is>
          <t>WR</t>
        </is>
      </c>
      <c r="I17" s="156" t="n">
        <v>2</v>
      </c>
      <c r="J17" s="156" t="n">
        <v>10</v>
      </c>
      <c r="K17" s="156" t="n">
        <v>157</v>
      </c>
      <c r="L17" s="156">
        <f>IF(J17=0,0,K17/J17)</f>
        <v/>
      </c>
      <c r="M17" s="156">
        <f>K17/17</f>
        <v/>
      </c>
      <c r="N17" s="156" t="n">
        <v>1</v>
      </c>
      <c r="O17" s="156" t="n">
        <v>21</v>
      </c>
      <c r="P17" s="281">
        <f>IF(K17=0,0,K17/O17)</f>
        <v/>
      </c>
      <c r="Q17" s="156" t="n">
        <v>12</v>
      </c>
      <c r="R17" s="156" t="n">
        <v>5</v>
      </c>
      <c r="S17" s="156" t="n">
        <v>5</v>
      </c>
      <c r="T17" s="156" t="n">
        <v>0</v>
      </c>
      <c r="U17" s="156" t="n">
        <v>0</v>
      </c>
      <c r="V17" s="156" t="n">
        <v>0</v>
      </c>
      <c r="W17" s="156" t="n">
        <v>0</v>
      </c>
      <c r="X17" s="204">
        <f>INDEX(Matrix!$AA$2:$AA$33, MATCH(G17, Matrix!$AC$2:$AC$33, 0))</f>
        <v/>
      </c>
      <c r="Y17" s="156">
        <f>_xlfn.IFNA(MATCH(E16,'Injury Report'!$C$2:$C$6216,0),0)</f>
        <v/>
      </c>
    </row>
    <row r="18" ht="15.6" customHeight="1" s="152">
      <c r="A18" s="212" t="n">
        <v>16</v>
      </c>
      <c r="B18" s="167">
        <f>F18&amp;G18</f>
        <v/>
      </c>
      <c r="C18" s="156">
        <f>(K18/MAX(K:K)*$K$1)+(O18/MAX(O:O)*$O$1)+(M18/MAX(M:M)*$M$1)+(N18/MAX(N:N)*$N$1)+(V18/MAX(V:V)*$V$1)+(P18/MAX(P:P)*$P$1)</f>
        <v/>
      </c>
      <c r="E18" s="156">
        <f>IFERROR(VLOOKUP(F18,AllPlayers!F:F,1,0),"------------")</f>
        <v/>
      </c>
      <c r="F18" s="156" t="inlineStr">
        <is>
          <t>D.K. Metcalf</t>
        </is>
      </c>
      <c r="G18" s="167" t="inlineStr">
        <is>
          <t>PIT</t>
        </is>
      </c>
      <c r="H18" s="156" t="inlineStr">
        <is>
          <t>WR</t>
        </is>
      </c>
      <c r="I18" s="156" t="n">
        <v>2</v>
      </c>
      <c r="J18" s="156" t="n">
        <v>7</v>
      </c>
      <c r="K18" s="156" t="n">
        <v>103</v>
      </c>
      <c r="L18" s="156">
        <f>IF(J18=0,0,K18/J18)</f>
        <v/>
      </c>
      <c r="M18" s="156">
        <f>K18/17</f>
        <v/>
      </c>
      <c r="N18" s="156" t="n">
        <v>1</v>
      </c>
      <c r="O18" s="156" t="n">
        <v>13</v>
      </c>
      <c r="P18" s="281">
        <f>IF(K18=0,0,K18/O18)</f>
        <v/>
      </c>
      <c r="Q18" s="156" t="n">
        <v>17</v>
      </c>
      <c r="R18" s="156" t="n">
        <v>1</v>
      </c>
      <c r="S18" s="156" t="n">
        <v>3</v>
      </c>
      <c r="T18" s="156" t="n">
        <v>0</v>
      </c>
      <c r="U18" s="156" t="n">
        <v>0</v>
      </c>
      <c r="V18" s="156" t="n">
        <v>0</v>
      </c>
      <c r="W18" s="156" t="n">
        <v>0</v>
      </c>
      <c r="X18" s="204">
        <f>INDEX(Matrix!$AA$2:$AA$33, MATCH(G18, Matrix!$AC$2:$AC$33, 0))</f>
        <v/>
      </c>
      <c r="Y18" s="156">
        <f>_xlfn.IFNA(MATCH(E17,'Injury Report'!$C$2:$C$6216,0),0)</f>
        <v/>
      </c>
    </row>
    <row r="19" ht="15.6" customHeight="1" s="152">
      <c r="A19" s="212" t="n">
        <v>17</v>
      </c>
      <c r="B19" s="167">
        <f>F19&amp;G19</f>
        <v/>
      </c>
      <c r="C19" s="156">
        <f>(K19/MAX(K:K)*$K$1)+(O19/MAX(O:O)*$O$1)+(M19/MAX(M:M)*$M$1)+(N19/MAX(N:N)*$N$1)+(V19/MAX(V:V)*$V$1)+(P19/MAX(P:P)*$P$1)</f>
        <v/>
      </c>
      <c r="E19" s="156">
        <f>IFERROR(VLOOKUP(F19,AllPlayers!F:F,1,0),"------------")</f>
        <v/>
      </c>
      <c r="F19" s="156" t="inlineStr">
        <is>
          <t>Terry Mclaurin</t>
        </is>
      </c>
      <c r="G19" s="167" t="inlineStr">
        <is>
          <t>WAS</t>
        </is>
      </c>
      <c r="H19" s="156" t="inlineStr">
        <is>
          <t>WR</t>
        </is>
      </c>
      <c r="I19" s="156" t="n">
        <v>2</v>
      </c>
      <c r="J19" s="156" t="n">
        <v>7</v>
      </c>
      <c r="K19" s="156" t="n">
        <v>75</v>
      </c>
      <c r="L19" s="156">
        <f>IF(J19=0,0,K19/J19)</f>
        <v/>
      </c>
      <c r="M19" s="156">
        <f>K19/17</f>
        <v/>
      </c>
      <c r="N19" s="156" t="n">
        <v>0</v>
      </c>
      <c r="O19" s="156" t="n">
        <v>13</v>
      </c>
      <c r="P19" s="281">
        <f>IF(K19=0,0,K19/O19)</f>
        <v/>
      </c>
      <c r="Q19" s="156" t="n">
        <v>17</v>
      </c>
      <c r="R19" s="156" t="n">
        <v>5</v>
      </c>
      <c r="S19" s="156" t="n">
        <v>5</v>
      </c>
      <c r="T19" s="156" t="n">
        <v>0</v>
      </c>
      <c r="U19" s="156" t="n">
        <v>0</v>
      </c>
      <c r="V19" s="156" t="n">
        <v>0</v>
      </c>
      <c r="W19" s="156" t="n">
        <v>0</v>
      </c>
      <c r="X19" s="204">
        <f>INDEX(Matrix!$AA$2:$AA$33, MATCH(G19, Matrix!$AC$2:$AC$33, 0))</f>
        <v/>
      </c>
      <c r="Y19" s="156">
        <f>_xlfn.IFNA(MATCH(E18,'Injury Report'!$C$2:$C$6216,0),0)</f>
        <v/>
      </c>
    </row>
    <row r="20" ht="15.6" customHeight="1" s="152">
      <c r="A20" s="212" t="n">
        <v>18</v>
      </c>
      <c r="B20" s="167">
        <f>F20&amp;G20</f>
        <v/>
      </c>
      <c r="C20" s="156">
        <f>(K20/MAX(K:K)*$K$1)+(O20/MAX(O:O)*$O$1)+(M20/MAX(M:M)*$M$1)+(N20/MAX(N:N)*$N$1)+(V20/MAX(V:V)*$V$1)+(P20/MAX(P:P)*$P$1)</f>
        <v/>
      </c>
      <c r="E20" s="156">
        <f>IFERROR(VLOOKUP(F20,AllPlayers!F:F,1,0),"------------")</f>
        <v/>
      </c>
      <c r="F20" s="156" t="inlineStr">
        <is>
          <t>Marvin Harrison</t>
        </is>
      </c>
      <c r="G20" s="167" t="inlineStr">
        <is>
          <t>ARI</t>
        </is>
      </c>
      <c r="H20" s="156" t="inlineStr">
        <is>
          <t>WR</t>
        </is>
      </c>
      <c r="I20" s="156" t="n">
        <v>2</v>
      </c>
      <c r="J20" s="156" t="n">
        <v>7</v>
      </c>
      <c r="K20" s="156" t="n">
        <v>98</v>
      </c>
      <c r="L20" s="156">
        <f>IF(J20=0,0,K20/J20)</f>
        <v/>
      </c>
      <c r="M20" s="156">
        <f>K20/17</f>
        <v/>
      </c>
      <c r="N20" s="156" t="n">
        <v>1</v>
      </c>
      <c r="O20" s="156" t="n">
        <v>11</v>
      </c>
      <c r="P20" s="281">
        <f>IF(K20=0,0,K20/O20)</f>
        <v/>
      </c>
      <c r="Q20" s="156" t="n">
        <v>19</v>
      </c>
      <c r="R20" s="156" t="n">
        <v>4</v>
      </c>
      <c r="S20" s="156" t="n">
        <v>5</v>
      </c>
      <c r="T20" s="156" t="n">
        <v>0</v>
      </c>
      <c r="U20" s="156" t="n">
        <v>0</v>
      </c>
      <c r="V20" s="156" t="n">
        <v>0</v>
      </c>
      <c r="W20" s="156" t="n">
        <v>0</v>
      </c>
      <c r="X20" s="204">
        <f>INDEX(Matrix!$AA$2:$AA$33, MATCH(G20, Matrix!$AC$2:$AC$33, 0))</f>
        <v/>
      </c>
      <c r="Y20" s="156">
        <f>_xlfn.IFNA(MATCH(E19,'Injury Report'!$C$2:$C$6216,0),0)</f>
        <v/>
      </c>
    </row>
    <row r="21" ht="15.6" customHeight="1" s="152">
      <c r="A21" s="212" t="n">
        <v>19</v>
      </c>
      <c r="B21" s="167">
        <f>F21&amp;G21</f>
        <v/>
      </c>
      <c r="C21" s="156">
        <f>(K21/MAX(K:K)*$K$1)+(O21/MAX(O:O)*$O$1)+(M21/MAX(M:M)*$M$1)+(N21/MAX(N:N)*$N$1)+(V21/MAX(V:V)*$V$1)+(P21/MAX(P:P)*$P$1)</f>
        <v/>
      </c>
      <c r="E21" s="156">
        <f>IFERROR(VLOOKUP(F21,AllPlayers!F:F,1,0),"------------")</f>
        <v/>
      </c>
      <c r="F21" s="156" t="inlineStr">
        <is>
          <t>Jaxon Smith-njigba</t>
        </is>
      </c>
      <c r="G21" s="167" t="inlineStr">
        <is>
          <t>SEA</t>
        </is>
      </c>
      <c r="H21" s="156" t="inlineStr">
        <is>
          <t>WR</t>
        </is>
      </c>
      <c r="I21" s="156" t="n">
        <v>2</v>
      </c>
      <c r="J21" s="156" t="n">
        <v>17</v>
      </c>
      <c r="K21" s="156" t="n">
        <v>227</v>
      </c>
      <c r="L21" s="156">
        <f>IF(J21=0,0,K21/J21)</f>
        <v/>
      </c>
      <c r="M21" s="156">
        <f>K21/17</f>
        <v/>
      </c>
      <c r="N21" s="156" t="n">
        <v>0</v>
      </c>
      <c r="O21" s="156" t="n">
        <v>23</v>
      </c>
      <c r="P21" s="281">
        <f>IF(K21=0,0,K21/O21)</f>
        <v/>
      </c>
      <c r="Q21" s="156" t="n">
        <v>16</v>
      </c>
      <c r="R21" s="156" t="n">
        <v>1</v>
      </c>
      <c r="S21" s="156" t="n">
        <v>3</v>
      </c>
      <c r="T21" s="156" t="n">
        <v>0</v>
      </c>
      <c r="U21" s="156" t="n">
        <v>0</v>
      </c>
      <c r="V21" s="156" t="n">
        <v>2</v>
      </c>
      <c r="W21" s="156" t="n">
        <v>1</v>
      </c>
      <c r="X21" s="204">
        <f>INDEX(Matrix!$AA$2:$AA$33, MATCH(G21, Matrix!$AC$2:$AC$33, 0))</f>
        <v/>
      </c>
      <c r="Y21" s="156">
        <f>_xlfn.IFNA(MATCH(E20,'Injury Report'!$C$2:$C$6216,0),0)</f>
        <v/>
      </c>
    </row>
    <row r="22" ht="15.6" customHeight="1" s="152">
      <c r="A22" s="212" t="n">
        <v>20</v>
      </c>
      <c r="B22" s="167">
        <f>F22&amp;G22</f>
        <v/>
      </c>
      <c r="C22" s="156">
        <f>(K22/MAX(K:K)*$K$1)+(O22/MAX(O:O)*$O$1)+(M22/MAX(M:M)*$M$1)+(N22/MAX(N:N)*$N$1)+(V22/MAX(V:V)*$V$1)+(P22/MAX(P:P)*$P$1)</f>
        <v/>
      </c>
      <c r="E22" s="156">
        <f>IFERROR(VLOOKUP(F22,AllPlayers!F:F,1,0),"------------")</f>
        <v/>
      </c>
      <c r="F22" s="156" t="inlineStr">
        <is>
          <t>Xavier Worthy</t>
        </is>
      </c>
      <c r="G22" s="167" t="inlineStr">
        <is>
          <t>KC</t>
        </is>
      </c>
      <c r="H22" s="156" t="inlineStr">
        <is>
          <t>WR</t>
        </is>
      </c>
      <c r="I22" s="156" t="n">
        <v>1</v>
      </c>
      <c r="J22" s="156" t="n">
        <v>0</v>
      </c>
      <c r="K22" s="156" t="n">
        <v>0</v>
      </c>
      <c r="L22" s="156">
        <f>IF(J22=0,0,K22/J22)</f>
        <v/>
      </c>
      <c r="M22" s="156">
        <f>K22/17</f>
        <v/>
      </c>
      <c r="N22" s="156" t="n">
        <v>0</v>
      </c>
      <c r="O22" s="156" t="n">
        <v>1</v>
      </c>
      <c r="P22" s="281">
        <f>IF(K22=0,0,K22/O22)</f>
        <v/>
      </c>
      <c r="Q22" s="156" t="n">
        <v>19</v>
      </c>
      <c r="R22" s="156" t="n">
        <v>4</v>
      </c>
      <c r="S22" s="156" t="n">
        <v>1</v>
      </c>
      <c r="T22" s="156" t="n">
        <v>0</v>
      </c>
      <c r="U22" s="156" t="n">
        <v>0</v>
      </c>
      <c r="V22" s="156" t="n">
        <v>0</v>
      </c>
      <c r="W22" s="156" t="n">
        <v>0</v>
      </c>
      <c r="X22" s="204">
        <f>INDEX(Matrix!$AA$2:$AA$33, MATCH(G22, Matrix!$AC$2:$AC$33, 0))</f>
        <v/>
      </c>
      <c r="Y22" s="156">
        <f>_xlfn.IFNA(MATCH(E21,'Injury Report'!$C$2:$C$6216,0),0)</f>
        <v/>
      </c>
    </row>
    <row r="23" ht="15.6" customHeight="1" s="152">
      <c r="A23" s="212" t="n">
        <v>21</v>
      </c>
      <c r="B23" s="167">
        <f>F23&amp;G23</f>
        <v/>
      </c>
      <c r="C23" s="156">
        <f>(K23/MAX(K:K)*$K$1)+(O23/MAX(O:O)*$O$1)+(M23/MAX(M:M)*$M$1)+(N23/MAX(N:N)*$N$1)+(V23/MAX(V:V)*$V$1)+(P23/MAX(P:P)*$P$1)</f>
        <v/>
      </c>
      <c r="E23" s="156">
        <f>IFERROR(VLOOKUP(F23,AllPlayers!F:F,1,0),"------------")</f>
        <v/>
      </c>
      <c r="F23" s="156" t="inlineStr">
        <is>
          <t>Zay Flowers</t>
        </is>
      </c>
      <c r="G23" s="167" t="inlineStr">
        <is>
          <t>BAL</t>
        </is>
      </c>
      <c r="H23" s="156" t="inlineStr">
        <is>
          <t>WR</t>
        </is>
      </c>
      <c r="I23" s="156" t="n">
        <v>2</v>
      </c>
      <c r="J23" s="156" t="n">
        <v>14</v>
      </c>
      <c r="K23" s="156" t="n">
        <v>218</v>
      </c>
      <c r="L23" s="156">
        <f>IF(J23=0,0,K23/J23)</f>
        <v/>
      </c>
      <c r="M23" s="156">
        <f>K23/17</f>
        <v/>
      </c>
      <c r="N23" s="156" t="n">
        <v>1</v>
      </c>
      <c r="O23" s="156" t="n">
        <v>20</v>
      </c>
      <c r="P23" s="281">
        <f>IF(K23=0,0,K23/O23)</f>
        <v/>
      </c>
      <c r="Q23" s="156" t="n">
        <v>14</v>
      </c>
      <c r="R23" s="156" t="n">
        <v>4</v>
      </c>
      <c r="S23" s="156" t="n">
        <v>4</v>
      </c>
      <c r="T23" s="156" t="n">
        <v>1</v>
      </c>
      <c r="U23" s="156" t="n">
        <v>0</v>
      </c>
      <c r="V23" s="156" t="n">
        <v>0</v>
      </c>
      <c r="W23" s="156" t="n">
        <v>0</v>
      </c>
      <c r="X23" s="204">
        <f>INDEX(Matrix!$AA$2:$AA$33, MATCH(G23, Matrix!$AC$2:$AC$33, 0))</f>
        <v/>
      </c>
      <c r="Y23" s="156">
        <f>_xlfn.IFNA(MATCH(E22,'Injury Report'!$C$2:$C$6216,0),0)</f>
        <v/>
      </c>
    </row>
    <row r="24" ht="15.6" customHeight="1" s="152">
      <c r="A24" s="212" t="n">
        <v>22</v>
      </c>
      <c r="B24" s="167">
        <f>F24&amp;G24</f>
        <v/>
      </c>
      <c r="C24" s="156">
        <f>(K24/MAX(K:K)*$K$1)+(O24/MAX(O:O)*$O$1)+(M24/MAX(M:M)*$M$1)+(N24/MAX(N:N)*$N$1)+(V24/MAX(V:V)*$V$1)+(P24/MAX(P:P)*$P$1)</f>
        <v/>
      </c>
      <c r="E24" s="156">
        <f>IFERROR(VLOOKUP(F24,AllPlayers!F:F,1,0),"------------")</f>
        <v/>
      </c>
      <c r="F24" s="156" t="inlineStr">
        <is>
          <t>Courtland Sutton</t>
        </is>
      </c>
      <c r="G24" s="167" t="inlineStr">
        <is>
          <t>DEN</t>
        </is>
      </c>
      <c r="H24" s="156" t="inlineStr">
        <is>
          <t>WR</t>
        </is>
      </c>
      <c r="I24" s="156" t="n">
        <v>2</v>
      </c>
      <c r="J24" s="156" t="n">
        <v>7</v>
      </c>
      <c r="K24" s="156" t="n">
        <v>67</v>
      </c>
      <c r="L24" s="156">
        <f>IF(J24=0,0,K24/J24)</f>
        <v/>
      </c>
      <c r="M24" s="156">
        <f>K24/17</f>
        <v/>
      </c>
      <c r="N24" s="156" t="n">
        <v>1</v>
      </c>
      <c r="O24" s="156" t="n">
        <v>13</v>
      </c>
      <c r="P24" s="281">
        <f>IF(K24=0,0,K24/O24)</f>
        <v/>
      </c>
      <c r="Q24" s="156" t="n">
        <v>15</v>
      </c>
      <c r="R24" s="156" t="n">
        <v>1</v>
      </c>
      <c r="S24" s="156" t="n">
        <v>2</v>
      </c>
      <c r="T24" s="156" t="n">
        <v>1</v>
      </c>
      <c r="U24" s="156" t="n">
        <v>0</v>
      </c>
      <c r="V24" s="156" t="n">
        <v>0</v>
      </c>
      <c r="W24" s="156" t="n">
        <v>0</v>
      </c>
      <c r="X24" s="204">
        <f>INDEX(Matrix!$AA$2:$AA$33, MATCH(G24, Matrix!$AC$2:$AC$33, 0))</f>
        <v/>
      </c>
      <c r="Y24" s="156">
        <f>_xlfn.IFNA(MATCH(E23,'Injury Report'!$C$2:$C$6216,0),0)</f>
        <v/>
      </c>
    </row>
    <row r="25" ht="15.6" customHeight="1" s="152">
      <c r="A25" s="212" t="n">
        <v>23</v>
      </c>
      <c r="B25" s="167">
        <f>F25&amp;G25</f>
        <v/>
      </c>
      <c r="C25" s="156">
        <f>(K25/MAX(K:K)*$K$1)+(O25/MAX(O:O)*$O$1)+(M25/MAX(M:M)*$M$1)+(N25/MAX(N:N)*$N$1)+(V25/MAX(V:V)*$V$1)+(P25/MAX(P:P)*$P$1)</f>
        <v/>
      </c>
      <c r="E25" s="156">
        <f>IFERROR(VLOOKUP(F25,AllPlayers!F:F,1,0),"------------")</f>
        <v/>
      </c>
      <c r="F25" s="156" t="inlineStr">
        <is>
          <t>D.J. Moore</t>
        </is>
      </c>
      <c r="G25" s="167" t="inlineStr">
        <is>
          <t>CHI</t>
        </is>
      </c>
      <c r="H25" s="156" t="inlineStr">
        <is>
          <t>WR</t>
        </is>
      </c>
      <c r="I25" s="156" t="n">
        <v>2</v>
      </c>
      <c r="J25" s="156" t="n">
        <v>8</v>
      </c>
      <c r="K25" s="156" t="n">
        <v>114</v>
      </c>
      <c r="L25" s="156">
        <f>IF(J25=0,0,K25/J25)</f>
        <v/>
      </c>
      <c r="M25" s="156">
        <f>K25/17</f>
        <v/>
      </c>
      <c r="N25" s="156" t="n">
        <v>0</v>
      </c>
      <c r="O25" s="156" t="n">
        <v>11</v>
      </c>
      <c r="P25" s="281">
        <f>IF(K25=0,0,K25/O25)</f>
        <v/>
      </c>
      <c r="Q25" s="156" t="n">
        <v>17</v>
      </c>
      <c r="R25" s="156" t="n">
        <v>6</v>
      </c>
      <c r="S25" s="156" t="n">
        <v>3</v>
      </c>
      <c r="T25" s="156" t="n">
        <v>0</v>
      </c>
      <c r="U25" s="156" t="n">
        <v>0</v>
      </c>
      <c r="V25" s="156" t="n">
        <v>0</v>
      </c>
      <c r="W25" s="156" t="n">
        <v>0</v>
      </c>
      <c r="X25" s="204">
        <f>INDEX(Matrix!$AA$2:$AA$33, MATCH(G25, Matrix!$AC$2:$AC$33, 0))</f>
        <v/>
      </c>
      <c r="Y25" s="156">
        <f>_xlfn.IFNA(MATCH(E24,'Injury Report'!$C$2:$C$6216,0),0)</f>
        <v/>
      </c>
    </row>
    <row r="26" ht="15.6" customHeight="1" s="152">
      <c r="A26" s="212" t="n">
        <v>24</v>
      </c>
      <c r="B26" s="167">
        <f>F26&amp;G26</f>
        <v/>
      </c>
      <c r="C26" s="156">
        <f>(K26/MAX(K:K)*$K$1)+(O26/MAX(O:O)*$O$1)+(M26/MAX(M:M)*$M$1)+(N26/MAX(N:N)*$N$1)+(V26/MAX(V:V)*$V$1)+(P26/MAX(P:P)*$P$1)</f>
        <v/>
      </c>
      <c r="E26" s="156">
        <f>IFERROR(VLOOKUP(F26,AllPlayers!F:F,1,0),"------------")</f>
        <v/>
      </c>
      <c r="F26" s="156" t="inlineStr">
        <is>
          <t>Jameson Williams</t>
        </is>
      </c>
      <c r="G26" s="167" t="inlineStr">
        <is>
          <t>DET</t>
        </is>
      </c>
      <c r="H26" s="156" t="inlineStr">
        <is>
          <t>WR</t>
        </is>
      </c>
      <c r="I26" s="156" t="n">
        <v>2</v>
      </c>
      <c r="J26" s="156" t="n">
        <v>6</v>
      </c>
      <c r="K26" s="156" t="n">
        <v>131</v>
      </c>
      <c r="L26" s="156">
        <f>IF(J26=0,0,K26/J26)</f>
        <v/>
      </c>
      <c r="M26" s="156">
        <f>K26/17</f>
        <v/>
      </c>
      <c r="N26" s="156" t="n">
        <v>1</v>
      </c>
      <c r="O26" s="156" t="n">
        <v>9</v>
      </c>
      <c r="P26" s="281">
        <f>IF(K26=0,0,K26/O26)</f>
        <v/>
      </c>
      <c r="Q26" s="156" t="n">
        <v>20</v>
      </c>
      <c r="R26" s="156" t="n">
        <v>2</v>
      </c>
      <c r="S26" s="156" t="n">
        <v>3</v>
      </c>
      <c r="T26" s="156" t="n">
        <v>0</v>
      </c>
      <c r="U26" s="156" t="n">
        <v>0</v>
      </c>
      <c r="V26" s="156" t="n">
        <v>0</v>
      </c>
      <c r="W26" s="156" t="n">
        <v>0</v>
      </c>
      <c r="X26" s="204">
        <f>INDEX(Matrix!$AA$2:$AA$33, MATCH(G26, Matrix!$AC$2:$AC$33, 0))</f>
        <v/>
      </c>
      <c r="Y26" s="156">
        <f>_xlfn.IFNA(MATCH(E25,'Injury Report'!$C$2:$C$6216,0),0)</f>
        <v/>
      </c>
    </row>
    <row r="27" ht="15.6" customHeight="1" s="152">
      <c r="A27" s="212" t="n">
        <v>25</v>
      </c>
      <c r="B27" s="167">
        <f>F27&amp;G27</f>
        <v/>
      </c>
      <c r="C27" s="156">
        <f>(K27/MAX(K:K)*$K$1)+(O27/MAX(O:O)*$O$1)+(M27/MAX(M:M)*$M$1)+(N27/MAX(N:N)*$N$1)+(V27/MAX(V:V)*$V$1)+(P27/MAX(P:P)*$P$1)</f>
        <v/>
      </c>
      <c r="E27" s="156">
        <f>IFERROR(VLOOKUP(F27,AllPlayers!F:F,1,0),"------------")</f>
        <v/>
      </c>
      <c r="F27" s="156" t="inlineStr">
        <is>
          <t>Garrett Wilson</t>
        </is>
      </c>
      <c r="G27" s="167" t="inlineStr">
        <is>
          <t>NYJ</t>
        </is>
      </c>
      <c r="H27" s="156" t="inlineStr">
        <is>
          <t>WR</t>
        </is>
      </c>
      <c r="I27" s="156" t="n">
        <v>2</v>
      </c>
      <c r="J27" s="156" t="n">
        <v>11</v>
      </c>
      <c r="K27" s="156" t="n">
        <v>145</v>
      </c>
      <c r="L27" s="156">
        <f>IF(J27=0,0,K27/J27)</f>
        <v/>
      </c>
      <c r="M27" s="156">
        <f>K27/17</f>
        <v/>
      </c>
      <c r="N27" s="156" t="n">
        <v>1</v>
      </c>
      <c r="O27" s="156" t="n">
        <v>17</v>
      </c>
      <c r="P27" s="281">
        <f>IF(K27=0,0,K27/O27)</f>
        <v/>
      </c>
      <c r="Q27" s="156" t="n">
        <v>21</v>
      </c>
      <c r="R27" s="156" t="n">
        <v>2</v>
      </c>
      <c r="S27" s="156" t="n">
        <v>2</v>
      </c>
      <c r="T27" s="156" t="n">
        <v>0</v>
      </c>
      <c r="U27" s="156" t="n">
        <v>0</v>
      </c>
      <c r="V27" s="156" t="n">
        <v>1</v>
      </c>
      <c r="W27" s="156" t="n">
        <v>0</v>
      </c>
      <c r="X27" s="204">
        <f>INDEX(Matrix!$AA$2:$AA$33, MATCH(G27, Matrix!$AC$2:$AC$33, 0))</f>
        <v/>
      </c>
      <c r="Y27" s="156">
        <f>_xlfn.IFNA(MATCH(E26,'Injury Report'!$C$2:$C$6216,0),0)</f>
        <v/>
      </c>
    </row>
    <row r="28" ht="15.6" customHeight="1" s="152">
      <c r="A28" s="212" t="n">
        <v>26</v>
      </c>
      <c r="B28" s="167">
        <f>F28&amp;G28</f>
        <v/>
      </c>
      <c r="C28" s="156">
        <f>(K28/MAX(K:K)*$K$1)+(O28/MAX(O:O)*$O$1)+(M28/MAX(M:M)*$M$1)+(N28/MAX(N:N)*$N$1)+(V28/MAX(V:V)*$V$1)+(P28/MAX(P:P)*$P$1)</f>
        <v/>
      </c>
      <c r="E28" s="156">
        <f>IFERROR(VLOOKUP(F28,AllPlayers!F:F,1,0),"------------")</f>
        <v/>
      </c>
      <c r="F28" s="156" t="inlineStr">
        <is>
          <t>Calvin Ridley</t>
        </is>
      </c>
      <c r="G28" s="167" t="inlineStr">
        <is>
          <t>TEN</t>
        </is>
      </c>
      <c r="H28" s="156" t="inlineStr">
        <is>
          <t>WR</t>
        </is>
      </c>
      <c r="I28" s="156" t="n">
        <v>2</v>
      </c>
      <c r="J28" s="156" t="n">
        <v>7</v>
      </c>
      <c r="K28" s="156" t="n">
        <v>84</v>
      </c>
      <c r="L28" s="156">
        <f>IF(J28=0,0,K28/J28)</f>
        <v/>
      </c>
      <c r="M28" s="156">
        <f>K28/17</f>
        <v/>
      </c>
      <c r="N28" s="156" t="n">
        <v>0</v>
      </c>
      <c r="O28" s="156" t="n">
        <v>14</v>
      </c>
      <c r="P28" s="281">
        <f>IF(K28=0,0,K28/O28)</f>
        <v/>
      </c>
      <c r="Q28" s="156" t="n">
        <v>11</v>
      </c>
      <c r="R28" s="156" t="n">
        <v>1</v>
      </c>
      <c r="S28" s="156" t="n">
        <v>5</v>
      </c>
      <c r="T28" s="156" t="n">
        <v>1</v>
      </c>
      <c r="U28" s="156" t="n">
        <v>0</v>
      </c>
      <c r="V28" s="156" t="n">
        <v>0</v>
      </c>
      <c r="W28" s="156" t="n">
        <v>0</v>
      </c>
      <c r="X28" s="204">
        <f>INDEX(Matrix!$AA$2:$AA$33, MATCH(G28, Matrix!$AC$2:$AC$33, 0))</f>
        <v/>
      </c>
      <c r="Y28" s="156">
        <f>_xlfn.IFNA(MATCH(E27,'Injury Report'!$C$2:$C$6216,0),0)</f>
        <v/>
      </c>
    </row>
    <row r="29" ht="15.6" customHeight="1" s="152">
      <c r="A29" s="212" t="n">
        <v>27</v>
      </c>
      <c r="B29" s="167">
        <f>F29&amp;G29</f>
        <v/>
      </c>
      <c r="C29" s="156">
        <f>(K29/MAX(K:K)*$K$1)+(O29/MAX(O:O)*$O$1)+(M29/MAX(M:M)*$M$1)+(N29/MAX(N:N)*$N$1)+(V29/MAX(V:V)*$V$1)+(P29/MAX(P:P)*$P$1)</f>
        <v/>
      </c>
      <c r="E29" s="156">
        <f>IFERROR(VLOOKUP(F29,AllPlayers!F:F,1,0),"------------")</f>
        <v/>
      </c>
      <c r="F29" s="156" t="inlineStr">
        <is>
          <t>George Pickens</t>
        </is>
      </c>
      <c r="G29" s="167" t="inlineStr">
        <is>
          <t>DAL</t>
        </is>
      </c>
      <c r="H29" s="156" t="inlineStr">
        <is>
          <t>WR</t>
        </is>
      </c>
      <c r="I29" s="156" t="n">
        <v>2</v>
      </c>
      <c r="J29" s="156" t="n">
        <v>8</v>
      </c>
      <c r="K29" s="156" t="n">
        <v>98</v>
      </c>
      <c r="L29" s="156">
        <f>IF(J29=0,0,K29/J29)</f>
        <v/>
      </c>
      <c r="M29" s="156">
        <f>K29/17</f>
        <v/>
      </c>
      <c r="N29" s="156" t="n">
        <v>1</v>
      </c>
      <c r="O29" s="156" t="n">
        <v>13</v>
      </c>
      <c r="P29" s="281">
        <f>IF(K29=0,0,K29/O29)</f>
        <v/>
      </c>
      <c r="Q29" s="156" t="n">
        <v>12</v>
      </c>
      <c r="R29" s="156" t="n">
        <v>1</v>
      </c>
      <c r="S29" s="156" t="n">
        <v>1</v>
      </c>
      <c r="T29" s="156" t="n">
        <v>1</v>
      </c>
      <c r="U29" s="156" t="n">
        <v>0</v>
      </c>
      <c r="V29" s="156" t="n">
        <v>0</v>
      </c>
      <c r="W29" s="156" t="n">
        <v>0</v>
      </c>
      <c r="X29" s="204">
        <f>INDEX(Matrix!$AA$2:$AA$33, MATCH(G29, Matrix!$AC$2:$AC$33, 0))</f>
        <v/>
      </c>
      <c r="Y29" s="156">
        <f>_xlfn.IFNA(MATCH(E28,'Injury Report'!$C$2:$C$6216,0),0)</f>
        <v/>
      </c>
    </row>
    <row r="30" ht="15.6" customHeight="1" s="152">
      <c r="A30" s="212" t="n">
        <v>28</v>
      </c>
      <c r="B30" s="167">
        <f>F30&amp;G30</f>
        <v/>
      </c>
      <c r="C30" s="156">
        <f>(K30/MAX(K:K)*$K$1)+(O30/MAX(O:O)*$O$1)+(M30/MAX(M:M)*$M$1)+(N30/MAX(N:N)*$N$1)+(V30/MAX(V:V)*$V$1)+(P30/MAX(P:P)*$P$1)</f>
        <v/>
      </c>
      <c r="E30" s="156">
        <f>IFERROR(VLOOKUP(F30,AllPlayers!F:F,1,0),"------------")</f>
        <v/>
      </c>
      <c r="F30" s="156" t="inlineStr">
        <is>
          <t>Devonta Smith</t>
        </is>
      </c>
      <c r="G30" s="167" t="inlineStr">
        <is>
          <t>PHI</t>
        </is>
      </c>
      <c r="H30" s="156" t="inlineStr">
        <is>
          <t>WR</t>
        </is>
      </c>
      <c r="I30" s="156" t="n">
        <v>2</v>
      </c>
      <c r="J30" s="156" t="n">
        <v>7</v>
      </c>
      <c r="K30" s="156" t="n">
        <v>69</v>
      </c>
      <c r="L30" s="156">
        <f>IF(J30=0,0,K30/J30)</f>
        <v/>
      </c>
      <c r="M30" s="156">
        <f>K30/17</f>
        <v/>
      </c>
      <c r="N30" s="156" t="n">
        <v>0</v>
      </c>
      <c r="O30" s="156" t="n">
        <v>9</v>
      </c>
      <c r="P30" s="281">
        <f>IF(K30=0,0,K30/O30)</f>
        <v/>
      </c>
      <c r="Q30" s="156" t="n">
        <v>11</v>
      </c>
      <c r="R30" s="156" t="n">
        <v>1</v>
      </c>
      <c r="S30" s="156" t="n">
        <v>2</v>
      </c>
      <c r="T30" s="156" t="n">
        <v>0</v>
      </c>
      <c r="U30" s="156" t="n">
        <v>0</v>
      </c>
      <c r="V30" s="156" t="n">
        <v>0</v>
      </c>
      <c r="W30" s="156" t="n">
        <v>0</v>
      </c>
      <c r="X30" s="204">
        <f>INDEX(Matrix!$AA$2:$AA$33, MATCH(G30, Matrix!$AC$2:$AC$33, 0))</f>
        <v/>
      </c>
      <c r="Y30" s="156">
        <f>_xlfn.IFNA(MATCH(E29,'Injury Report'!$C$2:$C$6216,0),0)</f>
        <v/>
      </c>
    </row>
    <row r="31" ht="15.6" customHeight="1" s="152">
      <c r="A31" s="212" t="n">
        <v>29</v>
      </c>
      <c r="B31" s="167">
        <f>F31&amp;G31</f>
        <v/>
      </c>
      <c r="C31" s="156">
        <f>(K31/MAX(K:K)*$K$1)+(O31/MAX(O:O)*$O$1)+(M31/MAX(M:M)*$M$1)+(N31/MAX(N:N)*$N$1)+(V31/MAX(V:V)*$V$1)+(P31/MAX(P:P)*$P$1)</f>
        <v/>
      </c>
      <c r="E31" s="156">
        <f>IFERROR(VLOOKUP(F31,AllPlayers!F:F,1,0),"------------")</f>
        <v/>
      </c>
      <c r="F31" s="156" t="inlineStr">
        <is>
          <t>Jerry Jeudy</t>
        </is>
      </c>
      <c r="G31" s="167" t="inlineStr">
        <is>
          <t>CLE</t>
        </is>
      </c>
      <c r="H31" s="156" t="inlineStr">
        <is>
          <t>WR</t>
        </is>
      </c>
      <c r="I31" s="156" t="n">
        <v>2</v>
      </c>
      <c r="J31" s="156" t="n">
        <v>9</v>
      </c>
      <c r="K31" s="156" t="n">
        <v>117</v>
      </c>
      <c r="L31" s="156">
        <f>IF(J31=0,0,K31/J31)</f>
        <v/>
      </c>
      <c r="M31" s="156">
        <f>K31/17</f>
        <v/>
      </c>
      <c r="N31" s="156" t="n">
        <v>0</v>
      </c>
      <c r="O31" s="156" t="n">
        <v>16</v>
      </c>
      <c r="P31" s="281">
        <f>IF(K31=0,0,K31/O31)</f>
        <v/>
      </c>
      <c r="Q31" s="156" t="n">
        <v>13</v>
      </c>
      <c r="R31" s="156" t="n">
        <v>1</v>
      </c>
      <c r="S31" s="156" t="n">
        <v>3</v>
      </c>
      <c r="T31" s="156" t="n">
        <v>0</v>
      </c>
      <c r="U31" s="156" t="n">
        <v>0</v>
      </c>
      <c r="V31" s="156" t="n">
        <v>0</v>
      </c>
      <c r="W31" s="156" t="n">
        <v>0</v>
      </c>
      <c r="X31" s="204">
        <f>INDEX(Matrix!$AA$2:$AA$33, MATCH(G31, Matrix!$AC$2:$AC$33, 0))</f>
        <v/>
      </c>
      <c r="Y31" s="156">
        <f>_xlfn.IFNA(MATCH(E30,'Injury Report'!$C$2:$C$6216,0),0)</f>
        <v/>
      </c>
    </row>
    <row r="32" ht="15.6" customHeight="1" s="152">
      <c r="A32" s="212" t="n">
        <v>30</v>
      </c>
      <c r="B32" s="167">
        <f>F32&amp;G32</f>
        <v/>
      </c>
      <c r="C32" s="156">
        <f>(K32/MAX(K:K)*$K$1)+(O32/MAX(O:O)*$O$1)+(M32/MAX(M:M)*$M$1)+(N32/MAX(N:N)*$N$1)+(V32/MAX(V:V)*$V$1)+(P32/MAX(P:P)*$P$1)</f>
        <v/>
      </c>
      <c r="E32" s="156">
        <f>IFERROR(VLOOKUP(F32,AllPlayers!F:F,1,0),"------------")</f>
        <v/>
      </c>
      <c r="F32" s="156" t="inlineStr">
        <is>
          <t>Deebo Samuel</t>
        </is>
      </c>
      <c r="G32" s="167" t="inlineStr">
        <is>
          <t>WAS</t>
        </is>
      </c>
      <c r="H32" s="156" t="inlineStr">
        <is>
          <t>WR</t>
        </is>
      </c>
      <c r="I32" s="156" t="n">
        <v>2</v>
      </c>
      <c r="J32" s="156" t="n">
        <v>14</v>
      </c>
      <c r="K32" s="156" t="n">
        <v>121</v>
      </c>
      <c r="L32" s="156">
        <f>IF(J32=0,0,K32/J32)</f>
        <v/>
      </c>
      <c r="M32" s="156">
        <f>K32/17</f>
        <v/>
      </c>
      <c r="N32" s="156" t="n">
        <v>1</v>
      </c>
      <c r="O32" s="156" t="n">
        <v>18</v>
      </c>
      <c r="P32" s="281">
        <f>IF(K32=0,0,K32/O32)</f>
        <v/>
      </c>
      <c r="Q32" s="156" t="n">
        <v>12</v>
      </c>
      <c r="R32" s="156" t="n">
        <v>1</v>
      </c>
      <c r="S32" s="156" t="n">
        <v>2</v>
      </c>
      <c r="T32" s="156" t="n">
        <v>0</v>
      </c>
      <c r="U32" s="156" t="n">
        <v>0</v>
      </c>
      <c r="V32" s="156" t="n">
        <v>0</v>
      </c>
      <c r="W32" s="156" t="n">
        <v>0</v>
      </c>
      <c r="X32" s="204">
        <f>INDEX(Matrix!$AA$2:$AA$33, MATCH(G32, Matrix!$AC$2:$AC$33, 0))</f>
        <v/>
      </c>
      <c r="Y32" s="156">
        <f>_xlfn.IFNA(MATCH(E31,'Injury Report'!$C$2:$C$6216,0),0)</f>
        <v/>
      </c>
    </row>
    <row r="33" ht="15.6" customHeight="1" s="152">
      <c r="A33" s="212" t="n">
        <v>31</v>
      </c>
      <c r="B33" s="167">
        <f>F33&amp;G33</f>
        <v/>
      </c>
      <c r="C33" s="156">
        <f>(K33/MAX(K:K)*$K$1)+(O33/MAX(O:O)*$O$1)+(M33/MAX(M:M)*$M$1)+(N33/MAX(N:N)*$N$1)+(V33/MAX(V:V)*$V$1)+(P33/MAX(P:P)*$P$1)</f>
        <v/>
      </c>
      <c r="E33" s="156">
        <f>IFERROR(VLOOKUP(F33,AllPlayers!F:F,1,0),"------------")</f>
        <v/>
      </c>
      <c r="F33" s="156" t="inlineStr">
        <is>
          <t>Tetairoa Mcmillan</t>
        </is>
      </c>
      <c r="G33" s="167" t="inlineStr">
        <is>
          <t>CAR</t>
        </is>
      </c>
      <c r="H33" s="156" t="inlineStr">
        <is>
          <t>WR</t>
        </is>
      </c>
      <c r="I33" s="156" t="n">
        <v>2</v>
      </c>
      <c r="J33" s="156" t="n">
        <v>11</v>
      </c>
      <c r="K33" s="156" t="n">
        <v>168</v>
      </c>
      <c r="L33" s="156">
        <f>IF(J33=0,0,K33/J33)</f>
        <v/>
      </c>
      <c r="M33" s="156">
        <f>K33/17</f>
        <v/>
      </c>
      <c r="N33" s="156" t="n">
        <v>0</v>
      </c>
      <c r="O33" s="156" t="n">
        <v>19</v>
      </c>
      <c r="P33" s="281">
        <f>IF(K33=0,0,K33/O33)</f>
        <v/>
      </c>
      <c r="Q33" s="156" t="n">
        <v>17</v>
      </c>
      <c r="R33" s="156" t="n">
        <v>4</v>
      </c>
      <c r="S33" s="156" t="n">
        <v>2</v>
      </c>
      <c r="T33" s="156" t="n">
        <v>0</v>
      </c>
      <c r="U33" s="156" t="n">
        <v>0</v>
      </c>
      <c r="V33" s="156" t="n">
        <v>0</v>
      </c>
      <c r="W33" s="156" t="n">
        <v>0</v>
      </c>
      <c r="X33" s="204">
        <f>INDEX(Matrix!$AA$2:$AA$33, MATCH(G33, Matrix!$AC$2:$AC$33, 0))</f>
        <v/>
      </c>
      <c r="Y33" s="156">
        <f>_xlfn.IFNA(MATCH(E32,'Injury Report'!$C$2:$C$6216,0),0)</f>
        <v/>
      </c>
    </row>
    <row r="34" ht="15.6" customHeight="1" s="152">
      <c r="A34" s="212" t="n">
        <v>32</v>
      </c>
      <c r="B34" s="167">
        <f>F34&amp;G34</f>
        <v/>
      </c>
      <c r="C34" s="156">
        <f>(K34/MAX(K:K)*$K$1)+(O34/MAX(O:O)*$O$1)+(M34/MAX(M:M)*$M$1)+(N34/MAX(N:N)*$N$1)+(V34/MAX(V:V)*$V$1)+(P34/MAX(P:P)*$P$1)</f>
        <v/>
      </c>
      <c r="E34" s="156">
        <f>IFERROR(VLOOKUP(F34,AllPlayers!F:F,1,0),"------------")</f>
        <v/>
      </c>
      <c r="F34" s="156" t="inlineStr">
        <is>
          <t>Jakobi Meyers</t>
        </is>
      </c>
      <c r="G34" s="167" t="inlineStr">
        <is>
          <t>LV</t>
        </is>
      </c>
      <c r="H34" s="156" t="inlineStr">
        <is>
          <t>WR</t>
        </is>
      </c>
      <c r="I34" s="156" t="n">
        <v>2</v>
      </c>
      <c r="J34" s="156" t="n">
        <v>14</v>
      </c>
      <c r="K34" s="156" t="n">
        <v>165</v>
      </c>
      <c r="L34" s="156">
        <f>IF(J34=0,0,K34/J34)</f>
        <v/>
      </c>
      <c r="M34" s="156">
        <f>K34/17</f>
        <v/>
      </c>
      <c r="N34" s="156" t="n">
        <v>0</v>
      </c>
      <c r="O34" s="156" t="n">
        <v>22</v>
      </c>
      <c r="P34" s="281">
        <f>IF(K34=0,0,K34/O34)</f>
        <v/>
      </c>
      <c r="Q34" s="156" t="n">
        <v>14</v>
      </c>
      <c r="R34" s="156" t="n">
        <v>1</v>
      </c>
      <c r="S34" s="156" t="n">
        <v>2</v>
      </c>
      <c r="T34" s="156" t="n">
        <v>0</v>
      </c>
      <c r="U34" s="156" t="n">
        <v>0</v>
      </c>
      <c r="V34" s="156" t="n">
        <v>0</v>
      </c>
      <c r="W34" s="156" t="n">
        <v>0</v>
      </c>
      <c r="X34" s="204">
        <f>INDEX(Matrix!$AA$2:$AA$33, MATCH(G34, Matrix!$AC$2:$AC$33, 0))</f>
        <v/>
      </c>
      <c r="Y34" s="156">
        <f>_xlfn.IFNA(MATCH(E33,'Injury Report'!$C$2:$C$6216,0),0)</f>
        <v/>
      </c>
    </row>
    <row r="35" ht="15.6" customHeight="1" s="152">
      <c r="A35" s="212" t="n">
        <v>33</v>
      </c>
      <c r="B35" s="167">
        <f>F35&amp;G35</f>
        <v/>
      </c>
      <c r="C35" s="156">
        <f>(K35/MAX(K:K)*$K$1)+(O35/MAX(O:O)*$O$1)+(M35/MAX(M:M)*$M$1)+(N35/MAX(N:N)*$N$1)+(V35/MAX(V:V)*$V$1)+(P35/MAX(P:P)*$P$1)</f>
        <v/>
      </c>
      <c r="E35" s="156">
        <f>IFERROR(VLOOKUP(F35,AllPlayers!F:F,1,0),"------------")</f>
        <v/>
      </c>
      <c r="F35" s="156" t="inlineStr">
        <is>
          <t>Jaylen Waddle</t>
        </is>
      </c>
      <c r="G35" s="167" t="inlineStr">
        <is>
          <t>MIA</t>
        </is>
      </c>
      <c r="H35" s="156" t="inlineStr">
        <is>
          <t>WR</t>
        </is>
      </c>
      <c r="I35" s="156" t="n">
        <v>2</v>
      </c>
      <c r="J35" s="156" t="n">
        <v>9</v>
      </c>
      <c r="K35" s="156" t="n">
        <v>98</v>
      </c>
      <c r="L35" s="156">
        <f>IF(J35=0,0,K35/J35)</f>
        <v/>
      </c>
      <c r="M35" s="156">
        <f>K35/17</f>
        <v/>
      </c>
      <c r="N35" s="156" t="n">
        <v>1</v>
      </c>
      <c r="O35" s="156" t="n">
        <v>11</v>
      </c>
      <c r="P35" s="281">
        <f>IF(K35=0,0,K35/O35)</f>
        <v/>
      </c>
      <c r="Q35" s="156" t="n">
        <v>4</v>
      </c>
      <c r="R35" s="156" t="n">
        <v>1</v>
      </c>
      <c r="S35" s="156" t="n">
        <v>2</v>
      </c>
      <c r="T35" s="156" t="n">
        <v>0</v>
      </c>
      <c r="U35" s="156" t="n">
        <v>0</v>
      </c>
      <c r="V35" s="156" t="n">
        <v>0</v>
      </c>
      <c r="W35" s="156" t="n">
        <v>0</v>
      </c>
      <c r="X35" s="204">
        <f>INDEX(Matrix!$AA$2:$AA$33, MATCH(G35, Matrix!$AC$2:$AC$33, 0))</f>
        <v/>
      </c>
      <c r="Y35" s="156">
        <f>_xlfn.IFNA(MATCH(E34,'Injury Report'!$C$2:$C$6216,0),0)</f>
        <v/>
      </c>
    </row>
    <row r="36" ht="15.6" customHeight="1" s="152">
      <c r="A36" s="212" t="n">
        <v>34</v>
      </c>
      <c r="B36" s="167">
        <f>F36&amp;G36</f>
        <v/>
      </c>
      <c r="C36" s="156">
        <f>(K36/MAX(K:K)*$K$1)+(O36/MAX(O:O)*$O$1)+(M36/MAX(M:M)*$M$1)+(N36/MAX(N:N)*$N$1)+(V36/MAX(V:V)*$V$1)+(P36/MAX(P:P)*$P$1)</f>
        <v/>
      </c>
      <c r="E36" s="156">
        <f>IFERROR(VLOOKUP(F36,AllPlayers!F:F,1,0),"------------")</f>
        <v/>
      </c>
      <c r="F36" s="156" t="inlineStr">
        <is>
          <t>Matthew Golden</t>
        </is>
      </c>
      <c r="G36" s="167" t="inlineStr">
        <is>
          <t>GB</t>
        </is>
      </c>
      <c r="H36" s="156" t="inlineStr">
        <is>
          <t>WR</t>
        </is>
      </c>
      <c r="I36" s="156" t="n">
        <v>2</v>
      </c>
      <c r="J36" s="156" t="n">
        <v>2</v>
      </c>
      <c r="K36" s="156" t="n">
        <v>16</v>
      </c>
      <c r="L36" s="156">
        <f>IF(J36=0,0,K36/J36)</f>
        <v/>
      </c>
      <c r="M36" s="156">
        <f>K36/17</f>
        <v/>
      </c>
      <c r="N36" s="156" t="n">
        <v>0</v>
      </c>
      <c r="O36" s="156" t="n">
        <v>4</v>
      </c>
      <c r="P36" s="281">
        <f>IF(K36=0,0,K36/O36)</f>
        <v/>
      </c>
      <c r="Q36" s="156" t="n">
        <v>13</v>
      </c>
      <c r="R36" s="156" t="n">
        <v>6</v>
      </c>
      <c r="S36" s="156" t="n">
        <v>2</v>
      </c>
      <c r="T36" s="156" t="n">
        <v>1</v>
      </c>
      <c r="U36" s="156" t="n">
        <v>0</v>
      </c>
      <c r="V36" s="156" t="n">
        <v>0</v>
      </c>
      <c r="W36" s="156" t="n">
        <v>0</v>
      </c>
      <c r="X36" s="204">
        <f>INDEX(Matrix!$AA$2:$AA$33, MATCH(G36, Matrix!$AC$2:$AC$33, 0))</f>
        <v/>
      </c>
      <c r="Y36" s="156">
        <f>_xlfn.IFNA(MATCH(E35,'Injury Report'!$C$2:$C$6216,0),0)</f>
        <v/>
      </c>
    </row>
    <row r="37" ht="15.6" customHeight="1" s="152">
      <c r="A37" s="212" t="n">
        <v>35</v>
      </c>
      <c r="B37" s="167">
        <f>F37&amp;G37</f>
        <v/>
      </c>
      <c r="C37" s="156">
        <f>(K37/MAX(K:K)*$K$1)+(O37/MAX(O:O)*$O$1)+(M37/MAX(M:M)*$M$1)+(N37/MAX(N:N)*$N$1)+(V37/MAX(V:V)*$V$1)+(P37/MAX(P:P)*$P$1)</f>
        <v/>
      </c>
      <c r="E37" s="156">
        <f>IFERROR(VLOOKUP(F37,AllPlayers!F:F,1,0),"------------")</f>
        <v/>
      </c>
      <c r="F37" s="156" t="inlineStr">
        <is>
          <t>Travis Hunter</t>
        </is>
      </c>
      <c r="G37" s="167" t="inlineStr">
        <is>
          <t>JAX</t>
        </is>
      </c>
      <c r="H37" s="156" t="inlineStr">
        <is>
          <t>WR</t>
        </is>
      </c>
      <c r="I37" s="156" t="n">
        <v>2</v>
      </c>
      <c r="J37" s="156" t="n">
        <v>9</v>
      </c>
      <c r="K37" s="156" t="n">
        <v>55</v>
      </c>
      <c r="L37" s="156">
        <f>IF(J37=0,0,K37/J37)</f>
        <v/>
      </c>
      <c r="M37" s="156">
        <f>K37/17</f>
        <v/>
      </c>
      <c r="N37" s="156" t="n">
        <v>0</v>
      </c>
      <c r="O37" s="156" t="n">
        <v>14</v>
      </c>
      <c r="P37" s="281">
        <f>IF(K37=0,0,K37/O37)</f>
        <v/>
      </c>
      <c r="Q37" s="156" t="n">
        <v>15</v>
      </c>
      <c r="R37" s="156" t="n">
        <v>5</v>
      </c>
      <c r="S37" s="156" t="n">
        <v>3</v>
      </c>
      <c r="T37" s="156" t="n">
        <v>0</v>
      </c>
      <c r="U37" s="156" t="n">
        <v>0</v>
      </c>
      <c r="V37" s="156" t="n">
        <v>0</v>
      </c>
      <c r="W37" s="156" t="n">
        <v>0</v>
      </c>
      <c r="X37" s="204">
        <f>INDEX(Matrix!$AA$2:$AA$33, MATCH(G37, Matrix!$AC$2:$AC$33, 0))</f>
        <v/>
      </c>
      <c r="Y37" s="156">
        <f>_xlfn.IFNA(MATCH(E36,'Injury Report'!$C$2:$C$6216,0),0)</f>
        <v/>
      </c>
    </row>
    <row r="38" ht="15.6" customHeight="1" s="152">
      <c r="A38" s="212" t="n">
        <v>36</v>
      </c>
      <c r="B38" s="167">
        <f>F38&amp;G38</f>
        <v/>
      </c>
      <c r="C38" s="156">
        <f>(K38/MAX(K:K)*$K$1)+(O38/MAX(O:O)*$O$1)+(M38/MAX(M:M)*$M$1)+(N38/MAX(N:N)*$N$1)+(V38/MAX(V:V)*$V$1)+(P38/MAX(P:P)*$P$1)</f>
        <v/>
      </c>
      <c r="E38" s="156">
        <f>IFERROR(VLOOKUP(F38,AllPlayers!F:F,1,0),"------------")</f>
        <v/>
      </c>
      <c r="F38" s="156" t="inlineStr">
        <is>
          <t>Jauan Jennings</t>
        </is>
      </c>
      <c r="G38" s="167" t="inlineStr">
        <is>
          <t>SF</t>
        </is>
      </c>
      <c r="H38" s="156" t="inlineStr">
        <is>
          <t>WR</t>
        </is>
      </c>
      <c r="I38" s="156" t="n">
        <v>2</v>
      </c>
      <c r="J38" s="156" t="n">
        <v>7</v>
      </c>
      <c r="K38" s="156" t="n">
        <v>105</v>
      </c>
      <c r="L38" s="156">
        <f>IF(J38=0,0,K38/J38)</f>
        <v/>
      </c>
      <c r="M38" s="156">
        <f>K38/17</f>
        <v/>
      </c>
      <c r="N38" s="156" t="n">
        <v>1</v>
      </c>
      <c r="O38" s="156" t="n">
        <v>15</v>
      </c>
      <c r="P38" s="281">
        <f>IF(K38=0,0,K38/O38)</f>
        <v/>
      </c>
      <c r="Q38" s="156" t="n">
        <v>12</v>
      </c>
      <c r="R38" s="156" t="n">
        <v>3</v>
      </c>
      <c r="S38" s="156" t="n">
        <v>2</v>
      </c>
      <c r="T38" s="156" t="n">
        <v>1</v>
      </c>
      <c r="U38" s="156" t="n">
        <v>0</v>
      </c>
      <c r="V38" s="156" t="n">
        <v>0</v>
      </c>
      <c r="W38" s="156" t="n">
        <v>0</v>
      </c>
      <c r="X38" s="204">
        <f>INDEX(Matrix!$AA$2:$AA$33, MATCH(G38, Matrix!$AC$2:$AC$33, 0))</f>
        <v/>
      </c>
      <c r="Y38" s="156">
        <f>_xlfn.IFNA(MATCH(E37,'Injury Report'!$C$2:$C$6216,0),0)</f>
        <v/>
      </c>
    </row>
    <row r="39" ht="15.6" customHeight="1" s="152">
      <c r="A39" s="212" t="n">
        <v>37</v>
      </c>
      <c r="B39" s="167">
        <f>F39&amp;G39</f>
        <v/>
      </c>
      <c r="C39" s="156">
        <f>(K39/MAX(K:K)*$K$1)+(O39/MAX(O:O)*$O$1)+(M39/MAX(M:M)*$M$1)+(N39/MAX(N:N)*$N$1)+(V39/MAX(V:V)*$V$1)+(P39/MAX(P:P)*$P$1)</f>
        <v/>
      </c>
      <c r="E39" s="156">
        <f>IFERROR(VLOOKUP(F39,AllPlayers!F:F,1,0),"------------")</f>
        <v/>
      </c>
      <c r="F39" s="156" t="inlineStr">
        <is>
          <t>Rome Odunze</t>
        </is>
      </c>
      <c r="G39" s="167" t="inlineStr">
        <is>
          <t>CHI</t>
        </is>
      </c>
      <c r="H39" s="156" t="inlineStr">
        <is>
          <t>WR</t>
        </is>
      </c>
      <c r="I39" s="156" t="n">
        <v>2</v>
      </c>
      <c r="J39" s="156" t="n">
        <v>13</v>
      </c>
      <c r="K39" s="156" t="n">
        <v>165</v>
      </c>
      <c r="L39" s="156">
        <f>IF(J39=0,0,K39/J39)</f>
        <v/>
      </c>
      <c r="M39" s="156">
        <f>K39/17</f>
        <v/>
      </c>
      <c r="N39" s="156" t="n">
        <v>3</v>
      </c>
      <c r="O39" s="156" t="n">
        <v>20</v>
      </c>
      <c r="P39" s="281">
        <f>IF(K39=0,0,K39/O39)</f>
        <v/>
      </c>
      <c r="Q39" s="156" t="n">
        <v>14</v>
      </c>
      <c r="R39" s="156" t="n">
        <v>4</v>
      </c>
      <c r="S39" s="156" t="n">
        <v>2</v>
      </c>
      <c r="T39" s="156" t="n">
        <v>0</v>
      </c>
      <c r="U39" s="156" t="n">
        <v>0</v>
      </c>
      <c r="V39" s="156" t="n">
        <v>0</v>
      </c>
      <c r="W39" s="156" t="n">
        <v>0</v>
      </c>
      <c r="X39" s="204">
        <f>INDEX(Matrix!$AA$2:$AA$33, MATCH(G39, Matrix!$AC$2:$AC$33, 0))</f>
        <v/>
      </c>
      <c r="Y39" s="156">
        <f>_xlfn.IFNA(MATCH(E38,'Injury Report'!$C$2:$C$6216,0),0)</f>
        <v/>
      </c>
    </row>
    <row r="40" ht="15.6" customHeight="1" s="152">
      <c r="A40" s="212" t="n">
        <v>38</v>
      </c>
      <c r="B40" s="167">
        <f>F40&amp;G40</f>
        <v/>
      </c>
      <c r="C40" s="156">
        <f>(K40/MAX(K:K)*$K$1)+(O40/MAX(O:O)*$O$1)+(M40/MAX(M:M)*$M$1)+(N40/MAX(N:N)*$N$1)+(V40/MAX(V:V)*$V$1)+(P40/MAX(P:P)*$P$1)</f>
        <v/>
      </c>
      <c r="E40" s="156">
        <f>IFERROR(VLOOKUP(F40,AllPlayers!F:F,1,0),"------------")</f>
        <v/>
      </c>
      <c r="F40" s="156" t="inlineStr">
        <is>
          <t>Keon Coleman</t>
        </is>
      </c>
      <c r="G40" s="167" t="inlineStr">
        <is>
          <t>BUF</t>
        </is>
      </c>
      <c r="H40" s="156" t="inlineStr">
        <is>
          <t>WR</t>
        </is>
      </c>
      <c r="I40" s="156" t="n">
        <v>2</v>
      </c>
      <c r="J40" s="156" t="n">
        <v>11</v>
      </c>
      <c r="K40" s="156" t="n">
        <v>138</v>
      </c>
      <c r="L40" s="156">
        <f>IF(J40=0,0,K40/J40)</f>
        <v/>
      </c>
      <c r="M40" s="156">
        <f>K40/17</f>
        <v/>
      </c>
      <c r="N40" s="156" t="n">
        <v>1</v>
      </c>
      <c r="O40" s="156" t="n">
        <v>14</v>
      </c>
      <c r="P40" s="281">
        <f>IF(K40=0,0,K40/O40)</f>
        <v/>
      </c>
      <c r="Q40" s="156" t="n">
        <v>13</v>
      </c>
      <c r="R40" s="156" t="n">
        <v>7</v>
      </c>
      <c r="S40" s="156" t="n">
        <v>3</v>
      </c>
      <c r="T40" s="156" t="n">
        <v>0</v>
      </c>
      <c r="U40" s="156" t="n">
        <v>0</v>
      </c>
      <c r="V40" s="156" t="n">
        <v>0</v>
      </c>
      <c r="W40" s="156" t="n">
        <v>0</v>
      </c>
      <c r="X40" s="204">
        <f>INDEX(Matrix!$AA$2:$AA$33, MATCH(G40, Matrix!$AC$2:$AC$33, 0))</f>
        <v/>
      </c>
      <c r="Y40" s="156">
        <f>_xlfn.IFNA(MATCH(E39,'Injury Report'!$C$2:$C$6216,0),0)</f>
        <v/>
      </c>
    </row>
    <row r="41" ht="15.6" customHeight="1" s="152">
      <c r="A41" s="212" t="n">
        <v>39</v>
      </c>
      <c r="B41" s="167">
        <f>F41&amp;G41</f>
        <v/>
      </c>
      <c r="C41" s="156">
        <f>(K41/MAX(K:K)*$K$1)+(O41/MAX(O:O)*$O$1)+(M41/MAX(M:M)*$M$1)+(N41/MAX(N:N)*$N$1)+(V41/MAX(V:V)*$V$1)+(P41/MAX(P:P)*$P$1)</f>
        <v/>
      </c>
      <c r="E41" s="156">
        <f>IFERROR(VLOOKUP(F41,AllPlayers!F:F,1,0),"------------")</f>
        <v/>
      </c>
      <c r="F41" s="156" t="inlineStr">
        <is>
          <t>Chris Olave</t>
        </is>
      </c>
      <c r="G41" s="167" t="inlineStr">
        <is>
          <t>NO</t>
        </is>
      </c>
      <c r="H41" s="156" t="inlineStr">
        <is>
          <t>WR</t>
        </is>
      </c>
      <c r="I41" s="156" t="n">
        <v>2</v>
      </c>
      <c r="J41" s="156" t="n">
        <v>13</v>
      </c>
      <c r="K41" s="156" t="n">
        <v>107</v>
      </c>
      <c r="L41" s="156">
        <f>IF(J41=0,0,K41/J41)</f>
        <v/>
      </c>
      <c r="M41" s="156">
        <f>K41/17</f>
        <v/>
      </c>
      <c r="N41" s="156" t="n">
        <v>0</v>
      </c>
      <c r="O41" s="156" t="n">
        <v>23</v>
      </c>
      <c r="P41" s="281">
        <f>IF(K41=0,0,K41/O41)</f>
        <v/>
      </c>
      <c r="Q41" s="156" t="n">
        <v>9</v>
      </c>
      <c r="R41" s="156" t="n">
        <v>0</v>
      </c>
      <c r="S41" s="156" t="n">
        <v>1</v>
      </c>
      <c r="T41" s="156" t="n">
        <v>0</v>
      </c>
      <c r="U41" s="156" t="n">
        <v>0</v>
      </c>
      <c r="V41" s="156" t="n">
        <v>0</v>
      </c>
      <c r="W41" s="156" t="n">
        <v>0</v>
      </c>
      <c r="X41" s="204">
        <f>INDEX(Matrix!$AA$2:$AA$33, MATCH(G41, Matrix!$AC$2:$AC$33, 0))</f>
        <v/>
      </c>
      <c r="Y41" s="156">
        <f>_xlfn.IFNA(MATCH(E40,'Injury Report'!$C$2:$C$6216,0),0)</f>
        <v/>
      </c>
    </row>
    <row r="42" ht="15.6" customHeight="1" s="152">
      <c r="A42" s="212" t="n">
        <v>40</v>
      </c>
      <c r="B42" s="167">
        <f>F42&amp;G42</f>
        <v/>
      </c>
      <c r="C42" s="156">
        <f>(K42/MAX(K:K)*$K$1)+(O42/MAX(O:O)*$O$1)+(M42/MAX(M:M)*$M$1)+(N42/MAX(N:N)*$N$1)+(V42/MAX(V:V)*$V$1)+(P42/MAX(P:P)*$P$1)</f>
        <v/>
      </c>
      <c r="E42" s="156">
        <f>IFERROR(VLOOKUP(F42,AllPlayers!F:F,1,0),"------------")</f>
        <v/>
      </c>
      <c r="F42" s="156" t="inlineStr">
        <is>
          <t>Jayden Reed</t>
        </is>
      </c>
      <c r="G42" s="167" t="inlineStr">
        <is>
          <t>GB</t>
        </is>
      </c>
      <c r="H42" s="156" t="inlineStr">
        <is>
          <t>WR</t>
        </is>
      </c>
      <c r="I42" s="156" t="n">
        <v>1</v>
      </c>
      <c r="J42" s="156" t="n">
        <v>3</v>
      </c>
      <c r="K42" s="156" t="n">
        <v>45</v>
      </c>
      <c r="L42" s="156">
        <f>IF(J42=0,0,K42/J42)</f>
        <v/>
      </c>
      <c r="M42" s="156">
        <f>K42/17</f>
        <v/>
      </c>
      <c r="N42" s="156" t="n">
        <v>1</v>
      </c>
      <c r="O42" s="156" t="n">
        <v>5</v>
      </c>
      <c r="P42" s="281">
        <f>IF(K42=0,0,K42/O42)</f>
        <v/>
      </c>
      <c r="Q42" s="156" t="n">
        <v>9</v>
      </c>
      <c r="R42" s="156" t="n">
        <v>2</v>
      </c>
      <c r="S42" s="156" t="n">
        <v>2</v>
      </c>
      <c r="T42" s="156" t="n">
        <v>0</v>
      </c>
      <c r="U42" s="156" t="n">
        <v>0</v>
      </c>
      <c r="V42" s="156" t="n">
        <v>0</v>
      </c>
      <c r="W42" s="156" t="n">
        <v>0</v>
      </c>
      <c r="X42" s="204">
        <f>INDEX(Matrix!$AA$2:$AA$33, MATCH(G42, Matrix!$AC$2:$AC$33, 0))</f>
        <v/>
      </c>
      <c r="Y42" s="156">
        <f>_xlfn.IFNA(MATCH(E41,'Injury Report'!$C$2:$C$6216,0),0)</f>
        <v/>
      </c>
    </row>
    <row r="43" ht="15.6" customHeight="1" s="152">
      <c r="A43" s="212" t="n">
        <v>41</v>
      </c>
      <c r="B43" s="167">
        <f>F43&amp;G43</f>
        <v/>
      </c>
      <c r="C43" s="156">
        <f>(K43/MAX(K:K)*$K$1)+(O43/MAX(O:O)*$O$1)+(M43/MAX(M:M)*$M$1)+(N43/MAX(N:N)*$N$1)+(V43/MAX(V:V)*$V$1)+(P43/MAX(P:P)*$P$1)</f>
        <v/>
      </c>
      <c r="E43" s="156">
        <f>IFERROR(VLOOKUP(F43,AllPlayers!F:F,1,0),"------------")</f>
        <v/>
      </c>
      <c r="F43" s="156" t="inlineStr">
        <is>
          <t>Ricky Pearsall</t>
        </is>
      </c>
      <c r="G43" s="167" t="inlineStr">
        <is>
          <t>SF</t>
        </is>
      </c>
      <c r="H43" s="156" t="inlineStr">
        <is>
          <t>WR</t>
        </is>
      </c>
      <c r="I43" s="156" t="n">
        <v>2</v>
      </c>
      <c r="J43" s="156" t="n">
        <v>8</v>
      </c>
      <c r="K43" s="156" t="n">
        <v>164</v>
      </c>
      <c r="L43" s="156">
        <f>IF(J43=0,0,K43/J43)</f>
        <v/>
      </c>
      <c r="M43" s="156">
        <f>K43/17</f>
        <v/>
      </c>
      <c r="N43" s="156" t="n">
        <v>0</v>
      </c>
      <c r="O43" s="156" t="n">
        <v>13</v>
      </c>
      <c r="P43" s="281">
        <f>IF(K43=0,0,K43/O43)</f>
        <v/>
      </c>
      <c r="Q43" s="156" t="n">
        <v>12</v>
      </c>
      <c r="R43" s="156" t="n">
        <v>0</v>
      </c>
      <c r="S43" s="156" t="n">
        <v>2</v>
      </c>
      <c r="T43" s="156" t="n">
        <v>0</v>
      </c>
      <c r="U43" s="156" t="n">
        <v>0</v>
      </c>
      <c r="V43" s="156" t="n">
        <v>0</v>
      </c>
      <c r="W43" s="156" t="n">
        <v>0</v>
      </c>
      <c r="X43" s="204">
        <f>INDEX(Matrix!$AA$2:$AA$33, MATCH(G43, Matrix!$AC$2:$AC$33, 0))</f>
        <v/>
      </c>
      <c r="Y43" s="156">
        <f>_xlfn.IFNA(MATCH(E42,'Injury Report'!$C$2:$C$6216,0),0)</f>
        <v/>
      </c>
    </row>
    <row r="44" ht="15.6" customHeight="1" s="152">
      <c r="A44" s="212" t="n">
        <v>42</v>
      </c>
      <c r="B44" s="167">
        <f>F44&amp;G44</f>
        <v/>
      </c>
      <c r="C44" s="156">
        <f>(K44/MAX(K:K)*$K$1)+(O44/MAX(O:O)*$O$1)+(M44/MAX(M:M)*$M$1)+(N44/MAX(N:N)*$N$1)+(V44/MAX(V:V)*$V$1)+(P44/MAX(P:P)*$P$1)</f>
        <v/>
      </c>
      <c r="E44" s="156">
        <f>IFERROR(VLOOKUP(F44,AllPlayers!F:F,1,0),"------------")</f>
        <v/>
      </c>
      <c r="F44" s="156" t="inlineStr">
        <is>
          <t>Rashid Shaheed</t>
        </is>
      </c>
      <c r="G44" s="167" t="inlineStr">
        <is>
          <t>NO</t>
        </is>
      </c>
      <c r="H44" s="156" t="inlineStr">
        <is>
          <t>WR</t>
        </is>
      </c>
      <c r="I44" s="156" t="n">
        <v>2</v>
      </c>
      <c r="J44" s="156" t="n">
        <v>10</v>
      </c>
      <c r="K44" s="156" t="n">
        <v>85</v>
      </c>
      <c r="L44" s="156">
        <f>IF(J44=0,0,K44/J44)</f>
        <v/>
      </c>
      <c r="M44" s="156">
        <f>K44/17</f>
        <v/>
      </c>
      <c r="N44" s="156" t="n">
        <v>1</v>
      </c>
      <c r="O44" s="156" t="n">
        <v>14</v>
      </c>
      <c r="P44" s="281">
        <f>IF(K44=0,0,K44/O44)</f>
        <v/>
      </c>
      <c r="Q44" s="156" t="n">
        <v>10</v>
      </c>
      <c r="R44" s="156" t="n">
        <v>1</v>
      </c>
      <c r="S44" s="156" t="n">
        <v>1</v>
      </c>
      <c r="T44" s="156" t="n">
        <v>0</v>
      </c>
      <c r="U44" s="156" t="n">
        <v>0</v>
      </c>
      <c r="V44" s="156" t="n">
        <v>0</v>
      </c>
      <c r="W44" s="156" t="n">
        <v>0</v>
      </c>
      <c r="X44" s="204">
        <f>INDEX(Matrix!$AA$2:$AA$33, MATCH(G44, Matrix!$AC$2:$AC$33, 0))</f>
        <v/>
      </c>
      <c r="Y44" s="156">
        <f>_xlfn.IFNA(MATCH(E43,'Injury Report'!$C$2:$C$6216,0),0)</f>
        <v/>
      </c>
    </row>
    <row r="45" ht="15.6" customHeight="1" s="152">
      <c r="A45" s="212" t="n">
        <v>43</v>
      </c>
      <c r="B45" s="167">
        <f>F45&amp;G45</f>
        <v/>
      </c>
      <c r="C45" s="156">
        <f>(K45/MAX(K:K)*$K$1)+(O45/MAX(O:O)*$O$1)+(M45/MAX(M:M)*$M$1)+(N45/MAX(N:N)*$N$1)+(V45/MAX(V:V)*$V$1)+(P45/MAX(P:P)*$P$1)</f>
        <v/>
      </c>
      <c r="E45" s="156">
        <f>IFERROR(VLOOKUP(F45,AllPlayers!F:F,1,0),"------------")</f>
        <v/>
      </c>
      <c r="F45" s="156" t="inlineStr">
        <is>
          <t>Rashee Rice</t>
        </is>
      </c>
      <c r="G45" s="167" t="inlineStr">
        <is>
          <t>KC</t>
        </is>
      </c>
      <c r="H45" s="156" t="inlineStr">
        <is>
          <t>WR</t>
        </is>
      </c>
      <c r="I45" s="156" t="n">
        <v>17</v>
      </c>
      <c r="J45" s="156" t="n">
        <v>70.90000000000001</v>
      </c>
      <c r="K45" s="156" t="n">
        <v>831.8</v>
      </c>
      <c r="L45" s="156">
        <f>IF(J45=0,0,K45/J45)</f>
        <v/>
      </c>
      <c r="M45" s="156">
        <f>K45/17</f>
        <v/>
      </c>
      <c r="N45" s="156" t="n">
        <v>5.8</v>
      </c>
      <c r="O45" s="156" t="n">
        <v>72</v>
      </c>
      <c r="P45" s="281">
        <f>IF(K45=0,0,K45/O45)</f>
        <v/>
      </c>
      <c r="Q45" s="156" t="n">
        <v>11</v>
      </c>
      <c r="R45" s="156" t="n">
        <v>4</v>
      </c>
      <c r="S45" s="156" t="n">
        <v>1</v>
      </c>
      <c r="T45" s="156" t="n">
        <v>0</v>
      </c>
      <c r="U45" s="156" t="n">
        <v>0</v>
      </c>
      <c r="V45" s="156" t="n">
        <v>0</v>
      </c>
      <c r="W45" s="156" t="n">
        <v>0.6</v>
      </c>
      <c r="X45" s="204">
        <f>INDEX(Matrix!$AA$2:$AA$33, MATCH(G45, Matrix!$AC$2:$AC$33, 0))</f>
        <v/>
      </c>
      <c r="Y45" s="156">
        <f>_xlfn.IFNA(MATCH(E44,'Injury Report'!$C$2:$C$6216,0),0)</f>
        <v/>
      </c>
    </row>
    <row r="46" ht="15.6" customHeight="1" s="152">
      <c r="A46" s="212" t="n">
        <v>44</v>
      </c>
      <c r="B46" s="167">
        <f>F46&amp;G46</f>
        <v/>
      </c>
      <c r="C46" s="156">
        <f>(K46/MAX(K:K)*$K$1)+(O46/MAX(O:O)*$O$1)+(M46/MAX(M:M)*$M$1)+(N46/MAX(N:N)*$N$1)+(V46/MAX(V:V)*$V$1)+(P46/MAX(P:P)*$P$1)</f>
        <v/>
      </c>
      <c r="E46" s="156">
        <f>IFERROR(VLOOKUP(F46,AllPlayers!F:F,1,0),"------------")</f>
        <v/>
      </c>
      <c r="F46" s="156" t="inlineStr">
        <is>
          <t>Stefon Diggs</t>
        </is>
      </c>
      <c r="G46" s="167" t="inlineStr">
        <is>
          <t>NE</t>
        </is>
      </c>
      <c r="H46" s="156" t="inlineStr">
        <is>
          <t>WR</t>
        </is>
      </c>
      <c r="I46" s="156" t="n">
        <v>2</v>
      </c>
      <c r="J46" s="156" t="n">
        <v>10</v>
      </c>
      <c r="K46" s="156" t="n">
        <v>89</v>
      </c>
      <c r="L46" s="156">
        <f>IF(J46=0,0,K46/J46)</f>
        <v/>
      </c>
      <c r="M46" s="156">
        <f>K46/17</f>
        <v/>
      </c>
      <c r="N46" s="156" t="n">
        <v>0</v>
      </c>
      <c r="O46" s="156" t="n">
        <v>12</v>
      </c>
      <c r="P46" s="281">
        <f>IF(K46=0,0,K46/O46)</f>
        <v/>
      </c>
      <c r="Q46" s="156" t="n">
        <v>12</v>
      </c>
      <c r="R46" s="156" t="n">
        <v>1</v>
      </c>
      <c r="S46" s="156" t="n">
        <v>2</v>
      </c>
      <c r="T46" s="156" t="n">
        <v>0</v>
      </c>
      <c r="U46" s="156" t="n">
        <v>0</v>
      </c>
      <c r="V46" s="156" t="n">
        <v>0</v>
      </c>
      <c r="W46" s="156" t="n">
        <v>0</v>
      </c>
      <c r="X46" s="204">
        <f>INDEX(Matrix!$AA$2:$AA$33, MATCH(G46, Matrix!$AC$2:$AC$33, 0))</f>
        <v/>
      </c>
      <c r="Y46" s="156">
        <f>_xlfn.IFNA(MATCH(E45,'Injury Report'!$C$2:$C$6216,0),0)</f>
        <v/>
      </c>
    </row>
    <row r="47" ht="15.6" customHeight="1" s="152">
      <c r="A47" s="212" t="n">
        <v>45</v>
      </c>
      <c r="B47" s="167">
        <f>F47&amp;G47</f>
        <v/>
      </c>
      <c r="C47" s="156">
        <f>(K47/MAX(K:K)*$K$1)+(O47/MAX(O:O)*$O$1)+(M47/MAX(M:M)*$M$1)+(N47/MAX(N:N)*$N$1)+(V47/MAX(V:V)*$V$1)+(P47/MAX(P:P)*$P$1)</f>
        <v/>
      </c>
      <c r="E47" s="156">
        <f>IFERROR(VLOOKUP(F47,AllPlayers!F:F,1,0),"------------")</f>
        <v/>
      </c>
      <c r="F47" s="156" t="inlineStr">
        <is>
          <t>Jordan Addison</t>
        </is>
      </c>
      <c r="G47" s="167" t="inlineStr">
        <is>
          <t>MIN</t>
        </is>
      </c>
      <c r="H47" s="156" t="inlineStr">
        <is>
          <t>WR</t>
        </is>
      </c>
      <c r="I47" s="156" t="n">
        <v>17</v>
      </c>
      <c r="J47" s="156" t="n">
        <v>60.6</v>
      </c>
      <c r="K47" s="156" t="n">
        <v>785.5</v>
      </c>
      <c r="L47" s="156">
        <f>IF(J47=0,0,K47/J47)</f>
        <v/>
      </c>
      <c r="M47" s="156">
        <f>K47/17</f>
        <v/>
      </c>
      <c r="N47" s="156" t="n">
        <v>6</v>
      </c>
      <c r="O47" s="156" t="n">
        <v>121</v>
      </c>
      <c r="P47" s="281">
        <f>IF(K47=0,0,K47/O47)</f>
        <v/>
      </c>
      <c r="Q47" s="156" t="n">
        <v>9</v>
      </c>
      <c r="R47" s="156" t="n">
        <v>2</v>
      </c>
      <c r="S47" s="156" t="n">
        <v>1</v>
      </c>
      <c r="T47" s="156" t="n">
        <v>0</v>
      </c>
      <c r="U47" s="156" t="n">
        <v>0</v>
      </c>
      <c r="V47" s="156" t="n">
        <v>1</v>
      </c>
      <c r="W47" s="156" t="n">
        <v>0.4</v>
      </c>
      <c r="X47" s="204">
        <f>INDEX(Matrix!$AA$2:$AA$33, MATCH(G47, Matrix!$AC$2:$AC$33, 0))</f>
        <v/>
      </c>
      <c r="Y47" s="156">
        <f>_xlfn.IFNA(MATCH(E46,'Injury Report'!$C$2:$C$6216,0),0)</f>
        <v/>
      </c>
    </row>
    <row r="48" ht="15.6" customHeight="1" s="152">
      <c r="A48" s="212" t="n">
        <v>46</v>
      </c>
      <c r="B48" s="167">
        <f>F48&amp;G48</f>
        <v/>
      </c>
      <c r="C48" s="156">
        <f>(K48/MAX(K:K)*$K$1)+(O48/MAX(O:O)*$O$1)+(M48/MAX(M:M)*$M$1)+(N48/MAX(N:N)*$N$1)+(V48/MAX(V:V)*$V$1)+(P48/MAX(P:P)*$P$1)</f>
        <v/>
      </c>
      <c r="E48" s="156">
        <f>IFERROR(VLOOKUP(F48,AllPlayers!F:F,1,0),"------------")</f>
        <v/>
      </c>
      <c r="F48" s="156" t="inlineStr">
        <is>
          <t>Michael Pittman</t>
        </is>
      </c>
      <c r="G48" s="167" t="inlineStr">
        <is>
          <t>IND</t>
        </is>
      </c>
      <c r="H48" s="156" t="inlineStr">
        <is>
          <t>WR</t>
        </is>
      </c>
      <c r="I48" s="156" t="n">
        <v>2</v>
      </c>
      <c r="J48" s="156" t="n">
        <v>10</v>
      </c>
      <c r="K48" s="156" t="n">
        <v>120</v>
      </c>
      <c r="L48" s="156">
        <f>IF(J48=0,0,K48/J48)</f>
        <v/>
      </c>
      <c r="M48" s="156">
        <f>K48/17</f>
        <v/>
      </c>
      <c r="N48" s="156" t="n">
        <v>1</v>
      </c>
      <c r="O48" s="156" t="n">
        <v>13</v>
      </c>
      <c r="P48" s="281">
        <f>IF(K48=0,0,K48/O48)</f>
        <v/>
      </c>
      <c r="Q48" s="156" t="n">
        <v>8</v>
      </c>
      <c r="R48" s="156" t="n">
        <v>2</v>
      </c>
      <c r="S48" s="156" t="n">
        <v>2</v>
      </c>
      <c r="T48" s="156" t="n">
        <v>0</v>
      </c>
      <c r="U48" s="156" t="n">
        <v>0</v>
      </c>
      <c r="V48" s="156" t="n">
        <v>0</v>
      </c>
      <c r="W48" s="156" t="n">
        <v>0</v>
      </c>
      <c r="X48" s="204">
        <f>INDEX(Matrix!$AA$2:$AA$33, MATCH(G48, Matrix!$AC$2:$AC$33, 0))</f>
        <v/>
      </c>
      <c r="Y48" s="156">
        <f>_xlfn.IFNA(MATCH(E47,'Injury Report'!$C$2:$C$6216,0),0)</f>
        <v/>
      </c>
    </row>
    <row r="49" ht="15.6" customHeight="1" s="152">
      <c r="A49" s="212" t="n">
        <v>47</v>
      </c>
      <c r="B49" s="167">
        <f>F49&amp;G49</f>
        <v/>
      </c>
      <c r="C49" s="156">
        <f>(K49/MAX(K:K)*$K$1)+(O49/MAX(O:O)*$O$1)+(M49/MAX(M:M)*$M$1)+(N49/MAX(N:N)*$N$1)+(V49/MAX(V:V)*$V$1)+(P49/MAX(P:P)*$P$1)</f>
        <v/>
      </c>
      <c r="E49" s="156">
        <f>IFERROR(VLOOKUP(F49,AllPlayers!F:F,1,0),"------------")</f>
        <v/>
      </c>
      <c r="F49" s="156" t="inlineStr">
        <is>
          <t>Cooper Kupp</t>
        </is>
      </c>
      <c r="G49" s="167" t="inlineStr">
        <is>
          <t>SEA</t>
        </is>
      </c>
      <c r="H49" s="156" t="inlineStr">
        <is>
          <t>WR</t>
        </is>
      </c>
      <c r="I49" s="156" t="n">
        <v>2</v>
      </c>
      <c r="J49" s="156" t="n">
        <v>9</v>
      </c>
      <c r="K49" s="156" t="n">
        <v>105</v>
      </c>
      <c r="L49" s="156">
        <f>IF(J49=0,0,K49/J49)</f>
        <v/>
      </c>
      <c r="M49" s="156">
        <f>K49/17</f>
        <v/>
      </c>
      <c r="N49" s="156" t="n">
        <v>0</v>
      </c>
      <c r="O49" s="156" t="n">
        <v>12</v>
      </c>
      <c r="P49" s="281">
        <f>IF(K49=0,0,K49/O49)</f>
        <v/>
      </c>
      <c r="Q49" s="156" t="n">
        <v>11</v>
      </c>
      <c r="R49" s="156" t="n">
        <v>1</v>
      </c>
      <c r="S49" s="156" t="n">
        <v>1</v>
      </c>
      <c r="T49" s="156" t="n">
        <v>0</v>
      </c>
      <c r="U49" s="156" t="n">
        <v>0</v>
      </c>
      <c r="V49" s="156" t="n">
        <v>0</v>
      </c>
      <c r="W49" s="156" t="n">
        <v>0</v>
      </c>
      <c r="X49" s="204">
        <f>INDEX(Matrix!$AA$2:$AA$33, MATCH(G49, Matrix!$AC$2:$AC$33, 0))</f>
        <v/>
      </c>
      <c r="Y49" s="156">
        <f>_xlfn.IFNA(MATCH(E48,'Injury Report'!$C$2:$C$6216,0),0)</f>
        <v/>
      </c>
    </row>
    <row r="50" ht="15.6" customHeight="1" s="152">
      <c r="A50" s="212" t="n">
        <v>48</v>
      </c>
      <c r="B50" s="167">
        <f>F50&amp;G50</f>
        <v/>
      </c>
      <c r="C50" s="156">
        <f>(K50/MAX(K:K)*$K$1)+(O50/MAX(O:O)*$O$1)+(M50/MAX(M:M)*$M$1)+(N50/MAX(N:N)*$N$1)+(V50/MAX(V:V)*$V$1)+(P50/MAX(P:P)*$P$1)</f>
        <v/>
      </c>
      <c r="E50" s="156">
        <f>IFERROR(VLOOKUP(F50,AllPlayers!F:F,1,0),"------------")</f>
        <v/>
      </c>
      <c r="F50" s="156" t="inlineStr">
        <is>
          <t>Chris Godwin</t>
        </is>
      </c>
      <c r="G50" s="167" t="inlineStr">
        <is>
          <t>TB</t>
        </is>
      </c>
      <c r="H50" s="156" t="inlineStr">
        <is>
          <t>WR</t>
        </is>
      </c>
      <c r="I50" s="156" t="n">
        <v>17</v>
      </c>
      <c r="J50" s="156" t="n">
        <v>68.40000000000001</v>
      </c>
      <c r="K50" s="156" t="n">
        <v>790.9</v>
      </c>
      <c r="L50" s="156">
        <f>IF(J50=0,0,K50/J50)</f>
        <v/>
      </c>
      <c r="M50" s="156">
        <f>K50/17</f>
        <v/>
      </c>
      <c r="N50" s="156" t="n">
        <v>5.4</v>
      </c>
      <c r="O50" s="156" t="n">
        <v>91</v>
      </c>
      <c r="P50" s="281">
        <f>IF(K50=0,0,K50/O50)</f>
        <v/>
      </c>
      <c r="Q50" s="156" t="n">
        <v>12</v>
      </c>
      <c r="R50" s="156" t="n">
        <v>1</v>
      </c>
      <c r="S50" s="156" t="n">
        <v>2</v>
      </c>
      <c r="T50" s="156" t="n">
        <v>1</v>
      </c>
      <c r="U50" s="156" t="n">
        <v>0</v>
      </c>
      <c r="V50" s="156" t="n">
        <v>0</v>
      </c>
      <c r="W50" s="156" t="n">
        <v>0.6</v>
      </c>
      <c r="X50" s="204">
        <f>INDEX(Matrix!$AA$2:$AA$33, MATCH(G50, Matrix!$AC$2:$AC$33, 0))</f>
        <v/>
      </c>
      <c r="Y50" s="156">
        <f>_xlfn.IFNA(MATCH(E49,'Injury Report'!$C$2:$C$6216,0),0)</f>
        <v/>
      </c>
    </row>
    <row r="51" ht="15.6" customHeight="1" s="152">
      <c r="A51" s="212" t="n">
        <v>49</v>
      </c>
      <c r="B51" s="167">
        <f>F51&amp;G51</f>
        <v/>
      </c>
      <c r="C51" s="156">
        <f>(K51/MAX(K:K)*$K$1)+(O51/MAX(O:O)*$O$1)+(M51/MAX(M:M)*$M$1)+(N51/MAX(N:N)*$N$1)+(V51/MAX(V:V)*$V$1)+(P51/MAX(P:P)*$P$1)</f>
        <v/>
      </c>
      <c r="E51" s="156">
        <f>IFERROR(VLOOKUP(F51,AllPlayers!F:F,1,0),"------------")</f>
        <v/>
      </c>
      <c r="F51" s="156" t="inlineStr">
        <is>
          <t>Emeka Egbuka</t>
        </is>
      </c>
      <c r="G51" s="167" t="inlineStr">
        <is>
          <t>TB</t>
        </is>
      </c>
      <c r="H51" s="156" t="inlineStr">
        <is>
          <t>WR</t>
        </is>
      </c>
      <c r="I51" s="156" t="n">
        <v>2</v>
      </c>
      <c r="J51" s="156" t="n">
        <v>8</v>
      </c>
      <c r="K51" s="156" t="n">
        <v>96</v>
      </c>
      <c r="L51" s="156">
        <f>IF(J51=0,0,K51/J51)</f>
        <v/>
      </c>
      <c r="M51" s="156">
        <f>K51/17</f>
        <v/>
      </c>
      <c r="N51" s="156" t="n">
        <v>3</v>
      </c>
      <c r="O51" s="156" t="n">
        <v>13</v>
      </c>
      <c r="P51" s="281">
        <f>IF(K51=0,0,K51/O51)</f>
        <v/>
      </c>
      <c r="Q51" s="156" t="n">
        <v>10</v>
      </c>
      <c r="R51" s="156" t="n">
        <v>1</v>
      </c>
      <c r="S51" s="156" t="n">
        <v>3</v>
      </c>
      <c r="T51" s="156" t="n">
        <v>0</v>
      </c>
      <c r="U51" s="156" t="n">
        <v>0</v>
      </c>
      <c r="V51" s="156" t="n">
        <v>0</v>
      </c>
      <c r="W51" s="156" t="n">
        <v>0</v>
      </c>
      <c r="X51" s="204">
        <f>INDEX(Matrix!$AA$2:$AA$33, MATCH(G51, Matrix!$AC$2:$AC$33, 0))</f>
        <v/>
      </c>
      <c r="Y51" s="156">
        <f>_xlfn.IFNA(MATCH(E50,'Injury Report'!$C$2:$C$6216,0),0)</f>
        <v/>
      </c>
    </row>
    <row r="52" ht="15.6" customHeight="1" s="152">
      <c r="A52" s="212" t="n">
        <v>50</v>
      </c>
      <c r="B52" s="167">
        <f>F52&amp;G52</f>
        <v/>
      </c>
      <c r="C52" s="156">
        <f>(K52/MAX(K:K)*$K$1)+(O52/MAX(O:O)*$O$1)+(M52/MAX(M:M)*$M$1)+(N52/MAX(N:N)*$N$1)+(V52/MAX(V:V)*$V$1)+(P52/MAX(P:P)*$P$1)</f>
        <v/>
      </c>
      <c r="E52" s="156">
        <f>IFERROR(VLOOKUP(F52,AllPlayers!F:F,1,0),"------------")</f>
        <v/>
      </c>
      <c r="F52" s="156" t="inlineStr">
        <is>
          <t>Khalil Shakir</t>
        </is>
      </c>
      <c r="G52" s="167" t="inlineStr">
        <is>
          <t>BUF</t>
        </is>
      </c>
      <c r="H52" s="156" t="inlineStr">
        <is>
          <t>WR</t>
        </is>
      </c>
      <c r="I52" s="156" t="n">
        <v>2</v>
      </c>
      <c r="J52" s="156" t="n">
        <v>7</v>
      </c>
      <c r="K52" s="156" t="n">
        <v>76</v>
      </c>
      <c r="L52" s="156">
        <f>IF(J52=0,0,K52/J52)</f>
        <v/>
      </c>
      <c r="M52" s="156">
        <f>K52/17</f>
        <v/>
      </c>
      <c r="N52" s="156" t="n">
        <v>0</v>
      </c>
      <c r="O52" s="156" t="n">
        <v>11</v>
      </c>
      <c r="P52" s="281">
        <f>IF(K52=0,0,K52/O52)</f>
        <v/>
      </c>
      <c r="Q52" s="156" t="n">
        <v>11</v>
      </c>
      <c r="R52" s="156" t="n">
        <v>2</v>
      </c>
      <c r="S52" s="156" t="n">
        <v>0</v>
      </c>
      <c r="T52" s="156" t="n">
        <v>0</v>
      </c>
      <c r="U52" s="156" t="n">
        <v>0</v>
      </c>
      <c r="V52" s="156" t="n">
        <v>0</v>
      </c>
      <c r="W52" s="156" t="n">
        <v>0</v>
      </c>
      <c r="X52" s="204">
        <f>INDEX(Matrix!$AA$2:$AA$33, MATCH(G52, Matrix!$AC$2:$AC$33, 0))</f>
        <v/>
      </c>
      <c r="Y52" s="156">
        <f>_xlfn.IFNA(MATCH(E51,'Injury Report'!$C$2:$C$6216,0),0)</f>
        <v/>
      </c>
    </row>
    <row r="53" ht="15.6" customHeight="1" s="152">
      <c r="A53" s="212" t="n">
        <v>51</v>
      </c>
      <c r="B53" s="167">
        <f>F53&amp;G53</f>
        <v/>
      </c>
      <c r="C53" s="156">
        <f>(K53/MAX(K:K)*$K$1)+(O53/MAX(O:O)*$O$1)+(M53/MAX(M:M)*$M$1)+(N53/MAX(N:N)*$N$1)+(V53/MAX(V:V)*$V$1)+(P53/MAX(P:P)*$P$1)</f>
        <v/>
      </c>
      <c r="E53" s="156">
        <f>IFERROR(VLOOKUP(F53,AllPlayers!F:F,1,0),"------------")</f>
        <v/>
      </c>
      <c r="F53" s="156" t="inlineStr">
        <is>
          <t>Darnell Mooney</t>
        </is>
      </c>
      <c r="G53" s="167" t="inlineStr">
        <is>
          <t>ATL</t>
        </is>
      </c>
      <c r="H53" s="156" t="inlineStr">
        <is>
          <t>WR</t>
        </is>
      </c>
      <c r="I53" s="156" t="n">
        <v>1</v>
      </c>
      <c r="J53" s="156" t="n">
        <v>2</v>
      </c>
      <c r="K53" s="156" t="n">
        <v>20</v>
      </c>
      <c r="L53" s="156">
        <f>IF(J53=0,0,K53/J53)</f>
        <v/>
      </c>
      <c r="M53" s="156">
        <f>K53/17</f>
        <v/>
      </c>
      <c r="N53" s="156" t="n">
        <v>0</v>
      </c>
      <c r="O53" s="156" t="n">
        <v>4</v>
      </c>
      <c r="P53" s="281">
        <f>IF(K53=0,0,K53/O53)</f>
        <v/>
      </c>
      <c r="Q53" s="156" t="n">
        <v>4</v>
      </c>
      <c r="R53" s="156" t="n">
        <v>0</v>
      </c>
      <c r="S53" s="156" t="n">
        <v>0</v>
      </c>
      <c r="T53" s="156" t="n">
        <v>0</v>
      </c>
      <c r="U53" s="156" t="n">
        <v>0</v>
      </c>
      <c r="V53" s="156" t="n">
        <v>0</v>
      </c>
      <c r="W53" s="156" t="n">
        <v>0</v>
      </c>
      <c r="X53" s="204">
        <f>INDEX(Matrix!$AA$2:$AA$33, MATCH(G53, Matrix!$AC$2:$AC$33, 0))</f>
        <v/>
      </c>
      <c r="Y53" s="156">
        <f>_xlfn.IFNA(MATCH(E52,'Injury Report'!$C$2:$C$6216,0),0)</f>
        <v/>
      </c>
    </row>
    <row r="54" ht="15.6" customHeight="1" s="152">
      <c r="A54" s="212" t="n">
        <v>52</v>
      </c>
      <c r="B54" s="167">
        <f>F54&amp;G54</f>
        <v/>
      </c>
      <c r="C54" s="156">
        <f>(K54/MAX(K:K)*$K$1)+(O54/MAX(O:O)*$O$1)+(M54/MAX(M:M)*$M$1)+(N54/MAX(N:N)*$N$1)+(V54/MAX(V:V)*$V$1)+(P54/MAX(P:P)*$P$1)</f>
        <v/>
      </c>
      <c r="E54" s="156">
        <f>IFERROR(VLOOKUP(F54,AllPlayers!F:F,1,0),"------------")</f>
        <v/>
      </c>
      <c r="F54" s="156" t="inlineStr">
        <is>
          <t>Marvin Mims</t>
        </is>
      </c>
      <c r="G54" s="167" t="inlineStr">
        <is>
          <t>DEN</t>
        </is>
      </c>
      <c r="H54" s="156" t="inlineStr">
        <is>
          <t>WR</t>
        </is>
      </c>
      <c r="I54" s="156" t="n">
        <v>2</v>
      </c>
      <c r="J54" s="156" t="n">
        <v>5</v>
      </c>
      <c r="K54" s="156" t="n">
        <v>36</v>
      </c>
      <c r="L54" s="156">
        <f>IF(J54=0,0,K54/J54)</f>
        <v/>
      </c>
      <c r="M54" s="156">
        <f>K54/17</f>
        <v/>
      </c>
      <c r="N54" s="156" t="n">
        <v>1</v>
      </c>
      <c r="O54" s="156" t="n">
        <v>6</v>
      </c>
      <c r="P54" s="281">
        <f>IF(K54=0,0,K54/O54)</f>
        <v/>
      </c>
      <c r="Q54" s="156" t="n">
        <v>8</v>
      </c>
      <c r="R54" s="156" t="n">
        <v>2</v>
      </c>
      <c r="S54" s="156" t="n">
        <v>0</v>
      </c>
      <c r="T54" s="156" t="n">
        <v>0</v>
      </c>
      <c r="U54" s="156" t="n">
        <v>0</v>
      </c>
      <c r="V54" s="156" t="n">
        <v>0</v>
      </c>
      <c r="W54" s="156" t="n">
        <v>0</v>
      </c>
      <c r="X54" s="204">
        <f>INDEX(Matrix!$AA$2:$AA$33, MATCH(G54, Matrix!$AC$2:$AC$33, 0))</f>
        <v/>
      </c>
      <c r="Y54" s="156">
        <f>_xlfn.IFNA(MATCH(E53,'Injury Report'!$C$2:$C$6216,0),0)</f>
        <v/>
      </c>
    </row>
    <row r="55" ht="15.6" customHeight="1" s="152">
      <c r="A55" s="212" t="n">
        <v>53</v>
      </c>
      <c r="B55" s="167">
        <f>F55&amp;G55</f>
        <v/>
      </c>
      <c r="C55" s="156">
        <f>(K55/MAX(K:K)*$K$1)+(O55/MAX(O:O)*$O$1)+(M55/MAX(M:M)*$M$1)+(N55/MAX(N:N)*$N$1)+(V55/MAX(V:V)*$V$1)+(P55/MAX(P:P)*$P$1)</f>
        <v/>
      </c>
      <c r="E55" s="156">
        <f>IFERROR(VLOOKUP(F55,AllPlayers!F:F,1,0),"------------")</f>
        <v/>
      </c>
      <c r="F55" s="156" t="inlineStr">
        <is>
          <t>Josh Downs</t>
        </is>
      </c>
      <c r="G55" s="167" t="inlineStr">
        <is>
          <t>IND</t>
        </is>
      </c>
      <c r="H55" s="156" t="inlineStr">
        <is>
          <t>WR</t>
        </is>
      </c>
      <c r="I55" s="156" t="n">
        <v>2</v>
      </c>
      <c r="J55" s="156" t="n">
        <v>8</v>
      </c>
      <c r="K55" s="156" t="n">
        <v>63</v>
      </c>
      <c r="L55" s="156">
        <f>IF(J55=0,0,K55/J55)</f>
        <v/>
      </c>
      <c r="M55" s="156">
        <f>K55/17</f>
        <v/>
      </c>
      <c r="N55" s="156" t="n">
        <v>0</v>
      </c>
      <c r="O55" s="156" t="n">
        <v>11</v>
      </c>
      <c r="P55" s="281">
        <f>IF(K55=0,0,K55/O55)</f>
        <v/>
      </c>
      <c r="Q55" s="156" t="n">
        <v>4</v>
      </c>
      <c r="R55" s="156" t="n">
        <v>0</v>
      </c>
      <c r="S55" s="156" t="n">
        <v>1</v>
      </c>
      <c r="T55" s="156" t="n">
        <v>0</v>
      </c>
      <c r="U55" s="156" t="n">
        <v>0</v>
      </c>
      <c r="V55" s="156" t="n">
        <v>0</v>
      </c>
      <c r="W55" s="156" t="n">
        <v>0</v>
      </c>
      <c r="X55" s="204">
        <f>INDEX(Matrix!$AA$2:$AA$33, MATCH(G55, Matrix!$AC$2:$AC$33, 0))</f>
        <v/>
      </c>
      <c r="Y55" s="156">
        <f>_xlfn.IFNA(MATCH(E54,'Injury Report'!$C$2:$C$6216,0),0)</f>
        <v/>
      </c>
    </row>
    <row r="56" ht="15.6" customHeight="1" s="152">
      <c r="A56" s="212" t="n">
        <v>54</v>
      </c>
      <c r="B56" s="167">
        <f>F56&amp;G56</f>
        <v/>
      </c>
      <c r="C56" s="156">
        <f>(K56/MAX(K:K)*$K$1)+(O56/MAX(O:O)*$O$1)+(M56/MAX(M:M)*$M$1)+(N56/MAX(N:N)*$N$1)+(V56/MAX(V:V)*$V$1)+(P56/MAX(P:P)*$P$1)</f>
        <v/>
      </c>
      <c r="E56" s="156">
        <f>IFERROR(VLOOKUP(F56,AllPlayers!F:F,1,0),"------------")</f>
        <v/>
      </c>
      <c r="F56" s="156" t="inlineStr">
        <is>
          <t>Rashod Bateman</t>
        </is>
      </c>
      <c r="G56" s="167" t="inlineStr">
        <is>
          <t>BAL</t>
        </is>
      </c>
      <c r="H56" s="156" t="inlineStr">
        <is>
          <t>WR</t>
        </is>
      </c>
      <c r="I56" s="156" t="n">
        <v>2</v>
      </c>
      <c r="J56" s="156" t="n">
        <v>4</v>
      </c>
      <c r="K56" s="156" t="n">
        <v>25</v>
      </c>
      <c r="L56" s="156">
        <f>IF(J56=0,0,K56/J56)</f>
        <v/>
      </c>
      <c r="M56" s="156">
        <f>K56/17</f>
        <v/>
      </c>
      <c r="N56" s="156" t="n">
        <v>0</v>
      </c>
      <c r="O56" s="156" t="n">
        <v>8</v>
      </c>
      <c r="P56" s="281">
        <f>IF(K56=0,0,K56/O56)</f>
        <v/>
      </c>
      <c r="Q56" s="156" t="n">
        <v>6</v>
      </c>
      <c r="R56" s="156" t="n">
        <v>1</v>
      </c>
      <c r="S56" s="156" t="n">
        <v>0</v>
      </c>
      <c r="T56" s="156" t="n">
        <v>0</v>
      </c>
      <c r="U56" s="156" t="n">
        <v>0</v>
      </c>
      <c r="V56" s="156" t="n">
        <v>0</v>
      </c>
      <c r="W56" s="156" t="n">
        <v>0</v>
      </c>
      <c r="X56" s="204">
        <f>INDEX(Matrix!$AA$2:$AA$33, MATCH(G56, Matrix!$AC$2:$AC$33, 0))</f>
        <v/>
      </c>
      <c r="Y56" s="156">
        <f>_xlfn.IFNA(MATCH(E55,'Injury Report'!$C$2:$C$6216,0),0)</f>
        <v/>
      </c>
    </row>
    <row r="57" ht="15.6" customHeight="1" s="152">
      <c r="A57" s="212" t="n">
        <v>55</v>
      </c>
      <c r="B57" s="167">
        <f>F57&amp;G57</f>
        <v/>
      </c>
      <c r="C57" s="156">
        <f>(K57/MAX(K:K)*$K$1)+(O57/MAX(O:O)*$O$1)+(M57/MAX(M:M)*$M$1)+(N57/MAX(N:N)*$N$1)+(V57/MAX(V:V)*$V$1)+(P57/MAX(P:P)*$P$1)</f>
        <v/>
      </c>
      <c r="E57" s="156">
        <f>IFERROR(VLOOKUP(F57,AllPlayers!F:F,1,0),"------------")</f>
        <v/>
      </c>
      <c r="F57" s="156" t="inlineStr">
        <is>
          <t>Marquise Brown</t>
        </is>
      </c>
      <c r="G57" s="167" t="inlineStr">
        <is>
          <t>KC</t>
        </is>
      </c>
      <c r="H57" s="156" t="inlineStr">
        <is>
          <t>WR</t>
        </is>
      </c>
      <c r="I57" s="156" t="n">
        <v>2</v>
      </c>
      <c r="J57" s="156" t="n">
        <v>15</v>
      </c>
      <c r="K57" s="156" t="n">
        <v>129</v>
      </c>
      <c r="L57" s="156">
        <f>IF(J57=0,0,K57/J57)</f>
        <v/>
      </c>
      <c r="M57" s="156">
        <f>K57/17</f>
        <v/>
      </c>
      <c r="N57" s="156" t="n">
        <v>0</v>
      </c>
      <c r="O57" s="156" t="n">
        <v>21</v>
      </c>
      <c r="P57" s="281">
        <f>IF(K57=0,0,K57/O57)</f>
        <v/>
      </c>
      <c r="Q57" s="156" t="n">
        <v>10</v>
      </c>
      <c r="R57" s="156" t="n">
        <v>3</v>
      </c>
      <c r="S57" s="156" t="n">
        <v>2</v>
      </c>
      <c r="T57" s="156" t="n">
        <v>0</v>
      </c>
      <c r="U57" s="156" t="n">
        <v>0</v>
      </c>
      <c r="V57" s="156" t="n">
        <v>0</v>
      </c>
      <c r="W57" s="156" t="n">
        <v>0</v>
      </c>
      <c r="X57" s="204">
        <f>INDEX(Matrix!$AA$2:$AA$33, MATCH(G57, Matrix!$AC$2:$AC$33, 0))</f>
        <v/>
      </c>
      <c r="Y57" s="156">
        <f>_xlfn.IFNA(MATCH(E56,'Injury Report'!$C$2:$C$6216,0),0)</f>
        <v/>
      </c>
    </row>
    <row r="58" ht="15.6" customHeight="1" s="152">
      <c r="A58" s="212" t="n">
        <v>56</v>
      </c>
      <c r="B58" s="167">
        <f>F58&amp;G58</f>
        <v/>
      </c>
      <c r="C58" s="156">
        <f>(K58/MAX(K:K)*$K$1)+(O58/MAX(O:O)*$O$1)+(M58/MAX(M:M)*$M$1)+(N58/MAX(N:N)*$N$1)+(V58/MAX(V:V)*$V$1)+(P58/MAX(P:P)*$P$1)</f>
        <v/>
      </c>
      <c r="E58" s="156">
        <f>IFERROR(VLOOKUP(F58,AllPlayers!F:F,1,0),"------------")</f>
        <v/>
      </c>
      <c r="F58" s="156" t="inlineStr">
        <is>
          <t>Cedric Tillman</t>
        </is>
      </c>
      <c r="G58" s="167" t="inlineStr">
        <is>
          <t>CLE</t>
        </is>
      </c>
      <c r="H58" s="156" t="inlineStr">
        <is>
          <t>WR</t>
        </is>
      </c>
      <c r="I58" s="156" t="n">
        <v>2</v>
      </c>
      <c r="J58" s="156" t="n">
        <v>7</v>
      </c>
      <c r="K58" s="156" t="n">
        <v>74</v>
      </c>
      <c r="L58" s="156">
        <f>IF(J58=0,0,K58/J58)</f>
        <v/>
      </c>
      <c r="M58" s="156">
        <f>K58/17</f>
        <v/>
      </c>
      <c r="N58" s="156" t="n">
        <v>2</v>
      </c>
      <c r="O58" s="156" t="n">
        <v>15</v>
      </c>
      <c r="P58" s="281">
        <f>IF(K58=0,0,K58/O58)</f>
        <v/>
      </c>
      <c r="Q58" s="156" t="n">
        <v>9</v>
      </c>
      <c r="R58" s="156" t="n">
        <v>1</v>
      </c>
      <c r="S58" s="156" t="n">
        <v>1</v>
      </c>
      <c r="T58" s="156" t="n">
        <v>0</v>
      </c>
      <c r="U58" s="156" t="n">
        <v>0</v>
      </c>
      <c r="V58" s="156" t="n">
        <v>0</v>
      </c>
      <c r="W58" s="156" t="n">
        <v>0</v>
      </c>
      <c r="X58" s="204">
        <f>INDEX(Matrix!$AA$2:$AA$33, MATCH(G58, Matrix!$AC$2:$AC$33, 0))</f>
        <v/>
      </c>
      <c r="Y58" s="156">
        <f>_xlfn.IFNA(MATCH(E57,'Injury Report'!$C$2:$C$6216,0),0)</f>
        <v/>
      </c>
    </row>
    <row r="59" ht="15.6" customHeight="1" s="152">
      <c r="A59" s="212" t="n">
        <v>57</v>
      </c>
      <c r="B59" s="167">
        <f>F59&amp;G59</f>
        <v/>
      </c>
      <c r="C59" s="156">
        <f>(K59/MAX(K:K)*$K$1)+(O59/MAX(O:O)*$O$1)+(M59/MAX(M:M)*$M$1)+(N59/MAX(N:N)*$N$1)+(V59/MAX(V:V)*$V$1)+(P59/MAX(P:P)*$P$1)</f>
        <v/>
      </c>
      <c r="E59" s="156">
        <f>IFERROR(VLOOKUP(F59,AllPlayers!F:F,1,0),"------------")</f>
        <v/>
      </c>
      <c r="F59" s="156" t="inlineStr">
        <is>
          <t>Keenan Allen</t>
        </is>
      </c>
      <c r="G59" s="167" t="inlineStr">
        <is>
          <t>LAC</t>
        </is>
      </c>
      <c r="H59" s="156" t="inlineStr">
        <is>
          <t>WR</t>
        </is>
      </c>
      <c r="I59" s="156" t="n">
        <v>2</v>
      </c>
      <c r="J59" s="156" t="n">
        <v>12</v>
      </c>
      <c r="K59" s="156" t="n">
        <v>129</v>
      </c>
      <c r="L59" s="156">
        <f>IF(J59=0,0,K59/J59)</f>
        <v/>
      </c>
      <c r="M59" s="156">
        <f>K59/17</f>
        <v/>
      </c>
      <c r="N59" s="156" t="n">
        <v>2</v>
      </c>
      <c r="O59" s="156" t="n">
        <v>17</v>
      </c>
      <c r="P59" s="281">
        <f>IF(K59=0,0,K59/O59)</f>
        <v/>
      </c>
      <c r="Q59" s="156" t="n">
        <v>5</v>
      </c>
      <c r="R59" s="156" t="n">
        <v>1</v>
      </c>
      <c r="S59" s="156" t="n">
        <v>1</v>
      </c>
      <c r="T59" s="156" t="n">
        <v>0</v>
      </c>
      <c r="U59" s="156" t="n">
        <v>0</v>
      </c>
      <c r="V59" s="156" t="n">
        <v>0</v>
      </c>
      <c r="W59" s="156" t="n">
        <v>0</v>
      </c>
      <c r="X59" s="204">
        <f>INDEX(Matrix!$AA$2:$AA$33, MATCH(G59, Matrix!$AC$2:$AC$33, 0))</f>
        <v/>
      </c>
      <c r="Y59" s="156">
        <f>_xlfn.IFNA(MATCH(E58,'Injury Report'!$C$2:$C$6216,0),0)</f>
        <v/>
      </c>
    </row>
    <row r="60" ht="15.6" customHeight="1" s="152">
      <c r="A60" s="212" t="n">
        <v>58</v>
      </c>
      <c r="B60" s="167">
        <f>F60&amp;G60</f>
        <v/>
      </c>
      <c r="C60" s="156">
        <f>(K60/MAX(K:K)*$K$1)+(O60/MAX(O:O)*$O$1)+(M60/MAX(M:M)*$M$1)+(N60/MAX(N:N)*$N$1)+(V60/MAX(V:V)*$V$1)+(P60/MAX(P:P)*$P$1)</f>
        <v/>
      </c>
      <c r="E60" s="156">
        <f>IFERROR(VLOOKUP(F60,AllPlayers!F:F,1,0),"------------")</f>
        <v/>
      </c>
      <c r="F60" s="156" t="inlineStr">
        <is>
          <t>Adam Thielen</t>
        </is>
      </c>
      <c r="G60" s="167" t="inlineStr">
        <is>
          <t>CAR</t>
        </is>
      </c>
      <c r="H60" s="156" t="inlineStr">
        <is>
          <t>WR</t>
        </is>
      </c>
      <c r="I60" s="156" t="n">
        <v>2</v>
      </c>
      <c r="J60" s="156" t="n">
        <v>2</v>
      </c>
      <c r="K60" s="156" t="n">
        <v>26</v>
      </c>
      <c r="L60" s="156">
        <f>IF(J60=0,0,K60/J60)</f>
        <v/>
      </c>
      <c r="M60" s="156">
        <f>K60/17</f>
        <v/>
      </c>
      <c r="N60" s="156" t="n">
        <v>0</v>
      </c>
      <c r="O60" s="156" t="n">
        <v>4</v>
      </c>
      <c r="P60" s="281">
        <f>IF(K60=0,0,K60/O60)</f>
        <v/>
      </c>
      <c r="Q60" s="156" t="n">
        <v>7</v>
      </c>
      <c r="R60" s="156" t="n">
        <v>0</v>
      </c>
      <c r="S60" s="156" t="n">
        <v>0</v>
      </c>
      <c r="T60" s="156" t="n">
        <v>0</v>
      </c>
      <c r="U60" s="156" t="n">
        <v>0</v>
      </c>
      <c r="V60" s="156" t="n">
        <v>0</v>
      </c>
      <c r="W60" s="156" t="n">
        <v>0</v>
      </c>
      <c r="X60" s="204">
        <f>INDEX(Matrix!$AA$2:$AA$33, MATCH(G60, Matrix!$AC$2:$AC$33, 0))</f>
        <v/>
      </c>
      <c r="Y60" s="156">
        <f>_xlfn.IFNA(MATCH(E59,'Injury Report'!$C$2:$C$6216,0),0)</f>
        <v/>
      </c>
    </row>
    <row r="61" ht="15.6" customHeight="1" s="152">
      <c r="A61" s="212" t="n">
        <v>59</v>
      </c>
      <c r="B61" s="167">
        <f>F61&amp;G61</f>
        <v/>
      </c>
      <c r="C61" s="156">
        <f>(K61/MAX(K:K)*$K$1)+(O61/MAX(O:O)*$O$1)+(M61/MAX(M:M)*$M$1)+(N61/MAX(N:N)*$N$1)+(V61/MAX(V:V)*$V$1)+(P61/MAX(P:P)*$P$1)</f>
        <v/>
      </c>
      <c r="E61" s="156">
        <f>IFERROR(VLOOKUP(F61,AllPlayers!F:F,1,0),"------------")</f>
        <v/>
      </c>
      <c r="F61" s="156" t="inlineStr">
        <is>
          <t>Jayden Higgins</t>
        </is>
      </c>
      <c r="G61" s="167" t="inlineStr">
        <is>
          <t>HOU</t>
        </is>
      </c>
      <c r="H61" s="156" t="inlineStr">
        <is>
          <t>WR</t>
        </is>
      </c>
      <c r="I61" s="156" t="n">
        <v>2</v>
      </c>
      <c r="J61" s="156" t="n">
        <v>3</v>
      </c>
      <c r="K61" s="156" t="n">
        <v>60</v>
      </c>
      <c r="L61" s="156">
        <f>IF(J61=0,0,K61/J61)</f>
        <v/>
      </c>
      <c r="M61" s="156">
        <f>K61/17</f>
        <v/>
      </c>
      <c r="N61" s="156" t="n">
        <v>0</v>
      </c>
      <c r="O61" s="156" t="n">
        <v>4</v>
      </c>
      <c r="P61" s="281">
        <f>IF(K61=0,0,K61/O61)</f>
        <v/>
      </c>
      <c r="Q61" s="156" t="n">
        <v>7</v>
      </c>
      <c r="R61" s="156" t="n">
        <v>0</v>
      </c>
      <c r="S61" s="156" t="n">
        <v>0</v>
      </c>
      <c r="T61" s="156" t="n">
        <v>0</v>
      </c>
      <c r="U61" s="156" t="n">
        <v>0</v>
      </c>
      <c r="V61" s="156" t="n">
        <v>0</v>
      </c>
      <c r="W61" s="156" t="n">
        <v>0</v>
      </c>
      <c r="X61" s="204">
        <f>INDEX(Matrix!$AA$2:$AA$33, MATCH(G61, Matrix!$AC$2:$AC$33, 0))</f>
        <v/>
      </c>
      <c r="Y61" s="156">
        <f>_xlfn.IFNA(MATCH(E60,'Injury Report'!$C$2:$C$6216,0),0)</f>
        <v/>
      </c>
    </row>
    <row r="62" ht="15.6" customHeight="1" s="152">
      <c r="A62" s="212" t="n">
        <v>60</v>
      </c>
      <c r="B62" s="167">
        <f>F62&amp;G62</f>
        <v/>
      </c>
      <c r="C62" s="156">
        <f>(K62/MAX(K:K)*$K$1)+(O62/MAX(O:O)*$O$1)+(M62/MAX(M:M)*$M$1)+(N62/MAX(N:N)*$N$1)+(V62/MAX(V:V)*$V$1)+(P62/MAX(P:P)*$P$1)</f>
        <v/>
      </c>
      <c r="E62" s="156">
        <f>IFERROR(VLOOKUP(F62,AllPlayers!F:F,1,0),"------------")</f>
        <v/>
      </c>
      <c r="F62" s="156" t="inlineStr">
        <is>
          <t>Christian Kirk</t>
        </is>
      </c>
      <c r="G62" s="167" t="inlineStr">
        <is>
          <t>HOU</t>
        </is>
      </c>
      <c r="H62" s="156" t="inlineStr">
        <is>
          <t>WR</t>
        </is>
      </c>
      <c r="I62" s="156" t="n">
        <v>17</v>
      </c>
      <c r="J62" s="156" t="n">
        <v>52.1</v>
      </c>
      <c r="K62" s="156" t="n">
        <v>672.2</v>
      </c>
      <c r="L62" s="156">
        <f>IF(J62=0,0,K62/J62)</f>
        <v/>
      </c>
      <c r="M62" s="156">
        <f>K62/17</f>
        <v/>
      </c>
      <c r="N62" s="156" t="n">
        <v>3.6</v>
      </c>
      <c r="O62" s="156" t="n">
        <v>98</v>
      </c>
      <c r="P62" s="281">
        <f>IF(K62=0,0,K62/O62)</f>
        <v/>
      </c>
      <c r="Q62" s="156" t="n">
        <v>4</v>
      </c>
      <c r="R62" s="156" t="n">
        <v>1</v>
      </c>
      <c r="S62" s="156" t="n">
        <v>0</v>
      </c>
      <c r="T62" s="156" t="n">
        <v>0</v>
      </c>
      <c r="U62" s="156" t="n">
        <v>0</v>
      </c>
      <c r="V62" s="156" t="n">
        <v>0</v>
      </c>
      <c r="W62" s="156" t="n">
        <v>0.8</v>
      </c>
      <c r="X62" s="204">
        <f>INDEX(Matrix!$AA$2:$AA$33, MATCH(G62, Matrix!$AC$2:$AC$33, 0))</f>
        <v/>
      </c>
      <c r="Y62" s="156">
        <f>_xlfn.IFNA(MATCH(E61,'Injury Report'!$C$2:$C$6216,0),0)</f>
        <v/>
      </c>
    </row>
    <row r="63" ht="15.6" customHeight="1" s="152">
      <c r="A63" s="212" t="n">
        <v>61</v>
      </c>
      <c r="B63" s="167">
        <f>F63&amp;G63</f>
        <v/>
      </c>
      <c r="C63" s="156">
        <f>(K63/MAX(K:K)*$K$1)+(O63/MAX(O:O)*$O$1)+(M63/MAX(M:M)*$M$1)+(N63/MAX(N:N)*$N$1)+(V63/MAX(V:V)*$V$1)+(P63/MAX(P:P)*$P$1)</f>
        <v/>
      </c>
      <c r="E63" s="156">
        <f>IFERROR(VLOOKUP(F63,AllPlayers!F:F,1,0),"------------")</f>
        <v/>
      </c>
      <c r="F63" s="156" t="inlineStr">
        <is>
          <t>Xavier Legette</t>
        </is>
      </c>
      <c r="G63" s="167" t="inlineStr">
        <is>
          <t>CAR</t>
        </is>
      </c>
      <c r="H63" s="156" t="inlineStr">
        <is>
          <t>WR</t>
        </is>
      </c>
      <c r="I63" s="156" t="n">
        <v>2</v>
      </c>
      <c r="J63" s="156" t="n">
        <v>4</v>
      </c>
      <c r="K63" s="156" t="n">
        <v>8</v>
      </c>
      <c r="L63" s="156">
        <f>IF(J63=0,0,K63/J63)</f>
        <v/>
      </c>
      <c r="M63" s="156">
        <f>K63/17</f>
        <v/>
      </c>
      <c r="N63" s="156" t="n">
        <v>0</v>
      </c>
      <c r="O63" s="156" t="n">
        <v>15</v>
      </c>
      <c r="P63" s="281">
        <f>IF(K63=0,0,K63/O63)</f>
        <v/>
      </c>
      <c r="Q63" s="156" t="n">
        <v>8</v>
      </c>
      <c r="R63" s="156" t="n">
        <v>0</v>
      </c>
      <c r="S63" s="156" t="n">
        <v>0</v>
      </c>
      <c r="T63" s="156" t="n">
        <v>0</v>
      </c>
      <c r="U63" s="156" t="n">
        <v>0</v>
      </c>
      <c r="V63" s="156" t="n">
        <v>0</v>
      </c>
      <c r="W63" s="156" t="n">
        <v>0</v>
      </c>
      <c r="X63" s="204">
        <f>INDEX(Matrix!$AA$2:$AA$33, MATCH(G63, Matrix!$AC$2:$AC$33, 0))</f>
        <v/>
      </c>
      <c r="Y63" s="156">
        <f>_xlfn.IFNA(MATCH(E62,'Injury Report'!$C$2:$C$6216,0),0)</f>
        <v/>
      </c>
    </row>
    <row r="64" ht="15.6" customHeight="1" s="152">
      <c r="A64" s="212" t="n">
        <v>62</v>
      </c>
      <c r="B64" s="167">
        <f>F64&amp;G64</f>
        <v/>
      </c>
      <c r="C64" s="156">
        <f>(K64/MAX(K:K)*$K$1)+(O64/MAX(O:O)*$O$1)+(M64/MAX(M:M)*$M$1)+(N64/MAX(N:N)*$N$1)+(V64/MAX(V:V)*$V$1)+(P64/MAX(P:P)*$P$1)</f>
        <v/>
      </c>
      <c r="E64" s="156">
        <f>IFERROR(VLOOKUP(F64,AllPlayers!F:F,1,0),"------------")</f>
        <v/>
      </c>
      <c r="F64" s="156" t="inlineStr">
        <is>
          <t>Romeo Doubs</t>
        </is>
      </c>
      <c r="G64" s="167" t="inlineStr">
        <is>
          <t>GB</t>
        </is>
      </c>
      <c r="H64" s="156" t="inlineStr">
        <is>
          <t>WR</t>
        </is>
      </c>
      <c r="I64" s="156" t="n">
        <v>2</v>
      </c>
      <c r="J64" s="156" t="n">
        <v>5</v>
      </c>
      <c r="K64" s="156" t="n">
        <v>96</v>
      </c>
      <c r="L64" s="156">
        <f>IF(J64=0,0,K64/J64)</f>
        <v/>
      </c>
      <c r="M64" s="156">
        <f>K64/17</f>
        <v/>
      </c>
      <c r="N64" s="156" t="n">
        <v>1</v>
      </c>
      <c r="O64" s="156" t="n">
        <v>9</v>
      </c>
      <c r="P64" s="281">
        <f>IF(K64=0,0,K64/O64)</f>
        <v/>
      </c>
      <c r="Q64" s="156" t="n">
        <v>12</v>
      </c>
      <c r="R64" s="156" t="n">
        <v>5</v>
      </c>
      <c r="S64" s="156" t="n">
        <v>2</v>
      </c>
      <c r="T64" s="156" t="n">
        <v>1</v>
      </c>
      <c r="U64" s="156" t="n">
        <v>0</v>
      </c>
      <c r="V64" s="156" t="n">
        <v>0</v>
      </c>
      <c r="W64" s="156" t="n">
        <v>0</v>
      </c>
      <c r="X64" s="204">
        <f>INDEX(Matrix!$AA$2:$AA$33, MATCH(G64, Matrix!$AC$2:$AC$33, 0))</f>
        <v/>
      </c>
      <c r="Y64" s="156">
        <f>_xlfn.IFNA(MATCH(E63,'Injury Report'!$C$2:$C$6216,0),0)</f>
        <v/>
      </c>
    </row>
    <row r="65" ht="15.6" customHeight="1" s="152">
      <c r="A65" s="212" t="n">
        <v>63</v>
      </c>
      <c r="B65" s="167">
        <f>F65&amp;G65</f>
        <v/>
      </c>
      <c r="C65" s="156">
        <f>(K65/MAX(K:K)*$K$1)+(O65/MAX(O:O)*$O$1)+(M65/MAX(M:M)*$M$1)+(N65/MAX(N:N)*$N$1)+(V65/MAX(V:V)*$V$1)+(P65/MAX(P:P)*$P$1)</f>
        <v/>
      </c>
      <c r="E65" s="156">
        <f>IFERROR(VLOOKUP(F65,AllPlayers!F:F,1,0),"------------")</f>
        <v/>
      </c>
      <c r="F65" s="156" t="inlineStr">
        <is>
          <t>Wan'dale Robinson</t>
        </is>
      </c>
      <c r="G65" s="167" t="inlineStr">
        <is>
          <t>NYG</t>
        </is>
      </c>
      <c r="H65" s="156" t="inlineStr">
        <is>
          <t>WR</t>
        </is>
      </c>
      <c r="I65" s="156" t="n">
        <v>2</v>
      </c>
      <c r="J65" s="156" t="n">
        <v>14</v>
      </c>
      <c r="K65" s="156" t="n">
        <v>197</v>
      </c>
      <c r="L65" s="156">
        <f>IF(J65=0,0,K65/J65)</f>
        <v/>
      </c>
      <c r="M65" s="156">
        <f>K65/17</f>
        <v/>
      </c>
      <c r="N65" s="156" t="n">
        <v>1</v>
      </c>
      <c r="O65" s="156" t="n">
        <v>18</v>
      </c>
      <c r="P65" s="281">
        <f>IF(K65=0,0,K65/O65)</f>
        <v/>
      </c>
      <c r="Q65" s="156" t="n">
        <v>9</v>
      </c>
      <c r="R65" s="156" t="n">
        <v>1</v>
      </c>
      <c r="S65" s="156" t="n">
        <v>2</v>
      </c>
      <c r="T65" s="156" t="n">
        <v>0</v>
      </c>
      <c r="U65" s="156" t="n">
        <v>0</v>
      </c>
      <c r="V65" s="156" t="n">
        <v>0</v>
      </c>
      <c r="W65" s="156" t="n">
        <v>0</v>
      </c>
      <c r="X65" s="204">
        <f>INDEX(Matrix!$AA$2:$AA$33, MATCH(G65, Matrix!$AC$2:$AC$33, 0))</f>
        <v/>
      </c>
      <c r="Y65" s="156">
        <f>_xlfn.IFNA(MATCH(E64,'Injury Report'!$C$2:$C$6216,0),0)</f>
        <v/>
      </c>
    </row>
    <row r="66" ht="15.6" customHeight="1" s="152">
      <c r="A66" s="212" t="n">
        <v>64</v>
      </c>
      <c r="B66" s="167">
        <f>F66&amp;G66</f>
        <v/>
      </c>
      <c r="C66" s="156">
        <f>(K66/MAX(K:K)*$K$1)+(O66/MAX(O:O)*$O$1)+(M66/MAX(M:M)*$M$1)+(N66/MAX(N:N)*$N$1)+(V66/MAX(V:V)*$V$1)+(P66/MAX(P:P)*$P$1)</f>
        <v/>
      </c>
      <c r="E66" s="156">
        <f>IFERROR(VLOOKUP(F66,AllPlayers!F:F,1,0),"------------")</f>
        <v/>
      </c>
      <c r="F66" s="156" t="inlineStr">
        <is>
          <t>Brandon Aiyuk</t>
        </is>
      </c>
      <c r="G66" s="167" t="inlineStr">
        <is>
          <t>SF</t>
        </is>
      </c>
      <c r="H66" s="156" t="inlineStr">
        <is>
          <t>WR</t>
        </is>
      </c>
      <c r="I66" s="156" t="n">
        <v>17</v>
      </c>
      <c r="J66" s="156" t="n">
        <v>40</v>
      </c>
      <c r="K66" s="156" t="n">
        <v>611.9</v>
      </c>
      <c r="L66" s="156">
        <f>IF(J66=0,0,K66/J66)</f>
        <v/>
      </c>
      <c r="M66" s="156">
        <f>K66/17</f>
        <v/>
      </c>
      <c r="N66" s="156" t="n">
        <v>3.2</v>
      </c>
      <c r="O66" s="156" t="n">
        <v>79</v>
      </c>
      <c r="P66" s="281">
        <f>IF(K66=0,0,K66/O66)</f>
        <v/>
      </c>
      <c r="Q66" s="156" t="n">
        <v>8</v>
      </c>
      <c r="R66" s="156" t="n">
        <v>1</v>
      </c>
      <c r="S66" s="156" t="n">
        <v>0</v>
      </c>
      <c r="T66" s="156" t="n">
        <v>0</v>
      </c>
      <c r="U66" s="156" t="n">
        <v>0</v>
      </c>
      <c r="V66" s="156" t="n">
        <v>0</v>
      </c>
      <c r="W66" s="156" t="n">
        <v>0.5</v>
      </c>
      <c r="X66" s="204">
        <f>INDEX(Matrix!$AA$2:$AA$33, MATCH(G66, Matrix!$AC$2:$AC$33, 0))</f>
        <v/>
      </c>
      <c r="Y66" s="156">
        <f>_xlfn.IFNA(MATCH(E65,'Injury Report'!$C$2:$C$6216,0),0)</f>
        <v/>
      </c>
    </row>
    <row r="67" ht="15.6" customHeight="1" s="152">
      <c r="A67" s="212" t="n">
        <v>65</v>
      </c>
      <c r="B67" s="167">
        <f>F67&amp;G67</f>
        <v/>
      </c>
      <c r="C67" s="156">
        <f>(K67/MAX(K:K)*$K$1)+(O67/MAX(O:O)*$O$1)+(M67/MAX(M:M)*$M$1)+(N67/MAX(N:N)*$N$1)+(V67/MAX(V:V)*$V$1)+(P67/MAX(P:P)*$P$1)</f>
        <v/>
      </c>
      <c r="E67" s="156">
        <f>IFERROR(VLOOKUP(F67,AllPlayers!F:F,1,0),"------------")</f>
        <v/>
      </c>
      <c r="F67" s="156" t="inlineStr">
        <is>
          <t>Demario Douglas</t>
        </is>
      </c>
      <c r="G67" s="167" t="inlineStr">
        <is>
          <t>NE</t>
        </is>
      </c>
      <c r="H67" s="156" t="inlineStr">
        <is>
          <t>WR</t>
        </is>
      </c>
      <c r="I67" s="156" t="n">
        <v>2</v>
      </c>
      <c r="J67" s="156" t="n">
        <v>3</v>
      </c>
      <c r="K67" s="156" t="n">
        <v>6</v>
      </c>
      <c r="L67" s="156">
        <f>IF(J67=0,0,K67/J67)</f>
        <v/>
      </c>
      <c r="M67" s="156">
        <f>K67/17</f>
        <v/>
      </c>
      <c r="N67" s="156" t="n">
        <v>1</v>
      </c>
      <c r="O67" s="156" t="n">
        <v>8</v>
      </c>
      <c r="P67" s="281">
        <f>IF(K67=0,0,K67/O67)</f>
        <v/>
      </c>
      <c r="Q67" s="156" t="n">
        <v>7</v>
      </c>
      <c r="R67" s="156" t="n">
        <v>3</v>
      </c>
      <c r="S67" s="156" t="n">
        <v>0</v>
      </c>
      <c r="T67" s="156" t="n">
        <v>0</v>
      </c>
      <c r="U67" s="156" t="n">
        <v>0</v>
      </c>
      <c r="V67" s="156" t="n">
        <v>0</v>
      </c>
      <c r="W67" s="156" t="n">
        <v>0</v>
      </c>
      <c r="X67" s="204">
        <f>INDEX(Matrix!$AA$2:$AA$33, MATCH(G67, Matrix!$AC$2:$AC$33, 0))</f>
        <v/>
      </c>
      <c r="Y67" s="156">
        <f>_xlfn.IFNA(MATCH(E66,'Injury Report'!$C$2:$C$6216,0),0)</f>
        <v/>
      </c>
    </row>
    <row r="68" ht="15.6" customHeight="1" s="152">
      <c r="A68" s="212" t="n">
        <v>66</v>
      </c>
      <c r="B68" s="167">
        <f>F68&amp;G68</f>
        <v/>
      </c>
      <c r="C68" s="156">
        <f>(K68/MAX(K:K)*$K$1)+(O68/MAX(O:O)*$O$1)+(M68/MAX(M:M)*$M$1)+(N68/MAX(N:N)*$N$1)+(V68/MAX(V:V)*$V$1)+(P68/MAX(P:P)*$P$1)</f>
        <v/>
      </c>
      <c r="E68" s="156">
        <f>IFERROR(VLOOKUP(F68,AllPlayers!F:F,1,0),"------------")</f>
        <v/>
      </c>
      <c r="F68" s="156" t="inlineStr">
        <is>
          <t>Joshua Palmer</t>
        </is>
      </c>
      <c r="G68" s="167" t="inlineStr">
        <is>
          <t>BUF</t>
        </is>
      </c>
      <c r="H68" s="156" t="inlineStr">
        <is>
          <t>WR</t>
        </is>
      </c>
      <c r="I68" s="156" t="n">
        <v>17</v>
      </c>
      <c r="J68" s="156" t="n">
        <v>42</v>
      </c>
      <c r="K68" s="156" t="n">
        <v>589</v>
      </c>
      <c r="L68" s="156">
        <f>IF(J68=0,0,K68/J68)</f>
        <v/>
      </c>
      <c r="M68" s="156">
        <f>K68/17</f>
        <v/>
      </c>
      <c r="N68" s="156" t="n">
        <v>3.5</v>
      </c>
      <c r="O68" s="156" t="n">
        <v>72</v>
      </c>
      <c r="P68" s="281">
        <f>IF(K68=0,0,K68/O68)</f>
        <v/>
      </c>
      <c r="Q68" s="156" t="n">
        <v>8</v>
      </c>
      <c r="R68" s="156" t="n">
        <v>0</v>
      </c>
      <c r="S68" s="156" t="n">
        <v>0</v>
      </c>
      <c r="T68" s="156" t="n">
        <v>0</v>
      </c>
      <c r="U68" s="156" t="n">
        <v>0</v>
      </c>
      <c r="V68" s="156" t="n">
        <v>0</v>
      </c>
      <c r="W68" s="156" t="n">
        <v>0.1</v>
      </c>
      <c r="X68" s="204">
        <f>INDEX(Matrix!$AA$2:$AA$33, MATCH(G68, Matrix!$AC$2:$AC$33, 0))</f>
        <v/>
      </c>
      <c r="Y68" s="156">
        <f>_xlfn.IFNA(MATCH(E67,'Injury Report'!$C$2:$C$6216,0),0)</f>
        <v/>
      </c>
    </row>
    <row r="69" ht="15.6" customHeight="1" s="152">
      <c r="A69" s="212" t="n">
        <v>67</v>
      </c>
      <c r="B69" s="167">
        <f>F69&amp;G69</f>
        <v/>
      </c>
      <c r="C69" s="156">
        <f>(K69/MAX(K:K)*$K$1)+(O69/MAX(O:O)*$O$1)+(M69/MAX(M:M)*$M$1)+(N69/MAX(N:N)*$N$1)+(V69/MAX(V:V)*$V$1)+(P69/MAX(P:P)*$P$1)</f>
        <v/>
      </c>
      <c r="E69" s="156">
        <f>IFERROR(VLOOKUP(F69,AllPlayers!F:F,1,0),"------------")</f>
        <v/>
      </c>
      <c r="F69" s="156" t="inlineStr">
        <is>
          <t>Tyler Lockett</t>
        </is>
      </c>
      <c r="G69" s="167" t="inlineStr">
        <is>
          <t>TEN</t>
        </is>
      </c>
      <c r="H69" s="156" t="inlineStr">
        <is>
          <t>WR</t>
        </is>
      </c>
      <c r="I69" s="156" t="n">
        <v>2</v>
      </c>
      <c r="J69" s="156" t="n">
        <v>2</v>
      </c>
      <c r="K69" s="156" t="n">
        <v>9</v>
      </c>
      <c r="L69" s="156">
        <f>IF(J69=0,0,K69/J69)</f>
        <v/>
      </c>
      <c r="M69" s="156">
        <f>K69/17</f>
        <v/>
      </c>
      <c r="N69" s="156" t="n">
        <v>0</v>
      </c>
      <c r="O69" s="156" t="n">
        <v>4</v>
      </c>
      <c r="P69" s="281">
        <f>IF(K69=0,0,K69/O69)</f>
        <v/>
      </c>
      <c r="Q69" s="156" t="n">
        <v>7</v>
      </c>
      <c r="R69" s="156" t="n">
        <v>0</v>
      </c>
      <c r="S69" s="156" t="n">
        <v>0</v>
      </c>
      <c r="T69" s="156" t="n">
        <v>0</v>
      </c>
      <c r="U69" s="156" t="n">
        <v>0</v>
      </c>
      <c r="V69" s="156" t="n">
        <v>0</v>
      </c>
      <c r="W69" s="156" t="n">
        <v>0</v>
      </c>
      <c r="X69" s="204">
        <f>INDEX(Matrix!$AA$2:$AA$33, MATCH(G69, Matrix!$AC$2:$AC$33, 0))</f>
        <v/>
      </c>
      <c r="Y69" s="156">
        <f>_xlfn.IFNA(MATCH(E68,'Injury Report'!$C$2:$C$6216,0),0)</f>
        <v/>
      </c>
    </row>
    <row r="70" ht="15.6" customHeight="1" s="152">
      <c r="A70" s="212" t="n">
        <v>68</v>
      </c>
      <c r="B70" s="167">
        <f>F70&amp;G70</f>
        <v/>
      </c>
      <c r="C70" s="156">
        <f>(K70/MAX(K:K)*$K$1)+(O70/MAX(O:O)*$O$1)+(M70/MAX(M:M)*$M$1)+(N70/MAX(N:N)*$N$1)+(V70/MAX(V:V)*$V$1)+(P70/MAX(P:P)*$P$1)</f>
        <v/>
      </c>
      <c r="E70" s="156">
        <f>IFERROR(VLOOKUP(F70,AllPlayers!F:F,1,0),"------------")</f>
        <v/>
      </c>
      <c r="F70" s="156" t="inlineStr">
        <is>
          <t>Luther Burden</t>
        </is>
      </c>
      <c r="G70" s="167" t="inlineStr">
        <is>
          <t>CHI</t>
        </is>
      </c>
      <c r="H70" s="156" t="inlineStr">
        <is>
          <t>WR</t>
        </is>
      </c>
      <c r="I70" s="156" t="n">
        <v>2</v>
      </c>
      <c r="J70" s="156" t="n">
        <v>2</v>
      </c>
      <c r="K70" s="156" t="n">
        <v>2</v>
      </c>
      <c r="L70" s="156">
        <f>IF(J70=0,0,K70/J70)</f>
        <v/>
      </c>
      <c r="M70" s="156">
        <f>K70/17</f>
        <v/>
      </c>
      <c r="N70" s="156" t="n">
        <v>0</v>
      </c>
      <c r="O70" s="156" t="n">
        <v>3</v>
      </c>
      <c r="P70" s="281">
        <f>IF(K70=0,0,K70/O70)</f>
        <v/>
      </c>
      <c r="Q70" s="156" t="n">
        <v>7</v>
      </c>
      <c r="R70" s="156" t="n">
        <v>1</v>
      </c>
      <c r="S70" s="156" t="n">
        <v>1</v>
      </c>
      <c r="T70" s="156" t="n">
        <v>0</v>
      </c>
      <c r="U70" s="156" t="n">
        <v>0</v>
      </c>
      <c r="V70" s="156" t="n">
        <v>0</v>
      </c>
      <c r="W70" s="156" t="n">
        <v>0</v>
      </c>
      <c r="X70" s="204">
        <f>INDEX(Matrix!$AA$2:$AA$33, MATCH(G70, Matrix!$AC$2:$AC$33, 0))</f>
        <v/>
      </c>
      <c r="Y70" s="156">
        <f>_xlfn.IFNA(MATCH(E69,'Injury Report'!$C$2:$C$6216,0),0)</f>
        <v/>
      </c>
    </row>
    <row r="71" ht="15.6" customHeight="1" s="152">
      <c r="A71" s="212" t="n">
        <v>69</v>
      </c>
      <c r="B71" s="167">
        <f>F71&amp;G71</f>
        <v/>
      </c>
      <c r="C71" s="156">
        <f>(K71/MAX(K:K)*$K$1)+(O71/MAX(O:O)*$O$1)+(M71/MAX(M:M)*$M$1)+(N71/MAX(N:N)*$N$1)+(V71/MAX(V:V)*$V$1)+(P71/MAX(P:P)*$P$1)</f>
        <v/>
      </c>
      <c r="E71" s="156">
        <f>IFERROR(VLOOKUP(F71,AllPlayers!F:F,1,0),"------------")</f>
        <v/>
      </c>
      <c r="F71" s="156" t="inlineStr">
        <is>
          <t>Michael Wilson</t>
        </is>
      </c>
      <c r="G71" s="167" t="inlineStr">
        <is>
          <t>ARI</t>
        </is>
      </c>
      <c r="H71" s="156" t="inlineStr">
        <is>
          <t>WR</t>
        </is>
      </c>
      <c r="I71" s="156" t="n">
        <v>2</v>
      </c>
      <c r="J71" s="156" t="n">
        <v>2</v>
      </c>
      <c r="K71" s="156" t="n">
        <v>16</v>
      </c>
      <c r="L71" s="156">
        <f>IF(J71=0,0,K71/J71)</f>
        <v/>
      </c>
      <c r="M71" s="156">
        <f>K71/17</f>
        <v/>
      </c>
      <c r="N71" s="156" t="n">
        <v>1</v>
      </c>
      <c r="O71" s="156" t="n">
        <v>6</v>
      </c>
      <c r="P71" s="281">
        <f>IF(K71=0,0,K71/O71)</f>
        <v/>
      </c>
      <c r="Q71" s="156" t="n">
        <v>3</v>
      </c>
      <c r="R71" s="156" t="n">
        <v>0</v>
      </c>
      <c r="S71" s="156" t="n">
        <v>0</v>
      </c>
      <c r="T71" s="156" t="n">
        <v>0</v>
      </c>
      <c r="U71" s="156" t="n">
        <v>0</v>
      </c>
      <c r="V71" s="156" t="n">
        <v>0</v>
      </c>
      <c r="W71" s="156" t="n">
        <v>0</v>
      </c>
      <c r="X71" s="204">
        <f>INDEX(Matrix!$AA$2:$AA$33, MATCH(G71, Matrix!$AC$2:$AC$33, 0))</f>
        <v/>
      </c>
      <c r="Y71" s="156">
        <f>_xlfn.IFNA(MATCH(E70,'Injury Report'!$C$2:$C$6216,0),0)</f>
        <v/>
      </c>
    </row>
    <row r="72" ht="15.6" customHeight="1" s="152">
      <c r="A72" s="212" t="n">
        <v>70</v>
      </c>
      <c r="B72" s="167">
        <f>F72&amp;G72</f>
        <v/>
      </c>
      <c r="C72" s="156">
        <f>(K72/MAX(K:K)*$K$1)+(O72/MAX(O:O)*$O$1)+(M72/MAX(M:M)*$M$1)+(N72/MAX(N:N)*$N$1)+(V72/MAX(V:V)*$V$1)+(P72/MAX(P:P)*$P$1)</f>
        <v/>
      </c>
      <c r="E72" s="156">
        <f>IFERROR(VLOOKUP(F72,AllPlayers!F:F,1,0),"------------")</f>
        <v/>
      </c>
      <c r="F72" s="156" t="inlineStr">
        <is>
          <t>Alec Pierce</t>
        </is>
      </c>
      <c r="G72" s="167" t="inlineStr">
        <is>
          <t>IND</t>
        </is>
      </c>
      <c r="H72" s="156" t="inlineStr">
        <is>
          <t>WR</t>
        </is>
      </c>
      <c r="I72" s="156" t="n">
        <v>2</v>
      </c>
      <c r="J72" s="156" t="n">
        <v>5</v>
      </c>
      <c r="K72" s="156" t="n">
        <v>104</v>
      </c>
      <c r="L72" s="156">
        <f>IF(J72=0,0,K72/J72)</f>
        <v/>
      </c>
      <c r="M72" s="156">
        <f>K72/17</f>
        <v/>
      </c>
      <c r="N72" s="156" t="n">
        <v>0</v>
      </c>
      <c r="O72" s="156" t="n">
        <v>8</v>
      </c>
      <c r="P72" s="281">
        <f>IF(K72=0,0,K72/O72)</f>
        <v/>
      </c>
      <c r="Q72" s="156" t="n">
        <v>11</v>
      </c>
      <c r="R72" s="156" t="n">
        <v>2</v>
      </c>
      <c r="S72" s="156" t="n">
        <v>1</v>
      </c>
      <c r="T72" s="156" t="n">
        <v>0</v>
      </c>
      <c r="U72" s="156" t="n">
        <v>0</v>
      </c>
      <c r="V72" s="156" t="n">
        <v>0</v>
      </c>
      <c r="W72" s="156" t="n">
        <v>0</v>
      </c>
      <c r="X72" s="204">
        <f>INDEX(Matrix!$AA$2:$AA$33, MATCH(G72, Matrix!$AC$2:$AC$33, 0))</f>
        <v/>
      </c>
      <c r="Y72" s="156">
        <f>_xlfn.IFNA(MATCH(E71,'Injury Report'!$C$2:$C$6216,0),0)</f>
        <v/>
      </c>
    </row>
    <row r="73" ht="15.6" customHeight="1" s="152">
      <c r="A73" s="212" t="n">
        <v>71</v>
      </c>
      <c r="B73" s="167">
        <f>F73&amp;G73</f>
        <v/>
      </c>
      <c r="C73" s="156">
        <f>(K73/MAX(K:K)*$K$1)+(O73/MAX(O:O)*$O$1)+(M73/MAX(M:M)*$M$1)+(N73/MAX(N:N)*$N$1)+(V73/MAX(V:V)*$V$1)+(P73/MAX(P:P)*$P$1)</f>
        <v/>
      </c>
      <c r="E73" s="156">
        <f>IFERROR(VLOOKUP(F73,AllPlayers!F:F,1,0),"------------")</f>
        <v/>
      </c>
      <c r="F73" s="156" t="inlineStr">
        <is>
          <t>Tre' Harris</t>
        </is>
      </c>
      <c r="G73" s="167" t="inlineStr">
        <is>
          <t>LAC</t>
        </is>
      </c>
      <c r="H73" s="156" t="inlineStr">
        <is>
          <t>WR</t>
        </is>
      </c>
      <c r="I73" s="156" t="n">
        <v>17</v>
      </c>
      <c r="J73" s="156" t="n">
        <v>40.8</v>
      </c>
      <c r="K73" s="156" t="n">
        <v>544.3</v>
      </c>
      <c r="L73" s="156">
        <f>IF(J73=0,0,K73/J73)</f>
        <v/>
      </c>
      <c r="M73" s="156">
        <f>K73/17</f>
        <v/>
      </c>
      <c r="N73" s="156" t="n">
        <v>3.4</v>
      </c>
      <c r="O73" s="156" t="n">
        <v>65</v>
      </c>
      <c r="P73" s="281">
        <f>IF(K73=0,0,K73/O73)</f>
        <v/>
      </c>
      <c r="Q73" s="156" t="n">
        <v>10</v>
      </c>
      <c r="R73" s="156" t="n">
        <v>1</v>
      </c>
      <c r="S73" s="156" t="n">
        <v>0</v>
      </c>
      <c r="T73" s="156" t="n">
        <v>0</v>
      </c>
      <c r="U73" s="156" t="n">
        <v>0</v>
      </c>
      <c r="V73" s="156" t="n">
        <v>0</v>
      </c>
      <c r="W73" s="156" t="n">
        <v>0.7</v>
      </c>
      <c r="X73" s="204">
        <f>INDEX(Matrix!$AA$2:$AA$33, MATCH(G73, Matrix!$AC$2:$AC$33, 0))</f>
        <v/>
      </c>
      <c r="Y73" s="156">
        <f>_xlfn.IFNA(MATCH(E72,'Injury Report'!$C$2:$C$6216,0),0)</f>
        <v/>
      </c>
    </row>
    <row r="74" ht="15.6" customHeight="1" s="152">
      <c r="A74" s="212" t="n">
        <v>72</v>
      </c>
      <c r="B74" s="167">
        <f>F74&amp;G74</f>
        <v/>
      </c>
      <c r="C74" s="156">
        <f>(K74/MAX(K:K)*$K$1)+(O74/MAX(O:O)*$O$1)+(M74/MAX(M:M)*$M$1)+(N74/MAX(N:N)*$N$1)+(V74/MAX(V:V)*$V$1)+(P74/MAX(P:P)*$P$1)</f>
        <v/>
      </c>
      <c r="E74" s="156">
        <f>IFERROR(VLOOKUP(F74,AllPlayers!F:F,1,0),"------------")</f>
        <v/>
      </c>
      <c r="F74" s="156" t="inlineStr">
        <is>
          <t>Calvin Austin</t>
        </is>
      </c>
      <c r="G74" s="167" t="inlineStr">
        <is>
          <t>PIT</t>
        </is>
      </c>
      <c r="H74" s="156" t="inlineStr">
        <is>
          <t>WR</t>
        </is>
      </c>
      <c r="I74" s="156" t="n">
        <v>2</v>
      </c>
      <c r="J74" s="156" t="n">
        <v>5</v>
      </c>
      <c r="K74" s="156" t="n">
        <v>92</v>
      </c>
      <c r="L74" s="156">
        <f>IF(J74=0,0,K74/J74)</f>
        <v/>
      </c>
      <c r="M74" s="156">
        <f>K74/17</f>
        <v/>
      </c>
      <c r="N74" s="156" t="n">
        <v>1</v>
      </c>
      <c r="O74" s="156" t="n">
        <v>10</v>
      </c>
      <c r="P74" s="281">
        <f>IF(K74=0,0,K74/O74)</f>
        <v/>
      </c>
      <c r="Q74" s="156" t="n">
        <v>7</v>
      </c>
      <c r="R74" s="156" t="n">
        <v>2</v>
      </c>
      <c r="S74" s="156" t="n">
        <v>2</v>
      </c>
      <c r="T74" s="156" t="n">
        <v>0</v>
      </c>
      <c r="U74" s="156" t="n">
        <v>0</v>
      </c>
      <c r="V74" s="156" t="n">
        <v>0</v>
      </c>
      <c r="W74" s="156" t="n">
        <v>0</v>
      </c>
      <c r="X74" s="204">
        <f>INDEX(Matrix!$AA$2:$AA$33, MATCH(G74, Matrix!$AC$2:$AC$33, 0))</f>
        <v/>
      </c>
      <c r="Y74" s="156">
        <f>_xlfn.IFNA(MATCH(E73,'Injury Report'!$C$2:$C$6216,0),0)</f>
        <v/>
      </c>
    </row>
    <row r="75" ht="15.6" customHeight="1" s="152">
      <c r="A75" s="212" t="n">
        <v>73</v>
      </c>
      <c r="B75" s="167">
        <f>F75&amp;G75</f>
        <v/>
      </c>
      <c r="C75" s="156">
        <f>(K75/MAX(K:K)*$K$1)+(O75/MAX(O:O)*$O$1)+(M75/MAX(M:M)*$M$1)+(N75/MAX(N:N)*$N$1)+(V75/MAX(V:V)*$V$1)+(P75/MAX(P:P)*$P$1)</f>
        <v/>
      </c>
      <c r="E75" s="156">
        <f>IFERROR(VLOOKUP(F75,AllPlayers!F:F,1,0),"------------")</f>
        <v/>
      </c>
      <c r="F75" s="156" t="inlineStr">
        <is>
          <t>Quentin Johnston</t>
        </is>
      </c>
      <c r="G75" s="167" t="inlineStr">
        <is>
          <t>LAC</t>
        </is>
      </c>
      <c r="H75" s="156" t="inlineStr">
        <is>
          <t>WR</t>
        </is>
      </c>
      <c r="I75" s="156" t="n">
        <v>2</v>
      </c>
      <c r="J75" s="156" t="n">
        <v>8</v>
      </c>
      <c r="K75" s="156" t="n">
        <v>150</v>
      </c>
      <c r="L75" s="156">
        <f>IF(J75=0,0,K75/J75)</f>
        <v/>
      </c>
      <c r="M75" s="156">
        <f>K75/17</f>
        <v/>
      </c>
      <c r="N75" s="156" t="n">
        <v>3</v>
      </c>
      <c r="O75" s="156" t="n">
        <v>14</v>
      </c>
      <c r="P75" s="281">
        <f>IF(K75=0,0,K75/O75)</f>
        <v/>
      </c>
      <c r="Q75" s="156" t="n">
        <v>9</v>
      </c>
      <c r="R75" s="156" t="n">
        <v>2</v>
      </c>
      <c r="S75" s="156" t="n">
        <v>2</v>
      </c>
      <c r="T75" s="156" t="n">
        <v>0</v>
      </c>
      <c r="U75" s="156" t="n">
        <v>0</v>
      </c>
      <c r="V75" s="156" t="n">
        <v>0</v>
      </c>
      <c r="W75" s="156" t="n">
        <v>0</v>
      </c>
      <c r="X75" s="204">
        <f>INDEX(Matrix!$AA$2:$AA$33, MATCH(G75, Matrix!$AC$2:$AC$33, 0))</f>
        <v/>
      </c>
      <c r="Y75" s="156">
        <f>_xlfn.IFNA(MATCH(E74,'Injury Report'!$C$2:$C$6216,0),0)</f>
        <v/>
      </c>
    </row>
    <row r="76" ht="15.6" customHeight="1" s="152">
      <c r="A76" s="212" t="n">
        <v>74</v>
      </c>
      <c r="B76" s="167">
        <f>F76&amp;G76</f>
        <v/>
      </c>
      <c r="C76" s="156">
        <f>(K76/MAX(K:K)*$K$1)+(O76/MAX(O:O)*$O$1)+(M76/MAX(M:M)*$M$1)+(N76/MAX(N:N)*$N$1)+(V76/MAX(V:V)*$V$1)+(P76/MAX(P:P)*$P$1)</f>
        <v/>
      </c>
      <c r="E76" s="156">
        <f>IFERROR(VLOOKUP(F76,AllPlayers!F:F,1,0),"------------")</f>
        <v/>
      </c>
      <c r="F76" s="156" t="inlineStr">
        <is>
          <t>Darius Slayton</t>
        </is>
      </c>
      <c r="G76" s="167" t="inlineStr">
        <is>
          <t>NYG</t>
        </is>
      </c>
      <c r="H76" s="156" t="inlineStr">
        <is>
          <t>WR</t>
        </is>
      </c>
      <c r="I76" s="156" t="n">
        <v>2</v>
      </c>
      <c r="J76" s="156" t="n">
        <v>2</v>
      </c>
      <c r="K76" s="156" t="n">
        <v>61</v>
      </c>
      <c r="L76" s="156">
        <f>IF(J76=0,0,K76/J76)</f>
        <v/>
      </c>
      <c r="M76" s="156">
        <f>K76/17</f>
        <v/>
      </c>
      <c r="N76" s="156" t="n">
        <v>0</v>
      </c>
      <c r="O76" s="156" t="n">
        <v>4</v>
      </c>
      <c r="P76" s="281">
        <f>IF(K76=0,0,K76/O76)</f>
        <v/>
      </c>
      <c r="Q76" s="156" t="n">
        <v>10</v>
      </c>
      <c r="R76" s="156" t="n">
        <v>1</v>
      </c>
      <c r="S76" s="156" t="n">
        <v>0</v>
      </c>
      <c r="T76" s="156" t="n">
        <v>0</v>
      </c>
      <c r="U76" s="156" t="n">
        <v>0</v>
      </c>
      <c r="V76" s="156" t="n">
        <v>0</v>
      </c>
      <c r="W76" s="156" t="n">
        <v>0</v>
      </c>
      <c r="X76" s="204">
        <f>INDEX(Matrix!$AA$2:$AA$33, MATCH(G76, Matrix!$AC$2:$AC$33, 0))</f>
        <v/>
      </c>
      <c r="Y76" s="156">
        <f>_xlfn.IFNA(MATCH(E75,'Injury Report'!$C$2:$C$6216,0),0)</f>
        <v/>
      </c>
    </row>
    <row r="77" ht="15.6" customHeight="1" s="152">
      <c r="A77" s="212" t="n">
        <v>75</v>
      </c>
      <c r="B77" s="167">
        <f>F77&amp;G77</f>
        <v/>
      </c>
      <c r="C77" s="156">
        <f>(K77/MAX(K:K)*$K$1)+(O77/MAX(O:O)*$O$1)+(M77/MAX(M:M)*$M$1)+(N77/MAX(N:N)*$N$1)+(V77/MAX(V:V)*$V$1)+(P77/MAX(P:P)*$P$1)</f>
        <v/>
      </c>
      <c r="E77" s="156">
        <f>IFERROR(VLOOKUP(F77,AllPlayers!F:F,1,0),"------------")</f>
        <v/>
      </c>
      <c r="F77" s="156" t="inlineStr">
        <is>
          <t>Ray-ray Mccloud</t>
        </is>
      </c>
      <c r="G77" s="167" t="inlineStr">
        <is>
          <t>ATL</t>
        </is>
      </c>
      <c r="H77" s="156" t="inlineStr">
        <is>
          <t>WR</t>
        </is>
      </c>
      <c r="I77" s="156" t="n">
        <v>2</v>
      </c>
      <c r="J77" s="156" t="n">
        <v>3</v>
      </c>
      <c r="K77" s="156" t="n">
        <v>51</v>
      </c>
      <c r="L77" s="156">
        <f>IF(J77=0,0,K77/J77)</f>
        <v/>
      </c>
      <c r="M77" s="156">
        <f>K77/17</f>
        <v/>
      </c>
      <c r="N77" s="156" t="n">
        <v>0</v>
      </c>
      <c r="O77" s="156" t="n">
        <v>7</v>
      </c>
      <c r="P77" s="281">
        <f>IF(K77=0,0,K77/O77)</f>
        <v/>
      </c>
      <c r="Q77" s="156" t="n">
        <v>12</v>
      </c>
      <c r="R77" s="156" t="n">
        <v>4</v>
      </c>
      <c r="S77" s="156" t="n">
        <v>1</v>
      </c>
      <c r="T77" s="156" t="n">
        <v>0</v>
      </c>
      <c r="U77" s="156" t="n">
        <v>0</v>
      </c>
      <c r="V77" s="156" t="n">
        <v>0</v>
      </c>
      <c r="W77" s="156" t="n">
        <v>0</v>
      </c>
      <c r="X77" s="204">
        <f>INDEX(Matrix!$AA$2:$AA$33, MATCH(G77, Matrix!$AC$2:$AC$33, 0))</f>
        <v/>
      </c>
      <c r="Y77" s="156">
        <f>_xlfn.IFNA(MATCH(E76,'Injury Report'!$C$2:$C$6216,0),0)</f>
        <v/>
      </c>
    </row>
    <row r="78" ht="15.6" customHeight="1" s="152">
      <c r="A78" s="212" t="n">
        <v>76</v>
      </c>
      <c r="B78" s="167">
        <f>F78&amp;G78</f>
        <v/>
      </c>
      <c r="C78" s="156">
        <f>(K78/MAX(K:K)*$K$1)+(O78/MAX(O:O)*$O$1)+(M78/MAX(M:M)*$M$1)+(N78/MAX(N:N)*$N$1)+(V78/MAX(V:V)*$V$1)+(P78/MAX(P:P)*$P$1)</f>
        <v/>
      </c>
      <c r="E78" s="156">
        <f>IFERROR(VLOOKUP(F78,AllPlayers!F:F,1,0),"------------")</f>
        <v/>
      </c>
      <c r="F78" s="156" t="inlineStr">
        <is>
          <t>Jack Bech</t>
        </is>
      </c>
      <c r="G78" s="167" t="inlineStr">
        <is>
          <t>LV</t>
        </is>
      </c>
      <c r="H78" s="156" t="inlineStr">
        <is>
          <t>WR</t>
        </is>
      </c>
      <c r="I78" s="156" t="n">
        <v>1</v>
      </c>
      <c r="J78" s="156" t="n">
        <v>1</v>
      </c>
      <c r="K78" s="156" t="n">
        <v>23</v>
      </c>
      <c r="L78" s="156">
        <f>IF(J78=0,0,K78/J78)</f>
        <v/>
      </c>
      <c r="M78" s="156">
        <f>K78/17</f>
        <v/>
      </c>
      <c r="N78" s="156" t="n">
        <v>0</v>
      </c>
      <c r="O78" s="156" t="n">
        <v>1</v>
      </c>
      <c r="P78" s="281">
        <f>IF(K78=0,0,K78/O78)</f>
        <v/>
      </c>
      <c r="Q78" s="156" t="n">
        <v>10</v>
      </c>
      <c r="R78" s="156" t="n">
        <v>3</v>
      </c>
      <c r="S78" s="156" t="n">
        <v>0</v>
      </c>
      <c r="T78" s="156" t="n">
        <v>0</v>
      </c>
      <c r="U78" s="156" t="n">
        <v>0</v>
      </c>
      <c r="V78" s="156" t="n">
        <v>0</v>
      </c>
      <c r="W78" s="156" t="n">
        <v>0</v>
      </c>
      <c r="X78" s="204">
        <f>INDEX(Matrix!$AA$2:$AA$33, MATCH(G78, Matrix!$AC$2:$AC$33, 0))</f>
        <v/>
      </c>
      <c r="Y78" s="156">
        <f>_xlfn.IFNA(MATCH(E77,'Injury Report'!$C$2:$C$6216,0),0)</f>
        <v/>
      </c>
    </row>
    <row r="79" ht="15.6" customHeight="1" s="152">
      <c r="A79" s="212" t="n">
        <v>77</v>
      </c>
      <c r="B79" s="167">
        <f>F79&amp;G79</f>
        <v/>
      </c>
      <c r="C79" s="156">
        <f>(K79/MAX(K:K)*$K$1)+(O79/MAX(O:O)*$O$1)+(M79/MAX(M:M)*$M$1)+(N79/MAX(N:N)*$N$1)+(V79/MAX(V:V)*$V$1)+(P79/MAX(P:P)*$P$1)</f>
        <v/>
      </c>
      <c r="E79" s="156">
        <f>IFERROR(VLOOKUP(F79,AllPlayers!F:F,1,0),"------------")</f>
        <v/>
      </c>
      <c r="F79" s="156" t="inlineStr">
        <is>
          <t>Dyami Brown</t>
        </is>
      </c>
      <c r="G79" s="167" t="inlineStr">
        <is>
          <t>JAX</t>
        </is>
      </c>
      <c r="H79" s="156" t="inlineStr">
        <is>
          <t>WR</t>
        </is>
      </c>
      <c r="I79" s="156" t="n">
        <v>2</v>
      </c>
      <c r="J79" s="156" t="n">
        <v>8</v>
      </c>
      <c r="K79" s="156" t="n">
        <v>109</v>
      </c>
      <c r="L79" s="156">
        <f>IF(J79=0,0,K79/J79)</f>
        <v/>
      </c>
      <c r="M79" s="156">
        <f>K79/17</f>
        <v/>
      </c>
      <c r="N79" s="156" t="n">
        <v>1</v>
      </c>
      <c r="O79" s="156" t="n">
        <v>11</v>
      </c>
      <c r="P79" s="281">
        <f>IF(K79=0,0,K79/O79)</f>
        <v/>
      </c>
      <c r="Q79" s="156" t="n">
        <v>8</v>
      </c>
      <c r="R79" s="156" t="n">
        <v>0</v>
      </c>
      <c r="S79" s="156" t="n">
        <v>0</v>
      </c>
      <c r="T79" s="156" t="n">
        <v>0</v>
      </c>
      <c r="U79" s="156" t="n">
        <v>0</v>
      </c>
      <c r="V79" s="156" t="n">
        <v>0</v>
      </c>
      <c r="W79" s="156" t="n">
        <v>0</v>
      </c>
      <c r="X79" s="204">
        <f>INDEX(Matrix!$AA$2:$AA$33, MATCH(G79, Matrix!$AC$2:$AC$33, 0))</f>
        <v/>
      </c>
      <c r="Y79" s="156">
        <f>_xlfn.IFNA(MATCH(E78,'Injury Report'!$C$2:$C$6216,0),0)</f>
        <v/>
      </c>
    </row>
    <row r="80" ht="15.6" customHeight="1" s="152">
      <c r="A80" s="212" t="n">
        <v>78</v>
      </c>
      <c r="B80" s="167">
        <f>F80&amp;G80</f>
        <v/>
      </c>
      <c r="C80" s="156">
        <f>(K80/MAX(K:K)*$K$1)+(O80/MAX(O:O)*$O$1)+(M80/MAX(M:M)*$M$1)+(N80/MAX(N:N)*$N$1)+(V80/MAX(V:V)*$V$1)+(P80/MAX(P:P)*$P$1)</f>
        <v/>
      </c>
      <c r="E80" s="156">
        <f>IFERROR(VLOOKUP(F80,AllPlayers!F:F,1,0),"------------")</f>
        <v/>
      </c>
      <c r="F80" s="156" t="inlineStr">
        <is>
          <t>Josh Reynolds</t>
        </is>
      </c>
      <c r="G80" s="167" t="inlineStr">
        <is>
          <t>NYJ</t>
        </is>
      </c>
      <c r="H80" s="156" t="inlineStr">
        <is>
          <t>WR</t>
        </is>
      </c>
      <c r="I80" s="156" t="n">
        <v>1</v>
      </c>
      <c r="J80" s="156" t="n">
        <v>2</v>
      </c>
      <c r="K80" s="156" t="n">
        <v>18</v>
      </c>
      <c r="L80" s="156">
        <f>IF(J80=0,0,K80/J80)</f>
        <v/>
      </c>
      <c r="M80" s="156">
        <f>K80/17</f>
        <v/>
      </c>
      <c r="N80" s="156" t="n">
        <v>0</v>
      </c>
      <c r="O80" s="156" t="n">
        <v>3</v>
      </c>
      <c r="P80" s="281">
        <f>IF(K80=0,0,K80/O80)</f>
        <v/>
      </c>
      <c r="Q80" s="156" t="n">
        <v>10</v>
      </c>
      <c r="R80" s="156" t="n">
        <v>1</v>
      </c>
      <c r="S80" s="156" t="n">
        <v>0</v>
      </c>
      <c r="T80" s="156" t="n">
        <v>0</v>
      </c>
      <c r="U80" s="156" t="n">
        <v>0</v>
      </c>
      <c r="V80" s="156" t="n">
        <v>0</v>
      </c>
      <c r="W80" s="156" t="n">
        <v>0</v>
      </c>
      <c r="X80" s="204">
        <f>INDEX(Matrix!$AA$2:$AA$33, MATCH(G80, Matrix!$AC$2:$AC$33, 0))</f>
        <v/>
      </c>
      <c r="Y80" s="156">
        <f>_xlfn.IFNA(MATCH(E79,'Injury Report'!$C$2:$C$6216,0),0)</f>
        <v/>
      </c>
    </row>
    <row r="81" ht="15.6" customHeight="1" s="152">
      <c r="A81" s="212" t="n">
        <v>79</v>
      </c>
      <c r="B81" s="167">
        <f>F81&amp;G81</f>
        <v/>
      </c>
      <c r="C81" s="156">
        <f>(K81/MAX(K:K)*$K$1)+(O81/MAX(O:O)*$O$1)+(M81/MAX(M:M)*$M$1)+(N81/MAX(N:N)*$N$1)+(V81/MAX(V:V)*$V$1)+(P81/MAX(P:P)*$P$1)</f>
        <v/>
      </c>
      <c r="E81" s="156">
        <f>IFERROR(VLOOKUP(F81,AllPlayers!F:F,1,0),"------------")</f>
        <v/>
      </c>
      <c r="F81" s="156" t="inlineStr">
        <is>
          <t>Tutu Atwell</t>
        </is>
      </c>
      <c r="G81" s="167" t="inlineStr">
        <is>
          <t>LAR</t>
        </is>
      </c>
      <c r="H81" s="156" t="inlineStr">
        <is>
          <t>WR</t>
        </is>
      </c>
      <c r="I81" s="156" t="n">
        <v>2</v>
      </c>
      <c r="J81" s="156" t="n">
        <v>1</v>
      </c>
      <c r="K81" s="156" t="n">
        <v>4</v>
      </c>
      <c r="L81" s="156">
        <f>IF(J81=0,0,K81/J81)</f>
        <v/>
      </c>
      <c r="M81" s="156">
        <f>K81/17</f>
        <v/>
      </c>
      <c r="N81" s="156" t="n">
        <v>0</v>
      </c>
      <c r="O81" s="156" t="n">
        <v>2</v>
      </c>
      <c r="P81" s="281">
        <f>IF(K81=0,0,K81/O81)</f>
        <v/>
      </c>
      <c r="Q81" s="156" t="n">
        <v>7</v>
      </c>
      <c r="R81" s="156" t="n">
        <v>1</v>
      </c>
      <c r="S81" s="156" t="n">
        <v>0</v>
      </c>
      <c r="T81" s="156" t="n">
        <v>0</v>
      </c>
      <c r="U81" s="156" t="n">
        <v>0</v>
      </c>
      <c r="V81" s="156" t="n">
        <v>0</v>
      </c>
      <c r="W81" s="156" t="n">
        <v>0</v>
      </c>
      <c r="X81" s="204">
        <f>INDEX(Matrix!$AA$2:$AA$33, MATCH(G81, Matrix!$AC$2:$AC$33, 0))</f>
        <v/>
      </c>
      <c r="Y81" s="156">
        <f>_xlfn.IFNA(MATCH(E80,'Injury Report'!$C$2:$C$6216,0),0)</f>
        <v/>
      </c>
    </row>
    <row r="82" ht="15.6" customHeight="1" s="152">
      <c r="A82" s="212" t="n">
        <v>80</v>
      </c>
      <c r="B82" s="167">
        <f>F82&amp;G82</f>
        <v/>
      </c>
      <c r="C82" s="156">
        <f>(K82/MAX(K:K)*$K$1)+(O82/MAX(O:O)*$O$1)+(M82/MAX(M:M)*$M$1)+(N82/MAX(N:N)*$N$1)+(V82/MAX(V:V)*$V$1)+(P82/MAX(P:P)*$P$1)</f>
        <v/>
      </c>
      <c r="E82" s="156">
        <f>IFERROR(VLOOKUP(F82,AllPlayers!F:F,1,0),"------------")</f>
        <v/>
      </c>
      <c r="F82" s="156" t="inlineStr">
        <is>
          <t>Nick Westbrook-ikhine</t>
        </is>
      </c>
      <c r="G82" s="167" t="inlineStr">
        <is>
          <t>MIA</t>
        </is>
      </c>
      <c r="H82" s="156" t="inlineStr">
        <is>
          <t>WR</t>
        </is>
      </c>
      <c r="I82" s="156" t="n">
        <v>2</v>
      </c>
      <c r="J82" s="156" t="n">
        <v>3</v>
      </c>
      <c r="K82" s="156" t="n">
        <v>25</v>
      </c>
      <c r="L82" s="156">
        <f>IF(J82=0,0,K82/J82)</f>
        <v/>
      </c>
      <c r="M82" s="156">
        <f>K82/17</f>
        <v/>
      </c>
      <c r="N82" s="156" t="n">
        <v>0</v>
      </c>
      <c r="O82" s="156" t="n">
        <v>5</v>
      </c>
      <c r="P82" s="281">
        <f>IF(K82=0,0,K82/O82)</f>
        <v/>
      </c>
      <c r="Q82" s="156" t="n">
        <v>6</v>
      </c>
      <c r="R82" s="156" t="n">
        <v>2</v>
      </c>
      <c r="S82" s="156" t="n">
        <v>0</v>
      </c>
      <c r="T82" s="156" t="n">
        <v>0</v>
      </c>
      <c r="U82" s="156" t="n">
        <v>0</v>
      </c>
      <c r="V82" s="156" t="n">
        <v>0</v>
      </c>
      <c r="W82" s="156" t="n">
        <v>0</v>
      </c>
      <c r="X82" s="204">
        <f>INDEX(Matrix!$AA$2:$AA$33, MATCH(G82, Matrix!$AC$2:$AC$33, 0))</f>
        <v/>
      </c>
      <c r="Y82" s="156">
        <f>_xlfn.IFNA(MATCH(E81,'Injury Report'!$C$2:$C$6216,0),0)</f>
        <v/>
      </c>
    </row>
    <row r="83" ht="15.6" customHeight="1" s="152">
      <c r="A83" s="212" t="n">
        <v>81</v>
      </c>
      <c r="B83" s="167">
        <f>F83&amp;G83</f>
        <v/>
      </c>
      <c r="C83" s="156">
        <f>(K83/MAX(K:K)*$K$1)+(O83/MAX(O:O)*$O$1)+(M83/MAX(M:M)*$M$1)+(N83/MAX(N:N)*$N$1)+(V83/MAX(V:V)*$V$1)+(P83/MAX(P:P)*$P$1)</f>
        <v/>
      </c>
      <c r="E83" s="156">
        <f>IFERROR(VLOOKUP(F83,AllPlayers!F:F,1,0),"------------")</f>
        <v/>
      </c>
      <c r="F83" s="156" t="inlineStr">
        <is>
          <t>Deandre Hopkins</t>
        </is>
      </c>
      <c r="G83" s="167" t="inlineStr">
        <is>
          <t>BAL</t>
        </is>
      </c>
      <c r="H83" s="156" t="inlineStr">
        <is>
          <t>WR</t>
        </is>
      </c>
      <c r="I83" s="156" t="n">
        <v>2</v>
      </c>
      <c r="J83" s="156" t="n">
        <v>4</v>
      </c>
      <c r="K83" s="156" t="n">
        <v>99</v>
      </c>
      <c r="L83" s="156">
        <f>IF(J83=0,0,K83/J83)</f>
        <v/>
      </c>
      <c r="M83" s="156">
        <f>K83/17</f>
        <v/>
      </c>
      <c r="N83" s="156" t="n">
        <v>2</v>
      </c>
      <c r="O83" s="156" t="n">
        <v>4</v>
      </c>
      <c r="P83" s="281">
        <f>IF(K83=0,0,K83/O83)</f>
        <v/>
      </c>
      <c r="Q83" s="156" t="n">
        <v>5</v>
      </c>
      <c r="R83" s="156" t="n">
        <v>1</v>
      </c>
      <c r="S83" s="156" t="n">
        <v>1</v>
      </c>
      <c r="T83" s="156" t="n">
        <v>0</v>
      </c>
      <c r="U83" s="156" t="n">
        <v>0</v>
      </c>
      <c r="V83" s="156" t="n">
        <v>0</v>
      </c>
      <c r="W83" s="156" t="n">
        <v>0</v>
      </c>
      <c r="X83" s="204">
        <f>INDEX(Matrix!$AA$2:$AA$33, MATCH(G83, Matrix!$AC$2:$AC$33, 0))</f>
        <v/>
      </c>
      <c r="Y83" s="156">
        <f>_xlfn.IFNA(MATCH(E82,'Injury Report'!$C$2:$C$6216,0),0)</f>
        <v/>
      </c>
    </row>
    <row r="84" ht="15.6" customHeight="1" s="152">
      <c r="A84" s="212" t="n">
        <v>82</v>
      </c>
      <c r="B84" s="167">
        <f>F84&amp;G84</f>
        <v/>
      </c>
      <c r="C84" s="156">
        <f>(K84/MAX(K:K)*$K$1)+(O84/MAX(O:O)*$O$1)+(M84/MAX(M:M)*$M$1)+(N84/MAX(N:N)*$N$1)+(V84/MAX(V:V)*$V$1)+(P84/MAX(P:P)*$P$1)</f>
        <v/>
      </c>
      <c r="E84" s="156">
        <f>IFERROR(VLOOKUP(F84,AllPlayers!F:F,1,0),"------------")</f>
        <v/>
      </c>
      <c r="F84" s="156" t="inlineStr">
        <is>
          <t>Kyle Williams</t>
        </is>
      </c>
      <c r="G84" s="167" t="inlineStr">
        <is>
          <t>NE</t>
        </is>
      </c>
      <c r="H84" s="156" t="inlineStr">
        <is>
          <t>WR</t>
        </is>
      </c>
      <c r="I84" s="156" t="n">
        <v>1</v>
      </c>
      <c r="J84" s="156" t="n">
        <v>1</v>
      </c>
      <c r="K84" s="156" t="n">
        <v>12</v>
      </c>
      <c r="L84" s="156">
        <f>IF(J84=0,0,K84/J84)</f>
        <v/>
      </c>
      <c r="M84" s="156">
        <f>K84/17</f>
        <v/>
      </c>
      <c r="N84" s="156" t="n">
        <v>0</v>
      </c>
      <c r="O84" s="156" t="n">
        <v>1</v>
      </c>
      <c r="P84" s="281">
        <f>IF(K84=0,0,K84/O84)</f>
        <v/>
      </c>
      <c r="Q84" s="156" t="n">
        <v>5</v>
      </c>
      <c r="R84" s="156" t="n">
        <v>0</v>
      </c>
      <c r="S84" s="156" t="n">
        <v>0</v>
      </c>
      <c r="T84" s="156" t="n">
        <v>0</v>
      </c>
      <c r="U84" s="156" t="n">
        <v>0</v>
      </c>
      <c r="V84" s="156" t="n">
        <v>0</v>
      </c>
      <c r="W84" s="156" t="n">
        <v>0</v>
      </c>
      <c r="X84" s="204">
        <f>INDEX(Matrix!$AA$2:$AA$33, MATCH(G84, Matrix!$AC$2:$AC$33, 0))</f>
        <v/>
      </c>
      <c r="Y84" s="156">
        <f>_xlfn.IFNA(MATCH(E83,'Injury Report'!$C$2:$C$6216,0),0)</f>
        <v/>
      </c>
    </row>
    <row r="85" ht="15.6" customHeight="1" s="152">
      <c r="A85" s="212" t="n">
        <v>83</v>
      </c>
      <c r="B85" s="167">
        <f>F85&amp;G85</f>
        <v/>
      </c>
      <c r="C85" s="156">
        <f>(K85/MAX(K:K)*$K$1)+(O85/MAX(O:O)*$O$1)+(M85/MAX(M:M)*$M$1)+(N85/MAX(N:N)*$N$1)+(V85/MAX(V:V)*$V$1)+(P85/MAX(P:P)*$P$1)</f>
        <v/>
      </c>
      <c r="E85" s="156">
        <f>IFERROR(VLOOKUP(F85,AllPlayers!F:F,1,0),"------------")</f>
        <v/>
      </c>
      <c r="F85" s="156" t="inlineStr">
        <is>
          <t>Jalen Tolbert</t>
        </is>
      </c>
      <c r="G85" s="167" t="inlineStr">
        <is>
          <t>DAL</t>
        </is>
      </c>
      <c r="H85" s="156" t="inlineStr">
        <is>
          <t>WR</t>
        </is>
      </c>
      <c r="I85" s="156" t="n">
        <v>2</v>
      </c>
      <c r="J85" s="156" t="n">
        <v>3</v>
      </c>
      <c r="K85" s="156" t="n">
        <v>16</v>
      </c>
      <c r="L85" s="156">
        <f>IF(J85=0,0,K85/J85)</f>
        <v/>
      </c>
      <c r="M85" s="156">
        <f>K85/17</f>
        <v/>
      </c>
      <c r="N85" s="156" t="n">
        <v>0</v>
      </c>
      <c r="O85" s="156" t="n">
        <v>6</v>
      </c>
      <c r="P85" s="281">
        <f>IF(K85=0,0,K85/O85)</f>
        <v/>
      </c>
      <c r="Q85" s="156" t="n">
        <v>8</v>
      </c>
      <c r="R85" s="156" t="n">
        <v>2</v>
      </c>
      <c r="S85" s="156" t="n">
        <v>1</v>
      </c>
      <c r="T85" s="156" t="n">
        <v>0</v>
      </c>
      <c r="U85" s="156" t="n">
        <v>0</v>
      </c>
      <c r="V85" s="156" t="n">
        <v>0</v>
      </c>
      <c r="W85" s="156" t="n">
        <v>0</v>
      </c>
      <c r="X85" s="204">
        <f>INDEX(Matrix!$AA$2:$AA$33, MATCH(G85, Matrix!$AC$2:$AC$33, 0))</f>
        <v/>
      </c>
      <c r="Y85" s="156">
        <f>_xlfn.IFNA(MATCH(E84,'Injury Report'!$C$2:$C$6216,0),0)</f>
        <v/>
      </c>
    </row>
    <row r="86" ht="15.6" customHeight="1" s="152">
      <c r="A86" s="212" t="n">
        <v>84</v>
      </c>
      <c r="B86" s="167">
        <f>F86&amp;G86</f>
        <v/>
      </c>
      <c r="C86" s="156">
        <f>(K86/MAX(K:K)*$K$1)+(O86/MAX(O:O)*$O$1)+(M86/MAX(M:M)*$M$1)+(N86/MAX(N:N)*$N$1)+(V86/MAX(V:V)*$V$1)+(P86/MAX(P:P)*$P$1)</f>
        <v/>
      </c>
      <c r="E86" s="156">
        <f>IFERROR(VLOOKUP(F86,AllPlayers!F:F,1,0),"------------")</f>
        <v/>
      </c>
      <c r="F86" s="156" t="inlineStr">
        <is>
          <t>Andrei Iosivas</t>
        </is>
      </c>
      <c r="G86" s="167" t="inlineStr">
        <is>
          <t>CIN</t>
        </is>
      </c>
      <c r="H86" s="156" t="inlineStr">
        <is>
          <t>WR</t>
        </is>
      </c>
      <c r="I86" s="156" t="n">
        <v>1</v>
      </c>
      <c r="J86" s="156" t="n">
        <v>1</v>
      </c>
      <c r="K86" s="156" t="n">
        <v>12</v>
      </c>
      <c r="L86" s="156">
        <f>IF(J86=0,0,K86/J86)</f>
        <v/>
      </c>
      <c r="M86" s="156">
        <f>K86/17</f>
        <v/>
      </c>
      <c r="N86" s="156" t="n">
        <v>0</v>
      </c>
      <c r="O86" s="156" t="n">
        <v>5</v>
      </c>
      <c r="P86" s="281">
        <f>IF(K86=0,0,K86/O86)</f>
        <v/>
      </c>
      <c r="Q86" s="156" t="n">
        <v>5</v>
      </c>
      <c r="R86" s="156" t="n">
        <v>2</v>
      </c>
      <c r="S86" s="156" t="n">
        <v>0</v>
      </c>
      <c r="T86" s="156" t="n">
        <v>0</v>
      </c>
      <c r="U86" s="156" t="n">
        <v>0</v>
      </c>
      <c r="V86" s="156" t="n">
        <v>0</v>
      </c>
      <c r="W86" s="156" t="n">
        <v>0</v>
      </c>
      <c r="X86" s="204">
        <f>INDEX(Matrix!$AA$2:$AA$33, MATCH(G86, Matrix!$AC$2:$AC$33, 0))</f>
        <v/>
      </c>
      <c r="Y86" s="156">
        <f>_xlfn.IFNA(MATCH(E85,'Injury Report'!$C$2:$C$6216,0),0)</f>
        <v/>
      </c>
    </row>
    <row r="87" ht="15.6" customHeight="1" s="152">
      <c r="A87" s="212" t="n">
        <v>85</v>
      </c>
      <c r="B87" s="167">
        <f>F87&amp;G87</f>
        <v/>
      </c>
      <c r="C87" s="156">
        <f>(K87/MAX(K:K)*$K$1)+(O87/MAX(O:O)*$O$1)+(M87/MAX(M:M)*$M$1)+(N87/MAX(N:N)*$N$1)+(V87/MAX(V:V)*$V$1)+(P87/MAX(P:P)*$P$1)</f>
        <v/>
      </c>
      <c r="E87" s="156">
        <f>IFERROR(VLOOKUP(F87,AllPlayers!F:F,1,0),"------------")</f>
        <v/>
      </c>
      <c r="F87" s="156" t="inlineStr">
        <is>
          <t>Jalen Nailor</t>
        </is>
      </c>
      <c r="G87" s="167" t="inlineStr">
        <is>
          <t>MIN</t>
        </is>
      </c>
      <c r="H87" s="156" t="inlineStr">
        <is>
          <t>WR</t>
        </is>
      </c>
      <c r="I87" s="156" t="n">
        <v>2</v>
      </c>
      <c r="J87" s="156" t="n">
        <v>4</v>
      </c>
      <c r="K87" s="156" t="n">
        <v>59</v>
      </c>
      <c r="L87" s="156">
        <f>IF(J87=0,0,K87/J87)</f>
        <v/>
      </c>
      <c r="M87" s="156">
        <f>K87/17</f>
        <v/>
      </c>
      <c r="N87" s="156" t="n">
        <v>0</v>
      </c>
      <c r="O87" s="156" t="n">
        <v>8</v>
      </c>
      <c r="P87" s="281">
        <f>IF(K87=0,0,K87/O87)</f>
        <v/>
      </c>
      <c r="Q87" s="156" t="n">
        <v>4</v>
      </c>
      <c r="R87" s="156" t="n">
        <v>0</v>
      </c>
      <c r="S87" s="156" t="n">
        <v>0</v>
      </c>
      <c r="T87" s="156" t="n">
        <v>0</v>
      </c>
      <c r="U87" s="156" t="n">
        <v>0</v>
      </c>
      <c r="V87" s="156" t="n">
        <v>0</v>
      </c>
      <c r="W87" s="156" t="n">
        <v>0</v>
      </c>
      <c r="X87" s="204">
        <f>INDEX(Matrix!$AA$2:$AA$33, MATCH(G87, Matrix!$AC$2:$AC$33, 0))</f>
        <v/>
      </c>
      <c r="Y87" s="156">
        <f>_xlfn.IFNA(MATCH(E86,'Injury Report'!$C$2:$C$6216,0),0)</f>
        <v/>
      </c>
    </row>
    <row r="88" ht="15.6" customHeight="1" s="152">
      <c r="A88" s="212" t="n">
        <v>86</v>
      </c>
      <c r="B88" s="167">
        <f>F88&amp;G88</f>
        <v/>
      </c>
      <c r="C88" s="156">
        <f>(K88/MAX(K:K)*$K$1)+(O88/MAX(O:O)*$O$1)+(M88/MAX(M:M)*$M$1)+(N88/MAX(N:N)*$N$1)+(V88/MAX(V:V)*$V$1)+(P88/MAX(P:P)*$P$1)</f>
        <v/>
      </c>
      <c r="E88" s="156">
        <f>IFERROR(VLOOKUP(F88,AllPlayers!F:F,1,0),"------------")</f>
        <v/>
      </c>
      <c r="F88" s="156" t="inlineStr">
        <is>
          <t>Tre Tucker</t>
        </is>
      </c>
      <c r="G88" s="167" t="inlineStr">
        <is>
          <t>LV</t>
        </is>
      </c>
      <c r="H88" s="156" t="inlineStr">
        <is>
          <t>WR</t>
        </is>
      </c>
      <c r="I88" s="156" t="n">
        <v>2</v>
      </c>
      <c r="J88" s="156" t="n">
        <v>5</v>
      </c>
      <c r="K88" s="156" t="n">
        <v>66</v>
      </c>
      <c r="L88" s="156">
        <f>IF(J88=0,0,K88/J88)</f>
        <v/>
      </c>
      <c r="M88" s="156">
        <f>K88/17</f>
        <v/>
      </c>
      <c r="N88" s="156" t="n">
        <v>1</v>
      </c>
      <c r="O88" s="156" t="n">
        <v>11</v>
      </c>
      <c r="P88" s="281">
        <f>IF(K88=0,0,K88/O88)</f>
        <v/>
      </c>
      <c r="Q88" s="156" t="n">
        <v>9</v>
      </c>
      <c r="R88" s="156" t="n">
        <v>2</v>
      </c>
      <c r="S88" s="156" t="n">
        <v>0</v>
      </c>
      <c r="T88" s="156" t="n">
        <v>0</v>
      </c>
      <c r="U88" s="156" t="n">
        <v>0</v>
      </c>
      <c r="V88" s="156" t="n">
        <v>0</v>
      </c>
      <c r="W88" s="156" t="n">
        <v>0</v>
      </c>
      <c r="X88" s="204">
        <f>INDEX(Matrix!$AA$2:$AA$33, MATCH(G88, Matrix!$AC$2:$AC$33, 0))</f>
        <v/>
      </c>
      <c r="Y88" s="156">
        <f>_xlfn.IFNA(MATCH(E87,'Injury Report'!$C$2:$C$6216,0),0)</f>
        <v/>
      </c>
    </row>
    <row r="89" ht="15.6" customHeight="1" s="152">
      <c r="A89" s="212" t="n">
        <v>87</v>
      </c>
      <c r="B89" s="167">
        <f>F89&amp;G89</f>
        <v/>
      </c>
      <c r="C89" s="156">
        <f>(K89/MAX(K:K)*$K$1)+(O89/MAX(O:O)*$O$1)+(M89/MAX(M:M)*$M$1)+(N89/MAX(N:N)*$N$1)+(V89/MAX(V:V)*$V$1)+(P89/MAX(P:P)*$P$1)</f>
        <v/>
      </c>
      <c r="E89" s="156">
        <f>IFERROR(VLOOKUP(F89,AllPlayers!F:F,1,0),"------------")</f>
        <v/>
      </c>
      <c r="F89" s="156" t="inlineStr">
        <is>
          <t>Brandin Cooks</t>
        </is>
      </c>
      <c r="G89" s="167" t="inlineStr">
        <is>
          <t>NO</t>
        </is>
      </c>
      <c r="H89" s="156" t="inlineStr">
        <is>
          <t>WR</t>
        </is>
      </c>
      <c r="I89" s="156" t="n">
        <v>2</v>
      </c>
      <c r="J89" s="156" t="n">
        <v>5</v>
      </c>
      <c r="K89" s="156" t="n">
        <v>52</v>
      </c>
      <c r="L89" s="156">
        <f>IF(J89=0,0,K89/J89)</f>
        <v/>
      </c>
      <c r="M89" s="156">
        <f>K89/17</f>
        <v/>
      </c>
      <c r="N89" s="156" t="n">
        <v>0</v>
      </c>
      <c r="O89" s="156" t="n">
        <v>6</v>
      </c>
      <c r="P89" s="281">
        <f>IF(K89=0,0,K89/O89)</f>
        <v/>
      </c>
      <c r="Q89" s="156" t="n">
        <v>7</v>
      </c>
      <c r="R89" s="156" t="n">
        <v>3</v>
      </c>
      <c r="S89" s="156" t="n">
        <v>2</v>
      </c>
      <c r="T89" s="156" t="n">
        <v>0</v>
      </c>
      <c r="U89" s="156" t="n">
        <v>0</v>
      </c>
      <c r="V89" s="156" t="n">
        <v>0</v>
      </c>
      <c r="W89" s="156" t="n">
        <v>0</v>
      </c>
      <c r="X89" s="204">
        <f>INDEX(Matrix!$AA$2:$AA$33, MATCH(G89, Matrix!$AC$2:$AC$33, 0))</f>
        <v/>
      </c>
      <c r="Y89" s="156">
        <f>_xlfn.IFNA(MATCH(E88,'Injury Report'!$C$2:$C$6216,0),0)</f>
        <v/>
      </c>
    </row>
    <row r="90" ht="15.6" customHeight="1" s="152">
      <c r="A90" s="212" t="n">
        <v>88</v>
      </c>
      <c r="B90" s="167">
        <f>F90&amp;G90</f>
        <v/>
      </c>
      <c r="C90" s="156">
        <f>(K90/MAX(K:K)*$K$1)+(O90/MAX(O:O)*$O$1)+(M90/MAX(M:M)*$M$1)+(N90/MAX(N:N)*$N$1)+(V90/MAX(V:V)*$V$1)+(P90/MAX(P:P)*$P$1)</f>
        <v/>
      </c>
      <c r="E90" s="156">
        <f>IFERROR(VLOOKUP(F90,AllPlayers!F:F,1,0),"------------")</f>
        <v/>
      </c>
      <c r="F90" s="156" t="inlineStr">
        <is>
          <t>Jordan Whittington</t>
        </is>
      </c>
      <c r="G90" s="167" t="inlineStr">
        <is>
          <t>LAR</t>
        </is>
      </c>
      <c r="H90" s="156" t="inlineStr">
        <is>
          <t>WR</t>
        </is>
      </c>
      <c r="I90" s="156" t="n">
        <v>2</v>
      </c>
      <c r="J90" s="156" t="n">
        <v>2</v>
      </c>
      <c r="K90" s="156" t="n">
        <v>42</v>
      </c>
      <c r="L90" s="156">
        <f>IF(J90=0,0,K90/J90)</f>
        <v/>
      </c>
      <c r="M90" s="156">
        <f>K90/17</f>
        <v/>
      </c>
      <c r="N90" s="156" t="n">
        <v>0</v>
      </c>
      <c r="O90" s="156" t="n">
        <v>2</v>
      </c>
      <c r="P90" s="281">
        <f>IF(K90=0,0,K90/O90)</f>
        <v/>
      </c>
      <c r="Q90" s="156" t="n">
        <v>3</v>
      </c>
      <c r="R90" s="156" t="n">
        <v>0</v>
      </c>
      <c r="S90" s="156" t="n">
        <v>0</v>
      </c>
      <c r="T90" s="156" t="n">
        <v>0</v>
      </c>
      <c r="U90" s="156" t="n">
        <v>0</v>
      </c>
      <c r="V90" s="156" t="n">
        <v>0</v>
      </c>
      <c r="W90" s="156" t="n">
        <v>0</v>
      </c>
      <c r="X90" s="204">
        <f>INDEX(Matrix!$AA$2:$AA$33, MATCH(G90, Matrix!$AC$2:$AC$33, 0))</f>
        <v/>
      </c>
      <c r="Y90" s="156">
        <f>_xlfn.IFNA(MATCH(E89,'Injury Report'!$C$2:$C$6216,0),0)</f>
        <v/>
      </c>
    </row>
    <row r="91" ht="15.6" customHeight="1" s="152">
      <c r="A91" s="212" t="n">
        <v>89</v>
      </c>
      <c r="B91" s="167">
        <f>F91&amp;G91</f>
        <v/>
      </c>
      <c r="C91" s="156">
        <f>(K91/MAX(K:K)*$K$1)+(O91/MAX(O:O)*$O$1)+(M91/MAX(M:M)*$M$1)+(N91/MAX(N:N)*$N$1)+(V91/MAX(V:V)*$V$1)+(P91/MAX(P:P)*$P$1)</f>
        <v/>
      </c>
      <c r="E91" s="156">
        <f>IFERROR(VLOOKUP(F91,AllPlayers!F:F,1,0),"------------")</f>
        <v/>
      </c>
      <c r="F91" s="156" t="inlineStr">
        <is>
          <t>Diontae Johnson</t>
        </is>
      </c>
      <c r="G91" s="167" t="inlineStr">
        <is>
          <t>CLE</t>
        </is>
      </c>
      <c r="H91" s="156" t="inlineStr">
        <is>
          <t>WR</t>
        </is>
      </c>
      <c r="I91" s="156" t="n">
        <v>17</v>
      </c>
      <c r="J91" s="156" t="n">
        <v>34.9</v>
      </c>
      <c r="K91" s="156" t="n">
        <v>429.1</v>
      </c>
      <c r="L91" s="156">
        <f>IF(J91=0,0,K91/J91)</f>
        <v/>
      </c>
      <c r="M91" s="156">
        <f>K91/17</f>
        <v/>
      </c>
      <c r="N91" s="156" t="n">
        <v>2.2</v>
      </c>
      <c r="O91" s="156" t="n">
        <v>84</v>
      </c>
      <c r="P91" s="281">
        <f>IF(K91=0,0,K91/O91)</f>
        <v/>
      </c>
      <c r="Q91" s="156" t="n">
        <v>7</v>
      </c>
      <c r="R91" s="156" t="n">
        <v>0</v>
      </c>
      <c r="S91" s="156" t="n">
        <v>0</v>
      </c>
      <c r="T91" s="156" t="n">
        <v>0</v>
      </c>
      <c r="U91" s="156" t="n">
        <v>0</v>
      </c>
      <c r="V91" s="156" t="n">
        <v>0</v>
      </c>
      <c r="W91" s="156" t="n">
        <v>0.6</v>
      </c>
      <c r="X91" s="204">
        <f>INDEX(Matrix!$AA$2:$AA$33, MATCH(G91, Matrix!$AC$2:$AC$33, 0))</f>
        <v/>
      </c>
      <c r="Y91" s="156">
        <f>_xlfn.IFNA(MATCH(E90,'Injury Report'!$C$2:$C$6216,0),0)</f>
        <v/>
      </c>
    </row>
    <row r="92" ht="15.6" customHeight="1" s="152">
      <c r="A92" s="212" t="n">
        <v>90</v>
      </c>
      <c r="B92" s="167">
        <f>F92&amp;G92</f>
        <v/>
      </c>
      <c r="C92" s="156">
        <f>(K92/MAX(K:K)*$K$1)+(O92/MAX(O:O)*$O$1)+(M92/MAX(M:M)*$M$1)+(N92/MAX(N:N)*$N$1)+(V92/MAX(V:V)*$V$1)+(P92/MAX(P:P)*$P$1)</f>
        <v/>
      </c>
      <c r="E92" s="156">
        <f>IFERROR(VLOOKUP(F92,AllPlayers!F:F,1,0),"------------")</f>
        <v/>
      </c>
      <c r="F92" s="156" t="inlineStr">
        <is>
          <t>Marquez Valdes-scantling</t>
        </is>
      </c>
      <c r="G92" s="167" t="inlineStr">
        <is>
          <t>SEA</t>
        </is>
      </c>
      <c r="H92" s="156" t="inlineStr">
        <is>
          <t>WR</t>
        </is>
      </c>
      <c r="I92" s="156" t="n">
        <v>1</v>
      </c>
      <c r="J92" s="156" t="n">
        <v>0</v>
      </c>
      <c r="K92" s="156" t="n">
        <v>0</v>
      </c>
      <c r="L92" s="156">
        <f>IF(J92=0,0,K92/J92)</f>
        <v/>
      </c>
      <c r="M92" s="156">
        <f>K92/17</f>
        <v/>
      </c>
      <c r="N92" s="156" t="n">
        <v>0</v>
      </c>
      <c r="O92" s="156" t="n">
        <v>1</v>
      </c>
      <c r="P92" s="281">
        <f>IF(K92=0,0,K92/O92)</f>
        <v/>
      </c>
      <c r="Q92" s="156" t="n">
        <v>4</v>
      </c>
      <c r="R92" s="156" t="n">
        <v>1</v>
      </c>
      <c r="S92" s="156" t="n">
        <v>1</v>
      </c>
      <c r="T92" s="156" t="n">
        <v>0</v>
      </c>
      <c r="U92" s="156" t="n">
        <v>0</v>
      </c>
      <c r="V92" s="156" t="n">
        <v>0</v>
      </c>
      <c r="W92" s="156" t="n">
        <v>0</v>
      </c>
      <c r="X92" s="204">
        <f>INDEX(Matrix!$AA$2:$AA$33, MATCH(G92, Matrix!$AC$2:$AC$33, 0))</f>
        <v/>
      </c>
      <c r="Y92" s="156">
        <f>_xlfn.IFNA(MATCH(E91,'Injury Report'!$C$2:$C$6216,0),0)</f>
        <v/>
      </c>
    </row>
    <row r="93" ht="15.6" customHeight="1" s="152">
      <c r="A93" s="212" t="n">
        <v>91</v>
      </c>
      <c r="B93" s="167">
        <f>F93&amp;G93</f>
        <v/>
      </c>
      <c r="C93" s="156">
        <f>(K93/MAX(K:K)*$K$1)+(O93/MAX(O:O)*$O$1)+(M93/MAX(M:M)*$M$1)+(N93/MAX(N:N)*$N$1)+(V93/MAX(V:V)*$V$1)+(P93/MAX(P:P)*$P$1)</f>
        <v/>
      </c>
      <c r="E93" s="156">
        <f>IFERROR(VLOOKUP(F93,AllPlayers!F:F,1,0),"------------")</f>
        <v/>
      </c>
      <c r="F93" s="156" t="inlineStr">
        <is>
          <t>Troy Franklin</t>
        </is>
      </c>
      <c r="G93" s="167" t="inlineStr">
        <is>
          <t>DEN</t>
        </is>
      </c>
      <c r="H93" s="156" t="inlineStr">
        <is>
          <t>WR</t>
        </is>
      </c>
      <c r="I93" s="156" t="n">
        <v>2</v>
      </c>
      <c r="J93" s="156" t="n">
        <v>12</v>
      </c>
      <c r="K93" s="156" t="n">
        <v>133</v>
      </c>
      <c r="L93" s="156">
        <f>IF(J93=0,0,K93/J93)</f>
        <v/>
      </c>
      <c r="M93" s="156">
        <f>K93/17</f>
        <v/>
      </c>
      <c r="N93" s="156" t="n">
        <v>1</v>
      </c>
      <c r="O93" s="156" t="n">
        <v>15</v>
      </c>
      <c r="P93" s="281">
        <f>IF(K93=0,0,K93/O93)</f>
        <v/>
      </c>
      <c r="Q93" s="156" t="n">
        <v>5</v>
      </c>
      <c r="R93" s="156" t="n">
        <v>1</v>
      </c>
      <c r="S93" s="156" t="n">
        <v>0</v>
      </c>
      <c r="T93" s="156" t="n">
        <v>0</v>
      </c>
      <c r="U93" s="156" t="n">
        <v>0</v>
      </c>
      <c r="V93" s="156" t="n">
        <v>0</v>
      </c>
      <c r="W93" s="156" t="n">
        <v>0</v>
      </c>
      <c r="X93" s="204">
        <f>INDEX(Matrix!$AA$2:$AA$33, MATCH(G93, Matrix!$AC$2:$AC$33, 0))</f>
        <v/>
      </c>
      <c r="Y93" s="156">
        <f>_xlfn.IFNA(MATCH(E92,'Injury Report'!$C$2:$C$6216,0),0)</f>
        <v/>
      </c>
    </row>
    <row r="94" ht="15.6" customHeight="1" s="152">
      <c r="A94" s="212" t="n">
        <v>92</v>
      </c>
      <c r="B94" s="167">
        <f>F94&amp;G94</f>
        <v/>
      </c>
      <c r="C94" s="156">
        <f>(K94/MAX(K:K)*$K$1)+(O94/MAX(O:O)*$O$1)+(M94/MAX(M:M)*$M$1)+(N94/MAX(N:N)*$N$1)+(V94/MAX(V:V)*$V$1)+(P94/MAX(P:P)*$P$1)</f>
        <v/>
      </c>
      <c r="E94" s="156">
        <f>IFERROR(VLOOKUP(F94,AllPlayers!F:F,1,0),"------------")</f>
        <v/>
      </c>
      <c r="F94" s="156" t="inlineStr">
        <is>
          <t>Tory Horton</t>
        </is>
      </c>
      <c r="G94" s="167" t="inlineStr">
        <is>
          <t>SEA</t>
        </is>
      </c>
      <c r="H94" s="156" t="inlineStr">
        <is>
          <t>WR</t>
        </is>
      </c>
      <c r="I94" s="156" t="n">
        <v>2</v>
      </c>
      <c r="J94" s="156" t="n">
        <v>2</v>
      </c>
      <c r="K94" s="156" t="n">
        <v>32</v>
      </c>
      <c r="L94" s="156">
        <f>IF(J94=0,0,K94/J94)</f>
        <v/>
      </c>
      <c r="M94" s="156">
        <f>K94/17</f>
        <v/>
      </c>
      <c r="N94" s="156" t="n">
        <v>1</v>
      </c>
      <c r="O94" s="156" t="n">
        <v>4</v>
      </c>
      <c r="P94" s="281">
        <f>IF(K94=0,0,K94/O94)</f>
        <v/>
      </c>
      <c r="Q94" s="156" t="n">
        <v>5</v>
      </c>
      <c r="R94" s="156" t="n">
        <v>1</v>
      </c>
      <c r="S94" s="156" t="n">
        <v>0</v>
      </c>
      <c r="T94" s="156" t="n">
        <v>0</v>
      </c>
      <c r="U94" s="156" t="n">
        <v>0</v>
      </c>
      <c r="V94" s="156" t="n">
        <v>0</v>
      </c>
      <c r="W94" s="156" t="n">
        <v>0</v>
      </c>
      <c r="X94" s="204">
        <f>INDEX(Matrix!$AA$2:$AA$33, MATCH(G94, Matrix!$AC$2:$AC$33, 0))</f>
        <v/>
      </c>
      <c r="Y94" s="156">
        <f>_xlfn.IFNA(MATCH(E93,'Injury Report'!$C$2:$C$6216,0),0)</f>
        <v/>
      </c>
    </row>
    <row r="95" ht="15.6" customHeight="1" s="152">
      <c r="A95" s="212" t="n">
        <v>93</v>
      </c>
      <c r="B95" s="167">
        <f>F95&amp;G95</f>
        <v/>
      </c>
      <c r="C95" s="156">
        <f>(K95/MAX(K:K)*$K$1)+(O95/MAX(O:O)*$O$1)+(M95/MAX(M:M)*$M$1)+(N95/MAX(N:N)*$N$1)+(V95/MAX(V:V)*$V$1)+(P95/MAX(P:P)*$P$1)</f>
        <v/>
      </c>
      <c r="E95" s="156">
        <f>IFERROR(VLOOKUP(F95,AllPlayers!F:F,1,0),"------------")</f>
        <v/>
      </c>
      <c r="F95" s="156" t="inlineStr">
        <is>
          <t>Jalen Coker</t>
        </is>
      </c>
      <c r="G95" s="167" t="inlineStr">
        <is>
          <t>CAR</t>
        </is>
      </c>
      <c r="H95" s="156" t="inlineStr">
        <is>
          <t>WR</t>
        </is>
      </c>
      <c r="I95" s="156" t="n">
        <v>17</v>
      </c>
      <c r="J95" s="156" t="n">
        <v>31.8</v>
      </c>
      <c r="K95" s="156" t="n">
        <v>416.6</v>
      </c>
      <c r="L95" s="156">
        <f>IF(J95=0,0,K95/J95)</f>
        <v/>
      </c>
      <c r="M95" s="156">
        <f>K95/17</f>
        <v/>
      </c>
      <c r="N95" s="156" t="n">
        <v>2</v>
      </c>
      <c r="O95" s="156" t="n">
        <v>52</v>
      </c>
      <c r="P95" s="281">
        <f>IF(K95=0,0,K95/O95)</f>
        <v/>
      </c>
      <c r="Q95" s="156" t="n">
        <v>6</v>
      </c>
      <c r="R95" s="156" t="n">
        <v>2</v>
      </c>
      <c r="S95" s="156" t="n">
        <v>1</v>
      </c>
      <c r="T95" s="156" t="n">
        <v>1</v>
      </c>
      <c r="U95" s="156" t="n">
        <v>0</v>
      </c>
      <c r="V95" s="156" t="n">
        <v>2</v>
      </c>
      <c r="W95" s="156" t="n">
        <v>0.1</v>
      </c>
      <c r="X95" s="204">
        <f>INDEX(Matrix!$AA$2:$AA$33, MATCH(G95, Matrix!$AC$2:$AC$33, 0))</f>
        <v/>
      </c>
      <c r="Y95" s="156">
        <f>_xlfn.IFNA(MATCH(E94,'Injury Report'!$C$2:$C$6216,0),0)</f>
        <v/>
      </c>
    </row>
    <row r="96" ht="15.6" customHeight="1" s="152">
      <c r="A96" s="212" t="n">
        <v>94</v>
      </c>
      <c r="B96" s="167">
        <f>F96&amp;G96</f>
        <v/>
      </c>
      <c r="C96" s="156">
        <f>(K96/MAX(K:K)*$K$1)+(O96/MAX(O:O)*$O$1)+(M96/MAX(M:M)*$M$1)+(N96/MAX(N:N)*$N$1)+(V96/MAX(V:V)*$V$1)+(P96/MAX(P:P)*$P$1)</f>
        <v/>
      </c>
      <c r="E96" s="156">
        <f>IFERROR(VLOOKUP(F96,AllPlayers!F:F,1,0),"------------")</f>
        <v/>
      </c>
      <c r="F96" s="156" t="inlineStr">
        <is>
          <t>Dontayvion Wicks</t>
        </is>
      </c>
      <c r="G96" s="167" t="inlineStr">
        <is>
          <t>GB</t>
        </is>
      </c>
      <c r="H96" s="156" t="inlineStr">
        <is>
          <t>WR</t>
        </is>
      </c>
      <c r="I96" s="156" t="n">
        <v>2</v>
      </c>
      <c r="J96" s="156" t="n">
        <v>6</v>
      </c>
      <c r="K96" s="156" t="n">
        <v>74</v>
      </c>
      <c r="L96" s="156">
        <f>IF(J96=0,0,K96/J96)</f>
        <v/>
      </c>
      <c r="M96" s="156">
        <f>K96/17</f>
        <v/>
      </c>
      <c r="N96" s="156" t="n">
        <v>0</v>
      </c>
      <c r="O96" s="156" t="n">
        <v>8</v>
      </c>
      <c r="P96" s="281">
        <f>IF(K96=0,0,K96/O96)</f>
        <v/>
      </c>
      <c r="Q96" s="156" t="n">
        <v>6</v>
      </c>
      <c r="R96" s="156" t="n">
        <v>0</v>
      </c>
      <c r="S96" s="156" t="n">
        <v>0</v>
      </c>
      <c r="T96" s="156" t="n">
        <v>0</v>
      </c>
      <c r="U96" s="156" t="n">
        <v>0</v>
      </c>
      <c r="V96" s="156" t="n">
        <v>0</v>
      </c>
      <c r="W96" s="156" t="n">
        <v>0</v>
      </c>
      <c r="X96" s="204">
        <f>INDEX(Matrix!$AA$2:$AA$33, MATCH(G96, Matrix!$AC$2:$AC$33, 0))</f>
        <v/>
      </c>
      <c r="Y96" s="156">
        <f>_xlfn.IFNA(MATCH(E95,'Injury Report'!$C$2:$C$6216,0),0)</f>
        <v/>
      </c>
    </row>
    <row r="97" ht="15.6" customHeight="1" s="152">
      <c r="A97" s="212" t="n">
        <v>95</v>
      </c>
      <c r="B97" s="167">
        <f>F97&amp;G97</f>
        <v/>
      </c>
      <c r="C97" s="156">
        <f>(K97/MAX(K:K)*$K$1)+(O97/MAX(O:O)*$O$1)+(M97/MAX(M:M)*$M$1)+(N97/MAX(N:N)*$N$1)+(V97/MAX(V:V)*$V$1)+(P97/MAX(P:P)*$P$1)</f>
        <v/>
      </c>
      <c r="E97" s="156">
        <f>IFERROR(VLOOKUP(F97,AllPlayers!F:F,1,0),"------------")</f>
        <v/>
      </c>
      <c r="F97" s="156" t="inlineStr">
        <is>
          <t>Kayshon Boutte</t>
        </is>
      </c>
      <c r="G97" s="167" t="inlineStr">
        <is>
          <t>NE</t>
        </is>
      </c>
      <c r="H97" s="156" t="inlineStr">
        <is>
          <t>WR</t>
        </is>
      </c>
      <c r="I97" s="156" t="n">
        <v>2</v>
      </c>
      <c r="J97" s="156" t="n">
        <v>7</v>
      </c>
      <c r="K97" s="156" t="n">
        <v>119</v>
      </c>
      <c r="L97" s="156">
        <f>IF(J97=0,0,K97/J97)</f>
        <v/>
      </c>
      <c r="M97" s="156">
        <f>K97/17</f>
        <v/>
      </c>
      <c r="N97" s="156" t="n">
        <v>1</v>
      </c>
      <c r="O97" s="156" t="n">
        <v>9</v>
      </c>
      <c r="P97" s="281">
        <f>IF(K97=0,0,K97/O97)</f>
        <v/>
      </c>
      <c r="Q97" s="156" t="n">
        <v>5</v>
      </c>
      <c r="R97" s="156" t="n">
        <v>1</v>
      </c>
      <c r="S97" s="156" t="n">
        <v>1</v>
      </c>
      <c r="T97" s="156" t="n">
        <v>0</v>
      </c>
      <c r="U97" s="156" t="n">
        <v>0</v>
      </c>
      <c r="V97" s="156" t="n">
        <v>0</v>
      </c>
      <c r="W97" s="156" t="n">
        <v>0</v>
      </c>
      <c r="X97" s="204">
        <f>INDEX(Matrix!$AA$2:$AA$33, MATCH(G97, Matrix!$AC$2:$AC$33, 0))</f>
        <v/>
      </c>
      <c r="Y97" s="156">
        <f>_xlfn.IFNA(MATCH(E96,'Injury Report'!$C$2:$C$6216,0),0)</f>
        <v/>
      </c>
    </row>
    <row r="98" ht="15.6" customHeight="1" s="152">
      <c r="A98" s="212" t="n">
        <v>96</v>
      </c>
      <c r="B98" s="167">
        <f>F98&amp;G98</f>
        <v/>
      </c>
      <c r="C98" s="156">
        <f>(K98/MAX(K:K)*$K$1)+(O98/MAX(O:O)*$O$1)+(M98/MAX(M:M)*$M$1)+(N98/MAX(N:N)*$N$1)+(V98/MAX(V:V)*$V$1)+(P98/MAX(P:P)*$P$1)</f>
        <v/>
      </c>
      <c r="E98" s="156">
        <f>IFERROR(VLOOKUP(F98,AllPlayers!F:F,1,0),"------------")</f>
        <v/>
      </c>
      <c r="F98" s="156" t="inlineStr">
        <is>
          <t>Noah Brown</t>
        </is>
      </c>
      <c r="G98" s="167" t="inlineStr">
        <is>
          <t>WAS</t>
        </is>
      </c>
      <c r="H98" s="156" t="inlineStr">
        <is>
          <t>WR</t>
        </is>
      </c>
      <c r="I98" s="156" t="n">
        <v>2</v>
      </c>
      <c r="J98" s="156" t="n">
        <v>3</v>
      </c>
      <c r="K98" s="156" t="n">
        <v>36</v>
      </c>
      <c r="L98" s="156">
        <f>IF(J98=0,0,K98/J98)</f>
        <v/>
      </c>
      <c r="M98" s="156">
        <f>K98/17</f>
        <v/>
      </c>
      <c r="N98" s="156" t="n">
        <v>0</v>
      </c>
      <c r="O98" s="156" t="n">
        <v>7</v>
      </c>
      <c r="P98" s="281">
        <f>IF(K98=0,0,K98/O98)</f>
        <v/>
      </c>
      <c r="Q98" s="156" t="n">
        <v>5</v>
      </c>
      <c r="R98" s="156" t="n">
        <v>0</v>
      </c>
      <c r="S98" s="156" t="n">
        <v>0</v>
      </c>
      <c r="T98" s="156" t="n">
        <v>0</v>
      </c>
      <c r="U98" s="156" t="n">
        <v>0</v>
      </c>
      <c r="V98" s="156" t="n">
        <v>0</v>
      </c>
      <c r="W98" s="156" t="n">
        <v>0</v>
      </c>
      <c r="X98" s="204">
        <f>INDEX(Matrix!$AA$2:$AA$33, MATCH(G98, Matrix!$AC$2:$AC$33, 0))</f>
        <v/>
      </c>
      <c r="Y98" s="156">
        <f>_xlfn.IFNA(MATCH(E97,'Injury Report'!$C$2:$C$6216,0),0)</f>
        <v/>
      </c>
    </row>
    <row r="99" ht="15.6" customHeight="1" s="152">
      <c r="A99" s="212" t="n">
        <v>97</v>
      </c>
      <c r="B99" s="167">
        <f>F99&amp;G99</f>
        <v/>
      </c>
      <c r="C99" s="156">
        <f>(K99/MAX(K:K)*$K$1)+(O99/MAX(O:O)*$O$1)+(M99/MAX(M:M)*$M$1)+(N99/MAX(N:N)*$N$1)+(V99/MAX(V:V)*$V$1)+(P99/MAX(P:P)*$P$1)</f>
        <v/>
      </c>
      <c r="E99" s="156">
        <f>IFERROR(VLOOKUP(F99,AllPlayers!F:F,1,0),"------------")</f>
        <v/>
      </c>
      <c r="F99" s="156" t="inlineStr">
        <is>
          <t>Christian Watson</t>
        </is>
      </c>
      <c r="G99" s="167" t="inlineStr">
        <is>
          <t>GB</t>
        </is>
      </c>
      <c r="H99" s="156" t="inlineStr">
        <is>
          <t>WR</t>
        </is>
      </c>
      <c r="I99" s="156" t="n">
        <v>17</v>
      </c>
      <c r="J99" s="156" t="n">
        <v>19.9</v>
      </c>
      <c r="K99" s="156" t="n">
        <v>366.7</v>
      </c>
      <c r="L99" s="156">
        <f>IF(J99=0,0,K99/J99)</f>
        <v/>
      </c>
      <c r="M99" s="156">
        <f>K99/17</f>
        <v/>
      </c>
      <c r="N99" s="156" t="n">
        <v>2.3</v>
      </c>
      <c r="O99" s="156" t="n">
        <v>70</v>
      </c>
      <c r="P99" s="281">
        <f>IF(K99=0,0,K99/O99)</f>
        <v/>
      </c>
      <c r="Q99" s="156" t="n">
        <v>4</v>
      </c>
      <c r="R99" s="156" t="n">
        <v>1</v>
      </c>
      <c r="S99" s="156" t="n">
        <v>0</v>
      </c>
      <c r="T99" s="156" t="n">
        <v>0</v>
      </c>
      <c r="U99" s="156" t="n">
        <v>0</v>
      </c>
      <c r="V99" s="156" t="n">
        <v>2</v>
      </c>
      <c r="W99" s="156" t="n">
        <v>0.4</v>
      </c>
      <c r="X99" s="204">
        <f>INDEX(Matrix!$AA$2:$AA$33, MATCH(G99, Matrix!$AC$2:$AC$33, 0))</f>
        <v/>
      </c>
      <c r="Y99" s="156">
        <f>_xlfn.IFNA(MATCH(E98,'Injury Report'!$C$2:$C$6216,0),0)</f>
        <v/>
      </c>
    </row>
    <row r="100" ht="15.6" customHeight="1" s="152">
      <c r="A100" s="212" t="n">
        <v>98</v>
      </c>
      <c r="B100" s="167">
        <f>F100&amp;G100</f>
        <v/>
      </c>
      <c r="C100" s="156">
        <f>(K100/MAX(K:K)*$K$1)+(O100/MAX(O:O)*$O$1)+(M100/MAX(M:M)*$M$1)+(N100/MAX(N:N)*$N$1)+(V100/MAX(V:V)*$V$1)+(P100/MAX(P:P)*$P$1)</f>
        <v/>
      </c>
      <c r="E100" s="156">
        <f>IFERROR(VLOOKUP(F100,AllPlayers!F:F,1,0),"------------")</f>
        <v/>
      </c>
      <c r="F100" s="156" t="inlineStr">
        <is>
          <t>Adonai Mitchell</t>
        </is>
      </c>
      <c r="G100" s="167" t="inlineStr">
        <is>
          <t>IND</t>
        </is>
      </c>
      <c r="H100" s="156" t="inlineStr">
        <is>
          <t>WR</t>
        </is>
      </c>
      <c r="I100" s="156" t="n">
        <v>2</v>
      </c>
      <c r="J100" s="156" t="n">
        <v>4</v>
      </c>
      <c r="K100" s="156" t="n">
        <v>41</v>
      </c>
      <c r="L100" s="156">
        <f>IF(J100=0,0,K100/J100)</f>
        <v/>
      </c>
      <c r="M100" s="156">
        <f>K100/17</f>
        <v/>
      </c>
      <c r="N100" s="156" t="n">
        <v>0</v>
      </c>
      <c r="O100" s="156" t="n">
        <v>6</v>
      </c>
      <c r="P100" s="281">
        <f>IF(K100=0,0,K100/O100)</f>
        <v/>
      </c>
      <c r="Q100" s="156" t="n">
        <v>7</v>
      </c>
      <c r="R100" s="156" t="n">
        <v>0</v>
      </c>
      <c r="S100" s="156" t="n">
        <v>0</v>
      </c>
      <c r="T100" s="156" t="n">
        <v>0</v>
      </c>
      <c r="U100" s="156" t="n">
        <v>0</v>
      </c>
      <c r="V100" s="156" t="n">
        <v>0</v>
      </c>
      <c r="W100" s="156" t="n">
        <v>0</v>
      </c>
      <c r="X100" s="204">
        <f>INDEX(Matrix!$AA$2:$AA$33, MATCH(G100, Matrix!$AC$2:$AC$33, 0))</f>
        <v/>
      </c>
      <c r="Y100" s="156">
        <f>_xlfn.IFNA(MATCH(E99,'Injury Report'!$C$2:$C$6216,0),0)</f>
        <v/>
      </c>
    </row>
    <row r="101" ht="15.6" customHeight="1" s="152">
      <c r="A101" s="212" t="n">
        <v>99</v>
      </c>
      <c r="B101" s="167">
        <f>F101&amp;G101</f>
        <v/>
      </c>
      <c r="C101" s="156">
        <f>(K101/MAX(K:K)*$K$1)+(O101/MAX(O:O)*$O$1)+(M101/MAX(M:M)*$M$1)+(N101/MAX(N:N)*$N$1)+(V101/MAX(V:V)*$V$1)+(P101/MAX(P:P)*$P$1)</f>
        <v/>
      </c>
      <c r="E101" s="156">
        <f>IFERROR(VLOOKUP(F101,AllPlayers!F:F,1,0),"------------")</f>
        <v/>
      </c>
      <c r="F101" s="156" t="inlineStr">
        <is>
          <t>Pat Bryant</t>
        </is>
      </c>
      <c r="G101" s="167" t="inlineStr">
        <is>
          <t>DEN</t>
        </is>
      </c>
      <c r="H101" s="156" t="inlineStr">
        <is>
          <t>WR</t>
        </is>
      </c>
      <c r="I101" s="156" t="n">
        <v>1</v>
      </c>
      <c r="J101" s="156" t="n">
        <v>2</v>
      </c>
      <c r="K101" s="156" t="n">
        <v>18</v>
      </c>
      <c r="L101" s="156">
        <f>IF(J101=0,0,K101/J101)</f>
        <v/>
      </c>
      <c r="M101" s="156">
        <f>K101/17</f>
        <v/>
      </c>
      <c r="N101" s="156" t="n">
        <v>0</v>
      </c>
      <c r="O101" s="156" t="n">
        <v>3</v>
      </c>
      <c r="P101" s="281">
        <f>IF(K101=0,0,K101/O101)</f>
        <v/>
      </c>
      <c r="Q101" s="156" t="n">
        <v>6</v>
      </c>
      <c r="R101" s="156" t="n">
        <v>1</v>
      </c>
      <c r="S101" s="156" t="n">
        <v>1</v>
      </c>
      <c r="T101" s="156" t="n">
        <v>0</v>
      </c>
      <c r="U101" s="156" t="n">
        <v>0</v>
      </c>
      <c r="V101" s="156" t="n">
        <v>0</v>
      </c>
      <c r="W101" s="156" t="n">
        <v>0</v>
      </c>
      <c r="X101" s="204">
        <f>INDEX(Matrix!$AA$2:$AA$33, MATCH(G101, Matrix!$AC$2:$AC$33, 0))</f>
        <v/>
      </c>
      <c r="Y101" s="156">
        <f>_xlfn.IFNA(MATCH(E100,'Injury Report'!$C$2:$C$6216,0),0)</f>
        <v/>
      </c>
    </row>
    <row r="102" ht="15.6" customHeight="1" s="152">
      <c r="A102" s="212" t="n">
        <v>100</v>
      </c>
      <c r="B102" s="167">
        <f>F102&amp;G102</f>
        <v/>
      </c>
      <c r="C102" s="156">
        <f>(K102/MAX(K:K)*$K$1)+(O102/MAX(O:O)*$O$1)+(M102/MAX(M:M)*$M$1)+(N102/MAX(N:N)*$N$1)+(V102/MAX(V:V)*$V$1)+(P102/MAX(P:P)*$P$1)</f>
        <v/>
      </c>
      <c r="E102" s="156">
        <f>IFERROR(VLOOKUP(F102,AllPlayers!F:F,1,0),"------------")</f>
        <v/>
      </c>
      <c r="F102" s="156" t="inlineStr">
        <is>
          <t>Dont'e Thornton</t>
        </is>
      </c>
      <c r="G102" s="167" t="inlineStr">
        <is>
          <t>LV</t>
        </is>
      </c>
      <c r="H102" s="156" t="inlineStr">
        <is>
          <t>WR</t>
        </is>
      </c>
      <c r="I102" s="156" t="n">
        <v>2</v>
      </c>
      <c r="J102" s="156" t="n">
        <v>3</v>
      </c>
      <c r="K102" s="156" t="n">
        <v>65</v>
      </c>
      <c r="L102" s="156">
        <f>IF(J102=0,0,K102/J102)</f>
        <v/>
      </c>
      <c r="M102" s="156">
        <f>K102/17</f>
        <v/>
      </c>
      <c r="N102" s="156" t="n">
        <v>0</v>
      </c>
      <c r="O102" s="156" t="n">
        <v>8</v>
      </c>
      <c r="P102" s="281">
        <f>IF(K102=0,0,K102/O102)</f>
        <v/>
      </c>
      <c r="Q102" s="156" t="n">
        <v>4</v>
      </c>
      <c r="R102" s="156" t="n">
        <v>2</v>
      </c>
      <c r="S102" s="156" t="n">
        <v>1</v>
      </c>
      <c r="T102" s="156" t="n">
        <v>0</v>
      </c>
      <c r="U102" s="156" t="n">
        <v>0</v>
      </c>
      <c r="V102" s="156" t="n">
        <v>0</v>
      </c>
      <c r="W102" s="156" t="n">
        <v>0</v>
      </c>
      <c r="X102" s="204">
        <f>INDEX(Matrix!$AA$2:$AA$33, MATCH(G102, Matrix!$AC$2:$AC$33, 0))</f>
        <v/>
      </c>
      <c r="Y102" s="156">
        <f>_xlfn.IFNA(MATCH(E101,'Injury Report'!$C$2:$C$6216,0),0)</f>
        <v/>
      </c>
    </row>
    <row r="103" ht="15.6" customHeight="1" s="152">
      <c r="A103" s="212" t="n">
        <v>101</v>
      </c>
      <c r="B103" s="167">
        <f>F103&amp;G103</f>
        <v/>
      </c>
      <c r="C103" s="156">
        <f>(K103/MAX(K:K)*$K$1)+(O103/MAX(O:O)*$O$1)+(M103/MAX(M:M)*$M$1)+(N103/MAX(N:N)*$N$1)+(V103/MAX(V:V)*$V$1)+(P103/MAX(P:P)*$P$1)</f>
        <v/>
      </c>
      <c r="E103" s="156">
        <f>IFERROR(VLOOKUP(F103,AllPlayers!F:F,1,0),"------------")</f>
        <v/>
      </c>
      <c r="F103" s="156" t="inlineStr">
        <is>
          <t>Elic Ayomanor</t>
        </is>
      </c>
      <c r="G103" s="167" t="inlineStr">
        <is>
          <t>TEN</t>
        </is>
      </c>
      <c r="H103" s="156" t="inlineStr">
        <is>
          <t>WR</t>
        </is>
      </c>
      <c r="I103" s="156" t="n">
        <v>2</v>
      </c>
      <c r="J103" s="156" t="n">
        <v>6</v>
      </c>
      <c r="K103" s="156" t="n">
        <v>69</v>
      </c>
      <c r="L103" s="156">
        <f>IF(J103=0,0,K103/J103)</f>
        <v/>
      </c>
      <c r="M103" s="156">
        <f>K103/17</f>
        <v/>
      </c>
      <c r="N103" s="156" t="n">
        <v>1</v>
      </c>
      <c r="O103" s="156" t="n">
        <v>13</v>
      </c>
      <c r="P103" s="281">
        <f>IF(K103=0,0,K103/O103)</f>
        <v/>
      </c>
      <c r="Q103" s="156" t="n">
        <v>5</v>
      </c>
      <c r="R103" s="156" t="n">
        <v>0</v>
      </c>
      <c r="S103" s="156" t="n">
        <v>0</v>
      </c>
      <c r="T103" s="156" t="n">
        <v>0</v>
      </c>
      <c r="U103" s="156" t="n">
        <v>0</v>
      </c>
      <c r="V103" s="156" t="n">
        <v>0</v>
      </c>
      <c r="W103" s="156" t="n">
        <v>0</v>
      </c>
      <c r="X103" s="204">
        <f>INDEX(Matrix!$AA$2:$AA$33, MATCH(G103, Matrix!$AC$2:$AC$33, 0))</f>
        <v/>
      </c>
      <c r="Y103" s="156">
        <f>_xlfn.IFNA(MATCH(E102,'Injury Report'!$C$2:$C$6216,0),0)</f>
        <v/>
      </c>
    </row>
    <row r="104" ht="15.6" customHeight="1" s="152">
      <c r="A104" s="212" t="n">
        <v>102</v>
      </c>
      <c r="B104" s="167">
        <f>F104&amp;G104</f>
        <v/>
      </c>
      <c r="C104" s="156">
        <f>(K104/MAX(K:K)*$K$1)+(O104/MAX(O:O)*$O$1)+(M104/MAX(M:M)*$M$1)+(N104/MAX(N:N)*$N$1)+(V104/MAX(V:V)*$V$1)+(P104/MAX(P:P)*$P$1)</f>
        <v/>
      </c>
      <c r="E104" s="156">
        <f>IFERROR(VLOOKUP(F104,AllPlayers!F:F,1,0),"------------")</f>
        <v/>
      </c>
      <c r="F104" s="156" t="inlineStr">
        <is>
          <t>K.J. Osborn</t>
        </is>
      </c>
      <c r="G104" s="167" t="inlineStr">
        <is>
          <t>WAS</t>
        </is>
      </c>
      <c r="H104" s="156" t="inlineStr">
        <is>
          <t>WR</t>
        </is>
      </c>
      <c r="I104" s="156" t="n">
        <v>17</v>
      </c>
      <c r="J104" s="156" t="n">
        <v>28.4</v>
      </c>
      <c r="K104" s="156" t="n">
        <v>313.5</v>
      </c>
      <c r="L104" s="156">
        <f>IF(J104=0,0,K104/J104)</f>
        <v/>
      </c>
      <c r="M104" s="156">
        <f>K104/17</f>
        <v/>
      </c>
      <c r="N104" s="156" t="n">
        <v>2.5</v>
      </c>
      <c r="O104" s="156" t="n">
        <v>55</v>
      </c>
      <c r="P104" s="281">
        <f>IF(K104=0,0,K104/O104)</f>
        <v/>
      </c>
      <c r="Q104" s="156" t="n">
        <v>7</v>
      </c>
      <c r="R104" s="156" t="n">
        <v>0</v>
      </c>
      <c r="S104" s="156" t="n">
        <v>0</v>
      </c>
      <c r="T104" s="156" t="n">
        <v>0</v>
      </c>
      <c r="U104" s="156" t="n">
        <v>0</v>
      </c>
      <c r="V104" s="156" t="n">
        <v>0</v>
      </c>
      <c r="W104" s="156" t="n">
        <v>0</v>
      </c>
      <c r="X104" s="204">
        <f>INDEX(Matrix!$AA$2:$AA$33, MATCH(G104, Matrix!$AC$2:$AC$33, 0))</f>
        <v/>
      </c>
      <c r="Y104" s="156">
        <f>_xlfn.IFNA(MATCH(E103,'Injury Report'!$C$2:$C$6216,0),0)</f>
        <v/>
      </c>
    </row>
    <row r="105" ht="15.6" customHeight="1" s="152">
      <c r="A105" s="212" t="n">
        <v>103</v>
      </c>
      <c r="B105" s="167">
        <f>F105&amp;G105</f>
        <v/>
      </c>
      <c r="C105" s="156">
        <f>(K105/MAX(K:K)*$K$1)+(O105/MAX(O:O)*$O$1)+(M105/MAX(M:M)*$M$1)+(N105/MAX(N:N)*$N$1)+(V105/MAX(V:V)*$V$1)+(P105/MAX(P:P)*$P$1)</f>
        <v/>
      </c>
      <c r="E105" s="156">
        <f>IFERROR(VLOOKUP(F105,AllPlayers!F:F,1,0),"------------")</f>
        <v/>
      </c>
      <c r="F105" s="156" t="inlineStr">
        <is>
          <t>Curtis Samuel</t>
        </is>
      </c>
      <c r="G105" s="167" t="inlineStr">
        <is>
          <t>BUF</t>
        </is>
      </c>
      <c r="H105" s="156" t="inlineStr">
        <is>
          <t>WR</t>
        </is>
      </c>
      <c r="I105" s="156" t="n">
        <v>17</v>
      </c>
      <c r="J105" s="156" t="n">
        <v>27</v>
      </c>
      <c r="K105" s="156" t="n">
        <v>272.4</v>
      </c>
      <c r="L105" s="156">
        <f>IF(J105=0,0,K105/J105)</f>
        <v/>
      </c>
      <c r="M105" s="156">
        <f>K105/17</f>
        <v/>
      </c>
      <c r="N105" s="156" t="n">
        <v>2.5</v>
      </c>
      <c r="O105" s="156" t="n">
        <v>55</v>
      </c>
      <c r="P105" s="281">
        <f>IF(K105=0,0,K105/O105)</f>
        <v/>
      </c>
      <c r="Q105" s="156" t="n">
        <v>7</v>
      </c>
      <c r="R105" s="156" t="n">
        <v>0</v>
      </c>
      <c r="S105" s="156" t="n">
        <v>0</v>
      </c>
      <c r="T105" s="156" t="n">
        <v>0</v>
      </c>
      <c r="U105" s="156" t="n">
        <v>0</v>
      </c>
      <c r="V105" s="156" t="n">
        <v>0</v>
      </c>
      <c r="W105" s="156" t="n">
        <v>0.1</v>
      </c>
      <c r="X105" s="204">
        <f>INDEX(Matrix!$AA$2:$AA$33, MATCH(G105, Matrix!$AC$2:$AC$33, 0))</f>
        <v/>
      </c>
      <c r="Y105" s="156">
        <f>_xlfn.IFNA(MATCH(E104,'Injury Report'!$C$2:$C$6216,0),0)</f>
        <v/>
      </c>
    </row>
    <row r="106" ht="15.6" customHeight="1" s="152">
      <c r="A106" s="212" t="n">
        <v>104</v>
      </c>
      <c r="B106" s="167">
        <f>F106&amp;G106</f>
        <v/>
      </c>
      <c r="C106" s="156">
        <f>(K106/MAX(K:K)*$K$1)+(O106/MAX(O:O)*$O$1)+(M106/MAX(M:M)*$M$1)+(N106/MAX(N:N)*$N$1)+(V106/MAX(V:V)*$V$1)+(P106/MAX(P:P)*$P$1)</f>
        <v/>
      </c>
      <c r="E106" s="156">
        <f>IFERROR(VLOOKUP(F106,AllPlayers!F:F,1,0),"------------")</f>
        <v/>
      </c>
      <c r="F106" s="156" t="inlineStr">
        <is>
          <t>Allen Lazard</t>
        </is>
      </c>
      <c r="G106" s="167" t="inlineStr">
        <is>
          <t>NYJ</t>
        </is>
      </c>
      <c r="H106" s="156" t="inlineStr">
        <is>
          <t>WR</t>
        </is>
      </c>
      <c r="I106" s="156" t="n">
        <v>17</v>
      </c>
      <c r="J106" s="156" t="n">
        <v>24.6</v>
      </c>
      <c r="K106" s="156" t="n">
        <v>318.8</v>
      </c>
      <c r="L106" s="156">
        <f>IF(J106=0,0,K106/J106)</f>
        <v/>
      </c>
      <c r="M106" s="156">
        <f>K106/17</f>
        <v/>
      </c>
      <c r="N106" s="156" t="n">
        <v>2.2</v>
      </c>
      <c r="O106" s="156" t="n">
        <v>58</v>
      </c>
      <c r="P106" s="281">
        <f>IF(K106=0,0,K106/O106)</f>
        <v/>
      </c>
      <c r="Q106" s="156" t="n">
        <v>8</v>
      </c>
      <c r="R106" s="156" t="n">
        <v>0</v>
      </c>
      <c r="S106" s="156" t="n">
        <v>0</v>
      </c>
      <c r="T106" s="156" t="n">
        <v>0</v>
      </c>
      <c r="U106" s="156" t="n">
        <v>0</v>
      </c>
      <c r="V106" s="156" t="n">
        <v>0</v>
      </c>
      <c r="W106" s="156" t="n">
        <v>0.1</v>
      </c>
      <c r="X106" s="204">
        <f>INDEX(Matrix!$AA$2:$AA$33, MATCH(G106, Matrix!$AC$2:$AC$33, 0))</f>
        <v/>
      </c>
      <c r="Y106" s="156">
        <f>_xlfn.IFNA(MATCH(E105,'Injury Report'!$C$2:$C$6216,0),0)</f>
        <v/>
      </c>
    </row>
    <row r="107" ht="15.6" customHeight="1" s="152">
      <c r="A107" s="212" t="n">
        <v>105</v>
      </c>
      <c r="B107" s="167">
        <f>F107&amp;G107</f>
        <v/>
      </c>
      <c r="C107" s="156">
        <f>(K107/MAX(K:K)*$K$1)+(O107/MAX(O:O)*$O$1)+(M107/MAX(M:M)*$M$1)+(N107/MAX(N:N)*$N$1)+(V107/MAX(V:V)*$V$1)+(P107/MAX(P:P)*$P$1)</f>
        <v/>
      </c>
      <c r="E107" s="156">
        <f>IFERROR(VLOOKUP(F107,AllPlayers!F:F,1,0),"------------")</f>
        <v/>
      </c>
      <c r="F107" s="156" t="inlineStr">
        <is>
          <t>Anthony Miller</t>
        </is>
      </c>
      <c r="G107" s="167" t="inlineStr">
        <is>
          <t>BAL</t>
        </is>
      </c>
      <c r="H107" s="156" t="inlineStr">
        <is>
          <t>WR</t>
        </is>
      </c>
      <c r="I107" s="156" t="n">
        <v>17</v>
      </c>
      <c r="J107" s="156" t="n">
        <v>25.4</v>
      </c>
      <c r="K107" s="156" t="n">
        <v>277.9</v>
      </c>
      <c r="L107" s="156">
        <f>IF(J107=0,0,K107/J107)</f>
        <v/>
      </c>
      <c r="M107" s="156">
        <f>K107/17</f>
        <v/>
      </c>
      <c r="N107" s="156" t="n">
        <v>2.6</v>
      </c>
      <c r="O107" s="156" t="n">
        <v>62</v>
      </c>
      <c r="P107" s="281">
        <f>IF(K107=0,0,K107/O107)</f>
        <v/>
      </c>
      <c r="Q107" s="156" t="n">
        <v>5</v>
      </c>
      <c r="R107" s="156" t="n">
        <v>0</v>
      </c>
      <c r="S107" s="156" t="n">
        <v>1</v>
      </c>
      <c r="T107" s="156" t="n">
        <v>0</v>
      </c>
      <c r="U107" s="156" t="n">
        <v>0</v>
      </c>
      <c r="V107" s="156" t="n">
        <v>0</v>
      </c>
      <c r="W107" s="156" t="n">
        <v>0</v>
      </c>
      <c r="X107" s="204">
        <f>INDEX(Matrix!$AA$2:$AA$33, MATCH(G107, Matrix!$AC$2:$AC$33, 0))</f>
        <v/>
      </c>
      <c r="Y107" s="156">
        <f>_xlfn.IFNA(MATCH(E106,'Injury Report'!$C$2:$C$6216,0),0)</f>
        <v/>
      </c>
    </row>
    <row r="108" ht="15.6" customHeight="1" s="152">
      <c r="A108" s="212" t="n">
        <v>106</v>
      </c>
      <c r="B108" s="167">
        <f>F108&amp;G108</f>
        <v/>
      </c>
      <c r="C108" s="156">
        <f>(K108/MAX(K:K)*$K$1)+(O108/MAX(O:O)*$O$1)+(M108/MAX(M:M)*$M$1)+(N108/MAX(N:N)*$N$1)+(V108/MAX(V:V)*$V$1)+(P108/MAX(P:P)*$P$1)</f>
        <v/>
      </c>
      <c r="E108" s="156">
        <f>IFERROR(VLOOKUP(F108,AllPlayers!F:F,1,0),"------------")</f>
        <v/>
      </c>
      <c r="F108" s="156" t="inlineStr">
        <is>
          <t>Greg Dortch</t>
        </is>
      </c>
      <c r="G108" s="167" t="inlineStr">
        <is>
          <t>ARI</t>
        </is>
      </c>
      <c r="H108" s="156" t="inlineStr">
        <is>
          <t>WR</t>
        </is>
      </c>
      <c r="I108" s="156" t="n">
        <v>2</v>
      </c>
      <c r="J108" s="156" t="n">
        <v>2</v>
      </c>
      <c r="K108" s="156" t="n">
        <v>9</v>
      </c>
      <c r="L108" s="156">
        <f>IF(J108=0,0,K108/J108)</f>
        <v/>
      </c>
      <c r="M108" s="156">
        <f>K108/17</f>
        <v/>
      </c>
      <c r="N108" s="156" t="n">
        <v>0</v>
      </c>
      <c r="O108" s="156" t="n">
        <v>2</v>
      </c>
      <c r="P108" s="281">
        <f>IF(K108=0,0,K108/O108)</f>
        <v/>
      </c>
      <c r="Q108" s="156" t="n">
        <v>4</v>
      </c>
      <c r="R108" s="156" t="n">
        <v>1</v>
      </c>
      <c r="S108" s="156" t="n">
        <v>0</v>
      </c>
      <c r="T108" s="156" t="n">
        <v>0</v>
      </c>
      <c r="U108" s="156" t="n">
        <v>0</v>
      </c>
      <c r="V108" s="156" t="n">
        <v>0</v>
      </c>
      <c r="W108" s="156" t="n">
        <v>0</v>
      </c>
      <c r="X108" s="204">
        <f>INDEX(Matrix!$AA$2:$AA$33, MATCH(G108, Matrix!$AC$2:$AC$33, 0))</f>
        <v/>
      </c>
      <c r="Y108" s="156">
        <f>_xlfn.IFNA(MATCH(E107,'Injury Report'!$C$2:$C$6216,0),0)</f>
        <v/>
      </c>
    </row>
    <row r="109" ht="15.6" customHeight="1" s="152">
      <c r="A109" s="212" t="n">
        <v>107</v>
      </c>
      <c r="B109" s="167">
        <f>F109&amp;G109</f>
        <v/>
      </c>
      <c r="C109" s="156">
        <f>(K109/MAX(K:K)*$K$1)+(O109/MAX(O:O)*$O$1)+(M109/MAX(M:M)*$M$1)+(N109/MAX(N:N)*$N$1)+(V109/MAX(V:V)*$V$1)+(P109/MAX(P:P)*$P$1)</f>
        <v/>
      </c>
      <c r="E109" s="156">
        <f>IFERROR(VLOOKUP(F109,AllPlayers!F:F,1,0),"------------")</f>
        <v/>
      </c>
      <c r="F109" s="156" t="inlineStr">
        <is>
          <t>Van Jefferson</t>
        </is>
      </c>
      <c r="G109" s="167" t="inlineStr">
        <is>
          <t>TEN</t>
        </is>
      </c>
      <c r="H109" s="156" t="inlineStr">
        <is>
          <t>WR</t>
        </is>
      </c>
      <c r="I109" s="156" t="n">
        <v>1</v>
      </c>
      <c r="J109" s="156" t="n">
        <v>2</v>
      </c>
      <c r="K109" s="156" t="n">
        <v>10</v>
      </c>
      <c r="L109" s="156">
        <f>IF(J109=0,0,K109/J109)</f>
        <v/>
      </c>
      <c r="M109" s="156">
        <f>K109/17</f>
        <v/>
      </c>
      <c r="N109" s="156" t="n">
        <v>0</v>
      </c>
      <c r="O109" s="156" t="n">
        <v>2</v>
      </c>
      <c r="P109" s="281">
        <f>IF(K109=0,0,K109/O109)</f>
        <v/>
      </c>
      <c r="Q109" s="156" t="n">
        <v>7</v>
      </c>
      <c r="R109" s="156" t="n">
        <v>0</v>
      </c>
      <c r="S109" s="156" t="n">
        <v>0</v>
      </c>
      <c r="T109" s="156" t="n">
        <v>0</v>
      </c>
      <c r="U109" s="156" t="n">
        <v>0</v>
      </c>
      <c r="V109" s="156" t="n">
        <v>0</v>
      </c>
      <c r="W109" s="156" t="n">
        <v>0</v>
      </c>
      <c r="X109" s="204">
        <f>INDEX(Matrix!$AA$2:$AA$33, MATCH(G109, Matrix!$AC$2:$AC$33, 0))</f>
        <v/>
      </c>
      <c r="Y109" s="156">
        <f>_xlfn.IFNA(MATCH(E108,'Injury Report'!$C$2:$C$6216,0),0)</f>
        <v/>
      </c>
    </row>
    <row r="110" ht="15.6" customHeight="1" s="152">
      <c r="A110" s="212" t="n">
        <v>108</v>
      </c>
      <c r="B110" s="167">
        <f>F110&amp;G110</f>
        <v/>
      </c>
      <c r="C110" s="156">
        <f>(K110/MAX(K:K)*$K$1)+(O110/MAX(O:O)*$O$1)+(M110/MAX(M:M)*$M$1)+(N110/MAX(N:N)*$N$1)+(V110/MAX(V:V)*$V$1)+(P110/MAX(P:P)*$P$1)</f>
        <v/>
      </c>
      <c r="E110" s="156">
        <f>IFERROR(VLOOKUP(F110,AllPlayers!F:F,1,0),"------------")</f>
        <v/>
      </c>
      <c r="F110" s="156" t="inlineStr">
        <is>
          <t>Roman Wilson</t>
        </is>
      </c>
      <c r="G110" s="167" t="inlineStr">
        <is>
          <t>PIT</t>
        </is>
      </c>
      <c r="H110" s="156" t="inlineStr">
        <is>
          <t>WR</t>
        </is>
      </c>
      <c r="I110" s="156" t="n">
        <v>1</v>
      </c>
      <c r="J110" s="156" t="n">
        <v>1</v>
      </c>
      <c r="K110" s="156" t="n">
        <v>7</v>
      </c>
      <c r="L110" s="156">
        <f>IF(J110=0,0,K110/J110)</f>
        <v/>
      </c>
      <c r="M110" s="156">
        <f>K110/17</f>
        <v/>
      </c>
      <c r="N110" s="156" t="n">
        <v>0</v>
      </c>
      <c r="O110" s="156" t="n">
        <v>2</v>
      </c>
      <c r="P110" s="281">
        <f>IF(K110=0,0,K110/O110)</f>
        <v/>
      </c>
      <c r="Q110" s="156" t="n">
        <v>5</v>
      </c>
      <c r="R110" s="156" t="n">
        <v>0</v>
      </c>
      <c r="S110" s="156" t="n">
        <v>0</v>
      </c>
      <c r="T110" s="156" t="n">
        <v>0</v>
      </c>
      <c r="U110" s="156" t="n">
        <v>0</v>
      </c>
      <c r="V110" s="156" t="n">
        <v>0</v>
      </c>
      <c r="W110" s="156" t="n">
        <v>0</v>
      </c>
      <c r="X110" s="204">
        <f>INDEX(Matrix!$AA$2:$AA$33, MATCH(G110, Matrix!$AC$2:$AC$33, 0))</f>
        <v/>
      </c>
      <c r="Y110" s="156">
        <f>_xlfn.IFNA(MATCH(E109,'Injury Report'!$C$2:$C$6216,0),0)</f>
        <v/>
      </c>
    </row>
    <row r="111" ht="15.6" customHeight="1" s="152">
      <c r="A111" s="212" t="n">
        <v>109</v>
      </c>
      <c r="B111" s="167">
        <f>F111&amp;G111</f>
        <v/>
      </c>
      <c r="C111" s="156">
        <f>(K111/MAX(K:K)*$K$1)+(O111/MAX(O:O)*$O$1)+(M111/MAX(M:M)*$M$1)+(N111/MAX(N:N)*$N$1)+(V111/MAX(V:V)*$V$1)+(P111/MAX(P:P)*$P$1)</f>
        <v/>
      </c>
      <c r="E111" s="156">
        <f>IFERROR(VLOOKUP(F111,AllPlayers!F:F,1,0),"------------")</f>
        <v/>
      </c>
      <c r="F111" s="156" t="inlineStr">
        <is>
          <t>Malik Washington</t>
        </is>
      </c>
      <c r="G111" s="167" t="inlineStr">
        <is>
          <t>MIA</t>
        </is>
      </c>
      <c r="H111" s="156" t="inlineStr">
        <is>
          <t>WR</t>
        </is>
      </c>
      <c r="I111" s="156" t="n">
        <v>2</v>
      </c>
      <c r="J111" s="156" t="n">
        <v>3</v>
      </c>
      <c r="K111" s="156" t="n">
        <v>22</v>
      </c>
      <c r="L111" s="156">
        <f>IF(J111=0,0,K111/J111)</f>
        <v/>
      </c>
      <c r="M111" s="156">
        <f>K111/17</f>
        <v/>
      </c>
      <c r="N111" s="156" t="n">
        <v>0</v>
      </c>
      <c r="O111" s="156" t="n">
        <v>7</v>
      </c>
      <c r="P111" s="281">
        <f>IF(K111=0,0,K111/O111)</f>
        <v/>
      </c>
      <c r="Q111" s="156" t="n">
        <v>6</v>
      </c>
      <c r="R111" s="156" t="n">
        <v>0</v>
      </c>
      <c r="S111" s="156" t="n">
        <v>0</v>
      </c>
      <c r="T111" s="156" t="n">
        <v>0</v>
      </c>
      <c r="U111" s="156" t="n">
        <v>0</v>
      </c>
      <c r="V111" s="156" t="n">
        <v>0</v>
      </c>
      <c r="W111" s="156" t="n">
        <v>0</v>
      </c>
      <c r="X111" s="204">
        <f>INDEX(Matrix!$AA$2:$AA$33, MATCH(G111, Matrix!$AC$2:$AC$33, 0))</f>
        <v/>
      </c>
      <c r="Y111" s="156">
        <f>_xlfn.IFNA(MATCH(E110,'Injury Report'!$C$2:$C$6216,0),0)</f>
        <v/>
      </c>
    </row>
    <row r="112" ht="15.6" customHeight="1" s="152">
      <c r="A112" s="212" t="n">
        <v>110</v>
      </c>
      <c r="B112" s="167">
        <f>F112&amp;G112</f>
        <v/>
      </c>
      <c r="C112" s="156">
        <f>(K112/MAX(K:K)*$K$1)+(O112/MAX(O:O)*$O$1)+(M112/MAX(M:M)*$M$1)+(N112/MAX(N:N)*$N$1)+(V112/MAX(V:V)*$V$1)+(P112/MAX(P:P)*$P$1)</f>
        <v/>
      </c>
      <c r="E112" s="156">
        <f>IFERROR(VLOOKUP(F112,AllPlayers!F:F,1,0),"------------")</f>
        <v/>
      </c>
      <c r="F112" s="156" t="inlineStr">
        <is>
          <t>Devaughn Vele</t>
        </is>
      </c>
      <c r="G112" s="167" t="inlineStr">
        <is>
          <t>NO</t>
        </is>
      </c>
      <c r="H112" s="156" t="inlineStr">
        <is>
          <t>WR</t>
        </is>
      </c>
      <c r="I112" s="156" t="n">
        <v>2</v>
      </c>
      <c r="J112" s="156" t="n">
        <v>2</v>
      </c>
      <c r="K112" s="156" t="n">
        <v>16</v>
      </c>
      <c r="L112" s="156">
        <f>IF(J112=0,0,K112/J112)</f>
        <v/>
      </c>
      <c r="M112" s="156">
        <f>K112/17</f>
        <v/>
      </c>
      <c r="N112" s="156" t="n">
        <v>1</v>
      </c>
      <c r="O112" s="156" t="n">
        <v>3</v>
      </c>
      <c r="P112" s="281">
        <f>IF(K112=0,0,K112/O112)</f>
        <v/>
      </c>
      <c r="Q112" s="156" t="n">
        <v>4</v>
      </c>
      <c r="R112" s="156" t="n">
        <v>0</v>
      </c>
      <c r="S112" s="156" t="n">
        <v>0</v>
      </c>
      <c r="T112" s="156" t="n">
        <v>0</v>
      </c>
      <c r="U112" s="156" t="n">
        <v>0</v>
      </c>
      <c r="V112" s="156" t="n">
        <v>0</v>
      </c>
      <c r="W112" s="156" t="n">
        <v>0</v>
      </c>
      <c r="X112" s="204">
        <f>INDEX(Matrix!$AA$2:$AA$33, MATCH(G112, Matrix!$AC$2:$AC$33, 0))</f>
        <v/>
      </c>
      <c r="Y112" s="156">
        <f>_xlfn.IFNA(MATCH(E111,'Injury Report'!$C$2:$C$6216,0),0)</f>
        <v/>
      </c>
    </row>
    <row r="113" ht="15.6" customHeight="1" s="152">
      <c r="A113" s="212" t="n">
        <v>111</v>
      </c>
      <c r="B113" s="167">
        <f>F113&amp;G113</f>
        <v/>
      </c>
      <c r="C113" s="156">
        <f>(K113/MAX(K:K)*$K$1)+(O113/MAX(O:O)*$O$1)+(M113/MAX(M:M)*$M$1)+(N113/MAX(N:N)*$N$1)+(V113/MAX(V:V)*$V$1)+(P113/MAX(P:P)*$P$1)</f>
        <v/>
      </c>
      <c r="E113" s="156">
        <f>IFERROR(VLOOKUP(F113,AllPlayers!F:F,1,0),"------------")</f>
        <v/>
      </c>
      <c r="F113" s="156" t="inlineStr">
        <is>
          <t>Jaylin Noel</t>
        </is>
      </c>
      <c r="G113" s="167" t="inlineStr">
        <is>
          <t>HOU</t>
        </is>
      </c>
      <c r="H113" s="156" t="inlineStr">
        <is>
          <t>WR</t>
        </is>
      </c>
      <c r="I113" s="156" t="n">
        <v>2</v>
      </c>
      <c r="J113" s="156" t="n">
        <v>1</v>
      </c>
      <c r="K113" s="156" t="n">
        <v>7</v>
      </c>
      <c r="L113" s="156">
        <f>IF(J113=0,0,K113/J113)</f>
        <v/>
      </c>
      <c r="M113" s="156">
        <f>K113/17</f>
        <v/>
      </c>
      <c r="N113" s="156" t="n">
        <v>0</v>
      </c>
      <c r="O113" s="156" t="n">
        <v>2</v>
      </c>
      <c r="P113" s="281">
        <f>IF(K113=0,0,K113/O113)</f>
        <v/>
      </c>
      <c r="Q113" s="156" t="n">
        <v>3</v>
      </c>
      <c r="R113" s="156" t="n">
        <v>0</v>
      </c>
      <c r="S113" s="156" t="n">
        <v>0</v>
      </c>
      <c r="T113" s="156" t="n">
        <v>0</v>
      </c>
      <c r="U113" s="156" t="n">
        <v>0</v>
      </c>
      <c r="V113" s="156" t="n">
        <v>0</v>
      </c>
      <c r="W113" s="156" t="n">
        <v>0</v>
      </c>
      <c r="X113" s="204">
        <f>INDEX(Matrix!$AA$2:$AA$33, MATCH(G113, Matrix!$AC$2:$AC$33, 0))</f>
        <v/>
      </c>
      <c r="Y113" s="156">
        <f>_xlfn.IFNA(MATCH(E112,'Injury Report'!$C$2:$C$6216,0),0)</f>
        <v/>
      </c>
    </row>
    <row r="114" ht="15.6" customHeight="1" s="152">
      <c r="A114" s="212" t="n">
        <v>112</v>
      </c>
      <c r="B114" s="167">
        <f>F114&amp;G114</f>
        <v/>
      </c>
      <c r="C114" s="156">
        <f>(K114/MAX(K:K)*$K$1)+(O114/MAX(O:O)*$O$1)+(M114/MAX(M:M)*$M$1)+(N114/MAX(N:N)*$N$1)+(V114/MAX(V:V)*$V$1)+(P114/MAX(P:P)*$P$1)</f>
        <v/>
      </c>
      <c r="E114" s="156">
        <f>IFERROR(VLOOKUP(F114,AllPlayers!F:F,1,0),"------------")</f>
        <v/>
      </c>
      <c r="F114" s="156" t="inlineStr">
        <is>
          <t>Tim Patrick</t>
        </is>
      </c>
      <c r="G114" s="167" t="inlineStr">
        <is>
          <t>DET</t>
        </is>
      </c>
      <c r="H114" s="156" t="inlineStr">
        <is>
          <t>WR</t>
        </is>
      </c>
      <c r="I114" s="156" t="n">
        <v>1</v>
      </c>
      <c r="J114" s="156" t="n">
        <v>0</v>
      </c>
      <c r="K114" s="156" t="n">
        <v>0</v>
      </c>
      <c r="L114" s="156">
        <f>IF(J114=0,0,K114/J114)</f>
        <v/>
      </c>
      <c r="M114" s="156">
        <f>K114/17</f>
        <v/>
      </c>
      <c r="N114" s="156" t="n">
        <v>0</v>
      </c>
      <c r="O114" s="156" t="n">
        <v>1</v>
      </c>
      <c r="P114" s="281">
        <f>IF(K114=0,0,K114/O114)</f>
        <v/>
      </c>
      <c r="Q114" s="156" t="n">
        <v>6</v>
      </c>
      <c r="R114" s="156" t="n">
        <v>1</v>
      </c>
      <c r="S114" s="156" t="n">
        <v>0</v>
      </c>
      <c r="T114" s="156" t="n">
        <v>0</v>
      </c>
      <c r="U114" s="156" t="n">
        <v>0</v>
      </c>
      <c r="V114" s="156" t="n">
        <v>0</v>
      </c>
      <c r="W114" s="156" t="n">
        <v>0</v>
      </c>
      <c r="X114" s="204">
        <f>INDEX(Matrix!$AA$2:$AA$33, MATCH(G114, Matrix!$AC$2:$AC$33, 0))</f>
        <v/>
      </c>
      <c r="Y114" s="156">
        <f>_xlfn.IFNA(MATCH(E113,'Injury Report'!$C$2:$C$6216,0),0)</f>
        <v/>
      </c>
    </row>
    <row r="115" ht="15.6" customHeight="1" s="152">
      <c r="A115" s="212" t="n">
        <v>113</v>
      </c>
      <c r="B115" s="167">
        <f>F115&amp;G115</f>
        <v/>
      </c>
      <c r="C115" s="156">
        <f>(K115/MAX(K:K)*$K$1)+(O115/MAX(O:O)*$O$1)+(M115/MAX(M:M)*$M$1)+(N115/MAX(N:N)*$N$1)+(V115/MAX(V:V)*$V$1)+(P115/MAX(P:P)*$P$1)</f>
        <v/>
      </c>
      <c r="E115" s="156">
        <f>IFERROR(VLOOKUP(F115,AllPlayers!F:F,1,0),"------------")</f>
        <v/>
      </c>
      <c r="F115" s="156" t="inlineStr">
        <is>
          <t>Jalen Mcmillan</t>
        </is>
      </c>
      <c r="G115" s="167" t="inlineStr">
        <is>
          <t>TB</t>
        </is>
      </c>
      <c r="H115" s="156" t="inlineStr">
        <is>
          <t>WR</t>
        </is>
      </c>
      <c r="I115" s="156" t="n">
        <v>17</v>
      </c>
      <c r="J115" s="156" t="n">
        <v>18.1</v>
      </c>
      <c r="K115" s="156" t="n">
        <v>227.2</v>
      </c>
      <c r="L115" s="156">
        <f>IF(J115=0,0,K115/J115)</f>
        <v/>
      </c>
      <c r="M115" s="156">
        <f>K115/17</f>
        <v/>
      </c>
      <c r="N115" s="156" t="n">
        <v>2.3</v>
      </c>
      <c r="O115" s="156" t="n">
        <v>76</v>
      </c>
      <c r="P115" s="281">
        <f>IF(K115=0,0,K115/O115)</f>
        <v/>
      </c>
      <c r="Q115" s="156" t="n">
        <v>4</v>
      </c>
      <c r="R115" s="156" t="n">
        <v>0</v>
      </c>
      <c r="S115" s="156" t="n">
        <v>0</v>
      </c>
      <c r="T115" s="156" t="n">
        <v>0</v>
      </c>
      <c r="U115" s="156" t="n">
        <v>0</v>
      </c>
      <c r="V115" s="156" t="n">
        <v>0</v>
      </c>
      <c r="W115" s="156" t="n">
        <v>0.4</v>
      </c>
      <c r="X115" s="204">
        <f>INDEX(Matrix!$AA$2:$AA$33, MATCH(G115, Matrix!$AC$2:$AC$33, 0))</f>
        <v/>
      </c>
      <c r="Y115" s="156">
        <f>_xlfn.IFNA(MATCH(E114,'Injury Report'!$C$2:$C$6216,0),0)</f>
        <v/>
      </c>
    </row>
    <row r="116" ht="15.6" customHeight="1" s="152">
      <c r="A116" s="212" t="n">
        <v>114</v>
      </c>
      <c r="B116" s="167">
        <f>F116&amp;G116</f>
        <v/>
      </c>
      <c r="C116" s="156">
        <f>(K116/MAX(K:K)*$K$1)+(O116/MAX(O:O)*$O$1)+(M116/MAX(M:M)*$M$1)+(N116/MAX(N:N)*$N$1)+(V116/MAX(V:V)*$V$1)+(P116/MAX(P:P)*$P$1)</f>
        <v/>
      </c>
      <c r="E116" s="156">
        <f>IFERROR(VLOOKUP(F116,AllPlayers!F:F,1,0),"------------")</f>
        <v/>
      </c>
      <c r="F116" s="156" t="inlineStr">
        <is>
          <t>Kavontae Turpin</t>
        </is>
      </c>
      <c r="G116" s="167" t="inlineStr">
        <is>
          <t>DAL</t>
        </is>
      </c>
      <c r="H116" s="156" t="inlineStr">
        <is>
          <t>WR</t>
        </is>
      </c>
      <c r="I116" s="156" t="n">
        <v>2</v>
      </c>
      <c r="J116" s="156" t="n">
        <v>6</v>
      </c>
      <c r="K116" s="156" t="n">
        <v>65</v>
      </c>
      <c r="L116" s="156">
        <f>IF(J116=0,0,K116/J116)</f>
        <v/>
      </c>
      <c r="M116" s="156">
        <f>K116/17</f>
        <v/>
      </c>
      <c r="N116" s="156" t="n">
        <v>1</v>
      </c>
      <c r="O116" s="156" t="n">
        <v>6</v>
      </c>
      <c r="P116" s="281">
        <f>IF(K116=0,0,K116/O116)</f>
        <v/>
      </c>
      <c r="Q116" s="156" t="n">
        <v>8</v>
      </c>
      <c r="R116" s="156" t="n">
        <v>0</v>
      </c>
      <c r="S116" s="156" t="n">
        <v>0</v>
      </c>
      <c r="T116" s="156" t="n">
        <v>0</v>
      </c>
      <c r="U116" s="156" t="n">
        <v>0</v>
      </c>
      <c r="V116" s="156" t="n">
        <v>0</v>
      </c>
      <c r="W116" s="156" t="n">
        <v>0</v>
      </c>
      <c r="X116" s="204">
        <f>INDEX(Matrix!$AA$2:$AA$33, MATCH(G116, Matrix!$AC$2:$AC$33, 0))</f>
        <v/>
      </c>
      <c r="Y116" s="156">
        <f>_xlfn.IFNA(MATCH(E115,'Injury Report'!$C$2:$C$6216,0),0)</f>
        <v/>
      </c>
    </row>
    <row r="117" ht="15.6" customHeight="1" s="152">
      <c r="A117" s="212" t="n">
        <v>115</v>
      </c>
      <c r="B117" s="167">
        <f>F117&amp;G117</f>
        <v/>
      </c>
      <c r="C117" s="156">
        <f>(K117/MAX(K:K)*$K$1)+(O117/MAX(O:O)*$O$1)+(M117/MAX(M:M)*$M$1)+(N117/MAX(N:N)*$N$1)+(V117/MAX(V:V)*$V$1)+(P117/MAX(P:P)*$P$1)</f>
        <v/>
      </c>
      <c r="E117" s="156">
        <f>IFERROR(VLOOKUP(F117,AllPlayers!F:F,1,0),"------------")</f>
        <v/>
      </c>
      <c r="F117" s="156" t="inlineStr">
        <is>
          <t>Parker Washington</t>
        </is>
      </c>
      <c r="G117" s="167" t="inlineStr">
        <is>
          <t>JAX</t>
        </is>
      </c>
      <c r="H117" s="156" t="inlineStr">
        <is>
          <t>WR</t>
        </is>
      </c>
      <c r="I117" s="156" t="n">
        <v>2</v>
      </c>
      <c r="J117" s="156" t="n">
        <v>6</v>
      </c>
      <c r="K117" s="156" t="n">
        <v>81</v>
      </c>
      <c r="L117" s="156">
        <f>IF(J117=0,0,K117/J117)</f>
        <v/>
      </c>
      <c r="M117" s="156">
        <f>K117/17</f>
        <v/>
      </c>
      <c r="N117" s="156" t="n">
        <v>0</v>
      </c>
      <c r="O117" s="156" t="n">
        <v>6</v>
      </c>
      <c r="P117" s="281">
        <f>IF(K117=0,0,K117/O117)</f>
        <v/>
      </c>
      <c r="Q117" s="156" t="n">
        <v>4</v>
      </c>
      <c r="R117" s="156" t="n">
        <v>1</v>
      </c>
      <c r="S117" s="156" t="n">
        <v>0</v>
      </c>
      <c r="T117" s="156" t="n">
        <v>0</v>
      </c>
      <c r="U117" s="156" t="n">
        <v>0</v>
      </c>
      <c r="V117" s="156" t="n">
        <v>0</v>
      </c>
      <c r="W117" s="156" t="n">
        <v>0</v>
      </c>
      <c r="X117" s="204">
        <f>INDEX(Matrix!$AA$2:$AA$33, MATCH(G117, Matrix!$AC$2:$AC$33, 0))</f>
        <v/>
      </c>
      <c r="Y117" s="156">
        <f>_xlfn.IFNA(MATCH(E116,'Injury Report'!$C$2:$C$6216,0),0)</f>
        <v/>
      </c>
    </row>
    <row r="118" ht="15.6" customHeight="1" s="152">
      <c r="A118" s="212" t="n">
        <v>116</v>
      </c>
      <c r="B118" s="167">
        <f>F118&amp;G118</f>
        <v/>
      </c>
      <c r="C118" s="156">
        <f>(K118/MAX(K:K)*$K$1)+(O118/MAX(O:O)*$O$1)+(M118/MAX(M:M)*$M$1)+(N118/MAX(N:N)*$N$1)+(V118/MAX(V:V)*$V$1)+(P118/MAX(P:P)*$P$1)</f>
        <v/>
      </c>
      <c r="E118" s="156">
        <f>IFERROR(VLOOKUP(F118,AllPlayers!F:F,1,0),"------------")</f>
        <v/>
      </c>
      <c r="F118" s="156" t="inlineStr">
        <is>
          <t>Juju Smith-schuster</t>
        </is>
      </c>
      <c r="G118" s="167" t="inlineStr">
        <is>
          <t>KC</t>
        </is>
      </c>
      <c r="H118" s="156" t="inlineStr">
        <is>
          <t>WR</t>
        </is>
      </c>
      <c r="I118" s="156" t="n">
        <v>2</v>
      </c>
      <c r="J118" s="156" t="n">
        <v>6</v>
      </c>
      <c r="K118" s="156" t="n">
        <v>60</v>
      </c>
      <c r="L118" s="156">
        <f>IF(J118=0,0,K118/J118)</f>
        <v/>
      </c>
      <c r="M118" s="156">
        <f>K118/17</f>
        <v/>
      </c>
      <c r="N118" s="156" t="n">
        <v>0</v>
      </c>
      <c r="O118" s="156" t="n">
        <v>8</v>
      </c>
      <c r="P118" s="281">
        <f>IF(K118=0,0,K118/O118)</f>
        <v/>
      </c>
      <c r="Q118" s="156" t="n">
        <v>7</v>
      </c>
      <c r="R118" s="156" t="n">
        <v>1</v>
      </c>
      <c r="S118" s="156" t="n">
        <v>0</v>
      </c>
      <c r="T118" s="156" t="n">
        <v>0</v>
      </c>
      <c r="U118" s="156" t="n">
        <v>0</v>
      </c>
      <c r="V118" s="156" t="n">
        <v>0</v>
      </c>
      <c r="W118" s="156" t="n">
        <v>0</v>
      </c>
      <c r="X118" s="204">
        <f>INDEX(Matrix!$AA$2:$AA$33, MATCH(G118, Matrix!$AC$2:$AC$33, 0))</f>
        <v/>
      </c>
      <c r="Y118" s="156">
        <f>_xlfn.IFNA(MATCH(E117,'Injury Report'!$C$2:$C$6216,0),0)</f>
        <v/>
      </c>
    </row>
    <row r="119" ht="15.6" customHeight="1" s="152">
      <c r="A119" s="212" t="n">
        <v>117</v>
      </c>
      <c r="B119" s="167">
        <f>F119&amp;G119</f>
        <v/>
      </c>
      <c r="C119" s="156">
        <f>(K119/MAX(K:K)*$K$1)+(O119/MAX(O:O)*$O$1)+(M119/MAX(M:M)*$M$1)+(N119/MAX(N:N)*$N$1)+(V119/MAX(V:V)*$V$1)+(P119/MAX(P:P)*$P$1)</f>
        <v/>
      </c>
      <c r="E119" s="156">
        <f>IFERROR(VLOOKUP(F119,AllPlayers!F:F,1,0),"------------")</f>
        <v/>
      </c>
      <c r="F119" s="156" t="inlineStr">
        <is>
          <t>Tai Felton</t>
        </is>
      </c>
      <c r="G119" s="167" t="inlineStr">
        <is>
          <t>MIN</t>
        </is>
      </c>
      <c r="H119" s="156" t="inlineStr">
        <is>
          <t>WR</t>
        </is>
      </c>
      <c r="I119" s="156" t="n">
        <v>1</v>
      </c>
      <c r="J119" s="156" t="n">
        <v>0</v>
      </c>
      <c r="K119" s="156" t="n">
        <v>0</v>
      </c>
      <c r="L119" s="156">
        <f>IF(J119=0,0,K119/J119)</f>
        <v/>
      </c>
      <c r="M119" s="156">
        <f>K119/17</f>
        <v/>
      </c>
      <c r="N119" s="156" t="n">
        <v>0</v>
      </c>
      <c r="O119" s="156" t="n">
        <v>0</v>
      </c>
      <c r="P119" s="281">
        <f>IF(K119=0,0,K119/O119)</f>
        <v/>
      </c>
      <c r="Q119" s="156" t="n">
        <v>7</v>
      </c>
      <c r="R119" s="156" t="n">
        <v>0</v>
      </c>
      <c r="S119" s="156" t="n">
        <v>0</v>
      </c>
      <c r="T119" s="156" t="n">
        <v>0</v>
      </c>
      <c r="U119" s="156" t="n">
        <v>0</v>
      </c>
      <c r="V119" s="156" t="n">
        <v>0</v>
      </c>
      <c r="W119" s="156" t="n">
        <v>0</v>
      </c>
      <c r="X119" s="204">
        <f>INDEX(Matrix!$AA$2:$AA$33, MATCH(G119, Matrix!$AC$2:$AC$33, 0))</f>
        <v/>
      </c>
      <c r="Y119" s="156">
        <f>_xlfn.IFNA(MATCH(E118,'Injury Report'!$C$2:$C$6216,0),0)</f>
        <v/>
      </c>
    </row>
    <row r="120" ht="15.6" customHeight="1" s="152">
      <c r="A120" s="212" t="n">
        <v>118</v>
      </c>
      <c r="B120" s="167">
        <f>F120&amp;G120</f>
        <v/>
      </c>
      <c r="C120" s="156">
        <f>(K120/MAX(K:K)*$K$1)+(O120/MAX(O:O)*$O$1)+(M120/MAX(M:M)*$M$1)+(N120/MAX(N:N)*$N$1)+(V120/MAX(V:V)*$V$1)+(P120/MAX(P:P)*$P$1)</f>
        <v/>
      </c>
      <c r="E120" s="156">
        <f>IFERROR(VLOOKUP(F120,AllPlayers!F:F,1,0),"------------")</f>
        <v/>
      </c>
      <c r="F120" s="156" t="inlineStr">
        <is>
          <t>Chimere Dike</t>
        </is>
      </c>
      <c r="G120" s="167" t="inlineStr">
        <is>
          <t>TEN</t>
        </is>
      </c>
      <c r="H120" s="156" t="inlineStr">
        <is>
          <t>WR</t>
        </is>
      </c>
      <c r="I120" s="156" t="n">
        <v>2</v>
      </c>
      <c r="J120" s="156" t="n">
        <v>2</v>
      </c>
      <c r="K120" s="156" t="n">
        <v>-1</v>
      </c>
      <c r="L120" s="156">
        <f>IF(J120=0,0,K120/J120)</f>
        <v/>
      </c>
      <c r="M120" s="156">
        <f>K120/17</f>
        <v/>
      </c>
      <c r="N120" s="156" t="n">
        <v>0</v>
      </c>
      <c r="O120" s="156" t="n">
        <v>6</v>
      </c>
      <c r="P120" s="281">
        <f>IF(K120=0,0,K120/O120)</f>
        <v/>
      </c>
      <c r="Q120" s="156" t="n">
        <v>4</v>
      </c>
      <c r="R120" s="156" t="n">
        <v>0</v>
      </c>
      <c r="S120" s="156" t="n">
        <v>0</v>
      </c>
      <c r="T120" s="156" t="n">
        <v>0</v>
      </c>
      <c r="U120" s="156" t="n">
        <v>0</v>
      </c>
      <c r="V120" s="156" t="n">
        <v>0</v>
      </c>
      <c r="W120" s="156" t="n">
        <v>0</v>
      </c>
      <c r="X120" s="204">
        <f>INDEX(Matrix!$AA$2:$AA$33, MATCH(G120, Matrix!$AC$2:$AC$33, 0))</f>
        <v/>
      </c>
      <c r="Y120" s="156">
        <f>_xlfn.IFNA(MATCH(E119,'Injury Report'!$C$2:$C$6216,0),0)</f>
        <v/>
      </c>
    </row>
    <row r="121" ht="15.6" customHeight="1" s="152">
      <c r="A121" s="212" t="n">
        <v>119</v>
      </c>
      <c r="B121" s="167">
        <f>F121&amp;G121</f>
        <v/>
      </c>
      <c r="C121" s="156">
        <f>(K121/MAX(K:K)*$K$1)+(O121/MAX(O:O)*$O$1)+(M121/MAX(M:M)*$M$1)+(N121/MAX(N:N)*$N$1)+(V121/MAX(V:V)*$V$1)+(P121/MAX(P:P)*$P$1)</f>
        <v/>
      </c>
      <c r="E121" s="156">
        <f>IFERROR(VLOOKUP(F121,AllPlayers!F:F,1,0),"------------")</f>
        <v/>
      </c>
      <c r="F121" s="156" t="inlineStr">
        <is>
          <t>Tyler Johnson</t>
        </is>
      </c>
      <c r="G121" s="167" t="inlineStr">
        <is>
          <t>NYJ</t>
        </is>
      </c>
      <c r="H121" s="156" t="inlineStr">
        <is>
          <t>WR</t>
        </is>
      </c>
      <c r="I121" s="156" t="n">
        <v>2</v>
      </c>
      <c r="J121" s="156" t="n">
        <v>2</v>
      </c>
      <c r="K121" s="156" t="n">
        <v>31</v>
      </c>
      <c r="L121" s="156">
        <f>IF(J121=0,0,K121/J121)</f>
        <v/>
      </c>
      <c r="M121" s="156">
        <f>K121/17</f>
        <v/>
      </c>
      <c r="N121" s="156" t="n">
        <v>0</v>
      </c>
      <c r="O121" s="156" t="n">
        <v>3</v>
      </c>
      <c r="P121" s="281">
        <f>IF(K121=0,0,K121/O121)</f>
        <v/>
      </c>
      <c r="Q121" s="156" t="n">
        <v>4</v>
      </c>
      <c r="R121" s="156" t="n">
        <v>0</v>
      </c>
      <c r="S121" s="156" t="n">
        <v>1</v>
      </c>
      <c r="T121" s="156" t="n">
        <v>0</v>
      </c>
      <c r="U121" s="156" t="n">
        <v>0</v>
      </c>
      <c r="V121" s="156" t="n">
        <v>0</v>
      </c>
      <c r="W121" s="156" t="n">
        <v>0</v>
      </c>
      <c r="X121" s="204">
        <f>INDEX(Matrix!$AA$2:$AA$33, MATCH(G121, Matrix!$AC$2:$AC$33, 0))</f>
        <v/>
      </c>
      <c r="Y121" s="156">
        <f>_xlfn.IFNA(MATCH(E120,'Injury Report'!$C$2:$C$6216,0),0)</f>
        <v/>
      </c>
    </row>
    <row r="122" ht="15.6" customHeight="1" s="152">
      <c r="A122" s="212" t="n">
        <v>120</v>
      </c>
      <c r="B122" s="167">
        <f>F122&amp;G122</f>
        <v/>
      </c>
      <c r="C122" s="156">
        <f>(K122/MAX(K:K)*$K$1)+(O122/MAX(O:O)*$O$1)+(M122/MAX(M:M)*$M$1)+(N122/MAX(N:N)*$N$1)+(V122/MAX(V:V)*$V$1)+(P122/MAX(P:P)*$P$1)</f>
        <v/>
      </c>
      <c r="E122" s="156">
        <f>IFERROR(VLOOKUP(F122,AllPlayers!F:F,1,0),"------------")</f>
        <v/>
      </c>
      <c r="F122" s="156" t="inlineStr">
        <is>
          <t>Demarcus Robinson</t>
        </is>
      </c>
      <c r="G122" s="167" t="inlineStr">
        <is>
          <t>SF</t>
        </is>
      </c>
      <c r="H122" s="156" t="inlineStr">
        <is>
          <t>WR</t>
        </is>
      </c>
      <c r="I122" s="156" t="n">
        <v>17</v>
      </c>
      <c r="J122" s="156" t="n">
        <v>13.9</v>
      </c>
      <c r="K122" s="156" t="n">
        <v>217.8</v>
      </c>
      <c r="L122" s="156">
        <f>IF(J122=0,0,K122/J122)</f>
        <v/>
      </c>
      <c r="M122" s="156">
        <f>K122/17</f>
        <v/>
      </c>
      <c r="N122" s="156" t="n">
        <v>1.9</v>
      </c>
      <c r="O122" s="156" t="n">
        <v>46</v>
      </c>
      <c r="P122" s="281">
        <f>IF(K122=0,0,K122/O122)</f>
        <v/>
      </c>
      <c r="Q122" s="156" t="n">
        <v>5</v>
      </c>
      <c r="R122" s="156" t="n">
        <v>2</v>
      </c>
      <c r="S122" s="156" t="n">
        <v>1</v>
      </c>
      <c r="T122" s="156" t="n">
        <v>0</v>
      </c>
      <c r="U122" s="156" t="n">
        <v>0</v>
      </c>
      <c r="V122" s="156" t="n">
        <v>0</v>
      </c>
      <c r="W122" s="156" t="n">
        <v>0</v>
      </c>
      <c r="X122" s="204">
        <f>INDEX(Matrix!$AA$2:$AA$33, MATCH(G122, Matrix!$AC$2:$AC$33, 0))</f>
        <v/>
      </c>
      <c r="Y122" s="156">
        <f>_xlfn.IFNA(MATCH(E121,'Injury Report'!$C$2:$C$6216,0),0)</f>
        <v/>
      </c>
    </row>
    <row r="123" ht="15.6" customHeight="1" s="152">
      <c r="A123" s="212" t="n">
        <v>121</v>
      </c>
      <c r="B123" s="167">
        <f>F123&amp;G123</f>
        <v/>
      </c>
      <c r="C123" s="156">
        <f>(K123/MAX(K:K)*$K$1)+(O123/MAX(O:O)*$O$1)+(M123/MAX(M:M)*$M$1)+(N123/MAX(N:N)*$N$1)+(V123/MAX(V:V)*$V$1)+(P123/MAX(P:P)*$P$1)</f>
        <v/>
      </c>
      <c r="E123" s="156">
        <f>IFERROR(VLOOKUP(F123,AllPlayers!F:F,1,0),"------------")</f>
        <v/>
      </c>
      <c r="F123" s="156" t="inlineStr">
        <is>
          <t>Jermaine Burton</t>
        </is>
      </c>
      <c r="G123" s="167" t="inlineStr">
        <is>
          <t>CIN</t>
        </is>
      </c>
      <c r="H123" s="156" t="inlineStr">
        <is>
          <t>WR</t>
        </is>
      </c>
      <c r="I123" s="156" t="n">
        <v>17</v>
      </c>
      <c r="J123" s="156" t="n">
        <v>15.8</v>
      </c>
      <c r="K123" s="156" t="n">
        <v>205.9</v>
      </c>
      <c r="L123" s="156">
        <f>IF(J123=0,0,K123/J123)</f>
        <v/>
      </c>
      <c r="M123" s="156">
        <f>K123/17</f>
        <v/>
      </c>
      <c r="N123" s="156" t="n">
        <v>2</v>
      </c>
      <c r="O123" s="156" t="n">
        <v>44</v>
      </c>
      <c r="P123" s="281">
        <f>IF(K123=0,0,K123/O123)</f>
        <v/>
      </c>
      <c r="Q123" s="156" t="n">
        <v>6</v>
      </c>
      <c r="R123" s="156" t="n">
        <v>1</v>
      </c>
      <c r="S123" s="156" t="n">
        <v>0</v>
      </c>
      <c r="T123" s="156" t="n">
        <v>0</v>
      </c>
      <c r="U123" s="156" t="n">
        <v>0</v>
      </c>
      <c r="V123" s="156" t="n">
        <v>0</v>
      </c>
      <c r="W123" s="156" t="n">
        <v>0.1</v>
      </c>
      <c r="X123" s="204">
        <f>INDEX(Matrix!$AA$2:$AA$33, MATCH(G123, Matrix!$AC$2:$AC$33, 0))</f>
        <v/>
      </c>
      <c r="Y123" s="156">
        <f>_xlfn.IFNA(MATCH(E122,'Injury Report'!$C$2:$C$6216,0),0)</f>
        <v/>
      </c>
    </row>
    <row r="124" ht="15.6" customHeight="1" s="152">
      <c r="A124" s="212" t="n">
        <v>122</v>
      </c>
      <c r="B124" s="167">
        <f>F124&amp;G124</f>
        <v/>
      </c>
      <c r="C124" s="156">
        <f>(K124/MAX(K:K)*$K$1)+(O124/MAX(O:O)*$O$1)+(M124/MAX(M:M)*$M$1)+(N124/MAX(N:N)*$N$1)+(V124/MAX(V:V)*$V$1)+(P124/MAX(P:P)*$P$1)</f>
        <v/>
      </c>
      <c r="E124" s="156">
        <f>IFERROR(VLOOKUP(F124,AllPlayers!F:F,1,0),"------------")</f>
        <v/>
      </c>
      <c r="F124" s="156" t="inlineStr">
        <is>
          <t>Luke Mccaffrey</t>
        </is>
      </c>
      <c r="G124" s="167" t="inlineStr">
        <is>
          <t>WAS</t>
        </is>
      </c>
      <c r="H124" s="156" t="inlineStr">
        <is>
          <t>WR</t>
        </is>
      </c>
      <c r="I124" s="156" t="n">
        <v>2</v>
      </c>
      <c r="J124" s="156" t="n">
        <v>1</v>
      </c>
      <c r="K124" s="156" t="n">
        <v>19</v>
      </c>
      <c r="L124" s="156">
        <f>IF(J124=0,0,K124/J124)</f>
        <v/>
      </c>
      <c r="M124" s="156">
        <f>K124/17</f>
        <v/>
      </c>
      <c r="N124" s="156" t="n">
        <v>0</v>
      </c>
      <c r="O124" s="156" t="n">
        <v>1</v>
      </c>
      <c r="P124" s="281">
        <f>IF(K124=0,0,K124/O124)</f>
        <v/>
      </c>
      <c r="Q124" s="156" t="n">
        <v>3</v>
      </c>
      <c r="R124" s="156" t="n">
        <v>0</v>
      </c>
      <c r="S124" s="156" t="n">
        <v>0</v>
      </c>
      <c r="T124" s="156" t="n">
        <v>0</v>
      </c>
      <c r="U124" s="156" t="n">
        <v>0</v>
      </c>
      <c r="V124" s="156" t="n">
        <v>0</v>
      </c>
      <c r="W124" s="156" t="n">
        <v>0</v>
      </c>
      <c r="X124" s="204">
        <f>INDEX(Matrix!$AA$2:$AA$33, MATCH(G124, Matrix!$AC$2:$AC$33, 0))</f>
        <v/>
      </c>
      <c r="Y124" s="156">
        <f>_xlfn.IFNA(MATCH(E123,'Injury Report'!$C$2:$C$6216,0),0)</f>
        <v/>
      </c>
    </row>
    <row r="125" ht="15.6" customHeight="1" s="152">
      <c r="A125" s="212" t="n">
        <v>123</v>
      </c>
      <c r="B125" s="167">
        <f>F125&amp;G125</f>
        <v/>
      </c>
      <c r="C125" s="156">
        <f>(K125/MAX(K:K)*$K$1)+(O125/MAX(O:O)*$O$1)+(M125/MAX(M:M)*$M$1)+(N125/MAX(N:N)*$N$1)+(V125/MAX(V:V)*$V$1)+(P125/MAX(P:P)*$P$1)</f>
        <v/>
      </c>
      <c r="E125" s="156">
        <f>IFERROR(VLOOKUP(F125,AllPlayers!F:F,1,0),"------------")</f>
        <v/>
      </c>
      <c r="F125" s="156" t="inlineStr">
        <is>
          <t>A.T. Perry</t>
        </is>
      </c>
      <c r="G125" s="167" t="inlineStr">
        <is>
          <t>DEN</t>
        </is>
      </c>
      <c r="H125" s="156" t="inlineStr">
        <is>
          <t>WR</t>
        </is>
      </c>
      <c r="I125" s="156" t="n">
        <v>17</v>
      </c>
      <c r="J125" s="156" t="n">
        <v>13.7</v>
      </c>
      <c r="K125" s="156" t="n">
        <v>180.5</v>
      </c>
      <c r="L125" s="156">
        <f>IF(J125=0,0,K125/J125)</f>
        <v/>
      </c>
      <c r="M125" s="156">
        <f>K125/17</f>
        <v/>
      </c>
      <c r="N125" s="156" t="n">
        <v>1.5</v>
      </c>
      <c r="O125" s="156" t="n">
        <v>52</v>
      </c>
      <c r="P125" s="281">
        <f>IF(K125=0,0,K125/O125)</f>
        <v/>
      </c>
      <c r="Q125" s="156" t="n">
        <v>3</v>
      </c>
      <c r="R125" s="156" t="n">
        <v>1</v>
      </c>
      <c r="S125" s="156" t="n">
        <v>0</v>
      </c>
      <c r="T125" s="156" t="n">
        <v>0</v>
      </c>
      <c r="U125" s="156" t="n">
        <v>0</v>
      </c>
      <c r="V125" s="156" t="n">
        <v>2</v>
      </c>
      <c r="W125" s="156" t="n">
        <v>0</v>
      </c>
      <c r="X125" s="204">
        <f>INDEX(Matrix!$AA$2:$AA$33, MATCH(G125, Matrix!$AC$2:$AC$33, 0))</f>
        <v/>
      </c>
      <c r="Y125" s="156">
        <f>_xlfn.IFNA(MATCH(E124,'Injury Report'!$C$2:$C$6216,0),0)</f>
        <v/>
      </c>
    </row>
    <row r="126" ht="15.6" customHeight="1" s="152">
      <c r="A126" s="212" t="n">
        <v>124</v>
      </c>
      <c r="B126" s="167">
        <f>F126&amp;G126</f>
        <v/>
      </c>
      <c r="C126" s="156">
        <f>(K126/MAX(K:K)*$K$1)+(O126/MAX(O:O)*$O$1)+(M126/MAX(M:M)*$M$1)+(N126/MAX(N:N)*$N$1)+(V126/MAX(V:V)*$V$1)+(P126/MAX(P:P)*$P$1)</f>
        <v/>
      </c>
      <c r="E126" s="156">
        <f>IFERROR(VLOOKUP(F126,AllPlayers!F:F,1,0),"------------")</f>
        <v/>
      </c>
      <c r="F126" s="156" t="inlineStr">
        <is>
          <t>Skyy Moore</t>
        </is>
      </c>
      <c r="G126" s="167" t="inlineStr">
        <is>
          <t>SF</t>
        </is>
      </c>
      <c r="H126" s="156" t="inlineStr">
        <is>
          <t>WR</t>
        </is>
      </c>
      <c r="I126" s="156" t="n">
        <v>2</v>
      </c>
      <c r="J126" s="156" t="n">
        <v>0</v>
      </c>
      <c r="K126" s="156" t="n">
        <v>0</v>
      </c>
      <c r="L126" s="156">
        <f>IF(J126=0,0,K126/J126)</f>
        <v/>
      </c>
      <c r="M126" s="156">
        <f>K126/17</f>
        <v/>
      </c>
      <c r="N126" s="156" t="n">
        <v>0</v>
      </c>
      <c r="O126" s="156" t="n">
        <v>0</v>
      </c>
      <c r="P126" s="281">
        <f>IF(K126=0,0,K126/O126)</f>
        <v/>
      </c>
      <c r="Q126" s="156" t="n">
        <v>3</v>
      </c>
      <c r="R126" s="156" t="n">
        <v>0</v>
      </c>
      <c r="S126" s="156" t="n">
        <v>0</v>
      </c>
      <c r="T126" s="156" t="n">
        <v>0</v>
      </c>
      <c r="U126" s="156" t="n">
        <v>0</v>
      </c>
      <c r="V126" s="156" t="n">
        <v>0</v>
      </c>
      <c r="W126" s="156" t="n">
        <v>0</v>
      </c>
      <c r="X126" s="204">
        <f>INDEX(Matrix!$AA$2:$AA$33, MATCH(G126, Matrix!$AC$2:$AC$33, 0))</f>
        <v/>
      </c>
      <c r="Y126" s="156">
        <f>_xlfn.IFNA(MATCH(E125,'Injury Report'!$C$2:$C$6216,0),0)</f>
        <v/>
      </c>
    </row>
    <row r="127" ht="15.6" customHeight="1" s="152">
      <c r="A127" s="212" t="n">
        <v>125</v>
      </c>
      <c r="B127" s="167">
        <f>F127&amp;G127</f>
        <v/>
      </c>
      <c r="C127" s="156">
        <f>(K127/MAX(K:K)*$K$1)+(O127/MAX(O:O)*$O$1)+(M127/MAX(M:M)*$M$1)+(N127/MAX(N:N)*$N$1)+(V127/MAX(V:V)*$V$1)+(P127/MAX(P:P)*$P$1)</f>
        <v/>
      </c>
      <c r="E127" s="156">
        <f>IFERROR(VLOOKUP(F127,AllPlayers!F:F,1,0),"------------")</f>
        <v/>
      </c>
      <c r="F127" s="156" t="inlineStr">
        <is>
          <t>Kendrick Bourne</t>
        </is>
      </c>
      <c r="G127" s="167" t="inlineStr">
        <is>
          <t>NE</t>
        </is>
      </c>
      <c r="H127" s="156" t="inlineStr">
        <is>
          <t>WR</t>
        </is>
      </c>
      <c r="I127" s="156" t="n">
        <v>1</v>
      </c>
      <c r="J127" s="156" t="n">
        <v>3</v>
      </c>
      <c r="K127" s="156" t="n">
        <v>32</v>
      </c>
      <c r="L127" s="156">
        <f>IF(J127=0,0,K127/J127)</f>
        <v/>
      </c>
      <c r="M127" s="156">
        <f>K127/17</f>
        <v/>
      </c>
      <c r="N127" s="156" t="n">
        <v>0</v>
      </c>
      <c r="O127" s="156" t="n">
        <v>3</v>
      </c>
      <c r="P127" s="281">
        <f>IF(K127=0,0,K127/O127)</f>
        <v/>
      </c>
      <c r="Q127" s="156" t="n">
        <v>6</v>
      </c>
      <c r="R127" s="156" t="n">
        <v>0</v>
      </c>
      <c r="S127" s="156" t="n">
        <v>1</v>
      </c>
      <c r="T127" s="156" t="n">
        <v>0</v>
      </c>
      <c r="U127" s="156" t="n">
        <v>0</v>
      </c>
      <c r="V127" s="156" t="n">
        <v>0</v>
      </c>
      <c r="W127" s="156" t="n">
        <v>0</v>
      </c>
      <c r="X127" s="204">
        <f>INDEX(Matrix!$AA$2:$AA$33, MATCH(G127, Matrix!$AC$2:$AC$33, 0))</f>
        <v/>
      </c>
      <c r="Y127" s="156">
        <f>_xlfn.IFNA(MATCH(E126,'Injury Report'!$C$2:$C$6216,0),0)</f>
        <v/>
      </c>
    </row>
    <row r="128" ht="15.6" customHeight="1" s="152">
      <c r="A128" s="212" t="n">
        <v>126</v>
      </c>
      <c r="B128" s="167">
        <f>F128&amp;G128</f>
        <v/>
      </c>
      <c r="C128" s="156">
        <f>(K128/MAX(K:K)*$K$1)+(O128/MAX(O:O)*$O$1)+(M128/MAX(M:M)*$M$1)+(N128/MAX(N:N)*$N$1)+(V128/MAX(V:V)*$V$1)+(P128/MAX(P:P)*$P$1)</f>
        <v/>
      </c>
      <c r="E128" s="156">
        <f>IFERROR(VLOOKUP(F128,AllPlayers!F:F,1,0),"------------")</f>
        <v/>
      </c>
      <c r="F128" s="156" t="inlineStr">
        <is>
          <t>Zay Jones</t>
        </is>
      </c>
      <c r="G128" s="167" t="inlineStr">
        <is>
          <t>ARI</t>
        </is>
      </c>
      <c r="H128" s="156" t="inlineStr">
        <is>
          <t>WR</t>
        </is>
      </c>
      <c r="I128" s="156" t="n">
        <v>1</v>
      </c>
      <c r="J128" s="156" t="n">
        <v>1</v>
      </c>
      <c r="K128" s="156" t="n">
        <v>4</v>
      </c>
      <c r="L128" s="156">
        <f>IF(J128=0,0,K128/J128)</f>
        <v/>
      </c>
      <c r="M128" s="156">
        <f>K128/17</f>
        <v/>
      </c>
      <c r="N128" s="156" t="n">
        <v>0</v>
      </c>
      <c r="O128" s="156" t="n">
        <v>1</v>
      </c>
      <c r="P128" s="281">
        <f>IF(K128=0,0,K128/O128)</f>
        <v/>
      </c>
      <c r="Q128" s="156" t="n">
        <v>4</v>
      </c>
      <c r="R128" s="156" t="n">
        <v>1</v>
      </c>
      <c r="S128" s="156" t="n">
        <v>0</v>
      </c>
      <c r="T128" s="156" t="n">
        <v>0</v>
      </c>
      <c r="U128" s="156" t="n">
        <v>0</v>
      </c>
      <c r="V128" s="156" t="n">
        <v>0</v>
      </c>
      <c r="W128" s="156" t="n">
        <v>0</v>
      </c>
      <c r="X128" s="204">
        <f>INDEX(Matrix!$AA$2:$AA$33, MATCH(G128, Matrix!$AC$2:$AC$33, 0))</f>
        <v/>
      </c>
      <c r="Y128" s="156">
        <f>_xlfn.IFNA(MATCH(E127,'Injury Report'!$C$2:$C$6216,0),0)</f>
        <v/>
      </c>
    </row>
    <row r="129" ht="15.6" customHeight="1" s="152">
      <c r="A129" s="212" t="n">
        <v>127</v>
      </c>
      <c r="B129" s="167">
        <f>F129&amp;G129</f>
        <v/>
      </c>
      <c r="C129" s="156">
        <f>(K129/MAX(K:K)*$K$1)+(O129/MAX(O:O)*$O$1)+(M129/MAX(M:M)*$M$1)+(N129/MAX(N:N)*$N$1)+(V129/MAX(V:V)*$V$1)+(P129/MAX(P:P)*$P$1)</f>
        <v/>
      </c>
      <c r="E129" s="156">
        <f>IFERROR(VLOOKUP(F129,AllPlayers!F:F,1,0),"------------")</f>
        <v/>
      </c>
      <c r="F129" s="156" t="inlineStr">
        <is>
          <t>Jahan Dotson</t>
        </is>
      </c>
      <c r="G129" s="167" t="inlineStr">
        <is>
          <t>PHI</t>
        </is>
      </c>
      <c r="H129" s="156" t="inlineStr">
        <is>
          <t>WR</t>
        </is>
      </c>
      <c r="I129" s="156" t="n">
        <v>2</v>
      </c>
      <c r="J129" s="156" t="n">
        <v>4</v>
      </c>
      <c r="K129" s="156" t="n">
        <v>63</v>
      </c>
      <c r="L129" s="156">
        <f>IF(J129=0,0,K129/J129)</f>
        <v/>
      </c>
      <c r="M129" s="156">
        <f>K129/17</f>
        <v/>
      </c>
      <c r="N129" s="156" t="n">
        <v>0</v>
      </c>
      <c r="O129" s="156" t="n">
        <v>4</v>
      </c>
      <c r="P129" s="281">
        <f>IF(K129=0,0,K129/O129)</f>
        <v/>
      </c>
      <c r="Q129" s="156" t="n">
        <v>5</v>
      </c>
      <c r="R129" s="156" t="n">
        <v>1</v>
      </c>
      <c r="S129" s="156" t="n">
        <v>0</v>
      </c>
      <c r="T129" s="156" t="n">
        <v>0</v>
      </c>
      <c r="U129" s="156" t="n">
        <v>0</v>
      </c>
      <c r="V129" s="156" t="n">
        <v>0</v>
      </c>
      <c r="W129" s="156" t="n">
        <v>0</v>
      </c>
      <c r="X129" s="204">
        <f>INDEX(Matrix!$AA$2:$AA$33, MATCH(G129, Matrix!$AC$2:$AC$33, 0))</f>
        <v/>
      </c>
      <c r="Y129" s="156">
        <f>_xlfn.IFNA(MATCH(E128,'Injury Report'!$C$2:$C$6216,0),0)</f>
        <v/>
      </c>
    </row>
    <row r="130" ht="15.6" customHeight="1" s="152">
      <c r="A130" s="212" t="n">
        <v>128</v>
      </c>
      <c r="B130" s="167">
        <f>F130&amp;G130</f>
        <v/>
      </c>
      <c r="C130" s="156">
        <f>(K130/MAX(K:K)*$K$1)+(O130/MAX(O:O)*$O$1)+(M130/MAX(M:M)*$M$1)+(N130/MAX(N:N)*$N$1)+(V130/MAX(V:V)*$V$1)+(P130/MAX(P:P)*$P$1)</f>
        <v/>
      </c>
      <c r="E130" s="156">
        <f>IFERROR(VLOOKUP(F130,AllPlayers!F:F,1,0),"------------")</f>
        <v/>
      </c>
      <c r="F130" s="156" t="inlineStr">
        <is>
          <t>Robert Woods</t>
        </is>
      </c>
      <c r="G130" s="167" t="inlineStr">
        <is>
          <t>PIT</t>
        </is>
      </c>
      <c r="H130" s="156" t="inlineStr">
        <is>
          <t>WR</t>
        </is>
      </c>
      <c r="I130" s="156" t="n">
        <v>17</v>
      </c>
      <c r="J130" s="156" t="n">
        <v>17.4</v>
      </c>
      <c r="K130" s="156" t="n">
        <v>180.7</v>
      </c>
      <c r="L130" s="156">
        <f>IF(J130=0,0,K130/J130)</f>
        <v/>
      </c>
      <c r="M130" s="156">
        <f>K130/17</f>
        <v/>
      </c>
      <c r="N130" s="156" t="n">
        <v>1.2</v>
      </c>
      <c r="O130" s="156" t="n">
        <v>35</v>
      </c>
      <c r="P130" s="281">
        <f>IF(K130=0,0,K130/O130)</f>
        <v/>
      </c>
      <c r="Q130" s="156" t="n">
        <v>8</v>
      </c>
      <c r="R130" s="156" t="n">
        <v>3</v>
      </c>
      <c r="S130" s="156" t="n">
        <v>1</v>
      </c>
      <c r="T130" s="156" t="n">
        <v>0</v>
      </c>
      <c r="U130" s="156" t="n">
        <v>0</v>
      </c>
      <c r="V130" s="156" t="n">
        <v>0</v>
      </c>
      <c r="W130" s="156" t="n">
        <v>0.1</v>
      </c>
      <c r="X130" s="204">
        <f>INDEX(Matrix!$AA$2:$AA$33, MATCH(G130, Matrix!$AC$2:$AC$33, 0))</f>
        <v/>
      </c>
      <c r="Y130" s="156">
        <f>_xlfn.IFNA(MATCH(E129,'Injury Report'!$C$2:$C$6216,0),0)</f>
        <v/>
      </c>
    </row>
    <row r="131" ht="15.6" customHeight="1" s="152">
      <c r="A131" s="212" t="n">
        <v>129</v>
      </c>
      <c r="B131" s="167">
        <f>F131&amp;G131</f>
        <v/>
      </c>
      <c r="C131" s="156">
        <f>(K131/MAX(K:K)*$K$1)+(O131/MAX(O:O)*$O$1)+(M131/MAX(M:M)*$M$1)+(N131/MAX(N:N)*$N$1)+(V131/MAX(V:V)*$V$1)+(P131/MAX(P:P)*$P$1)</f>
        <v/>
      </c>
      <c r="E131" s="156">
        <f>IFERROR(VLOOKUP(F131,AllPlayers!F:F,1,0),"------------")</f>
        <v/>
      </c>
      <c r="F131" s="156" t="inlineStr">
        <is>
          <t>Kalif Raymond</t>
        </is>
      </c>
      <c r="G131" s="167" t="inlineStr">
        <is>
          <t>DET</t>
        </is>
      </c>
      <c r="H131" s="156" t="inlineStr">
        <is>
          <t>WR</t>
        </is>
      </c>
      <c r="I131" s="156" t="n">
        <v>2</v>
      </c>
      <c r="J131" s="156" t="n">
        <v>3</v>
      </c>
      <c r="K131" s="156" t="n">
        <v>30</v>
      </c>
      <c r="L131" s="156">
        <f>IF(J131=0,0,K131/J131)</f>
        <v/>
      </c>
      <c r="M131" s="156">
        <f>K131/17</f>
        <v/>
      </c>
      <c r="N131" s="156" t="n">
        <v>0</v>
      </c>
      <c r="O131" s="156" t="n">
        <v>4</v>
      </c>
      <c r="P131" s="281">
        <f>IF(K131=0,0,K131/O131)</f>
        <v/>
      </c>
      <c r="Q131" s="156" t="n">
        <v>3</v>
      </c>
      <c r="R131" s="156" t="n">
        <v>0</v>
      </c>
      <c r="S131" s="156" t="n">
        <v>0</v>
      </c>
      <c r="T131" s="156" t="n">
        <v>0</v>
      </c>
      <c r="U131" s="156" t="n">
        <v>0</v>
      </c>
      <c r="V131" s="156" t="n">
        <v>0</v>
      </c>
      <c r="W131" s="156" t="n">
        <v>0</v>
      </c>
      <c r="X131" s="204">
        <f>INDEX(Matrix!$AA$2:$AA$33, MATCH(G131, Matrix!$AC$2:$AC$33, 0))</f>
        <v/>
      </c>
      <c r="Y131" s="156">
        <f>_xlfn.IFNA(MATCH(E130,'Injury Report'!$C$2:$C$6216,0),0)</f>
        <v/>
      </c>
    </row>
    <row r="132" ht="15.6" customHeight="1" s="152">
      <c r="A132" s="212" t="n">
        <v>130</v>
      </c>
      <c r="B132" s="167">
        <f>F132&amp;G132</f>
        <v/>
      </c>
      <c r="C132" s="156">
        <f>(K132/MAX(K:K)*$K$1)+(O132/MAX(O:O)*$O$1)+(M132/MAX(M:M)*$M$1)+(N132/MAX(N:N)*$N$1)+(V132/MAX(V:V)*$V$1)+(P132/MAX(P:P)*$P$1)</f>
        <v/>
      </c>
      <c r="E132" s="156">
        <f>IFERROR(VLOOKUP(F132,AllPlayers!F:F,1,0),"------------")</f>
        <v/>
      </c>
      <c r="F132" s="156" t="inlineStr">
        <is>
          <t>Khadarel Hodge</t>
        </is>
      </c>
      <c r="G132" s="167" t="inlineStr">
        <is>
          <t>ATL</t>
        </is>
      </c>
      <c r="H132" s="156" t="inlineStr">
        <is>
          <t>WR</t>
        </is>
      </c>
      <c r="I132" s="156" t="n">
        <v>1</v>
      </c>
      <c r="J132" s="156" t="n">
        <v>0</v>
      </c>
      <c r="K132" s="156" t="n">
        <v>0</v>
      </c>
      <c r="L132" s="156">
        <f>IF(J132=0,0,K132/J132)</f>
        <v/>
      </c>
      <c r="M132" s="156">
        <f>K132/17</f>
        <v/>
      </c>
      <c r="N132" s="156" t="n">
        <v>0</v>
      </c>
      <c r="O132" s="156" t="n">
        <v>1</v>
      </c>
      <c r="P132" s="281">
        <f>IF(K132=0,0,K132/O132)</f>
        <v/>
      </c>
      <c r="Q132" s="156" t="n">
        <v>7</v>
      </c>
      <c r="R132" s="156" t="n">
        <v>1</v>
      </c>
      <c r="S132" s="156" t="n">
        <v>0</v>
      </c>
      <c r="T132" s="156" t="n">
        <v>0</v>
      </c>
      <c r="U132" s="156" t="n">
        <v>0</v>
      </c>
      <c r="V132" s="156" t="n">
        <v>0</v>
      </c>
      <c r="W132" s="156" t="n">
        <v>0</v>
      </c>
      <c r="X132" s="204">
        <f>INDEX(Matrix!$AA$2:$AA$33, MATCH(G132, Matrix!$AC$2:$AC$33, 0))</f>
        <v/>
      </c>
      <c r="Y132" s="156">
        <f>_xlfn.IFNA(MATCH(E131,'Injury Report'!$C$2:$C$6216,0),0)</f>
        <v/>
      </c>
    </row>
    <row r="133" ht="15.6" customHeight="1" s="152">
      <c r="A133" s="212" t="n">
        <v>131</v>
      </c>
      <c r="B133" s="167">
        <f>F133&amp;G133</f>
        <v/>
      </c>
      <c r="C133" s="156">
        <f>(K133/MAX(K:K)*$K$1)+(O133/MAX(O:O)*$O$1)+(M133/MAX(M:M)*$M$1)+(N133/MAX(N:N)*$N$1)+(V133/MAX(V:V)*$V$1)+(P133/MAX(P:P)*$P$1)</f>
        <v/>
      </c>
      <c r="E133" s="156">
        <f>IFERROR(VLOOKUP(F133,AllPlayers!F:F,1,0),"------------")</f>
        <v/>
      </c>
      <c r="F133" s="156" t="inlineStr">
        <is>
          <t>Elijah Moore</t>
        </is>
      </c>
      <c r="G133" s="167" t="inlineStr">
        <is>
          <t>BUF</t>
        </is>
      </c>
      <c r="H133" s="156" t="inlineStr">
        <is>
          <t>WR</t>
        </is>
      </c>
      <c r="I133" s="156" t="n">
        <v>2</v>
      </c>
      <c r="J133" s="156" t="n">
        <v>2</v>
      </c>
      <c r="K133" s="156" t="n">
        <v>34</v>
      </c>
      <c r="L133" s="156">
        <f>IF(J133=0,0,K133/J133)</f>
        <v/>
      </c>
      <c r="M133" s="156">
        <f>K133/17</f>
        <v/>
      </c>
      <c r="N133" s="156" t="n">
        <v>0</v>
      </c>
      <c r="O133" s="156" t="n">
        <v>2</v>
      </c>
      <c r="P133" s="281">
        <f>IF(K133=0,0,K133/O133)</f>
        <v/>
      </c>
      <c r="Q133" s="156" t="n">
        <v>4</v>
      </c>
      <c r="R133" s="156" t="n">
        <v>1</v>
      </c>
      <c r="S133" s="156" t="n">
        <v>0</v>
      </c>
      <c r="T133" s="156" t="n">
        <v>0</v>
      </c>
      <c r="U133" s="156" t="n">
        <v>0</v>
      </c>
      <c r="V133" s="156" t="n">
        <v>0</v>
      </c>
      <c r="W133" s="156" t="n">
        <v>0</v>
      </c>
      <c r="X133" s="204">
        <f>INDEX(Matrix!$AA$2:$AA$33, MATCH(G133, Matrix!$AC$2:$AC$33, 0))</f>
        <v/>
      </c>
      <c r="Y133" s="156">
        <f>_xlfn.IFNA(MATCH(E132,'Injury Report'!$C$2:$C$6216,0),0)</f>
        <v/>
      </c>
    </row>
    <row r="134" ht="15.6" customHeight="1" s="152">
      <c r="A134" s="212" t="n">
        <v>132</v>
      </c>
      <c r="B134" s="167">
        <f>F134&amp;G134</f>
        <v/>
      </c>
      <c r="C134" s="156">
        <f>(K134/MAX(K:K)*$K$1)+(O134/MAX(O:O)*$O$1)+(M134/MAX(M:M)*$M$1)+(N134/MAX(N:N)*$N$1)+(V134/MAX(V:V)*$V$1)+(P134/MAX(P:P)*$P$1)</f>
        <v/>
      </c>
      <c r="E134" s="156">
        <f>IFERROR(VLOOKUP(F134,AllPlayers!F:F,1,0),"------------")</f>
        <v/>
      </c>
      <c r="F134" s="156" t="inlineStr">
        <is>
          <t>Xavier Hutchinson</t>
        </is>
      </c>
      <c r="G134" s="167" t="inlineStr">
        <is>
          <t>HOU</t>
        </is>
      </c>
      <c r="H134" s="156" t="inlineStr">
        <is>
          <t>WR</t>
        </is>
      </c>
      <c r="I134" s="156" t="n">
        <v>2</v>
      </c>
      <c r="J134" s="156" t="n">
        <v>4</v>
      </c>
      <c r="K134" s="156" t="n">
        <v>59</v>
      </c>
      <c r="L134" s="156">
        <f>IF(J134=0,0,K134/J134)</f>
        <v/>
      </c>
      <c r="M134" s="156">
        <f>K134/17</f>
        <v/>
      </c>
      <c r="N134" s="156" t="n">
        <v>0</v>
      </c>
      <c r="O134" s="156" t="n">
        <v>5</v>
      </c>
      <c r="P134" s="281">
        <f>IF(K134=0,0,K134/O134)</f>
        <v/>
      </c>
      <c r="Q134" s="156" t="n">
        <v>5</v>
      </c>
      <c r="R134" s="156" t="n">
        <v>1</v>
      </c>
      <c r="S134" s="156" t="n">
        <v>1</v>
      </c>
      <c r="T134" s="156" t="n">
        <v>0</v>
      </c>
      <c r="U134" s="156" t="n">
        <v>0</v>
      </c>
      <c r="V134" s="156" t="n">
        <v>0</v>
      </c>
      <c r="W134" s="156" t="n">
        <v>0</v>
      </c>
      <c r="X134" s="204">
        <f>INDEX(Matrix!$AA$2:$AA$33, MATCH(G134, Matrix!$AC$2:$AC$33, 0))</f>
        <v/>
      </c>
      <c r="Y134" s="156">
        <f>_xlfn.IFNA(MATCH(E133,'Injury Report'!$C$2:$C$6216,0),0)</f>
        <v/>
      </c>
    </row>
    <row r="135" ht="15.6" customHeight="1" s="152">
      <c r="A135" s="212" t="n">
        <v>133</v>
      </c>
      <c r="B135" s="167">
        <f>F135&amp;G135</f>
        <v/>
      </c>
      <c r="C135" s="156">
        <f>(K135/MAX(K:K)*$K$1)+(O135/MAX(O:O)*$O$1)+(M135/MAX(M:M)*$M$1)+(N135/MAX(N:N)*$N$1)+(V135/MAX(V:V)*$V$1)+(P135/MAX(P:P)*$P$1)</f>
        <v/>
      </c>
      <c r="E135" s="156">
        <f>IFERROR(VLOOKUP(F135,AllPlayers!F:F,1,0),"------------")</f>
        <v/>
      </c>
      <c r="F135" s="156" t="inlineStr">
        <is>
          <t>Jalen Royals</t>
        </is>
      </c>
      <c r="G135" s="167" t="inlineStr">
        <is>
          <t>KC</t>
        </is>
      </c>
      <c r="H135" s="156" t="inlineStr">
        <is>
          <t>WR</t>
        </is>
      </c>
      <c r="I135" s="156" t="n">
        <v>17</v>
      </c>
      <c r="J135" s="156" t="n">
        <v>12.9</v>
      </c>
      <c r="K135" s="156" t="n">
        <v>156.2</v>
      </c>
      <c r="L135" s="156">
        <f>IF(J135=0,0,K135/J135)</f>
        <v/>
      </c>
      <c r="M135" s="156">
        <f>K135/17</f>
        <v/>
      </c>
      <c r="N135" s="156" t="n">
        <v>1.2</v>
      </c>
      <c r="O135" s="156" t="n">
        <v>41</v>
      </c>
      <c r="P135" s="281">
        <f>IF(K135=0,0,K135/O135)</f>
        <v/>
      </c>
      <c r="Q135" s="156" t="n">
        <v>8</v>
      </c>
      <c r="R135" s="156" t="n">
        <v>0</v>
      </c>
      <c r="S135" s="156" t="n">
        <v>0</v>
      </c>
      <c r="T135" s="156" t="n">
        <v>0</v>
      </c>
      <c r="U135" s="156" t="n">
        <v>0</v>
      </c>
      <c r="V135" s="156" t="n">
        <v>3</v>
      </c>
      <c r="W135" s="156" t="n">
        <v>0</v>
      </c>
      <c r="X135" s="204">
        <f>INDEX(Matrix!$AA$2:$AA$33, MATCH(G135, Matrix!$AC$2:$AC$33, 0))</f>
        <v/>
      </c>
      <c r="Y135" s="156">
        <f>_xlfn.IFNA(MATCH(E134,'Injury Report'!$C$2:$C$6216,0),0)</f>
        <v/>
      </c>
    </row>
    <row r="136" ht="15.6" customHeight="1" s="152">
      <c r="A136" s="212" t="n">
        <v>134</v>
      </c>
      <c r="B136" s="167">
        <f>F136&amp;G136</f>
        <v/>
      </c>
      <c r="C136" s="156">
        <f>(K136/MAX(K:K)*$K$1)+(O136/MAX(O:O)*$O$1)+(M136/MAX(M:M)*$M$1)+(N136/MAX(N:N)*$N$1)+(V136/MAX(V:V)*$V$1)+(P136/MAX(P:P)*$P$1)</f>
        <v/>
      </c>
      <c r="E136" s="156">
        <f>IFERROR(VLOOKUP(F136,AllPlayers!F:F,1,0),"------------")</f>
        <v/>
      </c>
      <c r="F136" s="156" t="inlineStr">
        <is>
          <t>Isaac Teslaa</t>
        </is>
      </c>
      <c r="G136" s="167" t="inlineStr">
        <is>
          <t>DET</t>
        </is>
      </c>
      <c r="H136" s="156" t="inlineStr">
        <is>
          <t>WR</t>
        </is>
      </c>
      <c r="I136" s="156" t="n">
        <v>2</v>
      </c>
      <c r="J136" s="156" t="n">
        <v>2</v>
      </c>
      <c r="K136" s="156" t="n">
        <v>42</v>
      </c>
      <c r="L136" s="156">
        <f>IF(J136=0,0,K136/J136)</f>
        <v/>
      </c>
      <c r="M136" s="156">
        <f>K136/17</f>
        <v/>
      </c>
      <c r="N136" s="156" t="n">
        <v>1</v>
      </c>
      <c r="O136" s="156" t="n">
        <v>2</v>
      </c>
      <c r="P136" s="281">
        <f>IF(K136=0,0,K136/O136)</f>
        <v/>
      </c>
      <c r="Q136" s="156" t="n">
        <v>2</v>
      </c>
      <c r="R136" s="156" t="n">
        <v>0</v>
      </c>
      <c r="S136" s="156" t="n">
        <v>1</v>
      </c>
      <c r="T136" s="156" t="n">
        <v>0</v>
      </c>
      <c r="U136" s="156" t="n">
        <v>0</v>
      </c>
      <c r="V136" s="156" t="n">
        <v>0</v>
      </c>
      <c r="W136" s="156" t="n">
        <v>0</v>
      </c>
      <c r="X136" s="204">
        <f>INDEX(Matrix!$AA$2:$AA$33, MATCH(G136, Matrix!$AC$2:$AC$33, 0))</f>
        <v/>
      </c>
      <c r="Y136" s="156">
        <f>_xlfn.IFNA(MATCH(E135,'Injury Report'!$C$2:$C$6216,0),0)</f>
        <v/>
      </c>
    </row>
    <row r="137" ht="15.6" customHeight="1" s="152">
      <c r="A137" s="212" t="n">
        <v>135</v>
      </c>
      <c r="B137" s="167">
        <f>F137&amp;G137</f>
        <v/>
      </c>
      <c r="C137" s="156">
        <f>(K137/MAX(K:K)*$K$1)+(O137/MAX(O:O)*$O$1)+(M137/MAX(M:M)*$M$1)+(N137/MAX(N:N)*$N$1)+(V137/MAX(V:V)*$V$1)+(P137/MAX(P:P)*$P$1)</f>
        <v/>
      </c>
      <c r="E137" s="156">
        <f>IFERROR(VLOOKUP(F137,AllPlayers!F:F,1,0),"------------")</f>
        <v/>
      </c>
      <c r="F137" s="156" t="inlineStr">
        <is>
          <t>Jalin Hyatt</t>
        </is>
      </c>
      <c r="G137" s="167" t="inlineStr">
        <is>
          <t>NYG</t>
        </is>
      </c>
      <c r="H137" s="156" t="inlineStr">
        <is>
          <t>WR</t>
        </is>
      </c>
      <c r="I137" s="156" t="n">
        <v>17</v>
      </c>
      <c r="J137" s="156" t="n">
        <v>12.1</v>
      </c>
      <c r="K137" s="156" t="n">
        <v>160.6</v>
      </c>
      <c r="L137" s="156">
        <f>IF(J137=0,0,K137/J137)</f>
        <v/>
      </c>
      <c r="M137" s="156">
        <f>K137/17</f>
        <v/>
      </c>
      <c r="N137" s="156" t="n">
        <v>0.8</v>
      </c>
      <c r="O137" s="156" t="n">
        <v>65</v>
      </c>
      <c r="P137" s="281">
        <f>IF(K137=0,0,K137/O137)</f>
        <v/>
      </c>
      <c r="Q137" s="156" t="n">
        <v>2</v>
      </c>
      <c r="R137" s="156" t="n">
        <v>0</v>
      </c>
      <c r="S137" s="156" t="n">
        <v>0</v>
      </c>
      <c r="T137" s="156" t="n">
        <v>0</v>
      </c>
      <c r="U137" s="156" t="n">
        <v>0</v>
      </c>
      <c r="V137" s="156" t="n">
        <v>2</v>
      </c>
      <c r="W137" s="156" t="n">
        <v>0</v>
      </c>
      <c r="X137" s="204">
        <f>INDEX(Matrix!$AA$2:$AA$33, MATCH(G137, Matrix!$AC$2:$AC$33, 0))</f>
        <v/>
      </c>
      <c r="Y137" s="156">
        <f>_xlfn.IFNA(MATCH(E136,'Injury Report'!$C$2:$C$6216,0),0)</f>
        <v/>
      </c>
    </row>
    <row r="138" ht="15.6" customHeight="1" s="152">
      <c r="A138" s="212" t="n">
        <v>136</v>
      </c>
      <c r="B138" s="167">
        <f>F138&amp;G138</f>
        <v/>
      </c>
      <c r="C138" s="156">
        <f>(K138/MAX(K:K)*$K$1)+(O138/MAX(O:O)*$O$1)+(M138/MAX(M:M)*$M$1)+(N138/MAX(N:N)*$N$1)+(V138/MAX(V:V)*$V$1)+(P138/MAX(P:P)*$P$1)</f>
        <v/>
      </c>
      <c r="E138" s="156">
        <f>IFERROR(VLOOKUP(F138,AllPlayers!F:F,1,0),"------------")</f>
        <v/>
      </c>
      <c r="F138" s="156" t="inlineStr">
        <is>
          <t>Russell Gage</t>
        </is>
      </c>
      <c r="G138" s="167" t="inlineStr">
        <is>
          <t>SF</t>
        </is>
      </c>
      <c r="H138" s="156" t="inlineStr">
        <is>
          <t>WR</t>
        </is>
      </c>
      <c r="I138" s="156" t="n">
        <v>17</v>
      </c>
      <c r="J138" s="156" t="n">
        <v>13</v>
      </c>
      <c r="K138" s="156" t="n">
        <v>145</v>
      </c>
      <c r="L138" s="156">
        <f>IF(J138=0,0,K138/J138)</f>
        <v/>
      </c>
      <c r="M138" s="156">
        <f>K138/17</f>
        <v/>
      </c>
      <c r="N138" s="156" t="n">
        <v>1</v>
      </c>
      <c r="O138" s="156" t="n">
        <v>58</v>
      </c>
      <c r="P138" s="281">
        <f>IF(K138=0,0,K138/O138)</f>
        <v/>
      </c>
      <c r="Q138" s="156" t="n">
        <v>5</v>
      </c>
      <c r="R138" s="156" t="n">
        <v>0</v>
      </c>
      <c r="S138" s="156" t="n">
        <v>1</v>
      </c>
      <c r="T138" s="156" t="n">
        <v>0</v>
      </c>
      <c r="U138" s="156" t="n">
        <v>0</v>
      </c>
      <c r="V138" s="156" t="n">
        <v>0</v>
      </c>
      <c r="W138" s="156" t="n">
        <v>0</v>
      </c>
      <c r="X138" s="204">
        <f>INDEX(Matrix!$AA$2:$AA$33, MATCH(G138, Matrix!$AC$2:$AC$33, 0))</f>
        <v/>
      </c>
      <c r="Y138" s="156">
        <f>_xlfn.IFNA(MATCH(E137,'Injury Report'!$C$2:$C$6216,0),0)</f>
        <v/>
      </c>
    </row>
    <row r="139" ht="15.6" customHeight="1" s="152">
      <c r="A139" s="212" t="n">
        <v>137</v>
      </c>
      <c r="B139" s="167">
        <f>F139&amp;G139</f>
        <v/>
      </c>
      <c r="C139" s="156">
        <f>(K139/MAX(K:K)*$K$1)+(O139/MAX(O:O)*$O$1)+(M139/MAX(M:M)*$M$1)+(N139/MAX(N:N)*$N$1)+(V139/MAX(V:V)*$V$1)+(P139/MAX(P:P)*$P$1)</f>
        <v/>
      </c>
      <c r="E139" s="156">
        <f>IFERROR(VLOOKUP(F139,AllPlayers!F:F,1,0),"------------")</f>
        <v/>
      </c>
      <c r="F139" s="156" t="inlineStr">
        <is>
          <t>Casey Washington</t>
        </is>
      </c>
      <c r="G139" s="167" t="inlineStr">
        <is>
          <t>ATL</t>
        </is>
      </c>
      <c r="H139" s="156" t="inlineStr">
        <is>
          <t>WR</t>
        </is>
      </c>
      <c r="I139" s="156" t="n">
        <v>1</v>
      </c>
      <c r="J139" s="156" t="n">
        <v>3</v>
      </c>
      <c r="K139" s="156" t="n">
        <v>33</v>
      </c>
      <c r="L139" s="156">
        <f>IF(J139=0,0,K139/J139)</f>
        <v/>
      </c>
      <c r="M139" s="156">
        <f>K139/17</f>
        <v/>
      </c>
      <c r="N139" s="156" t="n">
        <v>0</v>
      </c>
      <c r="O139" s="156" t="n">
        <v>6</v>
      </c>
      <c r="P139" s="281">
        <f>IF(K139=0,0,K139/O139)</f>
        <v/>
      </c>
      <c r="Q139" s="156" t="n">
        <v>2</v>
      </c>
      <c r="R139" s="156" t="n">
        <v>0</v>
      </c>
      <c r="S139" s="156" t="n">
        <v>0</v>
      </c>
      <c r="T139" s="156" t="n">
        <v>0</v>
      </c>
      <c r="U139" s="156" t="n">
        <v>0</v>
      </c>
      <c r="V139" s="156" t="n">
        <v>0</v>
      </c>
      <c r="W139" s="156" t="n">
        <v>0</v>
      </c>
      <c r="X139" s="204">
        <f>INDEX(Matrix!$AA$2:$AA$33, MATCH(G139, Matrix!$AC$2:$AC$33, 0))</f>
        <v/>
      </c>
      <c r="Y139" s="156">
        <f>_xlfn.IFNA(MATCH(E138,'Injury Report'!$C$2:$C$6216,0),0)</f>
        <v/>
      </c>
    </row>
    <row r="140" ht="15.6" customHeight="1" s="152">
      <c r="A140" s="212" t="n">
        <v>138</v>
      </c>
      <c r="B140" s="167">
        <f>F140&amp;G140</f>
        <v/>
      </c>
      <c r="C140" s="156">
        <f>(K140/MAX(K:K)*$K$1)+(O140/MAX(O:O)*$O$1)+(M140/MAX(M:M)*$M$1)+(N140/MAX(N:N)*$N$1)+(V140/MAX(V:V)*$V$1)+(P140/MAX(P:P)*$P$1)</f>
        <v/>
      </c>
      <c r="E140" s="156">
        <f>IFERROR(VLOOKUP(F140,AllPlayers!F:F,1,0),"------------")</f>
        <v/>
      </c>
      <c r="F140" s="156" t="inlineStr">
        <is>
          <t>Michael Gallup</t>
        </is>
      </c>
      <c r="G140" s="167" t="inlineStr">
        <is>
          <t>WAS</t>
        </is>
      </c>
      <c r="H140" s="156" t="inlineStr">
        <is>
          <t>WR</t>
        </is>
      </c>
      <c r="I140" s="156" t="n">
        <v>17</v>
      </c>
      <c r="J140" s="156" t="n">
        <v>11.4</v>
      </c>
      <c r="K140" s="156" t="n">
        <v>129.1</v>
      </c>
      <c r="L140" s="156">
        <f>IF(J140=0,0,K140/J140)</f>
        <v/>
      </c>
      <c r="M140" s="156">
        <f>K140/17</f>
        <v/>
      </c>
      <c r="N140" s="156" t="n">
        <v>1</v>
      </c>
      <c r="O140" s="156" t="n">
        <v>41</v>
      </c>
      <c r="P140" s="281">
        <f>IF(K140=0,0,K140/O140)</f>
        <v/>
      </c>
      <c r="Q140" s="156" t="n">
        <v>5</v>
      </c>
      <c r="R140" s="156" t="n">
        <v>3</v>
      </c>
      <c r="S140" s="156" t="n">
        <v>0</v>
      </c>
      <c r="T140" s="156" t="n">
        <v>0</v>
      </c>
      <c r="U140" s="156" t="n">
        <v>0</v>
      </c>
      <c r="V140" s="156" t="n">
        <v>1</v>
      </c>
      <c r="W140" s="156" t="n">
        <v>0</v>
      </c>
      <c r="X140" s="204">
        <f>INDEX(Matrix!$AA$2:$AA$33, MATCH(G140, Matrix!$AC$2:$AC$33, 0))</f>
        <v/>
      </c>
      <c r="Y140" s="156">
        <f>_xlfn.IFNA(MATCH(E139,'Injury Report'!$C$2:$C$6216,0),0)</f>
        <v/>
      </c>
    </row>
    <row r="141" ht="15.6" customHeight="1" s="152">
      <c r="A141" s="212" t="n">
        <v>139</v>
      </c>
      <c r="B141" s="167">
        <f>F141&amp;G141</f>
        <v/>
      </c>
      <c r="C141" s="156">
        <f>(K141/MAX(K:K)*$K$1)+(O141/MAX(O:O)*$O$1)+(M141/MAX(M:M)*$M$1)+(N141/MAX(N:N)*$N$1)+(V141/MAX(V:V)*$V$1)+(P141/MAX(P:P)*$P$1)</f>
        <v/>
      </c>
      <c r="E141" s="156">
        <f>IFERROR(VLOOKUP(F141,AllPlayers!F:F,1,0),"------------")</f>
        <v/>
      </c>
      <c r="F141" s="156" t="inlineStr">
        <is>
          <t>Malachi Corley</t>
        </is>
      </c>
      <c r="G141" s="167" t="inlineStr">
        <is>
          <t>NYJ</t>
        </is>
      </c>
      <c r="H141" s="156" t="inlineStr">
        <is>
          <t>WR</t>
        </is>
      </c>
      <c r="I141" s="156" t="n">
        <v>17</v>
      </c>
      <c r="J141" s="156" t="n">
        <v>11.7</v>
      </c>
      <c r="K141" s="156" t="n">
        <v>125.1</v>
      </c>
      <c r="L141" s="156">
        <f>IF(J141=0,0,K141/J141)</f>
        <v/>
      </c>
      <c r="M141" s="156">
        <f>K141/17</f>
        <v/>
      </c>
      <c r="N141" s="156" t="n">
        <v>0.8</v>
      </c>
      <c r="O141" s="156" t="n">
        <v>70</v>
      </c>
      <c r="P141" s="281">
        <f>IF(K141=0,0,K141/O141)</f>
        <v/>
      </c>
      <c r="Q141" s="156" t="n">
        <v>3</v>
      </c>
      <c r="R141" s="156" t="n">
        <v>0</v>
      </c>
      <c r="S141" s="156" t="n">
        <v>0</v>
      </c>
      <c r="T141" s="156" t="n">
        <v>0</v>
      </c>
      <c r="U141" s="156" t="n">
        <v>0</v>
      </c>
      <c r="V141" s="156" t="n">
        <v>2</v>
      </c>
      <c r="W141" s="156" t="n">
        <v>0.1</v>
      </c>
      <c r="X141" s="204">
        <f>INDEX(Matrix!$AA$2:$AA$33, MATCH(G141, Matrix!$AC$2:$AC$33, 0))</f>
        <v/>
      </c>
      <c r="Y141" s="156">
        <f>_xlfn.IFNA(MATCH(E140,'Injury Report'!$C$2:$C$6216,0),0)</f>
        <v/>
      </c>
    </row>
    <row r="142" ht="15.6" customHeight="1" s="152">
      <c r="A142" s="212" t="n">
        <v>140</v>
      </c>
      <c r="B142" s="167">
        <f>F142&amp;G142</f>
        <v/>
      </c>
      <c r="C142" s="156">
        <f>(K142/MAX(K:K)*$K$1)+(O142/MAX(O:O)*$O$1)+(M142/MAX(M:M)*$M$1)+(N142/MAX(N:N)*$N$1)+(V142/MAX(V:V)*$V$1)+(P142/MAX(P:P)*$P$1)</f>
        <v/>
      </c>
      <c r="E142" s="156">
        <f>IFERROR(VLOOKUP(F142,AllPlayers!F:F,1,0),"------------")</f>
        <v/>
      </c>
      <c r="F142" s="156" t="inlineStr">
        <is>
          <t>Jaylin Lane</t>
        </is>
      </c>
      <c r="G142" s="167" t="inlineStr">
        <is>
          <t>WAS</t>
        </is>
      </c>
      <c r="H142" s="156" t="inlineStr">
        <is>
          <t>WR</t>
        </is>
      </c>
      <c r="I142" s="156" t="n">
        <v>2</v>
      </c>
      <c r="J142" s="156" t="n">
        <v>2</v>
      </c>
      <c r="K142" s="156" t="n">
        <v>13</v>
      </c>
      <c r="L142" s="156">
        <f>IF(J142=0,0,K142/J142)</f>
        <v/>
      </c>
      <c r="M142" s="156">
        <f>K142/17</f>
        <v/>
      </c>
      <c r="N142" s="156" t="n">
        <v>0</v>
      </c>
      <c r="O142" s="156" t="n">
        <v>6</v>
      </c>
      <c r="P142" s="281">
        <f>IF(K142=0,0,K142/O142)</f>
        <v/>
      </c>
      <c r="Q142" s="156" t="n">
        <v>5</v>
      </c>
      <c r="R142" s="156" t="n">
        <v>1</v>
      </c>
      <c r="S142" s="156" t="n">
        <v>0</v>
      </c>
      <c r="T142" s="156" t="n">
        <v>0</v>
      </c>
      <c r="U142" s="156" t="n">
        <v>0</v>
      </c>
      <c r="V142" s="156" t="n">
        <v>0</v>
      </c>
      <c r="W142" s="156" t="n">
        <v>0</v>
      </c>
      <c r="X142" s="204">
        <f>INDEX(Matrix!$AA$2:$AA$33, MATCH(G142, Matrix!$AC$2:$AC$33, 0))</f>
        <v/>
      </c>
      <c r="Y142" s="156">
        <f>_xlfn.IFNA(MATCH(E141,'Injury Report'!$C$2:$C$6216,0),0)</f>
        <v/>
      </c>
    </row>
    <row r="143" ht="15.6" customHeight="1" s="152">
      <c r="A143" s="212" t="n">
        <v>141</v>
      </c>
      <c r="B143" s="167">
        <f>F143&amp;G143</f>
        <v/>
      </c>
      <c r="C143" s="156">
        <f>(K143/MAX(K:K)*$K$1)+(O143/MAX(O:O)*$O$1)+(M143/MAX(M:M)*$M$1)+(N143/MAX(N:N)*$N$1)+(V143/MAX(V:V)*$V$1)+(P143/MAX(P:P)*$P$1)</f>
        <v/>
      </c>
      <c r="E143" s="156">
        <f>IFERROR(VLOOKUP(F143,AllPlayers!F:F,1,0),"------------")</f>
        <v/>
      </c>
      <c r="F143" s="156" t="inlineStr">
        <is>
          <t>Jake Bobo</t>
        </is>
      </c>
      <c r="G143" s="167" t="inlineStr">
        <is>
          <t>SEA</t>
        </is>
      </c>
      <c r="H143" s="156" t="inlineStr">
        <is>
          <t>WR</t>
        </is>
      </c>
      <c r="I143" s="156" t="n">
        <v>17</v>
      </c>
      <c r="J143" s="156" t="n">
        <v>11.4</v>
      </c>
      <c r="K143" s="156" t="n">
        <v>132.5</v>
      </c>
      <c r="L143" s="156">
        <f>IF(J143=0,0,K143/J143)</f>
        <v/>
      </c>
      <c r="M143" s="156">
        <f>K143/17</f>
        <v/>
      </c>
      <c r="N143" s="156" t="n">
        <v>0.9</v>
      </c>
      <c r="O143" s="156" t="n">
        <v>50</v>
      </c>
      <c r="P143" s="281">
        <f>IF(K143=0,0,K143/O143)</f>
        <v/>
      </c>
      <c r="Q143" s="156" t="n">
        <v>2</v>
      </c>
      <c r="R143" s="156" t="n">
        <v>0</v>
      </c>
      <c r="S143" s="156" t="n">
        <v>0</v>
      </c>
      <c r="T143" s="156" t="n">
        <v>0</v>
      </c>
      <c r="U143" s="156" t="n">
        <v>0</v>
      </c>
      <c r="V143" s="156" t="n">
        <v>3</v>
      </c>
      <c r="W143" s="156" t="n">
        <v>0</v>
      </c>
      <c r="X143" s="204">
        <f>INDEX(Matrix!$AA$2:$AA$33, MATCH(G143, Matrix!$AC$2:$AC$33, 0))</f>
        <v/>
      </c>
      <c r="Y143" s="156">
        <f>_xlfn.IFNA(MATCH(E142,'Injury Report'!$C$2:$C$6216,0),0)</f>
        <v/>
      </c>
    </row>
    <row r="144" ht="15.6" customHeight="1" s="152">
      <c r="A144" s="212" t="n">
        <v>142</v>
      </c>
      <c r="B144" s="167">
        <f>F144&amp;G144</f>
        <v/>
      </c>
      <c r="C144" s="156">
        <f>(K144/MAX(K:K)*$K$1)+(O144/MAX(O:O)*$O$1)+(M144/MAX(M:M)*$M$1)+(N144/MAX(N:N)*$N$1)+(V144/MAX(V:V)*$V$1)+(P144/MAX(P:P)*$P$1)</f>
        <v/>
      </c>
      <c r="E144" s="156">
        <f>IFERROR(VLOOKUP(F144,AllPlayers!F:F,1,0),"------------")</f>
        <v/>
      </c>
      <c r="F144" s="156" t="inlineStr">
        <is>
          <t>Arian Smith</t>
        </is>
      </c>
      <c r="G144" s="167" t="inlineStr">
        <is>
          <t>NYJ</t>
        </is>
      </c>
      <c r="H144" s="156" t="inlineStr">
        <is>
          <t>WR</t>
        </is>
      </c>
      <c r="I144" s="156" t="n">
        <v>2</v>
      </c>
      <c r="J144" s="156" t="n">
        <v>1</v>
      </c>
      <c r="K144" s="156" t="n">
        <v>8</v>
      </c>
      <c r="L144" s="156">
        <f>IF(J144=0,0,K144/J144)</f>
        <v/>
      </c>
      <c r="M144" s="156">
        <f>K144/17</f>
        <v/>
      </c>
      <c r="N144" s="156" t="n">
        <v>0</v>
      </c>
      <c r="O144" s="156" t="n">
        <v>2</v>
      </c>
      <c r="P144" s="281">
        <f>IF(K144=0,0,K144/O144)</f>
        <v/>
      </c>
      <c r="Q144" s="156" t="n">
        <v>6</v>
      </c>
      <c r="R144" s="156" t="n">
        <v>1</v>
      </c>
      <c r="S144" s="156" t="n">
        <v>0</v>
      </c>
      <c r="T144" s="156" t="n">
        <v>0</v>
      </c>
      <c r="U144" s="156" t="n">
        <v>0</v>
      </c>
      <c r="V144" s="156" t="n">
        <v>0</v>
      </c>
      <c r="W144" s="156" t="n">
        <v>0</v>
      </c>
      <c r="X144" s="204">
        <f>INDEX(Matrix!$AA$2:$AA$33, MATCH(G144, Matrix!$AC$2:$AC$33, 0))</f>
        <v/>
      </c>
      <c r="Y144" s="156">
        <f>_xlfn.IFNA(MATCH(E143,'Injury Report'!$C$2:$C$6216,0),0)</f>
        <v/>
      </c>
    </row>
    <row r="145" ht="15.6" customHeight="1" s="152">
      <c r="A145" s="212" t="n">
        <v>143</v>
      </c>
      <c r="B145" s="167">
        <f>F145&amp;G145</f>
        <v/>
      </c>
      <c r="C145" s="156">
        <f>(K145/MAX(K:K)*$K$1)+(O145/MAX(O:O)*$O$1)+(M145/MAX(M:M)*$M$1)+(N145/MAX(N:N)*$N$1)+(V145/MAX(V:V)*$V$1)+(P145/MAX(P:P)*$P$1)</f>
        <v/>
      </c>
      <c r="E145" s="156">
        <f>IFERROR(VLOOKUP(F145,AllPlayers!F:F,1,0),"------------")</f>
        <v/>
      </c>
      <c r="F145" s="156" t="inlineStr">
        <is>
          <t>Jha'quan Jackson</t>
        </is>
      </c>
      <c r="G145" s="167" t="inlineStr">
        <is>
          <t>TEN</t>
        </is>
      </c>
      <c r="H145" s="156" t="inlineStr">
        <is>
          <t>WR</t>
        </is>
      </c>
      <c r="I145" s="156" t="n">
        <v>17</v>
      </c>
      <c r="J145" s="156" t="n">
        <v>11.4</v>
      </c>
      <c r="K145" s="156" t="n">
        <v>138.2</v>
      </c>
      <c r="L145" s="156">
        <f>IF(J145=0,0,K145/J145)</f>
        <v/>
      </c>
      <c r="M145" s="156">
        <f>K145/17</f>
        <v/>
      </c>
      <c r="N145" s="156" t="n">
        <v>0.8</v>
      </c>
      <c r="O145" s="156" t="n">
        <v>38</v>
      </c>
      <c r="P145" s="281">
        <f>IF(K145=0,0,K145/O145)</f>
        <v/>
      </c>
      <c r="Q145" s="156" t="n">
        <v>2</v>
      </c>
      <c r="R145" s="156" t="n">
        <v>1</v>
      </c>
      <c r="S145" s="156" t="n">
        <v>0</v>
      </c>
      <c r="T145" s="156" t="n">
        <v>0</v>
      </c>
      <c r="U145" s="156" t="n">
        <v>0</v>
      </c>
      <c r="V145" s="156" t="n">
        <v>2</v>
      </c>
      <c r="W145" s="156" t="n">
        <v>0.5</v>
      </c>
      <c r="X145" s="204">
        <f>INDEX(Matrix!$AA$2:$AA$33, MATCH(G145, Matrix!$AC$2:$AC$33, 0))</f>
        <v/>
      </c>
      <c r="Y145" s="156">
        <f>_xlfn.IFNA(MATCH(E144,'Injury Report'!$C$2:$C$6216,0),0)</f>
        <v/>
      </c>
    </row>
    <row r="146" ht="15.6" customHeight="1" s="152">
      <c r="A146" s="212" t="n">
        <v>144</v>
      </c>
      <c r="B146" s="167">
        <f>F146&amp;G146</f>
        <v/>
      </c>
      <c r="C146" s="156">
        <f>(K146/MAX(K:K)*$K$1)+(O146/MAX(O:O)*$O$1)+(M146/MAX(M:M)*$M$1)+(N146/MAX(N:N)*$N$1)+(V146/MAX(V:V)*$V$1)+(P146/MAX(P:P)*$P$1)</f>
        <v/>
      </c>
      <c r="E146" s="156">
        <f>IFERROR(VLOOKUP(F146,AllPlayers!F:F,1,0),"------------")</f>
        <v/>
      </c>
      <c r="F146" s="156" t="inlineStr">
        <is>
          <t>Savion Williams</t>
        </is>
      </c>
      <c r="G146" s="167" t="inlineStr">
        <is>
          <t>GB</t>
        </is>
      </c>
      <c r="H146" s="156" t="inlineStr">
        <is>
          <t>WR</t>
        </is>
      </c>
      <c r="I146" s="156" t="n">
        <v>2</v>
      </c>
      <c r="J146" s="156" t="n">
        <v>1</v>
      </c>
      <c r="K146" s="156" t="n">
        <v>1</v>
      </c>
      <c r="L146" s="156">
        <f>IF(J146=0,0,K146/J146)</f>
        <v/>
      </c>
      <c r="M146" s="156">
        <f>K146/17</f>
        <v/>
      </c>
      <c r="N146" s="156" t="n">
        <v>0</v>
      </c>
      <c r="O146" s="156" t="n">
        <v>1</v>
      </c>
      <c r="P146" s="281">
        <f>IF(K146=0,0,K146/O146)</f>
        <v/>
      </c>
      <c r="Q146" s="156" t="n">
        <v>6</v>
      </c>
      <c r="R146" s="156" t="n">
        <v>0</v>
      </c>
      <c r="S146" s="156" t="n">
        <v>0</v>
      </c>
      <c r="T146" s="156" t="n">
        <v>0</v>
      </c>
      <c r="U146" s="156" t="n">
        <v>0</v>
      </c>
      <c r="V146" s="156" t="n">
        <v>0</v>
      </c>
      <c r="W146" s="156" t="n">
        <v>0</v>
      </c>
      <c r="X146" s="204">
        <f>INDEX(Matrix!$AA$2:$AA$33, MATCH(G146, Matrix!$AC$2:$AC$33, 0))</f>
        <v/>
      </c>
      <c r="Y146" s="156">
        <f>_xlfn.IFNA(MATCH(E145,'Injury Report'!$C$2:$C$6216,0),0)</f>
        <v/>
      </c>
    </row>
    <row r="147" ht="15.6" customHeight="1" s="152">
      <c r="A147" s="212" t="n">
        <v>145</v>
      </c>
      <c r="B147" s="167">
        <f>F147&amp;G147</f>
        <v/>
      </c>
      <c r="C147" s="156">
        <f>(K147/MAX(K:K)*$K$1)+(O147/MAX(O:O)*$O$1)+(M147/MAX(M:M)*$M$1)+(N147/MAX(N:N)*$N$1)+(V147/MAX(V:V)*$V$1)+(P147/MAX(P:P)*$P$1)</f>
        <v/>
      </c>
      <c r="E147" s="156">
        <f>IFERROR(VLOOKUP(F147,AllPlayers!F:F,1,0),"------------")</f>
        <v/>
      </c>
      <c r="F147" s="156" t="inlineStr">
        <is>
          <t>Jamari Thrash</t>
        </is>
      </c>
      <c r="G147" s="167" t="inlineStr">
        <is>
          <t>CLE</t>
        </is>
      </c>
      <c r="H147" s="156" t="inlineStr">
        <is>
          <t>WR</t>
        </is>
      </c>
      <c r="I147" s="156" t="n">
        <v>2</v>
      </c>
      <c r="J147" s="156" t="n">
        <v>2</v>
      </c>
      <c r="K147" s="156" t="n">
        <v>11</v>
      </c>
      <c r="L147" s="156">
        <f>IF(J147=0,0,K147/J147)</f>
        <v/>
      </c>
      <c r="M147" s="156">
        <f>K147/17</f>
        <v/>
      </c>
      <c r="N147" s="156" t="n">
        <v>0</v>
      </c>
      <c r="O147" s="156" t="n">
        <v>2</v>
      </c>
      <c r="P147" s="281">
        <f>IF(K147=0,0,K147/O147)</f>
        <v/>
      </c>
      <c r="Q147" s="156" t="n">
        <v>4</v>
      </c>
      <c r="R147" s="156" t="n">
        <v>0</v>
      </c>
      <c r="S147" s="156" t="n">
        <v>0</v>
      </c>
      <c r="T147" s="156" t="n">
        <v>0</v>
      </c>
      <c r="U147" s="156" t="n">
        <v>0</v>
      </c>
      <c r="V147" s="156" t="n">
        <v>0</v>
      </c>
      <c r="W147" s="156" t="n">
        <v>0</v>
      </c>
      <c r="X147" s="204">
        <f>INDEX(Matrix!$AA$2:$AA$33, MATCH(G147, Matrix!$AC$2:$AC$33, 0))</f>
        <v/>
      </c>
      <c r="Y147" s="156">
        <f>_xlfn.IFNA(MATCH(E146,'Injury Report'!$C$2:$C$6216,0),0)</f>
        <v/>
      </c>
    </row>
    <row r="148" ht="15.6" customHeight="1" s="152">
      <c r="A148" s="212" t="n">
        <v>146</v>
      </c>
      <c r="B148" s="167">
        <f>F148&amp;G148</f>
        <v/>
      </c>
      <c r="C148" s="156">
        <f>(K148/MAX(K:K)*$K$1)+(O148/MAX(O:O)*$O$1)+(M148/MAX(M:M)*$M$1)+(N148/MAX(N:N)*$N$1)+(V148/MAX(V:V)*$V$1)+(P148/MAX(P:P)*$P$1)</f>
        <v/>
      </c>
      <c r="E148" s="156">
        <f>IFERROR(VLOOKUP(F148,AllPlayers!F:F,1,0),"------------")</f>
        <v/>
      </c>
      <c r="F148" s="156" t="inlineStr">
        <is>
          <t>Erik Ezukanma</t>
        </is>
      </c>
      <c r="G148" s="167" t="inlineStr">
        <is>
          <t>MIA</t>
        </is>
      </c>
      <c r="H148" s="156" t="inlineStr">
        <is>
          <t>WR</t>
        </is>
      </c>
      <c r="I148" s="156" t="n">
        <v>17</v>
      </c>
      <c r="J148" s="156" t="n">
        <v>10.8</v>
      </c>
      <c r="K148" s="156" t="n">
        <v>120.7</v>
      </c>
      <c r="L148" s="156">
        <f>IF(J148=0,0,K148/J148)</f>
        <v/>
      </c>
      <c r="M148" s="156">
        <f>K148/17</f>
        <v/>
      </c>
      <c r="N148" s="156" t="n">
        <v>0.8</v>
      </c>
      <c r="O148" s="156" t="n">
        <v>43</v>
      </c>
      <c r="P148" s="281">
        <f>IF(K148=0,0,K148/O148)</f>
        <v/>
      </c>
      <c r="Q148" s="156" t="n">
        <v>4</v>
      </c>
      <c r="R148" s="156" t="n">
        <v>0</v>
      </c>
      <c r="S148" s="156" t="n">
        <v>0</v>
      </c>
      <c r="T148" s="156" t="n">
        <v>0</v>
      </c>
      <c r="U148" s="156" t="n">
        <v>0</v>
      </c>
      <c r="V148" s="156" t="n">
        <v>0</v>
      </c>
      <c r="W148" s="156" t="n">
        <v>0</v>
      </c>
      <c r="X148" s="204">
        <f>INDEX(Matrix!$AA$2:$AA$33, MATCH(G148, Matrix!$AC$2:$AC$33, 0))</f>
        <v/>
      </c>
      <c r="Y148" s="156">
        <f>_xlfn.IFNA(MATCH(E147,'Injury Report'!$C$2:$C$6216,0),0)</f>
        <v/>
      </c>
    </row>
    <row r="149" ht="15.6" customHeight="1" s="152">
      <c r="A149" s="212" t="n">
        <v>147</v>
      </c>
      <c r="B149" s="167">
        <f>F149&amp;G149</f>
        <v/>
      </c>
      <c r="C149" s="156">
        <f>(K149/MAX(K:K)*$K$1)+(O149/MAX(O:O)*$O$1)+(M149/MAX(M:M)*$M$1)+(N149/MAX(N:N)*$N$1)+(V149/MAX(V:V)*$V$1)+(P149/MAX(P:P)*$P$1)</f>
        <v/>
      </c>
      <c r="E149" s="156">
        <f>IFERROR(VLOOKUP(F149,AllPlayers!F:F,1,0),"------------")</f>
        <v/>
      </c>
      <c r="F149" s="156" t="inlineStr">
        <is>
          <t>Xavier Restrepo</t>
        </is>
      </c>
      <c r="G149" s="167" t="inlineStr">
        <is>
          <t>TEN</t>
        </is>
      </c>
      <c r="H149" s="156" t="inlineStr">
        <is>
          <t>WR</t>
        </is>
      </c>
      <c r="I149" s="156" t="n">
        <v>17</v>
      </c>
      <c r="J149" s="156" t="n">
        <v>10</v>
      </c>
      <c r="K149" s="156" t="n">
        <v>105</v>
      </c>
      <c r="L149" s="156">
        <f>IF(J149=0,0,K149/J149)</f>
        <v/>
      </c>
      <c r="M149" s="156">
        <f>K149/17</f>
        <v/>
      </c>
      <c r="N149" s="156" t="n">
        <v>1</v>
      </c>
      <c r="O149" s="156" t="n">
        <v>35</v>
      </c>
      <c r="P149" s="281">
        <f>IF(K149=0,0,K149/O149)</f>
        <v/>
      </c>
      <c r="Q149" s="156" t="n">
        <v>5</v>
      </c>
      <c r="R149" s="156" t="n">
        <v>0</v>
      </c>
      <c r="S149" s="156" t="n">
        <v>0</v>
      </c>
      <c r="T149" s="156" t="n">
        <v>0</v>
      </c>
      <c r="U149" s="156" t="n">
        <v>0</v>
      </c>
      <c r="V149" s="156" t="n">
        <v>0</v>
      </c>
      <c r="W149" s="156" t="n">
        <v>0</v>
      </c>
      <c r="X149" s="204">
        <f>INDEX(Matrix!$AA$2:$AA$33, MATCH(G149, Matrix!$AC$2:$AC$33, 0))</f>
        <v/>
      </c>
      <c r="Y149" s="156">
        <f>_xlfn.IFNA(MATCH(E148,'Injury Report'!$C$2:$C$6216,0),0)</f>
        <v/>
      </c>
    </row>
    <row r="150" ht="15.6" customHeight="1" s="152">
      <c r="A150" s="212" t="n">
        <v>148</v>
      </c>
      <c r="B150" s="167">
        <f>F150&amp;G150</f>
        <v/>
      </c>
      <c r="C150" s="156">
        <f>(K150/MAX(K:K)*$K$1)+(O150/MAX(O:O)*$O$1)+(M150/MAX(M:M)*$M$1)+(N150/MAX(N:N)*$N$1)+(V150/MAX(V:V)*$V$1)+(P150/MAX(P:P)*$P$1)</f>
        <v/>
      </c>
      <c r="E150" s="156">
        <f>IFERROR(VLOOKUP(F150,AllPlayers!F:F,1,0),"------------")</f>
        <v/>
      </c>
      <c r="F150" s="156" t="inlineStr">
        <is>
          <t>Mack Hollins</t>
        </is>
      </c>
      <c r="G150" s="167" t="inlineStr">
        <is>
          <t>NE</t>
        </is>
      </c>
      <c r="H150" s="156" t="inlineStr">
        <is>
          <t>WR</t>
        </is>
      </c>
      <c r="I150" s="156" t="n">
        <v>2</v>
      </c>
      <c r="J150" s="156" t="n">
        <v>2</v>
      </c>
      <c r="K150" s="156" t="n">
        <v>11</v>
      </c>
      <c r="L150" s="156">
        <f>IF(J150=0,0,K150/J150)</f>
        <v/>
      </c>
      <c r="M150" s="156">
        <f>K150/17</f>
        <v/>
      </c>
      <c r="N150" s="156" t="n">
        <v>1</v>
      </c>
      <c r="O150" s="156" t="n">
        <v>4</v>
      </c>
      <c r="P150" s="281">
        <f>IF(K150=0,0,K150/O150)</f>
        <v/>
      </c>
      <c r="Q150" s="156" t="n">
        <v>4</v>
      </c>
      <c r="R150" s="156" t="n">
        <v>0</v>
      </c>
      <c r="S150" s="156" t="n">
        <v>0</v>
      </c>
      <c r="T150" s="156" t="n">
        <v>0</v>
      </c>
      <c r="U150" s="156" t="n">
        <v>0</v>
      </c>
      <c r="V150" s="156" t="n">
        <v>0</v>
      </c>
      <c r="W150" s="156" t="n">
        <v>0</v>
      </c>
      <c r="X150" s="204">
        <f>INDEX(Matrix!$AA$2:$AA$33, MATCH(G150, Matrix!$AC$2:$AC$33, 0))</f>
        <v/>
      </c>
      <c r="Y150" s="156">
        <f>_xlfn.IFNA(MATCH(E149,'Injury Report'!$C$2:$C$6216,0),0)</f>
        <v/>
      </c>
    </row>
    <row r="151" ht="15.6" customHeight="1" s="152">
      <c r="A151" s="212" t="n">
        <v>149</v>
      </c>
      <c r="B151" s="167">
        <f>F151&amp;G151</f>
        <v/>
      </c>
      <c r="C151" s="156">
        <f>(K151/MAX(K:K)*$K$1)+(O151/MAX(O:O)*$O$1)+(M151/MAX(M:M)*$M$1)+(N151/MAX(N:N)*$N$1)+(V151/MAX(V:V)*$V$1)+(P151/MAX(P:P)*$P$1)</f>
        <v/>
      </c>
      <c r="E151" s="156">
        <f>IFERROR(VLOOKUP(F151,AllPlayers!F:F,1,0),"------------")</f>
        <v/>
      </c>
      <c r="F151" s="156" t="inlineStr">
        <is>
          <t>Deandre Carter</t>
        </is>
      </c>
      <c r="G151" s="167" t="inlineStr">
        <is>
          <t>CLE</t>
        </is>
      </c>
      <c r="H151" s="156" t="inlineStr">
        <is>
          <t>WR</t>
        </is>
      </c>
      <c r="I151" s="156" t="n">
        <v>2</v>
      </c>
      <c r="J151" s="156" t="n">
        <v>0</v>
      </c>
      <c r="K151" s="156" t="n">
        <v>0</v>
      </c>
      <c r="L151" s="156">
        <f>IF(J151=0,0,K151/J151)</f>
        <v/>
      </c>
      <c r="M151" s="156">
        <f>K151/17</f>
        <v/>
      </c>
      <c r="N151" s="156" t="n">
        <v>0</v>
      </c>
      <c r="O151" s="156" t="n">
        <v>0</v>
      </c>
      <c r="P151" s="281">
        <f>IF(K151=0,0,K151/O151)</f>
        <v/>
      </c>
      <c r="Q151" s="156" t="n">
        <v>7</v>
      </c>
      <c r="R151" s="156" t="n">
        <v>0</v>
      </c>
      <c r="S151" s="156" t="n">
        <v>0</v>
      </c>
      <c r="T151" s="156" t="n">
        <v>0</v>
      </c>
      <c r="U151" s="156" t="n">
        <v>0</v>
      </c>
      <c r="V151" s="156" t="n">
        <v>0</v>
      </c>
      <c r="W151" s="156" t="n">
        <v>0</v>
      </c>
      <c r="X151" s="204">
        <f>INDEX(Matrix!$AA$2:$AA$33, MATCH(G151, Matrix!$AC$2:$AC$33, 0))</f>
        <v/>
      </c>
      <c r="Y151" s="156">
        <f>_xlfn.IFNA(MATCH(E150,'Injury Report'!$C$2:$C$6216,0),0)</f>
        <v/>
      </c>
    </row>
    <row r="152" ht="15.6" customHeight="1" s="152">
      <c r="A152" s="212" t="n">
        <v>150</v>
      </c>
      <c r="B152" s="167">
        <f>F152&amp;G152</f>
        <v/>
      </c>
      <c r="C152" s="156">
        <f>(K152/MAX(K:K)*$K$1)+(O152/MAX(O:O)*$O$1)+(M152/MAX(M:M)*$M$1)+(N152/MAX(N:N)*$N$1)+(V152/MAX(V:V)*$V$1)+(P152/MAX(P:P)*$P$1)</f>
        <v/>
      </c>
      <c r="E152" s="156">
        <f>IFERROR(VLOOKUP(F152,AllPlayers!F:F,1,0),"------------")</f>
        <v/>
      </c>
      <c r="F152" s="156" t="inlineStr">
        <is>
          <t>Chris Blair</t>
        </is>
      </c>
      <c r="G152" s="167" t="inlineStr">
        <is>
          <t>ATL</t>
        </is>
      </c>
      <c r="H152" s="156" t="inlineStr">
        <is>
          <t>WR</t>
        </is>
      </c>
      <c r="I152" s="156" t="n">
        <v>17</v>
      </c>
      <c r="J152" s="156" t="n">
        <v>9.4</v>
      </c>
      <c r="K152" s="156" t="n">
        <v>106.1</v>
      </c>
      <c r="L152" s="156">
        <f>IF(J152=0,0,K152/J152)</f>
        <v/>
      </c>
      <c r="M152" s="156">
        <f>K152/17</f>
        <v/>
      </c>
      <c r="N152" s="156" t="n">
        <v>0.7</v>
      </c>
      <c r="O152" s="156" t="n">
        <v>47</v>
      </c>
      <c r="P152" s="281">
        <f>IF(K152=0,0,K152/O152)</f>
        <v/>
      </c>
      <c r="Q152" s="156" t="n">
        <v>3</v>
      </c>
      <c r="R152" s="156" t="n">
        <v>0</v>
      </c>
      <c r="S152" s="156" t="n">
        <v>0</v>
      </c>
      <c r="T152" s="156" t="n">
        <v>0</v>
      </c>
      <c r="U152" s="156" t="n">
        <v>0</v>
      </c>
      <c r="V152" s="156" t="n">
        <v>2</v>
      </c>
      <c r="W152" s="156" t="n">
        <v>0</v>
      </c>
      <c r="X152" s="204">
        <f>INDEX(Matrix!$AA$2:$AA$33, MATCH(G152, Matrix!$AC$2:$AC$33, 0))</f>
        <v/>
      </c>
      <c r="Y152" s="156">
        <f>_xlfn.IFNA(MATCH(E151,'Injury Report'!$C$2:$C$6216,0),0)</f>
        <v/>
      </c>
    </row>
    <row r="153" ht="15.6" customHeight="1" s="152">
      <c r="A153" s="212" t="n">
        <v>151</v>
      </c>
      <c r="B153" s="167">
        <f>F153&amp;G153</f>
        <v/>
      </c>
      <c r="C153" s="156">
        <f>(K153/MAX(K:K)*$K$1)+(O153/MAX(O:O)*$O$1)+(M153/MAX(M:M)*$M$1)+(N153/MAX(N:N)*$N$1)+(V153/MAX(V:V)*$V$1)+(P153/MAX(P:P)*$P$1)</f>
        <v/>
      </c>
      <c r="E153" s="156">
        <f>IFERROR(VLOOKUP(F153,AllPlayers!F:F,1,0),"------------")</f>
        <v/>
      </c>
      <c r="F153" s="156" t="inlineStr">
        <is>
          <t>Olamide Zaccheaus</t>
        </is>
      </c>
      <c r="G153" s="167" t="inlineStr">
        <is>
          <t>CHI</t>
        </is>
      </c>
      <c r="H153" s="156" t="inlineStr">
        <is>
          <t>WR</t>
        </is>
      </c>
      <c r="I153" s="156" t="n">
        <v>2</v>
      </c>
      <c r="J153" s="156" t="n">
        <v>6</v>
      </c>
      <c r="K153" s="156" t="n">
        <v>54</v>
      </c>
      <c r="L153" s="156">
        <f>IF(J153=0,0,K153/J153)</f>
        <v/>
      </c>
      <c r="M153" s="156">
        <f>K153/17</f>
        <v/>
      </c>
      <c r="N153" s="156" t="n">
        <v>0</v>
      </c>
      <c r="O153" s="156" t="n">
        <v>12</v>
      </c>
      <c r="P153" s="281">
        <f>IF(K153=0,0,K153/O153)</f>
        <v/>
      </c>
      <c r="Q153" s="156" t="n">
        <v>4</v>
      </c>
      <c r="R153" s="156" t="n">
        <v>0</v>
      </c>
      <c r="S153" s="156" t="n">
        <v>0</v>
      </c>
      <c r="T153" s="156" t="n">
        <v>0</v>
      </c>
      <c r="U153" s="156" t="n">
        <v>0</v>
      </c>
      <c r="V153" s="156" t="n">
        <v>0</v>
      </c>
      <c r="W153" s="156" t="n">
        <v>0</v>
      </c>
      <c r="X153" s="204">
        <f>INDEX(Matrix!$AA$2:$AA$33, MATCH(G153, Matrix!$AC$2:$AC$33, 0))</f>
        <v/>
      </c>
      <c r="Y153" s="156">
        <f>_xlfn.IFNA(MATCH(E152,'Injury Report'!$C$2:$C$6216,0),0)</f>
        <v/>
      </c>
    </row>
    <row r="154" ht="15.6" customHeight="1" s="152">
      <c r="A154" s="212" t="n">
        <v>152</v>
      </c>
      <c r="B154" s="167">
        <f>F154&amp;G154</f>
        <v/>
      </c>
      <c r="C154" s="156">
        <f>(K154/MAX(K:K)*$K$1)+(O154/MAX(O:O)*$O$1)+(M154/MAX(M:M)*$M$1)+(N154/MAX(N:N)*$N$1)+(V154/MAX(V:V)*$V$1)+(P154/MAX(P:P)*$P$1)</f>
        <v/>
      </c>
      <c r="E154" s="156">
        <f>IFERROR(VLOOKUP(F154,AllPlayers!F:F,1,0),"------------")</f>
        <v/>
      </c>
      <c r="F154" s="156" t="inlineStr">
        <is>
          <t>Tylan Wallace</t>
        </is>
      </c>
      <c r="G154" s="167" t="inlineStr">
        <is>
          <t>BAL</t>
        </is>
      </c>
      <c r="H154" s="156" t="inlineStr">
        <is>
          <t>WR</t>
        </is>
      </c>
      <c r="I154" s="156" t="n">
        <v>2</v>
      </c>
      <c r="J154" s="156" t="n">
        <v>2</v>
      </c>
      <c r="K154" s="156" t="n">
        <v>25</v>
      </c>
      <c r="L154" s="156">
        <f>IF(J154=0,0,K154/J154)</f>
        <v/>
      </c>
      <c r="M154" s="156">
        <f>K154/17</f>
        <v/>
      </c>
      <c r="N154" s="156" t="n">
        <v>1</v>
      </c>
      <c r="O154" s="156" t="n">
        <v>2</v>
      </c>
      <c r="P154" s="281">
        <f>IF(K154=0,0,K154/O154)</f>
        <v/>
      </c>
      <c r="Q154" s="156" t="n">
        <v>5</v>
      </c>
      <c r="R154" s="156" t="n">
        <v>2</v>
      </c>
      <c r="S154" s="156" t="n">
        <v>0</v>
      </c>
      <c r="T154" s="156" t="n">
        <v>0</v>
      </c>
      <c r="U154" s="156" t="n">
        <v>0</v>
      </c>
      <c r="V154" s="156" t="n">
        <v>0</v>
      </c>
      <c r="W154" s="156" t="n">
        <v>0</v>
      </c>
      <c r="X154" s="204">
        <f>INDEX(Matrix!$AA$2:$AA$33, MATCH(G154, Matrix!$AC$2:$AC$33, 0))</f>
        <v/>
      </c>
      <c r="Y154" s="156">
        <f>_xlfn.IFNA(MATCH(E153,'Injury Report'!$C$2:$C$6216,0),0)</f>
        <v/>
      </c>
    </row>
    <row r="155" ht="15.6" customHeight="1" s="152">
      <c r="A155" s="212" t="n">
        <v>153</v>
      </c>
      <c r="B155" s="167">
        <f>F155&amp;G155</f>
        <v/>
      </c>
      <c r="C155" s="156">
        <f>(K155/MAX(K:K)*$K$1)+(O155/MAX(O:O)*$O$1)+(M155/MAX(M:M)*$M$1)+(N155/MAX(N:N)*$N$1)+(V155/MAX(V:V)*$V$1)+(P155/MAX(P:P)*$P$1)</f>
        <v/>
      </c>
      <c r="E155" s="156">
        <f>IFERROR(VLOOKUP(F155,AllPlayers!F:F,1,0),"------------")</f>
        <v/>
      </c>
      <c r="F155" s="156" t="inlineStr">
        <is>
          <t>Trey Palmer</t>
        </is>
      </c>
      <c r="G155" s="167" t="inlineStr">
        <is>
          <t>TB</t>
        </is>
      </c>
      <c r="H155" s="156" t="inlineStr">
        <is>
          <t>WR</t>
        </is>
      </c>
      <c r="I155" s="156" t="n">
        <v>17</v>
      </c>
      <c r="J155" s="156" t="n">
        <v>8.6</v>
      </c>
      <c r="K155" s="156" t="n">
        <v>94.3</v>
      </c>
      <c r="L155" s="156">
        <f>IF(J155=0,0,K155/J155)</f>
        <v/>
      </c>
      <c r="M155" s="156">
        <f>K155/17</f>
        <v/>
      </c>
      <c r="N155" s="156" t="n">
        <v>0.8</v>
      </c>
      <c r="O155" s="156" t="n">
        <v>52</v>
      </c>
      <c r="P155" s="281">
        <f>IF(K155=0,0,K155/O155)</f>
        <v/>
      </c>
      <c r="Q155" s="156" t="n">
        <v>3</v>
      </c>
      <c r="R155" s="156" t="n">
        <v>0</v>
      </c>
      <c r="S155" s="156" t="n">
        <v>0</v>
      </c>
      <c r="T155" s="156" t="n">
        <v>0</v>
      </c>
      <c r="U155" s="156" t="n">
        <v>0</v>
      </c>
      <c r="V155" s="156" t="n">
        <v>0</v>
      </c>
      <c r="W155" s="156" t="n">
        <v>0</v>
      </c>
      <c r="X155" s="204">
        <f>INDEX(Matrix!$AA$2:$AA$33, MATCH(G155, Matrix!$AC$2:$AC$33, 0))</f>
        <v/>
      </c>
      <c r="Y155" s="156">
        <f>_xlfn.IFNA(MATCH(E154,'Injury Report'!$C$2:$C$6216,0),0)</f>
        <v/>
      </c>
    </row>
    <row r="156" ht="15.6" customHeight="1" s="152">
      <c r="A156" s="212" t="n">
        <v>154</v>
      </c>
      <c r="B156" s="167">
        <f>F156&amp;G156</f>
        <v/>
      </c>
      <c r="C156" s="156">
        <f>(K156/MAX(K:K)*$K$1)+(O156/MAX(O:O)*$O$1)+(M156/MAX(M:M)*$M$1)+(N156/MAX(N:N)*$N$1)+(V156/MAX(V:V)*$V$1)+(P156/MAX(P:P)*$P$1)</f>
        <v/>
      </c>
      <c r="E156" s="156">
        <f>IFERROR(VLOOKUP(F156,AllPlayers!F:F,1,0),"------------")</f>
        <v/>
      </c>
      <c r="F156" s="156" t="inlineStr">
        <is>
          <t>Simi Fehoko</t>
        </is>
      </c>
      <c r="G156" s="167" t="inlineStr">
        <is>
          <t>ARI</t>
        </is>
      </c>
      <c r="H156" s="156" t="inlineStr">
        <is>
          <t>WR</t>
        </is>
      </c>
      <c r="I156" s="156" t="n">
        <v>17</v>
      </c>
      <c r="J156" s="156" t="n">
        <v>7.6</v>
      </c>
      <c r="K156" s="156" t="n">
        <v>91.7</v>
      </c>
      <c r="L156" s="156">
        <f>IF(J156=0,0,K156/J156)</f>
        <v/>
      </c>
      <c r="M156" s="156">
        <f>K156/17</f>
        <v/>
      </c>
      <c r="N156" s="156" t="n">
        <v>0.7</v>
      </c>
      <c r="O156" s="156" t="n">
        <v>38</v>
      </c>
      <c r="P156" s="281">
        <f>IF(K156=0,0,K156/O156)</f>
        <v/>
      </c>
      <c r="Q156" s="156" t="n">
        <v>2</v>
      </c>
      <c r="R156" s="156" t="n">
        <v>0</v>
      </c>
      <c r="S156" s="156" t="n">
        <v>0</v>
      </c>
      <c r="T156" s="156" t="n">
        <v>0</v>
      </c>
      <c r="U156" s="156" t="n">
        <v>0</v>
      </c>
      <c r="V156" s="156" t="n">
        <v>0</v>
      </c>
      <c r="W156" s="156" t="n">
        <v>0</v>
      </c>
      <c r="X156" s="204">
        <f>INDEX(Matrix!$AA$2:$AA$33, MATCH(G156, Matrix!$AC$2:$AC$33, 0))</f>
        <v/>
      </c>
      <c r="Y156" s="156">
        <f>_xlfn.IFNA(MATCH(E155,'Injury Report'!$C$2:$C$6216,0),0)</f>
        <v/>
      </c>
    </row>
    <row r="157" ht="15.6" customHeight="1" s="152">
      <c r="A157" s="212" t="n">
        <v>155</v>
      </c>
      <c r="B157" s="167">
        <f>F157&amp;G157</f>
        <v/>
      </c>
      <c r="C157" s="156">
        <f>(K157/MAX(K:K)*$K$1)+(O157/MAX(O:O)*$O$1)+(M157/MAX(M:M)*$M$1)+(N157/MAX(N:N)*$N$1)+(V157/MAX(V:V)*$V$1)+(P157/MAX(P:P)*$P$1)</f>
        <v/>
      </c>
      <c r="E157" s="156">
        <f>IFERROR(VLOOKUP(F157,AllPlayers!F:F,1,0),"------------")</f>
        <v/>
      </c>
      <c r="F157" s="156" t="inlineStr">
        <is>
          <t>Tim Jones</t>
        </is>
      </c>
      <c r="G157" s="167" t="inlineStr">
        <is>
          <t>MIN</t>
        </is>
      </c>
      <c r="H157" s="156" t="inlineStr">
        <is>
          <t>WR</t>
        </is>
      </c>
      <c r="I157" s="156" t="n">
        <v>17</v>
      </c>
      <c r="J157" s="156" t="n">
        <v>7.4</v>
      </c>
      <c r="K157" s="156" t="n">
        <v>83.2</v>
      </c>
      <c r="L157" s="156">
        <f>IF(J157=0,0,K157/J157)</f>
        <v/>
      </c>
      <c r="M157" s="156">
        <f>K157/17</f>
        <v/>
      </c>
      <c r="N157" s="156" t="n">
        <v>0.6</v>
      </c>
      <c r="O157" s="156" t="n">
        <v>53</v>
      </c>
      <c r="P157" s="281">
        <f>IF(K157=0,0,K157/O157)</f>
        <v/>
      </c>
      <c r="Q157" s="156" t="n">
        <v>1</v>
      </c>
      <c r="R157" s="156" t="n">
        <v>0</v>
      </c>
      <c r="S157" s="156" t="n">
        <v>0</v>
      </c>
      <c r="T157" s="156" t="n">
        <v>0</v>
      </c>
      <c r="U157" s="156" t="n">
        <v>0</v>
      </c>
      <c r="V157" s="156" t="n">
        <v>1</v>
      </c>
      <c r="W157" s="156" t="n">
        <v>0.1</v>
      </c>
      <c r="X157" s="204">
        <f>INDEX(Matrix!$AA$2:$AA$33, MATCH(G157, Matrix!$AC$2:$AC$33, 0))</f>
        <v/>
      </c>
      <c r="Y157" s="156">
        <f>_xlfn.IFNA(MATCH(E156,'Injury Report'!$C$2:$C$6216,0),0)</f>
        <v/>
      </c>
    </row>
    <row r="158" ht="15.6" customHeight="1" s="152">
      <c r="A158" s="212" t="n">
        <v>156</v>
      </c>
      <c r="B158" s="167">
        <f>F158&amp;G158</f>
        <v/>
      </c>
      <c r="C158" s="156">
        <f>(K158/MAX(K:K)*$K$1)+(O158/MAX(O:O)*$O$1)+(M158/MAX(M:M)*$M$1)+(N158/MAX(N:N)*$N$1)+(V158/MAX(V:V)*$V$1)+(P158/MAX(P:P)*$P$1)</f>
        <v/>
      </c>
      <c r="E158" s="156">
        <f>IFERROR(VLOOKUP(F158,AllPlayers!F:F,1,0),"------------")</f>
        <v/>
      </c>
      <c r="F158" s="156" t="inlineStr">
        <is>
          <t>Sterling Shepard</t>
        </is>
      </c>
      <c r="G158" s="167" t="inlineStr">
        <is>
          <t>TB</t>
        </is>
      </c>
      <c r="H158" s="156" t="inlineStr">
        <is>
          <t>WR</t>
        </is>
      </c>
      <c r="I158" s="156" t="n">
        <v>2</v>
      </c>
      <c r="J158" s="156" t="n">
        <v>7</v>
      </c>
      <c r="K158" s="156" t="n">
        <v>73</v>
      </c>
      <c r="L158" s="156">
        <f>IF(J158=0,0,K158/J158)</f>
        <v/>
      </c>
      <c r="M158" s="156">
        <f>K158/17</f>
        <v/>
      </c>
      <c r="N158" s="156" t="n">
        <v>0</v>
      </c>
      <c r="O158" s="156" t="n">
        <v>10</v>
      </c>
      <c r="P158" s="281">
        <f>IF(K158=0,0,K158/O158)</f>
        <v/>
      </c>
      <c r="Q158" s="156" t="n">
        <v>6</v>
      </c>
      <c r="R158" s="156" t="n">
        <v>0</v>
      </c>
      <c r="S158" s="156" t="n">
        <v>0</v>
      </c>
      <c r="T158" s="156" t="n">
        <v>0</v>
      </c>
      <c r="U158" s="156" t="n">
        <v>0</v>
      </c>
      <c r="V158" s="156" t="n">
        <v>0</v>
      </c>
      <c r="W158" s="156" t="n">
        <v>0</v>
      </c>
      <c r="X158" s="204">
        <f>INDEX(Matrix!$AA$2:$AA$33, MATCH(G158, Matrix!$AC$2:$AC$33, 0))</f>
        <v/>
      </c>
      <c r="Y158" s="156">
        <f>_xlfn.IFNA(MATCH(E157,'Injury Report'!$C$2:$C$6216,0),0)</f>
        <v/>
      </c>
    </row>
    <row r="159" ht="15.6" customHeight="1" s="152">
      <c r="A159" s="212" t="n">
        <v>157</v>
      </c>
      <c r="B159" s="167">
        <f>F159&amp;G159</f>
        <v/>
      </c>
      <c r="C159" s="156">
        <f>(K159/MAX(K:K)*$K$1)+(O159/MAX(O:O)*$O$1)+(M159/MAX(M:M)*$M$1)+(N159/MAX(N:N)*$N$1)+(V159/MAX(V:V)*$V$1)+(P159/MAX(P:P)*$P$1)</f>
        <v/>
      </c>
      <c r="E159" s="156">
        <f>IFERROR(VLOOKUP(F159,AllPlayers!F:F,1,0),"------------")</f>
        <v/>
      </c>
      <c r="F159" s="156" t="inlineStr">
        <is>
          <t>Keandre Lambert-smith</t>
        </is>
      </c>
      <c r="G159" s="167" t="inlineStr">
        <is>
          <t>LAC</t>
        </is>
      </c>
      <c r="H159" s="156" t="inlineStr">
        <is>
          <t>WR</t>
        </is>
      </c>
      <c r="I159" s="156" t="n">
        <v>2</v>
      </c>
      <c r="J159" s="156" t="n">
        <v>0</v>
      </c>
      <c r="K159" s="156" t="n">
        <v>0</v>
      </c>
      <c r="L159" s="156">
        <f>IF(J159=0,0,K159/J159)</f>
        <v/>
      </c>
      <c r="M159" s="156">
        <f>K159/17</f>
        <v/>
      </c>
      <c r="N159" s="156" t="n">
        <v>0</v>
      </c>
      <c r="O159" s="156" t="n">
        <v>1</v>
      </c>
      <c r="P159" s="281">
        <f>IF(K159=0,0,K159/O159)</f>
        <v/>
      </c>
      <c r="Q159" s="156" t="n">
        <v>6</v>
      </c>
      <c r="R159" s="156" t="n">
        <v>0</v>
      </c>
      <c r="S159" s="156" t="n">
        <v>0</v>
      </c>
      <c r="T159" s="156" t="n">
        <v>0</v>
      </c>
      <c r="U159" s="156" t="n">
        <v>0</v>
      </c>
      <c r="V159" s="156" t="n">
        <v>0</v>
      </c>
      <c r="W159" s="156" t="n">
        <v>0</v>
      </c>
      <c r="X159" s="204">
        <f>INDEX(Matrix!$AA$2:$AA$33, MATCH(G159, Matrix!$AC$2:$AC$33, 0))</f>
        <v/>
      </c>
      <c r="Y159" s="156">
        <f>_xlfn.IFNA(MATCH(E158,'Injury Report'!$C$2:$C$6216,0),0)</f>
        <v/>
      </c>
    </row>
    <row r="160" ht="15.6" customHeight="1" s="152">
      <c r="A160" s="212" t="n">
        <v>158</v>
      </c>
      <c r="B160" s="167">
        <f>F160&amp;G160</f>
        <v/>
      </c>
      <c r="C160" s="156">
        <f>(K160/MAX(K:K)*$K$1)+(O160/MAX(O:O)*$O$1)+(M160/MAX(M:M)*$M$1)+(N160/MAX(N:N)*$N$1)+(V160/MAX(V:V)*$V$1)+(P160/MAX(P:P)*$P$1)</f>
        <v/>
      </c>
      <c r="E160" s="156">
        <f>IFERROR(VLOOKUP(F160,AllPlayers!F:F,1,0),"------------")</f>
        <v/>
      </c>
      <c r="F160" s="156" t="inlineStr">
        <is>
          <t>Hunter Renfrow</t>
        </is>
      </c>
      <c r="G160" s="167" t="inlineStr">
        <is>
          <t>CAR</t>
        </is>
      </c>
      <c r="H160" s="156" t="inlineStr">
        <is>
          <t>WR</t>
        </is>
      </c>
      <c r="I160" s="156" t="n">
        <v>2</v>
      </c>
      <c r="J160" s="156" t="n">
        <v>9</v>
      </c>
      <c r="K160" s="156" t="n">
        <v>59</v>
      </c>
      <c r="L160" s="156">
        <f>IF(J160=0,0,K160/J160)</f>
        <v/>
      </c>
      <c r="M160" s="156">
        <f>K160/17</f>
        <v/>
      </c>
      <c r="N160" s="156" t="n">
        <v>2</v>
      </c>
      <c r="O160" s="156" t="n">
        <v>15</v>
      </c>
      <c r="P160" s="281">
        <f>IF(K160=0,0,K160/O160)</f>
        <v/>
      </c>
      <c r="Q160" s="156" t="n">
        <v>2</v>
      </c>
      <c r="R160" s="156" t="n">
        <v>0</v>
      </c>
      <c r="S160" s="156" t="n">
        <v>0</v>
      </c>
      <c r="T160" s="156" t="n">
        <v>0</v>
      </c>
      <c r="U160" s="156" t="n">
        <v>0</v>
      </c>
      <c r="V160" s="156" t="n">
        <v>0</v>
      </c>
      <c r="W160" s="156" t="n">
        <v>0</v>
      </c>
      <c r="X160" s="204">
        <f>INDEX(Matrix!$AA$2:$AA$33, MATCH(G160, Matrix!$AC$2:$AC$33, 0))</f>
        <v/>
      </c>
      <c r="Y160" s="156">
        <f>_xlfn.IFNA(MATCH(E159,'Injury Report'!$C$2:$C$6216,0),0)</f>
        <v/>
      </c>
    </row>
    <row r="161" ht="15.6" customHeight="1" s="152">
      <c r="A161" s="212" t="n">
        <v>159</v>
      </c>
      <c r="B161" s="167">
        <f>F161&amp;G161</f>
        <v/>
      </c>
      <c r="C161" s="156">
        <f>(K161/MAX(K:K)*$K$1)+(O161/MAX(O:O)*$O$1)+(M161/MAX(M:M)*$M$1)+(N161/MAX(N:N)*$N$1)+(V161/MAX(V:V)*$V$1)+(P161/MAX(P:P)*$P$1)</f>
        <v/>
      </c>
      <c r="E161" s="156">
        <f>IFERROR(VLOOKUP(F161,AllPlayers!F:F,1,0),"------------")</f>
        <v/>
      </c>
      <c r="F161" s="156" t="inlineStr">
        <is>
          <t>Cedrick Wilson</t>
        </is>
      </c>
      <c r="G161" s="167" t="inlineStr">
        <is>
          <t>NO</t>
        </is>
      </c>
      <c r="H161" s="156" t="inlineStr">
        <is>
          <t>WR</t>
        </is>
      </c>
      <c r="I161" s="156" t="n">
        <v>17</v>
      </c>
      <c r="J161" s="156" t="n">
        <v>6.9</v>
      </c>
      <c r="K161" s="156" t="n">
        <v>77.2</v>
      </c>
      <c r="L161" s="156">
        <f>IF(J161=0,0,K161/J161)</f>
        <v/>
      </c>
      <c r="M161" s="156">
        <f>K161/17</f>
        <v/>
      </c>
      <c r="N161" s="156" t="n">
        <v>0.5</v>
      </c>
      <c r="O161" s="156" t="n">
        <v>48</v>
      </c>
      <c r="P161" s="281">
        <f>IF(K161=0,0,K161/O161)</f>
        <v/>
      </c>
      <c r="Q161" s="156" t="n">
        <v>3</v>
      </c>
      <c r="R161" s="156" t="n">
        <v>0</v>
      </c>
      <c r="S161" s="156" t="n">
        <v>0</v>
      </c>
      <c r="T161" s="156" t="n">
        <v>0</v>
      </c>
      <c r="U161" s="156" t="n">
        <v>0</v>
      </c>
      <c r="V161" s="156" t="n">
        <v>1</v>
      </c>
      <c r="W161" s="156" t="n">
        <v>0</v>
      </c>
      <c r="X161" s="204">
        <f>INDEX(Matrix!$AA$2:$AA$33, MATCH(G161, Matrix!$AC$2:$AC$33, 0))</f>
        <v/>
      </c>
      <c r="Y161" s="156">
        <f>_xlfn.IFNA(MATCH(E160,'Injury Report'!$C$2:$C$6216,0),0)</f>
        <v/>
      </c>
    </row>
    <row r="162" ht="15.6" customHeight="1" s="152">
      <c r="A162" s="212" t="n">
        <v>160</v>
      </c>
      <c r="B162" s="167">
        <f>F162&amp;G162</f>
        <v/>
      </c>
      <c r="C162" s="156">
        <f>(K162/MAX(K:K)*$K$1)+(O162/MAX(O:O)*$O$1)+(M162/MAX(M:M)*$M$1)+(N162/MAX(N:N)*$N$1)+(V162/MAX(V:V)*$V$1)+(P162/MAX(P:P)*$P$1)</f>
        <v/>
      </c>
      <c r="E162" s="156">
        <f>IFERROR(VLOOKUP(F162,AllPlayers!F:F,1,0),"------------")</f>
        <v/>
      </c>
      <c r="F162" s="156" t="inlineStr">
        <is>
          <t>Jamal Agnew</t>
        </is>
      </c>
      <c r="G162" s="167" t="inlineStr">
        <is>
          <t>ATL</t>
        </is>
      </c>
      <c r="H162" s="156" t="inlineStr">
        <is>
          <t>WR</t>
        </is>
      </c>
      <c r="I162" s="156" t="n">
        <v>1</v>
      </c>
      <c r="J162" s="156" t="n">
        <v>0</v>
      </c>
      <c r="K162" s="156" t="n">
        <v>0</v>
      </c>
      <c r="L162" s="156">
        <f>IF(J162=0,0,K162/J162)</f>
        <v/>
      </c>
      <c r="M162" s="156">
        <f>K162/17</f>
        <v/>
      </c>
      <c r="N162" s="156" t="n">
        <v>0</v>
      </c>
      <c r="O162" s="156" t="n">
        <v>0</v>
      </c>
      <c r="P162" s="281">
        <f>IF(K162=0,0,K162/O162)</f>
        <v/>
      </c>
      <c r="Q162" s="156" t="n">
        <v>4</v>
      </c>
      <c r="R162" s="156" t="n">
        <v>1</v>
      </c>
      <c r="S162" s="156" t="n">
        <v>0</v>
      </c>
      <c r="T162" s="156" t="n">
        <v>0</v>
      </c>
      <c r="U162" s="156" t="n">
        <v>0</v>
      </c>
      <c r="V162" s="156" t="n">
        <v>0</v>
      </c>
      <c r="W162" s="156" t="n">
        <v>0</v>
      </c>
      <c r="X162" s="204">
        <f>INDEX(Matrix!$AA$2:$AA$33, MATCH(G162, Matrix!$AC$2:$AC$33, 0))</f>
        <v/>
      </c>
      <c r="Y162" s="156">
        <f>_xlfn.IFNA(MATCH(E161,'Injury Report'!$C$2:$C$6216,0),0)</f>
        <v/>
      </c>
    </row>
    <row r="163" ht="15.6" customHeight="1" s="152">
      <c r="A163" s="212" t="n">
        <v>161</v>
      </c>
      <c r="B163" s="167">
        <f>F163&amp;G163</f>
        <v/>
      </c>
      <c r="C163" s="156">
        <f>(K163/MAX(K:K)*$K$1)+(O163/MAX(O:O)*$O$1)+(M163/MAX(M:M)*$M$1)+(N163/MAX(N:N)*$N$1)+(V163/MAX(V:V)*$V$1)+(P163/MAX(P:P)*$P$1)</f>
        <v/>
      </c>
      <c r="E163" s="156">
        <f>IFERROR(VLOOKUP(F163,AllPlayers!F:F,1,0),"------------")</f>
        <v/>
      </c>
      <c r="F163" s="156" t="inlineStr">
        <is>
          <t>Devontez Walker</t>
        </is>
      </c>
      <c r="G163" s="167" t="inlineStr">
        <is>
          <t>BAL</t>
        </is>
      </c>
      <c r="H163" s="156" t="inlineStr">
        <is>
          <t>WR</t>
        </is>
      </c>
      <c r="I163" s="156" t="n">
        <v>1</v>
      </c>
      <c r="J163" s="156" t="n">
        <v>2</v>
      </c>
      <c r="K163" s="156" t="n">
        <v>26</v>
      </c>
      <c r="L163" s="156">
        <f>IF(J163=0,0,K163/J163)</f>
        <v/>
      </c>
      <c r="M163" s="156">
        <f>K163/17</f>
        <v/>
      </c>
      <c r="N163" s="156" t="n">
        <v>2</v>
      </c>
      <c r="O163" s="156" t="n">
        <v>2</v>
      </c>
      <c r="P163" s="281">
        <f>IF(K163=0,0,K163/O163)</f>
        <v/>
      </c>
      <c r="Q163" s="156" t="n">
        <v>5</v>
      </c>
      <c r="R163" s="156" t="n">
        <v>1</v>
      </c>
      <c r="S163" s="156" t="n">
        <v>0</v>
      </c>
      <c r="T163" s="156" t="n">
        <v>0</v>
      </c>
      <c r="U163" s="156" t="n">
        <v>0</v>
      </c>
      <c r="V163" s="156" t="n">
        <v>0</v>
      </c>
      <c r="W163" s="156" t="n">
        <v>0</v>
      </c>
      <c r="X163" s="204">
        <f>INDEX(Matrix!$AA$2:$AA$33, MATCH(G163, Matrix!$AC$2:$AC$33, 0))</f>
        <v/>
      </c>
      <c r="Y163" s="156">
        <f>_xlfn.IFNA(MATCH(E162,'Injury Report'!$C$2:$C$6216,0),0)</f>
        <v/>
      </c>
    </row>
    <row r="164" ht="15.6" customHeight="1" s="152">
      <c r="A164" s="212" t="n">
        <v>162</v>
      </c>
      <c r="B164" s="167">
        <f>F164&amp;G164</f>
        <v/>
      </c>
      <c r="C164" s="156">
        <f>(K164/MAX(K:K)*$K$1)+(O164/MAX(O:O)*$O$1)+(M164/MAX(M:M)*$M$1)+(N164/MAX(N:N)*$N$1)+(V164/MAX(V:V)*$V$1)+(P164/MAX(P:P)*$P$1)</f>
        <v/>
      </c>
      <c r="E164" s="156">
        <f>IFERROR(VLOOKUP(F164,AllPlayers!F:F,1,0),"------------")</f>
        <v/>
      </c>
      <c r="F164" s="156" t="inlineStr">
        <is>
          <t>Bo Melton</t>
        </is>
      </c>
      <c r="G164" s="167" t="inlineStr">
        <is>
          <t>GB</t>
        </is>
      </c>
      <c r="H164" s="156" t="inlineStr">
        <is>
          <t>WR</t>
        </is>
      </c>
      <c r="I164" s="156" t="n">
        <v>17</v>
      </c>
      <c r="J164" s="156" t="n">
        <v>6.2</v>
      </c>
      <c r="K164" s="156" t="n">
        <v>73.8</v>
      </c>
      <c r="L164" s="156">
        <f>IF(J164=0,0,K164/J164)</f>
        <v/>
      </c>
      <c r="M164" s="156">
        <f>K164/17</f>
        <v/>
      </c>
      <c r="N164" s="156" t="n">
        <v>0.6</v>
      </c>
      <c r="O164" s="156" t="n">
        <v>41</v>
      </c>
      <c r="P164" s="281">
        <f>IF(K164=0,0,K164/O164)</f>
        <v/>
      </c>
      <c r="Q164" s="156" t="n">
        <v>4</v>
      </c>
      <c r="R164" s="156" t="n">
        <v>1</v>
      </c>
      <c r="S164" s="156" t="n">
        <v>0</v>
      </c>
      <c r="T164" s="156" t="n">
        <v>0</v>
      </c>
      <c r="U164" s="156" t="n">
        <v>0</v>
      </c>
      <c r="V164" s="156" t="n">
        <v>0</v>
      </c>
      <c r="W164" s="156" t="n">
        <v>0</v>
      </c>
      <c r="X164" s="204">
        <f>INDEX(Matrix!$AA$2:$AA$33, MATCH(G164, Matrix!$AC$2:$AC$33, 0))</f>
        <v/>
      </c>
      <c r="Y164" s="156">
        <f>_xlfn.IFNA(MATCH(E163,'Injury Report'!$C$2:$C$6216,0),0)</f>
        <v/>
      </c>
    </row>
    <row r="165" ht="15.6" customHeight="1" s="152">
      <c r="A165" s="212" t="n">
        <v>163</v>
      </c>
      <c r="B165" s="167">
        <f>F165&amp;G165</f>
        <v/>
      </c>
      <c r="C165" s="156">
        <f>(K165/MAX(K:K)*$K$1)+(O165/MAX(O:O)*$O$1)+(M165/MAX(M:M)*$M$1)+(N165/MAX(N:N)*$N$1)+(V165/MAX(V:V)*$V$1)+(P165/MAX(P:P)*$P$1)</f>
        <v/>
      </c>
      <c r="E165" s="156">
        <f>IFERROR(VLOOKUP(F165,AllPlayers!F:F,1,0),"------------")</f>
        <v/>
      </c>
      <c r="F165" s="156" t="inlineStr">
        <is>
          <t>Ben Skowronek</t>
        </is>
      </c>
      <c r="G165" s="167" t="inlineStr">
        <is>
          <t>PIT</t>
        </is>
      </c>
      <c r="H165" s="156" t="inlineStr">
        <is>
          <t>WR</t>
        </is>
      </c>
      <c r="I165" s="156" t="n">
        <v>2</v>
      </c>
      <c r="J165" s="156" t="n">
        <v>1</v>
      </c>
      <c r="K165" s="156" t="n">
        <v>22</v>
      </c>
      <c r="L165" s="156">
        <f>IF(J165=0,0,K165/J165)</f>
        <v/>
      </c>
      <c r="M165" s="156">
        <f>K165/17</f>
        <v/>
      </c>
      <c r="N165" s="156" t="n">
        <v>1</v>
      </c>
      <c r="O165" s="156" t="n">
        <v>1</v>
      </c>
      <c r="P165" s="281">
        <f>IF(K165=0,0,K165/O165)</f>
        <v/>
      </c>
      <c r="Q165" s="156" t="n">
        <v>2</v>
      </c>
      <c r="R165" s="156" t="n">
        <v>1</v>
      </c>
      <c r="S165" s="156" t="n">
        <v>0</v>
      </c>
      <c r="T165" s="156" t="n">
        <v>0</v>
      </c>
      <c r="U165" s="156" t="n">
        <v>0</v>
      </c>
      <c r="V165" s="156" t="n">
        <v>0</v>
      </c>
      <c r="W165" s="156" t="n">
        <v>0</v>
      </c>
      <c r="X165" s="204">
        <f>INDEX(Matrix!$AA$2:$AA$33, MATCH(G165, Matrix!$AC$2:$AC$33, 0))</f>
        <v/>
      </c>
      <c r="Y165" s="156">
        <f>_xlfn.IFNA(MATCH(E164,'Injury Report'!$C$2:$C$6216,0),0)</f>
        <v/>
      </c>
    </row>
    <row r="166" ht="15.6" customHeight="1" s="152">
      <c r="A166" s="212" t="n">
        <v>164</v>
      </c>
      <c r="B166" s="167">
        <f>F166&amp;G166</f>
        <v/>
      </c>
      <c r="C166" s="156">
        <f>(K166/MAX(K:K)*$K$1)+(O166/MAX(O:O)*$O$1)+(M166/MAX(M:M)*$M$1)+(N166/MAX(N:N)*$N$1)+(V166/MAX(V:V)*$V$1)+(P166/MAX(P:P)*$P$1)</f>
        <v/>
      </c>
      <c r="E166" s="156">
        <f>IFERROR(VLOOKUP(F166,AllPlayers!F:F,1,0),"------------")</f>
        <v/>
      </c>
      <c r="F166" s="156" t="inlineStr">
        <is>
          <t>Irvin Charles</t>
        </is>
      </c>
      <c r="G166" s="167" t="inlineStr">
        <is>
          <t>NYJ</t>
        </is>
      </c>
      <c r="H166" s="156" t="inlineStr">
        <is>
          <t>WR</t>
        </is>
      </c>
      <c r="I166" s="156" t="n">
        <v>17</v>
      </c>
      <c r="J166" s="156" t="n">
        <v>6.5</v>
      </c>
      <c r="K166" s="156" t="n">
        <v>70</v>
      </c>
      <c r="L166" s="156">
        <f>IF(J166=0,0,K166/J166)</f>
        <v/>
      </c>
      <c r="M166" s="156">
        <f>K166/17</f>
        <v/>
      </c>
      <c r="N166" s="156" t="n">
        <v>0.5</v>
      </c>
      <c r="O166" s="156" t="n">
        <v>29</v>
      </c>
      <c r="P166" s="281">
        <f>IF(K166=0,0,K166/O166)</f>
        <v/>
      </c>
      <c r="Q166" s="156" t="n">
        <v>3</v>
      </c>
      <c r="R166" s="156" t="n">
        <v>1</v>
      </c>
      <c r="S166" s="156" t="n">
        <v>2</v>
      </c>
      <c r="T166" s="156" t="n">
        <v>0</v>
      </c>
      <c r="U166" s="156" t="n">
        <v>0</v>
      </c>
      <c r="V166" s="156" t="n">
        <v>0</v>
      </c>
      <c r="W166" s="156" t="n">
        <v>0</v>
      </c>
      <c r="X166" s="204">
        <f>INDEX(Matrix!$AA$2:$AA$33, MATCH(G166, Matrix!$AC$2:$AC$33, 0))</f>
        <v/>
      </c>
      <c r="Y166" s="156">
        <f>_xlfn.IFNA(MATCH(E165,'Injury Report'!$C$2:$C$6216,0),0)</f>
        <v/>
      </c>
    </row>
    <row r="167" ht="15.6" customHeight="1" s="152">
      <c r="A167" s="212" t="n">
        <v>165</v>
      </c>
      <c r="B167" s="167">
        <f>F167&amp;G167</f>
        <v/>
      </c>
      <c r="C167" s="156">
        <f>(K167/MAX(K:K)*$K$1)+(O167/MAX(O:O)*$O$1)+(M167/MAX(M:M)*$M$1)+(N167/MAX(N:N)*$N$1)+(V167/MAX(V:V)*$V$1)+(P167/MAX(P:P)*$P$1)</f>
        <v/>
      </c>
      <c r="E167" s="156">
        <f>IFERROR(VLOOKUP(F167,AllPlayers!F:F,1,0),"------------")</f>
        <v/>
      </c>
      <c r="F167" s="156" t="inlineStr">
        <is>
          <t>Maurice Alexander</t>
        </is>
      </c>
      <c r="G167" s="167" t="inlineStr">
        <is>
          <t>CHI</t>
        </is>
      </c>
      <c r="H167" s="156" t="inlineStr">
        <is>
          <t>WR</t>
        </is>
      </c>
      <c r="I167" s="156" t="n">
        <v>17</v>
      </c>
      <c r="J167" s="156" t="n">
        <v>6.4</v>
      </c>
      <c r="K167" s="156" t="n">
        <v>70.40000000000001</v>
      </c>
      <c r="L167" s="156">
        <f>IF(J167=0,0,K167/J167)</f>
        <v/>
      </c>
      <c r="M167" s="156">
        <f>K167/17</f>
        <v/>
      </c>
      <c r="N167" s="156" t="n">
        <v>0.4</v>
      </c>
      <c r="O167" s="156" t="n">
        <v>25</v>
      </c>
      <c r="P167" s="281">
        <f>IF(K167=0,0,K167/O167)</f>
        <v/>
      </c>
      <c r="Q167" s="156" t="n">
        <v>5</v>
      </c>
      <c r="R167" s="156" t="n">
        <v>1</v>
      </c>
      <c r="S167" s="156" t="n">
        <v>1</v>
      </c>
      <c r="T167" s="156" t="n">
        <v>0</v>
      </c>
      <c r="U167" s="156" t="n">
        <v>0</v>
      </c>
      <c r="V167" s="156" t="n">
        <v>0</v>
      </c>
      <c r="W167" s="156" t="n">
        <v>0</v>
      </c>
      <c r="X167" s="204">
        <f>INDEX(Matrix!$AA$2:$AA$33, MATCH(G167, Matrix!$AC$2:$AC$33, 0))</f>
        <v/>
      </c>
      <c r="Y167" s="156">
        <f>_xlfn.IFNA(MATCH(E166,'Injury Report'!$C$2:$C$6216,0),0)</f>
        <v/>
      </c>
    </row>
    <row r="168" ht="15.6" customHeight="1" s="152">
      <c r="A168" s="212" t="n">
        <v>166</v>
      </c>
      <c r="B168" s="167">
        <f>F168&amp;G168</f>
        <v/>
      </c>
      <c r="C168" s="156">
        <f>(K168/MAX(K:K)*$K$1)+(O168/MAX(O:O)*$O$1)+(M168/MAX(M:M)*$M$1)+(N168/MAX(N:N)*$N$1)+(V168/MAX(V:V)*$V$1)+(P168/MAX(P:P)*$P$1)</f>
        <v/>
      </c>
      <c r="E168" s="156">
        <f>IFERROR(VLOOKUP(F168,AllPlayers!F:F,1,0),"------------")</f>
        <v/>
      </c>
      <c r="F168" s="156" t="inlineStr">
        <is>
          <t>Samori Toure</t>
        </is>
      </c>
      <c r="G168" s="167" t="inlineStr">
        <is>
          <t>CHI</t>
        </is>
      </c>
      <c r="H168" s="156" t="inlineStr">
        <is>
          <t>WR</t>
        </is>
      </c>
      <c r="I168" s="156" t="n">
        <v>17</v>
      </c>
      <c r="J168" s="156" t="n">
        <v>6.3</v>
      </c>
      <c r="K168" s="156" t="n">
        <v>69.8</v>
      </c>
      <c r="L168" s="156">
        <f>IF(J168=0,0,K168/J168)</f>
        <v/>
      </c>
      <c r="M168" s="156">
        <f>K168/17</f>
        <v/>
      </c>
      <c r="N168" s="156" t="n">
        <v>0.4</v>
      </c>
      <c r="O168" s="156" t="n">
        <v>53</v>
      </c>
      <c r="P168" s="281">
        <f>IF(K168=0,0,K168/O168)</f>
        <v/>
      </c>
      <c r="Q168" s="156" t="n">
        <v>0</v>
      </c>
      <c r="R168" s="156" t="n">
        <v>0</v>
      </c>
      <c r="S168" s="156" t="n">
        <v>0</v>
      </c>
      <c r="T168" s="156" t="n">
        <v>0</v>
      </c>
      <c r="U168" s="156" t="n">
        <v>0</v>
      </c>
      <c r="V168" s="156" t="n">
        <v>5</v>
      </c>
      <c r="W168" s="156" t="n">
        <v>0</v>
      </c>
      <c r="X168" s="204">
        <f>INDEX(Matrix!$AA$2:$AA$33, MATCH(G168, Matrix!$AC$2:$AC$33, 0))</f>
        <v/>
      </c>
      <c r="Y168" s="156">
        <f>_xlfn.IFNA(MATCH(E167,'Injury Report'!$C$2:$C$6216,0),0)</f>
        <v/>
      </c>
    </row>
    <row r="169" ht="15.6" customHeight="1" s="152">
      <c r="A169" s="212" t="n">
        <v>167</v>
      </c>
      <c r="B169" s="167">
        <f>F169&amp;G169</f>
        <v/>
      </c>
      <c r="C169" s="156">
        <f>(K169/MAX(K:K)*$K$1)+(O169/MAX(O:O)*$O$1)+(M169/MAX(M:M)*$M$1)+(N169/MAX(N:N)*$N$1)+(V169/MAX(V:V)*$V$1)+(P169/MAX(P:P)*$P$1)</f>
        <v/>
      </c>
      <c r="E169" s="156">
        <f>IFERROR(VLOOKUP(F169,AllPlayers!F:F,1,0),"------------")</f>
        <v/>
      </c>
      <c r="F169" s="156" t="inlineStr">
        <is>
          <t>David Moore</t>
        </is>
      </c>
      <c r="G169" s="167" t="inlineStr">
        <is>
          <t>CAR</t>
        </is>
      </c>
      <c r="H169" s="156" t="inlineStr">
        <is>
          <t>WR</t>
        </is>
      </c>
      <c r="I169" s="156" t="n">
        <v>1</v>
      </c>
      <c r="J169" s="156" t="n">
        <v>0</v>
      </c>
      <c r="K169" s="156" t="n">
        <v>0</v>
      </c>
      <c r="L169" s="156">
        <f>IF(J169=0,0,K169/J169)</f>
        <v/>
      </c>
      <c r="M169" s="156">
        <f>K169/17</f>
        <v/>
      </c>
      <c r="N169" s="156" t="n">
        <v>0</v>
      </c>
      <c r="O169" s="156" t="n">
        <v>0</v>
      </c>
      <c r="P169" s="281">
        <f>IF(K169=0,0,K169/O169)</f>
        <v/>
      </c>
      <c r="Q169" s="156" t="n">
        <v>4</v>
      </c>
      <c r="R169" s="156" t="n">
        <v>0</v>
      </c>
      <c r="S169" s="156" t="n">
        <v>0</v>
      </c>
      <c r="T169" s="156" t="n">
        <v>0</v>
      </c>
      <c r="U169" s="156" t="n">
        <v>0</v>
      </c>
      <c r="V169" s="156" t="n">
        <v>0</v>
      </c>
      <c r="W169" s="156" t="n">
        <v>0</v>
      </c>
      <c r="X169" s="204">
        <f>INDEX(Matrix!$AA$2:$AA$33, MATCH(G169, Matrix!$AC$2:$AC$33, 0))</f>
        <v/>
      </c>
      <c r="Y169" s="156">
        <f>_xlfn.IFNA(MATCH(E168,'Injury Report'!$C$2:$C$6216,0),0)</f>
        <v/>
      </c>
    </row>
    <row r="170" ht="15.6" customHeight="1" s="152">
      <c r="A170" s="212" t="n">
        <v>168</v>
      </c>
      <c r="B170" s="167">
        <f>F170&amp;G170</f>
        <v/>
      </c>
      <c r="C170" s="156">
        <f>(K170/MAX(K:K)*$K$1)+(O170/MAX(O:O)*$O$1)+(M170/MAX(M:M)*$M$1)+(N170/MAX(N:N)*$N$1)+(V170/MAX(V:V)*$V$1)+(P170/MAX(P:P)*$P$1)</f>
        <v/>
      </c>
      <c r="E170" s="156">
        <f>IFERROR(VLOOKUP(F170,AllPlayers!F:F,1,0),"------------")</f>
        <v/>
      </c>
      <c r="F170" s="156" t="inlineStr">
        <is>
          <t>Xavier Weaver</t>
        </is>
      </c>
      <c r="G170" s="167" t="inlineStr">
        <is>
          <t>ARI</t>
        </is>
      </c>
      <c r="H170" s="156" t="inlineStr">
        <is>
          <t>WR</t>
        </is>
      </c>
      <c r="I170" s="156" t="n">
        <v>17</v>
      </c>
      <c r="J170" s="156" t="n">
        <v>5.2</v>
      </c>
      <c r="K170" s="156" t="n">
        <v>61.4</v>
      </c>
      <c r="L170" s="156">
        <f>IF(J170=0,0,K170/J170)</f>
        <v/>
      </c>
      <c r="M170" s="156">
        <f>K170/17</f>
        <v/>
      </c>
      <c r="N170" s="156" t="n">
        <v>0.5</v>
      </c>
      <c r="O170" s="156" t="n">
        <v>43</v>
      </c>
      <c r="P170" s="281">
        <f>IF(K170=0,0,K170/O170)</f>
        <v/>
      </c>
      <c r="Q170" s="156" t="n">
        <v>4</v>
      </c>
      <c r="R170" s="156" t="n">
        <v>1</v>
      </c>
      <c r="S170" s="156" t="n">
        <v>0</v>
      </c>
      <c r="T170" s="156" t="n">
        <v>0</v>
      </c>
      <c r="U170" s="156" t="n">
        <v>0</v>
      </c>
      <c r="V170" s="156" t="n">
        <v>2</v>
      </c>
      <c r="W170" s="156" t="n">
        <v>0</v>
      </c>
      <c r="X170" s="204">
        <f>INDEX(Matrix!$AA$2:$AA$33, MATCH(G170, Matrix!$AC$2:$AC$33, 0))</f>
        <v/>
      </c>
      <c r="Y170" s="156">
        <f>_xlfn.IFNA(MATCH(E169,'Injury Report'!$C$2:$C$6216,0),0)</f>
        <v/>
      </c>
    </row>
    <row r="171" ht="15.6" customHeight="1" s="152">
      <c r="A171" s="212" t="n">
        <v>169</v>
      </c>
      <c r="B171" s="167">
        <f>F171&amp;G171</f>
        <v/>
      </c>
      <c r="C171" s="156">
        <f>(K171/MAX(K:K)*$K$1)+(O171/MAX(O:O)*$O$1)+(M171/MAX(M:M)*$M$1)+(N171/MAX(N:N)*$N$1)+(V171/MAX(V:V)*$V$1)+(P171/MAX(P:P)*$P$1)</f>
        <v/>
      </c>
      <c r="E171" s="156">
        <f>IFERROR(VLOOKUP(F171,AllPlayers!F:F,1,0),"------------")</f>
        <v/>
      </c>
      <c r="F171" s="156" t="inlineStr">
        <is>
          <t>Malik Heath</t>
        </is>
      </c>
      <c r="G171" s="167" t="inlineStr">
        <is>
          <t>GB</t>
        </is>
      </c>
      <c r="H171" s="156" t="inlineStr">
        <is>
          <t>WR</t>
        </is>
      </c>
      <c r="I171" s="156" t="n">
        <v>1</v>
      </c>
      <c r="J171" s="156" t="n">
        <v>1</v>
      </c>
      <c r="K171" s="156" t="n">
        <v>37</v>
      </c>
      <c r="L171" s="156">
        <f>IF(J171=0,0,K171/J171)</f>
        <v/>
      </c>
      <c r="M171" s="156">
        <f>K171/17</f>
        <v/>
      </c>
      <c r="N171" s="156" t="n">
        <v>0</v>
      </c>
      <c r="O171" s="156" t="n">
        <v>1</v>
      </c>
      <c r="P171" s="281">
        <f>IF(K171=0,0,K171/O171)</f>
        <v/>
      </c>
      <c r="Q171" s="156" t="n">
        <v>4</v>
      </c>
      <c r="R171" s="156" t="n">
        <v>1</v>
      </c>
      <c r="S171" s="156" t="n">
        <v>0</v>
      </c>
      <c r="T171" s="156" t="n">
        <v>0</v>
      </c>
      <c r="U171" s="156" t="n">
        <v>0</v>
      </c>
      <c r="V171" s="156" t="n">
        <v>0</v>
      </c>
      <c r="W171" s="156" t="n">
        <v>0</v>
      </c>
      <c r="X171" s="204">
        <f>INDEX(Matrix!$AA$2:$AA$33, MATCH(G171, Matrix!$AC$2:$AC$33, 0))</f>
        <v/>
      </c>
      <c r="Y171" s="156">
        <f>_xlfn.IFNA(MATCH(E170,'Injury Report'!$C$2:$C$6216,0),0)</f>
        <v/>
      </c>
    </row>
    <row r="172" ht="15.6" customHeight="1" s="152">
      <c r="A172" s="212" t="n">
        <v>170</v>
      </c>
      <c r="B172" s="167">
        <f>F172&amp;G172</f>
        <v/>
      </c>
      <c r="C172" s="156">
        <f>(K172/MAX(K:K)*$K$1)+(O172/MAX(O:O)*$O$1)+(M172/MAX(M:M)*$M$1)+(N172/MAX(N:N)*$N$1)+(V172/MAX(V:V)*$V$1)+(P172/MAX(P:P)*$P$1)</f>
        <v/>
      </c>
      <c r="E172" s="156">
        <f>IFERROR(VLOOKUP(F172,AllPlayers!F:F,1,0),"------------")</f>
        <v/>
      </c>
      <c r="F172" s="156" t="inlineStr">
        <is>
          <t>Tommy Mellott</t>
        </is>
      </c>
      <c r="G172" s="167" t="inlineStr">
        <is>
          <t>LV</t>
        </is>
      </c>
      <c r="H172" s="156" t="inlineStr">
        <is>
          <t>WR</t>
        </is>
      </c>
      <c r="I172" s="156" t="n">
        <v>17</v>
      </c>
      <c r="J172" s="156" t="n">
        <v>3.7</v>
      </c>
      <c r="K172" s="156" t="n">
        <v>43.6</v>
      </c>
      <c r="L172" s="156">
        <f>IF(J172=0,0,K172/J172)</f>
        <v/>
      </c>
      <c r="M172" s="156">
        <f>K172/17</f>
        <v/>
      </c>
      <c r="N172" s="156" t="n">
        <v>0.2</v>
      </c>
      <c r="O172" s="156" t="n">
        <v>53</v>
      </c>
      <c r="P172" s="281">
        <f>IF(K172=0,0,K172/O172)</f>
        <v/>
      </c>
      <c r="Q172" s="156" t="n">
        <v>5</v>
      </c>
      <c r="R172" s="156" t="n">
        <v>0</v>
      </c>
      <c r="S172" s="156" t="n">
        <v>0</v>
      </c>
      <c r="T172" s="156" t="n">
        <v>0</v>
      </c>
      <c r="U172" s="156" t="n">
        <v>0</v>
      </c>
      <c r="V172" s="156" t="n">
        <v>0</v>
      </c>
      <c r="W172" s="156" t="n">
        <v>0</v>
      </c>
      <c r="X172" s="204">
        <f>INDEX(Matrix!$AA$2:$AA$33, MATCH(G172, Matrix!$AC$2:$AC$33, 0))</f>
        <v/>
      </c>
      <c r="Y172" s="156">
        <f>_xlfn.IFNA(MATCH(E171,'Injury Report'!$C$2:$C$6216,0),0)</f>
        <v/>
      </c>
    </row>
    <row r="173" ht="15.6" customHeight="1" s="152">
      <c r="A173" s="212" t="n">
        <v>171</v>
      </c>
      <c r="B173" s="167">
        <f>F173&amp;G173</f>
        <v/>
      </c>
      <c r="C173" s="156">
        <f>(K173/MAX(K:K)*$K$1)+(O173/MAX(O:O)*$O$1)+(M173/MAX(M:M)*$M$1)+(N173/MAX(N:N)*$N$1)+(V173/MAX(V:V)*$V$1)+(P173/MAX(P:P)*$P$1)</f>
        <v/>
      </c>
      <c r="E173" s="156">
        <f>IFERROR(VLOOKUP(F173,AllPlayers!F:F,1,0),"------------")</f>
        <v/>
      </c>
      <c r="F173" s="156" t="inlineStr">
        <is>
          <t>John Metchie</t>
        </is>
      </c>
      <c r="G173" s="167" t="inlineStr">
        <is>
          <t>PHI</t>
        </is>
      </c>
      <c r="H173" s="156" t="inlineStr">
        <is>
          <t>WR</t>
        </is>
      </c>
      <c r="I173" s="156" t="n">
        <v>2</v>
      </c>
      <c r="J173" s="156" t="n">
        <v>1</v>
      </c>
      <c r="K173" s="156" t="n">
        <v>0</v>
      </c>
      <c r="L173" s="156">
        <f>IF(J173=0,0,K173/J173)</f>
        <v/>
      </c>
      <c r="M173" s="156">
        <f>K173/17</f>
        <v/>
      </c>
      <c r="N173" s="156" t="n">
        <v>0</v>
      </c>
      <c r="O173" s="156" t="n">
        <v>1</v>
      </c>
      <c r="P173" s="281">
        <f>IF(K173=0,0,K173/O173)</f>
        <v/>
      </c>
      <c r="Q173" s="156" t="n">
        <v>1</v>
      </c>
      <c r="R173" s="156" t="n">
        <v>0</v>
      </c>
      <c r="S173" s="156" t="n">
        <v>0</v>
      </c>
      <c r="T173" s="156" t="n">
        <v>0</v>
      </c>
      <c r="U173" s="156" t="n">
        <v>0</v>
      </c>
      <c r="V173" s="156" t="n">
        <v>0</v>
      </c>
      <c r="W173" s="156" t="n">
        <v>0</v>
      </c>
      <c r="X173" s="204">
        <f>INDEX(Matrix!$AA$2:$AA$33, MATCH(G173, Matrix!$AC$2:$AC$33, 0))</f>
        <v/>
      </c>
      <c r="Y173" s="156">
        <f>_xlfn.IFNA(MATCH(E172,'Injury Report'!$C$2:$C$6216,0),0)</f>
        <v/>
      </c>
    </row>
    <row r="174" ht="15.6" customHeight="1" s="152">
      <c r="A174" s="212" t="n">
        <v>172</v>
      </c>
      <c r="B174" s="167">
        <f>F174&amp;G174</f>
        <v/>
      </c>
      <c r="C174" s="156">
        <f>(K174/MAX(K:K)*$K$1)+(O174/MAX(O:O)*$O$1)+(M174/MAX(M:M)*$M$1)+(N174/MAX(N:N)*$N$1)+(V174/MAX(V:V)*$V$1)+(P174/MAX(P:P)*$P$1)</f>
        <v/>
      </c>
      <c r="E174" s="156">
        <f>IFERROR(VLOOKUP(F174,AllPlayers!F:F,1,0),"------------")</f>
        <v/>
      </c>
      <c r="F174" s="156" t="inlineStr">
        <is>
          <t>Derius Davis</t>
        </is>
      </c>
      <c r="G174" s="167" t="inlineStr">
        <is>
          <t>LAC</t>
        </is>
      </c>
      <c r="H174" s="156" t="inlineStr">
        <is>
          <t>WR</t>
        </is>
      </c>
      <c r="I174" s="156" t="n">
        <v>2</v>
      </c>
      <c r="J174" s="156" t="n">
        <v>0</v>
      </c>
      <c r="K174" s="156" t="n">
        <v>0</v>
      </c>
      <c r="L174" s="156">
        <f>IF(J174=0,0,K174/J174)</f>
        <v/>
      </c>
      <c r="M174" s="156">
        <f>K174/17</f>
        <v/>
      </c>
      <c r="N174" s="156" t="n">
        <v>0</v>
      </c>
      <c r="O174" s="156" t="n">
        <v>0</v>
      </c>
      <c r="P174" s="281">
        <f>IF(K174=0,0,K174/O174)</f>
        <v/>
      </c>
      <c r="Q174" s="156" t="n">
        <v>3</v>
      </c>
      <c r="R174" s="156" t="n">
        <v>0</v>
      </c>
      <c r="S174" s="156" t="n">
        <v>0</v>
      </c>
      <c r="T174" s="156" t="n">
        <v>0</v>
      </c>
      <c r="U174" s="156" t="n">
        <v>0</v>
      </c>
      <c r="V174" s="156" t="n">
        <v>0</v>
      </c>
      <c r="W174" s="156" t="n">
        <v>0</v>
      </c>
      <c r="X174" s="204">
        <f>INDEX(Matrix!$AA$2:$AA$33, MATCH(G174, Matrix!$AC$2:$AC$33, 0))</f>
        <v/>
      </c>
      <c r="Y174" s="156">
        <f>_xlfn.IFNA(MATCH(E173,'Injury Report'!$C$2:$C$6216,0),0)</f>
        <v/>
      </c>
    </row>
    <row r="175" ht="15.6" customHeight="1" s="152">
      <c r="A175" s="212" t="n">
        <v>173</v>
      </c>
      <c r="B175" s="167">
        <f>F175&amp;G175</f>
        <v/>
      </c>
      <c r="C175" s="156">
        <f>(K175/MAX(K:K)*$K$1)+(O175/MAX(O:O)*$O$1)+(M175/MAX(M:M)*$M$1)+(N175/MAX(N:N)*$N$1)+(V175/MAX(V:V)*$V$1)+(P175/MAX(P:P)*$P$1)</f>
        <v/>
      </c>
      <c r="E175" s="156">
        <f>IFERROR(VLOOKUP(F175,AllPlayers!F:F,1,0),"------------")</f>
        <v/>
      </c>
      <c r="F175" s="156" t="inlineStr">
        <is>
          <t>Dante Pettis</t>
        </is>
      </c>
      <c r="G175" s="167" t="inlineStr">
        <is>
          <t>NO</t>
        </is>
      </c>
      <c r="H175" s="156" t="inlineStr">
        <is>
          <t>WR</t>
        </is>
      </c>
      <c r="I175" s="156" t="n">
        <v>17</v>
      </c>
      <c r="J175" s="156" t="n">
        <v>4</v>
      </c>
      <c r="K175" s="156" t="n">
        <v>46.4</v>
      </c>
      <c r="L175" s="156">
        <f>IF(J175=0,0,K175/J175)</f>
        <v/>
      </c>
      <c r="M175" s="156">
        <f>K175/17</f>
        <v/>
      </c>
      <c r="N175" s="156" t="n">
        <v>0.2</v>
      </c>
      <c r="O175" s="156" t="n">
        <v>38</v>
      </c>
      <c r="P175" s="281">
        <f>IF(K175=0,0,K175/O175)</f>
        <v/>
      </c>
      <c r="Q175" s="156" t="n">
        <v>3</v>
      </c>
      <c r="R175" s="156" t="n">
        <v>0</v>
      </c>
      <c r="S175" s="156" t="n">
        <v>0</v>
      </c>
      <c r="T175" s="156" t="n">
        <v>0</v>
      </c>
      <c r="U175" s="156" t="n">
        <v>0</v>
      </c>
      <c r="V175" s="156" t="n">
        <v>1</v>
      </c>
      <c r="W175" s="156" t="n">
        <v>0</v>
      </c>
      <c r="X175" s="204">
        <f>INDEX(Matrix!$AA$2:$AA$33, MATCH(G175, Matrix!$AC$2:$AC$33, 0))</f>
        <v/>
      </c>
      <c r="Y175" s="156">
        <f>_xlfn.IFNA(MATCH(E174,'Injury Report'!$C$2:$C$6216,0),0)</f>
        <v/>
      </c>
    </row>
    <row r="176" ht="15.6" customHeight="1" s="152">
      <c r="A176" s="212" t="n">
        <v>174</v>
      </c>
      <c r="B176" s="167">
        <f>F176&amp;G176</f>
        <v/>
      </c>
      <c r="C176" s="156">
        <f>(K176/MAX(K:K)*$K$1)+(O176/MAX(O:O)*$O$1)+(M176/MAX(M:M)*$M$1)+(N176/MAX(N:N)*$N$1)+(V176/MAX(V:V)*$V$1)+(P176/MAX(P:P)*$P$1)</f>
        <v/>
      </c>
      <c r="E176" s="156">
        <f>IFERROR(VLOOKUP(F176,AllPlayers!F:F,1,0),"------------")</f>
        <v/>
      </c>
      <c r="F176" s="156" t="inlineStr">
        <is>
          <t>Tyquan Thornton</t>
        </is>
      </c>
      <c r="G176" s="167" t="inlineStr">
        <is>
          <t>KC</t>
        </is>
      </c>
      <c r="H176" s="156" t="inlineStr">
        <is>
          <t>WR</t>
        </is>
      </c>
      <c r="I176" s="156" t="n">
        <v>2</v>
      </c>
      <c r="J176" s="156" t="n">
        <v>4</v>
      </c>
      <c r="K176" s="156" t="n">
        <v>100</v>
      </c>
      <c r="L176" s="156">
        <f>IF(J176=0,0,K176/J176)</f>
        <v/>
      </c>
      <c r="M176" s="156">
        <f>K176/17</f>
        <v/>
      </c>
      <c r="N176" s="156" t="n">
        <v>1</v>
      </c>
      <c r="O176" s="156" t="n">
        <v>9</v>
      </c>
      <c r="P176" s="281">
        <f>IF(K176=0,0,K176/O176)</f>
        <v/>
      </c>
      <c r="Q176" s="156" t="n">
        <v>5</v>
      </c>
      <c r="R176" s="156" t="n">
        <v>0</v>
      </c>
      <c r="S176" s="156" t="n">
        <v>0</v>
      </c>
      <c r="T176" s="156" t="n">
        <v>0</v>
      </c>
      <c r="U176" s="156" t="n">
        <v>0</v>
      </c>
      <c r="V176" s="156" t="n">
        <v>0</v>
      </c>
      <c r="W176" s="156" t="n">
        <v>0</v>
      </c>
      <c r="X176" s="204">
        <f>INDEX(Matrix!$AA$2:$AA$33, MATCH(G176, Matrix!$AC$2:$AC$33, 0))</f>
        <v/>
      </c>
      <c r="Y176" s="156">
        <f>_xlfn.IFNA(MATCH(E175,'Injury Report'!$C$2:$C$6216,0),0)</f>
        <v/>
      </c>
    </row>
    <row r="177" ht="15.6" customHeight="1" s="152">
      <c r="A177" s="212" t="n">
        <v>175</v>
      </c>
      <c r="B177" s="167">
        <f>F177&amp;G177</f>
        <v/>
      </c>
      <c r="C177" s="156">
        <f>(K177/MAX(K:K)*$K$1)+(O177/MAX(O:O)*$O$1)+(M177/MAX(M:M)*$M$1)+(N177/MAX(N:N)*$N$1)+(V177/MAX(V:V)*$V$1)+(P177/MAX(P:P)*$P$1)</f>
        <v/>
      </c>
      <c r="E177" s="156">
        <f>IFERROR(VLOOKUP(F177,AllPlayers!F:F,1,0),"------------")</f>
        <v/>
      </c>
      <c r="F177" s="156" t="inlineStr">
        <is>
          <t>Tez Johnson</t>
        </is>
      </c>
      <c r="G177" s="167" t="inlineStr">
        <is>
          <t>TB</t>
        </is>
      </c>
      <c r="H177" s="156" t="inlineStr">
        <is>
          <t>WR</t>
        </is>
      </c>
      <c r="I177" s="156" t="n">
        <v>1</v>
      </c>
      <c r="J177" s="156" t="n">
        <v>0</v>
      </c>
      <c r="K177" s="156" t="n">
        <v>0</v>
      </c>
      <c r="L177" s="156">
        <f>IF(J177=0,0,K177/J177)</f>
        <v/>
      </c>
      <c r="M177" s="156">
        <f>K177/17</f>
        <v/>
      </c>
      <c r="N177" s="156" t="n">
        <v>0</v>
      </c>
      <c r="O177" s="156" t="n">
        <v>1</v>
      </c>
      <c r="P177" s="281">
        <f>IF(K177=0,0,K177/O177)</f>
        <v/>
      </c>
      <c r="Q177" s="156" t="n">
        <v>3</v>
      </c>
      <c r="R177" s="156" t="n">
        <v>0</v>
      </c>
      <c r="S177" s="156" t="n">
        <v>0</v>
      </c>
      <c r="T177" s="156" t="n">
        <v>0</v>
      </c>
      <c r="U177" s="156" t="n">
        <v>0</v>
      </c>
      <c r="V177" s="156" t="n">
        <v>0</v>
      </c>
      <c r="W177" s="156" t="n">
        <v>0</v>
      </c>
      <c r="X177" s="204">
        <f>INDEX(Matrix!$AA$2:$AA$33, MATCH(G177, Matrix!$AC$2:$AC$33, 0))</f>
        <v/>
      </c>
      <c r="Y177" s="156">
        <f>_xlfn.IFNA(MATCH(E176,'Injury Report'!$C$2:$C$6216,0),0)</f>
        <v/>
      </c>
    </row>
    <row r="178" ht="15.6" customHeight="1" s="152">
      <c r="A178" s="212" t="n">
        <v>176</v>
      </c>
      <c r="B178" s="167">
        <f>F178&amp;G178</f>
        <v/>
      </c>
      <c r="C178" s="156">
        <f>(K178/MAX(K:K)*$K$1)+(O178/MAX(O:O)*$O$1)+(M178/MAX(M:M)*$M$1)+(N178/MAX(N:N)*$N$1)+(V178/MAX(V:V)*$V$1)+(P178/MAX(P:P)*$P$1)</f>
        <v/>
      </c>
      <c r="E178" s="156">
        <f>IFERROR(VLOOKUP(F178,AllPlayers!F:F,1,0),"------------")</f>
        <v/>
      </c>
      <c r="F178" s="156" t="inlineStr">
        <is>
          <t>Kendric Pryor</t>
        </is>
      </c>
      <c r="G178" s="167" t="inlineStr">
        <is>
          <t>CIN</t>
        </is>
      </c>
      <c r="H178" s="156" t="inlineStr">
        <is>
          <t>WR</t>
        </is>
      </c>
      <c r="I178" s="156" t="n">
        <v>17</v>
      </c>
      <c r="J178" s="156" t="n">
        <v>3.9</v>
      </c>
      <c r="K178" s="156" t="n">
        <v>42.8</v>
      </c>
      <c r="L178" s="156">
        <f>IF(J178=0,0,K178/J178)</f>
        <v/>
      </c>
      <c r="M178" s="156">
        <f>K178/17</f>
        <v/>
      </c>
      <c r="N178" s="156" t="n">
        <v>0.3</v>
      </c>
      <c r="O178" s="156" t="n">
        <v>52</v>
      </c>
      <c r="P178" s="281">
        <f>IF(K178=0,0,K178/O178)</f>
        <v/>
      </c>
      <c r="Q178" s="156" t="n">
        <v>2</v>
      </c>
      <c r="R178" s="156" t="n">
        <v>0</v>
      </c>
      <c r="S178" s="156" t="n">
        <v>0</v>
      </c>
      <c r="T178" s="156" t="n">
        <v>0</v>
      </c>
      <c r="U178" s="156" t="n">
        <v>0</v>
      </c>
      <c r="V178" s="156" t="n">
        <v>1</v>
      </c>
      <c r="W178" s="156" t="n">
        <v>0</v>
      </c>
      <c r="X178" s="204">
        <f>INDEX(Matrix!$AA$2:$AA$33, MATCH(G178, Matrix!$AC$2:$AC$33, 0))</f>
        <v/>
      </c>
      <c r="Y178" s="156">
        <f>_xlfn.IFNA(MATCH(E177,'Injury Report'!$C$2:$C$6216,0),0)</f>
        <v/>
      </c>
    </row>
    <row r="179" ht="15.6" customHeight="1" s="152">
      <c r="A179" s="212" t="n">
        <v>177</v>
      </c>
      <c r="B179" s="167">
        <f>F179&amp;G179</f>
        <v/>
      </c>
      <c r="C179" s="156">
        <f>(K179/MAX(K:K)*$K$1)+(O179/MAX(O:O)*$O$1)+(M179/MAX(M:M)*$M$1)+(N179/MAX(N:N)*$N$1)+(V179/MAX(V:V)*$V$1)+(P179/MAX(P:P)*$P$1)</f>
        <v/>
      </c>
      <c r="E179" s="156">
        <f>IFERROR(VLOOKUP(F179,AllPlayers!F:F,1,0),"------------")</f>
        <v/>
      </c>
      <c r="F179" s="156" t="inlineStr">
        <is>
          <t>Trishton Jackson</t>
        </is>
      </c>
      <c r="G179" s="167" t="inlineStr">
        <is>
          <t>ARI</t>
        </is>
      </c>
      <c r="H179" s="156" t="inlineStr">
        <is>
          <t>WR</t>
        </is>
      </c>
      <c r="I179" s="156" t="n">
        <v>17</v>
      </c>
      <c r="J179" s="156" t="n">
        <v>3.4</v>
      </c>
      <c r="K179" s="156" t="n">
        <v>40.7</v>
      </c>
      <c r="L179" s="156">
        <f>IF(J179=0,0,K179/J179)</f>
        <v/>
      </c>
      <c r="M179" s="156">
        <f>K179/17</f>
        <v/>
      </c>
      <c r="N179" s="156" t="n">
        <v>0.3</v>
      </c>
      <c r="O179" s="156" t="n">
        <v>46</v>
      </c>
      <c r="P179" s="281">
        <f>IF(K179=0,0,K179/O179)</f>
        <v/>
      </c>
      <c r="Q179" s="156" t="n">
        <v>2</v>
      </c>
      <c r="R179" s="156" t="n">
        <v>0</v>
      </c>
      <c r="S179" s="156" t="n">
        <v>0</v>
      </c>
      <c r="T179" s="156" t="n">
        <v>0</v>
      </c>
      <c r="U179" s="156" t="n">
        <v>0</v>
      </c>
      <c r="V179" s="156" t="n">
        <v>0</v>
      </c>
      <c r="W179" s="156" t="n">
        <v>0</v>
      </c>
      <c r="X179" s="204">
        <f>INDEX(Matrix!$AA$2:$AA$33, MATCH(G179, Matrix!$AC$2:$AC$33, 0))</f>
        <v/>
      </c>
      <c r="Y179" s="156">
        <f>_xlfn.IFNA(MATCH(E178,'Injury Report'!$C$2:$C$6216,0),0)</f>
        <v/>
      </c>
    </row>
    <row r="180" ht="15.6" customHeight="1" s="152">
      <c r="A180" s="212" t="n">
        <v>178</v>
      </c>
      <c r="B180" s="167">
        <f>F180&amp;G180</f>
        <v/>
      </c>
      <c r="C180" s="156">
        <f>(K180/MAX(K:K)*$K$1)+(O180/MAX(O:O)*$O$1)+(M180/MAX(M:M)*$M$1)+(N180/MAX(N:N)*$N$1)+(V180/MAX(V:V)*$V$1)+(P180/MAX(P:P)*$P$1)</f>
        <v/>
      </c>
      <c r="E180" s="156">
        <f>IFERROR(VLOOKUP(F180,AllPlayers!F:F,1,0),"------------")</f>
        <v/>
      </c>
      <c r="F180" s="156" t="inlineStr">
        <is>
          <t>David Bell</t>
        </is>
      </c>
      <c r="G180" s="167" t="inlineStr">
        <is>
          <t>CLE</t>
        </is>
      </c>
      <c r="H180" s="156" t="inlineStr">
        <is>
          <t>WR</t>
        </is>
      </c>
      <c r="I180" s="156" t="n">
        <v>17</v>
      </c>
      <c r="J180" s="156" t="n">
        <v>6</v>
      </c>
      <c r="K180" s="156" t="n">
        <v>60</v>
      </c>
      <c r="L180" s="156">
        <f>IF(J180=0,0,K180/J180)</f>
        <v/>
      </c>
      <c r="M180" s="156">
        <f>K180/17</f>
        <v/>
      </c>
      <c r="N180" s="156" t="n">
        <v>0</v>
      </c>
      <c r="O180" s="156" t="n">
        <v>53</v>
      </c>
      <c r="P180" s="281">
        <f>IF(K180=0,0,K180/O180)</f>
        <v/>
      </c>
      <c r="Q180" s="156" t="n">
        <v>2</v>
      </c>
      <c r="R180" s="156" t="n">
        <v>0</v>
      </c>
      <c r="S180" s="156" t="n">
        <v>0</v>
      </c>
      <c r="T180" s="156" t="n">
        <v>0</v>
      </c>
      <c r="U180" s="156" t="n">
        <v>0</v>
      </c>
      <c r="V180" s="156" t="n">
        <v>0</v>
      </c>
      <c r="W180" s="156" t="n">
        <v>0</v>
      </c>
      <c r="X180" s="204">
        <f>INDEX(Matrix!$AA$2:$AA$33, MATCH(G180, Matrix!$AC$2:$AC$33, 0))</f>
        <v/>
      </c>
      <c r="Y180" s="156">
        <f>_xlfn.IFNA(MATCH(E179,'Injury Report'!$C$2:$C$6216,0),0)</f>
        <v/>
      </c>
    </row>
    <row r="181" ht="15.6" customHeight="1" s="152">
      <c r="A181" s="212" t="n">
        <v>179</v>
      </c>
      <c r="B181" s="167">
        <f>F181&amp;G181</f>
        <v/>
      </c>
      <c r="C181" s="156">
        <f>(K181/MAX(K:K)*$K$1)+(O181/MAX(O:O)*$O$1)+(M181/MAX(M:M)*$M$1)+(N181/MAX(N:N)*$N$1)+(V181/MAX(V:V)*$V$1)+(P181/MAX(P:P)*$P$1)</f>
        <v/>
      </c>
      <c r="E181" s="156">
        <f>IFERROR(VLOOKUP(F181,AllPlayers!F:F,1,0),"------------")</f>
        <v/>
      </c>
      <c r="F181" s="156" t="inlineStr">
        <is>
          <t>Jordan Watkins</t>
        </is>
      </c>
      <c r="G181" s="167" t="inlineStr">
        <is>
          <t>SF</t>
        </is>
      </c>
      <c r="H181" s="156" t="inlineStr">
        <is>
          <t>WR</t>
        </is>
      </c>
      <c r="I181" s="156" t="n">
        <v>17</v>
      </c>
      <c r="J181" s="156" t="n">
        <v>2.6</v>
      </c>
      <c r="K181" s="156" t="n">
        <v>32.7</v>
      </c>
      <c r="L181" s="156">
        <f>IF(J181=0,0,K181/J181)</f>
        <v/>
      </c>
      <c r="M181" s="156">
        <f>K181/17</f>
        <v/>
      </c>
      <c r="N181" s="156" t="n">
        <v>0.1</v>
      </c>
      <c r="O181" s="156" t="n">
        <v>49</v>
      </c>
      <c r="P181" s="281">
        <f>IF(K181=0,0,K181/O181)</f>
        <v/>
      </c>
      <c r="Q181" s="156" t="n">
        <v>1</v>
      </c>
      <c r="R181" s="156" t="n">
        <v>0</v>
      </c>
      <c r="S181" s="156" t="n">
        <v>0</v>
      </c>
      <c r="T181" s="156" t="n">
        <v>0</v>
      </c>
      <c r="U181" s="156" t="n">
        <v>0</v>
      </c>
      <c r="V181" s="156" t="n">
        <v>3</v>
      </c>
      <c r="W181" s="156" t="n">
        <v>0</v>
      </c>
      <c r="X181" s="204">
        <f>INDEX(Matrix!$AA$2:$AA$33, MATCH(G181, Matrix!$AC$2:$AC$33, 0))</f>
        <v/>
      </c>
      <c r="Y181" s="156">
        <f>_xlfn.IFNA(MATCH(E180,'Injury Report'!$C$2:$C$6216,0),0)</f>
        <v/>
      </c>
    </row>
    <row r="182" ht="15.6" customHeight="1" s="152">
      <c r="A182" s="212" t="n">
        <v>180</v>
      </c>
      <c r="B182" s="167">
        <f>F182&amp;G182</f>
        <v/>
      </c>
      <c r="C182" s="156">
        <f>(K182/MAX(K:K)*$K$1)+(O182/MAX(O:O)*$O$1)+(M182/MAX(M:M)*$M$1)+(N182/MAX(N:N)*$N$1)+(V182/MAX(V:V)*$V$1)+(P182/MAX(P:P)*$P$1)</f>
        <v/>
      </c>
      <c r="E182" s="156">
        <f>IFERROR(VLOOKUP(F182,AllPlayers!F:F,1,0),"------------")</f>
        <v/>
      </c>
      <c r="F182" s="156" t="inlineStr">
        <is>
          <t>Jonathan Mingo</t>
        </is>
      </c>
      <c r="G182" s="167" t="inlineStr">
        <is>
          <t>DAL</t>
        </is>
      </c>
      <c r="H182" s="156" t="inlineStr">
        <is>
          <t>WR</t>
        </is>
      </c>
      <c r="I182" s="156" t="n">
        <v>17</v>
      </c>
      <c r="J182" s="156" t="n">
        <v>3.9</v>
      </c>
      <c r="K182" s="156" t="n">
        <v>48.6</v>
      </c>
      <c r="L182" s="156">
        <f>IF(J182=0,0,K182/J182)</f>
        <v/>
      </c>
      <c r="M182" s="156">
        <f>K182/17</f>
        <v/>
      </c>
      <c r="N182" s="156" t="n">
        <v>0.2</v>
      </c>
      <c r="O182" s="156" t="n">
        <v>37</v>
      </c>
      <c r="P182" s="281">
        <f>IF(K182=0,0,K182/O182)</f>
        <v/>
      </c>
      <c r="Q182" s="156" t="n">
        <v>3</v>
      </c>
      <c r="R182" s="156" t="n">
        <v>0</v>
      </c>
      <c r="S182" s="156" t="n">
        <v>0</v>
      </c>
      <c r="T182" s="156" t="n">
        <v>0</v>
      </c>
      <c r="U182" s="156" t="n">
        <v>0</v>
      </c>
      <c r="V182" s="156" t="n">
        <v>0</v>
      </c>
      <c r="W182" s="156" t="n">
        <v>0</v>
      </c>
      <c r="X182" s="204">
        <f>INDEX(Matrix!$AA$2:$AA$33, MATCH(G182, Matrix!$AC$2:$AC$33, 0))</f>
        <v/>
      </c>
      <c r="Y182" s="156">
        <f>_xlfn.IFNA(MATCH(E181,'Injury Report'!$C$2:$C$6216,0),0)</f>
        <v/>
      </c>
    </row>
    <row r="183" ht="15.6" customHeight="1" s="152">
      <c r="A183" s="212" t="n">
        <v>181</v>
      </c>
      <c r="B183" s="167">
        <f>F183&amp;G183</f>
        <v/>
      </c>
      <c r="C183" s="156">
        <f>(K183/MAX(K:K)*$K$1)+(O183/MAX(O:O)*$O$1)+(M183/MAX(M:M)*$M$1)+(N183/MAX(N:N)*$N$1)+(V183/MAX(V:V)*$V$1)+(P183/MAX(P:P)*$P$1)</f>
        <v/>
      </c>
      <c r="E183" s="156">
        <f>IFERROR(VLOOKUP(F183,AllPlayers!F:F,1,0),"------------")</f>
        <v/>
      </c>
      <c r="F183" s="156" t="inlineStr">
        <is>
          <t>Justin Watson</t>
        </is>
      </c>
      <c r="G183" s="167" t="inlineStr">
        <is>
          <t>HOU</t>
        </is>
      </c>
      <c r="H183" s="156" t="inlineStr">
        <is>
          <t>WR</t>
        </is>
      </c>
      <c r="I183" s="156" t="n">
        <v>2</v>
      </c>
      <c r="J183" s="156" t="n">
        <v>3</v>
      </c>
      <c r="K183" s="156" t="n">
        <v>30</v>
      </c>
      <c r="L183" s="156">
        <f>IF(J183=0,0,K183/J183)</f>
        <v/>
      </c>
      <c r="M183" s="156">
        <f>K183/17</f>
        <v/>
      </c>
      <c r="N183" s="156" t="n">
        <v>0</v>
      </c>
      <c r="O183" s="156" t="n">
        <v>4</v>
      </c>
      <c r="P183" s="281">
        <f>IF(K183=0,0,K183/O183)</f>
        <v/>
      </c>
      <c r="Q183" s="156" t="n">
        <v>1</v>
      </c>
      <c r="R183" s="156" t="n">
        <v>0</v>
      </c>
      <c r="S183" s="156" t="n">
        <v>0</v>
      </c>
      <c r="T183" s="156" t="n">
        <v>0</v>
      </c>
      <c r="U183" s="156" t="n">
        <v>0</v>
      </c>
      <c r="V183" s="156" t="n">
        <v>0</v>
      </c>
      <c r="W183" s="156" t="n">
        <v>0</v>
      </c>
      <c r="X183" s="204">
        <f>INDEX(Matrix!$AA$2:$AA$33, MATCH(G183, Matrix!$AC$2:$AC$33, 0))</f>
        <v/>
      </c>
      <c r="Y183" s="156">
        <f>_xlfn.IFNA(MATCH(E182,'Injury Report'!$C$2:$C$6216,0),0)</f>
        <v/>
      </c>
    </row>
    <row r="184" ht="15.6" customHeight="1" s="152">
      <c r="A184" s="212" t="n">
        <v>182</v>
      </c>
      <c r="B184" s="167">
        <f>F184&amp;G184</f>
        <v/>
      </c>
      <c r="C184" s="156">
        <f>(K184/MAX(K:K)*$K$1)+(O184/MAX(O:O)*$O$1)+(M184/MAX(M:M)*$M$1)+(N184/MAX(N:N)*$N$1)+(V184/MAX(V:V)*$V$1)+(P184/MAX(P:P)*$P$1)</f>
        <v/>
      </c>
      <c r="E184" s="156">
        <f>IFERROR(VLOOKUP(F184,AllPlayers!F:F,1,0),"------------")</f>
        <v/>
      </c>
      <c r="F184" s="156" t="inlineStr">
        <is>
          <t>Charlie Jones</t>
        </is>
      </c>
      <c r="G184" s="167" t="inlineStr">
        <is>
          <t>CIN</t>
        </is>
      </c>
      <c r="H184" s="156" t="inlineStr">
        <is>
          <t>WR</t>
        </is>
      </c>
      <c r="I184" s="156" t="n">
        <v>2</v>
      </c>
      <c r="J184" s="156" t="n">
        <v>0</v>
      </c>
      <c r="K184" s="156" t="n">
        <v>0</v>
      </c>
      <c r="L184" s="156">
        <f>IF(J184=0,0,K184/J184)</f>
        <v/>
      </c>
      <c r="M184" s="156">
        <f>K184/17</f>
        <v/>
      </c>
      <c r="N184" s="156" t="n">
        <v>0</v>
      </c>
      <c r="O184" s="156" t="n">
        <v>0</v>
      </c>
      <c r="P184" s="281">
        <f>IF(K184=0,0,K184/O184)</f>
        <v/>
      </c>
      <c r="Q184" s="156" t="n">
        <v>3</v>
      </c>
      <c r="R184" s="156" t="n">
        <v>0</v>
      </c>
      <c r="S184" s="156" t="n">
        <v>0</v>
      </c>
      <c r="T184" s="156" t="n">
        <v>0</v>
      </c>
      <c r="U184" s="156" t="n">
        <v>0</v>
      </c>
      <c r="V184" s="156" t="n">
        <v>0</v>
      </c>
      <c r="W184" s="156" t="n">
        <v>0</v>
      </c>
      <c r="X184" s="204">
        <f>INDEX(Matrix!$AA$2:$AA$33, MATCH(G184, Matrix!$AC$2:$AC$33, 0))</f>
        <v/>
      </c>
      <c r="Y184" s="156">
        <f>_xlfn.IFNA(MATCH(E183,'Injury Report'!$C$2:$C$6216,0),0)</f>
        <v/>
      </c>
    </row>
    <row r="185" ht="15.6" customHeight="1" s="152">
      <c r="A185" s="212" t="n">
        <v>183</v>
      </c>
      <c r="B185" s="167">
        <f>F185&amp;G185</f>
        <v/>
      </c>
      <c r="C185" s="156">
        <f>(K185/MAX(K:K)*$K$1)+(O185/MAX(O:O)*$O$1)+(M185/MAX(M:M)*$M$1)+(N185/MAX(N:N)*$N$1)+(V185/MAX(V:V)*$V$1)+(P185/MAX(P:P)*$P$1)</f>
        <v/>
      </c>
      <c r="E185" s="156">
        <f>IFERROR(VLOOKUP(F185,AllPlayers!F:F,1,0),"------------")</f>
        <v/>
      </c>
      <c r="F185" s="156" t="inlineStr">
        <is>
          <t>Jalen Brooks</t>
        </is>
      </c>
      <c r="G185" s="167" t="inlineStr">
        <is>
          <t>DAL</t>
        </is>
      </c>
      <c r="H185" s="156" t="inlineStr">
        <is>
          <t>WR</t>
        </is>
      </c>
      <c r="I185" s="156" t="n">
        <v>17</v>
      </c>
      <c r="J185" s="156" t="n">
        <v>3.4</v>
      </c>
      <c r="K185" s="156" t="n">
        <v>39.4</v>
      </c>
      <c r="L185" s="156">
        <f>IF(J185=0,0,K185/J185)</f>
        <v/>
      </c>
      <c r="M185" s="156">
        <f>K185/17</f>
        <v/>
      </c>
      <c r="N185" s="156" t="n">
        <v>0.2</v>
      </c>
      <c r="O185" s="156" t="n">
        <v>42</v>
      </c>
      <c r="P185" s="281">
        <f>IF(K185=0,0,K185/O185)</f>
        <v/>
      </c>
      <c r="Q185" s="156" t="n">
        <v>6</v>
      </c>
      <c r="R185" s="156" t="n">
        <v>0</v>
      </c>
      <c r="S185" s="156" t="n">
        <v>0</v>
      </c>
      <c r="T185" s="156" t="n">
        <v>0</v>
      </c>
      <c r="U185" s="156" t="n">
        <v>0</v>
      </c>
      <c r="V185" s="156" t="n">
        <v>1</v>
      </c>
      <c r="W185" s="156" t="n">
        <v>0</v>
      </c>
      <c r="X185" s="204">
        <f>INDEX(Matrix!$AA$2:$AA$33, MATCH(G185, Matrix!$AC$2:$AC$33, 0))</f>
        <v/>
      </c>
      <c r="Y185" s="156">
        <f>_xlfn.IFNA(MATCH(E184,'Injury Report'!$C$2:$C$6216,0),0)</f>
        <v/>
      </c>
    </row>
    <row r="186" ht="15.6" customHeight="1" s="152">
      <c r="A186" s="212" t="n">
        <v>184</v>
      </c>
      <c r="B186" s="167">
        <f>F186&amp;G186</f>
        <v/>
      </c>
      <c r="C186" s="156">
        <f>(K186/MAX(K:K)*$K$1)+(O186/MAX(O:O)*$O$1)+(M186/MAX(M:M)*$M$1)+(N186/MAX(N:N)*$N$1)+(V186/MAX(V:V)*$V$1)+(P186/MAX(P:P)*$P$1)</f>
        <v/>
      </c>
      <c r="E186" s="156">
        <f>IFERROR(VLOOKUP(F186,AllPlayers!F:F,1,0),"------------")</f>
        <v/>
      </c>
      <c r="F186" s="156" t="inlineStr">
        <is>
          <t>Mecole Hardman</t>
        </is>
      </c>
      <c r="G186" s="167" t="inlineStr">
        <is>
          <t>GB</t>
        </is>
      </c>
      <c r="H186" s="156" t="inlineStr">
        <is>
          <t>WR</t>
        </is>
      </c>
      <c r="I186" s="156" t="n">
        <v>17</v>
      </c>
      <c r="J186" s="156" t="n">
        <v>4.5</v>
      </c>
      <c r="K186" s="156" t="n">
        <v>50.3</v>
      </c>
      <c r="L186" s="156">
        <f>IF(J186=0,0,K186/J186)</f>
        <v/>
      </c>
      <c r="M186" s="156">
        <f>K186/17</f>
        <v/>
      </c>
      <c r="N186" s="156" t="n">
        <v>0.3</v>
      </c>
      <c r="O186" s="156" t="n">
        <v>57</v>
      </c>
      <c r="P186" s="281">
        <f>IF(K186=0,0,K186/O186)</f>
        <v/>
      </c>
      <c r="Q186" s="156" t="n">
        <v>2</v>
      </c>
      <c r="R186" s="156" t="n">
        <v>0</v>
      </c>
      <c r="S186" s="156" t="n">
        <v>0</v>
      </c>
      <c r="T186" s="156" t="n">
        <v>0</v>
      </c>
      <c r="U186" s="156" t="n">
        <v>0</v>
      </c>
      <c r="V186" s="156" t="n">
        <v>1</v>
      </c>
      <c r="W186" s="156" t="n">
        <v>1</v>
      </c>
      <c r="X186" s="204">
        <f>INDEX(Matrix!$AA$2:$AA$33, MATCH(G186, Matrix!$AC$2:$AC$33, 0))</f>
        <v/>
      </c>
      <c r="Y186" s="156">
        <f>_xlfn.IFNA(MATCH(E185,'Injury Report'!$C$2:$C$6216,0),0)</f>
        <v/>
      </c>
    </row>
    <row r="187" ht="15.6" customHeight="1" s="152">
      <c r="A187" s="212" t="n">
        <v>185</v>
      </c>
      <c r="B187" s="167">
        <f>F187&amp;G187</f>
        <v/>
      </c>
      <c r="C187" s="156">
        <f>(K187/MAX(K:K)*$K$1)+(O187/MAX(O:O)*$O$1)+(M187/MAX(M:M)*$M$1)+(N187/MAX(N:N)*$N$1)+(V187/MAX(V:V)*$V$1)+(P187/MAX(P:P)*$P$1)</f>
        <v/>
      </c>
      <c r="E187" s="156">
        <f>IFERROR(VLOOKUP(F187,AllPlayers!F:F,1,0),"------------")</f>
        <v/>
      </c>
      <c r="F187" s="156" t="inlineStr">
        <is>
          <t>Bryce Oliver</t>
        </is>
      </c>
      <c r="G187" s="167" t="inlineStr">
        <is>
          <t>TEN</t>
        </is>
      </c>
      <c r="H187" s="156" t="inlineStr">
        <is>
          <t>WR</t>
        </is>
      </c>
      <c r="I187" s="156" t="n">
        <v>2</v>
      </c>
      <c r="J187" s="156" t="n">
        <v>1</v>
      </c>
      <c r="K187" s="156" t="n">
        <v>8</v>
      </c>
      <c r="L187" s="156">
        <f>IF(J187=0,0,K187/J187)</f>
        <v/>
      </c>
      <c r="M187" s="156">
        <f>K187/17</f>
        <v/>
      </c>
      <c r="N187" s="156" t="n">
        <v>0</v>
      </c>
      <c r="O187" s="156" t="n">
        <v>1</v>
      </c>
      <c r="P187" s="281">
        <f>IF(K187=0,0,K187/O187)</f>
        <v/>
      </c>
      <c r="Q187" s="156" t="n">
        <v>2</v>
      </c>
      <c r="R187" s="156" t="n">
        <v>0</v>
      </c>
      <c r="S187" s="156" t="n">
        <v>0</v>
      </c>
      <c r="T187" s="156" t="n">
        <v>0</v>
      </c>
      <c r="U187" s="156" t="n">
        <v>0</v>
      </c>
      <c r="V187" s="156" t="n">
        <v>0</v>
      </c>
      <c r="W187" s="156" t="n">
        <v>0</v>
      </c>
      <c r="X187" s="204">
        <f>INDEX(Matrix!$AA$2:$AA$33, MATCH(G187, Matrix!$AC$2:$AC$33, 0))</f>
        <v/>
      </c>
      <c r="Y187" s="156">
        <f>_xlfn.IFNA(MATCH(E186,'Injury Report'!$C$2:$C$6216,0),0)</f>
        <v/>
      </c>
    </row>
    <row r="188" ht="15.6" customHeight="1" s="152">
      <c r="A188" s="212" t="n">
        <v>186</v>
      </c>
      <c r="B188" s="167">
        <f>F188&amp;G188</f>
        <v/>
      </c>
      <c r="C188" s="156">
        <f>(K188/MAX(K:K)*$K$1)+(O188/MAX(O:O)*$O$1)+(M188/MAX(M:M)*$M$1)+(N188/MAX(N:N)*$N$1)+(V188/MAX(V:V)*$V$1)+(P188/MAX(P:P)*$P$1)</f>
        <v/>
      </c>
      <c r="E188" s="156">
        <f>IFERROR(VLOOKUP(F188,AllPlayers!F:F,1,0),"------------")</f>
        <v/>
      </c>
      <c r="F188" s="156" t="inlineStr">
        <is>
          <t>Dareke Young</t>
        </is>
      </c>
      <c r="G188" s="167" t="inlineStr">
        <is>
          <t>SEA</t>
        </is>
      </c>
      <c r="H188" s="156" t="inlineStr">
        <is>
          <t>WR</t>
        </is>
      </c>
      <c r="I188" s="156" t="n">
        <v>1</v>
      </c>
      <c r="J188" s="156" t="n">
        <v>0</v>
      </c>
      <c r="K188" s="156" t="n">
        <v>0</v>
      </c>
      <c r="L188" s="156">
        <f>IF(J188=0,0,K188/J188)</f>
        <v/>
      </c>
      <c r="M188" s="156">
        <f>K188/17</f>
        <v/>
      </c>
      <c r="N188" s="156" t="n">
        <v>0</v>
      </c>
      <c r="O188" s="156" t="n">
        <v>0</v>
      </c>
      <c r="P188" s="281">
        <f>IF(K188=0,0,K188/O188)</f>
        <v/>
      </c>
      <c r="Q188" s="156" t="n">
        <v>5</v>
      </c>
      <c r="R188" s="156" t="n">
        <v>1</v>
      </c>
      <c r="S188" s="156" t="n">
        <v>0</v>
      </c>
      <c r="T188" s="156" t="n">
        <v>0</v>
      </c>
      <c r="U188" s="156" t="n">
        <v>0</v>
      </c>
      <c r="V188" s="156" t="n">
        <v>0</v>
      </c>
      <c r="W188" s="156" t="n">
        <v>0</v>
      </c>
      <c r="X188" s="204">
        <f>INDEX(Matrix!$AA$2:$AA$33, MATCH(G188, Matrix!$AC$2:$AC$33, 0))</f>
        <v/>
      </c>
      <c r="Y188" s="156">
        <f>_xlfn.IFNA(MATCH(E187,'Injury Report'!$C$2:$C$6216,0),0)</f>
        <v/>
      </c>
    </row>
    <row r="189" ht="15.6" customHeight="1" s="152">
      <c r="A189" s="212" t="n">
        <v>187</v>
      </c>
      <c r="B189" s="167">
        <f>F189&amp;G189</f>
        <v/>
      </c>
      <c r="C189" s="156">
        <f>(K189/MAX(K:K)*$K$1)+(O189/MAX(O:O)*$O$1)+(M189/MAX(M:M)*$M$1)+(N189/MAX(N:N)*$N$1)+(V189/MAX(V:V)*$V$1)+(P189/MAX(P:P)*$P$1)</f>
        <v/>
      </c>
      <c r="E189" s="156">
        <f>IFERROR(VLOOKUP(F189,AllPlayers!F:F,1,0),"------------")</f>
        <v/>
      </c>
      <c r="F189" s="156" t="inlineStr">
        <is>
          <t>Cody White</t>
        </is>
      </c>
      <c r="G189" s="167" t="inlineStr">
        <is>
          <t>SEA</t>
        </is>
      </c>
      <c r="H189" s="156" t="inlineStr">
        <is>
          <t>WR</t>
        </is>
      </c>
      <c r="I189" s="156" t="n">
        <v>1</v>
      </c>
      <c r="J189" s="156" t="n">
        <v>0</v>
      </c>
      <c r="K189" s="156" t="n">
        <v>0</v>
      </c>
      <c r="L189" s="156">
        <f>IF(J189=0,0,K189/J189)</f>
        <v/>
      </c>
      <c r="M189" s="156">
        <f>K189/17</f>
        <v/>
      </c>
      <c r="N189" s="156" t="n">
        <v>0</v>
      </c>
      <c r="O189" s="156" t="n">
        <v>0</v>
      </c>
      <c r="P189" s="281">
        <f>IF(K189=0,0,K189/O189)</f>
        <v/>
      </c>
      <c r="Q189" s="156" t="n">
        <v>3</v>
      </c>
      <c r="R189" s="156" t="n">
        <v>1</v>
      </c>
      <c r="S189" s="156" t="n">
        <v>1</v>
      </c>
      <c r="T189" s="156" t="n">
        <v>0</v>
      </c>
      <c r="U189" s="156" t="n">
        <v>0</v>
      </c>
      <c r="V189" s="156" t="n">
        <v>0</v>
      </c>
      <c r="W189" s="156" t="n">
        <v>0</v>
      </c>
      <c r="X189" s="204">
        <f>INDEX(Matrix!$AA$2:$AA$33, MATCH(G189, Matrix!$AC$2:$AC$33, 0))</f>
        <v/>
      </c>
      <c r="Y189" s="156">
        <f>_xlfn.IFNA(MATCH(E188,'Injury Report'!$C$2:$C$6216,0),0)</f>
        <v/>
      </c>
    </row>
    <row r="190" ht="15.6" customHeight="1" s="152">
      <c r="A190" s="212" t="n">
        <v>188</v>
      </c>
      <c r="B190" s="167">
        <f>F190&amp;G190</f>
        <v/>
      </c>
      <c r="C190" s="156">
        <f>(K190/MAX(K:K)*$K$1)+(O190/MAX(O:O)*$O$1)+(M190/MAX(M:M)*$M$1)+(N190/MAX(N:N)*$N$1)+(V190/MAX(V:V)*$V$1)+(P190/MAX(P:P)*$P$1)</f>
        <v/>
      </c>
      <c r="E190" s="156">
        <f>IFERROR(VLOOKUP(F190,AllPlayers!F:F,1,0),"------------")</f>
        <v/>
      </c>
      <c r="F190" s="156" t="inlineStr">
        <is>
          <t>Austin Trammell</t>
        </is>
      </c>
      <c r="G190" s="167" t="inlineStr">
        <is>
          <t>JAX</t>
        </is>
      </c>
      <c r="H190" s="156" t="inlineStr">
        <is>
          <t>WR</t>
        </is>
      </c>
      <c r="I190" s="156" t="n">
        <v>17</v>
      </c>
      <c r="J190" s="156" t="n">
        <v>3.4</v>
      </c>
      <c r="K190" s="156" t="n">
        <v>40.1</v>
      </c>
      <c r="L190" s="156">
        <f>IF(J190=0,0,K190/J190)</f>
        <v/>
      </c>
      <c r="M190" s="156">
        <f>K190/17</f>
        <v/>
      </c>
      <c r="N190" s="156" t="n">
        <v>0.2</v>
      </c>
      <c r="O190" s="156" t="n">
        <v>43</v>
      </c>
      <c r="P190" s="281">
        <f>IF(K190=0,0,K190/O190)</f>
        <v/>
      </c>
      <c r="Q190" s="156" t="n">
        <v>3</v>
      </c>
      <c r="R190" s="156" t="n">
        <v>0</v>
      </c>
      <c r="S190" s="156" t="n">
        <v>0</v>
      </c>
      <c r="T190" s="156" t="n">
        <v>0</v>
      </c>
      <c r="U190" s="156" t="n">
        <v>0</v>
      </c>
      <c r="V190" s="156" t="n">
        <v>0</v>
      </c>
      <c r="W190" s="156" t="n">
        <v>0</v>
      </c>
      <c r="X190" s="204">
        <f>INDEX(Matrix!$AA$2:$AA$33, MATCH(G190, Matrix!$AC$2:$AC$33, 0))</f>
        <v/>
      </c>
      <c r="Y190" s="156">
        <f>_xlfn.IFNA(MATCH(E189,'Injury Report'!$C$2:$C$6216,0),0)</f>
        <v/>
      </c>
    </row>
    <row r="191" ht="15.6" customHeight="1" s="152">
      <c r="A191" s="212" t="n">
        <v>189</v>
      </c>
      <c r="B191" s="167">
        <f>F191&amp;G191</f>
        <v/>
      </c>
      <c r="C191" s="156">
        <f>(K191/MAX(K:K)*$K$1)+(O191/MAX(O:O)*$O$1)+(M191/MAX(M:M)*$M$1)+(N191/MAX(N:N)*$N$1)+(V191/MAX(V:V)*$V$1)+(P191/MAX(P:P)*$P$1)</f>
        <v/>
      </c>
      <c r="E191" s="156">
        <f>IFERROR(VLOOKUP(F191,AllPlayers!F:F,1,0),"------------")</f>
        <v/>
      </c>
      <c r="F191" s="156" t="inlineStr">
        <is>
          <t>Xavier Gipson</t>
        </is>
      </c>
      <c r="G191" s="167" t="inlineStr">
        <is>
          <t>NYJ</t>
        </is>
      </c>
      <c r="H191" s="156" t="inlineStr">
        <is>
          <t>WR</t>
        </is>
      </c>
      <c r="I191" s="156" t="n">
        <v>1</v>
      </c>
      <c r="J191" s="156" t="n">
        <v>0</v>
      </c>
      <c r="K191" s="156" t="n">
        <v>0</v>
      </c>
      <c r="L191" s="156">
        <f>IF(J191=0,0,K191/J191)</f>
        <v/>
      </c>
      <c r="M191" s="156">
        <f>K191/17</f>
        <v/>
      </c>
      <c r="N191" s="156" t="n">
        <v>0</v>
      </c>
      <c r="O191" s="156" t="n">
        <v>0</v>
      </c>
      <c r="P191" s="281">
        <f>IF(K191=0,0,K191/O191)</f>
        <v/>
      </c>
      <c r="Q191" s="156" t="n">
        <v>2</v>
      </c>
      <c r="R191" s="156" t="n">
        <v>1</v>
      </c>
      <c r="S191" s="156" t="n">
        <v>0</v>
      </c>
      <c r="T191" s="156" t="n">
        <v>0</v>
      </c>
      <c r="U191" s="156" t="n">
        <v>0</v>
      </c>
      <c r="V191" s="156" t="n">
        <v>0</v>
      </c>
      <c r="W191" s="156" t="n">
        <v>0</v>
      </c>
      <c r="X191" s="204">
        <f>INDEX(Matrix!$AA$2:$AA$33, MATCH(G191, Matrix!$AC$2:$AC$33, 0))</f>
        <v/>
      </c>
      <c r="Y191" s="156">
        <f>_xlfn.IFNA(MATCH(E190,'Injury Report'!$C$2:$C$6216,0),0)</f>
        <v/>
      </c>
    </row>
    <row r="192" ht="15.6" customHeight="1" s="152">
      <c r="A192" s="212" t="n">
        <v>190</v>
      </c>
      <c r="B192" s="167">
        <f>F192&amp;G192</f>
        <v/>
      </c>
      <c r="C192" s="156">
        <f>(K192/MAX(K:K)*$K$1)+(O192/MAX(O:O)*$O$1)+(M192/MAX(M:M)*$M$1)+(N192/MAX(N:N)*$N$1)+(V192/MAX(V:V)*$V$1)+(P192/MAX(P:P)*$P$1)</f>
        <v/>
      </c>
      <c r="E192" s="156">
        <f>IFERROR(VLOOKUP(F192,AllPlayers!F:F,1,0),"------------")</f>
        <v/>
      </c>
      <c r="F192" s="156" t="inlineStr">
        <is>
          <t>Isaiah Bond</t>
        </is>
      </c>
      <c r="G192" s="167" t="inlineStr">
        <is>
          <t>CLE</t>
        </is>
      </c>
      <c r="H192" s="156" t="inlineStr">
        <is>
          <t>WR</t>
        </is>
      </c>
      <c r="I192" s="156" t="n">
        <v>2</v>
      </c>
      <c r="J192" s="156" t="n">
        <v>2</v>
      </c>
      <c r="K192" s="156" t="n">
        <v>11</v>
      </c>
      <c r="L192" s="156">
        <f>IF(J192=0,0,K192/J192)</f>
        <v/>
      </c>
      <c r="M192" s="156">
        <f>K192/17</f>
        <v/>
      </c>
      <c r="N192" s="156" t="n">
        <v>0</v>
      </c>
      <c r="O192" s="156" t="n">
        <v>4</v>
      </c>
      <c r="P192" s="281">
        <f>IF(K192=0,0,K192/O192)</f>
        <v/>
      </c>
      <c r="Q192" s="156" t="n">
        <v>2</v>
      </c>
      <c r="R192" s="156" t="n">
        <v>0</v>
      </c>
      <c r="S192" s="156" t="n">
        <v>0</v>
      </c>
      <c r="T192" s="156" t="n">
        <v>0</v>
      </c>
      <c r="U192" s="156" t="n">
        <v>0</v>
      </c>
      <c r="V192" s="156" t="n">
        <v>0</v>
      </c>
      <c r="W192" s="156" t="n">
        <v>0</v>
      </c>
      <c r="X192" s="204">
        <f>INDEX(Matrix!$AA$2:$AA$33, MATCH(G192, Matrix!$AC$2:$AC$33, 0))</f>
        <v/>
      </c>
      <c r="Y192" s="156">
        <f>_xlfn.IFNA(MATCH(E191,'Injury Report'!$C$2:$C$6216,0),0)</f>
        <v/>
      </c>
    </row>
    <row r="193" ht="15.6" customHeight="1" s="152">
      <c r="A193" s="212" t="n">
        <v>191</v>
      </c>
      <c r="B193" s="167">
        <f>F193&amp;G193</f>
        <v/>
      </c>
      <c r="C193" s="156">
        <f>(K193/MAX(K:K)*$K$1)+(O193/MAX(O:O)*$O$1)+(M193/MAX(M:M)*$M$1)+(N193/MAX(N:N)*$N$1)+(V193/MAX(V:V)*$V$1)+(P193/MAX(P:P)*$P$1)</f>
        <v/>
      </c>
      <c r="E193" s="156">
        <f>IFERROR(VLOOKUP(F193,AllPlayers!F:F,1,0),"------------")</f>
        <v/>
      </c>
      <c r="F193" s="156" t="inlineStr">
        <is>
          <t>Britain Covey</t>
        </is>
      </c>
      <c r="G193" s="167" t="inlineStr">
        <is>
          <t>LAR</t>
        </is>
      </c>
      <c r="H193" s="156" t="inlineStr">
        <is>
          <t>WR</t>
        </is>
      </c>
      <c r="I193" s="156" t="n">
        <v>17</v>
      </c>
      <c r="J193" s="156" t="n">
        <v>1.8</v>
      </c>
      <c r="K193" s="156" t="n">
        <v>21</v>
      </c>
      <c r="L193" s="156">
        <f>IF(J193=0,0,K193/J193)</f>
        <v/>
      </c>
      <c r="M193" s="156">
        <f>K193/17</f>
        <v/>
      </c>
      <c r="N193" s="156" t="n">
        <v>0.1</v>
      </c>
      <c r="O193" s="156" t="n">
        <v>33</v>
      </c>
      <c r="P193" s="281">
        <f>IF(K193=0,0,K193/O193)</f>
        <v/>
      </c>
      <c r="Q193" s="156" t="n">
        <v>2</v>
      </c>
      <c r="R193" s="156" t="n">
        <v>0</v>
      </c>
      <c r="S193" s="156" t="n">
        <v>0</v>
      </c>
      <c r="T193" s="156" t="n">
        <v>0</v>
      </c>
      <c r="U193" s="156" t="n">
        <v>0</v>
      </c>
      <c r="V193" s="156" t="n">
        <v>0</v>
      </c>
      <c r="W193" s="156" t="n">
        <v>0</v>
      </c>
      <c r="X193" s="204">
        <f>INDEX(Matrix!$AA$2:$AA$33, MATCH(G193, Matrix!$AC$2:$AC$33, 0))</f>
        <v/>
      </c>
      <c r="Y193" s="156">
        <f>_xlfn.IFNA(MATCH(E192,'Injury Report'!$C$2:$C$6216,0),0)</f>
        <v/>
      </c>
    </row>
    <row r="194" ht="15.6" customHeight="1" s="152">
      <c r="A194" s="212" t="n">
        <v>192</v>
      </c>
      <c r="B194" s="167">
        <f>F194&amp;G194</f>
        <v/>
      </c>
      <c r="C194" s="156">
        <f>(K194/MAX(K:K)*$K$1)+(O194/MAX(O:O)*$O$1)+(M194/MAX(M:M)*$M$1)+(N194/MAX(N:N)*$N$1)+(V194/MAX(V:V)*$V$1)+(P194/MAX(P:P)*$P$1)</f>
        <v/>
      </c>
      <c r="E194" s="156">
        <f>IFERROR(VLOOKUP(F194,AllPlayers!F:F,1,0),"------------")</f>
        <v/>
      </c>
      <c r="F194" s="156" t="inlineStr">
        <is>
          <t>Dee Eskridge</t>
        </is>
      </c>
      <c r="G194" s="167" t="inlineStr">
        <is>
          <t>MIA</t>
        </is>
      </c>
      <c r="H194" s="156" t="inlineStr">
        <is>
          <t>WR</t>
        </is>
      </c>
      <c r="I194" s="156" t="n">
        <v>2</v>
      </c>
      <c r="J194" s="156" t="n">
        <v>2</v>
      </c>
      <c r="K194" s="156" t="n">
        <v>17</v>
      </c>
      <c r="L194" s="156">
        <f>IF(J194=0,0,K194/J194)</f>
        <v/>
      </c>
      <c r="M194" s="156">
        <f>K194/17</f>
        <v/>
      </c>
      <c r="N194" s="156" t="n">
        <v>0</v>
      </c>
      <c r="O194" s="156" t="n">
        <v>3</v>
      </c>
      <c r="P194" s="281">
        <f>IF(K194=0,0,K194/O194)</f>
        <v/>
      </c>
      <c r="Q194" s="156" t="n">
        <v>3</v>
      </c>
      <c r="R194" s="156" t="n">
        <v>0</v>
      </c>
      <c r="S194" s="156" t="n">
        <v>0</v>
      </c>
      <c r="T194" s="156" t="n">
        <v>0</v>
      </c>
      <c r="U194" s="156" t="n">
        <v>0</v>
      </c>
      <c r="V194" s="156" t="n">
        <v>0</v>
      </c>
      <c r="W194" s="156" t="n">
        <v>0</v>
      </c>
      <c r="X194" s="204">
        <f>INDEX(Matrix!$AA$2:$AA$33, MATCH(G194, Matrix!$AC$2:$AC$33, 0))</f>
        <v/>
      </c>
      <c r="Y194" s="156">
        <f>_xlfn.IFNA(MATCH(E193,'Injury Report'!$C$2:$C$6216,0),0)</f>
        <v/>
      </c>
    </row>
    <row r="195" ht="15.6" customHeight="1" s="152">
      <c r="A195" s="212" t="n">
        <v>193</v>
      </c>
      <c r="B195" s="167">
        <f>F195&amp;G195</f>
        <v/>
      </c>
      <c r="C195" s="156">
        <f>(K195/MAX(K:K)*$K$1)+(O195/MAX(O:O)*$O$1)+(M195/MAX(M:M)*$M$1)+(N195/MAX(N:N)*$N$1)+(V195/MAX(V:V)*$V$1)+(P195/MAX(P:P)*$P$1)</f>
        <v/>
      </c>
      <c r="E195" s="156">
        <f>IFERROR(VLOOKUP(F195,AllPlayers!F:F,1,0),"------------")</f>
        <v/>
      </c>
      <c r="F195" s="156" t="inlineStr">
        <is>
          <t>Miles Boykin</t>
        </is>
      </c>
      <c r="G195" s="167" t="inlineStr">
        <is>
          <t>CHI</t>
        </is>
      </c>
      <c r="H195" s="156" t="inlineStr">
        <is>
          <t>WR</t>
        </is>
      </c>
      <c r="I195" s="156" t="n">
        <v>17</v>
      </c>
      <c r="J195" s="156" t="n">
        <v>3.2</v>
      </c>
      <c r="K195" s="156" t="n">
        <v>37</v>
      </c>
      <c r="L195" s="156">
        <f>IF(J195=0,0,K195/J195)</f>
        <v/>
      </c>
      <c r="M195" s="156">
        <f>K195/17</f>
        <v/>
      </c>
      <c r="N195" s="156" t="n">
        <v>0.2</v>
      </c>
      <c r="O195" s="156" t="n">
        <v>27</v>
      </c>
      <c r="P195" s="281">
        <f>IF(K195=0,0,K195/O195)</f>
        <v/>
      </c>
      <c r="Q195" s="156" t="n">
        <v>1</v>
      </c>
      <c r="R195" s="156" t="n">
        <v>0</v>
      </c>
      <c r="S195" s="156" t="n">
        <v>0</v>
      </c>
      <c r="T195" s="156" t="n">
        <v>0</v>
      </c>
      <c r="U195" s="156" t="n">
        <v>0</v>
      </c>
      <c r="V195" s="156" t="n">
        <v>0</v>
      </c>
      <c r="W195" s="156" t="n">
        <v>0</v>
      </c>
      <c r="X195" s="204">
        <f>INDEX(Matrix!$AA$2:$AA$33, MATCH(G195, Matrix!$AC$2:$AC$33, 0))</f>
        <v/>
      </c>
      <c r="Y195" s="156">
        <f>_xlfn.IFNA(MATCH(E194,'Injury Report'!$C$2:$C$6216,0),0)</f>
        <v/>
      </c>
    </row>
    <row r="196" ht="15.6" customHeight="1" s="152">
      <c r="A196" s="212" t="n">
        <v>194</v>
      </c>
      <c r="B196" s="167">
        <f>F196&amp;G196</f>
        <v/>
      </c>
      <c r="C196" s="156">
        <f>(K196/MAX(K:K)*$K$1)+(O196/MAX(O:O)*$O$1)+(M196/MAX(M:M)*$M$1)+(N196/MAX(N:N)*$N$1)+(V196/MAX(V:V)*$V$1)+(P196/MAX(P:P)*$P$1)</f>
        <v/>
      </c>
      <c r="E196" s="156">
        <f>IFERROR(VLOOKUP(F196,AllPlayers!F:F,1,0),"------------")</f>
        <v/>
      </c>
      <c r="F196" s="156" t="inlineStr">
        <is>
          <t>Lil'jordan Humphrey</t>
        </is>
      </c>
      <c r="G196" s="167" t="inlineStr">
        <is>
          <t>NYG</t>
        </is>
      </c>
      <c r="H196" s="156" t="inlineStr">
        <is>
          <t>WR</t>
        </is>
      </c>
      <c r="I196" s="156" t="n">
        <v>17</v>
      </c>
      <c r="J196" s="156" t="n">
        <v>4</v>
      </c>
      <c r="K196" s="156" t="n">
        <v>44</v>
      </c>
      <c r="L196" s="156">
        <f>IF(J196=0,0,K196/J196)</f>
        <v/>
      </c>
      <c r="M196" s="156">
        <f>K196/17</f>
        <v/>
      </c>
      <c r="N196" s="156" t="n">
        <v>0</v>
      </c>
      <c r="O196" s="156" t="n">
        <v>27</v>
      </c>
      <c r="P196" s="281">
        <f>IF(K196=0,0,K196/O196)</f>
        <v/>
      </c>
      <c r="Q196" s="156" t="n">
        <v>4</v>
      </c>
      <c r="R196" s="156" t="n">
        <v>0</v>
      </c>
      <c r="S196" s="156" t="n">
        <v>1</v>
      </c>
      <c r="T196" s="156" t="n">
        <v>0</v>
      </c>
      <c r="U196" s="156" t="n">
        <v>0</v>
      </c>
      <c r="V196" s="156" t="n">
        <v>0</v>
      </c>
      <c r="W196" s="156" t="n">
        <v>0</v>
      </c>
      <c r="X196" s="204">
        <f>INDEX(Matrix!$AA$2:$AA$33, MATCH(G196, Matrix!$AC$2:$AC$33, 0))</f>
        <v/>
      </c>
      <c r="Y196" s="156">
        <f>_xlfn.IFNA(MATCH(E195,'Injury Report'!$C$2:$C$6216,0),0)</f>
        <v/>
      </c>
    </row>
    <row r="197" ht="15.6" customHeight="1" s="152">
      <c r="A197" s="212" t="n">
        <v>195</v>
      </c>
      <c r="B197" s="167">
        <f>F197&amp;G197</f>
        <v/>
      </c>
      <c r="C197" s="156">
        <f>(K197/MAX(K:K)*$K$1)+(O197/MAX(O:O)*$O$1)+(M197/MAX(M:M)*$M$1)+(N197/MAX(N:N)*$N$1)+(V197/MAX(V:V)*$V$1)+(P197/MAX(P:P)*$P$1)</f>
        <v/>
      </c>
      <c r="E197" s="156">
        <f>IFERROR(VLOOKUP(F197,AllPlayers!F:F,1,0),"------------")</f>
        <v/>
      </c>
      <c r="F197" s="156" t="inlineStr">
        <is>
          <t>Brycen Tremayne</t>
        </is>
      </c>
      <c r="G197" s="167" t="inlineStr">
        <is>
          <t>CAR</t>
        </is>
      </c>
      <c r="H197" s="156" t="inlineStr">
        <is>
          <t>WR</t>
        </is>
      </c>
      <c r="I197" s="156" t="n">
        <v>2</v>
      </c>
      <c r="J197" s="156" t="n">
        <v>3</v>
      </c>
      <c r="K197" s="156" t="n">
        <v>48</v>
      </c>
      <c r="L197" s="156">
        <f>IF(J197=0,0,K197/J197)</f>
        <v/>
      </c>
      <c r="M197" s="156">
        <f>K197/17</f>
        <v/>
      </c>
      <c r="N197" s="156" t="n">
        <v>0</v>
      </c>
      <c r="O197" s="156" t="n">
        <v>5</v>
      </c>
      <c r="P197" s="281">
        <f>IF(K197=0,0,K197/O197)</f>
        <v/>
      </c>
      <c r="Q197" s="156" t="n">
        <v>4</v>
      </c>
      <c r="R197" s="156" t="n">
        <v>0</v>
      </c>
      <c r="S197" s="156" t="n">
        <v>0</v>
      </c>
      <c r="T197" s="156" t="n">
        <v>0</v>
      </c>
      <c r="U197" s="156" t="n">
        <v>0</v>
      </c>
      <c r="V197" s="156" t="n">
        <v>0</v>
      </c>
      <c r="W197" s="156" t="n">
        <v>0</v>
      </c>
      <c r="X197" s="204">
        <f>INDEX(Matrix!$AA$2:$AA$33, MATCH(G197, Matrix!$AC$2:$AC$33, 0))</f>
        <v/>
      </c>
      <c r="Y197" s="156">
        <f>_xlfn.IFNA(MATCH(E196,'Injury Report'!$C$2:$C$6216,0),0)</f>
        <v/>
      </c>
    </row>
    <row r="198" ht="15.6" customHeight="1" s="152">
      <c r="A198" s="212" t="n">
        <v>196</v>
      </c>
      <c r="B198" s="167">
        <f>F198&amp;G198</f>
        <v/>
      </c>
      <c r="C198" s="156">
        <f>(K198/MAX(K:K)*$K$1)+(O198/MAX(O:O)*$O$1)+(M198/MAX(M:M)*$M$1)+(N198/MAX(N:N)*$N$1)+(V198/MAX(V:V)*$V$1)+(P198/MAX(P:P)*$P$1)</f>
        <v/>
      </c>
      <c r="E198" s="156">
        <f>IFERROR(VLOOKUP(F198,AllPlayers!F:F,1,0),"------------")</f>
        <v/>
      </c>
      <c r="F198" s="156" t="inlineStr">
        <is>
          <t>Ainias Smith</t>
        </is>
      </c>
      <c r="G198" s="167" t="inlineStr">
        <is>
          <t>PHI</t>
        </is>
      </c>
      <c r="H198" s="156" t="inlineStr">
        <is>
          <t>WR</t>
        </is>
      </c>
      <c r="I198" s="156" t="n">
        <v>17</v>
      </c>
      <c r="J198" s="156" t="n">
        <v>3</v>
      </c>
      <c r="K198" s="156" t="n">
        <v>32.4</v>
      </c>
      <c r="L198" s="156">
        <f>IF(J198=0,0,K198/J198)</f>
        <v/>
      </c>
      <c r="M198" s="156">
        <f>K198/17</f>
        <v/>
      </c>
      <c r="N198" s="156" t="n">
        <v>0.2</v>
      </c>
      <c r="O198" s="156" t="n">
        <v>29</v>
      </c>
      <c r="P198" s="281">
        <f>IF(K198=0,0,K198/O198)</f>
        <v/>
      </c>
      <c r="Q198" s="156" t="n">
        <v>2</v>
      </c>
      <c r="R198" s="156" t="n">
        <v>1</v>
      </c>
      <c r="S198" s="156" t="n">
        <v>0</v>
      </c>
      <c r="T198" s="156" t="n">
        <v>0</v>
      </c>
      <c r="U198" s="156" t="n">
        <v>0</v>
      </c>
      <c r="V198" s="156" t="n">
        <v>1</v>
      </c>
      <c r="W198" s="156" t="n">
        <v>0</v>
      </c>
      <c r="X198" s="204">
        <f>INDEX(Matrix!$AA$2:$AA$33, MATCH(G198, Matrix!$AC$2:$AC$33, 0))</f>
        <v/>
      </c>
      <c r="Y198" s="156">
        <f>_xlfn.IFNA(MATCH(E197,'Injury Report'!$C$2:$C$6216,0),0)</f>
        <v/>
      </c>
    </row>
    <row r="199" ht="15.6" customHeight="1" s="152">
      <c r="A199" s="212" t="n">
        <v>197</v>
      </c>
      <c r="B199" s="167">
        <f>F199&amp;G199</f>
        <v/>
      </c>
      <c r="C199" s="156">
        <f>(K199/MAX(K:K)*$K$1)+(O199/MAX(O:O)*$O$1)+(M199/MAX(M:M)*$M$1)+(N199/MAX(N:N)*$N$1)+(V199/MAX(V:V)*$V$1)+(P199/MAX(P:P)*$P$1)</f>
        <v/>
      </c>
      <c r="E199" s="156">
        <f>IFERROR(VLOOKUP(F199,AllPlayers!F:F,1,0),"------------")</f>
        <v/>
      </c>
      <c r="F199" s="156" t="inlineStr">
        <is>
          <t>Scotty Miller</t>
        </is>
      </c>
      <c r="G199" s="167" t="inlineStr">
        <is>
          <t>PIT</t>
        </is>
      </c>
      <c r="H199" s="156" t="inlineStr">
        <is>
          <t>WR</t>
        </is>
      </c>
      <c r="I199" s="156" t="n">
        <v>17</v>
      </c>
      <c r="J199" s="156" t="n">
        <v>3.1</v>
      </c>
      <c r="K199" s="156" t="n">
        <v>37.4</v>
      </c>
      <c r="L199" s="156">
        <f>IF(J199=0,0,K199/J199)</f>
        <v/>
      </c>
      <c r="M199" s="156">
        <f>K199/17</f>
        <v/>
      </c>
      <c r="N199" s="156" t="n">
        <v>0.1</v>
      </c>
      <c r="O199" s="156" t="n">
        <v>30</v>
      </c>
      <c r="P199" s="281">
        <f>IF(K199=0,0,K199/O199)</f>
        <v/>
      </c>
      <c r="Q199" s="156" t="n">
        <v>2</v>
      </c>
      <c r="R199" s="156" t="n">
        <v>0</v>
      </c>
      <c r="S199" s="156" t="n">
        <v>0</v>
      </c>
      <c r="T199" s="156" t="n">
        <v>0</v>
      </c>
      <c r="U199" s="156" t="n">
        <v>0</v>
      </c>
      <c r="V199" s="156" t="n">
        <v>3</v>
      </c>
      <c r="W199" s="156" t="n">
        <v>0</v>
      </c>
      <c r="X199" s="204">
        <f>INDEX(Matrix!$AA$2:$AA$33, MATCH(G199, Matrix!$AC$2:$AC$33, 0))</f>
        <v/>
      </c>
      <c r="Y199" s="156">
        <f>_xlfn.IFNA(MATCH(E198,'Injury Report'!$C$2:$C$6216,0),0)</f>
        <v/>
      </c>
    </row>
    <row r="200" ht="15.6" customHeight="1" s="152">
      <c r="A200" s="212" t="n">
        <v>198</v>
      </c>
      <c r="B200" s="167">
        <f>F200&amp;G200</f>
        <v/>
      </c>
      <c r="C200" s="156">
        <f>(K200/MAX(K:K)*$K$1)+(O200/MAX(O:O)*$O$1)+(M200/MAX(M:M)*$M$1)+(N200/MAX(N:N)*$N$1)+(V200/MAX(V:V)*$V$1)+(P200/MAX(P:P)*$P$1)</f>
        <v/>
      </c>
      <c r="E200" s="156">
        <f>IFERROR(VLOOKUP(F200,AllPlayers!F:F,1,0),"------------")</f>
        <v/>
      </c>
      <c r="F200" s="156" t="inlineStr">
        <is>
          <t>Tyler Scott</t>
        </is>
      </c>
      <c r="G200" s="167" t="inlineStr">
        <is>
          <t>CHI</t>
        </is>
      </c>
      <c r="H200" s="156" t="inlineStr">
        <is>
          <t>WR</t>
        </is>
      </c>
      <c r="I200" s="156" t="n">
        <v>17</v>
      </c>
      <c r="J200" s="156" t="n">
        <v>2.8</v>
      </c>
      <c r="K200" s="156" t="n">
        <v>30.1</v>
      </c>
      <c r="L200" s="156">
        <f>IF(J200=0,0,K200/J200)</f>
        <v/>
      </c>
      <c r="M200" s="156">
        <f>K200/17</f>
        <v/>
      </c>
      <c r="N200" s="156" t="n">
        <v>0.1</v>
      </c>
      <c r="O200" s="156" t="n">
        <v>31</v>
      </c>
      <c r="P200" s="281">
        <f>IF(K200=0,0,K200/O200)</f>
        <v/>
      </c>
      <c r="Q200" s="156" t="n">
        <v>3</v>
      </c>
      <c r="R200" s="156" t="n">
        <v>0</v>
      </c>
      <c r="S200" s="156" t="n">
        <v>0</v>
      </c>
      <c r="T200" s="156" t="n">
        <v>0</v>
      </c>
      <c r="U200" s="156" t="n">
        <v>0</v>
      </c>
      <c r="V200" s="156" t="n">
        <v>0</v>
      </c>
      <c r="W200" s="156" t="n">
        <v>0</v>
      </c>
      <c r="X200" s="204">
        <f>INDEX(Matrix!$AA$2:$AA$33, MATCH(G200, Matrix!$AC$2:$AC$33, 0))</f>
        <v/>
      </c>
      <c r="Y200" s="156">
        <f>_xlfn.IFNA(MATCH(E199,'Injury Report'!$C$2:$C$6216,0),0)</f>
        <v/>
      </c>
    </row>
    <row r="201" ht="15.6" customHeight="1" s="152">
      <c r="A201" s="212" t="n">
        <v>199</v>
      </c>
      <c r="B201" s="167">
        <f>F201&amp;G201</f>
        <v/>
      </c>
      <c r="C201" s="156">
        <f>(K201/MAX(K:K)*$K$1)+(O201/MAX(O:O)*$O$1)+(M201/MAX(M:M)*$M$1)+(N201/MAX(N:N)*$N$1)+(V201/MAX(V:V)*$V$1)+(P201/MAX(P:P)*$P$1)</f>
        <v/>
      </c>
      <c r="E201" s="156">
        <f>IFERROR(VLOOKUP(F201,AllPlayers!F:F,1,0),"------------")</f>
        <v/>
      </c>
      <c r="F201" s="156" t="inlineStr">
        <is>
          <t>Devin Duvernay</t>
        </is>
      </c>
      <c r="G201" s="167" t="inlineStr">
        <is>
          <t>CHI</t>
        </is>
      </c>
      <c r="H201" s="156" t="inlineStr">
        <is>
          <t>WR</t>
        </is>
      </c>
      <c r="I201" s="156" t="n">
        <v>2</v>
      </c>
      <c r="J201" s="156" t="n">
        <v>0</v>
      </c>
      <c r="K201" s="156" t="n">
        <v>0</v>
      </c>
      <c r="L201" s="156">
        <f>IF(J201=0,0,K201/J201)</f>
        <v/>
      </c>
      <c r="M201" s="156">
        <f>K201/17</f>
        <v/>
      </c>
      <c r="N201" s="156" t="n">
        <v>0</v>
      </c>
      <c r="O201" s="156" t="n">
        <v>0</v>
      </c>
      <c r="P201" s="281">
        <f>IF(K201=0,0,K201/O201)</f>
        <v/>
      </c>
      <c r="Q201" s="156" t="n">
        <v>3</v>
      </c>
      <c r="R201" s="156" t="n">
        <v>0</v>
      </c>
      <c r="S201" s="156" t="n">
        <v>0</v>
      </c>
      <c r="T201" s="156" t="n">
        <v>0</v>
      </c>
      <c r="U201" s="156" t="n">
        <v>0</v>
      </c>
      <c r="V201" s="156" t="n">
        <v>0</v>
      </c>
      <c r="W201" s="156" t="n">
        <v>0</v>
      </c>
      <c r="X201" s="204">
        <f>INDEX(Matrix!$AA$2:$AA$33, MATCH(G201, Matrix!$AC$2:$AC$33, 0))</f>
        <v/>
      </c>
      <c r="Y201" s="156">
        <f>_xlfn.IFNA(MATCH(E200,'Injury Report'!$C$2:$C$6216,0),0)</f>
        <v/>
      </c>
    </row>
    <row r="202" ht="15.6" customHeight="1" s="152">
      <c r="A202" s="212" t="n">
        <v>200</v>
      </c>
      <c r="B202" s="167">
        <f>F202&amp;G202</f>
        <v/>
      </c>
      <c r="C202" s="156">
        <f>(K202/MAX(K:K)*$K$1)+(O202/MAX(O:O)*$O$1)+(M202/MAX(M:M)*$M$1)+(N202/MAX(N:N)*$N$1)+(V202/MAX(V:V)*$V$1)+(P202/MAX(P:P)*$P$1)</f>
        <v/>
      </c>
      <c r="E202" s="156">
        <f>IFERROR(VLOOKUP(F202,AllPlayers!F:F,1,0),"------------")</f>
        <v/>
      </c>
      <c r="F202" s="156" t="inlineStr">
        <is>
          <t>Ryan Flournoy</t>
        </is>
      </c>
      <c r="G202" s="167" t="inlineStr">
        <is>
          <t>DAL</t>
        </is>
      </c>
      <c r="H202" s="156" t="inlineStr">
        <is>
          <t>WR</t>
        </is>
      </c>
      <c r="I202" s="156" t="n">
        <v>1</v>
      </c>
      <c r="J202" s="156" t="n">
        <v>0</v>
      </c>
      <c r="K202" s="156" t="n">
        <v>0</v>
      </c>
      <c r="L202" s="156">
        <f>IF(J202=0,0,K202/J202)</f>
        <v/>
      </c>
      <c r="M202" s="156">
        <f>K202/17</f>
        <v/>
      </c>
      <c r="N202" s="156" t="n">
        <v>0</v>
      </c>
      <c r="O202" s="156" t="n">
        <v>0</v>
      </c>
      <c r="P202" s="281">
        <f>IF(K202=0,0,K202/O202)</f>
        <v/>
      </c>
      <c r="Q202" s="156" t="n">
        <v>2</v>
      </c>
      <c r="R202" s="156" t="n">
        <v>0</v>
      </c>
      <c r="S202" s="156" t="n">
        <v>0</v>
      </c>
      <c r="T202" s="156" t="n">
        <v>0</v>
      </c>
      <c r="U202" s="156" t="n">
        <v>0</v>
      </c>
      <c r="V202" s="156" t="n">
        <v>0</v>
      </c>
      <c r="W202" s="156" t="n">
        <v>0</v>
      </c>
      <c r="X202" s="204">
        <f>INDEX(Matrix!$AA$2:$AA$33, MATCH(G202, Matrix!$AC$2:$AC$33, 0))</f>
        <v/>
      </c>
      <c r="Y202" s="156">
        <f>_xlfn.IFNA(MATCH(E201,'Injury Report'!$C$2:$C$6216,0),0)</f>
        <v/>
      </c>
    </row>
    <row r="203" ht="15.6" customHeight="1" s="152">
      <c r="A203" s="212" t="n">
        <v>201</v>
      </c>
      <c r="B203" s="167">
        <f>F203&amp;G203</f>
        <v/>
      </c>
      <c r="C203" s="156">
        <f>(K203/MAX(K:K)*$K$1)+(O203/MAX(O:O)*$O$1)+(M203/MAX(M:M)*$M$1)+(N203/MAX(N:N)*$N$1)+(V203/MAX(V:V)*$V$1)+(P203/MAX(P:P)*$P$1)</f>
        <v/>
      </c>
      <c r="E203" s="156">
        <f>IFERROR(VLOOKUP(F203,AllPlayers!F:F,1,0),"------------")</f>
        <v/>
      </c>
      <c r="F203" s="156" t="inlineStr">
        <is>
          <t>Nick Nash</t>
        </is>
      </c>
      <c r="G203" s="167" t="inlineStr">
        <is>
          <t>ATL</t>
        </is>
      </c>
      <c r="H203" s="156" t="inlineStr">
        <is>
          <t>WR</t>
        </is>
      </c>
      <c r="I203" s="156" t="n">
        <v>17</v>
      </c>
      <c r="J203" s="156" t="n">
        <v>3</v>
      </c>
      <c r="K203" s="156" t="n">
        <v>35</v>
      </c>
      <c r="L203" s="156">
        <f>IF(J203=0,0,K203/J203)</f>
        <v/>
      </c>
      <c r="M203" s="156">
        <f>K203/17</f>
        <v/>
      </c>
      <c r="N203" s="156" t="n">
        <v>0</v>
      </c>
      <c r="O203" s="156" t="n">
        <v>22</v>
      </c>
      <c r="P203" s="281">
        <f>IF(K203=0,0,K203/O203)</f>
        <v/>
      </c>
      <c r="Q203" s="156" t="n">
        <v>2</v>
      </c>
      <c r="R203" s="156" t="n">
        <v>0</v>
      </c>
      <c r="S203" s="156" t="n">
        <v>0</v>
      </c>
      <c r="T203" s="156" t="n">
        <v>0</v>
      </c>
      <c r="U203" s="156" t="n">
        <v>0</v>
      </c>
      <c r="V203" s="156" t="n">
        <v>2</v>
      </c>
      <c r="W203" s="156" t="n">
        <v>0</v>
      </c>
      <c r="X203" s="204">
        <f>INDEX(Matrix!$AA$2:$AA$33, MATCH(G203, Matrix!$AC$2:$AC$33, 0))</f>
        <v/>
      </c>
      <c r="Y203" s="156">
        <f>_xlfn.IFNA(MATCH(E202,'Injury Report'!$C$2:$C$6216,0),0)</f>
        <v/>
      </c>
    </row>
    <row r="204" ht="15.6" customHeight="1" s="152">
      <c r="A204" s="212" t="n">
        <v>202</v>
      </c>
      <c r="B204" s="167">
        <f>F204&amp;G204</f>
        <v/>
      </c>
      <c r="C204" s="156">
        <f>(K204/MAX(K:K)*$K$1)+(O204/MAX(O:O)*$O$1)+(M204/MAX(M:M)*$M$1)+(N204/MAX(N:N)*$N$1)+(V204/MAX(V:V)*$V$1)+(P204/MAX(P:P)*$P$1)</f>
        <v/>
      </c>
      <c r="E204" s="156">
        <f>IFERROR(VLOOKUP(F204,AllPlayers!F:F,1,0),"------------")</f>
        <v/>
      </c>
      <c r="F204" s="156" t="inlineStr">
        <is>
          <t>Mitchell Tinsley</t>
        </is>
      </c>
      <c r="G204" s="167" t="inlineStr">
        <is>
          <t>CIN</t>
        </is>
      </c>
      <c r="H204" s="156" t="inlineStr">
        <is>
          <t>WR</t>
        </is>
      </c>
      <c r="I204" s="156" t="n">
        <v>1</v>
      </c>
      <c r="J204" s="156" t="n">
        <v>1</v>
      </c>
      <c r="K204" s="156" t="n">
        <v>13</v>
      </c>
      <c r="L204" s="156">
        <f>IF(J204=0,0,K204/J204)</f>
        <v/>
      </c>
      <c r="M204" s="156">
        <f>K204/17</f>
        <v/>
      </c>
      <c r="N204" s="156" t="n">
        <v>1</v>
      </c>
      <c r="O204" s="156" t="n">
        <v>1</v>
      </c>
      <c r="P204" s="281">
        <f>IF(K204=0,0,K204/O204)</f>
        <v/>
      </c>
      <c r="Q204" s="156" t="n">
        <v>2</v>
      </c>
      <c r="R204" s="156" t="n">
        <v>1</v>
      </c>
      <c r="S204" s="156" t="n">
        <v>1</v>
      </c>
      <c r="T204" s="156" t="n">
        <v>0</v>
      </c>
      <c r="U204" s="156" t="n">
        <v>0</v>
      </c>
      <c r="V204" s="156" t="n">
        <v>0</v>
      </c>
      <c r="W204" s="156" t="n">
        <v>0</v>
      </c>
      <c r="X204" s="204">
        <f>INDEX(Matrix!$AA$2:$AA$33, MATCH(G204, Matrix!$AC$2:$AC$33, 0))</f>
        <v/>
      </c>
      <c r="Y204" s="156">
        <f>_xlfn.IFNA(MATCH(E203,'Injury Report'!$C$2:$C$6216,0),0)</f>
        <v/>
      </c>
    </row>
    <row r="205" ht="15.6" customHeight="1" s="152">
      <c r="A205" s="212" t="n">
        <v>203</v>
      </c>
      <c r="B205" s="167">
        <f>F205&amp;G205</f>
        <v/>
      </c>
      <c r="C205" s="156">
        <f>(K205/MAX(K:K)*$K$1)+(O205/MAX(O:O)*$O$1)+(M205/MAX(M:M)*$M$1)+(N205/MAX(N:N)*$N$1)+(V205/MAX(V:V)*$V$1)+(P205/MAX(P:P)*$P$1)</f>
        <v/>
      </c>
      <c r="E205" s="156">
        <f>IFERROR(VLOOKUP(F205,AllPlayers!F:F,1,0),"------------")</f>
        <v/>
      </c>
      <c r="F205" s="156" t="inlineStr">
        <is>
          <t>Anthony Gould</t>
        </is>
      </c>
      <c r="G205" s="167" t="inlineStr">
        <is>
          <t>IND</t>
        </is>
      </c>
      <c r="H205" s="156" t="inlineStr">
        <is>
          <t>WR</t>
        </is>
      </c>
      <c r="I205" s="156" t="n">
        <v>2</v>
      </c>
      <c r="J205" s="156" t="n">
        <v>0</v>
      </c>
      <c r="K205" s="156" t="n">
        <v>0</v>
      </c>
      <c r="L205" s="156">
        <f>IF(J205=0,0,K205/J205)</f>
        <v/>
      </c>
      <c r="M205" s="156">
        <f>K205/17</f>
        <v/>
      </c>
      <c r="N205" s="156" t="n">
        <v>0</v>
      </c>
      <c r="O205" s="156" t="n">
        <v>0</v>
      </c>
      <c r="P205" s="281">
        <f>IF(K205=0,0,K205/O205)</f>
        <v/>
      </c>
      <c r="Q205" s="156" t="n">
        <v>2</v>
      </c>
      <c r="R205" s="156" t="n">
        <v>2</v>
      </c>
      <c r="S205" s="156" t="n">
        <v>0</v>
      </c>
      <c r="T205" s="156" t="n">
        <v>0</v>
      </c>
      <c r="U205" s="156" t="n">
        <v>0</v>
      </c>
      <c r="V205" s="156" t="n">
        <v>0</v>
      </c>
      <c r="W205" s="156" t="n">
        <v>0</v>
      </c>
      <c r="X205" s="204">
        <f>INDEX(Matrix!$AA$2:$AA$33, MATCH(G205, Matrix!$AC$2:$AC$33, 0))</f>
        <v/>
      </c>
      <c r="Y205" s="156">
        <f>_xlfn.IFNA(MATCH(E204,'Injury Report'!$C$2:$C$6216,0),0)</f>
        <v/>
      </c>
    </row>
    <row r="206" ht="15.6" customHeight="1" s="152">
      <c r="A206" s="212" t="n">
        <v>204</v>
      </c>
      <c r="B206" s="167">
        <f>F206&amp;G206</f>
        <v/>
      </c>
      <c r="C206" s="156">
        <f>(K206/MAX(K:K)*$K$1)+(O206/MAX(O:O)*$O$1)+(M206/MAX(M:M)*$M$1)+(N206/MAX(N:N)*$N$1)+(V206/MAX(V:V)*$V$1)+(P206/MAX(P:P)*$P$1)</f>
        <v/>
      </c>
      <c r="E206" s="156">
        <f>IFERROR(VLOOKUP(F206,AllPlayers!F:F,1,0),"------------")</f>
        <v/>
      </c>
      <c r="F206" s="156" t="inlineStr">
        <is>
          <t>Jacob Cowing</t>
        </is>
      </c>
      <c r="G206" s="167" t="inlineStr">
        <is>
          <t>SF</t>
        </is>
      </c>
      <c r="H206" s="156" t="inlineStr">
        <is>
          <t>WR</t>
        </is>
      </c>
      <c r="I206" s="156" t="n">
        <v>17</v>
      </c>
      <c r="J206" s="156" t="n">
        <v>1.1</v>
      </c>
      <c r="K206" s="156" t="n">
        <v>14.9</v>
      </c>
      <c r="L206" s="156">
        <f>IF(J206=0,0,K206/J206)</f>
        <v/>
      </c>
      <c r="M206" s="156">
        <f>K206/17</f>
        <v/>
      </c>
      <c r="N206" s="156" t="n">
        <v>0.1</v>
      </c>
      <c r="O206" s="156" t="n">
        <v>22</v>
      </c>
      <c r="P206" s="281">
        <f>IF(K206=0,0,K206/O206)</f>
        <v/>
      </c>
      <c r="Q206" s="156" t="n">
        <v>2</v>
      </c>
      <c r="R206" s="156" t="n">
        <v>0</v>
      </c>
      <c r="S206" s="156" t="n">
        <v>0</v>
      </c>
      <c r="T206" s="156" t="n">
        <v>0</v>
      </c>
      <c r="U206" s="156" t="n">
        <v>0</v>
      </c>
      <c r="V206" s="156" t="n">
        <v>0</v>
      </c>
      <c r="W206" s="156" t="n">
        <v>0</v>
      </c>
      <c r="X206" s="204">
        <f>INDEX(Matrix!$AA$2:$AA$33, MATCH(G206, Matrix!$AC$2:$AC$33, 0))</f>
        <v/>
      </c>
      <c r="Y206" s="156">
        <f>_xlfn.IFNA(MATCH(E205,'Injury Report'!$C$2:$C$6216,0),0)</f>
        <v/>
      </c>
    </row>
    <row r="207" ht="15.6" customHeight="1" s="152">
      <c r="A207" s="212" t="n">
        <v>205</v>
      </c>
      <c r="B207" s="167">
        <f>F207&amp;G207</f>
        <v/>
      </c>
      <c r="C207" s="156">
        <f>(K207/MAX(K:K)*$K$1)+(O207/MAX(O:O)*$O$1)+(M207/MAX(M:M)*$M$1)+(N207/MAX(N:N)*$N$1)+(V207/MAX(V:V)*$V$1)+(P207/MAX(P:P)*$P$1)</f>
        <v/>
      </c>
      <c r="E207" s="156">
        <f>IFERROR(VLOOKUP(F207,AllPlayers!F:F,1,0),"------------")</f>
        <v/>
      </c>
      <c r="F207" s="156" t="inlineStr">
        <is>
          <t>Laviska Shenault</t>
        </is>
      </c>
      <c r="G207" s="167" t="inlineStr">
        <is>
          <t>BUF</t>
        </is>
      </c>
      <c r="H207" s="156" t="inlineStr">
        <is>
          <t>WR</t>
        </is>
      </c>
      <c r="I207" s="156" t="n">
        <v>17</v>
      </c>
      <c r="J207" s="156" t="n">
        <v>1.8</v>
      </c>
      <c r="K207" s="156" t="n">
        <v>19.5</v>
      </c>
      <c r="L207" s="156">
        <f>IF(J207=0,0,K207/J207)</f>
        <v/>
      </c>
      <c r="M207" s="156">
        <f>K207/17</f>
        <v/>
      </c>
      <c r="N207" s="156" t="n">
        <v>0.1</v>
      </c>
      <c r="O207" s="156" t="n">
        <v>31</v>
      </c>
      <c r="P207" s="281">
        <f>IF(K207=0,0,K207/O207)</f>
        <v/>
      </c>
      <c r="Q207" s="156" t="n">
        <v>2</v>
      </c>
      <c r="R207" s="156" t="n">
        <v>0</v>
      </c>
      <c r="S207" s="156" t="n">
        <v>0</v>
      </c>
      <c r="T207" s="156" t="n">
        <v>0</v>
      </c>
      <c r="U207" s="156" t="n">
        <v>0</v>
      </c>
      <c r="V207" s="156" t="n">
        <v>1</v>
      </c>
      <c r="W207" s="156" t="n">
        <v>0</v>
      </c>
      <c r="X207" s="204">
        <f>INDEX(Matrix!$AA$2:$AA$33, MATCH(G207, Matrix!$AC$2:$AC$33, 0))</f>
        <v/>
      </c>
      <c r="Y207" s="156">
        <f>_xlfn.IFNA(MATCH(E206,'Injury Report'!$C$2:$C$6216,0),0)</f>
        <v/>
      </c>
    </row>
    <row r="208" ht="15.6" customHeight="1" s="152">
      <c r="A208" s="212" t="n">
        <v>206</v>
      </c>
      <c r="B208" s="167">
        <f>F208&amp;G208</f>
        <v/>
      </c>
      <c r="C208" s="156">
        <f>(K208/MAX(K:K)*$K$1)+(O208/MAX(O:O)*$O$1)+(M208/MAX(M:M)*$M$1)+(N208/MAX(N:N)*$N$1)+(V208/MAX(V:V)*$V$1)+(P208/MAX(P:P)*$P$1)</f>
        <v/>
      </c>
      <c r="E208" s="156">
        <f>IFERROR(VLOOKUP(F208,AllPlayers!F:F,1,0),"------------")</f>
        <v/>
      </c>
      <c r="F208" s="156" t="inlineStr">
        <is>
          <t>Ashton Dulin</t>
        </is>
      </c>
      <c r="G208" s="167" t="inlineStr">
        <is>
          <t>IND</t>
        </is>
      </c>
      <c r="H208" s="156" t="inlineStr">
        <is>
          <t>WR</t>
        </is>
      </c>
      <c r="I208" s="156" t="n">
        <v>2</v>
      </c>
      <c r="J208" s="156" t="n">
        <v>0</v>
      </c>
      <c r="K208" s="156" t="n">
        <v>0</v>
      </c>
      <c r="L208" s="156">
        <f>IF(J208=0,0,K208/J208)</f>
        <v/>
      </c>
      <c r="M208" s="156">
        <f>K208/17</f>
        <v/>
      </c>
      <c r="N208" s="156" t="n">
        <v>0</v>
      </c>
      <c r="O208" s="156" t="n">
        <v>0</v>
      </c>
      <c r="P208" s="281">
        <f>IF(K208=0,0,K208/O208)</f>
        <v/>
      </c>
      <c r="Q208" s="156" t="n">
        <v>1</v>
      </c>
      <c r="R208" s="156" t="n">
        <v>0</v>
      </c>
      <c r="S208" s="156" t="n">
        <v>0</v>
      </c>
      <c r="T208" s="156" t="n">
        <v>0</v>
      </c>
      <c r="U208" s="156" t="n">
        <v>0</v>
      </c>
      <c r="V208" s="156" t="n">
        <v>0</v>
      </c>
      <c r="W208" s="156" t="n">
        <v>0</v>
      </c>
      <c r="X208" s="204">
        <f>INDEX(Matrix!$AA$2:$AA$33, MATCH(G208, Matrix!$AC$2:$AC$33, 0))</f>
        <v/>
      </c>
      <c r="Y208" s="156">
        <f>_xlfn.IFNA(MATCH(E207,'Injury Report'!$C$2:$C$6216,0),0)</f>
        <v/>
      </c>
    </row>
    <row r="209" ht="15.6" customHeight="1" s="152">
      <c r="A209" s="212" t="n">
        <v>207</v>
      </c>
      <c r="B209" s="167">
        <f>F209&amp;G209</f>
        <v/>
      </c>
      <c r="C209" s="156">
        <f>(K209/MAX(K:K)*$K$1)+(O209/MAX(O:O)*$O$1)+(M209/MAX(M:M)*$M$1)+(N209/MAX(N:N)*$N$1)+(V209/MAX(V:V)*$V$1)+(P209/MAX(P:P)*$P$1)</f>
        <v/>
      </c>
      <c r="E209" s="156">
        <f>IFERROR(VLOOKUP(F209,AllPlayers!F:F,1,0),"------------")</f>
        <v/>
      </c>
      <c r="F209" s="156" t="inlineStr">
        <is>
          <t>Trent Sherfield</t>
        </is>
      </c>
      <c r="G209" s="167" t="inlineStr">
        <is>
          <t>DEN</t>
        </is>
      </c>
      <c r="H209" s="156" t="inlineStr">
        <is>
          <t>WR</t>
        </is>
      </c>
      <c r="I209" s="156" t="n">
        <v>2</v>
      </c>
      <c r="J209" s="156" t="n">
        <v>2</v>
      </c>
      <c r="K209" s="156" t="n">
        <v>6</v>
      </c>
      <c r="L209" s="156">
        <f>IF(J209=0,0,K209/J209)</f>
        <v/>
      </c>
      <c r="M209" s="156">
        <f>K209/17</f>
        <v/>
      </c>
      <c r="N209" s="156" t="n">
        <v>0</v>
      </c>
      <c r="O209" s="156" t="n">
        <v>2</v>
      </c>
      <c r="P209" s="281">
        <f>IF(K209=0,0,K209/O209)</f>
        <v/>
      </c>
      <c r="Q209" s="156" t="n">
        <v>4</v>
      </c>
      <c r="R209" s="156" t="n">
        <v>1</v>
      </c>
      <c r="S209" s="156" t="n">
        <v>0</v>
      </c>
      <c r="T209" s="156" t="n">
        <v>0</v>
      </c>
      <c r="U209" s="156" t="n">
        <v>0</v>
      </c>
      <c r="V209" s="156" t="n">
        <v>0</v>
      </c>
      <c r="W209" s="156" t="n">
        <v>0</v>
      </c>
      <c r="X209" s="204">
        <f>INDEX(Matrix!$AA$2:$AA$33, MATCH(G209, Matrix!$AC$2:$AC$33, 0))</f>
        <v/>
      </c>
      <c r="Y209" s="156">
        <f>_xlfn.IFNA(MATCH(E208,'Injury Report'!$C$2:$C$6216,0),0)</f>
        <v/>
      </c>
    </row>
    <row r="210" ht="15.6" customHeight="1" s="152">
      <c r="A210" s="212" t="n">
        <v>208</v>
      </c>
      <c r="B210" s="167">
        <f>F210&amp;G210</f>
        <v/>
      </c>
      <c r="C210" s="156">
        <f>(K210/MAX(K:K)*$K$1)+(O210/MAX(O:O)*$O$1)+(M210/MAX(M:M)*$M$1)+(N210/MAX(N:N)*$N$1)+(V210/MAX(V:V)*$V$1)+(P210/MAX(P:P)*$P$1)</f>
        <v/>
      </c>
      <c r="E210" s="156">
        <f>IFERROR(VLOOKUP(F210,AllPlayers!F:F,1,0),"------------")</f>
        <v/>
      </c>
      <c r="F210" s="156" t="inlineStr">
        <is>
          <t>Isaiah Williams</t>
        </is>
      </c>
      <c r="G210" s="167" t="inlineStr">
        <is>
          <t>CIN</t>
        </is>
      </c>
      <c r="H210" s="156" t="inlineStr">
        <is>
          <t>WR</t>
        </is>
      </c>
      <c r="I210" s="156" t="n">
        <v>1</v>
      </c>
      <c r="J210" s="156" t="n">
        <v>0</v>
      </c>
      <c r="K210" s="156" t="n">
        <v>0</v>
      </c>
      <c r="L210" s="156">
        <f>IF(J210=0,0,K210/J210)</f>
        <v/>
      </c>
      <c r="M210" s="156">
        <f>K210/17</f>
        <v/>
      </c>
      <c r="N210" s="156" t="n">
        <v>0</v>
      </c>
      <c r="O210" s="156" t="n">
        <v>0</v>
      </c>
      <c r="P210" s="281">
        <f>IF(K210=0,0,K210/O210)</f>
        <v/>
      </c>
      <c r="Q210" s="156" t="n">
        <v>3</v>
      </c>
      <c r="R210" s="156" t="n">
        <v>1</v>
      </c>
      <c r="S210" s="156" t="n">
        <v>0</v>
      </c>
      <c r="T210" s="156" t="n">
        <v>0</v>
      </c>
      <c r="U210" s="156" t="n">
        <v>0</v>
      </c>
      <c r="V210" s="156" t="n">
        <v>0</v>
      </c>
      <c r="W210" s="156" t="n">
        <v>0</v>
      </c>
      <c r="X210" s="204">
        <f>INDEX(Matrix!$AA$2:$AA$33, MATCH(G210, Matrix!$AC$2:$AC$33, 0))</f>
        <v/>
      </c>
      <c r="Y210" s="156">
        <f>_xlfn.IFNA(MATCH(E209,'Injury Report'!$C$2:$C$6216,0),0)</f>
        <v/>
      </c>
    </row>
    <row r="211" ht="15.6" customHeight="1" s="152">
      <c r="A211" s="212" t="n">
        <v>209</v>
      </c>
      <c r="B211" s="167">
        <f>F211&amp;G211</f>
        <v/>
      </c>
      <c r="C211" s="156">
        <f>(K211/MAX(K:K)*$K$1)+(O211/MAX(O:O)*$O$1)+(M211/MAX(M:M)*$M$1)+(N211/MAX(N:N)*$N$1)+(V211/MAX(V:V)*$V$1)+(P211/MAX(P:P)*$P$1)</f>
        <v/>
      </c>
      <c r="E211" s="156">
        <f>IFERROR(VLOOKUP(F211,AllPlayers!F:F,1,0),"------------")</f>
        <v/>
      </c>
      <c r="F211" s="156" t="inlineStr">
        <is>
          <t>Tank Dell</t>
        </is>
      </c>
      <c r="G211" s="167" t="inlineStr">
        <is>
          <t>HOU</t>
        </is>
      </c>
      <c r="H211" s="156" t="inlineStr">
        <is>
          <t>WR</t>
        </is>
      </c>
      <c r="I211" s="156" t="n">
        <v>17</v>
      </c>
      <c r="J211" s="156" t="n">
        <v>2</v>
      </c>
      <c r="K211" s="156" t="n">
        <v>24</v>
      </c>
      <c r="L211" s="156">
        <f>IF(J211=0,0,K211/J211)</f>
        <v/>
      </c>
      <c r="M211" s="156">
        <f>K211/17</f>
        <v/>
      </c>
      <c r="N211" s="156" t="n">
        <v>0</v>
      </c>
      <c r="O211" s="156" t="n">
        <v>40</v>
      </c>
      <c r="P211" s="281">
        <f>IF(K211=0,0,K211/O211)</f>
        <v/>
      </c>
      <c r="Q211" s="156" t="n">
        <v>1</v>
      </c>
      <c r="R211" s="156" t="n">
        <v>0</v>
      </c>
      <c r="S211" s="156" t="n">
        <v>0</v>
      </c>
      <c r="T211" s="156" t="n">
        <v>0</v>
      </c>
      <c r="U211" s="156" t="n">
        <v>0</v>
      </c>
      <c r="V211" s="156" t="n">
        <v>3</v>
      </c>
      <c r="W211" s="156" t="n">
        <v>0</v>
      </c>
      <c r="X211" s="204">
        <f>INDEX(Matrix!$AA$2:$AA$33, MATCH(G211, Matrix!$AC$2:$AC$33, 0))</f>
        <v/>
      </c>
      <c r="Y211" s="156">
        <f>_xlfn.IFNA(MATCH(E210,'Injury Report'!$C$2:$C$6216,0),0)</f>
        <v/>
      </c>
    </row>
    <row r="212" ht="15.6" customHeight="1" s="152">
      <c r="A212" s="212" t="n">
        <v>210</v>
      </c>
      <c r="B212" s="167">
        <f>F212&amp;G212</f>
        <v/>
      </c>
      <c r="C212" s="156">
        <f>(K212/MAX(K:K)*$K$1)+(O212/MAX(O:O)*$O$1)+(M212/MAX(M:M)*$M$1)+(N212/MAX(N:N)*$N$1)+(V212/MAX(V:V)*$V$1)+(P212/MAX(P:P)*$P$1)</f>
        <v/>
      </c>
      <c r="E212" s="156">
        <f>IFERROR(VLOOKUP(F212,AllPlayers!F:F,1,0),"------------")</f>
        <v/>
      </c>
      <c r="F212" s="156" t="inlineStr">
        <is>
          <t>Isaiah Neyor</t>
        </is>
      </c>
      <c r="G212" s="167" t="inlineStr">
        <is>
          <t>GB</t>
        </is>
      </c>
      <c r="H212" s="156" t="inlineStr">
        <is>
          <t>WR</t>
        </is>
      </c>
      <c r="I212" s="156" t="n">
        <v>17</v>
      </c>
      <c r="J212" s="156" t="n">
        <v>2</v>
      </c>
      <c r="K212" s="156" t="n">
        <v>24</v>
      </c>
      <c r="L212" s="156">
        <f>IF(J212=0,0,K212/J212)</f>
        <v/>
      </c>
      <c r="M212" s="156">
        <f>K212/17</f>
        <v/>
      </c>
      <c r="N212" s="156" t="n">
        <v>0</v>
      </c>
      <c r="O212" s="156" t="n">
        <v>30</v>
      </c>
      <c r="P212" s="281">
        <f>IF(K212=0,0,K212/O212)</f>
        <v/>
      </c>
      <c r="Q212" s="156" t="n">
        <v>2</v>
      </c>
      <c r="R212" s="156" t="n">
        <v>1</v>
      </c>
      <c r="S212" s="156" t="n">
        <v>0</v>
      </c>
      <c r="T212" s="156" t="n">
        <v>0</v>
      </c>
      <c r="U212" s="156" t="n">
        <v>0</v>
      </c>
      <c r="V212" s="156" t="n">
        <v>0</v>
      </c>
      <c r="W212" s="156" t="n">
        <v>0</v>
      </c>
      <c r="X212" s="204">
        <f>INDEX(Matrix!$AA$2:$AA$33, MATCH(G212, Matrix!$AC$2:$AC$33, 0))</f>
        <v/>
      </c>
      <c r="Y212" s="156">
        <f>_xlfn.IFNA(MATCH(E211,'Injury Report'!$C$2:$C$6216,0),0)</f>
        <v/>
      </c>
    </row>
    <row r="213" ht="15.6" customHeight="1" s="152">
      <c r="A213" s="212" t="n">
        <v>211</v>
      </c>
      <c r="B213" s="167">
        <f>F213&amp;G213</f>
        <v/>
      </c>
      <c r="C213" s="156">
        <f>(K213/MAX(K:K)*$K$1)+(O213/MAX(O:O)*$O$1)+(M213/MAX(M:M)*$M$1)+(N213/MAX(N:N)*$N$1)+(V213/MAX(V:V)*$V$1)+(P213/MAX(P:P)*$P$1)</f>
        <v/>
      </c>
      <c r="E213" s="156">
        <f>IFERROR(VLOOKUP(F213,AllPlayers!F:F,1,0),"------------")</f>
        <v/>
      </c>
      <c r="F213" s="156" t="inlineStr">
        <is>
          <t>Steven Sims</t>
        </is>
      </c>
      <c r="G213" s="167" t="inlineStr">
        <is>
          <t>SEA</t>
        </is>
      </c>
      <c r="H213" s="156" t="inlineStr">
        <is>
          <t>WR</t>
        </is>
      </c>
      <c r="I213" s="156" t="n">
        <v>17</v>
      </c>
      <c r="J213" s="156" t="n">
        <v>1.7</v>
      </c>
      <c r="K213" s="156" t="n">
        <v>17</v>
      </c>
      <c r="L213" s="156">
        <f>IF(J213=0,0,K213/J213)</f>
        <v/>
      </c>
      <c r="M213" s="156">
        <f>K213/17</f>
        <v/>
      </c>
      <c r="N213" s="156" t="n">
        <v>0.1</v>
      </c>
      <c r="O213" s="156" t="n">
        <v>32</v>
      </c>
      <c r="P213" s="281">
        <f>IF(K213=0,0,K213/O213)</f>
        <v/>
      </c>
      <c r="Q213" s="156" t="n">
        <v>1</v>
      </c>
      <c r="R213" s="156" t="n">
        <v>0</v>
      </c>
      <c r="S213" s="156" t="n">
        <v>0</v>
      </c>
      <c r="T213" s="156" t="n">
        <v>0</v>
      </c>
      <c r="U213" s="156" t="n">
        <v>0</v>
      </c>
      <c r="V213" s="156" t="n">
        <v>0</v>
      </c>
      <c r="W213" s="156" t="n">
        <v>0</v>
      </c>
      <c r="X213" s="204">
        <f>INDEX(Matrix!$AA$2:$AA$33, MATCH(G213, Matrix!$AC$2:$AC$33, 0))</f>
        <v/>
      </c>
      <c r="Y213" s="156">
        <f>_xlfn.IFNA(MATCH(E212,'Injury Report'!$C$2:$C$6216,0),0)</f>
        <v/>
      </c>
    </row>
    <row r="214" ht="15.6" customHeight="1" s="152">
      <c r="A214" s="212" t="n">
        <v>212</v>
      </c>
      <c r="B214" s="167">
        <f>F214&amp;G214</f>
        <v/>
      </c>
      <c r="C214" s="156">
        <f>(K214/MAX(K:K)*$K$1)+(O214/MAX(O:O)*$O$1)+(M214/MAX(M:M)*$M$1)+(N214/MAX(N:N)*$N$1)+(V214/MAX(V:V)*$V$1)+(P214/MAX(P:P)*$P$1)</f>
        <v/>
      </c>
      <c r="E214" s="156">
        <f>IFERROR(VLOOKUP(F214,AllPlayers!F:F,1,0),"------------")</f>
        <v/>
      </c>
      <c r="F214" s="156" t="inlineStr">
        <is>
          <t>Kevin Austin</t>
        </is>
      </c>
      <c r="G214" s="167" t="inlineStr">
        <is>
          <t>NO</t>
        </is>
      </c>
      <c r="H214" s="156" t="inlineStr">
        <is>
          <t>WR</t>
        </is>
      </c>
      <c r="I214" s="156" t="n">
        <v>17</v>
      </c>
      <c r="J214" s="156" t="n">
        <v>1.6</v>
      </c>
      <c r="K214" s="156" t="n">
        <v>18.9</v>
      </c>
      <c r="L214" s="156">
        <f>IF(J214=0,0,K214/J214)</f>
        <v/>
      </c>
      <c r="M214" s="156">
        <f>K214/17</f>
        <v/>
      </c>
      <c r="N214" s="156" t="n">
        <v>0.1</v>
      </c>
      <c r="O214" s="156" t="n">
        <v>21</v>
      </c>
      <c r="P214" s="281">
        <f>IF(K214=0,0,K214/O214)</f>
        <v/>
      </c>
      <c r="Q214" s="156" t="n">
        <v>2</v>
      </c>
      <c r="R214" s="156" t="n">
        <v>0</v>
      </c>
      <c r="S214" s="156" t="n">
        <v>0</v>
      </c>
      <c r="T214" s="156" t="n">
        <v>0</v>
      </c>
      <c r="U214" s="156" t="n">
        <v>0</v>
      </c>
      <c r="V214" s="156" t="n">
        <v>1</v>
      </c>
      <c r="W214" s="156" t="n">
        <v>0</v>
      </c>
      <c r="X214" s="204">
        <f>INDEX(Matrix!$AA$2:$AA$33, MATCH(G214, Matrix!$AC$2:$AC$33, 0))</f>
        <v/>
      </c>
      <c r="Y214" s="156">
        <f>_xlfn.IFNA(MATCH(E213,'Injury Report'!$C$2:$C$6216,0),0)</f>
        <v/>
      </c>
    </row>
    <row r="215" ht="15.6" customHeight="1" s="152">
      <c r="A215" s="212" t="n">
        <v>213</v>
      </c>
      <c r="B215" s="167">
        <f>F215&amp;G215</f>
        <v/>
      </c>
      <c r="C215" s="156">
        <f>(K215/MAX(K:K)*$K$1)+(O215/MAX(O:O)*$O$1)+(M215/MAX(M:M)*$M$1)+(N215/MAX(N:N)*$N$1)+(V215/MAX(V:V)*$V$1)+(P215/MAX(P:P)*$P$1)</f>
        <v/>
      </c>
      <c r="E215" s="156">
        <f>IFERROR(VLOOKUP(F215,AllPlayers!F:F,1,0),"------------")</f>
        <v/>
      </c>
      <c r="F215" s="156" t="inlineStr">
        <is>
          <t>Jimmy Horn</t>
        </is>
      </c>
      <c r="G215" s="167" t="inlineStr">
        <is>
          <t>CAR</t>
        </is>
      </c>
      <c r="H215" s="156" t="inlineStr">
        <is>
          <t>WR</t>
        </is>
      </c>
      <c r="I215" s="156" t="n">
        <v>17</v>
      </c>
      <c r="J215" s="156" t="n">
        <v>1.5</v>
      </c>
      <c r="K215" s="156" t="n">
        <v>18</v>
      </c>
      <c r="L215" s="156">
        <f>IF(J215=0,0,K215/J215)</f>
        <v/>
      </c>
      <c r="M215" s="156">
        <f>K215/17</f>
        <v/>
      </c>
      <c r="N215" s="156" t="n">
        <v>0</v>
      </c>
      <c r="O215" s="156" t="n">
        <v>24</v>
      </c>
      <c r="P215" s="281">
        <f>IF(K215=0,0,K215/O215)</f>
        <v/>
      </c>
      <c r="Q215" s="156" t="n">
        <v>1</v>
      </c>
      <c r="R215" s="156" t="n">
        <v>0</v>
      </c>
      <c r="S215" s="156" t="n">
        <v>0</v>
      </c>
      <c r="T215" s="156" t="n">
        <v>0</v>
      </c>
      <c r="U215" s="156" t="n">
        <v>0</v>
      </c>
      <c r="V215" s="156" t="n">
        <v>0</v>
      </c>
      <c r="W215" s="156" t="n">
        <v>0</v>
      </c>
      <c r="X215" s="204">
        <f>INDEX(Matrix!$AA$2:$AA$33, MATCH(G215, Matrix!$AC$2:$AC$33, 0))</f>
        <v/>
      </c>
      <c r="Y215" s="156">
        <f>_xlfn.IFNA(MATCH(E214,'Injury Report'!$C$2:$C$6216,0),0)</f>
        <v/>
      </c>
    </row>
    <row r="216" ht="15.6" customHeight="1" s="152">
      <c r="A216" s="212" t="n">
        <v>214</v>
      </c>
      <c r="B216" s="167">
        <f>F216&amp;G216</f>
        <v/>
      </c>
      <c r="C216" s="156">
        <f>(K216/MAX(K:K)*$K$1)+(O216/MAX(O:O)*$O$1)+(M216/MAX(M:M)*$M$1)+(N216/MAX(N:N)*$N$1)+(V216/MAX(V:V)*$V$1)+(P216/MAX(P:P)*$P$1)</f>
        <v/>
      </c>
      <c r="E216" s="156">
        <f>IFERROR(VLOOKUP(F216,AllPlayers!F:F,1,0),"------------")</f>
        <v/>
      </c>
      <c r="F216" s="156" t="inlineStr">
        <is>
          <t>Jason Brownlee</t>
        </is>
      </c>
      <c r="G216" s="167" t="inlineStr">
        <is>
          <t>KC</t>
        </is>
      </c>
      <c r="H216" s="156" t="inlineStr">
        <is>
          <t>WR</t>
        </is>
      </c>
      <c r="I216" s="156" t="n">
        <v>1</v>
      </c>
      <c r="J216" s="156" t="n">
        <v>0</v>
      </c>
      <c r="K216" s="156" t="n">
        <v>0</v>
      </c>
      <c r="L216" s="156">
        <f>IF(J216=0,0,K216/J216)</f>
        <v/>
      </c>
      <c r="M216" s="156">
        <f>K216/17</f>
        <v/>
      </c>
      <c r="N216" s="156" t="n">
        <v>0</v>
      </c>
      <c r="O216" s="156" t="n">
        <v>1</v>
      </c>
      <c r="P216" s="281">
        <f>IF(K216=0,0,K216/O216)</f>
        <v/>
      </c>
      <c r="Q216" s="156" t="n">
        <v>2</v>
      </c>
      <c r="R216" s="156" t="n">
        <v>0</v>
      </c>
      <c r="S216" s="156" t="n">
        <v>0</v>
      </c>
      <c r="T216" s="156" t="n">
        <v>0</v>
      </c>
      <c r="U216" s="156" t="n">
        <v>0</v>
      </c>
      <c r="V216" s="156" t="n">
        <v>0</v>
      </c>
      <c r="W216" s="156" t="n">
        <v>0</v>
      </c>
      <c r="X216" s="204">
        <f>INDEX(Matrix!$AA$2:$AA$33, MATCH(G216, Matrix!$AC$2:$AC$33, 0))</f>
        <v/>
      </c>
      <c r="Y216" s="156">
        <f>_xlfn.IFNA(MATCH(E215,'Injury Report'!$C$2:$C$6216,0),0)</f>
        <v/>
      </c>
    </row>
    <row r="217" ht="15.6" customHeight="1" s="152">
      <c r="A217" s="212" t="n">
        <v>215</v>
      </c>
      <c r="B217" s="167">
        <f>F217&amp;G217</f>
        <v/>
      </c>
      <c r="C217" s="156">
        <f>(K217/MAX(K:K)*$K$1)+(O217/MAX(O:O)*$O$1)+(M217/MAX(M:M)*$M$1)+(N217/MAX(N:N)*$N$1)+(V217/MAX(V:V)*$V$1)+(P217/MAX(P:P)*$P$1)</f>
        <v/>
      </c>
      <c r="E217" s="156">
        <f>IFERROR(VLOOKUP(F217,AllPlayers!F:F,1,0),"------------")</f>
        <v/>
      </c>
      <c r="F217" s="156" t="inlineStr">
        <is>
          <t>Braxton Berrios</t>
        </is>
      </c>
      <c r="G217" s="167" t="inlineStr">
        <is>
          <t>HOU</t>
        </is>
      </c>
      <c r="H217" s="156" t="inlineStr">
        <is>
          <t>WR</t>
        </is>
      </c>
      <c r="I217" s="156" t="n">
        <v>17</v>
      </c>
      <c r="J217" s="156" t="n">
        <v>1</v>
      </c>
      <c r="K217" s="156" t="n">
        <v>10.5</v>
      </c>
      <c r="L217" s="156">
        <f>IF(J217=0,0,K217/J217)</f>
        <v/>
      </c>
      <c r="M217" s="156">
        <f>K217/17</f>
        <v/>
      </c>
      <c r="N217" s="156" t="n">
        <v>0</v>
      </c>
      <c r="O217" s="156" t="n">
        <v>54</v>
      </c>
      <c r="P217" s="281">
        <f>IF(K217=0,0,K217/O217)</f>
        <v/>
      </c>
      <c r="Q217" s="156" t="n">
        <v>1</v>
      </c>
      <c r="R217" s="156" t="n">
        <v>0</v>
      </c>
      <c r="S217" s="156" t="n">
        <v>0</v>
      </c>
      <c r="T217" s="156" t="n">
        <v>0</v>
      </c>
      <c r="U217" s="156" t="n">
        <v>0</v>
      </c>
      <c r="V217" s="156" t="n">
        <v>3</v>
      </c>
      <c r="W217" s="156" t="n">
        <v>0</v>
      </c>
      <c r="X217" s="204">
        <f>INDEX(Matrix!$AA$2:$AA$33, MATCH(G217, Matrix!$AC$2:$AC$33, 0))</f>
        <v/>
      </c>
      <c r="Y217" s="156">
        <f>_xlfn.IFNA(MATCH(E216,'Injury Report'!$C$2:$C$6216,0),0)</f>
        <v/>
      </c>
    </row>
    <row r="218" ht="15.6" customHeight="1" s="152">
      <c r="A218" s="212" t="n">
        <v>216</v>
      </c>
      <c r="B218" s="167">
        <f>F218&amp;G218</f>
        <v/>
      </c>
      <c r="C218" s="156">
        <f>(K218/MAX(K:K)*$K$1)+(O218/MAX(O:O)*$O$1)+(M218/MAX(M:M)*$M$1)+(N218/MAX(N:N)*$N$1)+(V218/MAX(V:V)*$V$1)+(P218/MAX(P:P)*$P$1)</f>
        <v/>
      </c>
      <c r="E218" s="156">
        <f>IFERROR(VLOOKUP(F218,AllPlayers!F:F,1,0),"------------")</f>
        <v/>
      </c>
      <c r="F218" s="156" t="inlineStr">
        <is>
          <t>Chris Moore</t>
        </is>
      </c>
      <c r="G218" s="167" t="inlineStr">
        <is>
          <t>WAS</t>
        </is>
      </c>
      <c r="H218" s="156" t="inlineStr">
        <is>
          <t>WR</t>
        </is>
      </c>
      <c r="I218" s="156" t="n">
        <v>1</v>
      </c>
      <c r="J218" s="156" t="n">
        <v>1</v>
      </c>
      <c r="K218" s="156" t="n">
        <v>34</v>
      </c>
      <c r="L218" s="156">
        <f>IF(J218=0,0,K218/J218)</f>
        <v/>
      </c>
      <c r="M218" s="156">
        <f>K218/17</f>
        <v/>
      </c>
      <c r="N218" s="156" t="n">
        <v>0</v>
      </c>
      <c r="O218" s="156" t="n">
        <v>1</v>
      </c>
      <c r="P218" s="281">
        <f>IF(K218=0,0,K218/O218)</f>
        <v/>
      </c>
      <c r="Q218" s="156" t="n">
        <v>2</v>
      </c>
      <c r="R218" s="156" t="n">
        <v>0</v>
      </c>
      <c r="S218" s="156" t="n">
        <v>0</v>
      </c>
      <c r="T218" s="156" t="n">
        <v>0</v>
      </c>
      <c r="U218" s="156" t="n">
        <v>0</v>
      </c>
      <c r="V218" s="156" t="n">
        <v>0</v>
      </c>
      <c r="W218" s="156" t="n">
        <v>0</v>
      </c>
      <c r="X218" s="204">
        <f>INDEX(Matrix!$AA$2:$AA$33, MATCH(G218, Matrix!$AC$2:$AC$33, 0))</f>
        <v/>
      </c>
      <c r="Y218" s="156">
        <f>_xlfn.IFNA(MATCH(E217,'Injury Report'!$C$2:$C$6216,0),0)</f>
        <v/>
      </c>
    </row>
    <row r="219" ht="15.6" customHeight="1" s="152">
      <c r="A219" s="212" t="n">
        <v>217</v>
      </c>
      <c r="B219" s="167">
        <f>F219&amp;G219</f>
        <v/>
      </c>
      <c r="C219" s="156">
        <f>(K219/MAX(K:K)*$K$1)+(O219/MAX(O:O)*$O$1)+(M219/MAX(M:M)*$M$1)+(N219/MAX(N:N)*$N$1)+(V219/MAX(V:V)*$V$1)+(P219/MAX(P:P)*$P$1)</f>
        <v/>
      </c>
      <c r="E219" s="156">
        <f>IFERROR(VLOOKUP(F219,AllPlayers!F:F,1,0),"------------")</f>
        <v/>
      </c>
      <c r="F219" s="156" t="inlineStr">
        <is>
          <t>Lajohntay Wester</t>
        </is>
      </c>
      <c r="G219" s="167" t="inlineStr">
        <is>
          <t>BAL</t>
        </is>
      </c>
      <c r="H219" s="156" t="inlineStr">
        <is>
          <t>WR</t>
        </is>
      </c>
      <c r="I219" s="156" t="n">
        <v>2</v>
      </c>
      <c r="J219" s="156" t="n">
        <v>0</v>
      </c>
      <c r="K219" s="156" t="n">
        <v>0</v>
      </c>
      <c r="L219" s="156">
        <f>IF(J219=0,0,K219/J219)</f>
        <v/>
      </c>
      <c r="M219" s="156">
        <f>K219/17</f>
        <v/>
      </c>
      <c r="N219" s="156" t="n">
        <v>0</v>
      </c>
      <c r="O219" s="156" t="n">
        <v>0</v>
      </c>
      <c r="P219" s="281">
        <f>IF(K219=0,0,K219/O219)</f>
        <v/>
      </c>
      <c r="Q219" s="156" t="n">
        <v>0</v>
      </c>
      <c r="R219" s="156" t="n">
        <v>0</v>
      </c>
      <c r="S219" s="156" t="n">
        <v>0</v>
      </c>
      <c r="T219" s="156" t="n">
        <v>0</v>
      </c>
      <c r="U219" s="156" t="n">
        <v>0</v>
      </c>
      <c r="V219" s="156" t="n">
        <v>0</v>
      </c>
      <c r="W219" s="156" t="n">
        <v>0</v>
      </c>
      <c r="X219" s="204">
        <f>INDEX(Matrix!$AA$2:$AA$33, MATCH(G219, Matrix!$AC$2:$AC$33, 0))</f>
        <v/>
      </c>
      <c r="Y219" s="156">
        <f>_xlfn.IFNA(MATCH(E218,'Injury Report'!$C$2:$C$6216,0),0)</f>
        <v/>
      </c>
    </row>
    <row r="220" ht="15.6" customHeight="1" s="152">
      <c r="A220" s="212" t="n">
        <v>218</v>
      </c>
      <c r="B220" s="167">
        <f>F220&amp;G220</f>
        <v/>
      </c>
      <c r="C220" s="156">
        <f>(K220/MAX(K:K)*$K$1)+(O220/MAX(O:O)*$O$1)+(M220/MAX(M:M)*$M$1)+(N220/MAX(N:N)*$N$1)+(V220/MAX(V:V)*$V$1)+(P220/MAX(P:P)*$P$1)</f>
        <v/>
      </c>
      <c r="E220" s="156">
        <f>IFERROR(VLOOKUP(F220,AllPlayers!F:F,1,0),"------------")</f>
        <v/>
      </c>
      <c r="F220" s="156" t="inlineStr">
        <is>
          <t>Nikko Remigio</t>
        </is>
      </c>
      <c r="G220" s="167" t="inlineStr">
        <is>
          <t>KC</t>
        </is>
      </c>
      <c r="H220" s="156" t="inlineStr">
        <is>
          <t>WR</t>
        </is>
      </c>
      <c r="I220" s="156" t="n">
        <v>2</v>
      </c>
      <c r="J220" s="156" t="n">
        <v>1</v>
      </c>
      <c r="K220" s="156" t="n">
        <v>21</v>
      </c>
      <c r="L220" s="156">
        <f>IF(J220=0,0,K220/J220)</f>
        <v/>
      </c>
      <c r="M220" s="156">
        <f>K220/17</f>
        <v/>
      </c>
      <c r="N220" s="156" t="n">
        <v>0</v>
      </c>
      <c r="O220" s="156" t="n">
        <v>1</v>
      </c>
      <c r="P220" s="281">
        <f>IF(K220=0,0,K220/O220)</f>
        <v/>
      </c>
      <c r="Q220" s="156" t="n">
        <v>3</v>
      </c>
      <c r="R220" s="156" t="n">
        <v>0</v>
      </c>
      <c r="S220" s="156" t="n">
        <v>0</v>
      </c>
      <c r="T220" s="156" t="n">
        <v>0</v>
      </c>
      <c r="U220" s="156" t="n">
        <v>0</v>
      </c>
      <c r="V220" s="156" t="n">
        <v>0</v>
      </c>
      <c r="W220" s="156" t="n">
        <v>0</v>
      </c>
      <c r="X220" s="204">
        <f>INDEX(Matrix!$AA$2:$AA$33, MATCH(G220, Matrix!$AC$2:$AC$33, 0))</f>
        <v/>
      </c>
      <c r="Y220" s="156">
        <f>_xlfn.IFNA(MATCH(E219,'Injury Report'!$C$2:$C$6216,0),0)</f>
        <v/>
      </c>
    </row>
    <row r="221" ht="15.6" customHeight="1" s="152">
      <c r="A221" s="212" t="n">
        <v>219</v>
      </c>
      <c r="B221" s="167">
        <f>F221&amp;G221</f>
        <v/>
      </c>
      <c r="C221" s="156">
        <f>(K221/MAX(K:K)*$K$1)+(O221/MAX(O:O)*$O$1)+(M221/MAX(M:M)*$M$1)+(N221/MAX(N:N)*$N$1)+(V221/MAX(V:V)*$V$1)+(P221/MAX(P:P)*$P$1)</f>
        <v/>
      </c>
      <c r="E221" s="156">
        <f>IFERROR(VLOOKUP(F221,AllPlayers!F:F,1,0),"------------")</f>
        <v/>
      </c>
      <c r="F221" s="156" t="inlineStr">
        <is>
          <t>Ihmir Smith-marsette</t>
        </is>
      </c>
      <c r="G221" s="167" t="inlineStr">
        <is>
          <t>NYG</t>
        </is>
      </c>
      <c r="H221" s="156" t="inlineStr">
        <is>
          <t>WR</t>
        </is>
      </c>
      <c r="I221" s="156" t="n">
        <v>17</v>
      </c>
      <c r="J221" s="156" t="n">
        <v>0.8</v>
      </c>
      <c r="K221" s="156" t="n">
        <v>9.5</v>
      </c>
      <c r="L221" s="156">
        <f>IF(J221=0,0,K221/J221)</f>
        <v/>
      </c>
      <c r="M221" s="156">
        <f>K221/17</f>
        <v/>
      </c>
      <c r="N221" s="156" t="n">
        <v>0.1</v>
      </c>
      <c r="O221" s="156" t="n">
        <v>23</v>
      </c>
      <c r="P221" s="281">
        <f>IF(K221=0,0,K221/O221)</f>
        <v/>
      </c>
      <c r="Q221" s="156" t="n">
        <v>1</v>
      </c>
      <c r="R221" s="156" t="n">
        <v>0</v>
      </c>
      <c r="S221" s="156" t="n">
        <v>0</v>
      </c>
      <c r="T221" s="156" t="n">
        <v>0</v>
      </c>
      <c r="U221" s="156" t="n">
        <v>0</v>
      </c>
      <c r="V221" s="156" t="n">
        <v>1</v>
      </c>
      <c r="W221" s="156" t="n">
        <v>0.5</v>
      </c>
      <c r="X221" s="204">
        <f>INDEX(Matrix!$AA$2:$AA$33, MATCH(G221, Matrix!$AC$2:$AC$33, 0))</f>
        <v/>
      </c>
      <c r="Y221" s="156">
        <f>_xlfn.IFNA(MATCH(E220,'Injury Report'!$C$2:$C$6216,0),0)</f>
        <v/>
      </c>
    </row>
    <row r="222" ht="15.6" customHeight="1" s="152">
      <c r="A222" s="212" t="n">
        <v>220</v>
      </c>
      <c r="B222" s="167">
        <f>F222&amp;G222</f>
        <v/>
      </c>
      <c r="C222" s="156">
        <f>(K222/MAX(K:K)*$K$1)+(O222/MAX(O:O)*$O$1)+(M222/MAX(M:M)*$M$1)+(N222/MAX(N:N)*$N$1)+(V222/MAX(V:V)*$V$1)+(P222/MAX(P:P)*$P$1)</f>
        <v/>
      </c>
      <c r="E222" s="156">
        <f>IFERROR(VLOOKUP(F222,AllPlayers!F:F,1,0),"------------")</f>
        <v/>
      </c>
      <c r="F222" s="156" t="inlineStr">
        <is>
          <t>Trenton Irwin</t>
        </is>
      </c>
      <c r="G222" s="167" t="inlineStr">
        <is>
          <t>JAX</t>
        </is>
      </c>
      <c r="H222" s="156" t="inlineStr">
        <is>
          <t>WR</t>
        </is>
      </c>
      <c r="I222" s="156" t="n">
        <v>17</v>
      </c>
      <c r="J222" s="156" t="n">
        <v>0</v>
      </c>
      <c r="K222" s="156" t="n">
        <v>0</v>
      </c>
      <c r="L222" s="156">
        <f>IF(J222=0,0,K222/J222)</f>
        <v/>
      </c>
      <c r="M222" s="156">
        <f>K222/17</f>
        <v/>
      </c>
      <c r="N222" s="156" t="n">
        <v>0</v>
      </c>
      <c r="O222" s="156" t="n">
        <v>25</v>
      </c>
      <c r="P222" s="281">
        <f>IF(K222=0,0,K222/O222)</f>
        <v/>
      </c>
      <c r="Q222" s="156" t="n">
        <v>1</v>
      </c>
      <c r="R222" s="156" t="n">
        <v>0</v>
      </c>
      <c r="S222" s="156" t="n">
        <v>0</v>
      </c>
      <c r="T222" s="156" t="n">
        <v>0</v>
      </c>
      <c r="U222" s="156" t="n">
        <v>0</v>
      </c>
      <c r="V222" s="156" t="n">
        <v>2</v>
      </c>
      <c r="W222" s="156" t="n">
        <v>0</v>
      </c>
      <c r="X222" s="204">
        <f>INDEX(Matrix!$AA$2:$AA$33, MATCH(G222, Matrix!$AC$2:$AC$33, 0))</f>
        <v/>
      </c>
      <c r="Y222" s="156">
        <f>_xlfn.IFNA(MATCH(E221,'Injury Report'!$C$2:$C$6216,0),0)</f>
        <v/>
      </c>
    </row>
    <row r="223" ht="15.6" customHeight="1" s="152">
      <c r="A223" s="212" t="n">
        <v>221</v>
      </c>
      <c r="B223" s="167">
        <f>F223&amp;G223</f>
        <v/>
      </c>
      <c r="C223" s="156">
        <f>(K223/MAX(K:K)*$K$1)+(O223/MAX(O:O)*$O$1)+(M223/MAX(M:M)*$M$1)+(N223/MAX(N:N)*$N$1)+(V223/MAX(V:V)*$V$1)+(P223/MAX(P:P)*$P$1)</f>
        <v/>
      </c>
      <c r="E223" s="156">
        <f>IFERROR(VLOOKUP(F223,AllPlayers!F:F,1,0),"------------")</f>
        <v/>
      </c>
      <c r="F223" s="156" t="inlineStr">
        <is>
          <t>Xavier Smith</t>
        </is>
      </c>
      <c r="G223" s="167" t="inlineStr">
        <is>
          <t>LAR</t>
        </is>
      </c>
      <c r="H223" s="156" t="inlineStr">
        <is>
          <t>WR</t>
        </is>
      </c>
      <c r="I223" s="156" t="n">
        <v>2</v>
      </c>
      <c r="J223" s="156" t="n">
        <v>1</v>
      </c>
      <c r="K223" s="156" t="n">
        <v>36</v>
      </c>
      <c r="L223" s="156">
        <f>IF(J223=0,0,K223/J223)</f>
        <v/>
      </c>
      <c r="M223" s="156">
        <f>K223/17</f>
        <v/>
      </c>
      <c r="N223" s="156" t="n">
        <v>0</v>
      </c>
      <c r="O223" s="156" t="n">
        <v>1</v>
      </c>
      <c r="P223" s="281">
        <f>IF(K223=0,0,K223/O223)</f>
        <v/>
      </c>
      <c r="Q223" s="156" t="n">
        <v>1</v>
      </c>
      <c r="R223" s="156" t="n">
        <v>0</v>
      </c>
      <c r="S223" s="156" t="n">
        <v>0</v>
      </c>
      <c r="T223" s="156" t="n">
        <v>0</v>
      </c>
      <c r="U223" s="156" t="n">
        <v>0</v>
      </c>
      <c r="V223" s="156" t="n">
        <v>0</v>
      </c>
      <c r="W223" s="156" t="n">
        <v>0</v>
      </c>
      <c r="X223" s="204">
        <f>INDEX(Matrix!$AA$2:$AA$33, MATCH(G223, Matrix!$AC$2:$AC$33, 0))</f>
        <v/>
      </c>
      <c r="Y223" s="156">
        <f>_xlfn.IFNA(MATCH(E222,'Injury Report'!$C$2:$C$6216,0),0)</f>
        <v/>
      </c>
    </row>
    <row r="224" ht="15.6" customHeight="1" s="152">
      <c r="A224" s="212" t="n">
        <v>222</v>
      </c>
      <c r="B224" s="167">
        <f>F224&amp;G224</f>
        <v/>
      </c>
      <c r="C224" s="156">
        <f>(K224/MAX(K:K)*$K$1)+(O224/MAX(O:O)*$O$1)+(M224/MAX(M:M)*$M$1)+(N224/MAX(N:N)*$N$1)+(V224/MAX(V:V)*$V$1)+(P224/MAX(P:P)*$P$1)</f>
        <v/>
      </c>
      <c r="E224" s="156">
        <f>IFERROR(VLOOKUP(F224,AllPlayers!F:F,1,0),"------------")</f>
        <v/>
      </c>
      <c r="F224" s="156" t="inlineStr">
        <is>
          <t>Tom Kennedy</t>
        </is>
      </c>
      <c r="G224" s="167" t="inlineStr">
        <is>
          <t>DET</t>
        </is>
      </c>
      <c r="H224" s="156" t="inlineStr">
        <is>
          <t>WR</t>
        </is>
      </c>
      <c r="I224" s="156" t="n">
        <v>17</v>
      </c>
      <c r="J224" s="156" t="n">
        <v>0</v>
      </c>
      <c r="K224" s="156" t="n">
        <v>0</v>
      </c>
      <c r="L224" s="156">
        <f>IF(J224=0,0,K224/J224)</f>
        <v/>
      </c>
      <c r="M224" s="156">
        <f>K224/17</f>
        <v/>
      </c>
      <c r="N224" s="156" t="n">
        <v>0</v>
      </c>
      <c r="O224" s="156" t="n">
        <v>29</v>
      </c>
      <c r="P224" s="281">
        <f>IF(K224=0,0,K224/O224)</f>
        <v/>
      </c>
      <c r="Q224" s="156" t="n">
        <v>2</v>
      </c>
      <c r="R224" s="156" t="n">
        <v>0</v>
      </c>
      <c r="S224" s="156" t="n">
        <v>0</v>
      </c>
      <c r="T224" s="156" t="n">
        <v>0</v>
      </c>
      <c r="U224" s="156" t="n">
        <v>0</v>
      </c>
      <c r="V224" s="156" t="n">
        <v>1</v>
      </c>
      <c r="W224" s="156" t="n">
        <v>0</v>
      </c>
      <c r="X224" s="204">
        <f>INDEX(Matrix!$AA$2:$AA$33, MATCH(G224, Matrix!$AC$2:$AC$33, 0))</f>
        <v/>
      </c>
      <c r="Y224" s="156">
        <f>_xlfn.IFNA(MATCH(E223,'Injury Report'!$C$2:$C$6216,0),0)</f>
        <v/>
      </c>
    </row>
    <row r="225" ht="15.6" customHeight="1" s="152">
      <c r="A225" s="212" t="n">
        <v>223</v>
      </c>
      <c r="B225" s="167">
        <f>F225&amp;G225</f>
        <v/>
      </c>
      <c r="C225" s="156">
        <f>(K225/MAX(K:K)*$K$1)+(O225/MAX(O:O)*$O$1)+(M225/MAX(M:M)*$M$1)+(N225/MAX(N:N)*$N$1)+(V225/MAX(V:V)*$V$1)+(P225/MAX(P:P)*$P$1)</f>
        <v/>
      </c>
      <c r="E225" s="156">
        <f>IFERROR(VLOOKUP(F225,AllPlayers!F:F,1,0),"------------")</f>
        <v/>
      </c>
      <c r="F225" s="156" t="inlineStr">
        <is>
          <t>Mason Kinsey</t>
        </is>
      </c>
      <c r="G225" s="167" t="inlineStr">
        <is>
          <t>TEN</t>
        </is>
      </c>
      <c r="H225" s="156" t="inlineStr">
        <is>
          <t>WR</t>
        </is>
      </c>
      <c r="I225" s="156" t="n">
        <v>17</v>
      </c>
      <c r="J225" s="156" t="n">
        <v>0</v>
      </c>
      <c r="K225" s="156" t="n">
        <v>0</v>
      </c>
      <c r="L225" s="156">
        <f>IF(J225=0,0,K225/J225)</f>
        <v/>
      </c>
      <c r="M225" s="156">
        <f>K225/17</f>
        <v/>
      </c>
      <c r="N225" s="156" t="n">
        <v>0</v>
      </c>
      <c r="O225" s="156" t="n">
        <v>32</v>
      </c>
      <c r="P225" s="281">
        <f>IF(K225=0,0,K225/O225)</f>
        <v/>
      </c>
      <c r="Q225" s="156" t="n">
        <v>1</v>
      </c>
      <c r="R225" s="156" t="n">
        <v>0</v>
      </c>
      <c r="S225" s="156" t="n">
        <v>0</v>
      </c>
      <c r="T225" s="156" t="n">
        <v>0</v>
      </c>
      <c r="U225" s="156" t="n">
        <v>0</v>
      </c>
      <c r="V225" s="156" t="n">
        <v>0</v>
      </c>
      <c r="W225" s="156" t="n">
        <v>0</v>
      </c>
      <c r="X225" s="204">
        <f>INDEX(Matrix!$AA$2:$AA$33, MATCH(G225, Matrix!$AC$2:$AC$33, 0))</f>
        <v/>
      </c>
      <c r="Y225" s="156">
        <f>_xlfn.IFNA(MATCH(E224,'Injury Report'!$C$2:$C$6216,0),0)</f>
        <v/>
      </c>
    </row>
    <row r="226" ht="15.6" customHeight="1" s="152">
      <c r="A226" s="212" t="n">
        <v>224</v>
      </c>
      <c r="B226" s="167">
        <f>F226&amp;G226</f>
        <v/>
      </c>
      <c r="C226" s="156">
        <f>(K226/MAX(K:K)*$K$1)+(O226/MAX(O:O)*$O$1)+(M226/MAX(M:M)*$M$1)+(N226/MAX(N:N)*$N$1)+(V226/MAX(V:V)*$V$1)+(P226/MAX(P:P)*$P$1)</f>
        <v/>
      </c>
      <c r="E226" s="156">
        <f>IFERROR(VLOOKUP(F226,AllPlayers!F:F,1,0),"------------")</f>
        <v/>
      </c>
      <c r="F226" s="156" t="inlineStr">
        <is>
          <t>Laquon Treadwell</t>
        </is>
      </c>
      <c r="G226" s="167" t="inlineStr">
        <is>
          <t>IND</t>
        </is>
      </c>
      <c r="H226" s="156" t="inlineStr">
        <is>
          <t>WR</t>
        </is>
      </c>
      <c r="I226" s="156" t="n">
        <v>17</v>
      </c>
      <c r="J226" s="156" t="n">
        <v>0</v>
      </c>
      <c r="K226" s="156" t="n">
        <v>0</v>
      </c>
      <c r="L226" s="156">
        <f>IF(J226=0,0,K226/J226)</f>
        <v/>
      </c>
      <c r="M226" s="156">
        <f>K226/17</f>
        <v/>
      </c>
      <c r="N226" s="156" t="n">
        <v>0</v>
      </c>
      <c r="O226" s="156" t="n">
        <v>23</v>
      </c>
      <c r="P226" s="281">
        <f>IF(K226=0,0,K226/O226)</f>
        <v/>
      </c>
      <c r="Q226" s="156" t="n">
        <v>0</v>
      </c>
      <c r="R226" s="156" t="n">
        <v>0</v>
      </c>
      <c r="S226" s="156" t="n">
        <v>0</v>
      </c>
      <c r="T226" s="156" t="n">
        <v>0</v>
      </c>
      <c r="U226" s="156" t="n">
        <v>0</v>
      </c>
      <c r="V226" s="156" t="n">
        <v>1</v>
      </c>
      <c r="W226" s="156" t="n">
        <v>0</v>
      </c>
      <c r="X226" s="204">
        <f>INDEX(Matrix!$AA$2:$AA$33, MATCH(G226, Matrix!$AC$2:$AC$33, 0))</f>
        <v/>
      </c>
      <c r="Y226" s="156">
        <f>_xlfn.IFNA(MATCH(E225,'Injury Report'!$C$2:$C$6216,0),0)</f>
        <v/>
      </c>
    </row>
    <row r="227" ht="15.6" customHeight="1" s="152">
      <c r="A227" s="212" t="n">
        <v>225</v>
      </c>
      <c r="B227" s="167">
        <f>F227&amp;G227</f>
        <v/>
      </c>
      <c r="C227" s="156">
        <f>(K227/MAX(K:K)*$K$1)+(O227/MAX(O:O)*$O$1)+(M227/MAX(M:M)*$M$1)+(N227/MAX(N:N)*$N$1)+(V227/MAX(V:V)*$V$1)+(P227/MAX(P:P)*$P$1)</f>
        <v/>
      </c>
      <c r="E227" s="156">
        <f>IFERROR(VLOOKUP(F227,AllPlayers!F:F,1,0),"------------")</f>
        <v/>
      </c>
      <c r="F227" s="156" t="inlineStr">
        <is>
          <t>River Cracraft</t>
        </is>
      </c>
      <c r="G227" s="167" t="inlineStr">
        <is>
          <t>WAS</t>
        </is>
      </c>
      <c r="H227" s="156" t="inlineStr">
        <is>
          <t>WR</t>
        </is>
      </c>
      <c r="I227" s="156" t="n">
        <v>17</v>
      </c>
      <c r="J227" s="156" t="n">
        <v>0</v>
      </c>
      <c r="K227" s="156" t="n">
        <v>0</v>
      </c>
      <c r="L227" s="156">
        <f>IF(J227=0,0,K227/J227)</f>
        <v/>
      </c>
      <c r="M227" s="156">
        <f>K227/17</f>
        <v/>
      </c>
      <c r="N227" s="156" t="n">
        <v>0</v>
      </c>
      <c r="O227" s="156" t="n">
        <v>38</v>
      </c>
      <c r="P227" s="281">
        <f>IF(K227=0,0,K227/O227)</f>
        <v/>
      </c>
      <c r="Q227" s="156" t="n">
        <v>0</v>
      </c>
      <c r="R227" s="156" t="n">
        <v>0</v>
      </c>
      <c r="S227" s="156" t="n">
        <v>0</v>
      </c>
      <c r="T227" s="156" t="n">
        <v>0</v>
      </c>
      <c r="U227" s="156" t="n">
        <v>0</v>
      </c>
      <c r="V227" s="156" t="n">
        <v>0</v>
      </c>
      <c r="W227" s="156" t="n">
        <v>0</v>
      </c>
      <c r="X227" s="204">
        <f>INDEX(Matrix!$AA$2:$AA$33, MATCH(G227, Matrix!$AC$2:$AC$33, 0))</f>
        <v/>
      </c>
      <c r="Y227" s="156">
        <f>_xlfn.IFNA(MATCH(E226,'Injury Report'!$C$2:$C$6216,0),0)</f>
        <v/>
      </c>
    </row>
    <row r="228" ht="15.6" customHeight="1" s="152">
      <c r="A228" s="212" t="n">
        <v>226</v>
      </c>
      <c r="B228" s="167">
        <f>F228&amp;G228</f>
        <v/>
      </c>
      <c r="C228" s="156">
        <f>(K228/MAX(K:K)*$K$1)+(O228/MAX(O:O)*$O$1)+(M228/MAX(M:M)*$M$1)+(N228/MAX(N:N)*$N$1)+(V228/MAX(V:V)*$V$1)+(P228/MAX(P:P)*$P$1)</f>
        <v/>
      </c>
      <c r="E228" s="156">
        <f>IFERROR(VLOOKUP(F228,AllPlayers!F:F,1,0),"------------")</f>
        <v/>
      </c>
      <c r="F228" s="156" t="inlineStr">
        <is>
          <t>Trent Taylor</t>
        </is>
      </c>
      <c r="G228" s="167" t="inlineStr">
        <is>
          <t>SF</t>
        </is>
      </c>
      <c r="H228" s="156" t="inlineStr">
        <is>
          <t>WR</t>
        </is>
      </c>
      <c r="I228" s="156" t="n">
        <v>17</v>
      </c>
      <c r="J228" s="156" t="n">
        <v>0</v>
      </c>
      <c r="K228" s="156" t="n">
        <v>0</v>
      </c>
      <c r="L228" s="156">
        <f>IF(J228=0,0,K228/J228)</f>
        <v/>
      </c>
      <c r="M228" s="156">
        <f>K228/17</f>
        <v/>
      </c>
      <c r="N228" s="156" t="n">
        <v>0</v>
      </c>
      <c r="O228" s="156" t="n">
        <v>23</v>
      </c>
      <c r="P228" s="281">
        <f>IF(K228=0,0,K228/O228)</f>
        <v/>
      </c>
      <c r="Q228" s="156" t="n">
        <v>1</v>
      </c>
      <c r="R228" s="156" t="n">
        <v>0</v>
      </c>
      <c r="S228" s="156" t="n">
        <v>0</v>
      </c>
      <c r="T228" s="156" t="n">
        <v>0</v>
      </c>
      <c r="U228" s="156" t="n">
        <v>0</v>
      </c>
      <c r="V228" s="156" t="n">
        <v>0</v>
      </c>
      <c r="W228" s="156" t="n">
        <v>0</v>
      </c>
      <c r="X228" s="204">
        <f>INDEX(Matrix!$AA$2:$AA$33, MATCH(G228, Matrix!$AC$2:$AC$33, 0))</f>
        <v/>
      </c>
      <c r="Y228" s="156">
        <f>_xlfn.IFNA(MATCH(E227,'Injury Report'!$C$2:$C$6216,0),0)</f>
        <v/>
      </c>
    </row>
    <row r="229" ht="15.6" customHeight="1" s="152">
      <c r="A229" s="212" t="n">
        <v>227</v>
      </c>
      <c r="B229" s="167">
        <f>F229&amp;G229</f>
        <v/>
      </c>
      <c r="C229" s="156">
        <f>(K229/MAX(K:K)*$K$1)+(O229/MAX(O:O)*$O$1)+(M229/MAX(M:M)*$M$1)+(N229/MAX(N:N)*$N$1)+(V229/MAX(V:V)*$V$1)+(P229/MAX(P:P)*$P$1)</f>
        <v/>
      </c>
      <c r="E229" s="156">
        <f>IFERROR(VLOOKUP(F229,AllPlayers!F:F,1,0),"------------")</f>
        <v/>
      </c>
      <c r="F229" s="156" t="inlineStr">
        <is>
          <t>Keith Kirkwood</t>
        </is>
      </c>
      <c r="G229" s="167" t="inlineStr">
        <is>
          <t>BAL</t>
        </is>
      </c>
      <c r="H229" s="156" t="inlineStr">
        <is>
          <t>WR</t>
        </is>
      </c>
      <c r="I229" s="156" t="n">
        <v>17</v>
      </c>
      <c r="J229" s="156" t="n">
        <v>0</v>
      </c>
      <c r="K229" s="156" t="n">
        <v>0</v>
      </c>
      <c r="L229" s="156">
        <f>IF(J229=0,0,K229/J229)</f>
        <v/>
      </c>
      <c r="M229" s="156">
        <f>K229/17</f>
        <v/>
      </c>
      <c r="N229" s="156" t="n">
        <v>0</v>
      </c>
      <c r="O229" s="156" t="n">
        <v>16</v>
      </c>
      <c r="P229" s="281">
        <f>IF(K229=0,0,K229/O229)</f>
        <v/>
      </c>
      <c r="Q229" s="156" t="n">
        <v>3</v>
      </c>
      <c r="R229" s="156" t="n">
        <v>1</v>
      </c>
      <c r="S229" s="156" t="n">
        <v>0</v>
      </c>
      <c r="T229" s="156" t="n">
        <v>0</v>
      </c>
      <c r="U229" s="156" t="n">
        <v>0</v>
      </c>
      <c r="V229" s="156" t="n">
        <v>1</v>
      </c>
      <c r="W229" s="156" t="n">
        <v>0</v>
      </c>
      <c r="X229" s="204">
        <f>INDEX(Matrix!$AA$2:$AA$33, MATCH(G229, Matrix!$AC$2:$AC$33, 0))</f>
        <v/>
      </c>
      <c r="Y229" s="156">
        <f>_xlfn.IFNA(MATCH(E228,'Injury Report'!$C$2:$C$6216,0),0)</f>
        <v/>
      </c>
    </row>
    <row r="230" ht="15.6" customHeight="1" s="152">
      <c r="A230" s="212" t="n">
        <v>228</v>
      </c>
      <c r="B230" s="167">
        <f>F230&amp;G230</f>
        <v/>
      </c>
      <c r="C230" s="156">
        <f>(K230/MAX(K:K)*$K$1)+(O230/MAX(O:O)*$O$1)+(M230/MAX(M:M)*$M$1)+(N230/MAX(N:N)*$N$1)+(V230/MAX(V:V)*$V$1)+(P230/MAX(P:P)*$P$1)</f>
        <v/>
      </c>
      <c r="E230" s="156">
        <f>IFERROR(VLOOKUP(F230,AllPlayers!F:F,1,0),"------------")</f>
        <v/>
      </c>
      <c r="F230" s="156" t="inlineStr">
        <is>
          <t>Phillip Dorsett</t>
        </is>
      </c>
      <c r="G230" s="167" t="inlineStr">
        <is>
          <t>LV</t>
        </is>
      </c>
      <c r="H230" s="156" t="inlineStr">
        <is>
          <t>WR</t>
        </is>
      </c>
      <c r="I230" s="156" t="n">
        <v>17</v>
      </c>
      <c r="J230" s="156" t="n">
        <v>0</v>
      </c>
      <c r="K230" s="156" t="n">
        <v>0</v>
      </c>
      <c r="L230" s="156">
        <f>IF(J230=0,0,K230/J230)</f>
        <v/>
      </c>
      <c r="M230" s="156">
        <f>K230/17</f>
        <v/>
      </c>
      <c r="N230" s="156" t="n">
        <v>0</v>
      </c>
      <c r="O230" s="156" t="n">
        <v>22</v>
      </c>
      <c r="P230" s="281">
        <f>IF(K230=0,0,K230/O230)</f>
        <v/>
      </c>
      <c r="Q230" s="156" t="n">
        <v>2</v>
      </c>
      <c r="R230" s="156" t="n">
        <v>0</v>
      </c>
      <c r="S230" s="156" t="n">
        <v>0</v>
      </c>
      <c r="T230" s="156" t="n">
        <v>0</v>
      </c>
      <c r="U230" s="156" t="n">
        <v>0</v>
      </c>
      <c r="V230" s="156" t="n">
        <v>1</v>
      </c>
      <c r="W230" s="156" t="n">
        <v>0</v>
      </c>
      <c r="X230" s="204">
        <f>INDEX(Matrix!$AA$2:$AA$33, MATCH(G230, Matrix!$AC$2:$AC$33, 0))</f>
        <v/>
      </c>
      <c r="Y230" s="156">
        <f>_xlfn.IFNA(MATCH(E229,'Injury Report'!$C$2:$C$6216,0),0)</f>
        <v/>
      </c>
    </row>
    <row r="231" ht="15.6" customHeight="1" s="152">
      <c r="A231" s="212" t="n">
        <v>229</v>
      </c>
      <c r="B231" s="167">
        <f>F231&amp;G231</f>
        <v/>
      </c>
      <c r="C231" s="156">
        <f>(K231/MAX(K:K)*$K$1)+(O231/MAX(O:O)*$O$1)+(M231/MAX(M:M)*$M$1)+(N231/MAX(N:N)*$N$1)+(V231/MAX(V:V)*$V$1)+(P231/MAX(P:P)*$P$1)</f>
        <v/>
      </c>
      <c r="E231" s="156">
        <f>IFERROR(VLOOKUP(F231,AllPlayers!F:F,1,0),"------------")</f>
        <v/>
      </c>
      <c r="F231" s="156" t="inlineStr">
        <is>
          <t>Brock Bowers</t>
        </is>
      </c>
      <c r="G231" s="167" t="inlineStr">
        <is>
          <t>LV</t>
        </is>
      </c>
      <c r="H231" s="156" t="inlineStr">
        <is>
          <t>TE</t>
        </is>
      </c>
      <c r="I231" s="156" t="n">
        <v>2</v>
      </c>
      <c r="J231" s="156" t="n">
        <v>10</v>
      </c>
      <c r="K231" s="156" t="n">
        <v>141</v>
      </c>
      <c r="L231" s="156">
        <f>IF(J231=0,0,K231/J231)</f>
        <v/>
      </c>
      <c r="M231" s="156">
        <f>K231/17</f>
        <v/>
      </c>
      <c r="N231" s="156" t="n">
        <v>0</v>
      </c>
      <c r="O231" s="156" t="n">
        <v>16</v>
      </c>
      <c r="P231" s="281">
        <f>IF(K231=0,0,K231/O231)</f>
        <v/>
      </c>
      <c r="Q231" s="156" t="n">
        <v>2</v>
      </c>
      <c r="R231" s="156" t="n">
        <v>0</v>
      </c>
      <c r="S231" s="156" t="n">
        <v>0</v>
      </c>
      <c r="T231" s="156" t="n">
        <v>0</v>
      </c>
      <c r="U231" s="156" t="n">
        <v>0</v>
      </c>
      <c r="V231" s="156" t="n">
        <v>0</v>
      </c>
      <c r="W231" s="156" t="n">
        <v>0</v>
      </c>
      <c r="X231" s="204">
        <f>INDEX(Matrix!$AA$2:$AA$33, MATCH(G231, Matrix!$AC$2:$AC$33, 0))</f>
        <v/>
      </c>
      <c r="Y231" s="156">
        <f>_xlfn.IFNA(MATCH(E230,'Injury Report'!$C$2:$C$6216,0),0)</f>
        <v/>
      </c>
    </row>
    <row r="232" ht="15.6" customHeight="1" s="152">
      <c r="A232" s="212" t="n">
        <v>230</v>
      </c>
      <c r="B232" s="167">
        <f>F232&amp;G232</f>
        <v/>
      </c>
      <c r="C232" s="156">
        <f>(K232/MAX(K:K)*$K$1)+(O232/MAX(O:O)*$O$1)+(M232/MAX(M:M)*$M$1)+(N232/MAX(N:N)*$N$1)+(V232/MAX(V:V)*$V$1)+(P232/MAX(P:P)*$P$1)</f>
        <v/>
      </c>
      <c r="E232" s="156">
        <f>IFERROR(VLOOKUP(F232,AllPlayers!F:F,1,0),"------------")</f>
        <v/>
      </c>
      <c r="F232" s="156" t="inlineStr">
        <is>
          <t>George Kittle</t>
        </is>
      </c>
      <c r="G232" s="167" t="inlineStr">
        <is>
          <t>SF</t>
        </is>
      </c>
      <c r="H232" s="156" t="inlineStr">
        <is>
          <t>TE</t>
        </is>
      </c>
      <c r="I232" s="156" t="n">
        <v>1</v>
      </c>
      <c r="J232" s="156" t="n">
        <v>4</v>
      </c>
      <c r="K232" s="156" t="n">
        <v>25</v>
      </c>
      <c r="L232" s="156">
        <f>IF(J232=0,0,K232/J232)</f>
        <v/>
      </c>
      <c r="M232" s="156">
        <f>K232/17</f>
        <v/>
      </c>
      <c r="N232" s="156" t="n">
        <v>1</v>
      </c>
      <c r="O232" s="156" t="n">
        <v>4</v>
      </c>
      <c r="P232" s="281">
        <f>IF(K232=0,0,K232/O232)</f>
        <v/>
      </c>
      <c r="Q232" s="156" t="n">
        <v>0</v>
      </c>
      <c r="R232" s="156" t="n">
        <v>0</v>
      </c>
      <c r="S232" s="156" t="n">
        <v>0</v>
      </c>
      <c r="T232" s="156" t="n">
        <v>0</v>
      </c>
      <c r="U232" s="156" t="n">
        <v>0</v>
      </c>
      <c r="V232" s="156" t="n">
        <v>0</v>
      </c>
      <c r="W232" s="156" t="n">
        <v>0</v>
      </c>
      <c r="X232" s="204">
        <f>INDEX(Matrix!$AA$2:$AA$33, MATCH(G232, Matrix!$AC$2:$AC$33, 0))</f>
        <v/>
      </c>
      <c r="Y232" s="156">
        <f>_xlfn.IFNA(MATCH(E231,'Injury Report'!$C$2:$C$6216,0),0)</f>
        <v/>
      </c>
    </row>
    <row r="233" ht="15.6" customHeight="1" s="152">
      <c r="A233" s="212" t="n">
        <v>231</v>
      </c>
      <c r="B233" s="167">
        <f>F233&amp;G233</f>
        <v/>
      </c>
      <c r="C233" s="156">
        <f>(K233/MAX(K:K)*$K$1)+(O233/MAX(O:O)*$O$1)+(M233/MAX(M:M)*$M$1)+(N233/MAX(N:N)*$N$1)+(V233/MAX(V:V)*$V$1)+(P233/MAX(P:P)*$P$1)</f>
        <v/>
      </c>
      <c r="E233" s="156">
        <f>IFERROR(VLOOKUP(F233,AllPlayers!F:F,1,0),"------------")</f>
        <v/>
      </c>
      <c r="F233" s="156" t="inlineStr">
        <is>
          <t>Trey Mcbride</t>
        </is>
      </c>
      <c r="G233" s="167" t="inlineStr">
        <is>
          <t>ARI</t>
        </is>
      </c>
      <c r="H233" s="156" t="inlineStr">
        <is>
          <t>TE</t>
        </is>
      </c>
      <c r="I233" s="156" t="n">
        <v>2</v>
      </c>
      <c r="J233" s="156" t="n">
        <v>12</v>
      </c>
      <c r="K233" s="156" t="n">
        <v>139</v>
      </c>
      <c r="L233" s="156">
        <f>IF(J233=0,0,K233/J233)</f>
        <v/>
      </c>
      <c r="M233" s="156">
        <f>K233/17</f>
        <v/>
      </c>
      <c r="N233" s="156" t="n">
        <v>0</v>
      </c>
      <c r="O233" s="156" t="n">
        <v>16</v>
      </c>
      <c r="P233" s="281">
        <f>IF(K233=0,0,K233/O233)</f>
        <v/>
      </c>
      <c r="Q233" s="156" t="n">
        <v>2</v>
      </c>
      <c r="R233" s="156" t="n">
        <v>0</v>
      </c>
      <c r="S233" s="156" t="n">
        <v>0</v>
      </c>
      <c r="T233" s="156" t="n">
        <v>0</v>
      </c>
      <c r="U233" s="156" t="n">
        <v>0</v>
      </c>
      <c r="V233" s="156" t="n">
        <v>0</v>
      </c>
      <c r="W233" s="156" t="n">
        <v>0</v>
      </c>
      <c r="X233" s="204">
        <f>INDEX(Matrix!$AA$2:$AA$33, MATCH(G233, Matrix!$AC$2:$AC$33, 0))</f>
        <v/>
      </c>
      <c r="Y233" s="156">
        <f>_xlfn.IFNA(MATCH(E232,'Injury Report'!$C$2:$C$6216,0),0)</f>
        <v/>
      </c>
    </row>
    <row r="234" ht="15.6" customHeight="1" s="152">
      <c r="A234" s="212" t="n">
        <v>232</v>
      </c>
      <c r="B234" s="167">
        <f>F234&amp;G234</f>
        <v/>
      </c>
      <c r="C234" s="156">
        <f>(K234/MAX(K:K)*$K$1)+(O234/MAX(O:O)*$O$1)+(M234/MAX(M:M)*$M$1)+(N234/MAX(N:N)*$N$1)+(V234/MAX(V:V)*$V$1)+(P234/MAX(P:P)*$P$1)</f>
        <v/>
      </c>
      <c r="E234" s="156">
        <f>IFERROR(VLOOKUP(F234,AllPlayers!F:F,1,0),"------------")</f>
        <v/>
      </c>
      <c r="F234" s="156" t="inlineStr">
        <is>
          <t>Sam Laporta</t>
        </is>
      </c>
      <c r="G234" s="167" t="inlineStr">
        <is>
          <t>DET</t>
        </is>
      </c>
      <c r="H234" s="156" t="inlineStr">
        <is>
          <t>TE</t>
        </is>
      </c>
      <c r="I234" s="156" t="n">
        <v>2</v>
      </c>
      <c r="J234" s="156" t="n">
        <v>9</v>
      </c>
      <c r="K234" s="156" t="n">
        <v>105</v>
      </c>
      <c r="L234" s="156">
        <f>IF(J234=0,0,K234/J234)</f>
        <v/>
      </c>
      <c r="M234" s="156">
        <f>K234/17</f>
        <v/>
      </c>
      <c r="N234" s="156" t="n">
        <v>0</v>
      </c>
      <c r="O234" s="156" t="n">
        <v>13</v>
      </c>
      <c r="P234" s="281">
        <f>IF(K234=0,0,K234/O234)</f>
        <v/>
      </c>
      <c r="Q234" s="156" t="n">
        <v>2</v>
      </c>
      <c r="R234" s="156" t="n">
        <v>0</v>
      </c>
      <c r="S234" s="156" t="n">
        <v>0</v>
      </c>
      <c r="T234" s="156" t="n">
        <v>0</v>
      </c>
      <c r="U234" s="156" t="n">
        <v>0</v>
      </c>
      <c r="V234" s="156" t="n">
        <v>0</v>
      </c>
      <c r="W234" s="156" t="n">
        <v>0</v>
      </c>
      <c r="X234" s="204">
        <f>INDEX(Matrix!$AA$2:$AA$33, MATCH(G234, Matrix!$AC$2:$AC$33, 0))</f>
        <v/>
      </c>
      <c r="Y234" s="156">
        <f>_xlfn.IFNA(MATCH(E233,'Injury Report'!$C$2:$C$6216,0),0)</f>
        <v/>
      </c>
    </row>
    <row r="235" ht="15.6" customHeight="1" s="152">
      <c r="A235" s="212" t="n">
        <v>233</v>
      </c>
      <c r="B235" s="167">
        <f>F235&amp;G235</f>
        <v/>
      </c>
      <c r="C235" s="156">
        <f>(K235/MAX(K:K)*$K$1)+(O235/MAX(O:O)*$O$1)+(M235/MAX(M:M)*$M$1)+(N235/MAX(N:N)*$N$1)+(V235/MAX(V:V)*$V$1)+(P235/MAX(P:P)*$P$1)</f>
        <v/>
      </c>
      <c r="E235" s="156">
        <f>IFERROR(VLOOKUP(F235,AllPlayers!F:F,1,0),"------------")</f>
        <v/>
      </c>
      <c r="F235" s="156" t="inlineStr">
        <is>
          <t>Mark Andrews</t>
        </is>
      </c>
      <c r="G235" s="167" t="inlineStr">
        <is>
          <t>BAL</t>
        </is>
      </c>
      <c r="H235" s="156" t="inlineStr">
        <is>
          <t>TE</t>
        </is>
      </c>
      <c r="I235" s="156" t="n">
        <v>2</v>
      </c>
      <c r="J235" s="156" t="n">
        <v>2</v>
      </c>
      <c r="K235" s="156" t="n">
        <v>7</v>
      </c>
      <c r="L235" s="156">
        <f>IF(J235=0,0,K235/J235)</f>
        <v/>
      </c>
      <c r="M235" s="156">
        <f>K235/17</f>
        <v/>
      </c>
      <c r="N235" s="156" t="n">
        <v>0</v>
      </c>
      <c r="O235" s="156" t="n">
        <v>4</v>
      </c>
      <c r="P235" s="281">
        <f>IF(K235=0,0,K235/O235)</f>
        <v/>
      </c>
      <c r="Q235" s="156" t="n">
        <v>1</v>
      </c>
      <c r="R235" s="156" t="n">
        <v>0</v>
      </c>
      <c r="S235" s="156" t="n">
        <v>0</v>
      </c>
      <c r="T235" s="156" t="n">
        <v>0</v>
      </c>
      <c r="U235" s="156" t="n">
        <v>0</v>
      </c>
      <c r="V235" s="156" t="n">
        <v>0</v>
      </c>
      <c r="W235" s="156" t="n">
        <v>0</v>
      </c>
      <c r="X235" s="204">
        <f>INDEX(Matrix!$AA$2:$AA$33, MATCH(G235, Matrix!$AC$2:$AC$33, 0))</f>
        <v/>
      </c>
      <c r="Y235" s="156">
        <f>_xlfn.IFNA(MATCH(E234,'Injury Report'!$C$2:$C$6216,0),0)</f>
        <v/>
      </c>
    </row>
    <row r="236" ht="15.6" customHeight="1" s="152">
      <c r="A236" s="212" t="n">
        <v>234</v>
      </c>
      <c r="B236" s="167">
        <f>F236&amp;G236</f>
        <v/>
      </c>
      <c r="C236" s="156">
        <f>(K236/MAX(K:K)*$K$1)+(O236/MAX(O:O)*$O$1)+(M236/MAX(M:M)*$M$1)+(N236/MAX(N:N)*$N$1)+(V236/MAX(V:V)*$V$1)+(P236/MAX(P:P)*$P$1)</f>
        <v/>
      </c>
      <c r="E236" s="156">
        <f>IFERROR(VLOOKUP(F236,AllPlayers!F:F,1,0),"------------")</f>
        <v/>
      </c>
      <c r="F236" s="156" t="inlineStr">
        <is>
          <t>Travis Kelce</t>
        </is>
      </c>
      <c r="G236" s="167" t="inlineStr">
        <is>
          <t>KC</t>
        </is>
      </c>
      <c r="H236" s="156" t="inlineStr">
        <is>
          <t>TE</t>
        </is>
      </c>
      <c r="I236" s="156" t="n">
        <v>2</v>
      </c>
      <c r="J236" s="156" t="n">
        <v>6</v>
      </c>
      <c r="K236" s="156" t="n">
        <v>108</v>
      </c>
      <c r="L236" s="156">
        <f>IF(J236=0,0,K236/J236)</f>
        <v/>
      </c>
      <c r="M236" s="156">
        <f>K236/17</f>
        <v/>
      </c>
      <c r="N236" s="156" t="n">
        <v>1</v>
      </c>
      <c r="O236" s="156" t="n">
        <v>10</v>
      </c>
      <c r="P236" s="281">
        <f>IF(K236=0,0,K236/O236)</f>
        <v/>
      </c>
      <c r="Q236" s="156" t="n">
        <v>1</v>
      </c>
      <c r="R236" s="156" t="n">
        <v>0</v>
      </c>
      <c r="S236" s="156" t="n">
        <v>0</v>
      </c>
      <c r="T236" s="156" t="n">
        <v>0</v>
      </c>
      <c r="U236" s="156" t="n">
        <v>0</v>
      </c>
      <c r="V236" s="156" t="n">
        <v>0</v>
      </c>
      <c r="W236" s="156" t="n">
        <v>0</v>
      </c>
      <c r="X236" s="204">
        <f>INDEX(Matrix!$AA$2:$AA$33, MATCH(G236, Matrix!$AC$2:$AC$33, 0))</f>
        <v/>
      </c>
      <c r="Y236" s="156">
        <f>_xlfn.IFNA(MATCH(E235,'Injury Report'!$C$2:$C$6216,0),0)</f>
        <v/>
      </c>
    </row>
    <row r="237" ht="15.6" customHeight="1" s="152">
      <c r="A237" s="212" t="n">
        <v>235</v>
      </c>
      <c r="B237" s="167">
        <f>F237&amp;G237</f>
        <v/>
      </c>
      <c r="C237" s="156">
        <f>(K237/MAX(K:K)*$K$1)+(O237/MAX(O:O)*$O$1)+(M237/MAX(M:M)*$M$1)+(N237/MAX(N:N)*$N$1)+(V237/MAX(V:V)*$V$1)+(P237/MAX(P:P)*$P$1)</f>
        <v/>
      </c>
      <c r="E237" s="156">
        <f>IFERROR(VLOOKUP(F237,AllPlayers!F:F,1,0),"------------")</f>
        <v/>
      </c>
      <c r="F237" s="156" t="inlineStr">
        <is>
          <t>T.J. Hockenson</t>
        </is>
      </c>
      <c r="G237" s="167" t="inlineStr">
        <is>
          <t>MIN</t>
        </is>
      </c>
      <c r="H237" s="156" t="inlineStr">
        <is>
          <t>TE</t>
        </is>
      </c>
      <c r="I237" s="156" t="n">
        <v>2</v>
      </c>
      <c r="J237" s="156" t="n">
        <v>4</v>
      </c>
      <c r="K237" s="156" t="n">
        <v>27</v>
      </c>
      <c r="L237" s="156">
        <f>IF(J237=0,0,K237/J237)</f>
        <v/>
      </c>
      <c r="M237" s="156">
        <f>K237/17</f>
        <v/>
      </c>
      <c r="N237" s="156" t="n">
        <v>0</v>
      </c>
      <c r="O237" s="156" t="n">
        <v>7</v>
      </c>
      <c r="P237" s="281">
        <f>IF(K237=0,0,K237/O237)</f>
        <v/>
      </c>
      <c r="Q237" s="156" t="n">
        <v>1</v>
      </c>
      <c r="R237" s="156" t="n">
        <v>0</v>
      </c>
      <c r="S237" s="156" t="n">
        <v>0</v>
      </c>
      <c r="T237" s="156" t="n">
        <v>0</v>
      </c>
      <c r="U237" s="156" t="n">
        <v>0</v>
      </c>
      <c r="V237" s="156" t="n">
        <v>0</v>
      </c>
      <c r="W237" s="156" t="n">
        <v>0</v>
      </c>
      <c r="X237" s="204">
        <f>INDEX(Matrix!$AA$2:$AA$33, MATCH(G237, Matrix!$AC$2:$AC$33, 0))</f>
        <v/>
      </c>
      <c r="Y237" s="156">
        <f>_xlfn.IFNA(MATCH(E236,'Injury Report'!$C$2:$C$6216,0),0)</f>
        <v/>
      </c>
    </row>
    <row r="238" ht="15.6" customHeight="1" s="152">
      <c r="A238" s="212" t="n">
        <v>236</v>
      </c>
      <c r="B238" s="167">
        <f>F238&amp;G238</f>
        <v/>
      </c>
      <c r="C238" s="156">
        <f>(K238/MAX(K:K)*$K$1)+(O238/MAX(O:O)*$O$1)+(M238/MAX(M:M)*$M$1)+(N238/MAX(N:N)*$N$1)+(V238/MAX(V:V)*$V$1)+(P238/MAX(P:P)*$P$1)</f>
        <v/>
      </c>
      <c r="E238" s="156">
        <f>IFERROR(VLOOKUP(F238,AllPlayers!F:F,1,0),"------------")</f>
        <v/>
      </c>
      <c r="F238" s="156" t="inlineStr">
        <is>
          <t>David Njoku</t>
        </is>
      </c>
      <c r="G238" s="167" t="inlineStr">
        <is>
          <t>CLE</t>
        </is>
      </c>
      <c r="H238" s="156" t="inlineStr">
        <is>
          <t>TE</t>
        </is>
      </c>
      <c r="I238" s="156" t="n">
        <v>2</v>
      </c>
      <c r="J238" s="156" t="n">
        <v>7</v>
      </c>
      <c r="K238" s="156" t="n">
        <v>77</v>
      </c>
      <c r="L238" s="156">
        <f>IF(J238=0,0,K238/J238)</f>
        <v/>
      </c>
      <c r="M238" s="156">
        <f>K238/17</f>
        <v/>
      </c>
      <c r="N238" s="156" t="n">
        <v>0</v>
      </c>
      <c r="O238" s="156" t="n">
        <v>11</v>
      </c>
      <c r="P238" s="281">
        <f>IF(K238=0,0,K238/O238)</f>
        <v/>
      </c>
      <c r="Q238" s="156" t="n">
        <v>1</v>
      </c>
      <c r="R238" s="156" t="n">
        <v>0</v>
      </c>
      <c r="S238" s="156" t="n">
        <v>0</v>
      </c>
      <c r="T238" s="156" t="n">
        <v>0</v>
      </c>
      <c r="U238" s="156" t="n">
        <v>0</v>
      </c>
      <c r="V238" s="156" t="n">
        <v>0</v>
      </c>
      <c r="W238" s="156" t="n">
        <v>0</v>
      </c>
      <c r="X238" s="204">
        <f>INDEX(Matrix!$AA$2:$AA$33, MATCH(G238, Matrix!$AC$2:$AC$33, 0))</f>
        <v/>
      </c>
      <c r="Y238" s="156">
        <f>_xlfn.IFNA(MATCH(E237,'Injury Report'!$C$2:$C$6216,0),0)</f>
        <v/>
      </c>
    </row>
    <row r="239" ht="15.6" customHeight="1" s="152">
      <c r="A239" s="212" t="n">
        <v>237</v>
      </c>
      <c r="B239" s="167">
        <f>F239&amp;G239</f>
        <v/>
      </c>
      <c r="C239" s="156">
        <f>(K239/MAX(K:K)*$K$1)+(O239/MAX(O:O)*$O$1)+(M239/MAX(M:M)*$M$1)+(N239/MAX(N:N)*$N$1)+(V239/MAX(V:V)*$V$1)+(P239/MAX(P:P)*$P$1)</f>
        <v/>
      </c>
      <c r="E239" s="156">
        <f>IFERROR(VLOOKUP(F239,AllPlayers!F:F,1,0),"------------")</f>
        <v/>
      </c>
      <c r="F239" s="156" t="inlineStr">
        <is>
          <t>Tyler Warren</t>
        </is>
      </c>
      <c r="G239" s="167" t="inlineStr">
        <is>
          <t>IND</t>
        </is>
      </c>
      <c r="H239" s="156" t="inlineStr">
        <is>
          <t>TE</t>
        </is>
      </c>
      <c r="I239" s="156" t="n">
        <v>2</v>
      </c>
      <c r="J239" s="156" t="n">
        <v>11</v>
      </c>
      <c r="K239" s="156" t="n">
        <v>155</v>
      </c>
      <c r="L239" s="156">
        <f>IF(J239=0,0,K239/J239)</f>
        <v/>
      </c>
      <c r="M239" s="156">
        <f>K239/17</f>
        <v/>
      </c>
      <c r="N239" s="156" t="n">
        <v>0</v>
      </c>
      <c r="O239" s="156" t="n">
        <v>16</v>
      </c>
      <c r="P239" s="281">
        <f>IF(K239=0,0,K239/O239)</f>
        <v/>
      </c>
      <c r="Q239" s="156" t="n">
        <v>3</v>
      </c>
      <c r="R239" s="156" t="n">
        <v>0</v>
      </c>
      <c r="S239" s="156" t="n">
        <v>0</v>
      </c>
      <c r="T239" s="156" t="n">
        <v>0</v>
      </c>
      <c r="U239" s="156" t="n">
        <v>0</v>
      </c>
      <c r="V239" s="156" t="n">
        <v>0</v>
      </c>
      <c r="W239" s="156" t="n">
        <v>0</v>
      </c>
      <c r="X239" s="204">
        <f>INDEX(Matrix!$AA$2:$AA$33, MATCH(G239, Matrix!$AC$2:$AC$33, 0))</f>
        <v/>
      </c>
      <c r="Y239" s="156">
        <f>_xlfn.IFNA(MATCH(E238,'Injury Report'!$C$2:$C$6216,0),0)</f>
        <v/>
      </c>
    </row>
    <row r="240" ht="15.6" customHeight="1" s="152">
      <c r="A240" s="212" t="n">
        <v>238</v>
      </c>
      <c r="B240" s="167">
        <f>F240&amp;G240</f>
        <v/>
      </c>
      <c r="C240" s="156">
        <f>(K240/MAX(K:K)*$K$1)+(O240/MAX(O:O)*$O$1)+(M240/MAX(M:M)*$M$1)+(N240/MAX(N:N)*$N$1)+(V240/MAX(V:V)*$V$1)+(P240/MAX(P:P)*$P$1)</f>
        <v/>
      </c>
      <c r="E240" s="156">
        <f>IFERROR(VLOOKUP(F240,AllPlayers!F:F,1,0),"------------")</f>
        <v/>
      </c>
      <c r="F240" s="156" t="inlineStr">
        <is>
          <t>Tucker Kraft</t>
        </is>
      </c>
      <c r="G240" s="167" t="inlineStr">
        <is>
          <t>GB</t>
        </is>
      </c>
      <c r="H240" s="156" t="inlineStr">
        <is>
          <t>TE</t>
        </is>
      </c>
      <c r="I240" s="156" t="n">
        <v>2</v>
      </c>
      <c r="J240" s="156" t="n">
        <v>8</v>
      </c>
      <c r="K240" s="156" t="n">
        <v>140</v>
      </c>
      <c r="L240" s="156">
        <f>IF(J240=0,0,K240/J240)</f>
        <v/>
      </c>
      <c r="M240" s="156">
        <f>K240/17</f>
        <v/>
      </c>
      <c r="N240" s="156" t="n">
        <v>2</v>
      </c>
      <c r="O240" s="156" t="n">
        <v>11</v>
      </c>
      <c r="P240" s="281">
        <f>IF(K240=0,0,K240/O240)</f>
        <v/>
      </c>
      <c r="Q240" s="156" t="n">
        <v>3</v>
      </c>
      <c r="R240" s="156" t="n">
        <v>1</v>
      </c>
      <c r="S240" s="156" t="n">
        <v>0</v>
      </c>
      <c r="T240" s="156" t="n">
        <v>0</v>
      </c>
      <c r="U240" s="156" t="n">
        <v>0</v>
      </c>
      <c r="V240" s="156" t="n">
        <v>0</v>
      </c>
      <c r="W240" s="156" t="n">
        <v>0</v>
      </c>
      <c r="X240" s="204">
        <f>INDEX(Matrix!$AA$2:$AA$33, MATCH(G240, Matrix!$AC$2:$AC$33, 0))</f>
        <v/>
      </c>
      <c r="Y240" s="156">
        <f>_xlfn.IFNA(MATCH(E239,'Injury Report'!$C$2:$C$6216,0),0)</f>
        <v/>
      </c>
    </row>
    <row r="241" ht="15.6" customHeight="1" s="152">
      <c r="A241" s="212" t="n">
        <v>239</v>
      </c>
      <c r="B241" s="167">
        <f>F241&amp;G241</f>
        <v/>
      </c>
      <c r="C241" s="156">
        <f>(K241/MAX(K:K)*$K$1)+(O241/MAX(O:O)*$O$1)+(M241/MAX(M:M)*$M$1)+(N241/MAX(N:N)*$N$1)+(V241/MAX(V:V)*$V$1)+(P241/MAX(P:P)*$P$1)</f>
        <v/>
      </c>
      <c r="E241" s="156">
        <f>IFERROR(VLOOKUP(F241,AllPlayers!F:F,1,0),"------------")</f>
        <v/>
      </c>
      <c r="F241" s="156" t="inlineStr">
        <is>
          <t>Kyle Pitts</t>
        </is>
      </c>
      <c r="G241" s="167" t="inlineStr">
        <is>
          <t>ATL</t>
        </is>
      </c>
      <c r="H241" s="156" t="inlineStr">
        <is>
          <t>TE</t>
        </is>
      </c>
      <c r="I241" s="156" t="n">
        <v>2</v>
      </c>
      <c r="J241" s="156" t="n">
        <v>11</v>
      </c>
      <c r="K241" s="156" t="n">
        <v>96</v>
      </c>
      <c r="L241" s="156">
        <f>IF(J241=0,0,K241/J241)</f>
        <v/>
      </c>
      <c r="M241" s="156">
        <f>K241/17</f>
        <v/>
      </c>
      <c r="N241" s="156" t="n">
        <v>0</v>
      </c>
      <c r="O241" s="156" t="n">
        <v>13</v>
      </c>
      <c r="P241" s="281">
        <f>IF(K241=0,0,K241/O241)</f>
        <v/>
      </c>
      <c r="Q241" s="156" t="n">
        <v>2</v>
      </c>
      <c r="R241" s="156" t="n">
        <v>1</v>
      </c>
      <c r="S241" s="156" t="n">
        <v>0</v>
      </c>
      <c r="T241" s="156" t="n">
        <v>0</v>
      </c>
      <c r="U241" s="156" t="n">
        <v>0</v>
      </c>
      <c r="V241" s="156" t="n">
        <v>0</v>
      </c>
      <c r="W241" s="156" t="n">
        <v>0</v>
      </c>
      <c r="X241" s="204">
        <f>INDEX(Matrix!$AA$2:$AA$33, MATCH(G241, Matrix!$AC$2:$AC$33, 0))</f>
        <v/>
      </c>
      <c r="Y241" s="156">
        <f>_xlfn.IFNA(MATCH(E240,'Injury Report'!$C$2:$C$6216,0),0)</f>
        <v/>
      </c>
    </row>
    <row r="242" ht="15.6" customHeight="1" s="152">
      <c r="A242" s="212" t="n">
        <v>240</v>
      </c>
      <c r="B242" s="167">
        <f>F242&amp;G242</f>
        <v/>
      </c>
      <c r="C242" s="156">
        <f>(K242/MAX(K:K)*$K$1)+(O242/MAX(O:O)*$O$1)+(M242/MAX(M:M)*$M$1)+(N242/MAX(N:N)*$N$1)+(V242/MAX(V:V)*$V$1)+(P242/MAX(P:P)*$P$1)</f>
        <v/>
      </c>
      <c r="E242" s="156">
        <f>IFERROR(VLOOKUP(F242,AllPlayers!F:F,1,0),"------------")</f>
        <v/>
      </c>
      <c r="F242" s="156" t="inlineStr">
        <is>
          <t>Dallas Goedert</t>
        </is>
      </c>
      <c r="G242" s="167" t="inlineStr">
        <is>
          <t>PHI</t>
        </is>
      </c>
      <c r="H242" s="156" t="inlineStr">
        <is>
          <t>TE</t>
        </is>
      </c>
      <c r="I242" s="156" t="n">
        <v>1</v>
      </c>
      <c r="J242" s="156" t="n">
        <v>7</v>
      </c>
      <c r="K242" s="156" t="n">
        <v>44</v>
      </c>
      <c r="L242" s="156">
        <f>IF(J242=0,0,K242/J242)</f>
        <v/>
      </c>
      <c r="M242" s="156">
        <f>K242/17</f>
        <v/>
      </c>
      <c r="N242" s="156" t="n">
        <v>0</v>
      </c>
      <c r="O242" s="156" t="n">
        <v>7</v>
      </c>
      <c r="P242" s="281">
        <f>IF(K242=0,0,K242/O242)</f>
        <v/>
      </c>
      <c r="Q242" s="156" t="n">
        <v>2</v>
      </c>
      <c r="R242" s="156" t="n">
        <v>0</v>
      </c>
      <c r="S242" s="156" t="n">
        <v>0</v>
      </c>
      <c r="T242" s="156" t="n">
        <v>0</v>
      </c>
      <c r="U242" s="156" t="n">
        <v>0</v>
      </c>
      <c r="V242" s="156" t="n">
        <v>0</v>
      </c>
      <c r="W242" s="156" t="n">
        <v>0</v>
      </c>
      <c r="X242" s="204">
        <f>INDEX(Matrix!$AA$2:$AA$33, MATCH(G242, Matrix!$AC$2:$AC$33, 0))</f>
        <v/>
      </c>
      <c r="Y242" s="156">
        <f>_xlfn.IFNA(MATCH(E241,'Injury Report'!$C$2:$C$6216,0),0)</f>
        <v/>
      </c>
    </row>
    <row r="243" ht="15.6" customHeight="1" s="152">
      <c r="A243" s="212" t="n">
        <v>241</v>
      </c>
      <c r="B243" s="167">
        <f>F243&amp;G243</f>
        <v/>
      </c>
      <c r="C243" s="156">
        <f>(K243/MAX(K:K)*$K$1)+(O243/MAX(O:O)*$O$1)+(M243/MAX(M:M)*$M$1)+(N243/MAX(N:N)*$N$1)+(V243/MAX(V:V)*$V$1)+(P243/MAX(P:P)*$P$1)</f>
        <v/>
      </c>
      <c r="E243" s="156">
        <f>IFERROR(VLOOKUP(F243,AllPlayers!F:F,1,0),"------------")</f>
        <v/>
      </c>
      <c r="F243" s="156" t="inlineStr">
        <is>
          <t>Evan Engram</t>
        </is>
      </c>
      <c r="G243" s="167" t="inlineStr">
        <is>
          <t>DEN</t>
        </is>
      </c>
      <c r="H243" s="156" t="inlineStr">
        <is>
          <t>TE</t>
        </is>
      </c>
      <c r="I243" s="156" t="n">
        <v>2</v>
      </c>
      <c r="J243" s="156" t="n">
        <v>4</v>
      </c>
      <c r="K243" s="156" t="n">
        <v>33</v>
      </c>
      <c r="L243" s="156">
        <f>IF(J243=0,0,K243/J243)</f>
        <v/>
      </c>
      <c r="M243" s="156">
        <f>K243/17</f>
        <v/>
      </c>
      <c r="N243" s="156" t="n">
        <v>0</v>
      </c>
      <c r="O243" s="156" t="n">
        <v>6</v>
      </c>
      <c r="P243" s="281">
        <f>IF(K243=0,0,K243/O243)</f>
        <v/>
      </c>
      <c r="Q243" s="156" t="n">
        <v>0</v>
      </c>
      <c r="R243" s="156" t="n">
        <v>0</v>
      </c>
      <c r="S243" s="156" t="n">
        <v>0</v>
      </c>
      <c r="T243" s="156" t="n">
        <v>0</v>
      </c>
      <c r="U243" s="156" t="n">
        <v>0</v>
      </c>
      <c r="V243" s="156" t="n">
        <v>0</v>
      </c>
      <c r="W243" s="156" t="n">
        <v>0</v>
      </c>
      <c r="X243" s="204">
        <f>INDEX(Matrix!$AA$2:$AA$33, MATCH(G243, Matrix!$AC$2:$AC$33, 0))</f>
        <v/>
      </c>
      <c r="Y243" s="156">
        <f>_xlfn.IFNA(MATCH(E242,'Injury Report'!$C$2:$C$6216,0),0)</f>
        <v/>
      </c>
    </row>
    <row r="244" ht="15.6" customHeight="1" s="152">
      <c r="A244" s="212" t="n">
        <v>242</v>
      </c>
      <c r="B244" s="167">
        <f>F244&amp;G244</f>
        <v/>
      </c>
      <c r="C244" s="156">
        <f>(K244/MAX(K:K)*$K$1)+(O244/MAX(O:O)*$O$1)+(M244/MAX(M:M)*$M$1)+(N244/MAX(N:N)*$N$1)+(V244/MAX(V:V)*$V$1)+(P244/MAX(P:P)*$P$1)</f>
        <v/>
      </c>
      <c r="E244" s="156">
        <f>IFERROR(VLOOKUP(F244,AllPlayers!F:F,1,0),"------------")</f>
        <v/>
      </c>
      <c r="F244" s="156" t="inlineStr">
        <is>
          <t>Zach Ertz</t>
        </is>
      </c>
      <c r="G244" s="167" t="inlineStr">
        <is>
          <t>WAS</t>
        </is>
      </c>
      <c r="H244" s="156" t="inlineStr">
        <is>
          <t>TE</t>
        </is>
      </c>
      <c r="I244" s="156" t="n">
        <v>2</v>
      </c>
      <c r="J244" s="156" t="n">
        <v>9</v>
      </c>
      <c r="K244" s="156" t="n">
        <v>90</v>
      </c>
      <c r="L244" s="156">
        <f>IF(J244=0,0,K244/J244)</f>
        <v/>
      </c>
      <c r="M244" s="156">
        <f>K244/17</f>
        <v/>
      </c>
      <c r="N244" s="156" t="n">
        <v>2</v>
      </c>
      <c r="O244" s="156" t="n">
        <v>13</v>
      </c>
      <c r="P244" s="281">
        <f>IF(K244=0,0,K244/O244)</f>
        <v/>
      </c>
      <c r="Q244" s="156" t="n">
        <v>2</v>
      </c>
      <c r="R244" s="156" t="n">
        <v>0</v>
      </c>
      <c r="S244" s="156" t="n">
        <v>0</v>
      </c>
      <c r="T244" s="156" t="n">
        <v>0</v>
      </c>
      <c r="U244" s="156" t="n">
        <v>0</v>
      </c>
      <c r="V244" s="156" t="n">
        <v>0</v>
      </c>
      <c r="W244" s="156" t="n">
        <v>0</v>
      </c>
      <c r="X244" s="204">
        <f>INDEX(Matrix!$AA$2:$AA$33, MATCH(G244, Matrix!$AC$2:$AC$33, 0))</f>
        <v/>
      </c>
      <c r="Y244" s="156">
        <f>_xlfn.IFNA(MATCH(E243,'Injury Report'!$C$2:$C$6216,0),0)</f>
        <v/>
      </c>
    </row>
    <row r="245" ht="15.6" customHeight="1" s="152">
      <c r="A245" s="212" t="n">
        <v>243</v>
      </c>
      <c r="B245" s="167">
        <f>F245&amp;G245</f>
        <v/>
      </c>
      <c r="C245" s="156">
        <f>(K245/MAX(K:K)*$K$1)+(O245/MAX(O:O)*$O$1)+(M245/MAX(M:M)*$M$1)+(N245/MAX(N:N)*$N$1)+(V245/MAX(V:V)*$V$1)+(P245/MAX(P:P)*$P$1)</f>
        <v/>
      </c>
      <c r="E245" s="156">
        <f>IFERROR(VLOOKUP(F245,AllPlayers!F:F,1,0),"------------")</f>
        <v/>
      </c>
      <c r="F245" s="156" t="inlineStr">
        <is>
          <t>Dalton Kincaid</t>
        </is>
      </c>
      <c r="G245" s="167" t="inlineStr">
        <is>
          <t>BUF</t>
        </is>
      </c>
      <c r="H245" s="156" t="inlineStr">
        <is>
          <t>TE</t>
        </is>
      </c>
      <c r="I245" s="156" t="n">
        <v>2</v>
      </c>
      <c r="J245" s="156" t="n">
        <v>8</v>
      </c>
      <c r="K245" s="156" t="n">
        <v>85</v>
      </c>
      <c r="L245" s="156">
        <f>IF(J245=0,0,K245/J245)</f>
        <v/>
      </c>
      <c r="M245" s="156">
        <f>K245/17</f>
        <v/>
      </c>
      <c r="N245" s="156" t="n">
        <v>1</v>
      </c>
      <c r="O245" s="156" t="n">
        <v>10</v>
      </c>
      <c r="P245" s="281">
        <f>IF(K245=0,0,K245/O245)</f>
        <v/>
      </c>
      <c r="Q245" s="156" t="n">
        <v>2</v>
      </c>
      <c r="R245" s="156" t="n">
        <v>0</v>
      </c>
      <c r="S245" s="156" t="n">
        <v>0</v>
      </c>
      <c r="T245" s="156" t="n">
        <v>0</v>
      </c>
      <c r="U245" s="156" t="n">
        <v>0</v>
      </c>
      <c r="V245" s="156" t="n">
        <v>1</v>
      </c>
      <c r="W245" s="156" t="n">
        <v>0</v>
      </c>
      <c r="X245" s="204">
        <f>INDEX(Matrix!$AA$2:$AA$33, MATCH(G245, Matrix!$AC$2:$AC$33, 0))</f>
        <v/>
      </c>
      <c r="Y245" s="156">
        <f>_xlfn.IFNA(MATCH(E244,'Injury Report'!$C$2:$C$6216,0),0)</f>
        <v/>
      </c>
    </row>
    <row r="246" ht="15.6" customHeight="1" s="152">
      <c r="A246" s="212" t="n">
        <v>244</v>
      </c>
      <c r="B246" s="167">
        <f>F246&amp;G246</f>
        <v/>
      </c>
      <c r="C246" s="156">
        <f>(K246/MAX(K:K)*$K$1)+(O246/MAX(O:O)*$O$1)+(M246/MAX(M:M)*$M$1)+(N246/MAX(N:N)*$N$1)+(V246/MAX(V:V)*$V$1)+(P246/MAX(P:P)*$P$1)</f>
        <v/>
      </c>
      <c r="E246" s="156">
        <f>IFERROR(VLOOKUP(F246,AllPlayers!F:F,1,0),"------------")</f>
        <v/>
      </c>
      <c r="F246" s="156" t="inlineStr">
        <is>
          <t>Jake Ferguson</t>
        </is>
      </c>
      <c r="G246" s="167" t="inlineStr">
        <is>
          <t>DAL</t>
        </is>
      </c>
      <c r="H246" s="156" t="inlineStr">
        <is>
          <t>TE</t>
        </is>
      </c>
      <c r="I246" s="156" t="n">
        <v>2</v>
      </c>
      <c r="J246" s="156" t="n">
        <v>14</v>
      </c>
      <c r="K246" s="156" t="n">
        <v>101</v>
      </c>
      <c r="L246" s="156">
        <f>IF(J246=0,0,K246/J246)</f>
        <v/>
      </c>
      <c r="M246" s="156">
        <f>K246/17</f>
        <v/>
      </c>
      <c r="N246" s="156" t="n">
        <v>0</v>
      </c>
      <c r="O246" s="156" t="n">
        <v>18</v>
      </c>
      <c r="P246" s="281">
        <f>IF(K246=0,0,K246/O246)</f>
        <v/>
      </c>
      <c r="Q246" s="156" t="n">
        <v>1</v>
      </c>
      <c r="R246" s="156" t="n">
        <v>0</v>
      </c>
      <c r="S246" s="156" t="n">
        <v>0</v>
      </c>
      <c r="T246" s="156" t="n">
        <v>0</v>
      </c>
      <c r="U246" s="156" t="n">
        <v>0</v>
      </c>
      <c r="V246" s="156" t="n">
        <v>0</v>
      </c>
      <c r="W246" s="156" t="n">
        <v>0</v>
      </c>
      <c r="X246" s="204">
        <f>INDEX(Matrix!$AA$2:$AA$33, MATCH(G246, Matrix!$AC$2:$AC$33, 0))</f>
        <v/>
      </c>
      <c r="Y246" s="156">
        <f>_xlfn.IFNA(MATCH(E245,'Injury Report'!$C$2:$C$6216,0),0)</f>
        <v/>
      </c>
    </row>
    <row r="247" ht="15.6" customHeight="1" s="152">
      <c r="A247" s="212" t="n">
        <v>245</v>
      </c>
      <c r="B247" s="167">
        <f>F247&amp;G247</f>
        <v/>
      </c>
      <c r="C247" s="156">
        <f>(K247/MAX(K:K)*$K$1)+(O247/MAX(O:O)*$O$1)+(M247/MAX(M:M)*$M$1)+(N247/MAX(N:N)*$N$1)+(V247/MAX(V:V)*$V$1)+(P247/MAX(P:P)*$P$1)</f>
        <v/>
      </c>
      <c r="E247" s="156">
        <f>IFERROR(VLOOKUP(F247,AllPlayers!F:F,1,0),"------------")</f>
        <v/>
      </c>
      <c r="F247" s="156" t="inlineStr">
        <is>
          <t>Hunter Henry</t>
        </is>
      </c>
      <c r="G247" s="167" t="inlineStr">
        <is>
          <t>NE</t>
        </is>
      </c>
      <c r="H247" s="156" t="inlineStr">
        <is>
          <t>TE</t>
        </is>
      </c>
      <c r="I247" s="156" t="n">
        <v>2</v>
      </c>
      <c r="J247" s="156" t="n">
        <v>5</v>
      </c>
      <c r="K247" s="156" t="n">
        <v>75</v>
      </c>
      <c r="L247" s="156">
        <f>IF(J247=0,0,K247/J247)</f>
        <v/>
      </c>
      <c r="M247" s="156">
        <f>K247/17</f>
        <v/>
      </c>
      <c r="N247" s="156" t="n">
        <v>0</v>
      </c>
      <c r="O247" s="156" t="n">
        <v>11</v>
      </c>
      <c r="P247" s="281">
        <f>IF(K247=0,0,K247/O247)</f>
        <v/>
      </c>
      <c r="Q247" s="156" t="n">
        <v>1</v>
      </c>
      <c r="R247" s="156" t="n">
        <v>0</v>
      </c>
      <c r="S247" s="156" t="n">
        <v>0</v>
      </c>
      <c r="T247" s="156" t="n">
        <v>0</v>
      </c>
      <c r="U247" s="156" t="n">
        <v>0</v>
      </c>
      <c r="V247" s="156" t="n">
        <v>0</v>
      </c>
      <c r="W247" s="156" t="n">
        <v>0</v>
      </c>
      <c r="X247" s="204">
        <f>INDEX(Matrix!$AA$2:$AA$33, MATCH(G247, Matrix!$AC$2:$AC$33, 0))</f>
        <v/>
      </c>
      <c r="Y247" s="156">
        <f>_xlfn.IFNA(MATCH(E246,'Injury Report'!$C$2:$C$6216,0),0)</f>
        <v/>
      </c>
    </row>
    <row r="248" ht="15.6" customHeight="1" s="152">
      <c r="A248" s="212" t="n">
        <v>246</v>
      </c>
      <c r="B248" s="167">
        <f>F248&amp;G248</f>
        <v/>
      </c>
      <c r="C248" s="156">
        <f>(K248/MAX(K:K)*$K$1)+(O248/MAX(O:O)*$O$1)+(M248/MAX(M:M)*$M$1)+(N248/MAX(N:N)*$N$1)+(V248/MAX(V:V)*$V$1)+(P248/MAX(P:P)*$P$1)</f>
        <v/>
      </c>
      <c r="E248" s="156">
        <f>IFERROR(VLOOKUP(F248,AllPlayers!F:F,1,0),"------------")</f>
        <v/>
      </c>
      <c r="F248" s="156" t="inlineStr">
        <is>
          <t>Colston Loveland</t>
        </is>
      </c>
      <c r="G248" s="167" t="inlineStr">
        <is>
          <t>CHI</t>
        </is>
      </c>
      <c r="H248" s="156" t="inlineStr">
        <is>
          <t>TE</t>
        </is>
      </c>
      <c r="I248" s="156" t="n">
        <v>2</v>
      </c>
      <c r="J248" s="156" t="n">
        <v>2</v>
      </c>
      <c r="K248" s="156" t="n">
        <v>12</v>
      </c>
      <c r="L248" s="156">
        <f>IF(J248=0,0,K248/J248)</f>
        <v/>
      </c>
      <c r="M248" s="156">
        <f>K248/17</f>
        <v/>
      </c>
      <c r="N248" s="156" t="n">
        <v>0</v>
      </c>
      <c r="O248" s="156" t="n">
        <v>3</v>
      </c>
      <c r="P248" s="281">
        <f>IF(K248=0,0,K248/O248)</f>
        <v/>
      </c>
      <c r="Q248" s="156" t="n">
        <v>1</v>
      </c>
      <c r="R248" s="156" t="n">
        <v>0</v>
      </c>
      <c r="S248" s="156" t="n">
        <v>0</v>
      </c>
      <c r="T248" s="156" t="n">
        <v>0</v>
      </c>
      <c r="U248" s="156" t="n">
        <v>0</v>
      </c>
      <c r="V248" s="156" t="n">
        <v>0</v>
      </c>
      <c r="W248" s="156" t="n">
        <v>0</v>
      </c>
      <c r="X248" s="204">
        <f>INDEX(Matrix!$AA$2:$AA$33, MATCH(G248, Matrix!$AC$2:$AC$33, 0))</f>
        <v/>
      </c>
      <c r="Y248" s="156">
        <f>_xlfn.IFNA(MATCH(E247,'Injury Report'!$C$2:$C$6216,0),0)</f>
        <v/>
      </c>
    </row>
    <row r="249" ht="15.6" customHeight="1" s="152">
      <c r="A249" s="212" t="n">
        <v>247</v>
      </c>
      <c r="B249" s="167">
        <f>F249&amp;G249</f>
        <v/>
      </c>
      <c r="C249" s="156">
        <f>(K249/MAX(K:K)*$K$1)+(O249/MAX(O:O)*$O$1)+(M249/MAX(M:M)*$M$1)+(N249/MAX(N:N)*$N$1)+(V249/MAX(V:V)*$V$1)+(P249/MAX(P:P)*$P$1)</f>
        <v/>
      </c>
      <c r="E249" s="156">
        <f>IFERROR(VLOOKUP(F249,AllPlayers!F:F,1,0),"------------")</f>
        <v/>
      </c>
      <c r="F249" s="156" t="inlineStr">
        <is>
          <t>Isaiah Likely</t>
        </is>
      </c>
      <c r="G249" s="167" t="inlineStr">
        <is>
          <t>BAL</t>
        </is>
      </c>
      <c r="H249" s="156" t="inlineStr">
        <is>
          <t>TE</t>
        </is>
      </c>
      <c r="I249" s="156" t="n">
        <v>17</v>
      </c>
      <c r="J249" s="156" t="n">
        <v>41.4</v>
      </c>
      <c r="K249" s="156" t="n">
        <v>491.4</v>
      </c>
      <c r="L249" s="156">
        <f>IF(J249=0,0,K249/J249)</f>
        <v/>
      </c>
      <c r="M249" s="156">
        <f>K249/17</f>
        <v/>
      </c>
      <c r="N249" s="156" t="n">
        <v>4.8</v>
      </c>
      <c r="O249" s="156" t="n">
        <v>26</v>
      </c>
      <c r="P249" s="281">
        <f>IF(K249=0,0,K249/O249)</f>
        <v/>
      </c>
      <c r="Q249" s="156" t="n">
        <v>0</v>
      </c>
      <c r="R249" s="156" t="n">
        <v>0</v>
      </c>
      <c r="S249" s="156" t="n">
        <v>0</v>
      </c>
      <c r="T249" s="156" t="n">
        <v>0</v>
      </c>
      <c r="U249" s="156" t="n">
        <v>0</v>
      </c>
      <c r="V249" s="156" t="n">
        <v>0</v>
      </c>
      <c r="W249" s="156" t="n">
        <v>0.7</v>
      </c>
      <c r="X249" s="204">
        <f>INDEX(Matrix!$AA$2:$AA$33, MATCH(G249, Matrix!$AC$2:$AC$33, 0))</f>
        <v/>
      </c>
      <c r="Y249" s="156">
        <f>_xlfn.IFNA(MATCH(E248,'Injury Report'!$C$2:$C$6216,0),0)</f>
        <v/>
      </c>
    </row>
    <row r="250" ht="15.6" customHeight="1" s="152">
      <c r="A250" s="212" t="n">
        <v>248</v>
      </c>
      <c r="B250" s="167">
        <f>F250&amp;G250</f>
        <v/>
      </c>
      <c r="C250" s="156">
        <f>(K250/MAX(K:K)*$K$1)+(O250/MAX(O:O)*$O$1)+(M250/MAX(M:M)*$M$1)+(N250/MAX(N:N)*$N$1)+(V250/MAX(V:V)*$V$1)+(P250/MAX(P:P)*$P$1)</f>
        <v/>
      </c>
      <c r="E250" s="156">
        <f>IFERROR(VLOOKUP(F250,AllPlayers!F:F,1,0),"------------")</f>
        <v/>
      </c>
      <c r="F250" s="156" t="inlineStr">
        <is>
          <t>Cade Otton</t>
        </is>
      </c>
      <c r="G250" s="167" t="inlineStr">
        <is>
          <t>TB</t>
        </is>
      </c>
      <c r="H250" s="156" t="inlineStr">
        <is>
          <t>TE</t>
        </is>
      </c>
      <c r="I250" s="156" t="n">
        <v>2</v>
      </c>
      <c r="J250" s="156" t="n">
        <v>3</v>
      </c>
      <c r="K250" s="156" t="n">
        <v>25</v>
      </c>
      <c r="L250" s="156">
        <f>IF(J250=0,0,K250/J250)</f>
        <v/>
      </c>
      <c r="M250" s="156">
        <f>K250/17</f>
        <v/>
      </c>
      <c r="N250" s="156" t="n">
        <v>0</v>
      </c>
      <c r="O250" s="156" t="n">
        <v>7</v>
      </c>
      <c r="P250" s="281">
        <f>IF(K250=0,0,K250/O250)</f>
        <v/>
      </c>
      <c r="Q250" s="156" t="n">
        <v>0</v>
      </c>
      <c r="R250" s="156" t="n">
        <v>0</v>
      </c>
      <c r="S250" s="156" t="n">
        <v>0</v>
      </c>
      <c r="T250" s="156" t="n">
        <v>0</v>
      </c>
      <c r="U250" s="156" t="n">
        <v>0</v>
      </c>
      <c r="V250" s="156" t="n">
        <v>0</v>
      </c>
      <c r="W250" s="156" t="n">
        <v>0</v>
      </c>
      <c r="X250" s="204">
        <f>INDEX(Matrix!$AA$2:$AA$33, MATCH(G250, Matrix!$AC$2:$AC$33, 0))</f>
        <v/>
      </c>
      <c r="Y250" s="156">
        <f>_xlfn.IFNA(MATCH(E249,'Injury Report'!$C$2:$C$6216,0),0)</f>
        <v/>
      </c>
    </row>
    <row r="251" ht="15.6" customHeight="1" s="152">
      <c r="A251" s="212" t="n">
        <v>249</v>
      </c>
      <c r="B251" s="167">
        <f>F251&amp;G251</f>
        <v/>
      </c>
      <c r="C251" s="156">
        <f>(K251/MAX(K:K)*$K$1)+(O251/MAX(O:O)*$O$1)+(M251/MAX(M:M)*$M$1)+(N251/MAX(N:N)*$N$1)+(V251/MAX(V:V)*$V$1)+(P251/MAX(P:P)*$P$1)</f>
        <v/>
      </c>
      <c r="E251" s="156">
        <f>IFERROR(VLOOKUP(F251,AllPlayers!F:F,1,0),"------------")</f>
        <v/>
      </c>
      <c r="F251" s="156" t="inlineStr">
        <is>
          <t>Brenton Strange</t>
        </is>
      </c>
      <c r="G251" s="167" t="inlineStr">
        <is>
          <t>JAX</t>
        </is>
      </c>
      <c r="H251" s="156" t="inlineStr">
        <is>
          <t>TE</t>
        </is>
      </c>
      <c r="I251" s="156" t="n">
        <v>2</v>
      </c>
      <c r="J251" s="156" t="n">
        <v>7</v>
      </c>
      <c r="K251" s="156" t="n">
        <v>76</v>
      </c>
      <c r="L251" s="156">
        <f>IF(J251=0,0,K251/J251)</f>
        <v/>
      </c>
      <c r="M251" s="156">
        <f>K251/17</f>
        <v/>
      </c>
      <c r="N251" s="156" t="n">
        <v>0</v>
      </c>
      <c r="O251" s="156" t="n">
        <v>9</v>
      </c>
      <c r="P251" s="281">
        <f>IF(K251=0,0,K251/O251)</f>
        <v/>
      </c>
      <c r="Q251" s="156" t="n">
        <v>0</v>
      </c>
      <c r="R251" s="156" t="n">
        <v>0</v>
      </c>
      <c r="S251" s="156" t="n">
        <v>0</v>
      </c>
      <c r="T251" s="156" t="n">
        <v>0</v>
      </c>
      <c r="U251" s="156" t="n">
        <v>0</v>
      </c>
      <c r="V251" s="156" t="n">
        <v>0</v>
      </c>
      <c r="W251" s="156" t="n">
        <v>0</v>
      </c>
      <c r="X251" s="204">
        <f>INDEX(Matrix!$AA$2:$AA$33, MATCH(G251, Matrix!$AC$2:$AC$33, 0))</f>
        <v/>
      </c>
      <c r="Y251" s="156">
        <f>_xlfn.IFNA(MATCH(E250,'Injury Report'!$C$2:$C$6216,0),0)</f>
        <v/>
      </c>
    </row>
    <row r="252" ht="15.6" customHeight="1" s="152">
      <c r="A252" s="212" t="n">
        <v>250</v>
      </c>
      <c r="B252" s="167">
        <f>F252&amp;G252</f>
        <v/>
      </c>
      <c r="C252" s="156">
        <f>(K252/MAX(K:K)*$K$1)+(O252/MAX(O:O)*$O$1)+(M252/MAX(M:M)*$M$1)+(N252/MAX(N:N)*$N$1)+(V252/MAX(V:V)*$V$1)+(P252/MAX(P:P)*$P$1)</f>
        <v/>
      </c>
      <c r="E252" s="156">
        <f>IFERROR(VLOOKUP(F252,AllPlayers!F:F,1,0),"------------")</f>
        <v/>
      </c>
      <c r="F252" s="156" t="inlineStr">
        <is>
          <t>Darren Waller</t>
        </is>
      </c>
      <c r="G252" s="167" t="inlineStr">
        <is>
          <t>MIA</t>
        </is>
      </c>
      <c r="H252" s="156" t="inlineStr">
        <is>
          <t>TE</t>
        </is>
      </c>
      <c r="I252" s="156" t="n">
        <v>17</v>
      </c>
      <c r="J252" s="156" t="n">
        <v>49.5</v>
      </c>
      <c r="K252" s="156" t="n">
        <v>545.7</v>
      </c>
      <c r="L252" s="156">
        <f>IF(J252=0,0,K252/J252)</f>
        <v/>
      </c>
      <c r="M252" s="156">
        <f>K252/17</f>
        <v/>
      </c>
      <c r="N252" s="156" t="n">
        <v>3.2</v>
      </c>
      <c r="O252" s="156" t="n">
        <v>14</v>
      </c>
      <c r="P252" s="281">
        <f>IF(K252=0,0,K252/O252)</f>
        <v/>
      </c>
      <c r="Q252" s="156" t="n">
        <v>2</v>
      </c>
      <c r="R252" s="156" t="n">
        <v>0</v>
      </c>
      <c r="S252" s="156" t="n">
        <v>0</v>
      </c>
      <c r="T252" s="156" t="n">
        <v>0</v>
      </c>
      <c r="U252" s="156" t="n">
        <v>0</v>
      </c>
      <c r="V252" s="156" t="n">
        <v>1</v>
      </c>
      <c r="W252" s="156" t="n">
        <v>0.1</v>
      </c>
      <c r="X252" s="204">
        <f>INDEX(Matrix!$AA$2:$AA$33, MATCH(G252, Matrix!$AC$2:$AC$33, 0))</f>
        <v/>
      </c>
      <c r="Y252" s="156">
        <f>_xlfn.IFNA(MATCH(E251,'Injury Report'!$C$2:$C$6216,0),0)</f>
        <v/>
      </c>
    </row>
    <row r="253" ht="15.6" customHeight="1" s="152">
      <c r="A253" s="212" t="n">
        <v>251</v>
      </c>
      <c r="B253" s="167">
        <f>F253&amp;G253</f>
        <v/>
      </c>
      <c r="C253" s="156">
        <f>(K253/MAX(K:K)*$K$1)+(O253/MAX(O:O)*$O$1)+(M253/MAX(M:M)*$M$1)+(N253/MAX(N:N)*$N$1)+(V253/MAX(V:V)*$V$1)+(P253/MAX(P:P)*$P$1)</f>
        <v/>
      </c>
      <c r="E253" s="156">
        <f>IFERROR(VLOOKUP(F253,AllPlayers!F:F,1,0),"------------")</f>
        <v/>
      </c>
      <c r="F253" s="156" t="inlineStr">
        <is>
          <t>Jonnu Smith</t>
        </is>
      </c>
      <c r="G253" s="167" t="inlineStr">
        <is>
          <t>PIT</t>
        </is>
      </c>
      <c r="H253" s="156" t="inlineStr">
        <is>
          <t>TE</t>
        </is>
      </c>
      <c r="I253" s="156" t="n">
        <v>2</v>
      </c>
      <c r="J253" s="156" t="n">
        <v>9</v>
      </c>
      <c r="K253" s="156" t="n">
        <v>42</v>
      </c>
      <c r="L253" s="156">
        <f>IF(J253=0,0,K253/J253)</f>
        <v/>
      </c>
      <c r="M253" s="156">
        <f>K253/17</f>
        <v/>
      </c>
      <c r="N253" s="156" t="n">
        <v>1</v>
      </c>
      <c r="O253" s="156" t="n">
        <v>10</v>
      </c>
      <c r="P253" s="281">
        <f>IF(K253=0,0,K253/O253)</f>
        <v/>
      </c>
      <c r="Q253" s="156" t="n">
        <v>1</v>
      </c>
      <c r="R253" s="156" t="n">
        <v>0</v>
      </c>
      <c r="S253" s="156" t="n">
        <v>0</v>
      </c>
      <c r="T253" s="156" t="n">
        <v>0</v>
      </c>
      <c r="U253" s="156" t="n">
        <v>0</v>
      </c>
      <c r="V253" s="156" t="n">
        <v>0</v>
      </c>
      <c r="W253" s="156" t="n">
        <v>0</v>
      </c>
      <c r="X253" s="204">
        <f>INDEX(Matrix!$AA$2:$AA$33, MATCH(G253, Matrix!$AC$2:$AC$33, 0))</f>
        <v/>
      </c>
      <c r="Y253" s="156">
        <f>_xlfn.IFNA(MATCH(E252,'Injury Report'!$C$2:$C$6216,0),0)</f>
        <v/>
      </c>
    </row>
    <row r="254" ht="15.6" customHeight="1" s="152">
      <c r="A254" s="212" t="n">
        <v>252</v>
      </c>
      <c r="B254" s="167">
        <f>F254&amp;G254</f>
        <v/>
      </c>
      <c r="C254" s="156">
        <f>(K254/MAX(K:K)*$K$1)+(O254/MAX(O:O)*$O$1)+(M254/MAX(M:M)*$M$1)+(N254/MAX(N:N)*$N$1)+(V254/MAX(V:V)*$V$1)+(P254/MAX(P:P)*$P$1)</f>
        <v/>
      </c>
      <c r="E254" s="156">
        <f>IFERROR(VLOOKUP(F254,AllPlayers!F:F,1,0),"------------")</f>
        <v/>
      </c>
      <c r="F254" s="156" t="inlineStr">
        <is>
          <t>Mike Gesicki</t>
        </is>
      </c>
      <c r="G254" s="167" t="inlineStr">
        <is>
          <t>CIN</t>
        </is>
      </c>
      <c r="H254" s="156" t="inlineStr">
        <is>
          <t>TE</t>
        </is>
      </c>
      <c r="I254" s="156" t="n">
        <v>2</v>
      </c>
      <c r="J254" s="156" t="n">
        <v>4</v>
      </c>
      <c r="K254" s="156" t="n">
        <v>32</v>
      </c>
      <c r="L254" s="156">
        <f>IF(J254=0,0,K254/J254)</f>
        <v/>
      </c>
      <c r="M254" s="156">
        <f>K254/17</f>
        <v/>
      </c>
      <c r="N254" s="156" t="n">
        <v>0</v>
      </c>
      <c r="O254" s="156" t="n">
        <v>7</v>
      </c>
      <c r="P254" s="281">
        <f>IF(K254=0,0,K254/O254)</f>
        <v/>
      </c>
      <c r="Q254" s="156" t="n">
        <v>1</v>
      </c>
      <c r="R254" s="156" t="n">
        <v>0</v>
      </c>
      <c r="S254" s="156" t="n">
        <v>0</v>
      </c>
      <c r="T254" s="156" t="n">
        <v>0</v>
      </c>
      <c r="U254" s="156" t="n">
        <v>0</v>
      </c>
      <c r="V254" s="156" t="n">
        <v>0</v>
      </c>
      <c r="W254" s="156" t="n">
        <v>0</v>
      </c>
      <c r="X254" s="204">
        <f>INDEX(Matrix!$AA$2:$AA$33, MATCH(G254, Matrix!$AC$2:$AC$33, 0))</f>
        <v/>
      </c>
      <c r="Y254" s="156">
        <f>_xlfn.IFNA(MATCH(E253,'Injury Report'!$C$2:$C$6216,0),0)</f>
        <v/>
      </c>
    </row>
    <row r="255" ht="15.6" customHeight="1" s="152">
      <c r="A255" s="212" t="n">
        <v>253</v>
      </c>
      <c r="B255" s="167">
        <f>F255&amp;G255</f>
        <v/>
      </c>
      <c r="C255" s="156">
        <f>(K255/MAX(K:K)*$K$1)+(O255/MAX(O:O)*$O$1)+(M255/MAX(M:M)*$M$1)+(N255/MAX(N:N)*$N$1)+(V255/MAX(V:V)*$V$1)+(P255/MAX(P:P)*$P$1)</f>
        <v/>
      </c>
      <c r="E255" s="156">
        <f>IFERROR(VLOOKUP(F255,AllPlayers!F:F,1,0),"------------")</f>
        <v/>
      </c>
      <c r="F255" s="156" t="inlineStr">
        <is>
          <t>Dalton Schultz</t>
        </is>
      </c>
      <c r="G255" s="167" t="inlineStr">
        <is>
          <t>HOU</t>
        </is>
      </c>
      <c r="H255" s="156" t="inlineStr">
        <is>
          <t>TE</t>
        </is>
      </c>
      <c r="I255" s="156" t="n">
        <v>2</v>
      </c>
      <c r="J255" s="156" t="n">
        <v>6</v>
      </c>
      <c r="K255" s="156" t="n">
        <v>57</v>
      </c>
      <c r="L255" s="156">
        <f>IF(J255=0,0,K255/J255)</f>
        <v/>
      </c>
      <c r="M255" s="156">
        <f>K255/17</f>
        <v/>
      </c>
      <c r="N255" s="156" t="n">
        <v>0</v>
      </c>
      <c r="O255" s="156" t="n">
        <v>9</v>
      </c>
      <c r="P255" s="281">
        <f>IF(K255=0,0,K255/O255)</f>
        <v/>
      </c>
      <c r="Q255" s="156" t="n">
        <v>3</v>
      </c>
      <c r="R255" s="156" t="n">
        <v>0</v>
      </c>
      <c r="S255" s="156" t="n">
        <v>0</v>
      </c>
      <c r="T255" s="156" t="n">
        <v>0</v>
      </c>
      <c r="U255" s="156" t="n">
        <v>0</v>
      </c>
      <c r="V255" s="156" t="n">
        <v>0</v>
      </c>
      <c r="W255" s="156" t="n">
        <v>0</v>
      </c>
      <c r="X255" s="204">
        <f>INDEX(Matrix!$AA$2:$AA$33, MATCH(G255, Matrix!$AC$2:$AC$33, 0))</f>
        <v/>
      </c>
      <c r="Y255" s="156">
        <f>_xlfn.IFNA(MATCH(E254,'Injury Report'!$C$2:$C$6216,0),0)</f>
        <v/>
      </c>
    </row>
    <row r="256" ht="15.6" customHeight="1" s="152">
      <c r="A256" s="212" t="n">
        <v>254</v>
      </c>
      <c r="B256" s="167">
        <f>F256&amp;G256</f>
        <v/>
      </c>
      <c r="C256" s="156">
        <f>(K256/MAX(K:K)*$K$1)+(O256/MAX(O:O)*$O$1)+(M256/MAX(M:M)*$M$1)+(N256/MAX(N:N)*$N$1)+(V256/MAX(V:V)*$V$1)+(P256/MAX(P:P)*$P$1)</f>
        <v/>
      </c>
      <c r="E256" s="156">
        <f>IFERROR(VLOOKUP(F256,AllPlayers!F:F,1,0),"------------")</f>
        <v/>
      </c>
      <c r="F256" s="156" t="inlineStr">
        <is>
          <t>Chig Okonkwo</t>
        </is>
      </c>
      <c r="G256" s="167" t="inlineStr">
        <is>
          <t>TEN</t>
        </is>
      </c>
      <c r="H256" s="156" t="inlineStr">
        <is>
          <t>TE</t>
        </is>
      </c>
      <c r="I256" s="156" t="n">
        <v>2</v>
      </c>
      <c r="J256" s="156" t="n">
        <v>7</v>
      </c>
      <c r="K256" s="156" t="n">
        <v>54</v>
      </c>
      <c r="L256" s="156">
        <f>IF(J256=0,0,K256/J256)</f>
        <v/>
      </c>
      <c r="M256" s="156">
        <f>K256/17</f>
        <v/>
      </c>
      <c r="N256" s="156" t="n">
        <v>0</v>
      </c>
      <c r="O256" s="156" t="n">
        <v>10</v>
      </c>
      <c r="P256" s="281">
        <f>IF(K256=0,0,K256/O256)</f>
        <v/>
      </c>
      <c r="Q256" s="156" t="n">
        <v>1</v>
      </c>
      <c r="R256" s="156" t="n">
        <v>0</v>
      </c>
      <c r="S256" s="156" t="n">
        <v>0</v>
      </c>
      <c r="T256" s="156" t="n">
        <v>0</v>
      </c>
      <c r="U256" s="156" t="n">
        <v>0</v>
      </c>
      <c r="V256" s="156" t="n">
        <v>0</v>
      </c>
      <c r="W256" s="156" t="n">
        <v>0</v>
      </c>
      <c r="X256" s="204">
        <f>INDEX(Matrix!$AA$2:$AA$33, MATCH(G256, Matrix!$AC$2:$AC$33, 0))</f>
        <v/>
      </c>
      <c r="Y256" s="156">
        <f>_xlfn.IFNA(MATCH(E255,'Injury Report'!$C$2:$C$6216,0),0)</f>
        <v/>
      </c>
    </row>
    <row r="257" ht="15.6" customHeight="1" s="152">
      <c r="A257" s="212" t="n">
        <v>255</v>
      </c>
      <c r="B257" s="167">
        <f>F257&amp;G257</f>
        <v/>
      </c>
      <c r="C257" s="156">
        <f>(K257/MAX(K:K)*$K$1)+(O257/MAX(O:O)*$O$1)+(M257/MAX(M:M)*$M$1)+(N257/MAX(N:N)*$N$1)+(V257/MAX(V:V)*$V$1)+(P257/MAX(P:P)*$P$1)</f>
        <v/>
      </c>
      <c r="E257" s="156">
        <f>IFERROR(VLOOKUP(F257,AllPlayers!F:F,1,0),"------------")</f>
        <v/>
      </c>
      <c r="F257" s="156" t="inlineStr">
        <is>
          <t>Juwan Johnson</t>
        </is>
      </c>
      <c r="G257" s="167" t="inlineStr">
        <is>
          <t>NO</t>
        </is>
      </c>
      <c r="H257" s="156" t="inlineStr">
        <is>
          <t>TE</t>
        </is>
      </c>
      <c r="I257" s="156" t="n">
        <v>2</v>
      </c>
      <c r="J257" s="156" t="n">
        <v>13</v>
      </c>
      <c r="K257" s="156" t="n">
        <v>125</v>
      </c>
      <c r="L257" s="156">
        <f>IF(J257=0,0,K257/J257)</f>
        <v/>
      </c>
      <c r="M257" s="156">
        <f>K257/17</f>
        <v/>
      </c>
      <c r="N257" s="156" t="n">
        <v>1</v>
      </c>
      <c r="O257" s="156" t="n">
        <v>20</v>
      </c>
      <c r="P257" s="281">
        <f>IF(K257=0,0,K257/O257)</f>
        <v/>
      </c>
      <c r="Q257" s="156" t="n">
        <v>0</v>
      </c>
      <c r="R257" s="156" t="n">
        <v>0</v>
      </c>
      <c r="S257" s="156" t="n">
        <v>0</v>
      </c>
      <c r="T257" s="156" t="n">
        <v>0</v>
      </c>
      <c r="U257" s="156" t="n">
        <v>0</v>
      </c>
      <c r="V257" s="156" t="n">
        <v>0</v>
      </c>
      <c r="W257" s="156" t="n">
        <v>0</v>
      </c>
      <c r="X257" s="204">
        <f>INDEX(Matrix!$AA$2:$AA$33, MATCH(G257, Matrix!$AC$2:$AC$33, 0))</f>
        <v/>
      </c>
      <c r="Y257" s="156">
        <f>_xlfn.IFNA(MATCH(E256,'Injury Report'!$C$2:$C$6216,0),0)</f>
        <v/>
      </c>
    </row>
    <row r="258" ht="15.6" customHeight="1" s="152">
      <c r="A258" s="212" t="n">
        <v>256</v>
      </c>
      <c r="B258" s="167">
        <f>F258&amp;G258</f>
        <v/>
      </c>
      <c r="C258" s="156">
        <f>(K258/MAX(K:K)*$K$1)+(O258/MAX(O:O)*$O$1)+(M258/MAX(M:M)*$M$1)+(N258/MAX(N:N)*$N$1)+(V258/MAX(V:V)*$V$1)+(P258/MAX(P:P)*$P$1)</f>
        <v/>
      </c>
      <c r="E258" s="156">
        <f>IFERROR(VLOOKUP(F258,AllPlayers!F:F,1,0),"------------")</f>
        <v/>
      </c>
      <c r="F258" s="156" t="inlineStr">
        <is>
          <t>Pat Freiermuth</t>
        </is>
      </c>
      <c r="G258" s="167" t="inlineStr">
        <is>
          <t>PIT</t>
        </is>
      </c>
      <c r="H258" s="156" t="inlineStr">
        <is>
          <t>TE</t>
        </is>
      </c>
      <c r="I258" s="156" t="n">
        <v>2</v>
      </c>
      <c r="J258" s="156" t="n">
        <v>6</v>
      </c>
      <c r="K258" s="156" t="n">
        <v>59</v>
      </c>
      <c r="L258" s="156">
        <f>IF(J258=0,0,K258/J258)</f>
        <v/>
      </c>
      <c r="M258" s="156">
        <f>K258/17</f>
        <v/>
      </c>
      <c r="N258" s="156" t="n">
        <v>0</v>
      </c>
      <c r="O258" s="156" t="n">
        <v>7</v>
      </c>
      <c r="P258" s="281">
        <f>IF(K258=0,0,K258/O258)</f>
        <v/>
      </c>
      <c r="Q258" s="156" t="n">
        <v>2</v>
      </c>
      <c r="R258" s="156" t="n">
        <v>2</v>
      </c>
      <c r="S258" s="156" t="n">
        <v>0</v>
      </c>
      <c r="T258" s="156" t="n">
        <v>0</v>
      </c>
      <c r="U258" s="156" t="n">
        <v>0</v>
      </c>
      <c r="V258" s="156" t="n">
        <v>0</v>
      </c>
      <c r="W258" s="156" t="n">
        <v>0</v>
      </c>
      <c r="X258" s="204">
        <f>INDEX(Matrix!$AA$2:$AA$33, MATCH(G258, Matrix!$AC$2:$AC$33, 0))</f>
        <v/>
      </c>
      <c r="Y258" s="156">
        <f>_xlfn.IFNA(MATCH(E257,'Injury Report'!$C$2:$C$6216,0),0)</f>
        <v/>
      </c>
    </row>
    <row r="259" ht="15.6" customHeight="1" s="152">
      <c r="A259" s="212" t="n">
        <v>257</v>
      </c>
      <c r="B259" s="167">
        <f>F259&amp;G259</f>
        <v/>
      </c>
      <c r="C259" s="156">
        <f>(K259/MAX(K:K)*$K$1)+(O259/MAX(O:O)*$O$1)+(M259/MAX(M:M)*$M$1)+(N259/MAX(N:N)*$N$1)+(V259/MAX(V:V)*$V$1)+(P259/MAX(P:P)*$P$1)</f>
        <v/>
      </c>
      <c r="E259" s="156">
        <f>IFERROR(VLOOKUP(F259,AllPlayers!F:F,1,0),"------------")</f>
        <v/>
      </c>
      <c r="F259" s="156" t="inlineStr">
        <is>
          <t>Tyler Higbee</t>
        </is>
      </c>
      <c r="G259" s="167" t="inlineStr">
        <is>
          <t>LAR</t>
        </is>
      </c>
      <c r="H259" s="156" t="inlineStr">
        <is>
          <t>TE</t>
        </is>
      </c>
      <c r="I259" s="156" t="n">
        <v>2</v>
      </c>
      <c r="J259" s="156" t="n">
        <v>4</v>
      </c>
      <c r="K259" s="156" t="n">
        <v>37</v>
      </c>
      <c r="L259" s="156">
        <f>IF(J259=0,0,K259/J259)</f>
        <v/>
      </c>
      <c r="M259" s="156">
        <f>K259/17</f>
        <v/>
      </c>
      <c r="N259" s="156" t="n">
        <v>0</v>
      </c>
      <c r="O259" s="156" t="n">
        <v>4</v>
      </c>
      <c r="P259" s="281">
        <f>IF(K259=0,0,K259/O259)</f>
        <v/>
      </c>
      <c r="Q259" s="156" t="n">
        <v>0</v>
      </c>
      <c r="R259" s="156" t="n">
        <v>0</v>
      </c>
      <c r="S259" s="156" t="n">
        <v>0</v>
      </c>
      <c r="T259" s="156" t="n">
        <v>0</v>
      </c>
      <c r="U259" s="156" t="n">
        <v>0</v>
      </c>
      <c r="V259" s="156" t="n">
        <v>0</v>
      </c>
      <c r="W259" s="156" t="n">
        <v>0</v>
      </c>
      <c r="X259" s="204">
        <f>INDEX(Matrix!$AA$2:$AA$33, MATCH(G259, Matrix!$AC$2:$AC$33, 0))</f>
        <v/>
      </c>
      <c r="Y259" s="156">
        <f>_xlfn.IFNA(MATCH(E258,'Injury Report'!$C$2:$C$6216,0),0)</f>
        <v/>
      </c>
    </row>
    <row r="260" ht="15.6" customHeight="1" s="152">
      <c r="A260" s="212" t="n">
        <v>258</v>
      </c>
      <c r="B260" s="167">
        <f>F260&amp;G260</f>
        <v/>
      </c>
      <c r="C260" s="156">
        <f>(K260/MAX(K:K)*$K$1)+(O260/MAX(O:O)*$O$1)+(M260/MAX(M:M)*$M$1)+(N260/MAX(N:N)*$N$1)+(V260/MAX(V:V)*$V$1)+(P260/MAX(P:P)*$P$1)</f>
        <v/>
      </c>
      <c r="E260" s="156">
        <f>IFERROR(VLOOKUP(F260,AllPlayers!F:F,1,0),"------------")</f>
        <v/>
      </c>
      <c r="F260" s="156" t="inlineStr">
        <is>
          <t>Robbie Ouzts</t>
        </is>
      </c>
      <c r="G260" s="167" t="inlineStr">
        <is>
          <t>SEA</t>
        </is>
      </c>
      <c r="H260" s="156" t="inlineStr">
        <is>
          <t>TE</t>
        </is>
      </c>
      <c r="I260" s="156" t="n">
        <v>1</v>
      </c>
      <c r="J260" s="156" t="n">
        <v>0</v>
      </c>
      <c r="K260" s="156" t="n">
        <v>0</v>
      </c>
      <c r="L260" s="156">
        <f>IF(J260=0,0,K260/J260)</f>
        <v/>
      </c>
      <c r="M260" s="156">
        <f>K260/17</f>
        <v/>
      </c>
      <c r="N260" s="156" t="n">
        <v>0</v>
      </c>
      <c r="O260" s="156" t="n">
        <v>0</v>
      </c>
      <c r="P260" s="281">
        <f>IF(K260=0,0,K260/O260)</f>
        <v/>
      </c>
      <c r="Q260" s="156" t="n">
        <v>2</v>
      </c>
      <c r="R260" s="156" t="n">
        <v>0</v>
      </c>
      <c r="S260" s="156" t="n">
        <v>0</v>
      </c>
      <c r="T260" s="156" t="n">
        <v>0</v>
      </c>
      <c r="U260" s="156" t="n">
        <v>0</v>
      </c>
      <c r="V260" s="156" t="n">
        <v>0</v>
      </c>
      <c r="W260" s="156" t="n">
        <v>0</v>
      </c>
      <c r="X260" s="204">
        <f>INDEX(Matrix!$AA$2:$AA$33, MATCH(G260, Matrix!$AC$2:$AC$33, 0))</f>
        <v/>
      </c>
      <c r="Y260" s="156">
        <f>_xlfn.IFNA(MATCH(E259,'Injury Report'!$C$2:$C$6216,0),0)</f>
        <v/>
      </c>
    </row>
    <row r="261" ht="15.6" customHeight="1" s="152">
      <c r="A261" s="212" t="n">
        <v>259</v>
      </c>
      <c r="B261" s="167">
        <f>F261&amp;G261</f>
        <v/>
      </c>
      <c r="C261" s="156">
        <f>(K261/MAX(K:K)*$K$1)+(O261/MAX(O:O)*$O$1)+(M261/MAX(M:M)*$M$1)+(N261/MAX(N:N)*$N$1)+(V261/MAX(V:V)*$V$1)+(P261/MAX(P:P)*$P$1)</f>
        <v/>
      </c>
      <c r="E261" s="156">
        <f>IFERROR(VLOOKUP(F261,AllPlayers!F:F,1,0),"------------")</f>
        <v/>
      </c>
      <c r="F261" s="156" t="inlineStr">
        <is>
          <t>Mason Taylor</t>
        </is>
      </c>
      <c r="G261" s="167" t="inlineStr">
        <is>
          <t>NYJ</t>
        </is>
      </c>
      <c r="H261" s="156" t="inlineStr">
        <is>
          <t>TE</t>
        </is>
      </c>
      <c r="I261" s="156" t="n">
        <v>2</v>
      </c>
      <c r="J261" s="156" t="n">
        <v>2</v>
      </c>
      <c r="K261" s="156" t="n">
        <v>25</v>
      </c>
      <c r="L261" s="156">
        <f>IF(J261=0,0,K261/J261)</f>
        <v/>
      </c>
      <c r="M261" s="156">
        <f>K261/17</f>
        <v/>
      </c>
      <c r="N261" s="156" t="n">
        <v>0</v>
      </c>
      <c r="O261" s="156" t="n">
        <v>3</v>
      </c>
      <c r="P261" s="281">
        <f>IF(K261=0,0,K261/O261)</f>
        <v/>
      </c>
      <c r="Q261" s="156" t="n">
        <v>0</v>
      </c>
      <c r="R261" s="156" t="n">
        <v>0</v>
      </c>
      <c r="S261" s="156" t="n">
        <v>0</v>
      </c>
      <c r="T261" s="156" t="n">
        <v>0</v>
      </c>
      <c r="U261" s="156" t="n">
        <v>0</v>
      </c>
      <c r="V261" s="156" t="n">
        <v>0</v>
      </c>
      <c r="W261" s="156" t="n">
        <v>0</v>
      </c>
      <c r="X261" s="204">
        <f>INDEX(Matrix!$AA$2:$AA$33, MATCH(G261, Matrix!$AC$2:$AC$33, 0))</f>
        <v/>
      </c>
      <c r="Y261" s="156">
        <f>_xlfn.IFNA(MATCH(E260,'Injury Report'!$C$2:$C$6216,0),0)</f>
        <v/>
      </c>
    </row>
    <row r="262" ht="15.6" customHeight="1" s="152">
      <c r="A262" s="212" t="n">
        <v>260</v>
      </c>
      <c r="B262" s="167">
        <f>F262&amp;G262</f>
        <v/>
      </c>
      <c r="C262" s="156">
        <f>(K262/MAX(K:K)*$K$1)+(O262/MAX(O:O)*$O$1)+(M262/MAX(M:M)*$M$1)+(N262/MAX(N:N)*$N$1)+(V262/MAX(V:V)*$V$1)+(P262/MAX(P:P)*$P$1)</f>
        <v/>
      </c>
      <c r="E262" s="156">
        <f>IFERROR(VLOOKUP(F262,AllPlayers!F:F,1,0),"------------")</f>
        <v/>
      </c>
      <c r="F262" s="156" t="inlineStr">
        <is>
          <t>Theo Johnson</t>
        </is>
      </c>
      <c r="G262" s="167" t="inlineStr">
        <is>
          <t>NYG</t>
        </is>
      </c>
      <c r="H262" s="156" t="inlineStr">
        <is>
          <t>TE</t>
        </is>
      </c>
      <c r="I262" s="156" t="n">
        <v>2</v>
      </c>
      <c r="J262" s="156" t="n">
        <v>5</v>
      </c>
      <c r="K262" s="156" t="n">
        <v>39</v>
      </c>
      <c r="L262" s="156">
        <f>IF(J262=0,0,K262/J262)</f>
        <v/>
      </c>
      <c r="M262" s="156">
        <f>K262/17</f>
        <v/>
      </c>
      <c r="N262" s="156" t="n">
        <v>0</v>
      </c>
      <c r="O262" s="156" t="n">
        <v>8</v>
      </c>
      <c r="P262" s="281">
        <f>IF(K262=0,0,K262/O262)</f>
        <v/>
      </c>
      <c r="Q262" s="156" t="n">
        <v>1</v>
      </c>
      <c r="R262" s="156" t="n">
        <v>0</v>
      </c>
      <c r="S262" s="156" t="n">
        <v>0</v>
      </c>
      <c r="T262" s="156" t="n">
        <v>0</v>
      </c>
      <c r="U262" s="156" t="n">
        <v>0</v>
      </c>
      <c r="V262" s="156" t="n">
        <v>0</v>
      </c>
      <c r="W262" s="156" t="n">
        <v>0</v>
      </c>
      <c r="X262" s="204">
        <f>INDEX(Matrix!$AA$2:$AA$33, MATCH(G262, Matrix!$AC$2:$AC$33, 0))</f>
        <v/>
      </c>
      <c r="Y262" s="156">
        <f>_xlfn.IFNA(MATCH(E261,'Injury Report'!$C$2:$C$6216,0),0)</f>
        <v/>
      </c>
    </row>
    <row r="263" ht="15.6" customHeight="1" s="152">
      <c r="A263" s="212" t="n">
        <v>261</v>
      </c>
      <c r="B263" s="167">
        <f>F263&amp;G263</f>
        <v/>
      </c>
      <c r="C263" s="156">
        <f>(K263/MAX(K:K)*$K$1)+(O263/MAX(O:O)*$O$1)+(M263/MAX(M:M)*$M$1)+(N263/MAX(N:N)*$N$1)+(V263/MAX(V:V)*$V$1)+(P263/MAX(P:P)*$P$1)</f>
        <v/>
      </c>
      <c r="E263" s="156">
        <f>IFERROR(VLOOKUP(F263,AllPlayers!F:F,1,0),"------------")</f>
        <v/>
      </c>
      <c r="F263" s="156" t="inlineStr">
        <is>
          <t>Elijah Arroyo</t>
        </is>
      </c>
      <c r="G263" s="167" t="inlineStr">
        <is>
          <t>SEA</t>
        </is>
      </c>
      <c r="H263" s="156" t="inlineStr">
        <is>
          <t>TE</t>
        </is>
      </c>
      <c r="I263" s="156" t="n">
        <v>2</v>
      </c>
      <c r="J263" s="156" t="n">
        <v>3</v>
      </c>
      <c r="K263" s="156" t="n">
        <v>38</v>
      </c>
      <c r="L263" s="156">
        <f>IF(J263=0,0,K263/J263)</f>
        <v/>
      </c>
      <c r="M263" s="156">
        <f>K263/17</f>
        <v/>
      </c>
      <c r="N263" s="156" t="n">
        <v>0</v>
      </c>
      <c r="O263" s="156" t="n">
        <v>4</v>
      </c>
      <c r="P263" s="281">
        <f>IF(K263=0,0,K263/O263)</f>
        <v/>
      </c>
      <c r="Q263" s="156" t="n">
        <v>0</v>
      </c>
      <c r="R263" s="156" t="n">
        <v>0</v>
      </c>
      <c r="S263" s="156" t="n">
        <v>0</v>
      </c>
      <c r="T263" s="156" t="n">
        <v>0</v>
      </c>
      <c r="U263" s="156" t="n">
        <v>0</v>
      </c>
      <c r="V263" s="156" t="n">
        <v>0</v>
      </c>
      <c r="W263" s="156" t="n">
        <v>0</v>
      </c>
      <c r="X263" s="204">
        <f>INDEX(Matrix!$AA$2:$AA$33, MATCH(G263, Matrix!$AC$2:$AC$33, 0))</f>
        <v/>
      </c>
      <c r="Y263" s="156">
        <f>_xlfn.IFNA(MATCH(E262,'Injury Report'!$C$2:$C$6216,0),0)</f>
        <v/>
      </c>
    </row>
    <row r="264" ht="15.6" customHeight="1" s="152">
      <c r="A264" s="212" t="n">
        <v>262</v>
      </c>
      <c r="B264" s="167">
        <f>F264&amp;G264</f>
        <v/>
      </c>
      <c r="C264" s="156">
        <f>(K264/MAX(K:K)*$K$1)+(O264/MAX(O:O)*$O$1)+(M264/MAX(M:M)*$M$1)+(N264/MAX(N:N)*$N$1)+(V264/MAX(V:V)*$V$1)+(P264/MAX(P:P)*$P$1)</f>
        <v/>
      </c>
      <c r="E264" s="156">
        <f>IFERROR(VLOOKUP(F264,AllPlayers!F:F,1,0),"------------")</f>
        <v/>
      </c>
      <c r="F264" s="156" t="inlineStr">
        <is>
          <t>Will Dissly</t>
        </is>
      </c>
      <c r="G264" s="167" t="inlineStr">
        <is>
          <t>LAC</t>
        </is>
      </c>
      <c r="H264" s="156" t="inlineStr">
        <is>
          <t>TE</t>
        </is>
      </c>
      <c r="I264" s="156" t="n">
        <v>2</v>
      </c>
      <c r="J264" s="156" t="n">
        <v>2</v>
      </c>
      <c r="K264" s="156" t="n">
        <v>25</v>
      </c>
      <c r="L264" s="156">
        <f>IF(J264=0,0,K264/J264)</f>
        <v/>
      </c>
      <c r="M264" s="156">
        <f>K264/17</f>
        <v/>
      </c>
      <c r="N264" s="156" t="n">
        <v>0</v>
      </c>
      <c r="O264" s="156" t="n">
        <v>2</v>
      </c>
      <c r="P264" s="281">
        <f>IF(K264=0,0,K264/O264)</f>
        <v/>
      </c>
      <c r="Q264" s="156" t="n">
        <v>2</v>
      </c>
      <c r="R264" s="156" t="n">
        <v>0</v>
      </c>
      <c r="S264" s="156" t="n">
        <v>0</v>
      </c>
      <c r="T264" s="156" t="n">
        <v>0</v>
      </c>
      <c r="U264" s="156" t="n">
        <v>0</v>
      </c>
      <c r="V264" s="156" t="n">
        <v>0</v>
      </c>
      <c r="W264" s="156" t="n">
        <v>0</v>
      </c>
      <c r="X264" s="204">
        <f>INDEX(Matrix!$AA$2:$AA$33, MATCH(G264, Matrix!$AC$2:$AC$33, 0))</f>
        <v/>
      </c>
      <c r="Y264" s="156">
        <f>_xlfn.IFNA(MATCH(E263,'Injury Report'!$C$2:$C$6216,0),0)</f>
        <v/>
      </c>
    </row>
    <row r="265" ht="15.6" customHeight="1" s="152">
      <c r="A265" s="212" t="n">
        <v>263</v>
      </c>
      <c r="B265" s="167">
        <f>F265&amp;G265</f>
        <v/>
      </c>
      <c r="C265" s="156">
        <f>(K265/MAX(K:K)*$K$1)+(O265/MAX(O:O)*$O$1)+(M265/MAX(M:M)*$M$1)+(N265/MAX(N:N)*$N$1)+(V265/MAX(V:V)*$V$1)+(P265/MAX(P:P)*$P$1)</f>
        <v/>
      </c>
      <c r="E265" s="156">
        <f>IFERROR(VLOOKUP(F265,AllPlayers!F:F,1,0),"------------")</f>
        <v/>
      </c>
      <c r="F265" s="156" t="inlineStr">
        <is>
          <t>Noah Fant</t>
        </is>
      </c>
      <c r="G265" s="167" t="inlineStr">
        <is>
          <t>CIN</t>
        </is>
      </c>
      <c r="H265" s="156" t="inlineStr">
        <is>
          <t>TE</t>
        </is>
      </c>
      <c r="I265" s="156" t="n">
        <v>2</v>
      </c>
      <c r="J265" s="156" t="n">
        <v>7</v>
      </c>
      <c r="K265" s="156" t="n">
        <v>54</v>
      </c>
      <c r="L265" s="156">
        <f>IF(J265=0,0,K265/J265)</f>
        <v/>
      </c>
      <c r="M265" s="156">
        <f>K265/17</f>
        <v/>
      </c>
      <c r="N265" s="156" t="n">
        <v>1</v>
      </c>
      <c r="O265" s="156" t="n">
        <v>9</v>
      </c>
      <c r="P265" s="281">
        <f>IF(K265=0,0,K265/O265)</f>
        <v/>
      </c>
      <c r="Q265" s="156" t="n">
        <v>1</v>
      </c>
      <c r="R265" s="156" t="n">
        <v>0</v>
      </c>
      <c r="S265" s="156" t="n">
        <v>0</v>
      </c>
      <c r="T265" s="156" t="n">
        <v>0</v>
      </c>
      <c r="U265" s="156" t="n">
        <v>0</v>
      </c>
      <c r="V265" s="156" t="n">
        <v>0</v>
      </c>
      <c r="W265" s="156" t="n">
        <v>0</v>
      </c>
      <c r="X265" s="204">
        <f>INDEX(Matrix!$AA$2:$AA$33, MATCH(G265, Matrix!$AC$2:$AC$33, 0))</f>
        <v/>
      </c>
      <c r="Y265" s="156">
        <f>_xlfn.IFNA(MATCH(E264,'Injury Report'!$C$2:$C$6216,0),0)</f>
        <v/>
      </c>
    </row>
    <row r="266" ht="15.6" customHeight="1" s="152">
      <c r="A266" s="212" t="n">
        <v>264</v>
      </c>
      <c r="B266" s="167">
        <f>F266&amp;G266</f>
        <v/>
      </c>
      <c r="C266" s="156">
        <f>(K266/MAX(K:K)*$K$1)+(O266/MAX(O:O)*$O$1)+(M266/MAX(M:M)*$M$1)+(N266/MAX(N:N)*$N$1)+(V266/MAX(V:V)*$V$1)+(P266/MAX(P:P)*$P$1)</f>
        <v/>
      </c>
      <c r="E266" s="156">
        <f>IFERROR(VLOOKUP(F266,AllPlayers!F:F,1,0),"------------")</f>
        <v/>
      </c>
      <c r="F266" s="156" t="inlineStr">
        <is>
          <t>Ja'tavion Sanders</t>
        </is>
      </c>
      <c r="G266" s="167" t="inlineStr">
        <is>
          <t>CAR</t>
        </is>
      </c>
      <c r="H266" s="156" t="inlineStr">
        <is>
          <t>TE</t>
        </is>
      </c>
      <c r="I266" s="156" t="n">
        <v>2</v>
      </c>
      <c r="J266" s="156" t="n">
        <v>9</v>
      </c>
      <c r="K266" s="156" t="n">
        <v>81</v>
      </c>
      <c r="L266" s="156">
        <f>IF(J266=0,0,K266/J266)</f>
        <v/>
      </c>
      <c r="M266" s="156">
        <f>K266/17</f>
        <v/>
      </c>
      <c r="N266" s="156" t="n">
        <v>0</v>
      </c>
      <c r="O266" s="156" t="n">
        <v>12</v>
      </c>
      <c r="P266" s="281">
        <f>IF(K266=0,0,K266/O266)</f>
        <v/>
      </c>
      <c r="Q266" s="156" t="n">
        <v>2</v>
      </c>
      <c r="R266" s="156" t="n">
        <v>1</v>
      </c>
      <c r="S266" s="156" t="n">
        <v>0</v>
      </c>
      <c r="T266" s="156" t="n">
        <v>0</v>
      </c>
      <c r="U266" s="156" t="n">
        <v>0</v>
      </c>
      <c r="V266" s="156" t="n">
        <v>0</v>
      </c>
      <c r="W266" s="156" t="n">
        <v>0</v>
      </c>
      <c r="X266" s="204">
        <f>INDEX(Matrix!$AA$2:$AA$33, MATCH(G266, Matrix!$AC$2:$AC$33, 0))</f>
        <v/>
      </c>
      <c r="Y266" s="156">
        <f>_xlfn.IFNA(MATCH(E265,'Injury Report'!$C$2:$C$6216,0),0)</f>
        <v/>
      </c>
    </row>
    <row r="267" ht="15.6" customHeight="1" s="152">
      <c r="A267" s="212" t="n">
        <v>265</v>
      </c>
      <c r="B267" s="167">
        <f>F267&amp;G267</f>
        <v/>
      </c>
      <c r="C267" s="156">
        <f>(K267/MAX(K:K)*$K$1)+(O267/MAX(O:O)*$O$1)+(M267/MAX(M:M)*$M$1)+(N267/MAX(N:N)*$N$1)+(V267/MAX(V:V)*$V$1)+(P267/MAX(P:P)*$P$1)</f>
        <v/>
      </c>
      <c r="E267" s="156">
        <f>IFERROR(VLOOKUP(F267,AllPlayers!F:F,1,0),"------------")</f>
        <v/>
      </c>
      <c r="F267" s="156" t="inlineStr">
        <is>
          <t>Noah Gray</t>
        </is>
      </c>
      <c r="G267" s="167" t="inlineStr">
        <is>
          <t>KC</t>
        </is>
      </c>
      <c r="H267" s="156" t="inlineStr">
        <is>
          <t>TE</t>
        </is>
      </c>
      <c r="I267" s="156" t="n">
        <v>2</v>
      </c>
      <c r="J267" s="156" t="n">
        <v>2</v>
      </c>
      <c r="K267" s="156" t="n">
        <v>4</v>
      </c>
      <c r="L267" s="156">
        <f>IF(J267=0,0,K267/J267)</f>
        <v/>
      </c>
      <c r="M267" s="156">
        <f>K267/17</f>
        <v/>
      </c>
      <c r="N267" s="156" t="n">
        <v>0</v>
      </c>
      <c r="O267" s="156" t="n">
        <v>6</v>
      </c>
      <c r="P267" s="281">
        <f>IF(K267=0,0,K267/O267)</f>
        <v/>
      </c>
      <c r="Q267" s="156" t="n">
        <v>0</v>
      </c>
      <c r="R267" s="156" t="n">
        <v>0</v>
      </c>
      <c r="S267" s="156" t="n">
        <v>0</v>
      </c>
      <c r="T267" s="156" t="n">
        <v>0</v>
      </c>
      <c r="U267" s="156" t="n">
        <v>0</v>
      </c>
      <c r="V267" s="156" t="n">
        <v>0</v>
      </c>
      <c r="W267" s="156" t="n">
        <v>0</v>
      </c>
      <c r="X267" s="204">
        <f>INDEX(Matrix!$AA$2:$AA$33, MATCH(G267, Matrix!$AC$2:$AC$33, 0))</f>
        <v/>
      </c>
      <c r="Y267" s="156">
        <f>_xlfn.IFNA(MATCH(E266,'Injury Report'!$C$2:$C$6216,0),0)</f>
        <v/>
      </c>
    </row>
    <row r="268" ht="15.6" customHeight="1" s="152">
      <c r="A268" s="212" t="n">
        <v>266</v>
      </c>
      <c r="B268" s="167">
        <f>F268&amp;G268</f>
        <v/>
      </c>
      <c r="C268" s="156">
        <f>(K268/MAX(K:K)*$K$1)+(O268/MAX(O:O)*$O$1)+(M268/MAX(M:M)*$M$1)+(N268/MAX(N:N)*$N$1)+(V268/MAX(V:V)*$V$1)+(P268/MAX(P:P)*$P$1)</f>
        <v/>
      </c>
      <c r="E268" s="156">
        <f>IFERROR(VLOOKUP(F268,AllPlayers!F:F,1,0),"------------")</f>
        <v/>
      </c>
      <c r="F268" s="156" t="inlineStr">
        <is>
          <t>Tyler Conklin</t>
        </is>
      </c>
      <c r="G268" s="167" t="inlineStr">
        <is>
          <t>LAC</t>
        </is>
      </c>
      <c r="H268" s="156" t="inlineStr">
        <is>
          <t>TE</t>
        </is>
      </c>
      <c r="I268" s="156" t="n">
        <v>1</v>
      </c>
      <c r="J268" s="156" t="n">
        <v>2</v>
      </c>
      <c r="K268" s="156" t="n">
        <v>50</v>
      </c>
      <c r="L268" s="156">
        <f>IF(J268=0,0,K268/J268)</f>
        <v/>
      </c>
      <c r="M268" s="156">
        <f>K268/17</f>
        <v/>
      </c>
      <c r="N268" s="156" t="n">
        <v>0</v>
      </c>
      <c r="O268" s="156" t="n">
        <v>2</v>
      </c>
      <c r="P268" s="281">
        <f>IF(K268=0,0,K268/O268)</f>
        <v/>
      </c>
      <c r="Q268" s="156" t="n">
        <v>0</v>
      </c>
      <c r="R268" s="156" t="n">
        <v>0</v>
      </c>
      <c r="S268" s="156" t="n">
        <v>0</v>
      </c>
      <c r="T268" s="156" t="n">
        <v>0</v>
      </c>
      <c r="U268" s="156" t="n">
        <v>0</v>
      </c>
      <c r="V268" s="156" t="n">
        <v>1</v>
      </c>
      <c r="W268" s="156" t="n">
        <v>0</v>
      </c>
      <c r="X268" s="204">
        <f>INDEX(Matrix!$AA$2:$AA$33, MATCH(G268, Matrix!$AC$2:$AC$33, 0))</f>
        <v/>
      </c>
      <c r="Y268" s="156">
        <f>_xlfn.IFNA(MATCH(E267,'Injury Report'!$C$2:$C$6216,0),0)</f>
        <v/>
      </c>
    </row>
    <row r="269" ht="15.6" customHeight="1" s="152">
      <c r="A269" s="212" t="n">
        <v>267</v>
      </c>
      <c r="B269" s="167">
        <f>F269&amp;G269</f>
        <v/>
      </c>
      <c r="C269" s="156">
        <f>(K269/MAX(K:K)*$K$1)+(O269/MAX(O:O)*$O$1)+(M269/MAX(M:M)*$M$1)+(N269/MAX(N:N)*$N$1)+(V269/MAX(V:V)*$V$1)+(P269/MAX(P:P)*$P$1)</f>
        <v/>
      </c>
      <c r="E269" s="156">
        <f>IFERROR(VLOOKUP(F269,AllPlayers!F:F,1,0),"------------")</f>
        <v/>
      </c>
      <c r="F269" s="156" t="inlineStr">
        <is>
          <t>A.J. Barner</t>
        </is>
      </c>
      <c r="G269" s="167" t="inlineStr">
        <is>
          <t>SEA</t>
        </is>
      </c>
      <c r="H269" s="156" t="inlineStr">
        <is>
          <t>TE</t>
        </is>
      </c>
      <c r="I269" s="156" t="n">
        <v>2</v>
      </c>
      <c r="J269" s="156" t="n">
        <v>3</v>
      </c>
      <c r="K269" s="156" t="n">
        <v>26</v>
      </c>
      <c r="L269" s="156">
        <f>IF(J269=0,0,K269/J269)</f>
        <v/>
      </c>
      <c r="M269" s="156">
        <f>K269/17</f>
        <v/>
      </c>
      <c r="N269" s="156" t="n">
        <v>1</v>
      </c>
      <c r="O269" s="156" t="n">
        <v>5</v>
      </c>
      <c r="P269" s="281">
        <f>IF(K269=0,0,K269/O269)</f>
        <v/>
      </c>
      <c r="Q269" s="156" t="n">
        <v>0</v>
      </c>
      <c r="R269" s="156" t="n">
        <v>0</v>
      </c>
      <c r="S269" s="156" t="n">
        <v>0</v>
      </c>
      <c r="T269" s="156" t="n">
        <v>0</v>
      </c>
      <c r="U269" s="156" t="n">
        <v>0</v>
      </c>
      <c r="V269" s="156" t="n">
        <v>0</v>
      </c>
      <c r="W269" s="156" t="n">
        <v>0</v>
      </c>
      <c r="X269" s="204">
        <f>INDEX(Matrix!$AA$2:$AA$33, MATCH(G269, Matrix!$AC$2:$AC$33, 0))</f>
        <v/>
      </c>
      <c r="Y269" s="156">
        <f>_xlfn.IFNA(MATCH(E268,'Injury Report'!$C$2:$C$6216,0),0)</f>
        <v/>
      </c>
    </row>
    <row r="270" ht="15.6" customHeight="1" s="152">
      <c r="A270" s="212" t="n">
        <v>268</v>
      </c>
      <c r="B270" s="167">
        <f>F270&amp;G270</f>
        <v/>
      </c>
      <c r="C270" s="156">
        <f>(K270/MAX(K:K)*$K$1)+(O270/MAX(O:O)*$O$1)+(M270/MAX(M:M)*$M$1)+(N270/MAX(N:N)*$N$1)+(V270/MAX(V:V)*$V$1)+(P270/MAX(P:P)*$P$1)</f>
        <v/>
      </c>
      <c r="E270" s="156">
        <f>IFERROR(VLOOKUP(F270,AllPlayers!F:F,1,0),"------------")</f>
        <v/>
      </c>
      <c r="F270" s="156" t="inlineStr">
        <is>
          <t>Cole Kmet</t>
        </is>
      </c>
      <c r="G270" s="167" t="inlineStr">
        <is>
          <t>CHI</t>
        </is>
      </c>
      <c r="H270" s="156" t="inlineStr">
        <is>
          <t>TE</t>
        </is>
      </c>
      <c r="I270" s="156" t="n">
        <v>2</v>
      </c>
      <c r="J270" s="156" t="n">
        <v>3</v>
      </c>
      <c r="K270" s="156" t="n">
        <v>60</v>
      </c>
      <c r="L270" s="156">
        <f>IF(J270=0,0,K270/J270)</f>
        <v/>
      </c>
      <c r="M270" s="156">
        <f>K270/17</f>
        <v/>
      </c>
      <c r="N270" s="156" t="n">
        <v>0</v>
      </c>
      <c r="O270" s="156" t="n">
        <v>6</v>
      </c>
      <c r="P270" s="281">
        <f>IF(K270=0,0,K270/O270)</f>
        <v/>
      </c>
      <c r="Q270" s="156" t="n">
        <v>0</v>
      </c>
      <c r="R270" s="156" t="n">
        <v>0</v>
      </c>
      <c r="S270" s="156" t="n">
        <v>0</v>
      </c>
      <c r="T270" s="156" t="n">
        <v>0</v>
      </c>
      <c r="U270" s="156" t="n">
        <v>0</v>
      </c>
      <c r="V270" s="156" t="n">
        <v>0</v>
      </c>
      <c r="W270" s="156" t="n">
        <v>0</v>
      </c>
      <c r="X270" s="204">
        <f>INDEX(Matrix!$AA$2:$AA$33, MATCH(G270, Matrix!$AC$2:$AC$33, 0))</f>
        <v/>
      </c>
      <c r="Y270" s="156">
        <f>_xlfn.IFNA(MATCH(E269,'Injury Report'!$C$2:$C$6216,0),0)</f>
        <v/>
      </c>
    </row>
    <row r="271" ht="15.6" customHeight="1" s="152">
      <c r="A271" s="212" t="n">
        <v>269</v>
      </c>
      <c r="B271" s="167">
        <f>F271&amp;G271</f>
        <v/>
      </c>
      <c r="C271" s="156">
        <f>(K271/MAX(K:K)*$K$1)+(O271/MAX(O:O)*$O$1)+(M271/MAX(M:M)*$M$1)+(N271/MAX(N:N)*$N$1)+(V271/MAX(V:V)*$V$1)+(P271/MAX(P:P)*$P$1)</f>
        <v/>
      </c>
      <c r="E271" s="156">
        <f>IFERROR(VLOOKUP(F271,AllPlayers!F:F,1,0),"------------")</f>
        <v/>
      </c>
      <c r="F271" s="156" t="inlineStr">
        <is>
          <t>Austin Hooper</t>
        </is>
      </c>
      <c r="G271" s="167" t="inlineStr">
        <is>
          <t>NE</t>
        </is>
      </c>
      <c r="H271" s="156" t="inlineStr">
        <is>
          <t>TE</t>
        </is>
      </c>
      <c r="I271" s="156" t="n">
        <v>2</v>
      </c>
      <c r="J271" s="156" t="n">
        <v>4</v>
      </c>
      <c r="K271" s="156" t="n">
        <v>48</v>
      </c>
      <c r="L271" s="156">
        <f>IF(J271=0,0,K271/J271)</f>
        <v/>
      </c>
      <c r="M271" s="156">
        <f>K271/17</f>
        <v/>
      </c>
      <c r="N271" s="156" t="n">
        <v>0</v>
      </c>
      <c r="O271" s="156" t="n">
        <v>4</v>
      </c>
      <c r="P271" s="281">
        <f>IF(K271=0,0,K271/O271)</f>
        <v/>
      </c>
      <c r="Q271" s="156" t="n">
        <v>1</v>
      </c>
      <c r="R271" s="156" t="n">
        <v>1</v>
      </c>
      <c r="S271" s="156" t="n">
        <v>0</v>
      </c>
      <c r="T271" s="156" t="n">
        <v>0</v>
      </c>
      <c r="U271" s="156" t="n">
        <v>0</v>
      </c>
      <c r="V271" s="156" t="n">
        <v>0</v>
      </c>
      <c r="W271" s="156" t="n">
        <v>0</v>
      </c>
      <c r="X271" s="204">
        <f>INDEX(Matrix!$AA$2:$AA$33, MATCH(G271, Matrix!$AC$2:$AC$33, 0))</f>
        <v/>
      </c>
      <c r="Y271" s="156">
        <f>_xlfn.IFNA(MATCH(E270,'Injury Report'!$C$2:$C$6216,0),0)</f>
        <v/>
      </c>
    </row>
    <row r="272" ht="15.6" customHeight="1" s="152">
      <c r="A272" s="212" t="n">
        <v>270</v>
      </c>
      <c r="B272" s="167">
        <f>F272&amp;G272</f>
        <v/>
      </c>
      <c r="C272" s="156">
        <f>(K272/MAX(K:K)*$K$1)+(O272/MAX(O:O)*$O$1)+(M272/MAX(M:M)*$M$1)+(N272/MAX(N:N)*$N$1)+(V272/MAX(V:V)*$V$1)+(P272/MAX(P:P)*$P$1)</f>
        <v/>
      </c>
      <c r="E272" s="156">
        <f>IFERROR(VLOOKUP(F272,AllPlayers!F:F,1,0),"------------")</f>
        <v/>
      </c>
      <c r="F272" s="156" t="inlineStr">
        <is>
          <t>Foster Moreau</t>
        </is>
      </c>
      <c r="G272" s="167" t="inlineStr">
        <is>
          <t>NO</t>
        </is>
      </c>
      <c r="H272" s="156" t="inlineStr">
        <is>
          <t>TE</t>
        </is>
      </c>
      <c r="I272" s="156" t="n">
        <v>17</v>
      </c>
      <c r="J272" s="156" t="n">
        <v>22.3</v>
      </c>
      <c r="K272" s="156" t="n">
        <v>251.2</v>
      </c>
      <c r="L272" s="156">
        <f>IF(J272=0,0,K272/J272)</f>
        <v/>
      </c>
      <c r="M272" s="156">
        <f>K272/17</f>
        <v/>
      </c>
      <c r="N272" s="156" t="n">
        <v>1.8</v>
      </c>
      <c r="O272" s="156" t="n">
        <v>14</v>
      </c>
      <c r="P272" s="281">
        <f>IF(K272=0,0,K272/O272)</f>
        <v/>
      </c>
      <c r="Q272" s="156" t="n">
        <v>1</v>
      </c>
      <c r="R272" s="156" t="n">
        <v>0</v>
      </c>
      <c r="S272" s="156" t="n">
        <v>0</v>
      </c>
      <c r="T272" s="156" t="n">
        <v>0</v>
      </c>
      <c r="U272" s="156" t="n">
        <v>0</v>
      </c>
      <c r="V272" s="156" t="n">
        <v>1</v>
      </c>
      <c r="W272" s="156" t="n">
        <v>0.1</v>
      </c>
      <c r="X272" s="204">
        <f>INDEX(Matrix!$AA$2:$AA$33, MATCH(G272, Matrix!$AC$2:$AC$33, 0))</f>
        <v/>
      </c>
      <c r="Y272" s="156">
        <f>_xlfn.IFNA(MATCH(E271,'Injury Report'!$C$2:$C$6216,0),0)</f>
        <v/>
      </c>
    </row>
    <row r="273" ht="15.6" customHeight="1" s="152">
      <c r="A273" s="212" t="n">
        <v>271</v>
      </c>
      <c r="B273" s="167">
        <f>F273&amp;G273</f>
        <v/>
      </c>
      <c r="C273" s="156">
        <f>(K273/MAX(K:K)*$K$1)+(O273/MAX(O:O)*$O$1)+(M273/MAX(M:M)*$M$1)+(N273/MAX(N:N)*$N$1)+(V273/MAX(V:V)*$V$1)+(P273/MAX(P:P)*$P$1)</f>
        <v/>
      </c>
      <c r="E273" s="156">
        <f>IFERROR(VLOOKUP(F273,AllPlayers!F:F,1,0),"------------")</f>
        <v/>
      </c>
      <c r="F273" s="156" t="inlineStr">
        <is>
          <t>Dawson Knox</t>
        </is>
      </c>
      <c r="G273" s="167" t="inlineStr">
        <is>
          <t>BUF</t>
        </is>
      </c>
      <c r="H273" s="156" t="inlineStr">
        <is>
          <t>TE</t>
        </is>
      </c>
      <c r="I273" s="156" t="n">
        <v>2</v>
      </c>
      <c r="J273" s="156" t="n">
        <v>4</v>
      </c>
      <c r="K273" s="156" t="n">
        <v>39</v>
      </c>
      <c r="L273" s="156">
        <f>IF(J273=0,0,K273/J273)</f>
        <v/>
      </c>
      <c r="M273" s="156">
        <f>K273/17</f>
        <v/>
      </c>
      <c r="N273" s="156" t="n">
        <v>0</v>
      </c>
      <c r="O273" s="156" t="n">
        <v>7</v>
      </c>
      <c r="P273" s="281">
        <f>IF(K273=0,0,K273/O273)</f>
        <v/>
      </c>
      <c r="Q273" s="156" t="n">
        <v>1</v>
      </c>
      <c r="R273" s="156" t="n">
        <v>0</v>
      </c>
      <c r="S273" s="156" t="n">
        <v>0</v>
      </c>
      <c r="T273" s="156" t="n">
        <v>0</v>
      </c>
      <c r="U273" s="156" t="n">
        <v>0</v>
      </c>
      <c r="V273" s="156" t="n">
        <v>0</v>
      </c>
      <c r="W273" s="156" t="n">
        <v>0</v>
      </c>
      <c r="X273" s="204">
        <f>INDEX(Matrix!$AA$2:$AA$33, MATCH(G273, Matrix!$AC$2:$AC$33, 0))</f>
        <v/>
      </c>
      <c r="Y273" s="156">
        <f>_xlfn.IFNA(MATCH(E272,'Injury Report'!$C$2:$C$6216,0),0)</f>
        <v/>
      </c>
    </row>
    <row r="274" ht="15.6" customHeight="1" s="152">
      <c r="A274" s="212" t="n">
        <v>272</v>
      </c>
      <c r="B274" s="167">
        <f>F274&amp;G274</f>
        <v/>
      </c>
      <c r="C274" s="156">
        <f>(K274/MAX(K:K)*$K$1)+(O274/MAX(O:O)*$O$1)+(M274/MAX(M:M)*$M$1)+(N274/MAX(N:N)*$N$1)+(V274/MAX(V:V)*$V$1)+(P274/MAX(P:P)*$P$1)</f>
        <v/>
      </c>
      <c r="E274" s="156">
        <f>IFERROR(VLOOKUP(F274,AllPlayers!F:F,1,0),"------------")</f>
        <v/>
      </c>
      <c r="F274" s="156" t="inlineStr">
        <is>
          <t>Oronde Gadsden</t>
        </is>
      </c>
      <c r="G274" s="167" t="inlineStr">
        <is>
          <t>LAC</t>
        </is>
      </c>
      <c r="H274" s="156" t="inlineStr">
        <is>
          <t>TE</t>
        </is>
      </c>
      <c r="I274" s="156" t="n">
        <v>17</v>
      </c>
      <c r="J274" s="156" t="n">
        <v>23.6</v>
      </c>
      <c r="K274" s="156" t="n">
        <v>239.3</v>
      </c>
      <c r="L274" s="156">
        <f>IF(J274=0,0,K274/J274)</f>
        <v/>
      </c>
      <c r="M274" s="156">
        <f>K274/17</f>
        <v/>
      </c>
      <c r="N274" s="156" t="n">
        <v>1.8</v>
      </c>
      <c r="O274" s="156" t="n">
        <v>19</v>
      </c>
      <c r="P274" s="281">
        <f>IF(K274=0,0,K274/O274)</f>
        <v/>
      </c>
      <c r="Q274" s="156" t="n">
        <v>2</v>
      </c>
      <c r="R274" s="156" t="n">
        <v>0</v>
      </c>
      <c r="S274" s="156" t="n">
        <v>0</v>
      </c>
      <c r="T274" s="156" t="n">
        <v>0</v>
      </c>
      <c r="U274" s="156" t="n">
        <v>0</v>
      </c>
      <c r="V274" s="156" t="n">
        <v>0</v>
      </c>
      <c r="W274" s="156" t="n">
        <v>0.1</v>
      </c>
      <c r="X274" s="204">
        <f>INDEX(Matrix!$AA$2:$AA$33, MATCH(G274, Matrix!$AC$2:$AC$33, 0))</f>
        <v/>
      </c>
      <c r="Y274" s="156">
        <f>_xlfn.IFNA(MATCH(E273,'Injury Report'!$C$2:$C$6216,0),0)</f>
        <v/>
      </c>
    </row>
    <row r="275" ht="15.6" customHeight="1" s="152">
      <c r="A275" s="212" t="n">
        <v>273</v>
      </c>
      <c r="B275" s="167">
        <f>F275&amp;G275</f>
        <v/>
      </c>
      <c r="C275" s="156">
        <f>(K275/MAX(K:K)*$K$1)+(O275/MAX(O:O)*$O$1)+(M275/MAX(M:M)*$M$1)+(N275/MAX(N:N)*$N$1)+(V275/MAX(V:V)*$V$1)+(P275/MAX(P:P)*$P$1)</f>
        <v/>
      </c>
      <c r="E275" s="156">
        <f>IFERROR(VLOOKUP(F275,AllPlayers!F:F,1,0),"------------")</f>
        <v/>
      </c>
      <c r="F275" s="156" t="inlineStr">
        <is>
          <t>Michael Mayer</t>
        </is>
      </c>
      <c r="G275" s="167" t="inlineStr">
        <is>
          <t>LV</t>
        </is>
      </c>
      <c r="H275" s="156" t="inlineStr">
        <is>
          <t>TE</t>
        </is>
      </c>
      <c r="I275" s="156" t="n">
        <v>2</v>
      </c>
      <c r="J275" s="156" t="n">
        <v>6</v>
      </c>
      <c r="K275" s="156" t="n">
        <v>47</v>
      </c>
      <c r="L275" s="156">
        <f>IF(J275=0,0,K275/J275)</f>
        <v/>
      </c>
      <c r="M275" s="156">
        <f>K275/17</f>
        <v/>
      </c>
      <c r="N275" s="156" t="n">
        <v>0</v>
      </c>
      <c r="O275" s="156" t="n">
        <v>6</v>
      </c>
      <c r="P275" s="281">
        <f>IF(K275=0,0,K275/O275)</f>
        <v/>
      </c>
      <c r="Q275" s="156" t="n">
        <v>1</v>
      </c>
      <c r="R275" s="156" t="n">
        <v>0</v>
      </c>
      <c r="S275" s="156" t="n">
        <v>0</v>
      </c>
      <c r="T275" s="156" t="n">
        <v>0</v>
      </c>
      <c r="U275" s="156" t="n">
        <v>0</v>
      </c>
      <c r="V275" s="156" t="n">
        <v>0</v>
      </c>
      <c r="W275" s="156" t="n">
        <v>0</v>
      </c>
      <c r="X275" s="204">
        <f>INDEX(Matrix!$AA$2:$AA$33, MATCH(G275, Matrix!$AC$2:$AC$33, 0))</f>
        <v/>
      </c>
      <c r="Y275" s="156">
        <f>_xlfn.IFNA(MATCH(E274,'Injury Report'!$C$2:$C$6216,0),0)</f>
        <v/>
      </c>
    </row>
    <row r="276" ht="15.6" customHeight="1" s="152">
      <c r="A276" s="212" t="n">
        <v>274</v>
      </c>
      <c r="B276" s="167">
        <f>F276&amp;G276</f>
        <v/>
      </c>
      <c r="C276" s="156">
        <f>(K276/MAX(K:K)*$K$1)+(O276/MAX(O:O)*$O$1)+(M276/MAX(M:M)*$M$1)+(N276/MAX(N:N)*$N$1)+(V276/MAX(V:V)*$V$1)+(P276/MAX(P:P)*$P$1)</f>
        <v/>
      </c>
      <c r="E276" s="156">
        <f>IFERROR(VLOOKUP(F276,AllPlayers!F:F,1,0),"------------")</f>
        <v/>
      </c>
      <c r="F276" s="156" t="inlineStr">
        <is>
          <t>Harold Fannin</t>
        </is>
      </c>
      <c r="G276" s="167" t="inlineStr">
        <is>
          <t>CLE</t>
        </is>
      </c>
      <c r="H276" s="156" t="inlineStr">
        <is>
          <t>TE</t>
        </is>
      </c>
      <c r="I276" s="156" t="n">
        <v>2</v>
      </c>
      <c r="J276" s="156" t="n">
        <v>12</v>
      </c>
      <c r="K276" s="156" t="n">
        <v>111</v>
      </c>
      <c r="L276" s="156">
        <f>IF(J276=0,0,K276/J276)</f>
        <v/>
      </c>
      <c r="M276" s="156">
        <f>K276/17</f>
        <v/>
      </c>
      <c r="N276" s="156" t="n">
        <v>0</v>
      </c>
      <c r="O276" s="156" t="n">
        <v>14</v>
      </c>
      <c r="P276" s="281">
        <f>IF(K276=0,0,K276/O276)</f>
        <v/>
      </c>
      <c r="Q276" s="156" t="n">
        <v>1</v>
      </c>
      <c r="R276" s="156" t="n">
        <v>0</v>
      </c>
      <c r="S276" s="156" t="n">
        <v>0</v>
      </c>
      <c r="T276" s="156" t="n">
        <v>0</v>
      </c>
      <c r="U276" s="156" t="n">
        <v>0</v>
      </c>
      <c r="V276" s="156" t="n">
        <v>0</v>
      </c>
      <c r="W276" s="156" t="n">
        <v>0</v>
      </c>
      <c r="X276" s="204">
        <f>INDEX(Matrix!$AA$2:$AA$33, MATCH(G276, Matrix!$AC$2:$AC$33, 0))</f>
        <v/>
      </c>
      <c r="Y276" s="156">
        <f>_xlfn.IFNA(MATCH(E275,'Injury Report'!$C$2:$C$6216,0),0)</f>
        <v/>
      </c>
    </row>
    <row r="277" ht="15.6" customHeight="1" s="152">
      <c r="A277" s="212" t="n">
        <v>275</v>
      </c>
      <c r="B277" s="167">
        <f>F277&amp;G277</f>
        <v/>
      </c>
      <c r="C277" s="156">
        <f>(K277/MAX(K:K)*$K$1)+(O277/MAX(O:O)*$O$1)+(M277/MAX(M:M)*$M$1)+(N277/MAX(N:N)*$N$1)+(V277/MAX(V:V)*$V$1)+(P277/MAX(P:P)*$P$1)</f>
        <v/>
      </c>
      <c r="E277" s="156">
        <f>IFERROR(VLOOKUP(F277,AllPlayers!F:F,1,0),"------------")</f>
        <v/>
      </c>
      <c r="F277" s="156" t="inlineStr">
        <is>
          <t>Terrance Ferguson</t>
        </is>
      </c>
      <c r="G277" s="167" t="inlineStr">
        <is>
          <t>LAR</t>
        </is>
      </c>
      <c r="H277" s="156" t="inlineStr">
        <is>
          <t>TE</t>
        </is>
      </c>
      <c r="I277" s="156" t="n">
        <v>17</v>
      </c>
      <c r="J277" s="156" t="n">
        <v>23</v>
      </c>
      <c r="K277" s="156" t="n">
        <v>235.2</v>
      </c>
      <c r="L277" s="156">
        <f>IF(J277=0,0,K277/J277)</f>
        <v/>
      </c>
      <c r="M277" s="156">
        <f>K277/17</f>
        <v/>
      </c>
      <c r="N277" s="156" t="n">
        <v>1.9</v>
      </c>
      <c r="O277" s="156" t="n">
        <v>15</v>
      </c>
      <c r="P277" s="281">
        <f>IF(K277=0,0,K277/O277)</f>
        <v/>
      </c>
      <c r="Q277" s="156" t="n">
        <v>1</v>
      </c>
      <c r="R277" s="156" t="n">
        <v>0</v>
      </c>
      <c r="S277" s="156" t="n">
        <v>0</v>
      </c>
      <c r="T277" s="156" t="n">
        <v>0</v>
      </c>
      <c r="U277" s="156" t="n">
        <v>0</v>
      </c>
      <c r="V277" s="156" t="n">
        <v>0</v>
      </c>
      <c r="W277" s="156" t="n">
        <v>0.4</v>
      </c>
      <c r="X277" s="204">
        <f>INDEX(Matrix!$AA$2:$AA$33, MATCH(G277, Matrix!$AC$2:$AC$33, 0))</f>
        <v/>
      </c>
      <c r="Y277" s="156">
        <f>_xlfn.IFNA(MATCH(E276,'Injury Report'!$C$2:$C$6216,0),0)</f>
        <v/>
      </c>
    </row>
    <row r="278" ht="15.6" customHeight="1" s="152">
      <c r="A278" s="212" t="n">
        <v>276</v>
      </c>
      <c r="B278" s="167">
        <f>F278&amp;G278</f>
        <v/>
      </c>
      <c r="C278" s="156">
        <f>(K278/MAX(K:K)*$K$1)+(O278/MAX(O:O)*$O$1)+(M278/MAX(M:M)*$M$1)+(N278/MAX(N:N)*$N$1)+(V278/MAX(V:V)*$V$1)+(P278/MAX(P:P)*$P$1)</f>
        <v/>
      </c>
      <c r="E278" s="156">
        <f>IFERROR(VLOOKUP(F278,AllPlayers!F:F,1,0),"------------")</f>
        <v/>
      </c>
      <c r="F278" s="156" t="inlineStr">
        <is>
          <t>Josh Oliver</t>
        </is>
      </c>
      <c r="G278" s="167" t="inlineStr">
        <is>
          <t>MIN</t>
        </is>
      </c>
      <c r="H278" s="156" t="inlineStr">
        <is>
          <t>TE</t>
        </is>
      </c>
      <c r="I278" s="156" t="n">
        <v>1</v>
      </c>
      <c r="J278" s="156" t="n">
        <v>1</v>
      </c>
      <c r="K278" s="156" t="n">
        <v>5</v>
      </c>
      <c r="L278" s="156">
        <f>IF(J278=0,0,K278/J278)</f>
        <v/>
      </c>
      <c r="M278" s="156">
        <f>K278/17</f>
        <v/>
      </c>
      <c r="N278" s="156" t="n">
        <v>0</v>
      </c>
      <c r="O278" s="156" t="n">
        <v>1</v>
      </c>
      <c r="P278" s="281">
        <f>IF(K278=0,0,K278/O278)</f>
        <v/>
      </c>
      <c r="Q278" s="156" t="n">
        <v>1</v>
      </c>
      <c r="R278" s="156" t="n">
        <v>0</v>
      </c>
      <c r="S278" s="156" t="n">
        <v>0</v>
      </c>
      <c r="T278" s="156" t="n">
        <v>0</v>
      </c>
      <c r="U278" s="156" t="n">
        <v>0</v>
      </c>
      <c r="V278" s="156" t="n">
        <v>0</v>
      </c>
      <c r="W278" s="156" t="n">
        <v>0</v>
      </c>
      <c r="X278" s="204">
        <f>INDEX(Matrix!$AA$2:$AA$33, MATCH(G278, Matrix!$AC$2:$AC$33, 0))</f>
        <v/>
      </c>
      <c r="Y278" s="156">
        <f>_xlfn.IFNA(MATCH(E277,'Injury Report'!$C$2:$C$6216,0),0)</f>
        <v/>
      </c>
    </row>
    <row r="279" ht="15.6" customHeight="1" s="152">
      <c r="A279" s="212" t="n">
        <v>277</v>
      </c>
      <c r="B279" s="167">
        <f>F279&amp;G279</f>
        <v/>
      </c>
      <c r="C279" s="156">
        <f>(K279/MAX(K:K)*$K$1)+(O279/MAX(O:O)*$O$1)+(M279/MAX(M:M)*$M$1)+(N279/MAX(N:N)*$N$1)+(V279/MAX(V:V)*$V$1)+(P279/MAX(P:P)*$P$1)</f>
        <v/>
      </c>
      <c r="E279" s="156">
        <f>IFERROR(VLOOKUP(F279,AllPlayers!F:F,1,0),"------------")</f>
        <v/>
      </c>
      <c r="F279" s="156" t="inlineStr">
        <is>
          <t>Tommy Tremble</t>
        </is>
      </c>
      <c r="G279" s="167" t="inlineStr">
        <is>
          <t>CAR</t>
        </is>
      </c>
      <c r="H279" s="156" t="inlineStr">
        <is>
          <t>TE</t>
        </is>
      </c>
      <c r="I279" s="156" t="n">
        <v>2</v>
      </c>
      <c r="J279" s="156" t="n">
        <v>4</v>
      </c>
      <c r="K279" s="156" t="n">
        <v>22</v>
      </c>
      <c r="L279" s="156">
        <f>IF(J279=0,0,K279/J279)</f>
        <v/>
      </c>
      <c r="M279" s="156">
        <f>K279/17</f>
        <v/>
      </c>
      <c r="N279" s="156" t="n">
        <v>0</v>
      </c>
      <c r="O279" s="156" t="n">
        <v>4</v>
      </c>
      <c r="P279" s="281">
        <f>IF(K279=0,0,K279/O279)</f>
        <v/>
      </c>
      <c r="Q279" s="156" t="n">
        <v>0</v>
      </c>
      <c r="R279" s="156" t="n">
        <v>0</v>
      </c>
      <c r="S279" s="156" t="n">
        <v>0</v>
      </c>
      <c r="T279" s="156" t="n">
        <v>0</v>
      </c>
      <c r="U279" s="156" t="n">
        <v>0</v>
      </c>
      <c r="V279" s="156" t="n">
        <v>0</v>
      </c>
      <c r="W279" s="156" t="n">
        <v>0</v>
      </c>
      <c r="X279" s="204">
        <f>INDEX(Matrix!$AA$2:$AA$33, MATCH(G279, Matrix!$AC$2:$AC$33, 0))</f>
        <v/>
      </c>
      <c r="Y279" s="156">
        <f>_xlfn.IFNA(MATCH(E278,'Injury Report'!$C$2:$C$6216,0),0)</f>
        <v/>
      </c>
    </row>
    <row r="280" ht="15.6" customHeight="1" s="152">
      <c r="A280" s="212" t="n">
        <v>278</v>
      </c>
      <c r="B280" s="167">
        <f>F280&amp;G280</f>
        <v/>
      </c>
      <c r="C280" s="156">
        <f>(K280/MAX(K:K)*$K$1)+(O280/MAX(O:O)*$O$1)+(M280/MAX(M:M)*$M$1)+(N280/MAX(N:N)*$N$1)+(V280/MAX(V:V)*$V$1)+(P280/MAX(P:P)*$P$1)</f>
        <v/>
      </c>
      <c r="E280" s="156">
        <f>IFERROR(VLOOKUP(F280,AllPlayers!F:F,1,0),"------------")</f>
        <v/>
      </c>
      <c r="F280" s="156" t="inlineStr">
        <is>
          <t>Ben Sinnott</t>
        </is>
      </c>
      <c r="G280" s="167" t="inlineStr">
        <is>
          <t>WAS</t>
        </is>
      </c>
      <c r="H280" s="156" t="inlineStr">
        <is>
          <t>TE</t>
        </is>
      </c>
      <c r="I280" s="156" t="n">
        <v>1</v>
      </c>
      <c r="J280" s="156" t="n">
        <v>1</v>
      </c>
      <c r="K280" s="156" t="n">
        <v>7</v>
      </c>
      <c r="L280" s="156">
        <f>IF(J280=0,0,K280/J280)</f>
        <v/>
      </c>
      <c r="M280" s="156">
        <f>K280/17</f>
        <v/>
      </c>
      <c r="N280" s="156" t="n">
        <v>0</v>
      </c>
      <c r="O280" s="156" t="n">
        <v>1</v>
      </c>
      <c r="P280" s="281">
        <f>IF(K280=0,0,K280/O280)</f>
        <v/>
      </c>
      <c r="Q280" s="156" t="n">
        <v>0</v>
      </c>
      <c r="R280" s="156" t="n">
        <v>0</v>
      </c>
      <c r="S280" s="156" t="n">
        <v>0</v>
      </c>
      <c r="T280" s="156" t="n">
        <v>0</v>
      </c>
      <c r="U280" s="156" t="n">
        <v>0</v>
      </c>
      <c r="V280" s="156" t="n">
        <v>0</v>
      </c>
      <c r="W280" s="156" t="n">
        <v>0</v>
      </c>
      <c r="X280" s="204">
        <f>INDEX(Matrix!$AA$2:$AA$33, MATCH(G280, Matrix!$AC$2:$AC$33, 0))</f>
        <v/>
      </c>
      <c r="Y280" s="156">
        <f>_xlfn.IFNA(MATCH(E279,'Injury Report'!$C$2:$C$6216,0),0)</f>
        <v/>
      </c>
    </row>
    <row r="281" ht="15.6" customHeight="1" s="152">
      <c r="A281" s="212" t="n">
        <v>279</v>
      </c>
      <c r="B281" s="167">
        <f>F281&amp;G281</f>
        <v/>
      </c>
      <c r="C281" s="156">
        <f>(K281/MAX(K:K)*$K$1)+(O281/MAX(O:O)*$O$1)+(M281/MAX(M:M)*$M$1)+(N281/MAX(N:N)*$N$1)+(V281/MAX(V:V)*$V$1)+(P281/MAX(P:P)*$P$1)</f>
        <v/>
      </c>
      <c r="E281" s="156">
        <f>IFERROR(VLOOKUP(F281,AllPlayers!F:F,1,0),"------------")</f>
        <v/>
      </c>
      <c r="F281" s="156" t="inlineStr">
        <is>
          <t>Luke Musgrave</t>
        </is>
      </c>
      <c r="G281" s="167" t="inlineStr">
        <is>
          <t>GB</t>
        </is>
      </c>
      <c r="H281" s="156" t="inlineStr">
        <is>
          <t>TE</t>
        </is>
      </c>
      <c r="I281" s="156" t="n">
        <v>2</v>
      </c>
      <c r="J281" s="156" t="n">
        <v>3</v>
      </c>
      <c r="K281" s="156" t="n">
        <v>36</v>
      </c>
      <c r="L281" s="156">
        <f>IF(J281=0,0,K281/J281)</f>
        <v/>
      </c>
      <c r="M281" s="156">
        <f>K281/17</f>
        <v/>
      </c>
      <c r="N281" s="156" t="n">
        <v>0</v>
      </c>
      <c r="O281" s="156" t="n">
        <v>3</v>
      </c>
      <c r="P281" s="281">
        <f>IF(K281=0,0,K281/O281)</f>
        <v/>
      </c>
      <c r="Q281" s="156" t="n">
        <v>2</v>
      </c>
      <c r="R281" s="156" t="n">
        <v>0</v>
      </c>
      <c r="S281" s="156" t="n">
        <v>0</v>
      </c>
      <c r="T281" s="156" t="n">
        <v>0</v>
      </c>
      <c r="U281" s="156" t="n">
        <v>0</v>
      </c>
      <c r="V281" s="156" t="n">
        <v>0</v>
      </c>
      <c r="W281" s="156" t="n">
        <v>0</v>
      </c>
      <c r="X281" s="204">
        <f>INDEX(Matrix!$AA$2:$AA$33, MATCH(G281, Matrix!$AC$2:$AC$33, 0))</f>
        <v/>
      </c>
      <c r="Y281" s="156">
        <f>_xlfn.IFNA(MATCH(E280,'Injury Report'!$C$2:$C$6216,0),0)</f>
        <v/>
      </c>
    </row>
    <row r="282" ht="15.6" customHeight="1" s="152">
      <c r="A282" s="212" t="n">
        <v>280</v>
      </c>
      <c r="B282" s="167">
        <f>F282&amp;G282</f>
        <v/>
      </c>
      <c r="C282" s="156">
        <f>(K282/MAX(K:K)*$K$1)+(O282/MAX(O:O)*$O$1)+(M282/MAX(M:M)*$M$1)+(N282/MAX(N:N)*$N$1)+(V282/MAX(V:V)*$V$1)+(P282/MAX(P:P)*$P$1)</f>
        <v/>
      </c>
      <c r="E282" s="156">
        <f>IFERROR(VLOOKUP(F282,AllPlayers!F:F,1,0),"------------")</f>
        <v/>
      </c>
      <c r="F282" s="156" t="inlineStr">
        <is>
          <t>Brock Wright</t>
        </is>
      </c>
      <c r="G282" s="167" t="inlineStr">
        <is>
          <t>DET</t>
        </is>
      </c>
      <c r="H282" s="156" t="inlineStr">
        <is>
          <t>TE</t>
        </is>
      </c>
      <c r="I282" s="156" t="n">
        <v>1</v>
      </c>
      <c r="J282" s="156" t="n">
        <v>3</v>
      </c>
      <c r="K282" s="156" t="n">
        <v>28</v>
      </c>
      <c r="L282" s="156">
        <f>IF(J282=0,0,K282/J282)</f>
        <v/>
      </c>
      <c r="M282" s="156">
        <f>K282/17</f>
        <v/>
      </c>
      <c r="N282" s="156" t="n">
        <v>1</v>
      </c>
      <c r="O282" s="156" t="n">
        <v>3</v>
      </c>
      <c r="P282" s="281">
        <f>IF(K282=0,0,K282/O282)</f>
        <v/>
      </c>
      <c r="Q282" s="156" t="n">
        <v>0</v>
      </c>
      <c r="R282" s="156" t="n">
        <v>0</v>
      </c>
      <c r="S282" s="156" t="n">
        <v>0</v>
      </c>
      <c r="T282" s="156" t="n">
        <v>0</v>
      </c>
      <c r="U282" s="156" t="n">
        <v>0</v>
      </c>
      <c r="V282" s="156" t="n">
        <v>0</v>
      </c>
      <c r="W282" s="156" t="n">
        <v>0</v>
      </c>
      <c r="X282" s="204">
        <f>INDEX(Matrix!$AA$2:$AA$33, MATCH(G282, Matrix!$AC$2:$AC$33, 0))</f>
        <v/>
      </c>
      <c r="Y282" s="156">
        <f>_xlfn.IFNA(MATCH(E281,'Injury Report'!$C$2:$C$6216,0),0)</f>
        <v/>
      </c>
    </row>
    <row r="283" ht="15.6" customHeight="1" s="152">
      <c r="A283" s="212" t="n">
        <v>281</v>
      </c>
      <c r="B283" s="167">
        <f>F283&amp;G283</f>
        <v/>
      </c>
      <c r="C283" s="156">
        <f>(K283/MAX(K:K)*$K$1)+(O283/MAX(O:O)*$O$1)+(M283/MAX(M:M)*$M$1)+(N283/MAX(N:N)*$N$1)+(V283/MAX(V:V)*$V$1)+(P283/MAX(P:P)*$P$1)</f>
        <v/>
      </c>
      <c r="E283" s="156">
        <f>IFERROR(VLOOKUP(F283,AllPlayers!F:F,1,0),"------------")</f>
        <v/>
      </c>
      <c r="F283" s="156" t="inlineStr">
        <is>
          <t>Gunnar Helm</t>
        </is>
      </c>
      <c r="G283" s="167" t="inlineStr">
        <is>
          <t>TEN</t>
        </is>
      </c>
      <c r="H283" s="156" t="inlineStr">
        <is>
          <t>TE</t>
        </is>
      </c>
      <c r="I283" s="156" t="n">
        <v>2</v>
      </c>
      <c r="J283" s="156" t="n">
        <v>3</v>
      </c>
      <c r="K283" s="156" t="n">
        <v>25</v>
      </c>
      <c r="L283" s="156">
        <f>IF(J283=0,0,K283/J283)</f>
        <v/>
      </c>
      <c r="M283" s="156">
        <f>K283/17</f>
        <v/>
      </c>
      <c r="N283" s="156" t="n">
        <v>0</v>
      </c>
      <c r="O283" s="156" t="n">
        <v>4</v>
      </c>
      <c r="P283" s="281">
        <f>IF(K283=0,0,K283/O283)</f>
        <v/>
      </c>
      <c r="Q283" s="156" t="n">
        <v>1</v>
      </c>
      <c r="R283" s="156" t="n">
        <v>0</v>
      </c>
      <c r="S283" s="156" t="n">
        <v>0</v>
      </c>
      <c r="T283" s="156" t="n">
        <v>0</v>
      </c>
      <c r="U283" s="156" t="n">
        <v>0</v>
      </c>
      <c r="V283" s="156" t="n">
        <v>0</v>
      </c>
      <c r="W283" s="156" t="n">
        <v>0</v>
      </c>
      <c r="X283" s="204">
        <f>INDEX(Matrix!$AA$2:$AA$33, MATCH(G283, Matrix!$AC$2:$AC$33, 0))</f>
        <v/>
      </c>
      <c r="Y283" s="156">
        <f>_xlfn.IFNA(MATCH(E282,'Injury Report'!$C$2:$C$6216,0),0)</f>
        <v/>
      </c>
    </row>
    <row r="284" ht="15.6" customHeight="1" s="152">
      <c r="A284" s="212" t="n">
        <v>282</v>
      </c>
      <c r="B284" s="167">
        <f>F284&amp;G284</f>
        <v/>
      </c>
      <c r="C284" s="156">
        <f>(K284/MAX(K:K)*$K$1)+(O284/MAX(O:O)*$O$1)+(M284/MAX(M:M)*$M$1)+(N284/MAX(N:N)*$N$1)+(V284/MAX(V:V)*$V$1)+(P284/MAX(P:P)*$P$1)</f>
        <v/>
      </c>
      <c r="E284" s="156">
        <f>IFERROR(VLOOKUP(F284,AllPlayers!F:F,1,0),"------------")</f>
        <v/>
      </c>
      <c r="F284" s="156" t="inlineStr">
        <is>
          <t>Cade Stover</t>
        </is>
      </c>
      <c r="G284" s="167" t="inlineStr">
        <is>
          <t>HOU</t>
        </is>
      </c>
      <c r="H284" s="156" t="inlineStr">
        <is>
          <t>TE</t>
        </is>
      </c>
      <c r="I284" s="156" t="n">
        <v>1</v>
      </c>
      <c r="J284" s="156" t="n">
        <v>4</v>
      </c>
      <c r="K284" s="156" t="n">
        <v>22</v>
      </c>
      <c r="L284" s="156">
        <f>IF(J284=0,0,K284/J284)</f>
        <v/>
      </c>
      <c r="M284" s="156">
        <f>K284/17</f>
        <v/>
      </c>
      <c r="N284" s="156" t="n">
        <v>0</v>
      </c>
      <c r="O284" s="156" t="n">
        <v>4</v>
      </c>
      <c r="P284" s="281">
        <f>IF(K284=0,0,K284/O284)</f>
        <v/>
      </c>
      <c r="Q284" s="156" t="n">
        <v>0</v>
      </c>
      <c r="R284" s="156" t="n">
        <v>0</v>
      </c>
      <c r="S284" s="156" t="n">
        <v>0</v>
      </c>
      <c r="T284" s="156" t="n">
        <v>0</v>
      </c>
      <c r="U284" s="156" t="n">
        <v>0</v>
      </c>
      <c r="V284" s="156" t="n">
        <v>0</v>
      </c>
      <c r="W284" s="156" t="n">
        <v>0</v>
      </c>
      <c r="X284" s="204">
        <f>INDEX(Matrix!$AA$2:$AA$33, MATCH(G284, Matrix!$AC$2:$AC$33, 0))</f>
        <v/>
      </c>
      <c r="Y284" s="156">
        <f>_xlfn.IFNA(MATCH(E283,'Injury Report'!$C$2:$C$6216,0),0)</f>
        <v/>
      </c>
    </row>
    <row r="285" ht="15.6" customHeight="1" s="152">
      <c r="A285" s="212" t="n">
        <v>283</v>
      </c>
      <c r="B285" s="167">
        <f>F285&amp;G285</f>
        <v/>
      </c>
      <c r="C285" s="156">
        <f>(K285/MAX(K:K)*$K$1)+(O285/MAX(O:O)*$O$1)+(M285/MAX(M:M)*$M$1)+(N285/MAX(N:N)*$N$1)+(V285/MAX(V:V)*$V$1)+(P285/MAX(P:P)*$P$1)</f>
        <v/>
      </c>
      <c r="E285" s="156">
        <f>IFERROR(VLOOKUP(F285,AllPlayers!F:F,1,0),"------------")</f>
        <v/>
      </c>
      <c r="F285" s="156" t="inlineStr">
        <is>
          <t>Jeremy Ruckert</t>
        </is>
      </c>
      <c r="G285" s="167" t="inlineStr">
        <is>
          <t>NYJ</t>
        </is>
      </c>
      <c r="H285" s="156" t="inlineStr">
        <is>
          <t>TE</t>
        </is>
      </c>
      <c r="I285" s="156" t="n">
        <v>2</v>
      </c>
      <c r="J285" s="156" t="n">
        <v>3</v>
      </c>
      <c r="K285" s="156" t="n">
        <v>21</v>
      </c>
      <c r="L285" s="156">
        <f>IF(J285=0,0,K285/J285)</f>
        <v/>
      </c>
      <c r="M285" s="156">
        <f>K285/17</f>
        <v/>
      </c>
      <c r="N285" s="156" t="n">
        <v>1</v>
      </c>
      <c r="O285" s="156" t="n">
        <v>3</v>
      </c>
      <c r="P285" s="281">
        <f>IF(K285=0,0,K285/O285)</f>
        <v/>
      </c>
      <c r="Q285" s="156" t="n">
        <v>1</v>
      </c>
      <c r="R285" s="156" t="n">
        <v>0</v>
      </c>
      <c r="S285" s="156" t="n">
        <v>0</v>
      </c>
      <c r="T285" s="156" t="n">
        <v>0</v>
      </c>
      <c r="U285" s="156" t="n">
        <v>0</v>
      </c>
      <c r="V285" s="156" t="n">
        <v>0</v>
      </c>
      <c r="W285" s="156" t="n">
        <v>0</v>
      </c>
      <c r="X285" s="204">
        <f>INDEX(Matrix!$AA$2:$AA$33, MATCH(G285, Matrix!$AC$2:$AC$33, 0))</f>
        <v/>
      </c>
      <c r="Y285" s="156">
        <f>_xlfn.IFNA(MATCH(E284,'Injury Report'!$C$2:$C$6216,0),0)</f>
        <v/>
      </c>
    </row>
    <row r="286" ht="15.6" customHeight="1" s="152">
      <c r="A286" s="212" t="n">
        <v>284</v>
      </c>
      <c r="B286" s="167">
        <f>F286&amp;G286</f>
        <v/>
      </c>
      <c r="C286" s="156">
        <f>(K286/MAX(K:K)*$K$1)+(O286/MAX(O:O)*$O$1)+(M286/MAX(M:M)*$M$1)+(N286/MAX(N:N)*$N$1)+(V286/MAX(V:V)*$V$1)+(P286/MAX(P:P)*$P$1)</f>
        <v/>
      </c>
      <c r="E286" s="156">
        <f>IFERROR(VLOOKUP(F286,AllPlayers!F:F,1,0),"------------")</f>
        <v/>
      </c>
      <c r="F286" s="156" t="inlineStr">
        <is>
          <t>Adam Trautman</t>
        </is>
      </c>
      <c r="G286" s="167" t="inlineStr">
        <is>
          <t>DEN</t>
        </is>
      </c>
      <c r="H286" s="156" t="inlineStr">
        <is>
          <t>TE</t>
        </is>
      </c>
      <c r="I286" s="156" t="n">
        <v>2</v>
      </c>
      <c r="J286" s="156" t="n">
        <v>4</v>
      </c>
      <c r="K286" s="156" t="n">
        <v>15</v>
      </c>
      <c r="L286" s="156">
        <f>IF(J286=0,0,K286/J286)</f>
        <v/>
      </c>
      <c r="M286" s="156">
        <f>K286/17</f>
        <v/>
      </c>
      <c r="N286" s="156" t="n">
        <v>1</v>
      </c>
      <c r="O286" s="156" t="n">
        <v>4</v>
      </c>
      <c r="P286" s="281">
        <f>IF(K286=0,0,K286/O286)</f>
        <v/>
      </c>
      <c r="Q286" s="156" t="n">
        <v>1</v>
      </c>
      <c r="R286" s="156" t="n">
        <v>0</v>
      </c>
      <c r="S286" s="156" t="n">
        <v>0</v>
      </c>
      <c r="T286" s="156" t="n">
        <v>0</v>
      </c>
      <c r="U286" s="156" t="n">
        <v>0</v>
      </c>
      <c r="V286" s="156" t="n">
        <v>0</v>
      </c>
      <c r="W286" s="156" t="n">
        <v>0</v>
      </c>
      <c r="X286" s="204">
        <f>INDEX(Matrix!$AA$2:$AA$33, MATCH(G286, Matrix!$AC$2:$AC$33, 0))</f>
        <v/>
      </c>
      <c r="Y286" s="156">
        <f>_xlfn.IFNA(MATCH(E285,'Injury Report'!$C$2:$C$6216,0),0)</f>
        <v/>
      </c>
    </row>
    <row r="287" ht="15.6" customHeight="1" s="152">
      <c r="A287" s="212" t="n">
        <v>285</v>
      </c>
      <c r="B287" s="167">
        <f>F287&amp;G287</f>
        <v/>
      </c>
      <c r="C287" s="156">
        <f>(K287/MAX(K:K)*$K$1)+(O287/MAX(O:O)*$O$1)+(M287/MAX(M:M)*$M$1)+(N287/MAX(N:N)*$N$1)+(V287/MAX(V:V)*$V$1)+(P287/MAX(P:P)*$P$1)</f>
        <v/>
      </c>
      <c r="E287" s="156">
        <f>IFERROR(VLOOKUP(F287,AllPlayers!F:F,1,0),"------------")</f>
        <v/>
      </c>
      <c r="F287" s="156" t="inlineStr">
        <is>
          <t>Charlie Woerner</t>
        </is>
      </c>
      <c r="G287" s="167" t="inlineStr">
        <is>
          <t>ATL</t>
        </is>
      </c>
      <c r="H287" s="156" t="inlineStr">
        <is>
          <t>TE</t>
        </is>
      </c>
      <c r="I287" s="156" t="n">
        <v>17</v>
      </c>
      <c r="J287" s="156" t="n">
        <v>14.6</v>
      </c>
      <c r="K287" s="156" t="n">
        <v>139</v>
      </c>
      <c r="L287" s="156">
        <f>IF(J287=0,0,K287/J287)</f>
        <v/>
      </c>
      <c r="M287" s="156">
        <f>K287/17</f>
        <v/>
      </c>
      <c r="N287" s="156" t="n">
        <v>1.1</v>
      </c>
      <c r="O287" s="156" t="n">
        <v>9</v>
      </c>
      <c r="P287" s="281">
        <f>IF(K287=0,0,K287/O287)</f>
        <v/>
      </c>
      <c r="Q287" s="156" t="n">
        <v>0</v>
      </c>
      <c r="R287" s="156" t="n">
        <v>0</v>
      </c>
      <c r="S287" s="156" t="n">
        <v>0</v>
      </c>
      <c r="T287" s="156" t="n">
        <v>0</v>
      </c>
      <c r="U287" s="156" t="n">
        <v>0</v>
      </c>
      <c r="V287" s="156" t="n">
        <v>0</v>
      </c>
      <c r="W287" s="156" t="n">
        <v>0</v>
      </c>
      <c r="X287" s="204">
        <f>INDEX(Matrix!$AA$2:$AA$33, MATCH(G287, Matrix!$AC$2:$AC$33, 0))</f>
        <v/>
      </c>
      <c r="Y287" s="156">
        <f>_xlfn.IFNA(MATCH(E286,'Injury Report'!$C$2:$C$6216,0),0)</f>
        <v/>
      </c>
    </row>
    <row r="288" ht="15.6" customHeight="1" s="152">
      <c r="A288" s="212" t="n">
        <v>286</v>
      </c>
      <c r="B288" s="167">
        <f>F288&amp;G288</f>
        <v/>
      </c>
      <c r="C288" s="156">
        <f>(K288/MAX(K:K)*$K$1)+(O288/MAX(O:O)*$O$1)+(M288/MAX(M:M)*$M$1)+(N288/MAX(N:N)*$N$1)+(V288/MAX(V:V)*$V$1)+(P288/MAX(P:P)*$P$1)</f>
        <v/>
      </c>
      <c r="E288" s="156">
        <f>IFERROR(VLOOKUP(F288,AllPlayers!F:F,1,0),"------------")</f>
        <v/>
      </c>
      <c r="F288" s="156" t="inlineStr">
        <is>
          <t>Luke Schoonmaker</t>
        </is>
      </c>
      <c r="G288" s="167" t="inlineStr">
        <is>
          <t>DAL</t>
        </is>
      </c>
      <c r="H288" s="156" t="inlineStr">
        <is>
          <t>TE</t>
        </is>
      </c>
      <c r="I288" s="156" t="n">
        <v>2</v>
      </c>
      <c r="J288" s="156" t="n">
        <v>0</v>
      </c>
      <c r="K288" s="156" t="n">
        <v>0</v>
      </c>
      <c r="L288" s="156">
        <f>IF(J288=0,0,K288/J288)</f>
        <v/>
      </c>
      <c r="M288" s="156">
        <f>K288/17</f>
        <v/>
      </c>
      <c r="N288" s="156" t="n">
        <v>0</v>
      </c>
      <c r="O288" s="156" t="n">
        <v>3</v>
      </c>
      <c r="P288" s="281">
        <f>IF(K288=0,0,K288/O288)</f>
        <v/>
      </c>
      <c r="Q288" s="156" t="n">
        <v>0</v>
      </c>
      <c r="R288" s="156" t="n">
        <v>0</v>
      </c>
      <c r="S288" s="156" t="n">
        <v>0</v>
      </c>
      <c r="T288" s="156" t="n">
        <v>0</v>
      </c>
      <c r="U288" s="156" t="n">
        <v>0</v>
      </c>
      <c r="V288" s="156" t="n">
        <v>0</v>
      </c>
      <c r="W288" s="156" t="n">
        <v>0</v>
      </c>
      <c r="X288" s="204">
        <f>INDEX(Matrix!$AA$2:$AA$33, MATCH(G288, Matrix!$AC$2:$AC$33, 0))</f>
        <v/>
      </c>
      <c r="Y288" s="156">
        <f>_xlfn.IFNA(MATCH(E287,'Injury Report'!$C$2:$C$6216,0),0)</f>
        <v/>
      </c>
    </row>
    <row r="289" ht="15.6" customHeight="1" s="152">
      <c r="A289" s="212" t="n">
        <v>287</v>
      </c>
      <c r="B289" s="167">
        <f>F289&amp;G289</f>
        <v/>
      </c>
      <c r="C289" s="156">
        <f>(K289/MAX(K:K)*$K$1)+(O289/MAX(O:O)*$O$1)+(M289/MAX(M:M)*$M$1)+(N289/MAX(N:N)*$N$1)+(V289/MAX(V:V)*$V$1)+(P289/MAX(P:P)*$P$1)</f>
        <v/>
      </c>
      <c r="E289" s="156">
        <f>IFERROR(VLOOKUP(F289,AllPlayers!F:F,1,0),"------------")</f>
        <v/>
      </c>
      <c r="F289" s="156" t="inlineStr">
        <is>
          <t>Jelani Woods</t>
        </is>
      </c>
      <c r="G289" s="167" t="inlineStr">
        <is>
          <t>IND</t>
        </is>
      </c>
      <c r="H289" s="156" t="inlineStr">
        <is>
          <t>TE</t>
        </is>
      </c>
      <c r="I289" s="156" t="n">
        <v>17</v>
      </c>
      <c r="J289" s="156" t="n">
        <v>8</v>
      </c>
      <c r="K289" s="156" t="n">
        <v>137</v>
      </c>
      <c r="L289" s="156">
        <f>IF(J289=0,0,K289/J289)</f>
        <v/>
      </c>
      <c r="M289" s="156">
        <f>K289/17</f>
        <v/>
      </c>
      <c r="N289" s="156" t="n">
        <v>1</v>
      </c>
      <c r="O289" s="156" t="n">
        <v>14</v>
      </c>
      <c r="P289" s="281">
        <f>IF(K289=0,0,K289/O289)</f>
        <v/>
      </c>
      <c r="Q289" s="156" t="n">
        <v>1</v>
      </c>
      <c r="R289" s="156" t="n">
        <v>0</v>
      </c>
      <c r="S289" s="156" t="n">
        <v>0</v>
      </c>
      <c r="T289" s="156" t="n">
        <v>0</v>
      </c>
      <c r="U289" s="156" t="n">
        <v>0</v>
      </c>
      <c r="V289" s="156" t="n">
        <v>1</v>
      </c>
      <c r="W289" s="156" t="n">
        <v>0</v>
      </c>
      <c r="X289" s="204">
        <f>INDEX(Matrix!$AA$2:$AA$33, MATCH(G289, Matrix!$AC$2:$AC$33, 0))</f>
        <v/>
      </c>
      <c r="Y289" s="156">
        <f>_xlfn.IFNA(MATCH(E288,'Injury Report'!$C$2:$C$6216,0),0)</f>
        <v/>
      </c>
    </row>
    <row r="290" ht="15.6" customHeight="1" s="152">
      <c r="A290" s="212" t="n">
        <v>288</v>
      </c>
      <c r="B290" s="167">
        <f>F290&amp;G290</f>
        <v/>
      </c>
      <c r="C290" s="156">
        <f>(K290/MAX(K:K)*$K$1)+(O290/MAX(O:O)*$O$1)+(M290/MAX(M:M)*$M$1)+(N290/MAX(N:N)*$N$1)+(V290/MAX(V:V)*$V$1)+(P290/MAX(P:P)*$P$1)</f>
        <v/>
      </c>
      <c r="E290" s="156">
        <f>IFERROR(VLOOKUP(F290,AllPlayers!F:F,1,0),"------------")</f>
        <v/>
      </c>
      <c r="F290" s="156" t="inlineStr">
        <is>
          <t>Grant Calcaterra</t>
        </is>
      </c>
      <c r="G290" s="167" t="inlineStr">
        <is>
          <t>PHI</t>
        </is>
      </c>
      <c r="H290" s="156" t="inlineStr">
        <is>
          <t>TE</t>
        </is>
      </c>
      <c r="I290" s="156" t="n">
        <v>1</v>
      </c>
      <c r="J290" s="156" t="n">
        <v>1</v>
      </c>
      <c r="K290" s="156" t="n">
        <v>6</v>
      </c>
      <c r="L290" s="156">
        <f>IF(J290=0,0,K290/J290)</f>
        <v/>
      </c>
      <c r="M290" s="156">
        <f>K290/17</f>
        <v/>
      </c>
      <c r="N290" s="156" t="n">
        <v>0</v>
      </c>
      <c r="O290" s="156" t="n">
        <v>2</v>
      </c>
      <c r="P290" s="281">
        <f>IF(K290=0,0,K290/O290)</f>
        <v/>
      </c>
      <c r="Q290" s="156" t="n">
        <v>1</v>
      </c>
      <c r="R290" s="156" t="n">
        <v>1</v>
      </c>
      <c r="S290" s="156" t="n">
        <v>0</v>
      </c>
      <c r="T290" s="156" t="n">
        <v>0</v>
      </c>
      <c r="U290" s="156" t="n">
        <v>0</v>
      </c>
      <c r="V290" s="156" t="n">
        <v>0</v>
      </c>
      <c r="W290" s="156" t="n">
        <v>0</v>
      </c>
      <c r="X290" s="204">
        <f>INDEX(Matrix!$AA$2:$AA$33, MATCH(G290, Matrix!$AC$2:$AC$33, 0))</f>
        <v/>
      </c>
      <c r="Y290" s="156">
        <f>_xlfn.IFNA(MATCH(E289,'Injury Report'!$C$2:$C$6216,0),0)</f>
        <v/>
      </c>
    </row>
    <row r="291" ht="15.6" customHeight="1" s="152">
      <c r="A291" s="212" t="n">
        <v>289</v>
      </c>
      <c r="B291" s="167">
        <f>F291&amp;G291</f>
        <v/>
      </c>
      <c r="C291" s="156">
        <f>(K291/MAX(K:K)*$K$1)+(O291/MAX(O:O)*$O$1)+(M291/MAX(M:M)*$M$1)+(N291/MAX(N:N)*$N$1)+(V291/MAX(V:V)*$V$1)+(P291/MAX(P:P)*$P$1)</f>
        <v/>
      </c>
      <c r="E291" s="156">
        <f>IFERROR(VLOOKUP(F291,AllPlayers!F:F,1,0),"------------")</f>
        <v/>
      </c>
      <c r="F291" s="156" t="inlineStr">
        <is>
          <t>Daniel Bellinger</t>
        </is>
      </c>
      <c r="G291" s="167" t="inlineStr">
        <is>
          <t>NYG</t>
        </is>
      </c>
      <c r="H291" s="156" t="inlineStr">
        <is>
          <t>TE</t>
        </is>
      </c>
      <c r="I291" s="156" t="n">
        <v>2</v>
      </c>
      <c r="J291" s="156" t="n">
        <v>1</v>
      </c>
      <c r="K291" s="156" t="n">
        <v>14</v>
      </c>
      <c r="L291" s="156">
        <f>IF(J291=0,0,K291/J291)</f>
        <v/>
      </c>
      <c r="M291" s="156">
        <f>K291/17</f>
        <v/>
      </c>
      <c r="N291" s="156" t="n">
        <v>0</v>
      </c>
      <c r="O291" s="156" t="n">
        <v>1</v>
      </c>
      <c r="P291" s="281">
        <f>IF(K291=0,0,K291/O291)</f>
        <v/>
      </c>
      <c r="Q291" s="156" t="n">
        <v>1</v>
      </c>
      <c r="R291" s="156" t="n">
        <v>0</v>
      </c>
      <c r="S291" s="156" t="n">
        <v>0</v>
      </c>
      <c r="T291" s="156" t="n">
        <v>0</v>
      </c>
      <c r="U291" s="156" t="n">
        <v>0</v>
      </c>
      <c r="V291" s="156" t="n">
        <v>0</v>
      </c>
      <c r="W291" s="156" t="n">
        <v>0</v>
      </c>
      <c r="X291" s="204">
        <f>INDEX(Matrix!$AA$2:$AA$33, MATCH(G291, Matrix!$AC$2:$AC$33, 0))</f>
        <v/>
      </c>
      <c r="Y291" s="156">
        <f>_xlfn.IFNA(MATCH(E290,'Injury Report'!$C$2:$C$6216,0),0)</f>
        <v/>
      </c>
    </row>
    <row r="292" ht="15.6" customHeight="1" s="152">
      <c r="A292" s="212" t="n">
        <v>290</v>
      </c>
      <c r="B292" s="167">
        <f>F292&amp;G292</f>
        <v/>
      </c>
      <c r="C292" s="156">
        <f>(K292/MAX(K:K)*$K$1)+(O292/MAX(O:O)*$O$1)+(M292/MAX(M:M)*$M$1)+(N292/MAX(N:N)*$N$1)+(V292/MAX(V:V)*$V$1)+(P292/MAX(P:P)*$P$1)</f>
        <v/>
      </c>
      <c r="E292" s="156">
        <f>IFERROR(VLOOKUP(F292,AllPlayers!F:F,1,0),"------------")</f>
        <v/>
      </c>
      <c r="F292" s="156" t="inlineStr">
        <is>
          <t>Payne Durham</t>
        </is>
      </c>
      <c r="G292" s="167" t="inlineStr">
        <is>
          <t>TB</t>
        </is>
      </c>
      <c r="H292" s="156" t="inlineStr">
        <is>
          <t>TE</t>
        </is>
      </c>
      <c r="I292" s="156" t="n">
        <v>2</v>
      </c>
      <c r="J292" s="156" t="n">
        <v>0</v>
      </c>
      <c r="K292" s="156" t="n">
        <v>0</v>
      </c>
      <c r="L292" s="156">
        <f>IF(J292=0,0,K292/J292)</f>
        <v/>
      </c>
      <c r="M292" s="156">
        <f>K292/17</f>
        <v/>
      </c>
      <c r="N292" s="156" t="n">
        <v>0</v>
      </c>
      <c r="O292" s="156" t="n">
        <v>1</v>
      </c>
      <c r="P292" s="281">
        <f>IF(K292=0,0,K292/O292)</f>
        <v/>
      </c>
      <c r="Q292" s="156" t="n">
        <v>1</v>
      </c>
      <c r="R292" s="156" t="n">
        <v>0</v>
      </c>
      <c r="S292" s="156" t="n">
        <v>0</v>
      </c>
      <c r="T292" s="156" t="n">
        <v>0</v>
      </c>
      <c r="U292" s="156" t="n">
        <v>0</v>
      </c>
      <c r="V292" s="156" t="n">
        <v>0</v>
      </c>
      <c r="W292" s="156" t="n">
        <v>0</v>
      </c>
      <c r="X292" s="204">
        <f>INDEX(Matrix!$AA$2:$AA$33, MATCH(G292, Matrix!$AC$2:$AC$33, 0))</f>
        <v/>
      </c>
      <c r="Y292" s="156">
        <f>_xlfn.IFNA(MATCH(E291,'Injury Report'!$C$2:$C$6216,0),0)</f>
        <v/>
      </c>
    </row>
    <row r="293" ht="15.6" customHeight="1" s="152">
      <c r="A293" s="212" t="n">
        <v>291</v>
      </c>
      <c r="B293" s="167">
        <f>F293&amp;G293</f>
        <v/>
      </c>
      <c r="C293" s="156">
        <f>(K293/MAX(K:K)*$K$1)+(O293/MAX(O:O)*$O$1)+(M293/MAX(M:M)*$M$1)+(N293/MAX(N:N)*$N$1)+(V293/MAX(V:V)*$V$1)+(P293/MAX(P:P)*$P$1)</f>
        <v/>
      </c>
      <c r="E293" s="156">
        <f>IFERROR(VLOOKUP(F293,AllPlayers!F:F,1,0),"------------")</f>
        <v/>
      </c>
      <c r="F293" s="156" t="inlineStr">
        <is>
          <t>Julian Hill</t>
        </is>
      </c>
      <c r="G293" s="167" t="inlineStr">
        <is>
          <t>MIA</t>
        </is>
      </c>
      <c r="H293" s="156" t="inlineStr">
        <is>
          <t>TE</t>
        </is>
      </c>
      <c r="I293" s="156" t="n">
        <v>1</v>
      </c>
      <c r="J293" s="156" t="n">
        <v>0</v>
      </c>
      <c r="K293" s="156" t="n">
        <v>0</v>
      </c>
      <c r="L293" s="156">
        <f>IF(J293=0,0,K293/J293)</f>
        <v/>
      </c>
      <c r="M293" s="156">
        <f>K293/17</f>
        <v/>
      </c>
      <c r="N293" s="156" t="n">
        <v>0</v>
      </c>
      <c r="O293" s="156" t="n">
        <v>0</v>
      </c>
      <c r="P293" s="281">
        <f>IF(K293=0,0,K293/O293)</f>
        <v/>
      </c>
      <c r="Q293" s="156" t="n">
        <v>2</v>
      </c>
      <c r="R293" s="156" t="n">
        <v>0</v>
      </c>
      <c r="S293" s="156" t="n">
        <v>0</v>
      </c>
      <c r="T293" s="156" t="n">
        <v>0</v>
      </c>
      <c r="U293" s="156" t="n">
        <v>0</v>
      </c>
      <c r="V293" s="156" t="n">
        <v>0</v>
      </c>
      <c r="W293" s="156" t="n">
        <v>0</v>
      </c>
      <c r="X293" s="204">
        <f>INDEX(Matrix!$AA$2:$AA$33, MATCH(G293, Matrix!$AC$2:$AC$33, 0))</f>
        <v/>
      </c>
      <c r="Y293" s="156">
        <f>_xlfn.IFNA(MATCH(E292,'Injury Report'!$C$2:$C$6216,0),0)</f>
        <v/>
      </c>
    </row>
    <row r="294" ht="15.6" customHeight="1" s="152">
      <c r="A294" s="212" t="n">
        <v>292</v>
      </c>
      <c r="B294" s="167">
        <f>F294&amp;G294</f>
        <v/>
      </c>
      <c r="C294" s="156">
        <f>(K294/MAX(K:K)*$K$1)+(O294/MAX(O:O)*$O$1)+(M294/MAX(M:M)*$M$1)+(N294/MAX(N:N)*$N$1)+(V294/MAX(V:V)*$V$1)+(P294/MAX(P:P)*$P$1)</f>
        <v/>
      </c>
      <c r="E294" s="156">
        <f>IFERROR(VLOOKUP(F294,AllPlayers!F:F,1,0),"------------")</f>
        <v/>
      </c>
      <c r="F294" s="156" t="inlineStr">
        <is>
          <t>Jake Briningstool</t>
        </is>
      </c>
      <c r="G294" s="167" t="inlineStr">
        <is>
          <t>KC</t>
        </is>
      </c>
      <c r="H294" s="156" t="inlineStr">
        <is>
          <t>TE</t>
        </is>
      </c>
      <c r="I294" s="156" t="n">
        <v>17</v>
      </c>
      <c r="J294" s="156" t="n">
        <v>12</v>
      </c>
      <c r="K294" s="156" t="n">
        <v>121</v>
      </c>
      <c r="L294" s="156">
        <f>IF(J294=0,0,K294/J294)</f>
        <v/>
      </c>
      <c r="M294" s="156">
        <f>K294/17</f>
        <v/>
      </c>
      <c r="N294" s="156" t="n">
        <v>1</v>
      </c>
      <c r="O294" s="156" t="n">
        <v>27</v>
      </c>
      <c r="P294" s="281">
        <f>IF(K294=0,0,K294/O294)</f>
        <v/>
      </c>
      <c r="Q294" s="156" t="n">
        <v>0</v>
      </c>
      <c r="R294" s="156" t="n">
        <v>0</v>
      </c>
      <c r="S294" s="156" t="n">
        <v>0</v>
      </c>
      <c r="T294" s="156" t="n">
        <v>0</v>
      </c>
      <c r="U294" s="156" t="n">
        <v>0</v>
      </c>
      <c r="V294" s="156" t="n">
        <v>1</v>
      </c>
      <c r="W294" s="156" t="n">
        <v>0</v>
      </c>
      <c r="X294" s="204">
        <f>INDEX(Matrix!$AA$2:$AA$33, MATCH(G294, Matrix!$AC$2:$AC$33, 0))</f>
        <v/>
      </c>
      <c r="Y294" s="156">
        <f>_xlfn.IFNA(MATCH(E293,'Injury Report'!$C$2:$C$6216,0),0)</f>
        <v/>
      </c>
    </row>
    <row r="295" ht="15.6" customHeight="1" s="152">
      <c r="A295" s="212" t="n">
        <v>293</v>
      </c>
      <c r="B295" s="167">
        <f>F295&amp;G295</f>
        <v/>
      </c>
      <c r="C295" s="156">
        <f>(K295/MAX(K:K)*$K$1)+(O295/MAX(O:O)*$O$1)+(M295/MAX(M:M)*$M$1)+(N295/MAX(N:N)*$N$1)+(V295/MAX(V:V)*$V$1)+(P295/MAX(P:P)*$P$1)</f>
        <v/>
      </c>
      <c r="E295" s="156">
        <f>IFERROR(VLOOKUP(F295,AllPlayers!F:F,1,0),"------------")</f>
        <v/>
      </c>
      <c r="F295" s="156" t="inlineStr">
        <is>
          <t>Elijah Higgins</t>
        </is>
      </c>
      <c r="G295" s="167" t="inlineStr">
        <is>
          <t>ARI</t>
        </is>
      </c>
      <c r="H295" s="156" t="inlineStr">
        <is>
          <t>TE</t>
        </is>
      </c>
      <c r="I295" s="156" t="n">
        <v>2</v>
      </c>
      <c r="J295" s="156" t="n">
        <v>3</v>
      </c>
      <c r="K295" s="156" t="n">
        <v>48</v>
      </c>
      <c r="L295" s="156">
        <f>IF(J295=0,0,K295/J295)</f>
        <v/>
      </c>
      <c r="M295" s="156">
        <f>K295/17</f>
        <v/>
      </c>
      <c r="N295" s="156" t="n">
        <v>0</v>
      </c>
      <c r="O295" s="156" t="n">
        <v>5</v>
      </c>
      <c r="P295" s="281">
        <f>IF(K295=0,0,K295/O295)</f>
        <v/>
      </c>
      <c r="Q295" s="156" t="n">
        <v>1</v>
      </c>
      <c r="R295" s="156" t="n">
        <v>0</v>
      </c>
      <c r="S295" s="156" t="n">
        <v>0</v>
      </c>
      <c r="T295" s="156" t="n">
        <v>0</v>
      </c>
      <c r="U295" s="156" t="n">
        <v>0</v>
      </c>
      <c r="V295" s="156" t="n">
        <v>0</v>
      </c>
      <c r="W295" s="156" t="n">
        <v>0</v>
      </c>
      <c r="X295" s="204">
        <f>INDEX(Matrix!$AA$2:$AA$33, MATCH(G295, Matrix!$AC$2:$AC$33, 0))</f>
        <v/>
      </c>
      <c r="Y295" s="156">
        <f>_xlfn.IFNA(MATCH(E294,'Injury Report'!$C$2:$C$6216,0),0)</f>
        <v/>
      </c>
    </row>
    <row r="296" ht="15.6" customHeight="1" s="152">
      <c r="A296" s="212" t="n">
        <v>294</v>
      </c>
      <c r="B296" s="167">
        <f>F296&amp;G296</f>
        <v/>
      </c>
      <c r="C296" s="156">
        <f>(K296/MAX(K:K)*$K$1)+(O296/MAX(O:O)*$O$1)+(M296/MAX(M:M)*$M$1)+(N296/MAX(N:N)*$N$1)+(V296/MAX(V:V)*$V$1)+(P296/MAX(P:P)*$P$1)</f>
        <v/>
      </c>
      <c r="E296" s="156">
        <f>IFERROR(VLOOKUP(F296,AllPlayers!F:F,1,0),"------------")</f>
        <v/>
      </c>
      <c r="F296" s="156" t="inlineStr">
        <is>
          <t>Keleki Latu</t>
        </is>
      </c>
      <c r="G296" s="167" t="inlineStr">
        <is>
          <t>BUF</t>
        </is>
      </c>
      <c r="H296" s="156" t="inlineStr">
        <is>
          <t>TE</t>
        </is>
      </c>
      <c r="I296" s="156" t="n">
        <v>17</v>
      </c>
      <c r="J296" s="156" t="n">
        <v>10</v>
      </c>
      <c r="K296" s="156" t="n">
        <v>111</v>
      </c>
      <c r="L296" s="156">
        <f>IF(J296=0,0,K296/J296)</f>
        <v/>
      </c>
      <c r="M296" s="156">
        <f>K296/17</f>
        <v/>
      </c>
      <c r="N296" s="156" t="n">
        <v>1</v>
      </c>
      <c r="O296" s="156" t="n">
        <v>13</v>
      </c>
      <c r="P296" s="281">
        <f>IF(K296=0,0,K296/O296)</f>
        <v/>
      </c>
      <c r="Q296" s="156" t="n">
        <v>1</v>
      </c>
      <c r="R296" s="156" t="n">
        <v>0</v>
      </c>
      <c r="S296" s="156" t="n">
        <v>0</v>
      </c>
      <c r="T296" s="156" t="n">
        <v>0</v>
      </c>
      <c r="U296" s="156" t="n">
        <v>0</v>
      </c>
      <c r="V296" s="156" t="n">
        <v>0</v>
      </c>
      <c r="W296" s="156" t="n">
        <v>0</v>
      </c>
      <c r="X296" s="204">
        <f>INDEX(Matrix!$AA$2:$AA$33, MATCH(G296, Matrix!$AC$2:$AC$33, 0))</f>
        <v/>
      </c>
      <c r="Y296" s="156">
        <f>_xlfn.IFNA(MATCH(E295,'Injury Report'!$C$2:$C$6216,0),0)</f>
        <v/>
      </c>
    </row>
    <row r="297" ht="15.6" customHeight="1" s="152">
      <c r="A297" s="212" t="n">
        <v>295</v>
      </c>
      <c r="B297" s="167">
        <f>F297&amp;G297</f>
        <v/>
      </c>
      <c r="C297" s="156">
        <f>(K297/MAX(K:K)*$K$1)+(O297/MAX(O:O)*$O$1)+(M297/MAX(M:M)*$M$1)+(N297/MAX(N:N)*$N$1)+(V297/MAX(V:V)*$V$1)+(P297/MAX(P:P)*$P$1)</f>
        <v/>
      </c>
      <c r="E297" s="156">
        <f>IFERROR(VLOOKUP(F297,AllPlayers!F:F,1,0),"------------")</f>
        <v/>
      </c>
      <c r="F297" s="156" t="inlineStr">
        <is>
          <t>Josh Whyle</t>
        </is>
      </c>
      <c r="G297" s="167" t="inlineStr">
        <is>
          <t>TEN</t>
        </is>
      </c>
      <c r="H297" s="156" t="inlineStr">
        <is>
          <t>TE</t>
        </is>
      </c>
      <c r="I297" s="156" t="n">
        <v>17</v>
      </c>
      <c r="J297" s="156" t="n">
        <v>14.5</v>
      </c>
      <c r="K297" s="156" t="n">
        <v>134.2</v>
      </c>
      <c r="L297" s="156">
        <f>IF(J297=0,0,K297/J297)</f>
        <v/>
      </c>
      <c r="M297" s="156">
        <f>K297/17</f>
        <v/>
      </c>
      <c r="N297" s="156" t="n">
        <v>0.6</v>
      </c>
      <c r="O297" s="156" t="n">
        <v>13</v>
      </c>
      <c r="P297" s="281">
        <f>IF(K297=0,0,K297/O297)</f>
        <v/>
      </c>
      <c r="Q297" s="156" t="n">
        <v>0</v>
      </c>
      <c r="R297" s="156" t="n">
        <v>0</v>
      </c>
      <c r="S297" s="156" t="n">
        <v>0</v>
      </c>
      <c r="T297" s="156" t="n">
        <v>0</v>
      </c>
      <c r="U297" s="156" t="n">
        <v>0</v>
      </c>
      <c r="V297" s="156" t="n">
        <v>1</v>
      </c>
      <c r="W297" s="156" t="n">
        <v>0</v>
      </c>
      <c r="X297" s="204">
        <f>INDEX(Matrix!$AA$2:$AA$33, MATCH(G297, Matrix!$AC$2:$AC$33, 0))</f>
        <v/>
      </c>
      <c r="Y297" s="156">
        <f>_xlfn.IFNA(MATCH(E296,'Injury Report'!$C$2:$C$6216,0),0)</f>
        <v/>
      </c>
    </row>
    <row r="298" ht="15.6" customHeight="1" s="152">
      <c r="A298" s="212" t="n">
        <v>296</v>
      </c>
      <c r="B298" s="167">
        <f>F298&amp;G298</f>
        <v/>
      </c>
      <c r="C298" s="156">
        <f>(K298/MAX(K:K)*$K$1)+(O298/MAX(O:O)*$O$1)+(M298/MAX(M:M)*$M$1)+(N298/MAX(N:N)*$N$1)+(V298/MAX(V:V)*$V$1)+(P298/MAX(P:P)*$P$1)</f>
        <v/>
      </c>
      <c r="E298" s="156">
        <f>IFERROR(VLOOKUP(F298,AllPlayers!F:F,1,0),"------------")</f>
        <v/>
      </c>
      <c r="F298" s="156" t="inlineStr">
        <is>
          <t>Darnell Washington</t>
        </is>
      </c>
      <c r="G298" s="167" t="inlineStr">
        <is>
          <t>PIT</t>
        </is>
      </c>
      <c r="H298" s="156" t="inlineStr">
        <is>
          <t>TE</t>
        </is>
      </c>
      <c r="I298" s="156" t="n">
        <v>1</v>
      </c>
      <c r="J298" s="156" t="n">
        <v>0</v>
      </c>
      <c r="K298" s="156" t="n">
        <v>0</v>
      </c>
      <c r="L298" s="156">
        <f>IF(J298=0,0,K298/J298)</f>
        <v/>
      </c>
      <c r="M298" s="156">
        <f>K298/17</f>
        <v/>
      </c>
      <c r="N298" s="156" t="n">
        <v>0</v>
      </c>
      <c r="O298" s="156" t="n">
        <v>1</v>
      </c>
      <c r="P298" s="281">
        <f>IF(K298=0,0,K298/O298)</f>
        <v/>
      </c>
      <c r="Q298" s="156" t="n">
        <v>0</v>
      </c>
      <c r="R298" s="156" t="n">
        <v>0</v>
      </c>
      <c r="S298" s="156" t="n">
        <v>0</v>
      </c>
      <c r="T298" s="156" t="n">
        <v>0</v>
      </c>
      <c r="U298" s="156" t="n">
        <v>0</v>
      </c>
      <c r="V298" s="156" t="n">
        <v>0</v>
      </c>
      <c r="W298" s="156" t="n">
        <v>0</v>
      </c>
      <c r="X298" s="204">
        <f>INDEX(Matrix!$AA$2:$AA$33, MATCH(G298, Matrix!$AC$2:$AC$33, 0))</f>
        <v/>
      </c>
      <c r="Y298" s="156">
        <f>_xlfn.IFNA(MATCH(E297,'Injury Report'!$C$2:$C$6216,0),0)</f>
        <v/>
      </c>
    </row>
    <row r="299" ht="15.6" customHeight="1" s="152">
      <c r="A299" s="212" t="n">
        <v>297</v>
      </c>
      <c r="B299" s="167">
        <f>F299&amp;G299</f>
        <v/>
      </c>
      <c r="C299" s="156">
        <f>(K299/MAX(K:K)*$K$1)+(O299/MAX(O:O)*$O$1)+(M299/MAX(M:M)*$M$1)+(N299/MAX(N:N)*$N$1)+(V299/MAX(V:V)*$V$1)+(P299/MAX(P:P)*$P$1)</f>
        <v/>
      </c>
      <c r="E299" s="156">
        <f>IFERROR(VLOOKUP(F299,AllPlayers!F:F,1,0),"------------")</f>
        <v/>
      </c>
      <c r="F299" s="156" t="inlineStr">
        <is>
          <t>Johnny Mundt</t>
        </is>
      </c>
      <c r="G299" s="167" t="inlineStr">
        <is>
          <t>JAX</t>
        </is>
      </c>
      <c r="H299" s="156" t="inlineStr">
        <is>
          <t>TE</t>
        </is>
      </c>
      <c r="I299" s="156" t="n">
        <v>1</v>
      </c>
      <c r="J299" s="156" t="n">
        <v>0</v>
      </c>
      <c r="K299" s="156" t="n">
        <v>0</v>
      </c>
      <c r="L299" s="156">
        <f>IF(J299=0,0,K299/J299)</f>
        <v/>
      </c>
      <c r="M299" s="156">
        <f>K299/17</f>
        <v/>
      </c>
      <c r="N299" s="156" t="n">
        <v>0</v>
      </c>
      <c r="O299" s="156" t="n">
        <v>1</v>
      </c>
      <c r="P299" s="281">
        <f>IF(K299=0,0,K299/O299)</f>
        <v/>
      </c>
      <c r="Q299" s="156" t="n">
        <v>1</v>
      </c>
      <c r="R299" s="156" t="n">
        <v>0</v>
      </c>
      <c r="S299" s="156" t="n">
        <v>0</v>
      </c>
      <c r="T299" s="156" t="n">
        <v>0</v>
      </c>
      <c r="U299" s="156" t="n">
        <v>0</v>
      </c>
      <c r="V299" s="156" t="n">
        <v>0</v>
      </c>
      <c r="W299" s="156" t="n">
        <v>0</v>
      </c>
      <c r="X299" s="204">
        <f>INDEX(Matrix!$AA$2:$AA$33, MATCH(G299, Matrix!$AC$2:$AC$33, 0))</f>
        <v/>
      </c>
      <c r="Y299" s="156">
        <f>_xlfn.IFNA(MATCH(E298,'Injury Report'!$C$2:$C$6216,0),0)</f>
        <v/>
      </c>
    </row>
    <row r="300" ht="15.6" customHeight="1" s="152">
      <c r="A300" s="212" t="n">
        <v>298</v>
      </c>
      <c r="B300" s="167">
        <f>F300&amp;G300</f>
        <v/>
      </c>
      <c r="C300" s="156">
        <f>(K300/MAX(K:K)*$K$1)+(O300/MAX(O:O)*$O$1)+(M300/MAX(M:M)*$M$1)+(N300/MAX(N:N)*$N$1)+(V300/MAX(V:V)*$V$1)+(P300/MAX(P:P)*$P$1)</f>
        <v/>
      </c>
      <c r="E300" s="156">
        <f>IFERROR(VLOOKUP(F300,AllPlayers!F:F,1,0),"------------")</f>
        <v/>
      </c>
      <c r="F300" s="156" t="inlineStr">
        <is>
          <t>Connor Heyward</t>
        </is>
      </c>
      <c r="G300" s="167" t="inlineStr">
        <is>
          <t>PIT</t>
        </is>
      </c>
      <c r="H300" s="156" t="inlineStr">
        <is>
          <t>TE</t>
        </is>
      </c>
      <c r="I300" s="156" t="n">
        <v>2</v>
      </c>
      <c r="J300" s="156" t="n">
        <v>1</v>
      </c>
      <c r="K300" s="156" t="n">
        <v>6</v>
      </c>
      <c r="L300" s="156">
        <f>IF(J300=0,0,K300/J300)</f>
        <v/>
      </c>
      <c r="M300" s="156">
        <f>K300/17</f>
        <v/>
      </c>
      <c r="N300" s="156" t="n">
        <v>0</v>
      </c>
      <c r="O300" s="156" t="n">
        <v>1</v>
      </c>
      <c r="P300" s="281">
        <f>IF(K300=0,0,K300/O300)</f>
        <v/>
      </c>
      <c r="Q300" s="156" t="n">
        <v>0</v>
      </c>
      <c r="R300" s="156" t="n">
        <v>0</v>
      </c>
      <c r="S300" s="156" t="n">
        <v>0</v>
      </c>
      <c r="T300" s="156" t="n">
        <v>0</v>
      </c>
      <c r="U300" s="156" t="n">
        <v>0</v>
      </c>
      <c r="V300" s="156" t="n">
        <v>0</v>
      </c>
      <c r="W300" s="156" t="n">
        <v>0</v>
      </c>
      <c r="X300" s="204">
        <f>INDEX(Matrix!$AA$2:$AA$33, MATCH(G300, Matrix!$AC$2:$AC$33, 0))</f>
        <v/>
      </c>
      <c r="Y300" s="156">
        <f>_xlfn.IFNA(MATCH(E299,'Injury Report'!$C$2:$C$6216,0),0)</f>
        <v/>
      </c>
    </row>
    <row r="301" ht="15.6" customHeight="1" s="152">
      <c r="A301" s="212" t="n">
        <v>299</v>
      </c>
      <c r="B301" s="167">
        <f>F301&amp;G301</f>
        <v/>
      </c>
      <c r="C301" s="156">
        <f>(K301/MAX(K:K)*$K$1)+(O301/MAX(O:O)*$O$1)+(M301/MAX(M:M)*$M$1)+(N301/MAX(N:N)*$N$1)+(V301/MAX(V:V)*$V$1)+(P301/MAX(P:P)*$P$1)</f>
        <v/>
      </c>
      <c r="E301" s="156">
        <f>IFERROR(VLOOKUP(F301,AllPlayers!F:F,1,0),"------------")</f>
        <v/>
      </c>
      <c r="F301" s="156" t="inlineStr">
        <is>
          <t>Colby Parkinson</t>
        </is>
      </c>
      <c r="G301" s="167" t="inlineStr">
        <is>
          <t>LAR</t>
        </is>
      </c>
      <c r="H301" s="156" t="inlineStr">
        <is>
          <t>TE</t>
        </is>
      </c>
      <c r="I301" s="156" t="n">
        <v>1</v>
      </c>
      <c r="J301" s="156" t="n">
        <v>2</v>
      </c>
      <c r="K301" s="156" t="n">
        <v>-6</v>
      </c>
      <c r="L301" s="156">
        <f>IF(J301=0,0,K301/J301)</f>
        <v/>
      </c>
      <c r="M301" s="156">
        <f>K301/17</f>
        <v/>
      </c>
      <c r="N301" s="156" t="n">
        <v>0</v>
      </c>
      <c r="O301" s="156" t="n">
        <v>2</v>
      </c>
      <c r="P301" s="281">
        <f>IF(K301=0,0,K301/O301)</f>
        <v/>
      </c>
      <c r="Q301" s="156" t="n">
        <v>1</v>
      </c>
      <c r="R301" s="156" t="n">
        <v>1</v>
      </c>
      <c r="S301" s="156" t="n">
        <v>0</v>
      </c>
      <c r="T301" s="156" t="n">
        <v>0</v>
      </c>
      <c r="U301" s="156" t="n">
        <v>0</v>
      </c>
      <c r="V301" s="156" t="n">
        <v>1</v>
      </c>
      <c r="W301" s="156" t="n">
        <v>1</v>
      </c>
      <c r="X301" s="204">
        <f>INDEX(Matrix!$AA$2:$AA$33, MATCH(G301, Matrix!$AC$2:$AC$33, 0))</f>
        <v/>
      </c>
      <c r="Y301" s="156">
        <f>_xlfn.IFNA(MATCH(E300,'Injury Report'!$C$2:$C$6216,0),0)</f>
        <v/>
      </c>
    </row>
    <row r="302" ht="15.6" customHeight="1" s="152">
      <c r="A302" s="212" t="n">
        <v>300</v>
      </c>
      <c r="B302" s="167">
        <f>F302&amp;G302</f>
        <v/>
      </c>
      <c r="C302" s="156">
        <f>(K302/MAX(K:K)*$K$1)+(O302/MAX(O:O)*$O$1)+(M302/MAX(M:M)*$M$1)+(N302/MAX(N:N)*$N$1)+(V302/MAX(V:V)*$V$1)+(P302/MAX(P:P)*$P$1)</f>
        <v/>
      </c>
      <c r="E302" s="156">
        <f>IFERROR(VLOOKUP(F302,AllPlayers!F:F,1,0),"------------")</f>
        <v/>
      </c>
      <c r="F302" s="156" t="inlineStr">
        <is>
          <t>Drew Ogletree</t>
        </is>
      </c>
      <c r="G302" s="167" t="inlineStr">
        <is>
          <t>IND</t>
        </is>
      </c>
      <c r="H302" s="156" t="inlineStr">
        <is>
          <t>TE</t>
        </is>
      </c>
      <c r="I302" s="156" t="n">
        <v>17</v>
      </c>
      <c r="J302" s="156" t="n">
        <v>7.6</v>
      </c>
      <c r="K302" s="156" t="n">
        <v>97</v>
      </c>
      <c r="L302" s="156">
        <f>IF(J302=0,0,K302/J302)</f>
        <v/>
      </c>
      <c r="M302" s="156">
        <f>K302/17</f>
        <v/>
      </c>
      <c r="N302" s="156" t="n">
        <v>0.8</v>
      </c>
      <c r="O302" s="156" t="n">
        <v>5</v>
      </c>
      <c r="P302" s="281">
        <f>IF(K302=0,0,K302/O302)</f>
        <v/>
      </c>
      <c r="Q302" s="156" t="n">
        <v>1</v>
      </c>
      <c r="R302" s="156" t="n">
        <v>0</v>
      </c>
      <c r="S302" s="156" t="n">
        <v>0</v>
      </c>
      <c r="T302" s="156" t="n">
        <v>0</v>
      </c>
      <c r="U302" s="156" t="n">
        <v>0</v>
      </c>
      <c r="V302" s="156" t="n">
        <v>0</v>
      </c>
      <c r="W302" s="156" t="n">
        <v>0</v>
      </c>
      <c r="X302" s="204">
        <f>INDEX(Matrix!$AA$2:$AA$33, MATCH(G302, Matrix!$AC$2:$AC$33, 0))</f>
        <v/>
      </c>
      <c r="Y302" s="156">
        <f>_xlfn.IFNA(MATCH(E301,'Injury Report'!$C$2:$C$6216,0),0)</f>
        <v/>
      </c>
    </row>
    <row r="303" ht="15.6" customHeight="1" s="152">
      <c r="A303" s="212" t="n">
        <v>301</v>
      </c>
      <c r="B303" s="167">
        <f>F303&amp;G303</f>
        <v/>
      </c>
      <c r="C303" s="156">
        <f>(K303/MAX(K:K)*$K$1)+(O303/MAX(O:O)*$O$1)+(M303/MAX(M:M)*$M$1)+(N303/MAX(N:N)*$N$1)+(V303/MAX(V:V)*$V$1)+(P303/MAX(P:P)*$P$1)</f>
        <v/>
      </c>
      <c r="E303" s="156">
        <f>IFERROR(VLOOKUP(F303,AllPlayers!F:F,1,0),"------------")</f>
        <v/>
      </c>
      <c r="F303" s="156" t="inlineStr">
        <is>
          <t>Taysom Hill</t>
        </is>
      </c>
      <c r="G303" s="167" t="inlineStr">
        <is>
          <t>NO</t>
        </is>
      </c>
      <c r="H303" s="156" t="inlineStr">
        <is>
          <t>TE</t>
        </is>
      </c>
      <c r="I303" s="156" t="n">
        <v>17</v>
      </c>
      <c r="J303" s="156" t="n">
        <v>2.3</v>
      </c>
      <c r="K303" s="156" t="n">
        <v>22.3</v>
      </c>
      <c r="L303" s="156">
        <f>IF(J303=0,0,K303/J303)</f>
        <v/>
      </c>
      <c r="M303" s="156">
        <f>K303/17</f>
        <v/>
      </c>
      <c r="N303" s="156" t="n">
        <v>0</v>
      </c>
      <c r="O303" s="156" t="n">
        <v>15</v>
      </c>
      <c r="P303" s="281">
        <f>IF(K303=0,0,K303/O303)</f>
        <v/>
      </c>
      <c r="Q303" s="156" t="n">
        <v>0</v>
      </c>
      <c r="R303" s="156" t="n">
        <v>0</v>
      </c>
      <c r="S303" s="156" t="n">
        <v>0</v>
      </c>
      <c r="T303" s="156" t="n">
        <v>0</v>
      </c>
      <c r="U303" s="156" t="n">
        <v>0</v>
      </c>
      <c r="V303" s="156" t="n">
        <v>0</v>
      </c>
      <c r="W303" s="156" t="n">
        <v>0</v>
      </c>
      <c r="X303" s="204">
        <f>INDEX(Matrix!$AA$2:$AA$33, MATCH(G303, Matrix!$AC$2:$AC$33, 0))</f>
        <v/>
      </c>
      <c r="Y303" s="156">
        <f>_xlfn.IFNA(MATCH(E302,'Injury Report'!$C$2:$C$6216,0),0)</f>
        <v/>
      </c>
    </row>
    <row r="304" ht="15.6" customHeight="1" s="152">
      <c r="A304" s="212" t="n">
        <v>302</v>
      </c>
      <c r="B304" s="167">
        <f>F304&amp;G304</f>
        <v/>
      </c>
      <c r="C304" s="156">
        <f>(K304/MAX(K:K)*$K$1)+(O304/MAX(O:O)*$O$1)+(M304/MAX(M:M)*$M$1)+(N304/MAX(N:N)*$N$1)+(V304/MAX(V:V)*$V$1)+(P304/MAX(P:P)*$P$1)</f>
        <v/>
      </c>
      <c r="E304" s="156">
        <f>IFERROR(VLOOKUP(F304,AllPlayers!F:F,1,0),"------------")</f>
        <v/>
      </c>
      <c r="F304" s="156" t="inlineStr">
        <is>
          <t>Drew Sample</t>
        </is>
      </c>
      <c r="G304" s="167" t="inlineStr">
        <is>
          <t>CIN</t>
        </is>
      </c>
      <c r="H304" s="156" t="inlineStr">
        <is>
          <t>TE</t>
        </is>
      </c>
      <c r="I304" s="156" t="n">
        <v>2</v>
      </c>
      <c r="J304" s="156" t="n">
        <v>1</v>
      </c>
      <c r="K304" s="156" t="n">
        <v>7</v>
      </c>
      <c r="L304" s="156">
        <f>IF(J304=0,0,K304/J304)</f>
        <v/>
      </c>
      <c r="M304" s="156">
        <f>K304/17</f>
        <v/>
      </c>
      <c r="N304" s="156" t="n">
        <v>0</v>
      </c>
      <c r="O304" s="156" t="n">
        <v>3</v>
      </c>
      <c r="P304" s="281">
        <f>IF(K304=0,0,K304/O304)</f>
        <v/>
      </c>
      <c r="Q304" s="156" t="n">
        <v>0</v>
      </c>
      <c r="R304" s="156" t="n">
        <v>0</v>
      </c>
      <c r="S304" s="156" t="n">
        <v>0</v>
      </c>
      <c r="T304" s="156" t="n">
        <v>0</v>
      </c>
      <c r="U304" s="156" t="n">
        <v>0</v>
      </c>
      <c r="V304" s="156" t="n">
        <v>0</v>
      </c>
      <c r="W304" s="156" t="n">
        <v>0</v>
      </c>
      <c r="X304" s="204">
        <f>INDEX(Matrix!$AA$2:$AA$33, MATCH(G304, Matrix!$AC$2:$AC$33, 0))</f>
        <v/>
      </c>
      <c r="Y304" s="156">
        <f>_xlfn.IFNA(MATCH(E303,'Injury Report'!$C$2:$C$6216,0),0)</f>
        <v/>
      </c>
    </row>
    <row r="305" ht="15.6" customHeight="1" s="152">
      <c r="A305" s="212" t="n">
        <v>303</v>
      </c>
      <c r="B305" s="167">
        <f>F305&amp;G305</f>
        <v/>
      </c>
      <c r="C305" s="156">
        <f>(K305/MAX(K:K)*$K$1)+(O305/MAX(O:O)*$O$1)+(M305/MAX(M:M)*$M$1)+(N305/MAX(N:N)*$N$1)+(V305/MAX(V:V)*$V$1)+(P305/MAX(P:P)*$P$1)</f>
        <v/>
      </c>
      <c r="E305" s="156">
        <f>IFERROR(VLOOKUP(F305,AllPlayers!F:F,1,0),"------------")</f>
        <v/>
      </c>
      <c r="F305" s="156" t="inlineStr">
        <is>
          <t>Pharaoh Brown</t>
        </is>
      </c>
      <c r="G305" s="167" t="inlineStr">
        <is>
          <t>MIA</t>
        </is>
      </c>
      <c r="H305" s="156" t="inlineStr">
        <is>
          <t>TE</t>
        </is>
      </c>
      <c r="I305" s="156" t="n">
        <v>17</v>
      </c>
      <c r="J305" s="156" t="n">
        <v>10</v>
      </c>
      <c r="K305" s="156" t="n">
        <v>93.3</v>
      </c>
      <c r="L305" s="156">
        <f>IF(J305=0,0,K305/J305)</f>
        <v/>
      </c>
      <c r="M305" s="156">
        <f>K305/17</f>
        <v/>
      </c>
      <c r="N305" s="156" t="n">
        <v>0.5</v>
      </c>
      <c r="O305" s="156" t="n">
        <v>9</v>
      </c>
      <c r="P305" s="281">
        <f>IF(K305=0,0,K305/O305)</f>
        <v/>
      </c>
      <c r="Q305" s="156" t="n">
        <v>2</v>
      </c>
      <c r="R305" s="156" t="n">
        <v>0</v>
      </c>
      <c r="S305" s="156" t="n">
        <v>0</v>
      </c>
      <c r="T305" s="156" t="n">
        <v>0</v>
      </c>
      <c r="U305" s="156" t="n">
        <v>0</v>
      </c>
      <c r="V305" s="156" t="n">
        <v>0</v>
      </c>
      <c r="W305" s="156" t="n">
        <v>0</v>
      </c>
      <c r="X305" s="204">
        <f>INDEX(Matrix!$AA$2:$AA$33, MATCH(G305, Matrix!$AC$2:$AC$33, 0))</f>
        <v/>
      </c>
      <c r="Y305" s="156">
        <f>_xlfn.IFNA(MATCH(E304,'Injury Report'!$C$2:$C$6216,0),0)</f>
        <v/>
      </c>
    </row>
    <row r="306" ht="15.6" customHeight="1" s="152">
      <c r="A306" s="212" t="n">
        <v>304</v>
      </c>
      <c r="B306" s="167">
        <f>F306&amp;G306</f>
        <v/>
      </c>
      <c r="C306" s="156">
        <f>(K306/MAX(K:K)*$K$1)+(O306/MAX(O:O)*$O$1)+(M306/MAX(M:M)*$M$1)+(N306/MAX(N:N)*$N$1)+(V306/MAX(V:V)*$V$1)+(P306/MAX(P:P)*$P$1)</f>
        <v/>
      </c>
      <c r="E306" s="156">
        <f>IFERROR(VLOOKUP(F306,AllPlayers!F:F,1,0),"------------")</f>
        <v/>
      </c>
      <c r="F306" s="156" t="inlineStr">
        <is>
          <t>Nate Adkins</t>
        </is>
      </c>
      <c r="G306" s="167" t="inlineStr">
        <is>
          <t>DEN</t>
        </is>
      </c>
      <c r="H306" s="156" t="inlineStr">
        <is>
          <t>TE</t>
        </is>
      </c>
      <c r="I306" s="156" t="n">
        <v>17</v>
      </c>
      <c r="J306" s="156" t="n">
        <v>7</v>
      </c>
      <c r="K306" s="156" t="n">
        <v>54.8</v>
      </c>
      <c r="L306" s="156">
        <f>IF(J306=0,0,K306/J306)</f>
        <v/>
      </c>
      <c r="M306" s="156">
        <f>K306/17</f>
        <v/>
      </c>
      <c r="N306" s="156" t="n">
        <v>1.1</v>
      </c>
      <c r="O306" s="156" t="n">
        <v>17</v>
      </c>
      <c r="P306" s="281">
        <f>IF(K306=0,0,K306/O306)</f>
        <v/>
      </c>
      <c r="Q306" s="156" t="n">
        <v>0</v>
      </c>
      <c r="R306" s="156" t="n">
        <v>0</v>
      </c>
      <c r="S306" s="156" t="n">
        <v>0</v>
      </c>
      <c r="T306" s="156" t="n">
        <v>0</v>
      </c>
      <c r="U306" s="156" t="n">
        <v>0</v>
      </c>
      <c r="V306" s="156" t="n">
        <v>0</v>
      </c>
      <c r="W306" s="156" t="n">
        <v>0</v>
      </c>
      <c r="X306" s="204">
        <f>INDEX(Matrix!$AA$2:$AA$33, MATCH(G306, Matrix!$AC$2:$AC$33, 0))</f>
        <v/>
      </c>
      <c r="Y306" s="156">
        <f>_xlfn.IFNA(MATCH(E305,'Injury Report'!$C$2:$C$6216,0),0)</f>
        <v/>
      </c>
    </row>
    <row r="307" ht="15.6" customHeight="1" s="152">
      <c r="A307" s="212" t="n">
        <v>305</v>
      </c>
      <c r="B307" s="167">
        <f>F307&amp;G307</f>
        <v/>
      </c>
      <c r="C307" s="156">
        <f>(K307/MAX(K:K)*$K$1)+(O307/MAX(O:O)*$O$1)+(M307/MAX(M:M)*$M$1)+(N307/MAX(N:N)*$N$1)+(V307/MAX(V:V)*$V$1)+(P307/MAX(P:P)*$P$1)</f>
        <v/>
      </c>
      <c r="E307" s="156">
        <f>IFERROR(VLOOKUP(F307,AllPlayers!F:F,1,0),"------------")</f>
        <v/>
      </c>
      <c r="F307" s="156" t="inlineStr">
        <is>
          <t>Teagan Quitoriano</t>
        </is>
      </c>
      <c r="G307" s="167" t="inlineStr">
        <is>
          <t>ATL</t>
        </is>
      </c>
      <c r="H307" s="156" t="inlineStr">
        <is>
          <t>TE</t>
        </is>
      </c>
      <c r="I307" s="156" t="n">
        <v>17</v>
      </c>
      <c r="J307" s="156" t="n">
        <v>5.5</v>
      </c>
      <c r="K307" s="156" t="n">
        <v>89</v>
      </c>
      <c r="L307" s="156">
        <f>IF(J307=0,0,K307/J307)</f>
        <v/>
      </c>
      <c r="M307" s="156">
        <f>K307/17</f>
        <v/>
      </c>
      <c r="N307" s="156" t="n">
        <v>0.5</v>
      </c>
      <c r="O307" s="156" t="n">
        <v>8</v>
      </c>
      <c r="P307" s="281">
        <f>IF(K307=0,0,K307/O307)</f>
        <v/>
      </c>
      <c r="Q307" s="156" t="n">
        <v>1</v>
      </c>
      <c r="R307" s="156" t="n">
        <v>1</v>
      </c>
      <c r="S307" s="156" t="n">
        <v>0</v>
      </c>
      <c r="T307" s="156" t="n">
        <v>0</v>
      </c>
      <c r="U307" s="156" t="n">
        <v>0</v>
      </c>
      <c r="V307" s="156" t="n">
        <v>0</v>
      </c>
      <c r="W307" s="156" t="n">
        <v>0</v>
      </c>
      <c r="X307" s="204">
        <f>INDEX(Matrix!$AA$2:$AA$33, MATCH(G307, Matrix!$AC$2:$AC$33, 0))</f>
        <v/>
      </c>
      <c r="Y307" s="156">
        <f>_xlfn.IFNA(MATCH(E306,'Injury Report'!$C$2:$C$6216,0),0)</f>
        <v/>
      </c>
    </row>
    <row r="308" ht="15.6" customHeight="1" s="152">
      <c r="A308" s="212" t="n">
        <v>306</v>
      </c>
      <c r="B308" s="167">
        <f>F308&amp;G308</f>
        <v/>
      </c>
      <c r="C308" s="156">
        <f>(K308/MAX(K:K)*$K$1)+(O308/MAX(O:O)*$O$1)+(M308/MAX(M:M)*$M$1)+(N308/MAX(N:N)*$N$1)+(V308/MAX(V:V)*$V$1)+(P308/MAX(P:P)*$P$1)</f>
        <v/>
      </c>
      <c r="E308" s="156">
        <f>IFERROR(VLOOKUP(F308,AllPlayers!F:F,1,0),"------------")</f>
        <v/>
      </c>
      <c r="F308" s="156" t="inlineStr">
        <is>
          <t>Lawrence Cager</t>
        </is>
      </c>
      <c r="G308" s="167" t="inlineStr">
        <is>
          <t>WAS</t>
        </is>
      </c>
      <c r="H308" s="156" t="inlineStr">
        <is>
          <t>TE</t>
        </is>
      </c>
      <c r="I308" s="156" t="n">
        <v>17</v>
      </c>
      <c r="J308" s="156" t="n">
        <v>5.5</v>
      </c>
      <c r="K308" s="156" t="n">
        <v>57</v>
      </c>
      <c r="L308" s="156">
        <f>IF(J308=0,0,K308/J308)</f>
        <v/>
      </c>
      <c r="M308" s="156">
        <f>K308/17</f>
        <v/>
      </c>
      <c r="N308" s="156" t="n">
        <v>1</v>
      </c>
      <c r="O308" s="156" t="n">
        <v>12</v>
      </c>
      <c r="P308" s="281">
        <f>IF(K308=0,0,K308/O308)</f>
        <v/>
      </c>
      <c r="Q308" s="156" t="n">
        <v>0</v>
      </c>
      <c r="R308" s="156" t="n">
        <v>0</v>
      </c>
      <c r="S308" s="156" t="n">
        <v>0</v>
      </c>
      <c r="T308" s="156" t="n">
        <v>0</v>
      </c>
      <c r="U308" s="156" t="n">
        <v>0</v>
      </c>
      <c r="V308" s="156" t="n">
        <v>0</v>
      </c>
      <c r="W308" s="156" t="n">
        <v>0</v>
      </c>
      <c r="X308" s="204">
        <f>INDEX(Matrix!$AA$2:$AA$33, MATCH(G308, Matrix!$AC$2:$AC$33, 0))</f>
        <v/>
      </c>
      <c r="Y308" s="156">
        <f>_xlfn.IFNA(MATCH(E307,'Injury Report'!$C$2:$C$6216,0),0)</f>
        <v/>
      </c>
    </row>
    <row r="309" ht="15.6" customHeight="1" s="152">
      <c r="A309" s="212" t="n">
        <v>307</v>
      </c>
      <c r="B309" s="167">
        <f>F309&amp;G309</f>
        <v/>
      </c>
      <c r="C309" s="156">
        <f>(K309/MAX(K:K)*$K$1)+(O309/MAX(O:O)*$O$1)+(M309/MAX(M:M)*$M$1)+(N309/MAX(N:N)*$N$1)+(V309/MAX(V:V)*$V$1)+(P309/MAX(P:P)*$P$1)</f>
        <v/>
      </c>
      <c r="E309" s="156">
        <f>IFERROR(VLOOKUP(F309,AllPlayers!F:F,1,0),"------------")</f>
        <v/>
      </c>
      <c r="F309" s="156" t="inlineStr">
        <is>
          <t>Gavin Bartholomew</t>
        </is>
      </c>
      <c r="G309" s="167" t="inlineStr">
        <is>
          <t>MIN</t>
        </is>
      </c>
      <c r="H309" s="156" t="inlineStr">
        <is>
          <t>TE</t>
        </is>
      </c>
      <c r="I309" s="156" t="n">
        <v>17</v>
      </c>
      <c r="J309" s="156" t="n">
        <v>7</v>
      </c>
      <c r="K309" s="156" t="n">
        <v>75</v>
      </c>
      <c r="L309" s="156">
        <f>IF(J309=0,0,K309/J309)</f>
        <v/>
      </c>
      <c r="M309" s="156">
        <f>K309/17</f>
        <v/>
      </c>
      <c r="N309" s="156" t="n">
        <v>0.6</v>
      </c>
      <c r="O309" s="156" t="n">
        <v>9</v>
      </c>
      <c r="P309" s="281">
        <f>IF(K309=0,0,K309/O309)</f>
        <v/>
      </c>
      <c r="Q309" s="156" t="n">
        <v>0</v>
      </c>
      <c r="R309" s="156" t="n">
        <v>0</v>
      </c>
      <c r="S309" s="156" t="n">
        <v>0</v>
      </c>
      <c r="T309" s="156" t="n">
        <v>0</v>
      </c>
      <c r="U309" s="156" t="n">
        <v>0</v>
      </c>
      <c r="V309" s="156" t="n">
        <v>0</v>
      </c>
      <c r="W309" s="156" t="n">
        <v>0</v>
      </c>
      <c r="X309" s="204">
        <f>INDEX(Matrix!$AA$2:$AA$33, MATCH(G309, Matrix!$AC$2:$AC$33, 0))</f>
        <v/>
      </c>
      <c r="Y309" s="156">
        <f>_xlfn.IFNA(MATCH(E308,'Injury Report'!$C$2:$C$6216,0),0)</f>
        <v/>
      </c>
    </row>
    <row r="310" ht="15.6" customHeight="1" s="152">
      <c r="A310" s="212" t="n">
        <v>308</v>
      </c>
      <c r="B310" s="167">
        <f>F310&amp;G310</f>
        <v/>
      </c>
      <c r="C310" s="156">
        <f>(K310/MAX(K:K)*$K$1)+(O310/MAX(O:O)*$O$1)+(M310/MAX(M:M)*$M$1)+(N310/MAX(N:N)*$N$1)+(V310/MAX(V:V)*$V$1)+(P310/MAX(P:P)*$P$1)</f>
        <v/>
      </c>
      <c r="E310" s="156">
        <f>IFERROR(VLOOKUP(F310,AllPlayers!F:F,1,0),"------------")</f>
        <v/>
      </c>
      <c r="F310" s="156" t="inlineStr">
        <is>
          <t>Brevyn Spann-ford</t>
        </is>
      </c>
      <c r="G310" s="167" t="inlineStr">
        <is>
          <t>DAL</t>
        </is>
      </c>
      <c r="H310" s="156" t="inlineStr">
        <is>
          <t>TE</t>
        </is>
      </c>
      <c r="I310" s="156" t="n">
        <v>2</v>
      </c>
      <c r="J310" s="156" t="n">
        <v>1</v>
      </c>
      <c r="K310" s="156" t="n">
        <v>3</v>
      </c>
      <c r="L310" s="156">
        <f>IF(J310=0,0,K310/J310)</f>
        <v/>
      </c>
      <c r="M310" s="156">
        <f>K310/17</f>
        <v/>
      </c>
      <c r="N310" s="156" t="n">
        <v>0</v>
      </c>
      <c r="O310" s="156" t="n">
        <v>2</v>
      </c>
      <c r="P310" s="281">
        <f>IF(K310=0,0,K310/O310)</f>
        <v/>
      </c>
      <c r="Q310" s="156" t="n">
        <v>1</v>
      </c>
      <c r="R310" s="156" t="n">
        <v>0</v>
      </c>
      <c r="S310" s="156" t="n">
        <v>0</v>
      </c>
      <c r="T310" s="156" t="n">
        <v>0</v>
      </c>
      <c r="U310" s="156" t="n">
        <v>0</v>
      </c>
      <c r="V310" s="156" t="n">
        <v>0</v>
      </c>
      <c r="W310" s="156" t="n">
        <v>0</v>
      </c>
      <c r="X310" s="204">
        <f>INDEX(Matrix!$AA$2:$AA$33, MATCH(G310, Matrix!$AC$2:$AC$33, 0))</f>
        <v/>
      </c>
      <c r="Y310" s="156">
        <f>_xlfn.IFNA(MATCH(E309,'Injury Report'!$C$2:$C$6216,0),0)</f>
        <v/>
      </c>
    </row>
    <row r="311" ht="15.6" customHeight="1" s="152">
      <c r="A311" s="212" t="n">
        <v>309</v>
      </c>
      <c r="B311" s="167">
        <f>F311&amp;G311</f>
        <v/>
      </c>
      <c r="C311" s="156">
        <f>(K311/MAX(K:K)*$K$1)+(O311/MAX(O:O)*$O$1)+(M311/MAX(M:M)*$M$1)+(N311/MAX(N:N)*$N$1)+(V311/MAX(V:V)*$V$1)+(P311/MAX(P:P)*$P$1)</f>
        <v/>
      </c>
      <c r="E311" s="156">
        <f>IFERROR(VLOOKUP(F311,AllPlayers!F:F,1,0),"------------")</f>
        <v/>
      </c>
      <c r="F311" s="156" t="inlineStr">
        <is>
          <t>Lucas Krull</t>
        </is>
      </c>
      <c r="G311" s="167" t="inlineStr">
        <is>
          <t>DEN</t>
        </is>
      </c>
      <c r="H311" s="156" t="inlineStr">
        <is>
          <t>TE</t>
        </is>
      </c>
      <c r="I311" s="156" t="n">
        <v>1</v>
      </c>
      <c r="J311" s="156" t="n">
        <v>1</v>
      </c>
      <c r="K311" s="156" t="n">
        <v>6</v>
      </c>
      <c r="L311" s="156">
        <f>IF(J311=0,0,K311/J311)</f>
        <v/>
      </c>
      <c r="M311" s="156">
        <f>K311/17</f>
        <v/>
      </c>
      <c r="N311" s="156" t="n">
        <v>0</v>
      </c>
      <c r="O311" s="156" t="n">
        <v>2</v>
      </c>
      <c r="P311" s="281">
        <f>IF(K311=0,0,K311/O311)</f>
        <v/>
      </c>
      <c r="Q311" s="156" t="n">
        <v>0</v>
      </c>
      <c r="R311" s="156" t="n">
        <v>0</v>
      </c>
      <c r="S311" s="156" t="n">
        <v>0</v>
      </c>
      <c r="T311" s="156" t="n">
        <v>0</v>
      </c>
      <c r="U311" s="156" t="n">
        <v>0</v>
      </c>
      <c r="V311" s="156" t="n">
        <v>0</v>
      </c>
      <c r="W311" s="156" t="n">
        <v>0</v>
      </c>
      <c r="X311" s="204">
        <f>INDEX(Matrix!$AA$2:$AA$33, MATCH(G311, Matrix!$AC$2:$AC$33, 0))</f>
        <v/>
      </c>
      <c r="Y311" s="156">
        <f>_xlfn.IFNA(MATCH(E310,'Injury Report'!$C$2:$C$6216,0),0)</f>
        <v/>
      </c>
    </row>
    <row r="312" ht="15.6" customHeight="1" s="152">
      <c r="A312" s="212" t="n">
        <v>310</v>
      </c>
      <c r="B312" s="167">
        <f>F312&amp;G312</f>
        <v/>
      </c>
      <c r="C312" s="156">
        <f>(K312/MAX(K:K)*$K$1)+(O312/MAX(O:O)*$O$1)+(M312/MAX(M:M)*$M$1)+(N312/MAX(N:N)*$N$1)+(V312/MAX(V:V)*$V$1)+(P312/MAX(P:P)*$P$1)</f>
        <v/>
      </c>
      <c r="E312" s="156">
        <f>IFERROR(VLOOKUP(F312,AllPlayers!F:F,1,0),"------------")</f>
        <v/>
      </c>
      <c r="F312" s="156" t="inlineStr">
        <is>
          <t>Quintin Morris</t>
        </is>
      </c>
      <c r="G312" s="167" t="inlineStr">
        <is>
          <t>JAX</t>
        </is>
      </c>
      <c r="H312" s="156" t="inlineStr">
        <is>
          <t>TE</t>
        </is>
      </c>
      <c r="I312" s="156" t="n">
        <v>1</v>
      </c>
      <c r="J312" s="156" t="n">
        <v>0</v>
      </c>
      <c r="K312" s="156" t="n">
        <v>0</v>
      </c>
      <c r="L312" s="156">
        <f>IF(J312=0,0,K312/J312)</f>
        <v/>
      </c>
      <c r="M312" s="156">
        <f>K312/17</f>
        <v/>
      </c>
      <c r="N312" s="156" t="n">
        <v>0</v>
      </c>
      <c r="O312" s="156" t="n">
        <v>0</v>
      </c>
      <c r="P312" s="281">
        <f>IF(K312=0,0,K312/O312)</f>
        <v/>
      </c>
      <c r="Q312" s="156" t="n">
        <v>0</v>
      </c>
      <c r="R312" s="156" t="n">
        <v>0</v>
      </c>
      <c r="S312" s="156" t="n">
        <v>0</v>
      </c>
      <c r="T312" s="156" t="n">
        <v>0</v>
      </c>
      <c r="U312" s="156" t="n">
        <v>0</v>
      </c>
      <c r="V312" s="156" t="n">
        <v>0</v>
      </c>
      <c r="W312" s="156" t="n">
        <v>0</v>
      </c>
      <c r="X312" s="204">
        <f>INDEX(Matrix!$AA$2:$AA$33, MATCH(G312, Matrix!$AC$2:$AC$33, 0))</f>
        <v/>
      </c>
      <c r="Y312" s="156">
        <f>_xlfn.IFNA(MATCH(E311,'Injury Report'!$C$2:$C$6216,0),0)</f>
        <v/>
      </c>
    </row>
    <row r="313" ht="15.6" customHeight="1" s="152">
      <c r="A313" s="212" t="n">
        <v>311</v>
      </c>
      <c r="B313" s="167">
        <f>F313&amp;G313</f>
        <v/>
      </c>
      <c r="C313" s="156">
        <f>(K313/MAX(K:K)*$K$1)+(O313/MAX(O:O)*$O$1)+(M313/MAX(M:M)*$M$1)+(N313/MAX(N:N)*$N$1)+(V313/MAX(V:V)*$V$1)+(P313/MAX(P:P)*$P$1)</f>
        <v/>
      </c>
      <c r="E313" s="156">
        <f>IFERROR(VLOOKUP(F313,AllPlayers!F:F,1,0),"------------")</f>
        <v/>
      </c>
      <c r="F313" s="156" t="inlineStr">
        <is>
          <t>Devin Culp</t>
        </is>
      </c>
      <c r="G313" s="167" t="inlineStr">
        <is>
          <t>TB</t>
        </is>
      </c>
      <c r="H313" s="156" t="inlineStr">
        <is>
          <t>TE</t>
        </is>
      </c>
      <c r="I313" s="156" t="n">
        <v>17</v>
      </c>
      <c r="J313" s="156" t="n">
        <v>6.1</v>
      </c>
      <c r="K313" s="156" t="n">
        <v>65.7</v>
      </c>
      <c r="L313" s="156">
        <f>IF(J313=0,0,K313/J313)</f>
        <v/>
      </c>
      <c r="M313" s="156">
        <f>K313/17</f>
        <v/>
      </c>
      <c r="N313" s="156" t="n">
        <v>0.6</v>
      </c>
      <c r="O313" s="156" t="n">
        <v>19</v>
      </c>
      <c r="P313" s="281">
        <f>IF(K313=0,0,K313/O313)</f>
        <v/>
      </c>
      <c r="Q313" s="156" t="n">
        <v>0</v>
      </c>
      <c r="R313" s="156" t="n">
        <v>0</v>
      </c>
      <c r="S313" s="156" t="n">
        <v>0</v>
      </c>
      <c r="T313" s="156" t="n">
        <v>0</v>
      </c>
      <c r="U313" s="156" t="n">
        <v>0</v>
      </c>
      <c r="V313" s="156" t="n">
        <v>0</v>
      </c>
      <c r="W313" s="156" t="n">
        <v>0</v>
      </c>
      <c r="X313" s="204">
        <f>INDEX(Matrix!$AA$2:$AA$33, MATCH(G313, Matrix!$AC$2:$AC$33, 0))</f>
        <v/>
      </c>
      <c r="Y313" s="156">
        <f>_xlfn.IFNA(MATCH(E312,'Injury Report'!$C$2:$C$6216,0),0)</f>
        <v/>
      </c>
    </row>
    <row r="314" ht="15.6" customHeight="1" s="152">
      <c r="A314" s="212" t="n">
        <v>312</v>
      </c>
      <c r="B314" s="167">
        <f>F314&amp;G314</f>
        <v/>
      </c>
      <c r="C314" s="156">
        <f>(K314/MAX(K:K)*$K$1)+(O314/MAX(O:O)*$O$1)+(M314/MAX(M:M)*$M$1)+(N314/MAX(N:N)*$N$1)+(V314/MAX(V:V)*$V$1)+(P314/MAX(P:P)*$P$1)</f>
        <v/>
      </c>
      <c r="E314" s="156">
        <f>IFERROR(VLOOKUP(F314,AllPlayers!F:F,1,0),"------------")</f>
        <v/>
      </c>
      <c r="F314" s="156" t="inlineStr">
        <is>
          <t>Charlie Kolar</t>
        </is>
      </c>
      <c r="G314" s="167" t="inlineStr">
        <is>
          <t>BAL</t>
        </is>
      </c>
      <c r="H314" s="156" t="inlineStr">
        <is>
          <t>TE</t>
        </is>
      </c>
      <c r="I314" s="156" t="n">
        <v>17</v>
      </c>
      <c r="J314" s="156" t="n">
        <v>5.7</v>
      </c>
      <c r="K314" s="156" t="n">
        <v>71.7</v>
      </c>
      <c r="L314" s="156">
        <f>IF(J314=0,0,K314/J314)</f>
        <v/>
      </c>
      <c r="M314" s="156">
        <f>K314/17</f>
        <v/>
      </c>
      <c r="N314" s="156" t="n">
        <v>0.4</v>
      </c>
      <c r="O314" s="156" t="n">
        <v>9</v>
      </c>
      <c r="P314" s="281">
        <f>IF(K314=0,0,K314/O314)</f>
        <v/>
      </c>
      <c r="Q314" s="156" t="n">
        <v>1</v>
      </c>
      <c r="R314" s="156" t="n">
        <v>0</v>
      </c>
      <c r="S314" s="156" t="n">
        <v>0</v>
      </c>
      <c r="T314" s="156" t="n">
        <v>0</v>
      </c>
      <c r="U314" s="156" t="n">
        <v>0</v>
      </c>
      <c r="V314" s="156" t="n">
        <v>0</v>
      </c>
      <c r="W314" s="156" t="n">
        <v>0</v>
      </c>
      <c r="X314" s="204">
        <f>INDEX(Matrix!$AA$2:$AA$33, MATCH(G314, Matrix!$AC$2:$AC$33, 0))</f>
        <v/>
      </c>
      <c r="Y314" s="156">
        <f>_xlfn.IFNA(MATCH(E313,'Injury Report'!$C$2:$C$6216,0),0)</f>
        <v/>
      </c>
    </row>
    <row r="315" ht="15.6" customHeight="1" s="152">
      <c r="A315" s="212" t="n">
        <v>313</v>
      </c>
      <c r="B315" s="167">
        <f>F315&amp;G315</f>
        <v/>
      </c>
      <c r="C315" s="156">
        <f>(K315/MAX(K:K)*$K$1)+(O315/MAX(O:O)*$O$1)+(M315/MAX(M:M)*$M$1)+(N315/MAX(N:N)*$N$1)+(V315/MAX(V:V)*$V$1)+(P315/MAX(P:P)*$P$1)</f>
        <v/>
      </c>
      <c r="E315" s="156">
        <f>IFERROR(VLOOKUP(F315,AllPlayers!F:F,1,0),"------------")</f>
        <v/>
      </c>
      <c r="F315" s="156" t="inlineStr">
        <is>
          <t>Tanner Mclachlan</t>
        </is>
      </c>
      <c r="G315" s="167" t="inlineStr">
        <is>
          <t>CIN</t>
        </is>
      </c>
      <c r="H315" s="156" t="inlineStr">
        <is>
          <t>TE</t>
        </is>
      </c>
      <c r="I315" s="156" t="n">
        <v>17</v>
      </c>
      <c r="J315" s="156" t="n">
        <v>7</v>
      </c>
      <c r="K315" s="156" t="n">
        <v>68.5</v>
      </c>
      <c r="L315" s="156">
        <f>IF(J315=0,0,K315/J315)</f>
        <v/>
      </c>
      <c r="M315" s="156">
        <f>K315/17</f>
        <v/>
      </c>
      <c r="N315" s="156" t="n">
        <v>0.5</v>
      </c>
      <c r="O315" s="156" t="n">
        <v>15</v>
      </c>
      <c r="P315" s="281">
        <f>IF(K315=0,0,K315/O315)</f>
        <v/>
      </c>
      <c r="Q315" s="156" t="n">
        <v>1</v>
      </c>
      <c r="R315" s="156" t="n">
        <v>0</v>
      </c>
      <c r="S315" s="156" t="n">
        <v>0</v>
      </c>
      <c r="T315" s="156" t="n">
        <v>0</v>
      </c>
      <c r="U315" s="156" t="n">
        <v>0</v>
      </c>
      <c r="V315" s="156" t="n">
        <v>0</v>
      </c>
      <c r="W315" s="156" t="n">
        <v>0</v>
      </c>
      <c r="X315" s="204">
        <f>INDEX(Matrix!$AA$2:$AA$33, MATCH(G315, Matrix!$AC$2:$AC$33, 0))</f>
        <v/>
      </c>
      <c r="Y315" s="156">
        <f>_xlfn.IFNA(MATCH(E314,'Injury Report'!$C$2:$C$6216,0),0)</f>
        <v/>
      </c>
    </row>
    <row r="316" ht="15.6" customHeight="1" s="152">
      <c r="A316" s="212" t="n">
        <v>314</v>
      </c>
      <c r="B316" s="167">
        <f>F316&amp;G316</f>
        <v/>
      </c>
      <c r="C316" s="156">
        <f>(K316/MAX(K:K)*$K$1)+(O316/MAX(O:O)*$O$1)+(M316/MAX(M:M)*$M$1)+(N316/MAX(N:N)*$N$1)+(V316/MAX(V:V)*$V$1)+(P316/MAX(P:P)*$P$1)</f>
        <v/>
      </c>
      <c r="E316" s="156">
        <f>IFERROR(VLOOKUP(F316,AllPlayers!F:F,1,0),"------------")</f>
        <v/>
      </c>
      <c r="F316" s="156" t="inlineStr">
        <is>
          <t>Hunter Long</t>
        </is>
      </c>
      <c r="G316" s="167" t="inlineStr">
        <is>
          <t>JAX</t>
        </is>
      </c>
      <c r="H316" s="156" t="inlineStr">
        <is>
          <t>TE</t>
        </is>
      </c>
      <c r="I316" s="156" t="n">
        <v>1</v>
      </c>
      <c r="J316" s="156" t="n">
        <v>1</v>
      </c>
      <c r="K316" s="156" t="n">
        <v>6</v>
      </c>
      <c r="L316" s="156">
        <f>IF(J316=0,0,K316/J316)</f>
        <v/>
      </c>
      <c r="M316" s="156">
        <f>K316/17</f>
        <v/>
      </c>
      <c r="N316" s="156" t="n">
        <v>1</v>
      </c>
      <c r="O316" s="156" t="n">
        <v>1</v>
      </c>
      <c r="P316" s="281">
        <f>IF(K316=0,0,K316/O316)</f>
        <v/>
      </c>
      <c r="Q316" s="156" t="n">
        <v>0</v>
      </c>
      <c r="R316" s="156" t="n">
        <v>0</v>
      </c>
      <c r="S316" s="156" t="n">
        <v>0</v>
      </c>
      <c r="T316" s="156" t="n">
        <v>0</v>
      </c>
      <c r="U316" s="156" t="n">
        <v>0</v>
      </c>
      <c r="V316" s="156" t="n">
        <v>0</v>
      </c>
      <c r="W316" s="156" t="n">
        <v>0</v>
      </c>
      <c r="X316" s="204">
        <f>INDEX(Matrix!$AA$2:$AA$33, MATCH(G316, Matrix!$AC$2:$AC$33, 0))</f>
        <v/>
      </c>
      <c r="Y316" s="156">
        <f>_xlfn.IFNA(MATCH(E315,'Injury Report'!$C$2:$C$6216,0),0)</f>
        <v/>
      </c>
    </row>
    <row r="317" ht="15.6" customHeight="1" s="152">
      <c r="A317" s="212" t="n">
        <v>315</v>
      </c>
      <c r="B317" s="167">
        <f>F317&amp;G317</f>
        <v/>
      </c>
      <c r="C317" s="156">
        <f>(K317/MAX(K:K)*$K$1)+(O317/MAX(O:O)*$O$1)+(M317/MAX(M:M)*$M$1)+(N317/MAX(N:N)*$N$1)+(V317/MAX(V:V)*$V$1)+(P317/MAX(P:P)*$P$1)</f>
        <v/>
      </c>
      <c r="E317" s="156">
        <f>IFERROR(VLOOKUP(F317,AllPlayers!F:F,1,0),"------------")</f>
        <v/>
      </c>
      <c r="F317" s="156" t="inlineStr">
        <is>
          <t>Giovanni Ricci</t>
        </is>
      </c>
      <c r="G317" s="167" t="inlineStr">
        <is>
          <t>MIN</t>
        </is>
      </c>
      <c r="H317" s="156" t="inlineStr">
        <is>
          <t>TE</t>
        </is>
      </c>
      <c r="I317" s="156" t="n">
        <v>17</v>
      </c>
      <c r="J317" s="156" t="n">
        <v>8</v>
      </c>
      <c r="K317" s="156" t="n">
        <v>95.5</v>
      </c>
      <c r="L317" s="156">
        <f>IF(J317=0,0,K317/J317)</f>
        <v/>
      </c>
      <c r="M317" s="156">
        <f>K317/17</f>
        <v/>
      </c>
      <c r="N317" s="156" t="n">
        <v>0</v>
      </c>
      <c r="O317" s="156" t="n">
        <v>6</v>
      </c>
      <c r="P317" s="281">
        <f>IF(K317=0,0,K317/O317)</f>
        <v/>
      </c>
      <c r="Q317" s="156" t="n">
        <v>0</v>
      </c>
      <c r="R317" s="156" t="n">
        <v>0</v>
      </c>
      <c r="S317" s="156" t="n">
        <v>0</v>
      </c>
      <c r="T317" s="156" t="n">
        <v>0</v>
      </c>
      <c r="U317" s="156" t="n">
        <v>0</v>
      </c>
      <c r="V317" s="156" t="n">
        <v>0</v>
      </c>
      <c r="W317" s="156" t="n">
        <v>0</v>
      </c>
      <c r="X317" s="204">
        <f>INDEX(Matrix!$AA$2:$AA$33, MATCH(G317, Matrix!$AC$2:$AC$33, 0))</f>
        <v/>
      </c>
      <c r="Y317" s="156">
        <f>_xlfn.IFNA(MATCH(E316,'Injury Report'!$C$2:$C$6216,0),0)</f>
        <v/>
      </c>
    </row>
    <row r="318" ht="15.6" customHeight="1" s="152">
      <c r="A318" s="212" t="n">
        <v>316</v>
      </c>
      <c r="B318" s="167">
        <f>F318&amp;G318</f>
        <v/>
      </c>
      <c r="C318" s="156">
        <f>(K318/MAX(K:K)*$K$1)+(O318/MAX(O:O)*$O$1)+(M318/MAX(M:M)*$M$1)+(N318/MAX(N:N)*$N$1)+(V318/MAX(V:V)*$V$1)+(P318/MAX(P:P)*$P$1)</f>
        <v/>
      </c>
      <c r="E318" s="156">
        <f>IFERROR(VLOOKUP(F318,AllPlayers!F:F,1,0),"------------")</f>
        <v/>
      </c>
      <c r="F318" s="156" t="inlineStr">
        <is>
          <t>Brenden Bates</t>
        </is>
      </c>
      <c r="G318" s="167" t="inlineStr">
        <is>
          <t>CLE</t>
        </is>
      </c>
      <c r="H318" s="156" t="inlineStr">
        <is>
          <t>TE</t>
        </is>
      </c>
      <c r="I318" s="156" t="n">
        <v>17</v>
      </c>
      <c r="J318" s="156" t="n">
        <v>6.5</v>
      </c>
      <c r="K318" s="156" t="n">
        <v>61.6</v>
      </c>
      <c r="L318" s="156">
        <f>IF(J318=0,0,K318/J318)</f>
        <v/>
      </c>
      <c r="M318" s="156">
        <f>K318/17</f>
        <v/>
      </c>
      <c r="N318" s="156" t="n">
        <v>0.5</v>
      </c>
      <c r="O318" s="156" t="n">
        <v>12</v>
      </c>
      <c r="P318" s="281">
        <f>IF(K318=0,0,K318/O318)</f>
        <v/>
      </c>
      <c r="Q318" s="156" t="n">
        <v>0</v>
      </c>
      <c r="R318" s="156" t="n">
        <v>0</v>
      </c>
      <c r="S318" s="156" t="n">
        <v>0</v>
      </c>
      <c r="T318" s="156" t="n">
        <v>0</v>
      </c>
      <c r="U318" s="156" t="n">
        <v>0</v>
      </c>
      <c r="V318" s="156" t="n">
        <v>0</v>
      </c>
      <c r="W318" s="156" t="n">
        <v>0</v>
      </c>
      <c r="X318" s="204">
        <f>INDEX(Matrix!$AA$2:$AA$33, MATCH(G318, Matrix!$AC$2:$AC$33, 0))</f>
        <v/>
      </c>
      <c r="Y318" s="156">
        <f>_xlfn.IFNA(MATCH(E317,'Injury Report'!$C$2:$C$6216,0),0)</f>
        <v/>
      </c>
    </row>
    <row r="319" ht="15.6" customHeight="1" s="152">
      <c r="A319" s="212" t="n">
        <v>317</v>
      </c>
      <c r="B319" s="167">
        <f>F319&amp;G319</f>
        <v/>
      </c>
      <c r="C319" s="156">
        <f>(K319/MAX(K:K)*$K$1)+(O319/MAX(O:O)*$O$1)+(M319/MAX(M:M)*$M$1)+(N319/MAX(N:N)*$N$1)+(V319/MAX(V:V)*$V$1)+(P319/MAX(P:P)*$P$1)</f>
        <v/>
      </c>
      <c r="E319" s="156">
        <f>IFERROR(VLOOKUP(F319,AllPlayers!F:F,1,0),"------------")</f>
        <v/>
      </c>
      <c r="F319" s="156" t="inlineStr">
        <is>
          <t>John Bates</t>
        </is>
      </c>
      <c r="G319" s="167" t="inlineStr">
        <is>
          <t>WAS</t>
        </is>
      </c>
      <c r="H319" s="156" t="inlineStr">
        <is>
          <t>TE</t>
        </is>
      </c>
      <c r="I319" s="156" t="n">
        <v>17</v>
      </c>
      <c r="J319" s="156" t="n">
        <v>5.9</v>
      </c>
      <c r="K319" s="156" t="n">
        <v>55</v>
      </c>
      <c r="L319" s="156">
        <f>IF(J319=0,0,K319/J319)</f>
        <v/>
      </c>
      <c r="M319" s="156">
        <f>K319/17</f>
        <v/>
      </c>
      <c r="N319" s="156" t="n">
        <v>0.6</v>
      </c>
      <c r="O319" s="156" t="n">
        <v>8</v>
      </c>
      <c r="P319" s="281">
        <f>IF(K319=0,0,K319/O319)</f>
        <v/>
      </c>
      <c r="Q319" s="156" t="n">
        <v>0</v>
      </c>
      <c r="R319" s="156" t="n">
        <v>0</v>
      </c>
      <c r="S319" s="156" t="n">
        <v>0</v>
      </c>
      <c r="T319" s="156" t="n">
        <v>0</v>
      </c>
      <c r="U319" s="156" t="n">
        <v>0</v>
      </c>
      <c r="V319" s="156" t="n">
        <v>0</v>
      </c>
      <c r="W319" s="156" t="n">
        <v>0</v>
      </c>
      <c r="X319" s="204">
        <f>INDEX(Matrix!$AA$2:$AA$33, MATCH(G319, Matrix!$AC$2:$AC$33, 0))</f>
        <v/>
      </c>
      <c r="Y319" s="156">
        <f>_xlfn.IFNA(MATCH(E318,'Injury Report'!$C$2:$C$6216,0),0)</f>
        <v/>
      </c>
    </row>
    <row r="320" ht="15.6" customHeight="1" s="152">
      <c r="A320" s="212" t="n">
        <v>318</v>
      </c>
      <c r="B320" s="167">
        <f>F320&amp;G320</f>
        <v/>
      </c>
      <c r="C320" s="156">
        <f>(K320/MAX(K:K)*$K$1)+(O320/MAX(O:O)*$O$1)+(M320/MAX(M:M)*$M$1)+(N320/MAX(N:N)*$N$1)+(V320/MAX(V:V)*$V$1)+(P320/MAX(P:P)*$P$1)</f>
        <v/>
      </c>
      <c r="E320" s="156">
        <f>IFERROR(VLOOKUP(F320,AllPlayers!F:F,1,0),"------------")</f>
        <v/>
      </c>
      <c r="F320" s="156" t="inlineStr">
        <is>
          <t>Tanner Conner</t>
        </is>
      </c>
      <c r="G320" s="167" t="inlineStr">
        <is>
          <t>MIA</t>
        </is>
      </c>
      <c r="H320" s="156" t="inlineStr">
        <is>
          <t>TE</t>
        </is>
      </c>
      <c r="I320" s="156" t="n">
        <v>1</v>
      </c>
      <c r="J320" s="156" t="n">
        <v>2</v>
      </c>
      <c r="K320" s="156" t="n">
        <v>20</v>
      </c>
      <c r="L320" s="156">
        <f>IF(J320=0,0,K320/J320)</f>
        <v/>
      </c>
      <c r="M320" s="156">
        <f>K320/17</f>
        <v/>
      </c>
      <c r="N320" s="156" t="n">
        <v>0</v>
      </c>
      <c r="O320" s="156" t="n">
        <v>4</v>
      </c>
      <c r="P320" s="281">
        <f>IF(K320=0,0,K320/O320)</f>
        <v/>
      </c>
      <c r="Q320" s="156" t="n">
        <v>1</v>
      </c>
      <c r="R320" s="156" t="n">
        <v>0</v>
      </c>
      <c r="S320" s="156" t="n">
        <v>0</v>
      </c>
      <c r="T320" s="156" t="n">
        <v>0</v>
      </c>
      <c r="U320" s="156" t="n">
        <v>0</v>
      </c>
      <c r="V320" s="156" t="n">
        <v>0</v>
      </c>
      <c r="W320" s="156" t="n">
        <v>0</v>
      </c>
      <c r="X320" s="204">
        <f>INDEX(Matrix!$AA$2:$AA$33, MATCH(G320, Matrix!$AC$2:$AC$33, 0))</f>
        <v/>
      </c>
      <c r="Y320" s="156">
        <f>_xlfn.IFNA(MATCH(E319,'Injury Report'!$C$2:$C$6216,0),0)</f>
        <v/>
      </c>
    </row>
    <row r="321" ht="15.6" customHeight="1" s="152">
      <c r="A321" s="212" t="n">
        <v>319</v>
      </c>
      <c r="B321" s="167">
        <f>F321&amp;G321</f>
        <v/>
      </c>
      <c r="C321" s="156">
        <f>(K321/MAX(K:K)*$K$1)+(O321/MAX(O:O)*$O$1)+(M321/MAX(M:M)*$M$1)+(N321/MAX(N:N)*$N$1)+(V321/MAX(V:V)*$V$1)+(P321/MAX(P:P)*$P$1)</f>
        <v/>
      </c>
      <c r="E321" s="156">
        <f>IFERROR(VLOOKUP(F321,AllPlayers!F:F,1,0),"------------")</f>
        <v/>
      </c>
      <c r="F321" s="156" t="inlineStr">
        <is>
          <t>Kenny Yeboah</t>
        </is>
      </c>
      <c r="G321" s="167" t="inlineStr">
        <is>
          <t>DET</t>
        </is>
      </c>
      <c r="H321" s="156" t="inlineStr">
        <is>
          <t>TE</t>
        </is>
      </c>
      <c r="I321" s="156" t="n">
        <v>17</v>
      </c>
      <c r="J321" s="156" t="n">
        <v>6</v>
      </c>
      <c r="K321" s="156" t="n">
        <v>60.5</v>
      </c>
      <c r="L321" s="156">
        <f>IF(J321=0,0,K321/J321)</f>
        <v/>
      </c>
      <c r="M321" s="156">
        <f>K321/17</f>
        <v/>
      </c>
      <c r="N321" s="156" t="n">
        <v>0.5</v>
      </c>
      <c r="O321" s="156" t="n">
        <v>11</v>
      </c>
      <c r="P321" s="281">
        <f>IF(K321=0,0,K321/O321)</f>
        <v/>
      </c>
      <c r="Q321" s="156" t="n">
        <v>0</v>
      </c>
      <c r="R321" s="156" t="n">
        <v>0</v>
      </c>
      <c r="S321" s="156" t="n">
        <v>0</v>
      </c>
      <c r="T321" s="156" t="n">
        <v>0</v>
      </c>
      <c r="U321" s="156" t="n">
        <v>0</v>
      </c>
      <c r="V321" s="156" t="n">
        <v>0</v>
      </c>
      <c r="W321" s="156" t="n">
        <v>0</v>
      </c>
      <c r="X321" s="204">
        <f>INDEX(Matrix!$AA$2:$AA$33, MATCH(G321, Matrix!$AC$2:$AC$33, 0))</f>
        <v/>
      </c>
      <c r="Y321" s="156">
        <f>_xlfn.IFNA(MATCH(E320,'Injury Report'!$C$2:$C$6216,0),0)</f>
        <v/>
      </c>
    </row>
    <row r="322" ht="15.6" customHeight="1" s="152">
      <c r="A322" s="212" t="n">
        <v>320</v>
      </c>
      <c r="B322" s="167">
        <f>F322&amp;G322</f>
        <v/>
      </c>
      <c r="C322" s="156">
        <f>(K322/MAX(K:K)*$K$1)+(O322/MAX(O:O)*$O$1)+(M322/MAX(M:M)*$M$1)+(N322/MAX(N:N)*$N$1)+(V322/MAX(V:V)*$V$1)+(P322/MAX(P:P)*$P$1)</f>
        <v/>
      </c>
      <c r="E322" s="156">
        <f>IFERROR(VLOOKUP(F322,AllPlayers!F:F,1,0),"------------")</f>
        <v/>
      </c>
      <c r="F322" s="156" t="inlineStr">
        <is>
          <t>Eric Saubert</t>
        </is>
      </c>
      <c r="G322" s="167" t="inlineStr">
        <is>
          <t>SEA</t>
        </is>
      </c>
      <c r="H322" s="156" t="inlineStr">
        <is>
          <t>TE</t>
        </is>
      </c>
      <c r="I322" s="156" t="n">
        <v>2</v>
      </c>
      <c r="J322" s="156" t="n">
        <v>0</v>
      </c>
      <c r="K322" s="156" t="n">
        <v>0</v>
      </c>
      <c r="L322" s="156">
        <f>IF(J322=0,0,K322/J322)</f>
        <v/>
      </c>
      <c r="M322" s="156">
        <f>K322/17</f>
        <v/>
      </c>
      <c r="N322" s="156" t="n">
        <v>0</v>
      </c>
      <c r="O322" s="156" t="n">
        <v>0</v>
      </c>
      <c r="P322" s="281">
        <f>IF(K322=0,0,K322/O322)</f>
        <v/>
      </c>
      <c r="Q322" s="156" t="n">
        <v>0</v>
      </c>
      <c r="R322" s="156" t="n">
        <v>0</v>
      </c>
      <c r="S322" s="156" t="n">
        <v>0</v>
      </c>
      <c r="T322" s="156" t="n">
        <v>0</v>
      </c>
      <c r="U322" s="156" t="n">
        <v>0</v>
      </c>
      <c r="V322" s="156" t="n">
        <v>0</v>
      </c>
      <c r="W322" s="156" t="n">
        <v>0</v>
      </c>
      <c r="X322" s="204">
        <f>INDEX(Matrix!$AA$2:$AA$33, MATCH(G322, Matrix!$AC$2:$AC$33, 0))</f>
        <v/>
      </c>
      <c r="Y322" s="156">
        <f>_xlfn.IFNA(MATCH(E321,'Injury Report'!$C$2:$C$6216,0),0)</f>
        <v/>
      </c>
    </row>
    <row r="323" ht="15.6" customHeight="1" s="152">
      <c r="A323" s="212" t="n">
        <v>321</v>
      </c>
      <c r="B323" s="167">
        <f>F323&amp;G323</f>
        <v/>
      </c>
      <c r="C323" s="156">
        <f>(K323/MAX(K:K)*$K$1)+(O323/MAX(O:O)*$O$1)+(M323/MAX(M:M)*$M$1)+(N323/MAX(N:N)*$N$1)+(V323/MAX(V:V)*$V$1)+(P323/MAX(P:P)*$P$1)</f>
        <v/>
      </c>
      <c r="E323" s="156">
        <f>IFERROR(VLOOKUP(F323,AllPlayers!F:F,1,0),"------------")</f>
        <v/>
      </c>
      <c r="F323" s="156" t="inlineStr">
        <is>
          <t>Travis Vokolek</t>
        </is>
      </c>
      <c r="G323" s="167" t="inlineStr">
        <is>
          <t>ARI</t>
        </is>
      </c>
      <c r="H323" s="156" t="inlineStr">
        <is>
          <t>TE</t>
        </is>
      </c>
      <c r="I323" s="156" t="n">
        <v>17</v>
      </c>
      <c r="J323" s="156" t="n">
        <v>5.5</v>
      </c>
      <c r="K323" s="156" t="n">
        <v>55.5</v>
      </c>
      <c r="L323" s="156">
        <f>IF(J323=0,0,K323/J323)</f>
        <v/>
      </c>
      <c r="M323" s="156">
        <f>K323/17</f>
        <v/>
      </c>
      <c r="N323" s="156" t="n">
        <v>0.5</v>
      </c>
      <c r="O323" s="156" t="n">
        <v>18</v>
      </c>
      <c r="P323" s="281">
        <f>IF(K323=0,0,K323/O323)</f>
        <v/>
      </c>
      <c r="Q323" s="156" t="n">
        <v>0</v>
      </c>
      <c r="R323" s="156" t="n">
        <v>0</v>
      </c>
      <c r="S323" s="156" t="n">
        <v>0</v>
      </c>
      <c r="T323" s="156" t="n">
        <v>0</v>
      </c>
      <c r="U323" s="156" t="n">
        <v>0</v>
      </c>
      <c r="V323" s="156" t="n">
        <v>0</v>
      </c>
      <c r="W323" s="156" t="n">
        <v>0</v>
      </c>
      <c r="X323" s="204">
        <f>INDEX(Matrix!$AA$2:$AA$33, MATCH(G323, Matrix!$AC$2:$AC$33, 0))</f>
        <v/>
      </c>
      <c r="Y323" s="156">
        <f>_xlfn.IFNA(MATCH(E322,'Injury Report'!$C$2:$C$6216,0),0)</f>
        <v/>
      </c>
    </row>
    <row r="324" ht="15.6" customHeight="1" s="152">
      <c r="A324" s="212" t="n">
        <v>322</v>
      </c>
      <c r="B324" s="167">
        <f>F324&amp;G324</f>
        <v/>
      </c>
      <c r="C324" s="156">
        <f>(K324/MAX(K:K)*$K$1)+(O324/MAX(O:O)*$O$1)+(M324/MAX(M:M)*$M$1)+(N324/MAX(N:N)*$N$1)+(V324/MAX(V:V)*$V$1)+(P324/MAX(P:P)*$P$1)</f>
        <v/>
      </c>
      <c r="E324" s="156">
        <f>IFERROR(VLOOKUP(F324,AllPlayers!F:F,1,0),"------------")</f>
        <v/>
      </c>
      <c r="F324" s="156" t="inlineStr">
        <is>
          <t>Tip Reiman</t>
        </is>
      </c>
      <c r="G324" s="167" t="inlineStr">
        <is>
          <t>ARI</t>
        </is>
      </c>
      <c r="H324" s="156" t="inlineStr">
        <is>
          <t>TE</t>
        </is>
      </c>
      <c r="I324" s="156" t="n">
        <v>1</v>
      </c>
      <c r="J324" s="156" t="n">
        <v>1</v>
      </c>
      <c r="K324" s="156" t="n">
        <v>10</v>
      </c>
      <c r="L324" s="156">
        <f>IF(J324=0,0,K324/J324)</f>
        <v/>
      </c>
      <c r="M324" s="156">
        <f>K324/17</f>
        <v/>
      </c>
      <c r="N324" s="156" t="n">
        <v>0</v>
      </c>
      <c r="O324" s="156" t="n">
        <v>1</v>
      </c>
      <c r="P324" s="281">
        <f>IF(K324=0,0,K324/O324)</f>
        <v/>
      </c>
      <c r="Q324" s="156" t="n">
        <v>0</v>
      </c>
      <c r="R324" s="156" t="n">
        <v>0</v>
      </c>
      <c r="S324" s="156" t="n">
        <v>0</v>
      </c>
      <c r="T324" s="156" t="n">
        <v>0</v>
      </c>
      <c r="U324" s="156" t="n">
        <v>0</v>
      </c>
      <c r="V324" s="156" t="n">
        <v>0</v>
      </c>
      <c r="W324" s="156" t="n">
        <v>0</v>
      </c>
      <c r="X324" s="204">
        <f>INDEX(Matrix!$AA$2:$AA$33, MATCH(G324, Matrix!$AC$2:$AC$33, 0))</f>
        <v/>
      </c>
      <c r="Y324" s="156">
        <f>_xlfn.IFNA(MATCH(E323,'Injury Report'!$C$2:$C$6216,0),0)</f>
        <v/>
      </c>
    </row>
    <row r="325" ht="15.6" customHeight="1" s="152">
      <c r="A325" s="212" t="n">
        <v>323</v>
      </c>
      <c r="B325" s="167">
        <f>F325&amp;G325</f>
        <v/>
      </c>
      <c r="C325" s="156">
        <f>(K325/MAX(K:K)*$K$1)+(O325/MAX(O:O)*$O$1)+(M325/MAX(M:M)*$M$1)+(N325/MAX(N:N)*$N$1)+(V325/MAX(V:V)*$V$1)+(P325/MAX(P:P)*$P$1)</f>
        <v/>
      </c>
      <c r="E325" s="156">
        <f>IFERROR(VLOOKUP(F325,AllPlayers!F:F,1,0),"------------")</f>
        <v/>
      </c>
      <c r="F325" s="156" t="inlineStr">
        <is>
          <t>Brayden Willis</t>
        </is>
      </c>
      <c r="G325" s="167" t="inlineStr">
        <is>
          <t>SF</t>
        </is>
      </c>
      <c r="H325" s="156" t="inlineStr">
        <is>
          <t>TE</t>
        </is>
      </c>
      <c r="I325" s="156" t="n">
        <v>1</v>
      </c>
      <c r="J325" s="156" t="n">
        <v>0</v>
      </c>
      <c r="K325" s="156" t="n">
        <v>0</v>
      </c>
      <c r="L325" s="156">
        <f>IF(J325=0,0,K325/J325)</f>
        <v/>
      </c>
      <c r="M325" s="156">
        <f>K325/17</f>
        <v/>
      </c>
      <c r="N325" s="156" t="n">
        <v>0</v>
      </c>
      <c r="O325" s="156" t="n">
        <v>1</v>
      </c>
      <c r="P325" s="281">
        <f>IF(K325=0,0,K325/O325)</f>
        <v/>
      </c>
      <c r="Q325" s="156" t="n">
        <v>1</v>
      </c>
      <c r="R325" s="156" t="n">
        <v>0</v>
      </c>
      <c r="S325" s="156" t="n">
        <v>0</v>
      </c>
      <c r="T325" s="156" t="n">
        <v>0</v>
      </c>
      <c r="U325" s="156" t="n">
        <v>0</v>
      </c>
      <c r="V325" s="156" t="n">
        <v>0</v>
      </c>
      <c r="W325" s="156" t="n">
        <v>0</v>
      </c>
      <c r="X325" s="204">
        <f>INDEX(Matrix!$AA$2:$AA$33, MATCH(G325, Matrix!$AC$2:$AC$33, 0))</f>
        <v/>
      </c>
      <c r="Y325" s="156">
        <f>_xlfn.IFNA(MATCH(E324,'Injury Report'!$C$2:$C$6216,0),0)</f>
        <v/>
      </c>
    </row>
    <row r="326" ht="15.6" customHeight="1" s="152">
      <c r="A326" s="212" t="n">
        <v>324</v>
      </c>
      <c r="B326" s="167">
        <f>F326&amp;G326</f>
        <v/>
      </c>
      <c r="C326" s="156">
        <f>(K326/MAX(K:K)*$K$1)+(O326/MAX(O:O)*$O$1)+(M326/MAX(M:M)*$M$1)+(N326/MAX(N:N)*$N$1)+(V326/MAX(V:V)*$V$1)+(P326/MAX(P:P)*$P$1)</f>
        <v/>
      </c>
      <c r="E326" s="156">
        <f>IFERROR(VLOOKUP(F326,AllPlayers!F:F,1,0),"------------")</f>
        <v/>
      </c>
      <c r="F326" s="156" t="inlineStr">
        <is>
          <t>Ian Thomas</t>
        </is>
      </c>
      <c r="G326" s="167" t="inlineStr">
        <is>
          <t>LV</t>
        </is>
      </c>
      <c r="H326" s="156" t="inlineStr">
        <is>
          <t>TE</t>
        </is>
      </c>
      <c r="I326" s="156" t="n">
        <v>1</v>
      </c>
      <c r="J326" s="156" t="n">
        <v>0</v>
      </c>
      <c r="K326" s="156" t="n">
        <v>0</v>
      </c>
      <c r="L326" s="156">
        <f>IF(J326=0,0,K326/J326)</f>
        <v/>
      </c>
      <c r="M326" s="156">
        <f>K326/17</f>
        <v/>
      </c>
      <c r="N326" s="156" t="n">
        <v>0</v>
      </c>
      <c r="O326" s="156" t="n">
        <v>0</v>
      </c>
      <c r="P326" s="281">
        <f>IF(K326=0,0,K326/O326)</f>
        <v/>
      </c>
      <c r="Q326" s="156" t="n">
        <v>0</v>
      </c>
      <c r="R326" s="156" t="n">
        <v>0</v>
      </c>
      <c r="S326" s="156" t="n">
        <v>0</v>
      </c>
      <c r="T326" s="156" t="n">
        <v>0</v>
      </c>
      <c r="U326" s="156" t="n">
        <v>0</v>
      </c>
      <c r="V326" s="156" t="n">
        <v>0</v>
      </c>
      <c r="W326" s="156" t="n">
        <v>0</v>
      </c>
      <c r="X326" s="204">
        <f>INDEX(Matrix!$AA$2:$AA$33, MATCH(G326, Matrix!$AC$2:$AC$33, 0))</f>
        <v/>
      </c>
      <c r="Y326" s="156">
        <f>_xlfn.IFNA(MATCH(E325,'Injury Report'!$C$2:$C$6216,0),0)</f>
        <v/>
      </c>
    </row>
    <row r="327" ht="15.6" customHeight="1" s="152">
      <c r="A327" s="212" t="n">
        <v>325</v>
      </c>
      <c r="B327" s="167">
        <f>F327&amp;G327</f>
        <v/>
      </c>
      <c r="C327" s="156">
        <f>(K327/MAX(K:K)*$K$1)+(O327/MAX(O:O)*$O$1)+(M327/MAX(M:M)*$M$1)+(N327/MAX(N:N)*$N$1)+(V327/MAX(V:V)*$V$1)+(P327/MAX(P:P)*$P$1)</f>
        <v/>
      </c>
      <c r="E327" s="156">
        <f>IFERROR(VLOOKUP(F327,AllPlayers!F:F,1,0),"------------")</f>
        <v/>
      </c>
      <c r="F327" s="156" t="inlineStr">
        <is>
          <t>Mitchell Evans</t>
        </is>
      </c>
      <c r="G327" s="167" t="inlineStr">
        <is>
          <t>CAR</t>
        </is>
      </c>
      <c r="H327" s="156" t="inlineStr">
        <is>
          <t>TE</t>
        </is>
      </c>
      <c r="I327" s="156" t="n">
        <v>1</v>
      </c>
      <c r="J327" s="156" t="n">
        <v>1</v>
      </c>
      <c r="K327" s="156" t="n">
        <v>9</v>
      </c>
      <c r="L327" s="156">
        <f>IF(J327=0,0,K327/J327)</f>
        <v/>
      </c>
      <c r="M327" s="156">
        <f>K327/17</f>
        <v/>
      </c>
      <c r="N327" s="156" t="n">
        <v>0</v>
      </c>
      <c r="O327" s="156" t="n">
        <v>1</v>
      </c>
      <c r="P327" s="281">
        <f>IF(K327=0,0,K327/O327)</f>
        <v/>
      </c>
      <c r="Q327" s="156" t="n">
        <v>0</v>
      </c>
      <c r="R327" s="156" t="n">
        <v>0</v>
      </c>
      <c r="S327" s="156" t="n">
        <v>0</v>
      </c>
      <c r="T327" s="156" t="n">
        <v>0</v>
      </c>
      <c r="U327" s="156" t="n">
        <v>0</v>
      </c>
      <c r="V327" s="156" t="n">
        <v>0</v>
      </c>
      <c r="W327" s="156" t="n">
        <v>0</v>
      </c>
      <c r="X327" s="204">
        <f>INDEX(Matrix!$AA$2:$AA$33, MATCH(G327, Matrix!$AC$2:$AC$33, 0))</f>
        <v/>
      </c>
      <c r="Y327" s="156">
        <f>_xlfn.IFNA(MATCH(E326,'Injury Report'!$C$2:$C$6216,0),0)</f>
        <v/>
      </c>
    </row>
    <row r="328" ht="15.6" customHeight="1" s="152">
      <c r="A328" s="212" t="n">
        <v>326</v>
      </c>
      <c r="B328" s="167">
        <f>F328&amp;G328</f>
        <v/>
      </c>
      <c r="C328" s="156">
        <f>(K328/MAX(K:K)*$K$1)+(O328/MAX(O:O)*$O$1)+(M328/MAX(M:M)*$M$1)+(N328/MAX(N:N)*$N$1)+(V328/MAX(V:V)*$V$1)+(P328/MAX(P:P)*$P$1)</f>
        <v/>
      </c>
      <c r="E328" s="156">
        <f>IFERROR(VLOOKUP(F328,AllPlayers!F:F,1,0),"------------")</f>
        <v/>
      </c>
      <c r="F328" s="156" t="inlineStr">
        <is>
          <t>Stone Smartt</t>
        </is>
      </c>
      <c r="G328" s="167" t="inlineStr">
        <is>
          <t>NYJ</t>
        </is>
      </c>
      <c r="H328" s="156" t="inlineStr">
        <is>
          <t>TE</t>
        </is>
      </c>
      <c r="I328" s="156" t="n">
        <v>17</v>
      </c>
      <c r="J328" s="156" t="n">
        <v>5.5</v>
      </c>
      <c r="K328" s="156" t="n">
        <v>66.7</v>
      </c>
      <c r="L328" s="156">
        <f>IF(J328=0,0,K328/J328)</f>
        <v/>
      </c>
      <c r="M328" s="156">
        <f>K328/17</f>
        <v/>
      </c>
      <c r="N328" s="156" t="n">
        <v>0.4</v>
      </c>
      <c r="O328" s="156" t="n">
        <v>5</v>
      </c>
      <c r="P328" s="281">
        <f>IF(K328=0,0,K328/O328)</f>
        <v/>
      </c>
      <c r="Q328" s="156" t="n">
        <v>0</v>
      </c>
      <c r="R328" s="156" t="n">
        <v>0</v>
      </c>
      <c r="S328" s="156" t="n">
        <v>0</v>
      </c>
      <c r="T328" s="156" t="n">
        <v>0</v>
      </c>
      <c r="U328" s="156" t="n">
        <v>0</v>
      </c>
      <c r="V328" s="156" t="n">
        <v>0</v>
      </c>
      <c r="W328" s="156" t="n">
        <v>0.3</v>
      </c>
      <c r="X328" s="204">
        <f>INDEX(Matrix!$AA$2:$AA$33, MATCH(G328, Matrix!$AC$2:$AC$33, 0))</f>
        <v/>
      </c>
      <c r="Y328" s="156">
        <f>_xlfn.IFNA(MATCH(E327,'Injury Report'!$C$2:$C$6216,0),0)</f>
        <v/>
      </c>
    </row>
    <row r="329" ht="15.6" customHeight="1" s="152">
      <c r="A329" s="212" t="n">
        <v>327</v>
      </c>
      <c r="B329" s="167">
        <f>F329&amp;G329</f>
        <v/>
      </c>
      <c r="C329" s="156">
        <f>(K329/MAX(K:K)*$K$1)+(O329/MAX(O:O)*$O$1)+(M329/MAX(M:M)*$M$1)+(N329/MAX(N:N)*$N$1)+(V329/MAX(V:V)*$V$1)+(P329/MAX(P:P)*$P$1)</f>
        <v/>
      </c>
      <c r="E329" s="156">
        <f>IFERROR(VLOOKUP(F329,AllPlayers!F:F,1,0),"------------")</f>
        <v/>
      </c>
      <c r="F329" s="156" t="inlineStr">
        <is>
          <t>Thomas Fidone</t>
        </is>
      </c>
      <c r="G329" s="167" t="inlineStr">
        <is>
          <t>NYG</t>
        </is>
      </c>
      <c r="H329" s="156" t="inlineStr">
        <is>
          <t>TE</t>
        </is>
      </c>
      <c r="I329" s="156" t="n">
        <v>17</v>
      </c>
      <c r="J329" s="156" t="n">
        <v>5.5</v>
      </c>
      <c r="K329" s="156" t="n">
        <v>51.5</v>
      </c>
      <c r="L329" s="156">
        <f>IF(J329=0,0,K329/J329)</f>
        <v/>
      </c>
      <c r="M329" s="156">
        <f>K329/17</f>
        <v/>
      </c>
      <c r="N329" s="156" t="n">
        <v>0.5</v>
      </c>
      <c r="O329" s="156" t="n">
        <v>9</v>
      </c>
      <c r="P329" s="281">
        <f>IF(K329=0,0,K329/O329)</f>
        <v/>
      </c>
      <c r="Q329" s="156" t="n">
        <v>1</v>
      </c>
      <c r="R329" s="156" t="n">
        <v>0</v>
      </c>
      <c r="S329" s="156" t="n">
        <v>0</v>
      </c>
      <c r="T329" s="156" t="n">
        <v>0</v>
      </c>
      <c r="U329" s="156" t="n">
        <v>0</v>
      </c>
      <c r="V329" s="156" t="n">
        <v>0</v>
      </c>
      <c r="W329" s="156" t="n">
        <v>0</v>
      </c>
      <c r="X329" s="204">
        <f>INDEX(Matrix!$AA$2:$AA$33, MATCH(G329, Matrix!$AC$2:$AC$33, 0))</f>
        <v/>
      </c>
      <c r="Y329" s="156">
        <f>_xlfn.IFNA(MATCH(E328,'Injury Report'!$C$2:$C$6216,0),0)</f>
        <v/>
      </c>
    </row>
    <row r="330" ht="15.6" customHeight="1" s="152">
      <c r="A330" s="212" t="n">
        <v>328</v>
      </c>
      <c r="B330" s="167">
        <f>F330&amp;G330</f>
        <v/>
      </c>
      <c r="C330" s="156">
        <f>(K330/MAX(K:K)*$K$1)+(O330/MAX(O:O)*$O$1)+(M330/MAX(M:M)*$M$1)+(N330/MAX(N:N)*$N$1)+(V330/MAX(V:V)*$V$1)+(P330/MAX(P:P)*$P$1)</f>
        <v/>
      </c>
      <c r="E330" s="156">
        <f>IFERROR(VLOOKUP(F330,AllPlayers!F:F,1,0),"------------")</f>
        <v/>
      </c>
      <c r="F330" s="156" t="inlineStr">
        <is>
          <t>Luke Farrell</t>
        </is>
      </c>
      <c r="G330" s="167" t="inlineStr">
        <is>
          <t>SF</t>
        </is>
      </c>
      <c r="H330" s="156" t="inlineStr">
        <is>
          <t>TE</t>
        </is>
      </c>
      <c r="I330" s="156" t="n">
        <v>2</v>
      </c>
      <c r="J330" s="156" t="n">
        <v>3</v>
      </c>
      <c r="K330" s="156" t="n">
        <v>19</v>
      </c>
      <c r="L330" s="156">
        <f>IF(J330=0,0,K330/J330)</f>
        <v/>
      </c>
      <c r="M330" s="156">
        <f>K330/17</f>
        <v/>
      </c>
      <c r="N330" s="156" t="n">
        <v>1</v>
      </c>
      <c r="O330" s="156" t="n">
        <v>4</v>
      </c>
      <c r="P330" s="281">
        <f>IF(K330=0,0,K330/O330)</f>
        <v/>
      </c>
      <c r="Q330" s="156" t="n">
        <v>1</v>
      </c>
      <c r="R330" s="156" t="n">
        <v>0</v>
      </c>
      <c r="S330" s="156" t="n">
        <v>0</v>
      </c>
      <c r="T330" s="156" t="n">
        <v>0</v>
      </c>
      <c r="U330" s="156" t="n">
        <v>0</v>
      </c>
      <c r="V330" s="156" t="n">
        <v>0</v>
      </c>
      <c r="W330" s="156" t="n">
        <v>0</v>
      </c>
      <c r="X330" s="204">
        <f>INDEX(Matrix!$AA$2:$AA$33, MATCH(G330, Matrix!$AC$2:$AC$33, 0))</f>
        <v/>
      </c>
      <c r="Y330" s="156">
        <f>_xlfn.IFNA(MATCH(E329,'Injury Report'!$C$2:$C$6216,0),0)</f>
        <v/>
      </c>
    </row>
    <row r="331" ht="15.6" customHeight="1" s="152">
      <c r="A331" s="212" t="n">
        <v>329</v>
      </c>
      <c r="B331" s="167">
        <f>F331&amp;G331</f>
        <v/>
      </c>
      <c r="C331" s="156">
        <f>(K331/MAX(K:K)*$K$1)+(O331/MAX(O:O)*$O$1)+(M331/MAX(M:M)*$M$1)+(N331/MAX(N:N)*$N$1)+(V331/MAX(V:V)*$V$1)+(P331/MAX(P:P)*$P$1)</f>
        <v/>
      </c>
      <c r="E331" s="156">
        <f>IFERROR(VLOOKUP(F331,AllPlayers!F:F,1,0),"------------")</f>
        <v/>
      </c>
      <c r="F331" s="156" t="inlineStr">
        <is>
          <t>Cam Grandy</t>
        </is>
      </c>
      <c r="G331" s="167" t="inlineStr">
        <is>
          <t>CIN</t>
        </is>
      </c>
      <c r="H331" s="156" t="inlineStr">
        <is>
          <t>TE</t>
        </is>
      </c>
      <c r="I331" s="156" t="n">
        <v>17</v>
      </c>
      <c r="J331" s="156" t="n">
        <v>6.2</v>
      </c>
      <c r="K331" s="156" t="n">
        <v>54.3</v>
      </c>
      <c r="L331" s="156">
        <f>IF(J331=0,0,K331/J331)</f>
        <v/>
      </c>
      <c r="M331" s="156">
        <f>K331/17</f>
        <v/>
      </c>
      <c r="N331" s="156" t="n">
        <v>0.4</v>
      </c>
      <c r="O331" s="156" t="n">
        <v>2</v>
      </c>
      <c r="P331" s="281">
        <f>IF(K331=0,0,K331/O331)</f>
        <v/>
      </c>
      <c r="Q331" s="156" t="n">
        <v>1</v>
      </c>
      <c r="R331" s="156" t="n">
        <v>1</v>
      </c>
      <c r="S331" s="156" t="n">
        <v>0</v>
      </c>
      <c r="T331" s="156" t="n">
        <v>0</v>
      </c>
      <c r="U331" s="156" t="n">
        <v>0</v>
      </c>
      <c r="V331" s="156" t="n">
        <v>0</v>
      </c>
      <c r="W331" s="156" t="n">
        <v>0</v>
      </c>
      <c r="X331" s="204">
        <f>INDEX(Matrix!$AA$2:$AA$33, MATCH(G331, Matrix!$AC$2:$AC$33, 0))</f>
        <v/>
      </c>
      <c r="Y331" s="156">
        <f>_xlfn.IFNA(MATCH(E330,'Injury Report'!$C$2:$C$6216,0),0)</f>
        <v/>
      </c>
    </row>
    <row r="332" ht="15.6" customHeight="1" s="152">
      <c r="A332" s="212" t="n">
        <v>330</v>
      </c>
      <c r="B332" s="167">
        <f>F332&amp;G332</f>
        <v/>
      </c>
      <c r="C332" s="156">
        <f>(K332/MAX(K:K)*$K$1)+(O332/MAX(O:O)*$O$1)+(M332/MAX(M:M)*$M$1)+(N332/MAX(N:N)*$N$1)+(V332/MAX(V:V)*$V$1)+(P332/MAX(P:P)*$P$1)</f>
        <v/>
      </c>
      <c r="E332" s="156">
        <f>IFERROR(VLOOKUP(F332,AllPlayers!F:F,1,0),"------------")</f>
        <v/>
      </c>
      <c r="F332" s="156" t="inlineStr">
        <is>
          <t>Caleb Lohner</t>
        </is>
      </c>
      <c r="G332" s="167" t="inlineStr">
        <is>
          <t>DEN</t>
        </is>
      </c>
      <c r="H332" s="156" t="inlineStr">
        <is>
          <t>TE</t>
        </is>
      </c>
      <c r="I332" s="156" t="n">
        <v>17</v>
      </c>
      <c r="J332" s="156" t="n">
        <v>5.5</v>
      </c>
      <c r="K332" s="156" t="n">
        <v>51</v>
      </c>
      <c r="L332" s="156">
        <f>IF(J332=0,0,K332/J332)</f>
        <v/>
      </c>
      <c r="M332" s="156">
        <f>K332/17</f>
        <v/>
      </c>
      <c r="N332" s="156" t="n">
        <v>0.5</v>
      </c>
      <c r="O332" s="156" t="n">
        <v>14</v>
      </c>
      <c r="P332" s="281">
        <f>IF(K332=0,0,K332/O332)</f>
        <v/>
      </c>
      <c r="Q332" s="156" t="n">
        <v>1</v>
      </c>
      <c r="R332" s="156" t="n">
        <v>0</v>
      </c>
      <c r="S332" s="156" t="n">
        <v>0</v>
      </c>
      <c r="T332" s="156" t="n">
        <v>0</v>
      </c>
      <c r="U332" s="156" t="n">
        <v>0</v>
      </c>
      <c r="V332" s="156" t="n">
        <v>0</v>
      </c>
      <c r="W332" s="156" t="n">
        <v>0</v>
      </c>
      <c r="X332" s="204">
        <f>INDEX(Matrix!$AA$2:$AA$33, MATCH(G332, Matrix!$AC$2:$AC$33, 0))</f>
        <v/>
      </c>
      <c r="Y332" s="156">
        <f>_xlfn.IFNA(MATCH(E331,'Injury Report'!$C$2:$C$6216,0),0)</f>
        <v/>
      </c>
    </row>
    <row r="333" ht="15.6" customHeight="1" s="152">
      <c r="A333" s="212" t="n">
        <v>331</v>
      </c>
      <c r="B333" s="167">
        <f>F333&amp;G333</f>
        <v/>
      </c>
      <c r="C333" s="156">
        <f>(K333/MAX(K:K)*$K$1)+(O333/MAX(O:O)*$O$1)+(M333/MAX(M:M)*$M$1)+(N333/MAX(N:N)*$N$1)+(V333/MAX(V:V)*$V$1)+(P333/MAX(P:P)*$P$1)</f>
        <v/>
      </c>
      <c r="E333" s="156">
        <f>IFERROR(VLOOKUP(F333,AllPlayers!F:F,1,0),"------------")</f>
        <v/>
      </c>
      <c r="F333" s="156" t="inlineStr">
        <is>
          <t>Ben Sims</t>
        </is>
      </c>
      <c r="G333" s="167" t="inlineStr">
        <is>
          <t>GB</t>
        </is>
      </c>
      <c r="H333" s="156" t="inlineStr">
        <is>
          <t>TE</t>
        </is>
      </c>
      <c r="I333" s="156" t="n">
        <v>17</v>
      </c>
      <c r="J333" s="156" t="n">
        <v>5</v>
      </c>
      <c r="K333" s="156" t="n">
        <v>50.5</v>
      </c>
      <c r="L333" s="156">
        <f>IF(J333=0,0,K333/J333)</f>
        <v/>
      </c>
      <c r="M333" s="156">
        <f>K333/17</f>
        <v/>
      </c>
      <c r="N333" s="156" t="n">
        <v>0.5</v>
      </c>
      <c r="O333" s="156" t="n">
        <v>6</v>
      </c>
      <c r="P333" s="281">
        <f>IF(K333=0,0,K333/O333)</f>
        <v/>
      </c>
      <c r="Q333" s="156" t="n">
        <v>2</v>
      </c>
      <c r="R333" s="156" t="n">
        <v>0</v>
      </c>
      <c r="S333" s="156" t="n">
        <v>0</v>
      </c>
      <c r="T333" s="156" t="n">
        <v>0</v>
      </c>
      <c r="U333" s="156" t="n">
        <v>0</v>
      </c>
      <c r="V333" s="156" t="n">
        <v>0</v>
      </c>
      <c r="W333" s="156" t="n">
        <v>0</v>
      </c>
      <c r="X333" s="204">
        <f>INDEX(Matrix!$AA$2:$AA$33, MATCH(G333, Matrix!$AC$2:$AC$33, 0))</f>
        <v/>
      </c>
      <c r="Y333" s="156">
        <f>_xlfn.IFNA(MATCH(E332,'Injury Report'!$C$2:$C$6216,0),0)</f>
        <v/>
      </c>
    </row>
    <row r="334" ht="15.6" customHeight="1" s="152">
      <c r="A334" s="212" t="n">
        <v>332</v>
      </c>
      <c r="B334" s="167">
        <f>F334&amp;G334</f>
        <v/>
      </c>
      <c r="C334" s="156">
        <f>(K334/MAX(K:K)*$K$1)+(O334/MAX(O:O)*$O$1)+(M334/MAX(M:M)*$M$1)+(N334/MAX(N:N)*$N$1)+(V334/MAX(V:V)*$V$1)+(P334/MAX(P:P)*$P$1)</f>
        <v/>
      </c>
      <c r="E334" s="156">
        <f>IFERROR(VLOOKUP(F334,AllPlayers!F:F,1,0),"------------")</f>
        <v/>
      </c>
      <c r="F334" s="156" t="inlineStr">
        <is>
          <t>Jackson Hawes</t>
        </is>
      </c>
      <c r="G334" s="167" t="inlineStr">
        <is>
          <t>BUF</t>
        </is>
      </c>
      <c r="H334" s="156" t="inlineStr">
        <is>
          <t>TE</t>
        </is>
      </c>
      <c r="I334" s="156" t="n">
        <v>2</v>
      </c>
      <c r="J334" s="156" t="n">
        <v>2</v>
      </c>
      <c r="K334" s="156" t="n">
        <v>34</v>
      </c>
      <c r="L334" s="156">
        <f>IF(J334=0,0,K334/J334)</f>
        <v/>
      </c>
      <c r="M334" s="156">
        <f>K334/17</f>
        <v/>
      </c>
      <c r="N334" s="156" t="n">
        <v>0</v>
      </c>
      <c r="O334" s="156" t="n">
        <v>2</v>
      </c>
      <c r="P334" s="281">
        <f>IF(K334=0,0,K334/O334)</f>
        <v/>
      </c>
      <c r="Q334" s="156" t="n">
        <v>0</v>
      </c>
      <c r="R334" s="156" t="n">
        <v>0</v>
      </c>
      <c r="S334" s="156" t="n">
        <v>0</v>
      </c>
      <c r="T334" s="156" t="n">
        <v>0</v>
      </c>
      <c r="U334" s="156" t="n">
        <v>0</v>
      </c>
      <c r="V334" s="156" t="n">
        <v>0</v>
      </c>
      <c r="W334" s="156" t="n">
        <v>0</v>
      </c>
      <c r="X334" s="204">
        <f>INDEX(Matrix!$AA$2:$AA$33, MATCH(G334, Matrix!$AC$2:$AC$33, 0))</f>
        <v/>
      </c>
      <c r="Y334" s="156">
        <f>_xlfn.IFNA(MATCH(E333,'Injury Report'!$C$2:$C$6216,0),0)</f>
        <v/>
      </c>
    </row>
    <row r="335" ht="15.6" customHeight="1" s="152">
      <c r="A335" s="212" t="n">
        <v>333</v>
      </c>
      <c r="B335" s="167">
        <f>F335&amp;G335</f>
        <v/>
      </c>
      <c r="C335" s="156">
        <f>(K335/MAX(K:K)*$K$1)+(O335/MAX(O:O)*$O$1)+(M335/MAX(M:M)*$M$1)+(N335/MAX(N:N)*$N$1)+(V335/MAX(V:V)*$V$1)+(P335/MAX(P:P)*$P$1)</f>
        <v/>
      </c>
      <c r="E335" s="156">
        <f>IFERROR(VLOOKUP(F335,AllPlayers!F:F,1,0),"------------")</f>
        <v/>
      </c>
      <c r="F335" s="156" t="inlineStr">
        <is>
          <t>Jared Wiley</t>
        </is>
      </c>
      <c r="G335" s="167" t="inlineStr">
        <is>
          <t>KC</t>
        </is>
      </c>
      <c r="H335" s="156" t="inlineStr">
        <is>
          <t>TE</t>
        </is>
      </c>
      <c r="I335" s="156" t="n">
        <v>17</v>
      </c>
      <c r="J335" s="156" t="n">
        <v>5.4</v>
      </c>
      <c r="K335" s="156" t="n">
        <v>53.1</v>
      </c>
      <c r="L335" s="156">
        <f>IF(J335=0,0,K335/J335)</f>
        <v/>
      </c>
      <c r="M335" s="156">
        <f>K335/17</f>
        <v/>
      </c>
      <c r="N335" s="156" t="n">
        <v>0.4</v>
      </c>
      <c r="O335" s="156" t="n">
        <v>8</v>
      </c>
      <c r="P335" s="281">
        <f>IF(K335=0,0,K335/O335)</f>
        <v/>
      </c>
      <c r="Q335" s="156" t="n">
        <v>0</v>
      </c>
      <c r="R335" s="156" t="n">
        <v>0</v>
      </c>
      <c r="S335" s="156" t="n">
        <v>0</v>
      </c>
      <c r="T335" s="156" t="n">
        <v>0</v>
      </c>
      <c r="U335" s="156" t="n">
        <v>0</v>
      </c>
      <c r="V335" s="156" t="n">
        <v>0</v>
      </c>
      <c r="W335" s="156" t="n">
        <v>0</v>
      </c>
      <c r="X335" s="204">
        <f>INDEX(Matrix!$AA$2:$AA$33, MATCH(G335, Matrix!$AC$2:$AC$33, 0))</f>
        <v/>
      </c>
      <c r="Y335" s="156">
        <f>_xlfn.IFNA(MATCH(E334,'Injury Report'!$C$2:$C$6216,0),0)</f>
        <v/>
      </c>
    </row>
    <row r="336" ht="15.6" customHeight="1" s="152">
      <c r="A336" s="212" t="n">
        <v>334</v>
      </c>
      <c r="B336" s="167">
        <f>F336&amp;G336</f>
        <v/>
      </c>
      <c r="C336" s="156">
        <f>(K336/MAX(K:K)*$K$1)+(O336/MAX(O:O)*$O$1)+(M336/MAX(M:M)*$M$1)+(N336/MAX(N:N)*$N$1)+(V336/MAX(V:V)*$V$1)+(P336/MAX(P:P)*$P$1)</f>
        <v/>
      </c>
      <c r="E336" s="156">
        <f>IFERROR(VLOOKUP(F336,AllPlayers!F:F,1,0),"------------")</f>
        <v/>
      </c>
      <c r="F336" s="156" t="inlineStr">
        <is>
          <t>Greg Dulcich</t>
        </is>
      </c>
      <c r="G336" s="167" t="inlineStr">
        <is>
          <t>NYG</t>
        </is>
      </c>
      <c r="H336" s="156" t="inlineStr">
        <is>
          <t>TE</t>
        </is>
      </c>
      <c r="I336" s="156" t="n">
        <v>17</v>
      </c>
      <c r="J336" s="156" t="n">
        <v>5</v>
      </c>
      <c r="K336" s="156" t="n">
        <v>52.9</v>
      </c>
      <c r="L336" s="156">
        <f>IF(J336=0,0,K336/J336)</f>
        <v/>
      </c>
      <c r="M336" s="156">
        <f>K336/17</f>
        <v/>
      </c>
      <c r="N336" s="156" t="n">
        <v>0.3</v>
      </c>
      <c r="O336" s="156" t="n">
        <v>12</v>
      </c>
      <c r="P336" s="281">
        <f>IF(K336=0,0,K336/O336)</f>
        <v/>
      </c>
      <c r="Q336" s="156" t="n">
        <v>0</v>
      </c>
      <c r="R336" s="156" t="n">
        <v>0</v>
      </c>
      <c r="S336" s="156" t="n">
        <v>0</v>
      </c>
      <c r="T336" s="156" t="n">
        <v>0</v>
      </c>
      <c r="U336" s="156" t="n">
        <v>0</v>
      </c>
      <c r="V336" s="156" t="n">
        <v>0</v>
      </c>
      <c r="W336" s="156" t="n">
        <v>0</v>
      </c>
      <c r="X336" s="204">
        <f>INDEX(Matrix!$AA$2:$AA$33, MATCH(G336, Matrix!$AC$2:$AC$33, 0))</f>
        <v/>
      </c>
      <c r="Y336" s="156">
        <f>_xlfn.IFNA(MATCH(E335,'Injury Report'!$C$2:$C$6216,0),0)</f>
        <v/>
      </c>
    </row>
    <row r="337" ht="15.6" customHeight="1" s="152">
      <c r="A337" s="212" t="n">
        <v>335</v>
      </c>
      <c r="B337" s="167">
        <f>F337&amp;G337</f>
        <v/>
      </c>
      <c r="C337" s="156">
        <f>(K337/MAX(K:K)*$K$1)+(O337/MAX(O:O)*$O$1)+(M337/MAX(M:M)*$M$1)+(N337/MAX(N:N)*$N$1)+(V337/MAX(V:V)*$V$1)+(P337/MAX(P:P)*$P$1)</f>
        <v/>
      </c>
      <c r="E337" s="156">
        <f>IFERROR(VLOOKUP(F337,AllPlayers!F:F,1,0),"------------")</f>
        <v/>
      </c>
      <c r="F337" s="156" t="inlineStr">
        <is>
          <t>Chris Manhertz</t>
        </is>
      </c>
      <c r="G337" s="167" t="inlineStr">
        <is>
          <t>NYG</t>
        </is>
      </c>
      <c r="H337" s="156" t="inlineStr">
        <is>
          <t>TE</t>
        </is>
      </c>
      <c r="I337" s="156" t="n">
        <v>17</v>
      </c>
      <c r="J337" s="156" t="n">
        <v>4.9</v>
      </c>
      <c r="K337" s="156" t="n">
        <v>44</v>
      </c>
      <c r="L337" s="156">
        <f>IF(J337=0,0,K337/J337)</f>
        <v/>
      </c>
      <c r="M337" s="156">
        <f>K337/17</f>
        <v/>
      </c>
      <c r="N337" s="156" t="n">
        <v>0.4</v>
      </c>
      <c r="O337" s="156" t="n">
        <v>16</v>
      </c>
      <c r="P337" s="281">
        <f>IF(K337=0,0,K337/O337)</f>
        <v/>
      </c>
      <c r="Q337" s="156" t="n">
        <v>0</v>
      </c>
      <c r="R337" s="156" t="n">
        <v>0</v>
      </c>
      <c r="S337" s="156" t="n">
        <v>0</v>
      </c>
      <c r="T337" s="156" t="n">
        <v>0</v>
      </c>
      <c r="U337" s="156" t="n">
        <v>0</v>
      </c>
      <c r="V337" s="156" t="n">
        <v>0</v>
      </c>
      <c r="W337" s="156" t="n">
        <v>0</v>
      </c>
      <c r="X337" s="204">
        <f>INDEX(Matrix!$AA$2:$AA$33, MATCH(G337, Matrix!$AC$2:$AC$33, 0))</f>
        <v/>
      </c>
      <c r="Y337" s="156">
        <f>_xlfn.IFNA(MATCH(E336,'Injury Report'!$C$2:$C$6216,0),0)</f>
        <v/>
      </c>
    </row>
    <row r="338" ht="15.6" customHeight="1" s="152">
      <c r="A338" s="212" t="n">
        <v>336</v>
      </c>
      <c r="B338" s="167">
        <f>F338&amp;G338</f>
        <v/>
      </c>
      <c r="C338" s="156">
        <f>(K338/MAX(K:K)*$K$1)+(O338/MAX(O:O)*$O$1)+(M338/MAX(M:M)*$M$1)+(N338/MAX(N:N)*$N$1)+(V338/MAX(V:V)*$V$1)+(P338/MAX(P:P)*$P$1)</f>
        <v/>
      </c>
      <c r="E338" s="156">
        <f>IFERROR(VLOOKUP(F338,AllPlayers!F:F,1,0),"------------")</f>
        <v/>
      </c>
      <c r="F338" s="156" t="inlineStr">
        <is>
          <t>Robert Tonyan</t>
        </is>
      </c>
      <c r="G338" s="167" t="inlineStr">
        <is>
          <t>KC</t>
        </is>
      </c>
      <c r="H338" s="156" t="inlineStr">
        <is>
          <t>TE</t>
        </is>
      </c>
      <c r="I338" s="156" t="n">
        <v>17</v>
      </c>
      <c r="J338" s="156" t="n">
        <v>4.7</v>
      </c>
      <c r="K338" s="156" t="n">
        <v>43</v>
      </c>
      <c r="L338" s="156">
        <f>IF(J338=0,0,K338/J338)</f>
        <v/>
      </c>
      <c r="M338" s="156">
        <f>K338/17</f>
        <v/>
      </c>
      <c r="N338" s="156" t="n">
        <v>0.3</v>
      </c>
      <c r="O338" s="156" t="n">
        <v>10</v>
      </c>
      <c r="P338" s="281">
        <f>IF(K338=0,0,K338/O338)</f>
        <v/>
      </c>
      <c r="Q338" s="156" t="n">
        <v>0</v>
      </c>
      <c r="R338" s="156" t="n">
        <v>0</v>
      </c>
      <c r="S338" s="156" t="n">
        <v>0</v>
      </c>
      <c r="T338" s="156" t="n">
        <v>0</v>
      </c>
      <c r="U338" s="156" t="n">
        <v>0</v>
      </c>
      <c r="V338" s="156" t="n">
        <v>0</v>
      </c>
      <c r="W338" s="156" t="n">
        <v>0</v>
      </c>
      <c r="X338" s="204">
        <f>INDEX(Matrix!$AA$2:$AA$33, MATCH(G338, Matrix!$AC$2:$AC$33, 0))</f>
        <v/>
      </c>
      <c r="Y338" s="156">
        <f>_xlfn.IFNA(MATCH(E337,'Injury Report'!$C$2:$C$6216,0),0)</f>
        <v/>
      </c>
    </row>
    <row r="339" ht="15.6" customHeight="1" s="152">
      <c r="A339" s="212" t="n">
        <v>337</v>
      </c>
      <c r="B339" s="167">
        <f>F339&amp;G339</f>
        <v/>
      </c>
      <c r="C339" s="156">
        <f>(K339/MAX(K:K)*$K$1)+(O339/MAX(O:O)*$O$1)+(M339/MAX(M:M)*$M$1)+(N339/MAX(N:N)*$N$1)+(V339/MAX(V:V)*$V$1)+(P339/MAX(P:P)*$P$1)</f>
        <v/>
      </c>
      <c r="E339" s="156">
        <f>IFERROR(VLOOKUP(F339,AllPlayers!F:F,1,0),"------------")</f>
        <v/>
      </c>
      <c r="F339" s="156" t="inlineStr">
        <is>
          <t>Mo Alie-cox</t>
        </is>
      </c>
      <c r="G339" s="167" t="inlineStr">
        <is>
          <t>IND</t>
        </is>
      </c>
      <c r="H339" s="156" t="inlineStr">
        <is>
          <t>TE</t>
        </is>
      </c>
      <c r="I339" s="156" t="n">
        <v>2</v>
      </c>
      <c r="J339" s="156" t="n">
        <v>2</v>
      </c>
      <c r="K339" s="156" t="n">
        <v>28</v>
      </c>
      <c r="L339" s="156">
        <f>IF(J339=0,0,K339/J339)</f>
        <v/>
      </c>
      <c r="M339" s="156">
        <f>K339/17</f>
        <v/>
      </c>
      <c r="N339" s="156" t="n">
        <v>0</v>
      </c>
      <c r="O339" s="156" t="n">
        <v>2</v>
      </c>
      <c r="P339" s="281">
        <f>IF(K339=0,0,K339/O339)</f>
        <v/>
      </c>
      <c r="Q339" s="156" t="n">
        <v>1</v>
      </c>
      <c r="R339" s="156" t="n">
        <v>0</v>
      </c>
      <c r="S339" s="156" t="n">
        <v>0</v>
      </c>
      <c r="T339" s="156" t="n">
        <v>0</v>
      </c>
      <c r="U339" s="156" t="n">
        <v>0</v>
      </c>
      <c r="V339" s="156" t="n">
        <v>0</v>
      </c>
      <c r="W339" s="156" t="n">
        <v>0</v>
      </c>
      <c r="X339" s="204">
        <f>INDEX(Matrix!$AA$2:$AA$33, MATCH(G339, Matrix!$AC$2:$AC$33, 0))</f>
        <v/>
      </c>
      <c r="Y339" s="156">
        <f>_xlfn.IFNA(MATCH(E338,'Injury Report'!$C$2:$C$6216,0),0)</f>
        <v/>
      </c>
    </row>
    <row r="340" ht="15.6" customHeight="1" s="152">
      <c r="A340" s="212" t="n">
        <v>338</v>
      </c>
      <c r="B340" s="167">
        <f>F340&amp;G340</f>
        <v/>
      </c>
      <c r="C340" s="156">
        <f>(K340/MAX(K:K)*$K$1)+(O340/MAX(O:O)*$O$1)+(M340/MAX(M:M)*$M$1)+(N340/MAX(N:N)*$N$1)+(V340/MAX(V:V)*$V$1)+(P340/MAX(P:P)*$P$1)</f>
        <v/>
      </c>
      <c r="E340" s="156">
        <f>IFERROR(VLOOKUP(F340,AllPlayers!F:F,1,0),"------------")</f>
        <v/>
      </c>
      <c r="F340" s="156" t="inlineStr">
        <is>
          <t>Davis Allen</t>
        </is>
      </c>
      <c r="G340" s="167" t="inlineStr">
        <is>
          <t>LAR</t>
        </is>
      </c>
      <c r="H340" s="156" t="inlineStr">
        <is>
          <t>TE</t>
        </is>
      </c>
      <c r="I340" s="156" t="n">
        <v>2</v>
      </c>
      <c r="J340" s="156" t="n">
        <v>2</v>
      </c>
      <c r="K340" s="156" t="n">
        <v>21</v>
      </c>
      <c r="L340" s="156">
        <f>IF(J340=0,0,K340/J340)</f>
        <v/>
      </c>
      <c r="M340" s="156">
        <f>K340/17</f>
        <v/>
      </c>
      <c r="N340" s="156" t="n">
        <v>2</v>
      </c>
      <c r="O340" s="156" t="n">
        <v>3</v>
      </c>
      <c r="P340" s="281">
        <f>IF(K340=0,0,K340/O340)</f>
        <v/>
      </c>
      <c r="Q340" s="156" t="n">
        <v>1</v>
      </c>
      <c r="R340" s="156" t="n">
        <v>0</v>
      </c>
      <c r="S340" s="156" t="n">
        <v>0</v>
      </c>
      <c r="T340" s="156" t="n">
        <v>0</v>
      </c>
      <c r="U340" s="156" t="n">
        <v>0</v>
      </c>
      <c r="V340" s="156" t="n">
        <v>0</v>
      </c>
      <c r="W340" s="156" t="n">
        <v>0</v>
      </c>
      <c r="X340" s="204">
        <f>INDEX(Matrix!$AA$2:$AA$33, MATCH(G340, Matrix!$AC$2:$AC$33, 0))</f>
        <v/>
      </c>
      <c r="Y340" s="156">
        <f>_xlfn.IFNA(MATCH(E339,'Injury Report'!$C$2:$C$6216,0),0)</f>
        <v/>
      </c>
    </row>
    <row r="341" ht="15.6" customHeight="1" s="152">
      <c r="A341" s="212" t="n">
        <v>339</v>
      </c>
      <c r="B341" s="167">
        <f>F341&amp;G341</f>
        <v/>
      </c>
      <c r="C341" s="156">
        <f>(K341/MAX(K:K)*$K$1)+(O341/MAX(O:O)*$O$1)+(M341/MAX(M:M)*$M$1)+(N341/MAX(N:N)*$N$1)+(V341/MAX(V:V)*$V$1)+(P341/MAX(P:P)*$P$1)</f>
        <v/>
      </c>
      <c r="E341" s="156">
        <f>IFERROR(VLOOKUP(F341,AllPlayers!F:F,1,0),"------------")</f>
        <v/>
      </c>
      <c r="F341" s="156" t="inlineStr">
        <is>
          <t>Irv Smith</t>
        </is>
      </c>
      <c r="G341" s="167" t="inlineStr">
        <is>
          <t>HOU</t>
        </is>
      </c>
      <c r="H341" s="156" t="inlineStr">
        <is>
          <t>TE</t>
        </is>
      </c>
      <c r="I341" s="156" t="n">
        <v>17</v>
      </c>
      <c r="J341" s="156" t="n">
        <v>4</v>
      </c>
      <c r="K341" s="156" t="n">
        <v>33.8</v>
      </c>
      <c r="L341" s="156">
        <f>IF(J341=0,0,K341/J341)</f>
        <v/>
      </c>
      <c r="M341" s="156">
        <f>K341/17</f>
        <v/>
      </c>
      <c r="N341" s="156" t="n">
        <v>0.3</v>
      </c>
      <c r="O341" s="156" t="n">
        <v>6</v>
      </c>
      <c r="P341" s="281">
        <f>IF(K341=0,0,K341/O341)</f>
        <v/>
      </c>
      <c r="Q341" s="156" t="n">
        <v>0</v>
      </c>
      <c r="R341" s="156" t="n">
        <v>0</v>
      </c>
      <c r="S341" s="156" t="n">
        <v>0</v>
      </c>
      <c r="T341" s="156" t="n">
        <v>0</v>
      </c>
      <c r="U341" s="156" t="n">
        <v>0</v>
      </c>
      <c r="V341" s="156" t="n">
        <v>0</v>
      </c>
      <c r="W341" s="156" t="n">
        <v>0</v>
      </c>
      <c r="X341" s="204">
        <f>INDEX(Matrix!$AA$2:$AA$33, MATCH(G341, Matrix!$AC$2:$AC$33, 0))</f>
        <v/>
      </c>
      <c r="Y341" s="156">
        <f>_xlfn.IFNA(MATCH(E340,'Injury Report'!$C$2:$C$6216,0),0)</f>
        <v/>
      </c>
    </row>
    <row r="342" ht="15.6" customHeight="1" s="152">
      <c r="A342" s="212" t="n">
        <v>340</v>
      </c>
      <c r="B342" s="167">
        <f>F342&amp;G342</f>
        <v/>
      </c>
      <c r="C342" s="156">
        <f>(K342/MAX(K:K)*$K$1)+(O342/MAX(O:O)*$O$1)+(M342/MAX(M:M)*$M$1)+(N342/MAX(N:N)*$N$1)+(V342/MAX(V:V)*$V$1)+(P342/MAX(P:P)*$P$1)</f>
        <v/>
      </c>
      <c r="E342" s="156">
        <f>IFERROR(VLOOKUP(F342,AllPlayers!F:F,1,0),"------------")</f>
        <v/>
      </c>
      <c r="F342" s="156" t="inlineStr">
        <is>
          <t>Dominique Dafney</t>
        </is>
      </c>
      <c r="G342" s="167" t="inlineStr">
        <is>
          <t>CAR</t>
        </is>
      </c>
      <c r="H342" s="156" t="inlineStr">
        <is>
          <t>TE</t>
        </is>
      </c>
      <c r="I342" s="156" t="n">
        <v>17</v>
      </c>
      <c r="J342" s="156" t="n">
        <v>3.6</v>
      </c>
      <c r="K342" s="156" t="n">
        <v>35.4</v>
      </c>
      <c r="L342" s="156">
        <f>IF(J342=0,0,K342/J342)</f>
        <v/>
      </c>
      <c r="M342" s="156">
        <f>K342/17</f>
        <v/>
      </c>
      <c r="N342" s="156" t="n">
        <v>0.2</v>
      </c>
      <c r="O342" s="156" t="n">
        <v>5</v>
      </c>
      <c r="P342" s="281">
        <f>IF(K342=0,0,K342/O342)</f>
        <v/>
      </c>
      <c r="Q342" s="156" t="n">
        <v>1</v>
      </c>
      <c r="R342" s="156" t="n">
        <v>0</v>
      </c>
      <c r="S342" s="156" t="n">
        <v>0</v>
      </c>
      <c r="T342" s="156" t="n">
        <v>0</v>
      </c>
      <c r="U342" s="156" t="n">
        <v>0</v>
      </c>
      <c r="V342" s="156" t="n">
        <v>0</v>
      </c>
      <c r="W342" s="156" t="n">
        <v>0</v>
      </c>
      <c r="X342" s="204">
        <f>INDEX(Matrix!$AA$2:$AA$33, MATCH(G342, Matrix!$AC$2:$AC$33, 0))</f>
        <v/>
      </c>
      <c r="Y342" s="156">
        <f>_xlfn.IFNA(MATCH(E341,'Injury Report'!$C$2:$C$6216,0),0)</f>
        <v/>
      </c>
    </row>
    <row r="343" ht="15.6" customHeight="1" s="152">
      <c r="A343" s="212" t="n">
        <v>341</v>
      </c>
      <c r="B343" s="167">
        <f>F343&amp;G343</f>
        <v/>
      </c>
      <c r="C343" s="156">
        <f>(K343/MAX(K:K)*$K$1)+(O343/MAX(O:O)*$O$1)+(M343/MAX(M:M)*$M$1)+(N343/MAX(N:N)*$N$1)+(V343/MAX(V:V)*$V$1)+(P343/MAX(P:P)*$P$1)</f>
        <v/>
      </c>
      <c r="E343" s="156">
        <f>IFERROR(VLOOKUP(F343,AllPlayers!F:F,1,0),"------------")</f>
        <v/>
      </c>
      <c r="F343" s="156" t="inlineStr">
        <is>
          <t>Kylen Granson</t>
        </is>
      </c>
      <c r="G343" s="167" t="inlineStr">
        <is>
          <t>PHI</t>
        </is>
      </c>
      <c r="H343" s="156" t="inlineStr">
        <is>
          <t>TE</t>
        </is>
      </c>
      <c r="I343" s="156" t="n">
        <v>2</v>
      </c>
      <c r="J343" s="156" t="n">
        <v>2</v>
      </c>
      <c r="K343" s="156" t="n">
        <v>6</v>
      </c>
      <c r="L343" s="156">
        <f>IF(J343=0,0,K343/J343)</f>
        <v/>
      </c>
      <c r="M343" s="156">
        <f>K343/17</f>
        <v/>
      </c>
      <c r="N343" s="156" t="n">
        <v>0</v>
      </c>
      <c r="O343" s="156" t="n">
        <v>2</v>
      </c>
      <c r="P343" s="281">
        <f>IF(K343=0,0,K343/O343)</f>
        <v/>
      </c>
      <c r="Q343" s="156" t="n">
        <v>1</v>
      </c>
      <c r="R343" s="156" t="n">
        <v>0</v>
      </c>
      <c r="S343" s="156" t="n">
        <v>0</v>
      </c>
      <c r="T343" s="156" t="n">
        <v>0</v>
      </c>
      <c r="U343" s="156" t="n">
        <v>0</v>
      </c>
      <c r="V343" s="156" t="n">
        <v>0</v>
      </c>
      <c r="W343" s="156" t="n">
        <v>0</v>
      </c>
      <c r="X343" s="204">
        <f>INDEX(Matrix!$AA$2:$AA$33, MATCH(G343, Matrix!$AC$2:$AC$33, 0))</f>
        <v/>
      </c>
      <c r="Y343" s="156">
        <f>_xlfn.IFNA(MATCH(E342,'Injury Report'!$C$2:$C$6216,0),0)</f>
        <v/>
      </c>
    </row>
    <row r="344" ht="15.6" customHeight="1" s="152">
      <c r="A344" s="212" t="n">
        <v>342</v>
      </c>
      <c r="B344" s="167">
        <f>F344&amp;G344</f>
        <v/>
      </c>
      <c r="C344" s="156">
        <f>(K344/MAX(K:K)*$K$1)+(O344/MAX(O:O)*$O$1)+(M344/MAX(M:M)*$M$1)+(N344/MAX(N:N)*$N$1)+(V344/MAX(V:V)*$V$1)+(P344/MAX(P:P)*$P$1)</f>
        <v/>
      </c>
      <c r="E344" s="156">
        <f>IFERROR(VLOOKUP(F344,AllPlayers!F:F,1,0),"------------")</f>
        <v/>
      </c>
      <c r="F344" s="156" t="inlineStr">
        <is>
          <t>Tucker Fisk</t>
        </is>
      </c>
      <c r="G344" s="167" t="inlineStr">
        <is>
          <t>LAC</t>
        </is>
      </c>
      <c r="H344" s="156" t="inlineStr">
        <is>
          <t>TE</t>
        </is>
      </c>
      <c r="I344" s="156" t="n">
        <v>17</v>
      </c>
      <c r="J344" s="156" t="n">
        <v>3.3</v>
      </c>
      <c r="K344" s="156" t="n">
        <v>31.8</v>
      </c>
      <c r="L344" s="156">
        <f>IF(J344=0,0,K344/J344)</f>
        <v/>
      </c>
      <c r="M344" s="156">
        <f>K344/17</f>
        <v/>
      </c>
      <c r="N344" s="156" t="n">
        <v>0.2</v>
      </c>
      <c r="O344" s="156" t="n">
        <v>5</v>
      </c>
      <c r="P344" s="281">
        <f>IF(K344=0,0,K344/O344)</f>
        <v/>
      </c>
      <c r="Q344" s="156" t="n">
        <v>1</v>
      </c>
      <c r="R344" s="156" t="n">
        <v>0</v>
      </c>
      <c r="S344" s="156" t="n">
        <v>0</v>
      </c>
      <c r="T344" s="156" t="n">
        <v>0</v>
      </c>
      <c r="U344" s="156" t="n">
        <v>0</v>
      </c>
      <c r="V344" s="156" t="n">
        <v>0</v>
      </c>
      <c r="W344" s="156" t="n">
        <v>0</v>
      </c>
      <c r="X344" s="204">
        <f>INDEX(Matrix!$AA$2:$AA$33, MATCH(G344, Matrix!$AC$2:$AC$33, 0))</f>
        <v/>
      </c>
      <c r="Y344" s="156">
        <f>_xlfn.IFNA(MATCH(E343,'Injury Report'!$C$2:$C$6216,0),0)</f>
        <v/>
      </c>
    </row>
    <row r="345" ht="15.6" customHeight="1" s="152">
      <c r="A345" s="212" t="n">
        <v>343</v>
      </c>
      <c r="B345" s="167">
        <f>F345&amp;G345</f>
        <v/>
      </c>
      <c r="C345" s="156">
        <f>(K345/MAX(K:K)*$K$1)+(O345/MAX(O:O)*$O$1)+(M345/MAX(M:M)*$M$1)+(N345/MAX(N:N)*$N$1)+(V345/MAX(V:V)*$V$1)+(P345/MAX(P:P)*$P$1)</f>
        <v/>
      </c>
      <c r="E345" s="156">
        <f>IFERROR(VLOOKUP(F345,AllPlayers!F:F,1,0),"------------")</f>
        <v/>
      </c>
      <c r="F345" s="156" t="inlineStr">
        <is>
          <t>Durham Smythe</t>
        </is>
      </c>
      <c r="G345" s="167" t="inlineStr">
        <is>
          <t>CHI</t>
        </is>
      </c>
      <c r="H345" s="156" t="inlineStr">
        <is>
          <t>TE</t>
        </is>
      </c>
      <c r="I345" s="156" t="n">
        <v>17</v>
      </c>
      <c r="J345" s="156" t="n">
        <v>3.6</v>
      </c>
      <c r="K345" s="156" t="n">
        <v>32.6</v>
      </c>
      <c r="L345" s="156">
        <f>IF(J345=0,0,K345/J345)</f>
        <v/>
      </c>
      <c r="M345" s="156">
        <f>K345/17</f>
        <v/>
      </c>
      <c r="N345" s="156" t="n">
        <v>0.1</v>
      </c>
      <c r="O345" s="156" t="n">
        <v>5</v>
      </c>
      <c r="P345" s="281">
        <f>IF(K345=0,0,K345/O345)</f>
        <v/>
      </c>
      <c r="Q345" s="156" t="n">
        <v>1</v>
      </c>
      <c r="R345" s="156" t="n">
        <v>0</v>
      </c>
      <c r="S345" s="156" t="n">
        <v>0</v>
      </c>
      <c r="T345" s="156" t="n">
        <v>0</v>
      </c>
      <c r="U345" s="156" t="n">
        <v>0</v>
      </c>
      <c r="V345" s="156" t="n">
        <v>0</v>
      </c>
      <c r="W345" s="156" t="n">
        <v>0</v>
      </c>
      <c r="X345" s="204">
        <f>INDEX(Matrix!$AA$2:$AA$33, MATCH(G345, Matrix!$AC$2:$AC$33, 0))</f>
        <v/>
      </c>
      <c r="Y345" s="156">
        <f>_xlfn.IFNA(MATCH(E344,'Injury Report'!$C$2:$C$6216,0),0)</f>
        <v/>
      </c>
    </row>
    <row r="346" ht="15.6" customHeight="1" s="152">
      <c r="A346" s="212" t="n">
        <v>344</v>
      </c>
      <c r="B346" s="167">
        <f>F346&amp;G346</f>
        <v/>
      </c>
      <c r="C346" s="156">
        <f>(K346/MAX(K:K)*$K$1)+(O346/MAX(O:O)*$O$1)+(M346/MAX(M:M)*$M$1)+(N346/MAX(N:N)*$N$1)+(V346/MAX(V:V)*$V$1)+(P346/MAX(P:P)*$P$1)</f>
        <v/>
      </c>
      <c r="E346" s="156">
        <f>IFERROR(VLOOKUP(F346,AllPlayers!F:F,1,0),"------------")</f>
        <v/>
      </c>
      <c r="F346" s="156" t="inlineStr">
        <is>
          <t>Tanner Hudson</t>
        </is>
      </c>
      <c r="G346" s="167" t="inlineStr">
        <is>
          <t>CIN</t>
        </is>
      </c>
      <c r="H346" s="156" t="inlineStr">
        <is>
          <t>TE</t>
        </is>
      </c>
      <c r="I346" s="156" t="n">
        <v>17</v>
      </c>
      <c r="J346" s="156" t="n">
        <v>3</v>
      </c>
      <c r="K346" s="156" t="n">
        <v>26.7</v>
      </c>
      <c r="L346" s="156">
        <f>IF(J346=0,0,K346/J346)</f>
        <v/>
      </c>
      <c r="M346" s="156">
        <f>K346/17</f>
        <v/>
      </c>
      <c r="N346" s="156" t="n">
        <v>0.2</v>
      </c>
      <c r="O346" s="156" t="n">
        <v>9</v>
      </c>
      <c r="P346" s="281">
        <f>IF(K346=0,0,K346/O346)</f>
        <v/>
      </c>
      <c r="Q346" s="156" t="n">
        <v>0</v>
      </c>
      <c r="R346" s="156" t="n">
        <v>0</v>
      </c>
      <c r="S346" s="156" t="n">
        <v>0</v>
      </c>
      <c r="T346" s="156" t="n">
        <v>0</v>
      </c>
      <c r="U346" s="156" t="n">
        <v>0</v>
      </c>
      <c r="V346" s="156" t="n">
        <v>0</v>
      </c>
      <c r="W346" s="156" t="n">
        <v>0</v>
      </c>
      <c r="X346" s="204">
        <f>INDEX(Matrix!$AA$2:$AA$33, MATCH(G346, Matrix!$AC$2:$AC$33, 0))</f>
        <v/>
      </c>
      <c r="Y346" s="156">
        <f>_xlfn.IFNA(MATCH(E345,'Injury Report'!$C$2:$C$6216,0),0)</f>
        <v/>
      </c>
    </row>
    <row r="347" ht="15.6" customHeight="1" s="152">
      <c r="A347" s="212" t="n">
        <v>345</v>
      </c>
      <c r="B347" s="167">
        <f>F347&amp;G347</f>
        <v/>
      </c>
      <c r="C347" s="156">
        <f>(K347/MAX(K:K)*$K$1)+(O347/MAX(O:O)*$O$1)+(M347/MAX(M:M)*$M$1)+(N347/MAX(N:N)*$N$1)+(V347/MAX(V:V)*$V$1)+(P347/MAX(P:P)*$P$1)</f>
        <v/>
      </c>
      <c r="E347" s="156">
        <f>IFERROR(VLOOKUP(F347,AllPlayers!F:F,1,0),"------------")</f>
        <v/>
      </c>
      <c r="F347" s="156" t="inlineStr">
        <is>
          <t>Erick All</t>
        </is>
      </c>
      <c r="G347" s="167" t="inlineStr">
        <is>
          <t>CIN</t>
        </is>
      </c>
      <c r="H347" s="156" t="inlineStr">
        <is>
          <t>TE</t>
        </is>
      </c>
      <c r="I347" s="156" t="n">
        <v>17</v>
      </c>
      <c r="J347" s="156" t="n">
        <v>2.4</v>
      </c>
      <c r="K347" s="156" t="n">
        <v>20.8</v>
      </c>
      <c r="L347" s="156">
        <f>IF(J347=0,0,K347/J347)</f>
        <v/>
      </c>
      <c r="M347" s="156">
        <f>K347/17</f>
        <v/>
      </c>
      <c r="N347" s="156" t="n">
        <v>0.2</v>
      </c>
      <c r="O347" s="156" t="n">
        <v>10</v>
      </c>
      <c r="P347" s="281">
        <f>IF(K347=0,0,K347/O347)</f>
        <v/>
      </c>
      <c r="Q347" s="156" t="n">
        <v>0</v>
      </c>
      <c r="R347" s="156" t="n">
        <v>0</v>
      </c>
      <c r="S347" s="156" t="n">
        <v>0</v>
      </c>
      <c r="T347" s="156" t="n">
        <v>0</v>
      </c>
      <c r="U347" s="156" t="n">
        <v>0</v>
      </c>
      <c r="V347" s="156" t="n">
        <v>0</v>
      </c>
      <c r="W347" s="156" t="n">
        <v>0</v>
      </c>
      <c r="X347" s="204">
        <f>INDEX(Matrix!$AA$2:$AA$33, MATCH(G347, Matrix!$AC$2:$AC$33, 0))</f>
        <v/>
      </c>
      <c r="Y347" s="156">
        <f>_xlfn.IFNA(MATCH(E346,'Injury Report'!$C$2:$C$6216,0),0)</f>
        <v/>
      </c>
    </row>
    <row r="348" ht="15.6" customHeight="1" s="152">
      <c r="A348" s="212" t="n">
        <v>346</v>
      </c>
      <c r="B348" s="167">
        <f>F348&amp;G348</f>
        <v/>
      </c>
      <c r="C348" s="156">
        <f>(K348/MAX(K:K)*$K$1)+(O348/MAX(O:O)*$O$1)+(M348/MAX(M:M)*$M$1)+(N348/MAX(N:N)*$N$1)+(V348/MAX(V:V)*$V$1)+(P348/MAX(P:P)*$P$1)</f>
        <v/>
      </c>
      <c r="E348" s="156">
        <f>IFERROR(VLOOKUP(F348,AllPlayers!F:F,1,0),"------------")</f>
        <v/>
      </c>
      <c r="F348" s="156" t="inlineStr">
        <is>
          <t>Zach Davidson</t>
        </is>
      </c>
      <c r="G348" s="167" t="inlineStr">
        <is>
          <t>BUF</t>
        </is>
      </c>
      <c r="H348" s="156" t="inlineStr">
        <is>
          <t>TE</t>
        </is>
      </c>
      <c r="I348" s="156" t="n">
        <v>17</v>
      </c>
      <c r="J348" s="156" t="n">
        <v>1.9</v>
      </c>
      <c r="K348" s="156" t="n">
        <v>19.1</v>
      </c>
      <c r="L348" s="156">
        <f>IF(J348=0,0,K348/J348)</f>
        <v/>
      </c>
      <c r="M348" s="156">
        <f>K348/17</f>
        <v/>
      </c>
      <c r="N348" s="156" t="n">
        <v>0.2</v>
      </c>
      <c r="O348" s="156" t="n">
        <v>8</v>
      </c>
      <c r="P348" s="281">
        <f>IF(K348=0,0,K348/O348)</f>
        <v/>
      </c>
      <c r="Q348" s="156" t="n">
        <v>0</v>
      </c>
      <c r="R348" s="156" t="n">
        <v>0</v>
      </c>
      <c r="S348" s="156" t="n">
        <v>0</v>
      </c>
      <c r="T348" s="156" t="n">
        <v>0</v>
      </c>
      <c r="U348" s="156" t="n">
        <v>0</v>
      </c>
      <c r="V348" s="156" t="n">
        <v>0</v>
      </c>
      <c r="W348" s="156" t="n">
        <v>0</v>
      </c>
      <c r="X348" s="204">
        <f>INDEX(Matrix!$AA$2:$AA$33, MATCH(G348, Matrix!$AC$2:$AC$33, 0))</f>
        <v/>
      </c>
      <c r="Y348" s="156">
        <f>_xlfn.IFNA(MATCH(E347,'Injury Report'!$C$2:$C$6216,0),0)</f>
        <v/>
      </c>
    </row>
    <row r="349" ht="15.6" customHeight="1" s="152">
      <c r="A349" s="212" t="n">
        <v>347</v>
      </c>
      <c r="B349" s="167">
        <f>F349&amp;G349</f>
        <v/>
      </c>
      <c r="C349" s="156">
        <f>(K349/MAX(K:K)*$K$1)+(O349/MAX(O:O)*$O$1)+(M349/MAX(M:M)*$M$1)+(N349/MAX(N:N)*$N$1)+(V349/MAX(V:V)*$V$1)+(P349/MAX(P:P)*$P$1)</f>
        <v/>
      </c>
      <c r="E349" s="156">
        <f>IFERROR(VLOOKUP(F349,AllPlayers!F:F,1,0),"------------")</f>
        <v/>
      </c>
      <c r="F349" s="156" t="inlineStr">
        <is>
          <t>Jack Stoll</t>
        </is>
      </c>
      <c r="G349" s="167" t="inlineStr">
        <is>
          <t>NO</t>
        </is>
      </c>
      <c r="H349" s="156" t="inlineStr">
        <is>
          <t>TE</t>
        </is>
      </c>
      <c r="I349" s="156" t="n">
        <v>1</v>
      </c>
      <c r="J349" s="156" t="n">
        <v>0</v>
      </c>
      <c r="K349" s="156" t="n">
        <v>0</v>
      </c>
      <c r="L349" s="156">
        <f>IF(J349=0,0,K349/J349)</f>
        <v/>
      </c>
      <c r="M349" s="156">
        <f>K349/17</f>
        <v/>
      </c>
      <c r="N349" s="156" t="n">
        <v>0</v>
      </c>
      <c r="O349" s="156" t="n">
        <v>0</v>
      </c>
      <c r="P349" s="281">
        <f>IF(K349=0,0,K349/O349)</f>
        <v/>
      </c>
      <c r="Q349" s="156" t="n">
        <v>1</v>
      </c>
      <c r="R349" s="156" t="n">
        <v>0</v>
      </c>
      <c r="S349" s="156" t="n">
        <v>0</v>
      </c>
      <c r="T349" s="156" t="n">
        <v>0</v>
      </c>
      <c r="U349" s="156" t="n">
        <v>0</v>
      </c>
      <c r="V349" s="156" t="n">
        <v>0</v>
      </c>
      <c r="W349" s="156" t="n">
        <v>0</v>
      </c>
      <c r="X349" s="204">
        <f>INDEX(Matrix!$AA$2:$AA$33, MATCH(G349, Matrix!$AC$2:$AC$33, 0))</f>
        <v/>
      </c>
      <c r="Y349" s="156">
        <f>_xlfn.IFNA(MATCH(E348,'Injury Report'!$C$2:$C$6216,0),0)</f>
        <v/>
      </c>
    </row>
    <row r="350" ht="15.6" customHeight="1" s="152">
      <c r="A350" s="212" t="n">
        <v>348</v>
      </c>
      <c r="B350" s="167">
        <f>F350&amp;G350</f>
        <v/>
      </c>
      <c r="C350" s="156">
        <f>(K350/MAX(K:K)*$K$1)+(O350/MAX(O:O)*$O$1)+(M350/MAX(M:M)*$M$1)+(N350/MAX(N:N)*$N$1)+(V350/MAX(V:V)*$V$1)+(P350/MAX(P:P)*$P$1)</f>
        <v/>
      </c>
      <c r="E350" s="156">
        <f>IFERROR(VLOOKUP(F350,AllPlayers!F:F,1,0),"------------")</f>
        <v/>
      </c>
      <c r="F350" s="156" t="inlineStr">
        <is>
          <t>David Martin-robinson</t>
        </is>
      </c>
      <c r="G350" s="167" t="inlineStr">
        <is>
          <t>TEN</t>
        </is>
      </c>
      <c r="H350" s="156" t="inlineStr">
        <is>
          <t>TE</t>
        </is>
      </c>
      <c r="I350" s="156" t="n">
        <v>1</v>
      </c>
      <c r="J350" s="156" t="n">
        <v>0</v>
      </c>
      <c r="K350" s="156" t="n">
        <v>0</v>
      </c>
      <c r="L350" s="156">
        <f>IF(J350=0,0,K350/J350)</f>
        <v/>
      </c>
      <c r="M350" s="156">
        <f>K350/17</f>
        <v/>
      </c>
      <c r="N350" s="156" t="n">
        <v>0</v>
      </c>
      <c r="O350" s="156" t="n">
        <v>0</v>
      </c>
      <c r="P350" s="281">
        <f>IF(K350=0,0,K350/O350)</f>
        <v/>
      </c>
      <c r="Q350" s="156" t="n">
        <v>1</v>
      </c>
      <c r="R350" s="156" t="n">
        <v>0</v>
      </c>
      <c r="S350" s="156" t="n">
        <v>0</v>
      </c>
      <c r="T350" s="156" t="n">
        <v>0</v>
      </c>
      <c r="U350" s="156" t="n">
        <v>0</v>
      </c>
      <c r="V350" s="156" t="n">
        <v>0</v>
      </c>
      <c r="W350" s="156" t="n">
        <v>0</v>
      </c>
      <c r="X350" s="204">
        <f>INDEX(Matrix!$AA$2:$AA$33, MATCH(G350, Matrix!$AC$2:$AC$33, 0))</f>
        <v/>
      </c>
      <c r="Y350" s="156">
        <f>_xlfn.IFNA(MATCH(E349,'Injury Report'!$C$2:$C$6216,0),0)</f>
        <v/>
      </c>
    </row>
    <row r="351" ht="15.6" customHeight="1" s="152">
      <c r="A351" s="212" t="n">
        <v>349</v>
      </c>
      <c r="B351" s="167">
        <f>F351&amp;G351</f>
        <v/>
      </c>
      <c r="C351" s="156">
        <f>(K351/MAX(K:K)*$K$1)+(O351/MAX(O:O)*$O$1)+(M351/MAX(M:M)*$M$1)+(N351/MAX(N:N)*$N$1)+(V351/MAX(V:V)*$V$1)+(P351/MAX(P:P)*$P$1)</f>
        <v/>
      </c>
      <c r="E351" s="156">
        <f>IFERROR(VLOOKUP(F351,AllPlayers!F:F,1,0),"------------")</f>
        <v/>
      </c>
      <c r="F351" s="156" t="inlineStr">
        <is>
          <t>Feleipe Franks</t>
        </is>
      </c>
      <c r="G351" s="167" t="inlineStr">
        <is>
          <t>ATL</t>
        </is>
      </c>
      <c r="H351" s="156" t="inlineStr">
        <is>
          <t>TE</t>
        </is>
      </c>
      <c r="I351" s="156" t="n">
        <v>1</v>
      </c>
      <c r="J351" s="156" t="n">
        <v>0</v>
      </c>
      <c r="K351" s="156" t="n">
        <v>0</v>
      </c>
      <c r="L351" s="156">
        <f>IF(J351=0,0,K351/J351)</f>
        <v/>
      </c>
      <c r="M351" s="156">
        <f>K351/17</f>
        <v/>
      </c>
      <c r="N351" s="156" t="n">
        <v>0</v>
      </c>
      <c r="O351" s="156" t="n">
        <v>0</v>
      </c>
      <c r="P351" s="281">
        <f>IF(K351=0,0,K351/O351)</f>
        <v/>
      </c>
      <c r="Q351" s="156" t="n">
        <v>0</v>
      </c>
      <c r="R351" s="156" t="n">
        <v>0</v>
      </c>
      <c r="S351" s="156" t="n">
        <v>0</v>
      </c>
      <c r="T351" s="156" t="n">
        <v>0</v>
      </c>
      <c r="U351" s="156" t="n">
        <v>0</v>
      </c>
      <c r="V351" s="156" t="n">
        <v>0</v>
      </c>
      <c r="W351" s="156" t="n">
        <v>0</v>
      </c>
      <c r="X351" s="204">
        <f>INDEX(Matrix!$AA$2:$AA$33, MATCH(G351, Matrix!$AC$2:$AC$33, 0))</f>
        <v/>
      </c>
      <c r="Y351" s="156">
        <f>_xlfn.IFNA(MATCH(E350,'Injury Report'!$C$2:$C$6216,0),0)</f>
        <v/>
      </c>
    </row>
    <row r="352" ht="15.6" customHeight="1" s="152">
      <c r="A352" s="212" t="n">
        <v>350</v>
      </c>
      <c r="B352" s="167">
        <f>F352&amp;G352</f>
        <v/>
      </c>
      <c r="C352" s="156">
        <f>(K352/MAX(K:K)*$K$1)+(O352/MAX(O:O)*$O$1)+(M352/MAX(M:M)*$M$1)+(N352/MAX(N:N)*$N$1)+(V352/MAX(V:V)*$V$1)+(P352/MAX(P:P)*$P$1)</f>
        <v/>
      </c>
      <c r="E352" s="156">
        <f>IFERROR(VLOOKUP(F352,AllPlayers!F:F,1,0),"------------")</f>
        <v/>
      </c>
      <c r="F352" s="156" t="inlineStr">
        <is>
          <t>Blake Whiteheart</t>
        </is>
      </c>
      <c r="G352" s="167" t="inlineStr">
        <is>
          <t>CLE</t>
        </is>
      </c>
      <c r="H352" s="156" t="inlineStr">
        <is>
          <t>TE</t>
        </is>
      </c>
      <c r="I352" s="156" t="n">
        <v>17</v>
      </c>
      <c r="J352" s="156" t="n">
        <v>2</v>
      </c>
      <c r="K352" s="156" t="n">
        <v>18.5</v>
      </c>
      <c r="L352" s="156">
        <f>IF(J352=0,0,K352/J352)</f>
        <v/>
      </c>
      <c r="M352" s="156">
        <f>K352/17</f>
        <v/>
      </c>
      <c r="N352" s="156" t="n">
        <v>0.1</v>
      </c>
      <c r="O352" s="156" t="n">
        <v>8</v>
      </c>
      <c r="P352" s="281">
        <f>IF(K352=0,0,K352/O352)</f>
        <v/>
      </c>
      <c r="Q352" s="156" t="n">
        <v>0</v>
      </c>
      <c r="R352" s="156" t="n">
        <v>0</v>
      </c>
      <c r="S352" s="156" t="n">
        <v>0</v>
      </c>
      <c r="T352" s="156" t="n">
        <v>0</v>
      </c>
      <c r="U352" s="156" t="n">
        <v>0</v>
      </c>
      <c r="V352" s="156" t="n">
        <v>0</v>
      </c>
      <c r="W352" s="156" t="n">
        <v>0</v>
      </c>
      <c r="X352" s="204">
        <f>INDEX(Matrix!$AA$2:$AA$33, MATCH(G352, Matrix!$AC$2:$AC$33, 0))</f>
        <v/>
      </c>
      <c r="Y352" s="156">
        <f>_xlfn.IFNA(MATCH(E351,'Injury Report'!$C$2:$C$6216,0),0)</f>
        <v/>
      </c>
    </row>
    <row r="353" ht="15.6" customHeight="1" s="152">
      <c r="A353" s="212" t="n">
        <v>351</v>
      </c>
      <c r="B353" s="167">
        <f>F353&amp;G353</f>
        <v/>
      </c>
      <c r="C353" s="156">
        <f>(K353/MAX(K:K)*$K$1)+(O353/MAX(O:O)*$O$1)+(M353/MAX(M:M)*$M$1)+(N353/MAX(N:N)*$N$1)+(V353/MAX(V:V)*$V$1)+(P353/MAX(P:P)*$P$1)</f>
        <v/>
      </c>
      <c r="E353" s="156">
        <f>IFERROR(VLOOKUP(F353,AllPlayers!F:F,1,0),"------------")</f>
        <v/>
      </c>
      <c r="F353" s="156" t="inlineStr">
        <is>
          <t>James Mitchell</t>
        </is>
      </c>
      <c r="G353" s="167" t="inlineStr">
        <is>
          <t>CAR</t>
        </is>
      </c>
      <c r="H353" s="156" t="inlineStr">
        <is>
          <t>TE</t>
        </is>
      </c>
      <c r="I353" s="156" t="n">
        <v>17</v>
      </c>
      <c r="J353" s="156" t="n">
        <v>1.8</v>
      </c>
      <c r="K353" s="156" t="n">
        <v>17.8</v>
      </c>
      <c r="L353" s="156">
        <f>IF(J353=0,0,K353/J353)</f>
        <v/>
      </c>
      <c r="M353" s="156">
        <f>K353/17</f>
        <v/>
      </c>
      <c r="N353" s="156" t="n">
        <v>0.1</v>
      </c>
      <c r="O353" s="156" t="n">
        <v>13</v>
      </c>
      <c r="P353" s="281">
        <f>IF(K353=0,0,K353/O353)</f>
        <v/>
      </c>
      <c r="Q353" s="156" t="n">
        <v>0</v>
      </c>
      <c r="R353" s="156" t="n">
        <v>0</v>
      </c>
      <c r="S353" s="156" t="n">
        <v>0</v>
      </c>
      <c r="T353" s="156" t="n">
        <v>0</v>
      </c>
      <c r="U353" s="156" t="n">
        <v>0</v>
      </c>
      <c r="V353" s="156" t="n">
        <v>0</v>
      </c>
      <c r="W353" s="156" t="n">
        <v>0</v>
      </c>
      <c r="X353" s="204">
        <f>INDEX(Matrix!$AA$2:$AA$33, MATCH(G353, Matrix!$AC$2:$AC$33, 0))</f>
        <v/>
      </c>
      <c r="Y353" s="156">
        <f>_xlfn.IFNA(MATCH(E352,'Injury Report'!$C$2:$C$6216,0),0)</f>
        <v/>
      </c>
    </row>
    <row r="354" ht="15.6" customHeight="1" s="152">
      <c r="A354" s="212" t="n">
        <v>352</v>
      </c>
      <c r="B354" s="167">
        <f>F354&amp;G354</f>
        <v/>
      </c>
      <c r="C354" s="156">
        <f>(K354/MAX(K:K)*$K$1)+(O354/MAX(O:O)*$O$1)+(M354/MAX(M:M)*$M$1)+(N354/MAX(N:N)*$N$1)+(V354/MAX(V:V)*$V$1)+(P354/MAX(P:P)*$P$1)</f>
        <v/>
      </c>
      <c r="E354" s="156">
        <f>IFERROR(VLOOKUP(F354,AllPlayers!F:F,1,0),"------------")</f>
        <v/>
      </c>
      <c r="F354" s="156" t="inlineStr">
        <is>
          <t>Will Mallory</t>
        </is>
      </c>
      <c r="G354" s="167" t="inlineStr">
        <is>
          <t>IND</t>
        </is>
      </c>
      <c r="H354" s="156" t="inlineStr">
        <is>
          <t>TE</t>
        </is>
      </c>
      <c r="I354" s="156" t="n">
        <v>17</v>
      </c>
      <c r="J354" s="156" t="n">
        <v>1.3</v>
      </c>
      <c r="K354" s="156" t="n">
        <v>11.7</v>
      </c>
      <c r="L354" s="156">
        <f>IF(J354=0,0,K354/J354)</f>
        <v/>
      </c>
      <c r="M354" s="156">
        <f>K354/17</f>
        <v/>
      </c>
      <c r="N354" s="156" t="n">
        <v>0.1</v>
      </c>
      <c r="O354" s="156" t="n">
        <v>15</v>
      </c>
      <c r="P354" s="281">
        <f>IF(K354=0,0,K354/O354)</f>
        <v/>
      </c>
      <c r="Q354" s="156" t="n">
        <v>0</v>
      </c>
      <c r="R354" s="156" t="n">
        <v>0</v>
      </c>
      <c r="S354" s="156" t="n">
        <v>0</v>
      </c>
      <c r="T354" s="156" t="n">
        <v>0</v>
      </c>
      <c r="U354" s="156" t="n">
        <v>0</v>
      </c>
      <c r="V354" s="156" t="n">
        <v>0</v>
      </c>
      <c r="W354" s="156" t="n">
        <v>0</v>
      </c>
      <c r="X354" s="204">
        <f>INDEX(Matrix!$AA$2:$AA$33, MATCH(G354, Matrix!$AC$2:$AC$33, 0))</f>
        <v/>
      </c>
      <c r="Y354" s="156">
        <f>_xlfn.IFNA(MATCH(E353,'Injury Report'!$C$2:$C$6216,0),0)</f>
        <v/>
      </c>
    </row>
    <row r="355" ht="15.6" customHeight="1" s="152">
      <c r="A355" s="212" t="n">
        <v>353</v>
      </c>
      <c r="B355" s="167">
        <f>F355&amp;G355</f>
        <v/>
      </c>
      <c r="C355" s="156">
        <f>(K355/MAX(K:K)*$K$1)+(O355/MAX(O:O)*$O$1)+(M355/MAX(M:M)*$M$1)+(N355/MAX(N:N)*$N$1)+(V355/MAX(V:V)*$V$1)+(P355/MAX(P:P)*$P$1)</f>
        <v/>
      </c>
      <c r="E355" s="156">
        <f>IFERROR(VLOOKUP(F355,AllPlayers!F:F,1,0),"------------")</f>
        <v/>
      </c>
      <c r="F355" s="156" t="inlineStr">
        <is>
          <t>Nick Vannett</t>
        </is>
      </c>
      <c r="G355" s="167" t="inlineStr">
        <is>
          <t>MIN</t>
        </is>
      </c>
      <c r="H355" s="156" t="inlineStr">
        <is>
          <t>TE</t>
        </is>
      </c>
      <c r="I355" s="156" t="n">
        <v>17</v>
      </c>
      <c r="J355" s="156" t="n">
        <v>1</v>
      </c>
      <c r="K355" s="156" t="n">
        <v>10</v>
      </c>
      <c r="L355" s="156">
        <f>IF(J355=0,0,K355/J355)</f>
        <v/>
      </c>
      <c r="M355" s="156">
        <f>K355/17</f>
        <v/>
      </c>
      <c r="N355" s="156" t="n">
        <v>0</v>
      </c>
      <c r="O355" s="156" t="n">
        <v>4</v>
      </c>
      <c r="P355" s="281">
        <f>IF(K355=0,0,K355/O355)</f>
        <v/>
      </c>
      <c r="Q355" s="156" t="n">
        <v>1</v>
      </c>
      <c r="R355" s="156" t="n">
        <v>0</v>
      </c>
      <c r="S355" s="156" t="n">
        <v>0</v>
      </c>
      <c r="T355" s="156" t="n">
        <v>0</v>
      </c>
      <c r="U355" s="156" t="n">
        <v>0</v>
      </c>
      <c r="V355" s="156" t="n">
        <v>0</v>
      </c>
      <c r="W355" s="156" t="n">
        <v>0</v>
      </c>
      <c r="X355" s="204">
        <f>INDEX(Matrix!$AA$2:$AA$33, MATCH(G355, Matrix!$AC$2:$AC$33, 0))</f>
        <v/>
      </c>
      <c r="Y355" s="156">
        <f>_xlfn.IFNA(MATCH(E354,'Injury Report'!$C$2:$C$6216,0),0)</f>
        <v/>
      </c>
    </row>
    <row r="356" ht="15.6" customHeight="1" s="152">
      <c r="A356" s="212" t="n">
        <v>354</v>
      </c>
      <c r="B356" s="167">
        <f>F356&amp;G356</f>
        <v/>
      </c>
      <c r="C356" s="156">
        <f>(K356/MAX(K:K)*$K$1)+(O356/MAX(O:O)*$O$1)+(M356/MAX(M:M)*$M$1)+(N356/MAX(N:N)*$N$1)+(V356/MAX(V:V)*$V$1)+(P356/MAX(P:P)*$P$1)</f>
        <v/>
      </c>
      <c r="E356" s="156">
        <f>IFERROR(VLOOKUP(F356,AllPlayers!F:F,1,0),"------------")</f>
        <v/>
      </c>
      <c r="F356" s="156" t="inlineStr">
        <is>
          <t>Harrison Bryant</t>
        </is>
      </c>
      <c r="G356" s="167" t="inlineStr">
        <is>
          <t>HOU</t>
        </is>
      </c>
      <c r="H356" s="156" t="inlineStr">
        <is>
          <t>TE</t>
        </is>
      </c>
      <c r="I356" s="156" t="n">
        <v>1</v>
      </c>
      <c r="J356" s="156" t="n">
        <v>0</v>
      </c>
      <c r="K356" s="156" t="n">
        <v>0</v>
      </c>
      <c r="L356" s="156">
        <f>IF(J356=0,0,K356/J356)</f>
        <v/>
      </c>
      <c r="M356" s="156">
        <f>K356/17</f>
        <v/>
      </c>
      <c r="N356" s="156" t="n">
        <v>0</v>
      </c>
      <c r="O356" s="156" t="n">
        <v>1</v>
      </c>
      <c r="P356" s="281">
        <f>IF(K356=0,0,K356/O356)</f>
        <v/>
      </c>
      <c r="Q356" s="156" t="n">
        <v>0</v>
      </c>
      <c r="R356" s="156" t="n">
        <v>0</v>
      </c>
      <c r="S356" s="156" t="n">
        <v>0</v>
      </c>
      <c r="T356" s="156" t="n">
        <v>0</v>
      </c>
      <c r="U356" s="156" t="n">
        <v>0</v>
      </c>
      <c r="V356" s="156" t="n">
        <v>0</v>
      </c>
      <c r="W356" s="156" t="n">
        <v>0</v>
      </c>
      <c r="X356" s="204">
        <f>INDEX(Matrix!$AA$2:$AA$33, MATCH(G356, Matrix!$AC$2:$AC$33, 0))</f>
        <v/>
      </c>
      <c r="Y356" s="156">
        <f>_xlfn.IFNA(MATCH(E355,'Injury Report'!$C$2:$C$6216,0),0)</f>
        <v/>
      </c>
    </row>
    <row r="357" ht="15.6" customHeight="1" s="152">
      <c r="A357" s="212" t="n">
        <v>355</v>
      </c>
      <c r="B357" s="167">
        <f>F357&amp;G357</f>
        <v/>
      </c>
      <c r="C357" s="156">
        <f>(K357/MAX(K:K)*$K$1)+(O357/MAX(O:O)*$O$1)+(M357/MAX(M:M)*$M$1)+(N357/MAX(N:N)*$N$1)+(V357/MAX(V:V)*$V$1)+(P357/MAX(P:P)*$P$1)</f>
        <v/>
      </c>
      <c r="E357" s="156">
        <f>IFERROR(VLOOKUP(F357,AllPlayers!F:F,1,0),"------------")</f>
        <v/>
      </c>
      <c r="F357" s="156" t="inlineStr">
        <is>
          <t>Tyree Jackson</t>
        </is>
      </c>
      <c r="G357" s="167" t="inlineStr">
        <is>
          <t>WAS</t>
        </is>
      </c>
      <c r="H357" s="156" t="inlineStr">
        <is>
          <t>TE</t>
        </is>
      </c>
      <c r="I357" s="156" t="n">
        <v>17</v>
      </c>
      <c r="J357" s="156" t="n">
        <v>0</v>
      </c>
      <c r="K357" s="156" t="n">
        <v>0</v>
      </c>
      <c r="L357" s="156">
        <f>IF(J357=0,0,K357/J357)</f>
        <v/>
      </c>
      <c r="M357" s="156">
        <f>K357/17</f>
        <v/>
      </c>
      <c r="N357" s="156" t="n">
        <v>0</v>
      </c>
      <c r="O357" s="156" t="n">
        <v>7</v>
      </c>
      <c r="P357" s="281">
        <f>IF(K357=0,0,K357/O357)</f>
        <v/>
      </c>
      <c r="Q357" s="156" t="n">
        <v>0</v>
      </c>
      <c r="R357" s="156" t="n">
        <v>0</v>
      </c>
      <c r="S357" s="156" t="n">
        <v>0</v>
      </c>
      <c r="T357" s="156" t="n">
        <v>0</v>
      </c>
      <c r="U357" s="156" t="n">
        <v>0</v>
      </c>
      <c r="V357" s="156" t="n">
        <v>0</v>
      </c>
      <c r="W357" s="156" t="n">
        <v>0</v>
      </c>
      <c r="X357" s="204">
        <f>INDEX(Matrix!$AA$2:$AA$33, MATCH(G357, Matrix!$AC$2:$AC$33, 0))</f>
        <v/>
      </c>
      <c r="Y357" s="156">
        <f>_xlfn.IFNA(MATCH(E356,'Injury Report'!$C$2:$C$6216,0),0)</f>
        <v/>
      </c>
    </row>
    <row r="358" ht="15.6" customHeight="1" s="152">
      <c r="A358" s="212" t="n">
        <v>356</v>
      </c>
      <c r="B358" s="167">
        <f>F358&amp;G358</f>
        <v/>
      </c>
      <c r="C358" s="156">
        <f>(K358/MAX(K:K)*$K$1)+(O358/MAX(O:O)*$O$1)+(M358/MAX(M:M)*$M$1)+(N358/MAX(N:N)*$N$1)+(V358/MAX(V:V)*$V$1)+(P358/MAX(P:P)*$P$1)</f>
        <v/>
      </c>
      <c r="E358" s="156">
        <f>IFERROR(VLOOKUP(F358,AllPlayers!F:F,1,0),"------------")</f>
        <v/>
      </c>
      <c r="F358" s="156" t="inlineStr">
        <is>
          <t>Stephen Carlson</t>
        </is>
      </c>
      <c r="G358" s="167" t="inlineStr">
        <is>
          <t>CHI</t>
        </is>
      </c>
      <c r="H358" s="156" t="inlineStr">
        <is>
          <t>TE</t>
        </is>
      </c>
      <c r="I358" s="156" t="n">
        <v>17</v>
      </c>
      <c r="J358" s="156" t="n">
        <v>0</v>
      </c>
      <c r="K358" s="156" t="n">
        <v>0</v>
      </c>
      <c r="L358" s="156">
        <f>IF(J358=0,0,K358/J358)</f>
        <v/>
      </c>
      <c r="M358" s="156">
        <f>K358/17</f>
        <v/>
      </c>
      <c r="N358" s="156" t="n">
        <v>0</v>
      </c>
      <c r="O358" s="156" t="n">
        <v>13</v>
      </c>
      <c r="P358" s="281">
        <f>IF(K358=0,0,K358/O358)</f>
        <v/>
      </c>
      <c r="Q358" s="156" t="n">
        <v>0</v>
      </c>
      <c r="R358" s="156" t="n">
        <v>0</v>
      </c>
      <c r="S358" s="156" t="n">
        <v>0</v>
      </c>
      <c r="T358" s="156" t="n">
        <v>0</v>
      </c>
      <c r="U358" s="156" t="n">
        <v>0</v>
      </c>
      <c r="V358" s="156" t="n">
        <v>0</v>
      </c>
      <c r="W358" s="156" t="n">
        <v>0</v>
      </c>
      <c r="X358" s="204">
        <f>INDEX(Matrix!$AA$2:$AA$33, MATCH(G358, Matrix!$AC$2:$AC$33, 0))</f>
        <v/>
      </c>
      <c r="Y358" s="156">
        <f>_xlfn.IFNA(MATCH(E357,'Injury Report'!$C$2:$C$6216,0),0)</f>
        <v/>
      </c>
    </row>
    <row r="359" ht="15.6" customHeight="1" s="152">
      <c r="A359" s="212" t="n">
        <v>357</v>
      </c>
      <c r="B359" s="167">
        <f>F359&amp;G359</f>
        <v/>
      </c>
      <c r="C359" s="156">
        <f>(K359/MAX(K:K)*$K$1)+(O359/MAX(O:O)*$O$1)+(M359/MAX(M:M)*$M$1)+(N359/MAX(N:N)*$N$1)+(V359/MAX(V:V)*$V$1)+(P359/MAX(P:P)*$P$1)</f>
        <v/>
      </c>
      <c r="E359" s="156">
        <f>IFERROR(VLOOKUP(F359,AllPlayers!F:F,1,0),"------------")</f>
        <v/>
      </c>
      <c r="F359" s="156" t="inlineStr">
        <is>
          <t>Donald Parham</t>
        </is>
      </c>
      <c r="G359" s="167" t="inlineStr">
        <is>
          <t>PIT</t>
        </is>
      </c>
      <c r="H359" s="156" t="inlineStr">
        <is>
          <t>TE</t>
        </is>
      </c>
      <c r="I359" s="156" t="n">
        <v>17</v>
      </c>
      <c r="J359" s="156" t="n">
        <v>0</v>
      </c>
      <c r="K359" s="156" t="n">
        <v>0</v>
      </c>
      <c r="L359" s="156">
        <f>IF(J359=0,0,K359/J359)</f>
        <v/>
      </c>
      <c r="M359" s="156">
        <f>K359/17</f>
        <v/>
      </c>
      <c r="N359" s="156" t="n">
        <v>0</v>
      </c>
      <c r="O359" s="156" t="n">
        <v>5</v>
      </c>
      <c r="P359" s="281">
        <f>IF(K359=0,0,K359/O359)</f>
        <v/>
      </c>
      <c r="Q359" s="156" t="n">
        <v>0</v>
      </c>
      <c r="R359" s="156" t="n">
        <v>0</v>
      </c>
      <c r="S359" s="156" t="n">
        <v>0</v>
      </c>
      <c r="T359" s="156" t="n">
        <v>0</v>
      </c>
      <c r="U359" s="156" t="n">
        <v>0</v>
      </c>
      <c r="V359" s="156" t="n">
        <v>0</v>
      </c>
      <c r="W359" s="156" t="n">
        <v>0</v>
      </c>
      <c r="X359" s="204">
        <f>INDEX(Matrix!$AA$2:$AA$33, MATCH(G359, Matrix!$AC$2:$AC$33, 0))</f>
        <v/>
      </c>
      <c r="Y359" s="156">
        <f>_xlfn.IFNA(MATCH(E358,'Injury Report'!$C$2:$C$6216,0),0)</f>
        <v/>
      </c>
    </row>
    <row r="360" ht="15.6" customHeight="1" s="152">
      <c r="A360" s="212" t="n">
        <v>358</v>
      </c>
      <c r="B360" s="167">
        <f>F360&amp;G360</f>
        <v/>
      </c>
      <c r="C360" s="156">
        <f>(K360/MAX(K:K)*$K$1)+(O360/MAX(O:O)*$O$1)+(M360/MAX(M:M)*$M$1)+(N360/MAX(N:N)*$N$1)+(V360/MAX(V:V)*$V$1)+(P360/MAX(P:P)*$P$1)</f>
        <v/>
      </c>
      <c r="E360" s="156">
        <f>IFERROR(VLOOKUP(F360,AllPlayers!F:F,1,0),"------------")</f>
        <v/>
      </c>
      <c r="F360" s="156" t="inlineStr">
        <is>
          <t>Josiah Deguara</t>
        </is>
      </c>
      <c r="G360" s="167" t="inlineStr">
        <is>
          <t>ARI</t>
        </is>
      </c>
      <c r="H360" s="156" t="inlineStr">
        <is>
          <t>TE</t>
        </is>
      </c>
      <c r="I360" s="156" t="n">
        <v>1</v>
      </c>
      <c r="J360" s="156" t="n">
        <v>0</v>
      </c>
      <c r="K360" s="156" t="n">
        <v>0</v>
      </c>
      <c r="L360" s="156">
        <f>IF(J360=0,0,K360/J360)</f>
        <v/>
      </c>
      <c r="M360" s="156">
        <f>K360/17</f>
        <v/>
      </c>
      <c r="N360" s="156" t="n">
        <v>0</v>
      </c>
      <c r="O360" s="156" t="n">
        <v>0</v>
      </c>
      <c r="P360" s="281">
        <f>IF(K360=0,0,K360/O360)</f>
        <v/>
      </c>
      <c r="Q360" s="156" t="n">
        <v>0</v>
      </c>
      <c r="R360" s="156" t="n">
        <v>0</v>
      </c>
      <c r="S360" s="156" t="n">
        <v>0</v>
      </c>
      <c r="T360" s="156" t="n">
        <v>0</v>
      </c>
      <c r="U360" s="156" t="n">
        <v>0</v>
      </c>
      <c r="V360" s="156" t="n">
        <v>0</v>
      </c>
      <c r="W360" s="156" t="n">
        <v>0</v>
      </c>
      <c r="X360" s="204">
        <f>INDEX(Matrix!$AA$2:$AA$33, MATCH(G360, Matrix!$AC$2:$AC$33, 0))</f>
        <v/>
      </c>
      <c r="Y360" s="156">
        <f>_xlfn.IFNA(MATCH(E359,'Injury Report'!$C$2:$C$6216,0),0)</f>
        <v/>
      </c>
    </row>
    <row r="361" ht="15.6" customHeight="1" s="152">
      <c r="A361" s="212" t="n">
        <v>359</v>
      </c>
      <c r="B361" s="167">
        <f>F361&amp;G361</f>
        <v/>
      </c>
      <c r="C361" s="156">
        <f>(K361/MAX(K:K)*$K$1)+(O361/MAX(O:O)*$O$1)+(M361/MAX(M:M)*$M$1)+(N361/MAX(N:N)*$N$1)+(V361/MAX(V:V)*$V$1)+(P361/MAX(P:P)*$P$1)</f>
        <v/>
      </c>
      <c r="E361" s="156">
        <f>IFERROR(VLOOKUP(F361,AllPlayers!F:F,1,0),"------------")</f>
        <v/>
      </c>
      <c r="F361" s="156" t="inlineStr">
        <is>
          <t>Albert Okwuegbunam</t>
        </is>
      </c>
      <c r="G361" s="167" t="inlineStr">
        <is>
          <t>LV</t>
        </is>
      </c>
      <c r="H361" s="156" t="inlineStr">
        <is>
          <t>TE</t>
        </is>
      </c>
      <c r="I361" s="156" t="n">
        <v>17</v>
      </c>
      <c r="J361" s="156" t="n">
        <v>0</v>
      </c>
      <c r="K361" s="156" t="n">
        <v>0</v>
      </c>
      <c r="L361" s="156">
        <f>IF(J361=0,0,K361/J361)</f>
        <v/>
      </c>
      <c r="M361" s="156">
        <f>K361/17</f>
        <v/>
      </c>
      <c r="N361" s="156" t="n">
        <v>0</v>
      </c>
      <c r="O361" s="156" t="n">
        <v>6</v>
      </c>
      <c r="P361" s="281">
        <f>IF(K361=0,0,K361/O361)</f>
        <v/>
      </c>
      <c r="Q361" s="156" t="n">
        <v>0</v>
      </c>
      <c r="R361" s="156" t="n">
        <v>0</v>
      </c>
      <c r="S361" s="156" t="n">
        <v>0</v>
      </c>
      <c r="T361" s="156" t="n">
        <v>0</v>
      </c>
      <c r="U361" s="156" t="n">
        <v>0</v>
      </c>
      <c r="V361" s="156" t="n">
        <v>1</v>
      </c>
      <c r="W361" s="156" t="n">
        <v>0</v>
      </c>
      <c r="X361" s="204">
        <f>INDEX(Matrix!$AA$2:$AA$33, MATCH(G361, Matrix!$AC$2:$AC$33, 0))</f>
        <v/>
      </c>
      <c r="Y361" s="156">
        <f>_xlfn.IFNA(MATCH(E360,'Injury Report'!$C$2:$C$6216,0),0)</f>
        <v/>
      </c>
    </row>
    <row r="362" ht="15.6" customHeight="1" s="152">
      <c r="A362" s="212" t="n">
        <v>360</v>
      </c>
      <c r="B362" s="167">
        <f>F362&amp;G362</f>
        <v/>
      </c>
      <c r="C362" s="156">
        <f>(K362/MAX(K:K)*$K$1)+(O362/MAX(O:O)*$O$1)+(M362/MAX(M:M)*$M$1)+(N362/MAX(N:N)*$N$1)+(V362/MAX(V:V)*$V$1)+(P362/MAX(P:P)*$P$1)</f>
        <v/>
      </c>
      <c r="E362" s="156">
        <f>IFERROR(VLOOKUP(F362,AllPlayers!F:F,1,0),"------------")</f>
        <v/>
      </c>
      <c r="F362" s="156" t="inlineStr">
        <is>
          <t>Sean Mckeon</t>
        </is>
      </c>
      <c r="G362" s="167" t="inlineStr">
        <is>
          <t>IND</t>
        </is>
      </c>
      <c r="H362" s="156" t="inlineStr">
        <is>
          <t>TE</t>
        </is>
      </c>
      <c r="I362" s="156" t="n">
        <v>17</v>
      </c>
      <c r="J362" s="156" t="n">
        <v>0</v>
      </c>
      <c r="K362" s="156" t="n">
        <v>0</v>
      </c>
      <c r="L362" s="156">
        <f>IF(J362=0,0,K362/J362)</f>
        <v/>
      </c>
      <c r="M362" s="156">
        <f>K362/17</f>
        <v/>
      </c>
      <c r="N362" s="156" t="n">
        <v>0</v>
      </c>
      <c r="O362" s="156" t="n">
        <v>4</v>
      </c>
      <c r="P362" s="281">
        <f>IF(K362=0,0,K362/O362)</f>
        <v/>
      </c>
      <c r="Q362" s="156" t="n">
        <v>0</v>
      </c>
      <c r="R362" s="156" t="n">
        <v>0</v>
      </c>
      <c r="S362" s="156" t="n">
        <v>0</v>
      </c>
      <c r="T362" s="156" t="n">
        <v>0</v>
      </c>
      <c r="U362" s="156" t="n">
        <v>0</v>
      </c>
      <c r="V362" s="156" t="n">
        <v>0</v>
      </c>
      <c r="W362" s="156" t="n">
        <v>0</v>
      </c>
      <c r="X362" s="204">
        <f>INDEX(Matrix!$AA$2:$AA$33, MATCH(G362, Matrix!$AC$2:$AC$33, 0))</f>
        <v/>
      </c>
      <c r="Y362" s="156">
        <f>_xlfn.IFNA(MATCH(E361,'Injury Report'!$C$2:$C$6216,0),0)</f>
        <v/>
      </c>
    </row>
    <row r="363" ht="15.6" customHeight="1" s="152">
      <c r="A363" s="212" t="n">
        <v>361</v>
      </c>
      <c r="B363" s="167">
        <f>F363&amp;G363</f>
        <v/>
      </c>
      <c r="C363" s="156">
        <f>(K363/MAX(K:K)*$K$1)+(O363/MAX(O:O)*$O$1)+(M363/MAX(M:M)*$M$1)+(N363/MAX(N:N)*$N$1)+(V363/MAX(V:V)*$V$1)+(P363/MAX(P:P)*$P$1)</f>
        <v/>
      </c>
      <c r="E363" s="156">
        <f>IFERROR(VLOOKUP(F363,AllPlayers!F:F,1,0),"------------")</f>
        <v/>
      </c>
      <c r="F363" s="156" t="inlineStr">
        <is>
          <t>Matt Sokol</t>
        </is>
      </c>
      <c r="G363" s="167" t="inlineStr">
        <is>
          <t>BUF</t>
        </is>
      </c>
      <c r="H363" s="156" t="inlineStr">
        <is>
          <t>TE</t>
        </is>
      </c>
      <c r="I363" s="156" t="n">
        <v>17</v>
      </c>
      <c r="J363" s="156" t="n">
        <v>0</v>
      </c>
      <c r="K363" s="156" t="n">
        <v>0</v>
      </c>
      <c r="L363" s="156">
        <f>IF(J363=0,0,K363/J363)</f>
        <v/>
      </c>
      <c r="M363" s="156">
        <f>K363/17</f>
        <v/>
      </c>
      <c r="N363" s="156" t="n">
        <v>0</v>
      </c>
      <c r="O363" s="156" t="n">
        <v>8</v>
      </c>
      <c r="P363" s="281">
        <f>IF(K363=0,0,K363/O363)</f>
        <v/>
      </c>
      <c r="Q363" s="156" t="n">
        <v>0</v>
      </c>
      <c r="R363" s="156" t="n">
        <v>0</v>
      </c>
      <c r="S363" s="156" t="n">
        <v>0</v>
      </c>
      <c r="T363" s="156" t="n">
        <v>0</v>
      </c>
      <c r="U363" s="156" t="n">
        <v>0</v>
      </c>
      <c r="V363" s="156" t="n">
        <v>0</v>
      </c>
      <c r="W363" s="156" t="n">
        <v>0</v>
      </c>
      <c r="X363" s="204">
        <f>INDEX(Matrix!$AA$2:$AA$33, MATCH(G363, Matrix!$AC$2:$AC$33, 0))</f>
        <v/>
      </c>
      <c r="Y363" s="156">
        <f>_xlfn.IFNA(MATCH(E362,'Injury Report'!$C$2:$C$6216,0),0)</f>
        <v/>
      </c>
    </row>
    <row r="364" ht="15.6" customHeight="1" s="152">
      <c r="A364" s="212" t="n">
        <v>362</v>
      </c>
      <c r="B364" s="167">
        <f>F364&amp;G364</f>
        <v/>
      </c>
      <c r="C364" s="156">
        <f>(K364/MAX(K:K)*$K$1)+(O364/MAX(O:O)*$O$1)+(M364/MAX(M:M)*$M$1)+(N364/MAX(N:N)*$N$1)+(V364/MAX(V:V)*$V$1)+(P364/MAX(P:P)*$P$1)</f>
        <v/>
      </c>
      <c r="E364" s="156">
        <f>IFERROR(VLOOKUP(F364,AllPlayers!F:F,1,0),"------------")</f>
        <v/>
      </c>
      <c r="F364" s="156" t="inlineStr">
        <is>
          <t>Brevin Jordan</t>
        </is>
      </c>
      <c r="G364" s="167" t="inlineStr">
        <is>
          <t>HOU</t>
        </is>
      </c>
      <c r="H364" s="156" t="inlineStr">
        <is>
          <t>TE</t>
        </is>
      </c>
      <c r="I364" s="156" t="n">
        <v>17</v>
      </c>
      <c r="J364" s="156" t="n">
        <v>0</v>
      </c>
      <c r="K364" s="156" t="n">
        <v>0</v>
      </c>
      <c r="L364" s="156">
        <f>IF(J364=0,0,K364/J364)</f>
        <v/>
      </c>
      <c r="M364" s="156">
        <f>K364/17</f>
        <v/>
      </c>
      <c r="N364" s="156" t="n">
        <v>0</v>
      </c>
      <c r="O364" s="156" t="n">
        <v>1</v>
      </c>
      <c r="P364" s="281">
        <f>IF(K364=0,0,K364/O364)</f>
        <v/>
      </c>
      <c r="Q364" s="156" t="n">
        <v>1</v>
      </c>
      <c r="R364" s="156" t="n">
        <v>0</v>
      </c>
      <c r="S364" s="156" t="n">
        <v>0</v>
      </c>
      <c r="T364" s="156" t="n">
        <v>0</v>
      </c>
      <c r="U364" s="156" t="n">
        <v>0</v>
      </c>
      <c r="V364" s="156" t="n">
        <v>0</v>
      </c>
      <c r="W364" s="156" t="n">
        <v>0</v>
      </c>
      <c r="X364" s="204">
        <f>INDEX(Matrix!$AA$2:$AA$33, MATCH(G364, Matrix!$AC$2:$AC$33, 0))</f>
        <v/>
      </c>
      <c r="Y364" s="156">
        <f>_xlfn.IFNA(MATCH(E363,'Injury Report'!$C$2:$C$6216,0),0)</f>
        <v/>
      </c>
    </row>
    <row r="365" ht="15.6" customHeight="1" s="152">
      <c r="A365" s="212" t="n">
        <v>363</v>
      </c>
      <c r="B365" s="167">
        <f>F365&amp;G365</f>
        <v/>
      </c>
      <c r="C365" s="156">
        <f>(K365/MAX(K:K)*$K$1)+(O365/MAX(O:O)*$O$1)+(M365/MAX(M:M)*$M$1)+(N365/MAX(N:N)*$N$1)+(V365/MAX(V:V)*$V$1)+(P365/MAX(P:P)*$P$1)</f>
        <v/>
      </c>
      <c r="E365" s="156">
        <f>IFERROR(VLOOKUP(F365,AllPlayers!F:F,1,0),"------------")</f>
        <v/>
      </c>
      <c r="F365" s="156" t="inlineStr">
        <is>
          <t>Shane Zylstra</t>
        </is>
      </c>
      <c r="G365" s="167" t="inlineStr">
        <is>
          <t>DET</t>
        </is>
      </c>
      <c r="H365" s="156" t="inlineStr">
        <is>
          <t>TE</t>
        </is>
      </c>
      <c r="I365" s="156" t="n">
        <v>17</v>
      </c>
      <c r="J365" s="156" t="n">
        <v>0</v>
      </c>
      <c r="K365" s="156" t="n">
        <v>0</v>
      </c>
      <c r="L365" s="156">
        <f>IF(J365=0,0,K365/J365)</f>
        <v/>
      </c>
      <c r="M365" s="156">
        <f>K365/17</f>
        <v/>
      </c>
      <c r="N365" s="156" t="n">
        <v>0</v>
      </c>
      <c r="O365" s="156" t="n">
        <v>6</v>
      </c>
      <c r="P365" s="281">
        <f>IF(K365=0,0,K365/O365)</f>
        <v/>
      </c>
      <c r="Q365" s="156" t="n">
        <v>0</v>
      </c>
      <c r="R365" s="156" t="n">
        <v>0</v>
      </c>
      <c r="S365" s="156" t="n">
        <v>0</v>
      </c>
      <c r="T365" s="156" t="n">
        <v>0</v>
      </c>
      <c r="U365" s="156" t="n">
        <v>0</v>
      </c>
      <c r="V365" s="156" t="n">
        <v>0</v>
      </c>
      <c r="W365" s="156" t="n">
        <v>0</v>
      </c>
      <c r="X365" s="204">
        <f>INDEX(Matrix!$AA$2:$AA$33, MATCH(G365, Matrix!$AC$2:$AC$33, 0))</f>
        <v/>
      </c>
      <c r="Y365" s="156">
        <f>_xlfn.IFNA(MATCH(E364,'Injury Report'!$C$2:$C$6216,0),0)</f>
        <v/>
      </c>
    </row>
    <row r="366" ht="15.6" customHeight="1" s="152">
      <c r="A366" s="212" t="n">
        <v>364</v>
      </c>
      <c r="B366" s="167">
        <f>F366&amp;G366</f>
        <v/>
      </c>
      <c r="C366" s="156">
        <f>(K366/MAX(K:K)*$K$1)+(O366/MAX(O:O)*$O$1)+(M366/MAX(M:M)*$M$1)+(N366/MAX(N:N)*$N$1)+(V366/MAX(V:V)*$V$1)+(P366/MAX(P:P)*$P$1)</f>
        <v/>
      </c>
      <c r="E366" s="156">
        <f>IFERROR(VLOOKUP(F366,AllPlayers!F:F,1,0),"------------")</f>
        <v/>
      </c>
      <c r="F366" s="156" t="inlineStr">
        <is>
          <t>Tyler Mabry</t>
        </is>
      </c>
      <c r="G366" s="167" t="inlineStr">
        <is>
          <t>CAR</t>
        </is>
      </c>
      <c r="H366" s="156" t="inlineStr">
        <is>
          <t>TE</t>
        </is>
      </c>
      <c r="I366" s="156" t="n">
        <v>17</v>
      </c>
      <c r="J366" s="156" t="n">
        <v>0</v>
      </c>
      <c r="K366" s="156" t="n">
        <v>0</v>
      </c>
      <c r="L366" s="156">
        <f>IF(J366=0,0,K366/J366)</f>
        <v/>
      </c>
      <c r="M366" s="156">
        <f>K366/17</f>
        <v/>
      </c>
      <c r="N366" s="156" t="n">
        <v>0</v>
      </c>
      <c r="O366" s="156" t="n">
        <v>8</v>
      </c>
      <c r="P366" s="281">
        <f>IF(K366=0,0,K366/O366)</f>
        <v/>
      </c>
      <c r="Q366" s="156" t="n">
        <v>0</v>
      </c>
      <c r="R366" s="156" t="n">
        <v>0</v>
      </c>
      <c r="S366" s="156" t="n">
        <v>0</v>
      </c>
      <c r="T366" s="156" t="n">
        <v>0</v>
      </c>
      <c r="U366" s="156" t="n">
        <v>0</v>
      </c>
      <c r="V366" s="156" t="n">
        <v>0</v>
      </c>
      <c r="W366" s="156" t="n">
        <v>0</v>
      </c>
      <c r="X366" s="204">
        <f>INDEX(Matrix!$AA$2:$AA$33, MATCH(G366, Matrix!$AC$2:$AC$33, 0))</f>
        <v/>
      </c>
      <c r="Y366" s="156">
        <f>_xlfn.IFNA(MATCH(E365,'Injury Report'!$C$2:$C$6216,0),0)</f>
        <v/>
      </c>
    </row>
    <row r="367" ht="15.6" customHeight="1" s="152">
      <c r="A367" s="212" t="n">
        <v>365</v>
      </c>
      <c r="B367" s="167">
        <f>F367&amp;G367</f>
        <v/>
      </c>
      <c r="C367" s="156">
        <f>(K367/MAX(K:K)*$K$1)+(O367/MAX(O:O)*$O$1)+(M367/MAX(M:M)*$M$1)+(N367/MAX(N:N)*$N$1)+(V367/MAX(V:V)*$V$1)+(P367/MAX(P:P)*$P$1)</f>
        <v/>
      </c>
      <c r="E367" s="156">
        <f>IFERROR(VLOOKUP(F367,AllPlayers!F:F,1,0),"------------")</f>
        <v/>
      </c>
      <c r="F367" s="156" t="inlineStr">
        <is>
          <t>Ko Kieft</t>
        </is>
      </c>
      <c r="G367" s="167" t="inlineStr">
        <is>
          <t>TB</t>
        </is>
      </c>
      <c r="H367" s="156" t="inlineStr">
        <is>
          <t>TE</t>
        </is>
      </c>
      <c r="I367" s="156" t="n">
        <v>1</v>
      </c>
      <c r="J367" s="156" t="n">
        <v>0</v>
      </c>
      <c r="K367" s="156" t="n">
        <v>0</v>
      </c>
      <c r="L367" s="156">
        <f>IF(J367=0,0,K367/J367)</f>
        <v/>
      </c>
      <c r="M367" s="156">
        <f>K367/17</f>
        <v/>
      </c>
      <c r="N367" s="156" t="n">
        <v>0</v>
      </c>
      <c r="O367" s="156" t="n">
        <v>0</v>
      </c>
      <c r="P367" s="281">
        <f>IF(K367=0,0,K367/O367)</f>
        <v/>
      </c>
      <c r="Q367" s="156" t="n">
        <v>0</v>
      </c>
      <c r="R367" s="156" t="n">
        <v>0</v>
      </c>
      <c r="S367" s="156" t="n">
        <v>0</v>
      </c>
      <c r="T367" s="156" t="n">
        <v>0</v>
      </c>
      <c r="U367" s="156" t="n">
        <v>0</v>
      </c>
      <c r="V367" s="156" t="n">
        <v>0</v>
      </c>
      <c r="W367" s="156" t="n">
        <v>0</v>
      </c>
      <c r="X367" s="204">
        <f>INDEX(Matrix!$AA$2:$AA$33, MATCH(G367, Matrix!$AC$2:$AC$33, 0))</f>
        <v/>
      </c>
      <c r="Y367" s="156">
        <f>_xlfn.IFNA(MATCH(E366,'Injury Report'!$C$2:$C$6216,0),0)</f>
        <v/>
      </c>
    </row>
    <row r="368" ht="15.6" customHeight="1" s="152">
      <c r="A368" s="212" t="n">
        <v>366</v>
      </c>
      <c r="B368" s="167">
        <f>F368&amp;G368</f>
        <v/>
      </c>
      <c r="C368" s="156">
        <f>(K368/MAX(K:K)*$K$1)+(O368/MAX(O:O)*$O$1)+(M368/MAX(M:M)*$M$1)+(N368/MAX(N:N)*$N$1)+(V368/MAX(V:V)*$V$1)+(P368/MAX(P:P)*$P$1)</f>
        <v/>
      </c>
      <c r="E368" s="156">
        <f>IFERROR(VLOOKUP(F368,AllPlayers!F:F,1,0),"------------")</f>
        <v/>
      </c>
      <c r="F368" s="156" t="inlineStr">
        <is>
          <t>Cole Turner</t>
        </is>
      </c>
      <c r="G368" s="167" t="inlineStr">
        <is>
          <t>WAS</t>
        </is>
      </c>
      <c r="H368" s="156" t="inlineStr">
        <is>
          <t>TE</t>
        </is>
      </c>
      <c r="I368" s="156" t="n">
        <v>17</v>
      </c>
      <c r="J368" s="156" t="n">
        <v>0</v>
      </c>
      <c r="K368" s="156" t="n">
        <v>0</v>
      </c>
      <c r="L368" s="156">
        <f>IF(J368=0,0,K368/J368)</f>
        <v/>
      </c>
      <c r="M368" s="156">
        <f>K368/17</f>
        <v/>
      </c>
      <c r="N368" s="156" t="n">
        <v>0</v>
      </c>
      <c r="O368" s="156" t="n">
        <v>11</v>
      </c>
      <c r="P368" s="281">
        <f>IF(K368=0,0,K368/O368)</f>
        <v/>
      </c>
      <c r="Q368" s="156" t="n">
        <v>0</v>
      </c>
      <c r="R368" s="156" t="n">
        <v>0</v>
      </c>
      <c r="S368" s="156" t="n">
        <v>0</v>
      </c>
      <c r="T368" s="156" t="n">
        <v>0</v>
      </c>
      <c r="U368" s="156" t="n">
        <v>0</v>
      </c>
      <c r="V368" s="156" t="n">
        <v>1</v>
      </c>
      <c r="W368" s="156" t="n">
        <v>0</v>
      </c>
      <c r="X368" s="204">
        <f>INDEX(Matrix!$AA$2:$AA$33, MATCH(G368, Matrix!$AC$2:$AC$33, 0))</f>
        <v/>
      </c>
      <c r="Y368" s="156">
        <f>_xlfn.IFNA(MATCH(E367,'Injury Report'!$C$2:$C$6216,0),0)</f>
        <v/>
      </c>
    </row>
    <row r="369" ht="15.6" customHeight="1" s="152">
      <c r="A369" s="212" t="n">
        <v>367</v>
      </c>
      <c r="B369" s="167">
        <f>F369&amp;G369</f>
        <v/>
      </c>
      <c r="C369" s="156">
        <f>(K369/MAX(K:K)*$K$1)+(O369/MAX(O:O)*$O$1)+(M369/MAX(M:M)*$M$1)+(N369/MAX(N:N)*$N$1)+(V369/MAX(V:V)*$V$1)+(P369/MAX(P:P)*$P$1)</f>
        <v/>
      </c>
      <c r="E369" s="156">
        <f>IFERROR(VLOOKUP(F369,AllPlayers!F:F,1,0),"------------")</f>
        <v/>
      </c>
      <c r="F369" s="156" t="inlineStr">
        <is>
          <t>John Fitzpatrick</t>
        </is>
      </c>
      <c r="G369" s="167" t="inlineStr">
        <is>
          <t>GB</t>
        </is>
      </c>
      <c r="H369" s="156" t="inlineStr">
        <is>
          <t>TE</t>
        </is>
      </c>
      <c r="I369" s="156" t="n">
        <v>2</v>
      </c>
      <c r="J369" s="156" t="n">
        <v>1</v>
      </c>
      <c r="K369" s="156" t="n">
        <v>2</v>
      </c>
      <c r="L369" s="156">
        <f>IF(J369=0,0,K369/J369)</f>
        <v/>
      </c>
      <c r="M369" s="156">
        <f>K369/17</f>
        <v/>
      </c>
      <c r="N369" s="156" t="n">
        <v>0</v>
      </c>
      <c r="O369" s="156" t="n">
        <v>1</v>
      </c>
      <c r="P369" s="281">
        <f>IF(K369=0,0,K369/O369)</f>
        <v/>
      </c>
      <c r="Q369" s="156" t="n">
        <v>0</v>
      </c>
      <c r="R369" s="156" t="n">
        <v>0</v>
      </c>
      <c r="S369" s="156" t="n">
        <v>0</v>
      </c>
      <c r="T369" s="156" t="n">
        <v>0</v>
      </c>
      <c r="U369" s="156" t="n">
        <v>0</v>
      </c>
      <c r="V369" s="156" t="n">
        <v>0</v>
      </c>
      <c r="W369" s="156" t="n">
        <v>0</v>
      </c>
      <c r="X369" s="204">
        <f>INDEX(Matrix!$AA$2:$AA$33, MATCH(G369, Matrix!$AC$2:$AC$33, 0))</f>
        <v/>
      </c>
      <c r="Y369" s="156">
        <f>_xlfn.IFNA(MATCH(E368,'Injury Report'!$C$2:$C$6216,0),0)</f>
        <v/>
      </c>
    </row>
    <row r="370" ht="15.6" customHeight="1" s="152">
      <c r="A370" s="212" t="n">
        <v>368</v>
      </c>
      <c r="B370" s="167">
        <f>F370&amp;G370</f>
        <v/>
      </c>
      <c r="C370" s="156">
        <f>(K370/MAX(K:K)*$K$1)+(O370/MAX(O:O)*$O$1)+(M370/MAX(M:M)*$M$1)+(N370/MAX(N:N)*$N$1)+(V370/MAX(V:V)*$V$1)+(P370/MAX(P:P)*$P$1)</f>
        <v/>
      </c>
      <c r="E370" s="156">
        <f>IFERROR(VLOOKUP(F370,AllPlayers!F:F,1,0),"------------")</f>
        <v/>
      </c>
      <c r="F370" s="156" t="inlineStr">
        <is>
          <t>Nick Muse</t>
        </is>
      </c>
      <c r="G370" s="167" t="inlineStr">
        <is>
          <t>PHI</t>
        </is>
      </c>
      <c r="H370" s="156" t="inlineStr">
        <is>
          <t>TE</t>
        </is>
      </c>
      <c r="I370" s="156" t="n">
        <v>17</v>
      </c>
      <c r="J370" s="156" t="n">
        <v>0</v>
      </c>
      <c r="K370" s="156" t="n">
        <v>0</v>
      </c>
      <c r="L370" s="156">
        <f>IF(J370=0,0,K370/J370)</f>
        <v/>
      </c>
      <c r="M370" s="156">
        <f>K370/17</f>
        <v/>
      </c>
      <c r="N370" s="156" t="n">
        <v>0</v>
      </c>
      <c r="O370" s="156" t="n">
        <v>3</v>
      </c>
      <c r="P370" s="281">
        <f>IF(K370=0,0,K370/O370)</f>
        <v/>
      </c>
      <c r="Q370" s="156" t="n">
        <v>0</v>
      </c>
      <c r="R370" s="156" t="n">
        <v>0</v>
      </c>
      <c r="S370" s="156" t="n">
        <v>0</v>
      </c>
      <c r="T370" s="156" t="n">
        <v>0</v>
      </c>
      <c r="U370" s="156" t="n">
        <v>0</v>
      </c>
      <c r="V370" s="156" t="n">
        <v>0</v>
      </c>
      <c r="W370" s="156" t="n">
        <v>0</v>
      </c>
      <c r="X370" s="204">
        <f>INDEX(Matrix!$AA$2:$AA$33, MATCH(G370, Matrix!$AC$2:$AC$33, 0))</f>
        <v/>
      </c>
      <c r="Y370" s="156">
        <f>_xlfn.IFNA(MATCH(E369,'Injury Report'!$C$2:$C$6216,0),0)</f>
        <v/>
      </c>
    </row>
    <row r="371" ht="15.6" customHeight="1" s="152">
      <c r="A371" s="212" t="n">
        <v>369</v>
      </c>
      <c r="B371" s="167">
        <f>F371&amp;G371</f>
        <v/>
      </c>
      <c r="C371" s="156">
        <f>(K371/MAX(K:K)*$K$1)+(O371/MAX(O:O)*$O$1)+(M371/MAX(M:M)*$M$1)+(N371/MAX(N:N)*$N$1)+(V371/MAX(V:V)*$V$1)+(P371/MAX(P:P)*$P$1)</f>
        <v/>
      </c>
      <c r="E371" s="156">
        <f>IFERROR(VLOOKUP(F371,AllPlayers!F:F,1,0),"------------")</f>
        <v/>
      </c>
      <c r="F371" s="156" t="inlineStr">
        <is>
          <t>Jake Tonges</t>
        </is>
      </c>
      <c r="G371" s="167" t="inlineStr">
        <is>
          <t>SF</t>
        </is>
      </c>
      <c r="H371" s="156" t="inlineStr">
        <is>
          <t>TE</t>
        </is>
      </c>
      <c r="I371" s="156" t="n">
        <v>2</v>
      </c>
      <c r="J371" s="156" t="n">
        <v>7</v>
      </c>
      <c r="K371" s="156" t="n">
        <v>46</v>
      </c>
      <c r="L371" s="156">
        <f>IF(J371=0,0,K371/J371)</f>
        <v/>
      </c>
      <c r="M371" s="156">
        <f>K371/17</f>
        <v/>
      </c>
      <c r="N371" s="156" t="n">
        <v>1</v>
      </c>
      <c r="O371" s="156" t="n">
        <v>8</v>
      </c>
      <c r="P371" s="281">
        <f>IF(K371=0,0,K371/O371)</f>
        <v/>
      </c>
      <c r="Q371" s="156" t="n">
        <v>0</v>
      </c>
      <c r="R371" s="156" t="n">
        <v>0</v>
      </c>
      <c r="S371" s="156" t="n">
        <v>0</v>
      </c>
      <c r="T371" s="156" t="n">
        <v>0</v>
      </c>
      <c r="U371" s="156" t="n">
        <v>0</v>
      </c>
      <c r="V371" s="156" t="n">
        <v>0</v>
      </c>
      <c r="W371" s="156" t="n">
        <v>0</v>
      </c>
      <c r="X371" s="204">
        <f>INDEX(Matrix!$AA$2:$AA$33, MATCH(G371, Matrix!$AC$2:$AC$33, 0))</f>
        <v/>
      </c>
      <c r="Y371" s="156">
        <f>_xlfn.IFNA(MATCH(E370,'Injury Report'!$C$2:$C$6216,0),0)</f>
        <v/>
      </c>
    </row>
    <row r="372" ht="15.6" customHeight="1" s="152">
      <c r="A372" s="212" t="n">
        <v>370</v>
      </c>
      <c r="B372" s="167">
        <f>F372&amp;G372</f>
        <v/>
      </c>
      <c r="C372" s="156">
        <f>(K372/MAX(K:K)*$K$1)+(O372/MAX(O:O)*$O$1)+(M372/MAX(M:M)*$M$1)+(N372/MAX(N:N)*$N$1)+(V372/MAX(V:V)*$V$1)+(P372/MAX(P:P)*$P$1)</f>
        <v/>
      </c>
      <c r="E372" s="156">
        <f>IFERROR(VLOOKUP(F372,AllPlayers!F:F,1,0),"------------")</f>
        <v/>
      </c>
      <c r="F372" s="156" t="inlineStr">
        <is>
          <t>Cameron Latu</t>
        </is>
      </c>
      <c r="G372" s="167" t="inlineStr">
        <is>
          <t>PHI</t>
        </is>
      </c>
      <c r="H372" s="156" t="inlineStr">
        <is>
          <t>TE</t>
        </is>
      </c>
      <c r="I372" s="156" t="n">
        <v>17</v>
      </c>
      <c r="J372" s="156" t="n">
        <v>0</v>
      </c>
      <c r="K372" s="156" t="n">
        <v>0</v>
      </c>
      <c r="L372" s="156">
        <f>IF(J372=0,0,K372/J372)</f>
        <v/>
      </c>
      <c r="M372" s="156">
        <f>K372/17</f>
        <v/>
      </c>
      <c r="N372" s="156" t="n">
        <v>0</v>
      </c>
      <c r="O372" s="156" t="n">
        <v>4</v>
      </c>
      <c r="P372" s="281">
        <f>IF(K372=0,0,K372/O372)</f>
        <v/>
      </c>
      <c r="Q372" s="156" t="n">
        <v>0</v>
      </c>
      <c r="R372" s="156" t="n">
        <v>0</v>
      </c>
      <c r="S372" s="156" t="n">
        <v>0</v>
      </c>
      <c r="T372" s="156" t="n">
        <v>0</v>
      </c>
      <c r="U372" s="156" t="n">
        <v>0</v>
      </c>
      <c r="V372" s="156" t="n">
        <v>0</v>
      </c>
      <c r="W372" s="156" t="n">
        <v>0</v>
      </c>
      <c r="X372" s="204">
        <f>INDEX(Matrix!$AA$2:$AA$33, MATCH(G372, Matrix!$AC$2:$AC$33, 0))</f>
        <v/>
      </c>
      <c r="Y372" s="156">
        <f>_xlfn.IFNA(MATCH(E371,'Injury Report'!$C$2:$C$6216,0),0)</f>
        <v/>
      </c>
    </row>
    <row r="373" ht="15.6" customHeight="1" s="152">
      <c r="A373" s="212" t="n">
        <v>371</v>
      </c>
      <c r="B373" s="167">
        <f>F373&amp;G373</f>
        <v/>
      </c>
      <c r="C373" s="156">
        <f>(K373/MAX(K:K)*$K$1)+(O373/MAX(O:O)*$O$1)+(M373/MAX(M:M)*$M$1)+(N373/MAX(N:N)*$N$1)+(V373/MAX(V:V)*$V$1)+(P373/MAX(P:P)*$P$1)</f>
        <v/>
      </c>
      <c r="E373" s="156">
        <f>IFERROR(VLOOKUP(F373,AllPlayers!F:F,1,0),"------------")</f>
        <v/>
      </c>
      <c r="F373" s="156" t="inlineStr">
        <is>
          <t>Justin Shorter</t>
        </is>
      </c>
      <c r="G373" s="167" t="inlineStr">
        <is>
          <t>LV</t>
        </is>
      </c>
      <c r="H373" s="156" t="inlineStr">
        <is>
          <t>TE</t>
        </is>
      </c>
      <c r="I373" s="156" t="n">
        <v>1</v>
      </c>
      <c r="J373" s="156" t="n">
        <v>0</v>
      </c>
      <c r="K373" s="156" t="n">
        <v>0</v>
      </c>
      <c r="L373" s="156">
        <f>IF(J373=0,0,K373/J373)</f>
        <v/>
      </c>
      <c r="M373" s="156">
        <f>K373/17</f>
        <v/>
      </c>
      <c r="N373" s="156" t="n">
        <v>0</v>
      </c>
      <c r="O373" s="156" t="n">
        <v>0</v>
      </c>
      <c r="P373" s="281">
        <f>IF(K373=0,0,K373/O373)</f>
        <v/>
      </c>
      <c r="Q373" s="156" t="n">
        <v>0</v>
      </c>
      <c r="R373" s="156" t="n">
        <v>0</v>
      </c>
      <c r="S373" s="156" t="n">
        <v>0</v>
      </c>
      <c r="T373" s="156" t="n">
        <v>0</v>
      </c>
      <c r="U373" s="156" t="n">
        <v>0</v>
      </c>
      <c r="V373" s="156" t="n">
        <v>0</v>
      </c>
      <c r="W373" s="156" t="n">
        <v>0</v>
      </c>
      <c r="X373" s="204">
        <f>INDEX(Matrix!$AA$2:$AA$33, MATCH(G373, Matrix!$AC$2:$AC$33, 0))</f>
        <v/>
      </c>
      <c r="Y373" s="156">
        <f>_xlfn.IFNA(MATCH(E372,'Injury Report'!$C$2:$C$6216,0),0)</f>
        <v/>
      </c>
    </row>
    <row r="374" ht="15.6" customHeight="1" s="152">
      <c r="A374" s="212" t="n">
        <v>372</v>
      </c>
      <c r="B374" s="167">
        <f>F374&amp;G374</f>
        <v/>
      </c>
      <c r="C374" s="156">
        <f>(K374/MAX(K:K)*$K$1)+(O374/MAX(O:O)*$O$1)+(M374/MAX(M:M)*$M$1)+(N374/MAX(N:N)*$N$1)+(V374/MAX(V:V)*$V$1)+(P374/MAX(P:P)*$P$1)</f>
        <v/>
      </c>
      <c r="E374" s="156">
        <f>IFERROR(VLOOKUP(F374,AllPlayers!F:F,1,0),"------------")</f>
        <v/>
      </c>
      <c r="F374" s="156" t="inlineStr">
        <is>
          <t>Zack Kuntz</t>
        </is>
      </c>
      <c r="G374" s="167" t="inlineStr">
        <is>
          <t>NYJ</t>
        </is>
      </c>
      <c r="H374" s="156" t="inlineStr">
        <is>
          <t>TE</t>
        </is>
      </c>
      <c r="I374" s="156" t="n">
        <v>17</v>
      </c>
      <c r="J374" s="156" t="n">
        <v>0</v>
      </c>
      <c r="K374" s="156" t="n">
        <v>0</v>
      </c>
      <c r="L374" s="156">
        <f>IF(J374=0,0,K374/J374)</f>
        <v/>
      </c>
      <c r="M374" s="156">
        <f>K374/17</f>
        <v/>
      </c>
      <c r="N374" s="156" t="n">
        <v>0</v>
      </c>
      <c r="O374" s="156" t="n">
        <v>7</v>
      </c>
      <c r="P374" s="281">
        <f>IF(K374=0,0,K374/O374)</f>
        <v/>
      </c>
      <c r="Q374" s="156" t="n">
        <v>1</v>
      </c>
      <c r="R374" s="156" t="n">
        <v>0</v>
      </c>
      <c r="S374" s="156" t="n">
        <v>0</v>
      </c>
      <c r="T374" s="156" t="n">
        <v>0</v>
      </c>
      <c r="U374" s="156" t="n">
        <v>0</v>
      </c>
      <c r="V374" s="156" t="n">
        <v>0</v>
      </c>
      <c r="W374" s="156" t="n">
        <v>0</v>
      </c>
      <c r="X374" s="204">
        <f>INDEX(Matrix!$AA$2:$AA$33, MATCH(G374, Matrix!$AC$2:$AC$33, 0))</f>
        <v/>
      </c>
      <c r="Y374" s="156">
        <f>_xlfn.IFNA(MATCH(E373,'Injury Report'!$C$2:$C$6216,0),0)</f>
        <v/>
      </c>
    </row>
    <row r="375" ht="15.6" customHeight="1" s="152">
      <c r="A375" s="212" t="n">
        <v>373</v>
      </c>
      <c r="B375" s="167">
        <f>F375&amp;G375</f>
        <v/>
      </c>
      <c r="C375" s="156">
        <f>(K375/MAX(K:K)*$K$1)+(O375/MAX(O:O)*$O$1)+(M375/MAX(M:M)*$M$1)+(N375/MAX(N:N)*$N$1)+(V375/MAX(V:V)*$V$1)+(P375/MAX(P:P)*$P$1)</f>
        <v/>
      </c>
      <c r="E375" s="156">
        <f>IFERROR(VLOOKUP(F375,AllPlayers!F:F,1,0),"------------")</f>
        <v/>
      </c>
      <c r="F375" s="156" t="inlineStr">
        <is>
          <t>Princeton Fant</t>
        </is>
      </c>
      <c r="G375" s="167" t="inlineStr">
        <is>
          <t>DAL</t>
        </is>
      </c>
      <c r="H375" s="156" t="inlineStr">
        <is>
          <t>TE</t>
        </is>
      </c>
      <c r="I375" s="156" t="n">
        <v>17</v>
      </c>
      <c r="J375" s="156" t="n">
        <v>0</v>
      </c>
      <c r="K375" s="156" t="n">
        <v>0</v>
      </c>
      <c r="L375" s="156">
        <f>IF(J375=0,0,K375/J375)</f>
        <v/>
      </c>
      <c r="M375" s="156">
        <f>K375/17</f>
        <v/>
      </c>
      <c r="N375" s="156" t="n">
        <v>0</v>
      </c>
      <c r="O375" s="156" t="n">
        <v>8</v>
      </c>
      <c r="P375" s="281">
        <f>IF(K375=0,0,K375/O375)</f>
        <v/>
      </c>
      <c r="Q375" s="156" t="n">
        <v>0</v>
      </c>
      <c r="R375" s="156" t="n">
        <v>0</v>
      </c>
      <c r="S375" s="156" t="n">
        <v>0</v>
      </c>
      <c r="T375" s="156" t="n">
        <v>0</v>
      </c>
      <c r="U375" s="156" t="n">
        <v>0</v>
      </c>
      <c r="V375" s="156" t="n">
        <v>0</v>
      </c>
      <c r="W375" s="156" t="n">
        <v>0</v>
      </c>
      <c r="X375" s="204">
        <f>INDEX(Matrix!$AA$2:$AA$33, MATCH(G375, Matrix!$AC$2:$AC$33, 0))</f>
        <v/>
      </c>
      <c r="Y375" s="156">
        <f>_xlfn.IFNA(MATCH(E374,'Injury Report'!$C$2:$C$6216,0),0)</f>
        <v/>
      </c>
    </row>
    <row r="376" ht="15.6" customHeight="1" s="152">
      <c r="A376" s="212" t="n">
        <v>374</v>
      </c>
      <c r="B376" s="167">
        <f>F376&amp;G376</f>
        <v/>
      </c>
      <c r="C376" s="156">
        <f>(K376/MAX(K:K)*$K$1)+(O376/MAX(O:O)*$O$1)+(M376/MAX(M:M)*$M$1)+(N376/MAX(N:N)*$N$1)+(V376/MAX(V:V)*$V$1)+(P376/MAX(P:P)*$P$1)</f>
        <v/>
      </c>
      <c r="E376" s="156">
        <f>IFERROR(VLOOKUP(F376,AllPlayers!F:F,1,0),"------------")</f>
        <v/>
      </c>
      <c r="F376" s="156" t="inlineStr">
        <is>
          <t>John Stephens</t>
        </is>
      </c>
      <c r="G376" s="167" t="inlineStr">
        <is>
          <t>DAL</t>
        </is>
      </c>
      <c r="H376" s="156" t="inlineStr">
        <is>
          <t>TE</t>
        </is>
      </c>
      <c r="I376" s="156" t="n">
        <v>17</v>
      </c>
      <c r="J376" s="156" t="n">
        <v>0</v>
      </c>
      <c r="K376" s="156" t="n">
        <v>0</v>
      </c>
      <c r="L376" s="156">
        <f>IF(J376=0,0,K376/J376)</f>
        <v/>
      </c>
      <c r="M376" s="156">
        <f>K376/17</f>
        <v/>
      </c>
      <c r="N376" s="156" t="n">
        <v>0</v>
      </c>
      <c r="O376" s="156" t="n">
        <v>7</v>
      </c>
      <c r="P376" s="281">
        <f>IF(K376=0,0,K376/O376)</f>
        <v/>
      </c>
      <c r="Q376" s="156" t="n">
        <v>0</v>
      </c>
      <c r="R376" s="156" t="n">
        <v>0</v>
      </c>
      <c r="S376" s="156" t="n">
        <v>0</v>
      </c>
      <c r="T376" s="156" t="n">
        <v>0</v>
      </c>
      <c r="U376" s="156" t="n">
        <v>0</v>
      </c>
      <c r="V376" s="156" t="n">
        <v>0</v>
      </c>
      <c r="W376" s="156" t="n">
        <v>0</v>
      </c>
      <c r="X376" s="204">
        <f>INDEX(Matrix!$AA$2:$AA$33, MATCH(G376, Matrix!$AC$2:$AC$33, 0))</f>
        <v/>
      </c>
      <c r="Y376" s="156">
        <f>_xlfn.IFNA(MATCH(E375,'Injury Report'!$C$2:$C$6216,0),0)</f>
        <v/>
      </c>
    </row>
    <row r="377" ht="15.6" customHeight="1" s="152">
      <c r="A377" s="212" t="n">
        <v>375</v>
      </c>
      <c r="B377" s="167">
        <f>F377&amp;G377</f>
        <v/>
      </c>
      <c r="C377" s="156">
        <f>(K377/MAX(K:K)*$K$1)+(O377/MAX(O:O)*$O$1)+(M377/MAX(M:M)*$M$1)+(N377/MAX(N:N)*$N$1)+(V377/MAX(V:V)*$V$1)+(P377/MAX(P:P)*$P$1)</f>
        <v/>
      </c>
      <c r="E377" s="156">
        <f>IFERROR(VLOOKUP(F377,AllPlayers!F:F,1,0),"------------")</f>
        <v/>
      </c>
      <c r="F377" s="156" t="inlineStr">
        <is>
          <t>Colson Yankoff</t>
        </is>
      </c>
      <c r="G377" s="167" t="inlineStr">
        <is>
          <t>WAS</t>
        </is>
      </c>
      <c r="H377" s="156" t="inlineStr">
        <is>
          <t>TE</t>
        </is>
      </c>
      <c r="I377" s="156" t="n">
        <v>1</v>
      </c>
      <c r="J377" s="156" t="n">
        <v>0</v>
      </c>
      <c r="K377" s="156" t="n">
        <v>0</v>
      </c>
      <c r="L377" s="156">
        <f>IF(J377=0,0,K377/J377)</f>
        <v/>
      </c>
      <c r="M377" s="156">
        <f>K377/17</f>
        <v/>
      </c>
      <c r="N377" s="156" t="n">
        <v>0</v>
      </c>
      <c r="O377" s="156" t="n">
        <v>0</v>
      </c>
      <c r="P377" s="281">
        <f>IF(K377=0,0,K377/O377)</f>
        <v/>
      </c>
      <c r="Q377" s="156" t="n">
        <v>0</v>
      </c>
      <c r="R377" s="156" t="n">
        <v>0</v>
      </c>
      <c r="S377" s="156" t="n">
        <v>0</v>
      </c>
      <c r="T377" s="156" t="n">
        <v>0</v>
      </c>
      <c r="U377" s="156" t="n">
        <v>0</v>
      </c>
      <c r="V377" s="156" t="n">
        <v>0</v>
      </c>
      <c r="W377" s="156" t="n">
        <v>0</v>
      </c>
      <c r="X377" s="204">
        <f>INDEX(Matrix!$AA$2:$AA$33, MATCH(G377, Matrix!$AC$2:$AC$33, 0))</f>
        <v/>
      </c>
      <c r="Y377" s="156">
        <f>_xlfn.IFNA(MATCH(E376,'Injury Report'!$C$2:$C$6216,0),0)</f>
        <v/>
      </c>
    </row>
    <row r="378" ht="15.6" customHeight="1" s="152">
      <c r="A378" s="212" t="n">
        <v>376</v>
      </c>
      <c r="B378" s="167">
        <f>F378&amp;G378</f>
        <v/>
      </c>
      <c r="C378" s="156">
        <f>(K378/MAX(K:K)*$K$1)+(O378/MAX(O:O)*$O$1)+(M378/MAX(M:M)*$M$1)+(N378/MAX(N:N)*$N$1)+(V378/MAX(V:V)*$V$1)+(P378/MAX(P:P)*$P$1)</f>
        <v/>
      </c>
      <c r="E378" s="156">
        <f>IFERROR(VLOOKUP(F378,AllPlayers!F:F,1,0),"------------")</f>
        <v/>
      </c>
      <c r="F378" s="156" t="inlineStr">
        <is>
          <t>Thomas Odukoya</t>
        </is>
      </c>
      <c r="G378" s="167" t="inlineStr">
        <is>
          <t>TEN</t>
        </is>
      </c>
      <c r="H378" s="156" t="inlineStr">
        <is>
          <t>TE</t>
        </is>
      </c>
      <c r="I378" s="156" t="n">
        <v>17</v>
      </c>
      <c r="J378" s="156" t="n">
        <v>0</v>
      </c>
      <c r="K378" s="156" t="n">
        <v>0</v>
      </c>
      <c r="L378" s="156">
        <f>IF(J378=0,0,K378/J378)</f>
        <v/>
      </c>
      <c r="M378" s="156">
        <f>K378/17</f>
        <v/>
      </c>
      <c r="N378" s="156" t="n">
        <v>0</v>
      </c>
      <c r="O378" s="156" t="n">
        <v>5</v>
      </c>
      <c r="P378" s="281">
        <f>IF(K378=0,0,K378/O378)</f>
        <v/>
      </c>
      <c r="Q378" s="156" t="n">
        <v>0</v>
      </c>
      <c r="R378" s="156" t="n">
        <v>0</v>
      </c>
      <c r="S378" s="156" t="n">
        <v>0</v>
      </c>
      <c r="T378" s="156" t="n">
        <v>0</v>
      </c>
      <c r="U378" s="156" t="n">
        <v>0</v>
      </c>
      <c r="V378" s="156" t="n">
        <v>0</v>
      </c>
      <c r="W378" s="156" t="n">
        <v>0</v>
      </c>
      <c r="X378" s="204">
        <f>INDEX(Matrix!$AA$2:$AA$33, MATCH(G378, Matrix!$AC$2:$AC$33, 0))</f>
        <v/>
      </c>
      <c r="Y378" s="156">
        <f>_xlfn.IFNA(MATCH(E377,'Injury Report'!$C$2:$C$6216,0),0)</f>
        <v/>
      </c>
    </row>
    <row r="379" ht="15.6" customHeight="1" s="152">
      <c r="A379" s="212" t="n">
        <v>377</v>
      </c>
      <c r="B379" s="167">
        <f>F379&amp;G379</f>
        <v/>
      </c>
      <c r="C379" s="156">
        <f>(K379/MAX(K:K)*$K$1)+(O379/MAX(O:O)*$O$1)+(M379/MAX(M:M)*$M$1)+(N379/MAX(N:N)*$N$1)+(V379/MAX(V:V)*$V$1)+(P379/MAX(P:P)*$P$1)</f>
        <v/>
      </c>
      <c r="E379" s="156">
        <f>IFERROR(VLOOKUP(F379,AllPlayers!F:F,1,0),"------------")</f>
        <v/>
      </c>
      <c r="F379" s="156" t="inlineStr">
        <is>
          <t>E.J. Jenkins</t>
        </is>
      </c>
      <c r="G379" s="167" t="inlineStr">
        <is>
          <t>PHI</t>
        </is>
      </c>
      <c r="H379" s="156" t="inlineStr">
        <is>
          <t>TE</t>
        </is>
      </c>
      <c r="I379" s="156" t="n">
        <v>17</v>
      </c>
      <c r="J379" s="156" t="n">
        <v>0</v>
      </c>
      <c r="K379" s="156" t="n">
        <v>0</v>
      </c>
      <c r="L379" s="156">
        <f>IF(J379=0,0,K379/J379)</f>
        <v/>
      </c>
      <c r="M379" s="156">
        <f>K379/17</f>
        <v/>
      </c>
      <c r="N379" s="156" t="n">
        <v>0</v>
      </c>
      <c r="O379" s="156" t="n">
        <v>12</v>
      </c>
      <c r="P379" s="281">
        <f>IF(K379=0,0,K379/O379)</f>
        <v/>
      </c>
      <c r="Q379" s="156" t="n">
        <v>0</v>
      </c>
      <c r="R379" s="156" t="n">
        <v>0</v>
      </c>
      <c r="S379" s="156" t="n">
        <v>0</v>
      </c>
      <c r="T379" s="156" t="n">
        <v>0</v>
      </c>
      <c r="U379" s="156" t="n">
        <v>0</v>
      </c>
      <c r="V379" s="156" t="n">
        <v>0</v>
      </c>
      <c r="W379" s="156" t="n">
        <v>0</v>
      </c>
      <c r="X379" s="204">
        <f>INDEX(Matrix!$AA$2:$AA$33, MATCH(G379, Matrix!$AC$2:$AC$33, 0))</f>
        <v/>
      </c>
      <c r="Y379" s="156">
        <f>_xlfn.IFNA(MATCH(E378,'Injury Report'!$C$2:$C$6216,0),0)</f>
        <v/>
      </c>
    </row>
    <row r="380" ht="15.6" customHeight="1" s="152">
      <c r="A380" s="212" t="n">
        <v>378</v>
      </c>
      <c r="B380" s="167">
        <f>F380&amp;G380</f>
        <v/>
      </c>
      <c r="C380" s="156">
        <f>(K380/MAX(K:K)*$K$1)+(O380/MAX(O:O)*$O$1)+(M380/MAX(M:M)*$M$1)+(N380/MAX(N:N)*$N$1)+(V380/MAX(V:V)*$V$1)+(P380/MAX(P:P)*$P$1)</f>
        <v/>
      </c>
      <c r="E380" s="156">
        <f>IFERROR(VLOOKUP(F380,AllPlayers!F:F,1,0),"------------")</f>
        <v/>
      </c>
      <c r="F380" s="156" t="inlineStr">
        <is>
          <t>Baylor Cupp</t>
        </is>
      </c>
      <c r="G380" s="167" t="inlineStr">
        <is>
          <t>BAL</t>
        </is>
      </c>
      <c r="H380" s="156" t="inlineStr">
        <is>
          <t>TE</t>
        </is>
      </c>
      <c r="I380" s="156" t="n">
        <v>17</v>
      </c>
      <c r="J380" s="156" t="n">
        <v>0</v>
      </c>
      <c r="K380" s="156" t="n">
        <v>0</v>
      </c>
      <c r="L380" s="156">
        <f>IF(J380=0,0,K380/J380)</f>
        <v/>
      </c>
      <c r="M380" s="156">
        <f>K380/17</f>
        <v/>
      </c>
      <c r="N380" s="156" t="n">
        <v>0</v>
      </c>
      <c r="O380" s="156" t="n">
        <v>5</v>
      </c>
      <c r="P380" s="281">
        <f>IF(K380=0,0,K380/O380)</f>
        <v/>
      </c>
      <c r="Q380" s="156" t="n">
        <v>0</v>
      </c>
      <c r="R380" s="156" t="n">
        <v>0</v>
      </c>
      <c r="S380" s="156" t="n">
        <v>0</v>
      </c>
      <c r="T380" s="156" t="n">
        <v>0</v>
      </c>
      <c r="U380" s="156" t="n">
        <v>0</v>
      </c>
      <c r="V380" s="156" t="n">
        <v>0</v>
      </c>
      <c r="W380" s="156" t="n">
        <v>0</v>
      </c>
      <c r="X380" s="204">
        <f>INDEX(Matrix!$AA$2:$AA$33, MATCH(G380, Matrix!$AC$2:$AC$33, 0))</f>
        <v/>
      </c>
      <c r="Y380" s="156">
        <f>_xlfn.IFNA(MATCH(E379,'Injury Report'!$C$2:$C$6216,0),0)</f>
        <v/>
      </c>
    </row>
    <row r="381" ht="15.6" customHeight="1" s="152">
      <c r="A381" s="212" t="n">
        <v>379</v>
      </c>
      <c r="B381" s="167">
        <f>F381&amp;G381</f>
        <v/>
      </c>
      <c r="C381" s="156">
        <f>(K381/MAX(K:K)*$K$1)+(O381/MAX(O:O)*$O$1)+(M381/MAX(M:M)*$M$1)+(N381/MAX(N:N)*$N$1)+(V381/MAX(V:V)*$V$1)+(P381/MAX(P:P)*$P$1)</f>
        <v/>
      </c>
      <c r="E381" s="156">
        <f>IFERROR(VLOOKUP(F381,AllPlayers!F:F,1,0),"------------")</f>
        <v/>
      </c>
      <c r="F381" s="156" t="inlineStr">
        <is>
          <t>Jack Westover</t>
        </is>
      </c>
      <c r="G381" s="167" t="inlineStr">
        <is>
          <t>NE</t>
        </is>
      </c>
      <c r="H381" s="156" t="inlineStr">
        <is>
          <t>TE</t>
        </is>
      </c>
      <c r="I381" s="156" t="n">
        <v>17</v>
      </c>
      <c r="J381" s="156" t="n">
        <v>0</v>
      </c>
      <c r="K381" s="156" t="n">
        <v>0</v>
      </c>
      <c r="L381" s="156">
        <f>IF(J381=0,0,K381/J381)</f>
        <v/>
      </c>
      <c r="M381" s="156">
        <f>K381/17</f>
        <v/>
      </c>
      <c r="N381" s="156" t="n">
        <v>0</v>
      </c>
      <c r="O381" s="156" t="n">
        <v>1</v>
      </c>
      <c r="P381" s="281">
        <f>IF(K381=0,0,K381/O381)</f>
        <v/>
      </c>
      <c r="Q381" s="156" t="n">
        <v>1</v>
      </c>
      <c r="R381" s="156" t="n">
        <v>0</v>
      </c>
      <c r="S381" s="156" t="n">
        <v>0</v>
      </c>
      <c r="T381" s="156" t="n">
        <v>0</v>
      </c>
      <c r="U381" s="156" t="n">
        <v>0</v>
      </c>
      <c r="V381" s="156" t="n">
        <v>0</v>
      </c>
      <c r="W381" s="156" t="n">
        <v>0</v>
      </c>
      <c r="X381" s="204">
        <f>INDEX(Matrix!$AA$2:$AA$33, MATCH(G381, Matrix!$AC$2:$AC$33, 0))</f>
        <v/>
      </c>
      <c r="Y381" s="156">
        <f>_xlfn.IFNA(MATCH(E380,'Injury Report'!$C$2:$C$6216,0),0)</f>
        <v/>
      </c>
    </row>
    <row r="382" ht="15.6" customHeight="1" s="152">
      <c r="A382" s="212" t="n">
        <v>380</v>
      </c>
      <c r="B382" s="167">
        <f>F382&amp;G382</f>
        <v/>
      </c>
      <c r="C382" s="156">
        <f>(K382/MAX(K:K)*$K$1)+(O382/MAX(O:O)*$O$1)+(M382/MAX(M:M)*$M$1)+(N382/MAX(N:N)*$N$1)+(V382/MAX(V:V)*$V$1)+(P382/MAX(P:P)*$P$1)</f>
        <v/>
      </c>
      <c r="E382" s="156">
        <f>IFERROR(VLOOKUP(F382,AllPlayers!F:F,1,0),"------------")</f>
        <v/>
      </c>
      <c r="F382" s="156" t="inlineStr">
        <is>
          <t>Luke Lachey</t>
        </is>
      </c>
      <c r="G382" s="167" t="inlineStr">
        <is>
          <t>HOU</t>
        </is>
      </c>
      <c r="H382" s="156" t="inlineStr">
        <is>
          <t>TE</t>
        </is>
      </c>
      <c r="I382" s="156" t="n">
        <v>17</v>
      </c>
      <c r="J382" s="156" t="n">
        <v>0</v>
      </c>
      <c r="K382" s="156" t="n">
        <v>0</v>
      </c>
      <c r="L382" s="156">
        <f>IF(J382=0,0,K382/J382)</f>
        <v/>
      </c>
      <c r="M382" s="156">
        <f>K382/17</f>
        <v/>
      </c>
      <c r="N382" s="156" t="n">
        <v>0</v>
      </c>
      <c r="O382" s="156" t="n">
        <v>5</v>
      </c>
      <c r="P382" s="281">
        <f>IF(K382=0,0,K382/O382)</f>
        <v/>
      </c>
      <c r="Q382" s="156" t="n">
        <v>0</v>
      </c>
      <c r="R382" s="156" t="n">
        <v>0</v>
      </c>
      <c r="S382" s="156" t="n">
        <v>0</v>
      </c>
      <c r="T382" s="156" t="n">
        <v>0</v>
      </c>
      <c r="U382" s="156" t="n">
        <v>0</v>
      </c>
      <c r="V382" s="156" t="n">
        <v>0</v>
      </c>
      <c r="W382" s="156" t="n">
        <v>0</v>
      </c>
      <c r="X382" s="204">
        <f>INDEX(Matrix!$AA$2:$AA$33, MATCH(G382, Matrix!$AC$2:$AC$33, 0))</f>
        <v/>
      </c>
      <c r="Y382" s="156">
        <f>_xlfn.IFNA(MATCH(E381,'Injury Report'!$C$2:$C$6216,0),0)</f>
        <v/>
      </c>
    </row>
    <row r="383" ht="15.6" customHeight="1" s="152">
      <c r="A383" s="212" t="n">
        <v>381</v>
      </c>
      <c r="B383" s="167">
        <f>F383&amp;G383</f>
        <v/>
      </c>
      <c r="C383" s="156">
        <f>(K383/MAX(K:K)*$K$1)+(O383/MAX(O:O)*$O$1)+(M383/MAX(M:M)*$M$1)+(N383/MAX(N:N)*$N$1)+(V383/MAX(V:V)*$V$1)+(P383/MAX(P:P)*$P$1)</f>
        <v/>
      </c>
      <c r="E383" s="156">
        <f>IFERROR(VLOOKUP(F383,AllPlayers!F:F,1,0),"------------")</f>
        <v/>
      </c>
      <c r="F383" s="156" t="inlineStr">
        <is>
          <t>Moliki Matavao</t>
        </is>
      </c>
      <c r="G383" s="167" t="inlineStr">
        <is>
          <t>NO</t>
        </is>
      </c>
      <c r="H383" s="156" t="inlineStr">
        <is>
          <t>TE</t>
        </is>
      </c>
      <c r="I383" s="156" t="n">
        <v>17</v>
      </c>
      <c r="J383" s="156" t="n">
        <v>0</v>
      </c>
      <c r="K383" s="156" t="n">
        <v>0</v>
      </c>
      <c r="L383" s="156">
        <f>IF(J383=0,0,K383/J383)</f>
        <v/>
      </c>
      <c r="M383" s="156">
        <f>K383/17</f>
        <v/>
      </c>
      <c r="N383" s="156" t="n">
        <v>0</v>
      </c>
      <c r="O383" s="156" t="n">
        <v>12</v>
      </c>
      <c r="P383" s="281">
        <f>IF(K383=0,0,K383/O383)</f>
        <v/>
      </c>
      <c r="Q383" s="156" t="n">
        <v>0</v>
      </c>
      <c r="R383" s="156" t="n">
        <v>0</v>
      </c>
      <c r="S383" s="156" t="n">
        <v>0</v>
      </c>
      <c r="T383" s="156" t="n">
        <v>0</v>
      </c>
      <c r="U383" s="156" t="n">
        <v>0</v>
      </c>
      <c r="V383" s="156" t="n">
        <v>0</v>
      </c>
      <c r="W383" s="156" t="n">
        <v>0</v>
      </c>
      <c r="X383" s="204">
        <f>INDEX(Matrix!$AA$2:$AA$33, MATCH(G383, Matrix!$AC$2:$AC$33, 0))</f>
        <v/>
      </c>
      <c r="Y383" s="156">
        <f>_xlfn.IFNA(MATCH(E382,'Injury Report'!$C$2:$C$6216,0),0)</f>
        <v/>
      </c>
    </row>
    <row r="384" ht="15.6" customHeight="1" s="152">
      <c r="A384" s="212" t="n">
        <v>382</v>
      </c>
      <c r="B384" s="167">
        <f>F384&amp;G384</f>
        <v/>
      </c>
      <c r="C384" s="156">
        <f>(K384/MAX(K:K)*$K$1)+(O384/MAX(O:O)*$O$1)+(M384/MAX(M:M)*$M$1)+(N384/MAX(N:N)*$N$1)+(V384/MAX(V:V)*$V$1)+(P384/MAX(P:P)*$P$1)</f>
        <v/>
      </c>
      <c r="E384" s="156">
        <f>IFERROR(VLOOKUP(F384,AllPlayers!F:F,1,0),"------------")</f>
        <v/>
      </c>
      <c r="F384" s="156" t="inlineStr">
        <is>
          <t>Mitchell Wilcox</t>
        </is>
      </c>
      <c r="G384" s="167" t="inlineStr">
        <is>
          <t>MIA</t>
        </is>
      </c>
      <c r="H384" s="156" t="inlineStr">
        <is>
          <t>TE</t>
        </is>
      </c>
      <c r="I384" s="156" t="n">
        <v>17</v>
      </c>
      <c r="J384" s="156" t="n">
        <v>0</v>
      </c>
      <c r="K384" s="156" t="n">
        <v>0</v>
      </c>
      <c r="L384" s="156">
        <f>IF(J384=0,0,K384/J384)</f>
        <v/>
      </c>
      <c r="M384" s="156">
        <f>K384/17</f>
        <v/>
      </c>
      <c r="N384" s="156" t="n">
        <v>0</v>
      </c>
      <c r="O384" s="156" t="n">
        <v>3</v>
      </c>
      <c r="P384" s="281">
        <f>IF(K384=0,0,K384/O384)</f>
        <v/>
      </c>
      <c r="Q384" s="156" t="n">
        <v>0</v>
      </c>
      <c r="R384" s="156" t="n">
        <v>0</v>
      </c>
      <c r="S384" s="156" t="n">
        <v>0</v>
      </c>
      <c r="T384" s="156" t="n">
        <v>0</v>
      </c>
      <c r="U384" s="156" t="n">
        <v>0</v>
      </c>
      <c r="V384" s="156" t="n">
        <v>0</v>
      </c>
      <c r="W384" s="156" t="n">
        <v>0</v>
      </c>
      <c r="X384" s="204">
        <f>INDEX(Matrix!$AA$2:$AA$33, MATCH(G384, Matrix!$AC$2:$AC$33, 0))</f>
        <v/>
      </c>
      <c r="Y384" s="156">
        <f>_xlfn.IFNA(MATCH(E383,'Injury Report'!$C$2:$C$6216,0),0)</f>
        <v/>
      </c>
    </row>
    <row r="385" ht="15.6" customHeight="1" s="152">
      <c r="A385" s="212" t="n">
        <v>383</v>
      </c>
      <c r="B385" s="167">
        <f>F385&amp;G385</f>
        <v/>
      </c>
      <c r="C385" s="156">
        <f>(K385/MAX(K:K)*$K$1)+(O385/MAX(O:O)*$O$1)+(M385/MAX(M:M)*$M$1)+(N385/MAX(N:N)*$N$1)+(V385/MAX(V:V)*$V$1)+(P385/MAX(P:P)*$P$1)</f>
        <v/>
      </c>
      <c r="E385" s="156">
        <f>IFERROR(VLOOKUP(F385,AllPlayers!F:F,1,0),"------------")</f>
        <v/>
      </c>
      <c r="F385" s="156" t="inlineStr">
        <is>
          <t>Marquez Valdes-scantling</t>
        </is>
      </c>
      <c r="G385" s="167">
        <f>VLOOKUP(F385,AllPlayers!Q:R,2,0)</f>
        <v/>
      </c>
      <c r="H385" s="156" t="inlineStr">
        <is>
          <t>TE</t>
        </is>
      </c>
      <c r="I385" s="156" t="n">
        <v>1</v>
      </c>
      <c r="J385" s="156" t="n">
        <v>0</v>
      </c>
      <c r="K385" s="156" t="n">
        <v>0</v>
      </c>
      <c r="L385" s="156">
        <f>IF(J385=0,0,K385/J385)</f>
        <v/>
      </c>
      <c r="M385" s="156">
        <f>K385/17</f>
        <v/>
      </c>
      <c r="N385" s="156" t="n">
        <v>0</v>
      </c>
      <c r="O385" s="156" t="n">
        <v>1</v>
      </c>
      <c r="P385" s="281">
        <f>IF(K385=0,0,K385/O385)</f>
        <v/>
      </c>
      <c r="Q385" s="156" t="n">
        <v>0</v>
      </c>
      <c r="R385" s="156" t="n">
        <v>0</v>
      </c>
      <c r="S385" s="156" t="n">
        <v>0</v>
      </c>
      <c r="T385" s="156" t="n">
        <v>0</v>
      </c>
      <c r="U385" s="156" t="n">
        <v>0</v>
      </c>
      <c r="V385" s="156" t="n">
        <v>0</v>
      </c>
      <c r="W385" s="156" t="n">
        <v>0</v>
      </c>
      <c r="X385" s="204">
        <f>INDEX(Matrix!$AA$2:$AA$33, MATCH(G385, Matrix!$AC$2:$AC$33, 0))</f>
        <v/>
      </c>
      <c r="Y385" s="156">
        <f>_xlfn.IFNA(MATCH(E384,'Injury Report'!$C$2:$C$6216,0),0)</f>
        <v/>
      </c>
    </row>
    <row r="386" ht="15.6" customHeight="1" s="152">
      <c r="A386" s="212" t="n">
        <v>384</v>
      </c>
      <c r="B386" s="167">
        <f>F386&amp;G386</f>
        <v/>
      </c>
      <c r="C386" s="156">
        <f>(K386/MAX(K:K)*$K$1)+(O386/MAX(O:O)*$O$1)+(M386/MAX(M:M)*$M$1)+(N386/MAX(N:N)*$N$1)+(V386/MAX(V:V)*$V$1)+(P386/MAX(P:P)*$P$1)</f>
        <v/>
      </c>
      <c r="E386" s="156">
        <f>IFERROR(VLOOKUP(F386,AllPlayers!F:F,1,0),"------------")</f>
        <v/>
      </c>
      <c r="F386" s="156" t="inlineStr">
        <is>
          <t>Carson Steele</t>
        </is>
      </c>
      <c r="G386" s="167">
        <f>VLOOKUP(F386,AllPlayers!Q:R,2,0)</f>
        <v/>
      </c>
      <c r="H386" s="156" t="inlineStr">
        <is>
          <t>TE</t>
        </is>
      </c>
      <c r="I386" s="156" t="n">
        <v>17</v>
      </c>
      <c r="J386" s="156" t="n">
        <v>7</v>
      </c>
      <c r="K386" s="156" t="n">
        <v>26</v>
      </c>
      <c r="L386" s="156">
        <f>IF(J386=0,0,K386/J386)</f>
        <v/>
      </c>
      <c r="M386" s="156">
        <f>K386/17</f>
        <v/>
      </c>
      <c r="N386" s="156" t="n">
        <v>0</v>
      </c>
      <c r="O386" s="156" t="n">
        <v>11</v>
      </c>
      <c r="P386" s="281">
        <f>IF(K386=0,0,K386/O386)</f>
        <v/>
      </c>
      <c r="Q386" s="156" t="n">
        <v>0</v>
      </c>
      <c r="R386" s="156" t="n">
        <v>0</v>
      </c>
      <c r="S386" s="156" t="n">
        <v>0</v>
      </c>
      <c r="T386" s="156" t="n">
        <v>0</v>
      </c>
      <c r="U386" s="156" t="n">
        <v>0</v>
      </c>
      <c r="V386" s="156" t="n">
        <v>1</v>
      </c>
      <c r="W386" s="156" t="n">
        <v>1</v>
      </c>
      <c r="X386" s="204">
        <f>INDEX(Matrix!$AA$2:$AA$33, MATCH(G386, Matrix!$AC$2:$AC$33, 0))</f>
        <v/>
      </c>
      <c r="Y386" s="156">
        <f>_xlfn.IFNA(MATCH(E385,'Injury Report'!$C$2:$C$6216,0),0)</f>
        <v/>
      </c>
    </row>
    <row r="387" ht="15.6" customHeight="1" s="152">
      <c r="A387" s="212" t="n">
        <v>385</v>
      </c>
      <c r="B387" s="167">
        <f>F387&amp;G387</f>
        <v/>
      </c>
      <c r="C387" s="156">
        <f>(K387/MAX(K:K)*$K$1)+(O387/MAX(O:O)*$O$1)+(M387/MAX(M:M)*$M$1)+(N387/MAX(N:N)*$N$1)+(V387/MAX(V:V)*$V$1)+(P387/MAX(P:P)*$P$1)</f>
        <v/>
      </c>
      <c r="E387" s="156">
        <f>IFERROR(VLOOKUP(F387,AllPlayers!F:F,1,0),"------------")</f>
        <v/>
      </c>
      <c r="F387" s="156" t="inlineStr">
        <is>
          <t>Patrick Taylor</t>
        </is>
      </c>
      <c r="G387" s="167">
        <f>VLOOKUP(F387,AllPlayers!Q:R,2,0)</f>
        <v/>
      </c>
      <c r="H387" s="156" t="inlineStr">
        <is>
          <t>TE</t>
        </is>
      </c>
      <c r="I387" s="156" t="n">
        <v>17</v>
      </c>
      <c r="J387" s="156" t="n">
        <v>3</v>
      </c>
      <c r="K387" s="156" t="n">
        <v>25</v>
      </c>
      <c r="L387" s="156">
        <f>IF(J387=0,0,K387/J387)</f>
        <v/>
      </c>
      <c r="M387" s="156">
        <f>K387/17</f>
        <v/>
      </c>
      <c r="N387" s="156" t="n">
        <v>0</v>
      </c>
      <c r="O387" s="156" t="n">
        <v>11</v>
      </c>
      <c r="P387" s="281">
        <f>IF(K387=0,0,K387/O387)</f>
        <v/>
      </c>
      <c r="Q387" s="156" t="n">
        <v>0</v>
      </c>
      <c r="R387" s="156" t="n">
        <v>0</v>
      </c>
      <c r="S387" s="156" t="n">
        <v>0</v>
      </c>
      <c r="T387" s="156" t="n">
        <v>0</v>
      </c>
      <c r="U387" s="156" t="n">
        <v>0</v>
      </c>
      <c r="V387" s="156" t="n">
        <v>0</v>
      </c>
      <c r="W387" s="156" t="n">
        <v>0</v>
      </c>
      <c r="X387" s="204">
        <f>INDEX(Matrix!$AA$2:$AA$33, MATCH(G387, Matrix!$AC$2:$AC$33, 0))</f>
        <v/>
      </c>
      <c r="Y387" s="156">
        <f>_xlfn.IFNA(MATCH(E386,'Injury Report'!$C$2:$C$6216,0),0)</f>
        <v/>
      </c>
    </row>
    <row r="388" ht="15.6" customHeight="1" s="152">
      <c r="A388" s="212" t="n">
        <v>386</v>
      </c>
      <c r="B388" s="167">
        <f>F388&amp;G388</f>
        <v/>
      </c>
      <c r="C388" s="156">
        <f>(K388/MAX(K:K)*$K$1)+(O388/MAX(O:O)*$O$1)+(M388/MAX(M:M)*$M$1)+(N388/MAX(N:N)*$N$1)+(V388/MAX(V:V)*$V$1)+(P388/MAX(P:P)*$P$1)</f>
        <v/>
      </c>
      <c r="E388" s="156">
        <f>IFERROR(VLOOKUP(F388,AllPlayers!F:F,1,0),"------------")</f>
        <v/>
      </c>
      <c r="F388" s="156" t="inlineStr">
        <is>
          <t>Clyde Edwards-helaire</t>
        </is>
      </c>
      <c r="G388" s="167">
        <f>VLOOKUP(F388,AllPlayers!Q:R,2,0)</f>
        <v/>
      </c>
      <c r="H388" s="156" t="inlineStr">
        <is>
          <t>TE</t>
        </is>
      </c>
      <c r="I388" s="156" t="n">
        <v>17</v>
      </c>
      <c r="J388" s="156" t="n">
        <v>3</v>
      </c>
      <c r="K388" s="156" t="n">
        <v>24</v>
      </c>
      <c r="L388" s="156">
        <f>IF(J388=0,0,K388/J388)</f>
        <v/>
      </c>
      <c r="M388" s="156">
        <f>K388/17</f>
        <v/>
      </c>
      <c r="N388" s="156" t="n">
        <v>0</v>
      </c>
      <c r="O388" s="156" t="n">
        <v>5</v>
      </c>
      <c r="P388" s="281">
        <f>IF(K388=0,0,K388/O388)</f>
        <v/>
      </c>
      <c r="Q388" s="156" t="n">
        <v>0</v>
      </c>
      <c r="R388" s="156" t="n">
        <v>0</v>
      </c>
      <c r="S388" s="156" t="n">
        <v>0</v>
      </c>
      <c r="T388" s="156" t="n">
        <v>0</v>
      </c>
      <c r="U388" s="156" t="n">
        <v>0</v>
      </c>
      <c r="V388" s="156" t="n">
        <v>0</v>
      </c>
      <c r="W388" s="156" t="n">
        <v>0</v>
      </c>
      <c r="X388" s="204">
        <f>INDEX(Matrix!$AA$2:$AA$33, MATCH(G388, Matrix!$AC$2:$AC$33, 0))</f>
        <v/>
      </c>
      <c r="Y388" s="156">
        <f>_xlfn.IFNA(MATCH(E387,'Injury Report'!$C$2:$C$6216,0),0)</f>
        <v/>
      </c>
    </row>
    <row r="389" ht="15.6" customHeight="1" s="152">
      <c r="A389" s="212" t="n">
        <v>387</v>
      </c>
      <c r="B389" s="167">
        <f>F389&amp;G389</f>
        <v/>
      </c>
      <c r="C389" s="156">
        <f>(K389/MAX(K:K)*$K$1)+(O389/MAX(O:O)*$O$1)+(M389/MAX(M:M)*$M$1)+(N389/MAX(N:N)*$N$1)+(V389/MAX(V:V)*$V$1)+(P389/MAX(P:P)*$P$1)</f>
        <v/>
      </c>
      <c r="E389" s="156">
        <f>IFERROR(VLOOKUP(F389,AllPlayers!F:F,1,0),"------------")</f>
        <v/>
      </c>
      <c r="F389" s="156" t="inlineStr">
        <is>
          <t>Jonathon Brooks</t>
        </is>
      </c>
      <c r="G389" s="167">
        <f>VLOOKUP(F389,AllPlayers!Q:R,2,0)</f>
        <v/>
      </c>
      <c r="H389" s="156" t="inlineStr">
        <is>
          <t>TE</t>
        </is>
      </c>
      <c r="I389" s="156" t="n">
        <v>17</v>
      </c>
      <c r="J389" s="156" t="n">
        <v>3</v>
      </c>
      <c r="K389" s="156" t="n">
        <v>23</v>
      </c>
      <c r="L389" s="156">
        <f>IF(J389=0,0,K389/J389)</f>
        <v/>
      </c>
      <c r="M389" s="156">
        <f>K389/17</f>
        <v/>
      </c>
      <c r="N389" s="156" t="n">
        <v>0</v>
      </c>
      <c r="O389" s="156" t="n">
        <v>3</v>
      </c>
      <c r="P389" s="281">
        <f>IF(K389=0,0,K389/O389)</f>
        <v/>
      </c>
      <c r="Q389" s="156" t="n">
        <v>0</v>
      </c>
      <c r="R389" s="156" t="n">
        <v>0</v>
      </c>
      <c r="S389" s="156" t="n">
        <v>0</v>
      </c>
      <c r="T389" s="156" t="n">
        <v>0</v>
      </c>
      <c r="U389" s="156" t="n">
        <v>0</v>
      </c>
      <c r="V389" s="156" t="n">
        <v>0</v>
      </c>
      <c r="W389" s="156" t="n">
        <v>0</v>
      </c>
      <c r="X389" s="204">
        <f>INDEX(Matrix!$AA$2:$AA$33, MATCH(G389, Matrix!$AC$2:$AC$33, 0))</f>
        <v/>
      </c>
      <c r="Y389" s="156">
        <f>_xlfn.IFNA(MATCH(E388,'Injury Report'!$C$2:$C$6216,0),0)</f>
        <v/>
      </c>
    </row>
    <row r="390" ht="15.6" customHeight="1" s="152">
      <c r="A390" s="212" t="n">
        <v>388</v>
      </c>
      <c r="B390" s="167">
        <f>F390&amp;G390</f>
        <v/>
      </c>
      <c r="C390" s="156">
        <f>(K390/MAX(K:K)*$K$1)+(O390/MAX(O:O)*$O$1)+(M390/MAX(M:M)*$M$1)+(N390/MAX(N:N)*$N$1)+(V390/MAX(V:V)*$V$1)+(P390/MAX(P:P)*$P$1)</f>
        <v/>
      </c>
      <c r="E390" s="156">
        <f>IFERROR(VLOOKUP(F390,AllPlayers!F:F,1,0),"------------")</f>
        <v/>
      </c>
      <c r="F390" s="156" t="inlineStr">
        <is>
          <t>Anthony Gould</t>
        </is>
      </c>
      <c r="G390" s="167">
        <f>VLOOKUP(F390,AllPlayers!Q:R,2,0)</f>
        <v/>
      </c>
      <c r="H390" s="156" t="inlineStr">
        <is>
          <t>TE</t>
        </is>
      </c>
      <c r="I390" s="156" t="n">
        <v>2</v>
      </c>
      <c r="J390" s="156" t="n">
        <v>0</v>
      </c>
      <c r="K390" s="156" t="n">
        <v>0</v>
      </c>
      <c r="L390" s="156">
        <f>IF(J390=0,0,K390/J390)</f>
        <v/>
      </c>
      <c r="M390" s="156">
        <f>K390/17</f>
        <v/>
      </c>
      <c r="N390" s="156" t="n">
        <v>0</v>
      </c>
      <c r="O390" s="156" t="n">
        <v>0</v>
      </c>
      <c r="P390" s="281">
        <f>IF(K390=0,0,K390/O390)</f>
        <v/>
      </c>
      <c r="Q390" s="156" t="n">
        <v>1</v>
      </c>
      <c r="R390" s="156" t="n">
        <v>0</v>
      </c>
      <c r="S390" s="156" t="n">
        <v>0</v>
      </c>
      <c r="T390" s="156" t="n">
        <v>0</v>
      </c>
      <c r="U390" s="156" t="n">
        <v>0</v>
      </c>
      <c r="V390" s="156" t="n">
        <v>0</v>
      </c>
      <c r="W390" s="156" t="n">
        <v>0</v>
      </c>
      <c r="X390" s="204">
        <f>INDEX(Matrix!$AA$2:$AA$33, MATCH(G390, Matrix!$AC$2:$AC$33, 0))</f>
        <v/>
      </c>
      <c r="Y390" s="156">
        <f>_xlfn.IFNA(MATCH(E389,'Injury Report'!$C$2:$C$6216,0),0)</f>
        <v/>
      </c>
    </row>
    <row r="391" ht="15.6" customHeight="1" s="152">
      <c r="A391" s="212" t="n">
        <v>389</v>
      </c>
      <c r="B391" s="167">
        <f>F391&amp;G391</f>
        <v/>
      </c>
      <c r="C391" s="156">
        <f>(K391/MAX(K:K)*$K$1)+(O391/MAX(O:O)*$O$1)+(M391/MAX(M:M)*$M$1)+(N391/MAX(N:N)*$N$1)+(V391/MAX(V:V)*$V$1)+(P391/MAX(P:P)*$P$1)</f>
        <v/>
      </c>
      <c r="E391" s="156">
        <f>IFERROR(VLOOKUP(F391,AllPlayers!F:F,1,0),"------------")</f>
        <v/>
      </c>
      <c r="F391" s="156" t="inlineStr">
        <is>
          <t>Ronnie Bell</t>
        </is>
      </c>
      <c r="G391" s="167">
        <f>VLOOKUP(F391,AllPlayers!Q:R,2,0)</f>
        <v/>
      </c>
      <c r="H391" s="156" t="inlineStr">
        <is>
          <t>TE</t>
        </is>
      </c>
      <c r="I391" s="156" t="n">
        <v>17</v>
      </c>
      <c r="J391" s="156" t="n">
        <v>2</v>
      </c>
      <c r="K391" s="156" t="n">
        <v>22</v>
      </c>
      <c r="L391" s="156">
        <f>IF(J391=0,0,K391/J391)</f>
        <v/>
      </c>
      <c r="M391" s="156">
        <f>K391/17</f>
        <v/>
      </c>
      <c r="N391" s="156" t="n">
        <v>0</v>
      </c>
      <c r="O391" s="156" t="n">
        <v>6</v>
      </c>
      <c r="P391" s="281">
        <f>IF(K391=0,0,K391/O391)</f>
        <v/>
      </c>
      <c r="Q391" s="156" t="n">
        <v>0</v>
      </c>
      <c r="R391" s="156" t="n">
        <v>0</v>
      </c>
      <c r="S391" s="156" t="n">
        <v>0</v>
      </c>
      <c r="T391" s="156" t="n">
        <v>0</v>
      </c>
      <c r="U391" s="156" t="n">
        <v>0</v>
      </c>
      <c r="V391" s="156" t="n">
        <v>0</v>
      </c>
      <c r="W391" s="156" t="n">
        <v>0</v>
      </c>
      <c r="X391" s="204">
        <f>INDEX(Matrix!$AA$2:$AA$33, MATCH(G391, Matrix!$AC$2:$AC$33, 0))</f>
        <v/>
      </c>
      <c r="Y391" s="156">
        <f>_xlfn.IFNA(MATCH(E390,'Injury Report'!$C$2:$C$6216,0),0)</f>
        <v/>
      </c>
    </row>
    <row r="392" ht="15.6" customHeight="1" s="152">
      <c r="A392" s="212" t="n">
        <v>390</v>
      </c>
      <c r="B392" s="167">
        <f>F392&amp;G392</f>
        <v/>
      </c>
      <c r="C392" s="156">
        <f>(K392/MAX(K:K)*$K$1)+(O392/MAX(O:O)*$O$1)+(M392/MAX(M:M)*$M$1)+(N392/MAX(N:N)*$N$1)+(V392/MAX(V:V)*$V$1)+(P392/MAX(P:P)*$P$1)</f>
        <v/>
      </c>
      <c r="E392" s="156">
        <f>IFERROR(VLOOKUP(F392,AllPlayers!F:F,1,0),"------------")</f>
        <v/>
      </c>
      <c r="F392" s="156" t="inlineStr">
        <is>
          <t>Patrick Ricard</t>
        </is>
      </c>
      <c r="G392" s="167">
        <f>VLOOKUP(F392,AllPlayers!Q:R,2,0)</f>
        <v/>
      </c>
      <c r="H392" s="156" t="inlineStr">
        <is>
          <t>TE</t>
        </is>
      </c>
      <c r="I392" s="156" t="n">
        <v>17</v>
      </c>
      <c r="J392" s="156" t="n">
        <v>3</v>
      </c>
      <c r="K392" s="156" t="n">
        <v>22</v>
      </c>
      <c r="L392" s="156">
        <f>IF(J392=0,0,K392/J392)</f>
        <v/>
      </c>
      <c r="M392" s="156">
        <f>K392/17</f>
        <v/>
      </c>
      <c r="N392" s="156" t="n">
        <v>1</v>
      </c>
      <c r="O392" s="156" t="n">
        <v>5</v>
      </c>
      <c r="P392" s="281">
        <f>IF(K392=0,0,K392/O392)</f>
        <v/>
      </c>
      <c r="Q392" s="156" t="n">
        <v>0</v>
      </c>
      <c r="R392" s="156" t="n">
        <v>0</v>
      </c>
      <c r="S392" s="156" t="n">
        <v>0</v>
      </c>
      <c r="T392" s="156" t="n">
        <v>0</v>
      </c>
      <c r="U392" s="156" t="n">
        <v>0</v>
      </c>
      <c r="V392" s="156" t="n">
        <v>0</v>
      </c>
      <c r="W392" s="156" t="n">
        <v>0</v>
      </c>
      <c r="X392" s="204">
        <f>INDEX(Matrix!$AA$2:$AA$33, MATCH(G392, Matrix!$AC$2:$AC$33, 0))</f>
        <v/>
      </c>
      <c r="Y392" s="156">
        <f>_xlfn.IFNA(MATCH(E391,'Injury Report'!$C$2:$C$6216,0),0)</f>
        <v/>
      </c>
    </row>
    <row r="393" ht="15.6" customHeight="1" s="152">
      <c r="A393" s="212" t="n">
        <v>391</v>
      </c>
      <c r="B393" s="167">
        <f>F393&amp;G393</f>
        <v/>
      </c>
      <c r="C393" s="156">
        <f>(K393/MAX(K:K)*$K$1)+(O393/MAX(O:O)*$O$1)+(M393/MAX(M:M)*$M$1)+(N393/MAX(N:N)*$N$1)+(V393/MAX(V:V)*$V$1)+(P393/MAX(P:P)*$P$1)</f>
        <v/>
      </c>
      <c r="E393" s="156">
        <f>IFERROR(VLOOKUP(F393,AllPlayers!F:F,1,0),"------------")</f>
        <v/>
      </c>
      <c r="F393" s="156" t="inlineStr">
        <is>
          <t>Shane Zylstra</t>
        </is>
      </c>
      <c r="G393" s="167">
        <f>VLOOKUP(F393,AllPlayers!Q:R,2,0)</f>
        <v/>
      </c>
      <c r="H393" s="156" t="inlineStr">
        <is>
          <t>TE</t>
        </is>
      </c>
      <c r="I393" s="156" t="n">
        <v>17</v>
      </c>
      <c r="J393" s="156" t="n">
        <v>1</v>
      </c>
      <c r="K393" s="156" t="n">
        <v>22</v>
      </c>
      <c r="L393" s="156">
        <f>IF(J393=0,0,K393/J393)</f>
        <v/>
      </c>
      <c r="M393" s="156">
        <f>K393/17</f>
        <v/>
      </c>
      <c r="N393" s="156" t="n">
        <v>0</v>
      </c>
      <c r="O393" s="156" t="n">
        <v>1</v>
      </c>
      <c r="P393" s="281">
        <f>IF(K393=0,0,K393/O393)</f>
        <v/>
      </c>
      <c r="Q393" s="156" t="n">
        <v>1</v>
      </c>
      <c r="R393" s="156" t="n">
        <v>0</v>
      </c>
      <c r="S393" s="156" t="n">
        <v>0</v>
      </c>
      <c r="T393" s="156" t="n">
        <v>0</v>
      </c>
      <c r="U393" s="156" t="n">
        <v>0</v>
      </c>
      <c r="V393" s="156" t="n">
        <v>0</v>
      </c>
      <c r="W393" s="156" t="n">
        <v>0</v>
      </c>
      <c r="X393" s="204">
        <f>INDEX(Matrix!$AA$2:$AA$33, MATCH(G393, Matrix!$AC$2:$AC$33, 0))</f>
        <v/>
      </c>
      <c r="Y393" s="156">
        <f>_xlfn.IFNA(MATCH(E392,'Injury Report'!$C$2:$C$6216,0),0)</f>
        <v/>
      </c>
    </row>
    <row r="394" ht="15.6" customHeight="1" s="152">
      <c r="A394" s="212" t="n">
        <v>392</v>
      </c>
      <c r="B394" s="167">
        <f>F394&amp;G394</f>
        <v/>
      </c>
      <c r="C394" s="156">
        <f>(K394/MAX(K:K)*$K$1)+(O394/MAX(O:O)*$O$1)+(M394/MAX(M:M)*$M$1)+(N394/MAX(N:N)*$N$1)+(V394/MAX(V:V)*$V$1)+(P394/MAX(P:P)*$P$1)</f>
        <v/>
      </c>
      <c r="E394" s="156">
        <f>IFERROR(VLOOKUP(F394,AllPlayers!F:F,1,0),"------------")</f>
        <v/>
      </c>
      <c r="F394" s="156" t="inlineStr">
        <is>
          <t>Kenny Mcintosh</t>
        </is>
      </c>
      <c r="G394" s="167">
        <f>VLOOKUP(F394,AllPlayers!Q:R,2,0)</f>
        <v/>
      </c>
      <c r="H394" s="156" t="inlineStr">
        <is>
          <t>TE</t>
        </is>
      </c>
      <c r="I394" s="156" t="n">
        <v>17</v>
      </c>
      <c r="J394" s="156" t="n">
        <v>3</v>
      </c>
      <c r="K394" s="156" t="n">
        <v>22</v>
      </c>
      <c r="L394" s="156">
        <f>IF(J394=0,0,K394/J394)</f>
        <v/>
      </c>
      <c r="M394" s="156">
        <f>K394/17</f>
        <v/>
      </c>
      <c r="N394" s="156" t="n">
        <v>0</v>
      </c>
      <c r="O394" s="156" t="n">
        <v>4</v>
      </c>
      <c r="P394" s="281">
        <f>IF(K394=0,0,K394/O394)</f>
        <v/>
      </c>
      <c r="Q394" s="156" t="n">
        <v>0</v>
      </c>
      <c r="R394" s="156" t="n">
        <v>0</v>
      </c>
      <c r="S394" s="156" t="n">
        <v>0</v>
      </c>
      <c r="T394" s="156" t="n">
        <v>0</v>
      </c>
      <c r="U394" s="156" t="n">
        <v>0</v>
      </c>
      <c r="V394" s="156" t="n">
        <v>0</v>
      </c>
      <c r="W394" s="156" t="n">
        <v>0</v>
      </c>
      <c r="X394" s="204">
        <f>INDEX(Matrix!$AA$2:$AA$33, MATCH(G394, Matrix!$AC$2:$AC$33, 0))</f>
        <v/>
      </c>
      <c r="Y394" s="156">
        <f>_xlfn.IFNA(MATCH(E393,'Injury Report'!$C$2:$C$6216,0),0)</f>
        <v/>
      </c>
    </row>
    <row r="395" ht="15.6" customHeight="1" s="152">
      <c r="A395" s="212" t="n">
        <v>393</v>
      </c>
      <c r="B395" s="167">
        <f>F395&amp;G395</f>
        <v/>
      </c>
      <c r="C395" s="156">
        <f>(K395/MAX(K:K)*$K$1)+(O395/MAX(O:O)*$O$1)+(M395/MAX(M:M)*$M$1)+(N395/MAX(N:N)*$N$1)+(V395/MAX(V:V)*$V$1)+(P395/MAX(P:P)*$P$1)</f>
        <v/>
      </c>
      <c r="E395" s="156">
        <f>IFERROR(VLOOKUP(F395,AllPlayers!F:F,1,0),"------------")</f>
        <v/>
      </c>
      <c r="F395" s="156" t="inlineStr">
        <is>
          <t>Jamari Thrash</t>
        </is>
      </c>
      <c r="G395" s="167">
        <f>VLOOKUP(F395,AllPlayers!Q:R,2,0)</f>
        <v/>
      </c>
      <c r="H395" s="156" t="inlineStr">
        <is>
          <t>TE</t>
        </is>
      </c>
      <c r="I395" s="156" t="n">
        <v>2</v>
      </c>
      <c r="J395" s="156" t="n">
        <v>2</v>
      </c>
      <c r="K395" s="156" t="n">
        <v>11</v>
      </c>
      <c r="L395" s="156">
        <f>IF(J395=0,0,K395/J395)</f>
        <v/>
      </c>
      <c r="M395" s="156">
        <f>K395/17</f>
        <v/>
      </c>
      <c r="N395" s="156" t="n">
        <v>0</v>
      </c>
      <c r="O395" s="156" t="n">
        <v>2</v>
      </c>
      <c r="P395" s="281">
        <f>IF(K395=0,0,K395/O395)</f>
        <v/>
      </c>
      <c r="Q395" s="156" t="n">
        <v>0</v>
      </c>
      <c r="R395" s="156" t="n">
        <v>0</v>
      </c>
      <c r="S395" s="156" t="n">
        <v>0</v>
      </c>
      <c r="T395" s="156" t="n">
        <v>0</v>
      </c>
      <c r="U395" s="156" t="n">
        <v>0</v>
      </c>
      <c r="V395" s="156" t="n">
        <v>0</v>
      </c>
      <c r="W395" s="156" t="n">
        <v>0</v>
      </c>
      <c r="X395" s="204">
        <f>INDEX(Matrix!$AA$2:$AA$33, MATCH(G395, Matrix!$AC$2:$AC$33, 0))</f>
        <v/>
      </c>
      <c r="Y395" s="156">
        <f>_xlfn.IFNA(MATCH(E394,'Injury Report'!$C$2:$C$6216,0),0)</f>
        <v/>
      </c>
    </row>
    <row r="396" ht="15.6" customHeight="1" s="152">
      <c r="A396" s="212" t="n">
        <v>394</v>
      </c>
      <c r="B396" s="167">
        <f>F396&amp;G396</f>
        <v/>
      </c>
      <c r="C396" s="156">
        <f>(K396/MAX(K:K)*$K$1)+(O396/MAX(O:O)*$O$1)+(M396/MAX(M:M)*$M$1)+(N396/MAX(N:N)*$N$1)+(V396/MAX(V:V)*$V$1)+(P396/MAX(P:P)*$P$1)</f>
        <v/>
      </c>
      <c r="E396" s="156">
        <f>IFERROR(VLOOKUP(F396,AllPlayers!F:F,1,0),"------------")</f>
        <v/>
      </c>
      <c r="F396" s="156" t="inlineStr">
        <is>
          <t>Devontez Walker</t>
        </is>
      </c>
      <c r="G396" s="167">
        <f>VLOOKUP(F396,AllPlayers!Q:R,2,0)</f>
        <v/>
      </c>
      <c r="H396" s="156" t="inlineStr">
        <is>
          <t>TE</t>
        </is>
      </c>
      <c r="I396" s="156" t="n">
        <v>1</v>
      </c>
      <c r="J396" s="156" t="n">
        <v>2</v>
      </c>
      <c r="K396" s="156" t="n">
        <v>26</v>
      </c>
      <c r="L396" s="156">
        <f>IF(J396=0,0,K396/J396)</f>
        <v/>
      </c>
      <c r="M396" s="156">
        <f>K396/17</f>
        <v/>
      </c>
      <c r="N396" s="156" t="n">
        <v>2</v>
      </c>
      <c r="O396" s="156" t="n">
        <v>2</v>
      </c>
      <c r="P396" s="281">
        <f>IF(K396=0,0,K396/O396)</f>
        <v/>
      </c>
      <c r="Q396" s="156" t="n">
        <v>1</v>
      </c>
      <c r="R396" s="156" t="n">
        <v>0</v>
      </c>
      <c r="S396" s="156" t="n">
        <v>0</v>
      </c>
      <c r="T396" s="156" t="n">
        <v>0</v>
      </c>
      <c r="U396" s="156" t="n">
        <v>0</v>
      </c>
      <c r="V396" s="156" t="n">
        <v>0</v>
      </c>
      <c r="W396" s="156" t="n">
        <v>0</v>
      </c>
      <c r="X396" s="204">
        <f>INDEX(Matrix!$AA$2:$AA$33, MATCH(G396, Matrix!$AC$2:$AC$33, 0))</f>
        <v/>
      </c>
      <c r="Y396" s="156">
        <f>_xlfn.IFNA(MATCH(E395,'Injury Report'!$C$2:$C$6216,0),0)</f>
        <v/>
      </c>
    </row>
    <row r="397" ht="15.6" customHeight="1" s="152">
      <c r="A397" s="212" t="n">
        <v>395</v>
      </c>
      <c r="B397" s="167">
        <f>F397&amp;G397</f>
        <v/>
      </c>
      <c r="C397" s="156">
        <f>(K397/MAX(K:K)*$K$1)+(O397/MAX(O:O)*$O$1)+(M397/MAX(M:M)*$M$1)+(N397/MAX(N:N)*$N$1)+(V397/MAX(V:V)*$V$1)+(P397/MAX(P:P)*$P$1)</f>
        <v/>
      </c>
      <c r="E397" s="156">
        <f>IFERROR(VLOOKUP(F397,AllPlayers!F:F,1,0),"------------")</f>
        <v/>
      </c>
      <c r="F397" s="156" t="inlineStr">
        <is>
          <t>Dallin Holker</t>
        </is>
      </c>
      <c r="G397" s="167">
        <f>VLOOKUP(F397,AllPlayers!Q:R,2,0)</f>
        <v/>
      </c>
      <c r="H397" s="156" t="inlineStr">
        <is>
          <t>TE</t>
        </is>
      </c>
      <c r="I397" s="156" t="n">
        <v>17</v>
      </c>
      <c r="J397" s="156" t="n">
        <v>3</v>
      </c>
      <c r="K397" s="156" t="n">
        <v>21</v>
      </c>
      <c r="L397" s="156">
        <f>IF(J397=0,0,K397/J397)</f>
        <v/>
      </c>
      <c r="M397" s="156">
        <f>K397/17</f>
        <v/>
      </c>
      <c r="N397" s="156" t="n">
        <v>0</v>
      </c>
      <c r="O397" s="156" t="n">
        <v>4</v>
      </c>
      <c r="P397" s="281">
        <f>IF(K397=0,0,K397/O397)</f>
        <v/>
      </c>
      <c r="Q397" s="156" t="n">
        <v>0</v>
      </c>
      <c r="R397" s="156" t="n">
        <v>0</v>
      </c>
      <c r="S397" s="156" t="n">
        <v>0</v>
      </c>
      <c r="T397" s="156" t="n">
        <v>0</v>
      </c>
      <c r="U397" s="156" t="n">
        <v>0</v>
      </c>
      <c r="V397" s="156" t="n">
        <v>0</v>
      </c>
      <c r="W397" s="156" t="n">
        <v>0</v>
      </c>
      <c r="X397" s="204">
        <f>INDEX(Matrix!$AA$2:$AA$33, MATCH(G397, Matrix!$AC$2:$AC$33, 0))</f>
        <v/>
      </c>
      <c r="Y397" s="156">
        <f>_xlfn.IFNA(MATCH(E396,'Injury Report'!$C$2:$C$6216,0),0)</f>
        <v/>
      </c>
    </row>
    <row r="398" ht="15.6" customHeight="1" s="152">
      <c r="A398" s="212" t="n">
        <v>396</v>
      </c>
      <c r="B398" s="167">
        <f>F398&amp;G398</f>
        <v/>
      </c>
      <c r="C398" s="156">
        <f>(K398/MAX(K:K)*$K$1)+(O398/MAX(O:O)*$O$1)+(M398/MAX(M:M)*$M$1)+(N398/MAX(N:N)*$N$1)+(V398/MAX(V:V)*$V$1)+(P398/MAX(P:P)*$P$1)</f>
        <v/>
      </c>
      <c r="E398" s="156">
        <f>IFERROR(VLOOKUP(F398,AllPlayers!F:F,1,0),"------------")</f>
        <v/>
      </c>
      <c r="F398" s="156" t="inlineStr">
        <is>
          <t>Khalil Herbert</t>
        </is>
      </c>
      <c r="G398" s="167">
        <f>VLOOKUP(F398,AllPlayers!Q:R,2,0)</f>
        <v/>
      </c>
      <c r="H398" s="156" t="inlineStr">
        <is>
          <t>TE</t>
        </is>
      </c>
      <c r="I398" s="156" t="n">
        <v>17</v>
      </c>
      <c r="J398" s="156" t="n">
        <v>8</v>
      </c>
      <c r="K398" s="156" t="n">
        <v>21</v>
      </c>
      <c r="L398" s="156">
        <f>IF(J398=0,0,K398/J398)</f>
        <v/>
      </c>
      <c r="M398" s="156">
        <f>K398/17</f>
        <v/>
      </c>
      <c r="N398" s="156" t="n">
        <v>0</v>
      </c>
      <c r="O398" s="156" t="n">
        <v>9</v>
      </c>
      <c r="P398" s="281">
        <f>IF(K398=0,0,K398/O398)</f>
        <v/>
      </c>
      <c r="Q398" s="156" t="n">
        <v>0</v>
      </c>
      <c r="R398" s="156" t="n">
        <v>0</v>
      </c>
      <c r="S398" s="156" t="n">
        <v>0</v>
      </c>
      <c r="T398" s="156" t="n">
        <v>0</v>
      </c>
      <c r="U398" s="156" t="n">
        <v>0</v>
      </c>
      <c r="V398" s="156" t="n">
        <v>1</v>
      </c>
      <c r="W398" s="156" t="n">
        <v>0</v>
      </c>
      <c r="X398" s="204">
        <f>INDEX(Matrix!$AA$2:$AA$33, MATCH(G398, Matrix!$AC$2:$AC$33, 0))</f>
        <v/>
      </c>
      <c r="Y398" s="156">
        <f>_xlfn.IFNA(MATCH(E397,'Injury Report'!$C$2:$C$6216,0),0)</f>
        <v/>
      </c>
    </row>
    <row r="399" ht="15.6" customHeight="1" s="152">
      <c r="A399" s="212" t="n">
        <v>397</v>
      </c>
      <c r="B399" s="167">
        <f>F399&amp;G399</f>
        <v/>
      </c>
      <c r="C399" s="156">
        <f>(K399/MAX(K:K)*$K$1)+(O399/MAX(O:O)*$O$1)+(M399/MAX(M:M)*$M$1)+(N399/MAX(N:N)*$N$1)+(V399/MAX(V:V)*$V$1)+(P399/MAX(P:P)*$P$1)</f>
        <v/>
      </c>
      <c r="E399" s="156">
        <f>IFERROR(VLOOKUP(F399,AllPlayers!F:F,1,0),"------------")</f>
        <v/>
      </c>
      <c r="F399" s="156" t="inlineStr">
        <is>
          <t>James Proche</t>
        </is>
      </c>
      <c r="G399" s="167">
        <f>VLOOKUP(F399,AllPlayers!Q:R,2,0)</f>
        <v/>
      </c>
      <c r="H399" s="156" t="inlineStr">
        <is>
          <t>TE</t>
        </is>
      </c>
      <c r="I399" s="156" t="n">
        <v>17</v>
      </c>
      <c r="J399" s="156" t="n">
        <v>3</v>
      </c>
      <c r="K399" s="156" t="n">
        <v>21</v>
      </c>
      <c r="L399" s="156">
        <f>IF(J399=0,0,K399/J399)</f>
        <v/>
      </c>
      <c r="M399" s="156">
        <f>K399/17</f>
        <v/>
      </c>
      <c r="N399" s="156" t="n">
        <v>0</v>
      </c>
      <c r="O399" s="156" t="n">
        <v>3</v>
      </c>
      <c r="P399" s="281">
        <f>IF(K399=0,0,K399/O399)</f>
        <v/>
      </c>
      <c r="Q399" s="156" t="n">
        <v>0</v>
      </c>
      <c r="R399" s="156" t="n">
        <v>0</v>
      </c>
      <c r="S399" s="156" t="n">
        <v>0</v>
      </c>
      <c r="T399" s="156" t="n">
        <v>0</v>
      </c>
      <c r="U399" s="156" t="n">
        <v>0</v>
      </c>
      <c r="V399" s="156" t="n">
        <v>0</v>
      </c>
      <c r="W399" s="156" t="n">
        <v>0</v>
      </c>
      <c r="X399" s="204">
        <f>INDEX(Matrix!$AA$2:$AA$33, MATCH(G399, Matrix!$AC$2:$AC$33, 0))</f>
        <v/>
      </c>
      <c r="Y399" s="156">
        <f>_xlfn.IFNA(MATCH(E398,'Injury Report'!$C$2:$C$6216,0),0)</f>
        <v/>
      </c>
    </row>
    <row r="400" ht="15.6" customHeight="1" s="152">
      <c r="A400" s="212" t="n">
        <v>398</v>
      </c>
      <c r="B400" s="167">
        <f>F400&amp;G400</f>
        <v/>
      </c>
      <c r="C400" s="156">
        <f>(K400/MAX(K:K)*$K$1)+(O400/MAX(O:O)*$O$1)+(M400/MAX(M:M)*$M$1)+(N400/MAX(N:N)*$N$1)+(V400/MAX(V:V)*$V$1)+(P400/MAX(P:P)*$P$1)</f>
        <v/>
      </c>
      <c r="E400" s="156">
        <f>IFERROR(VLOOKUP(F400,AllPlayers!F:F,1,0),"------------")</f>
        <v/>
      </c>
      <c r="F400" s="156" t="inlineStr">
        <is>
          <t>Jaheim Bell</t>
        </is>
      </c>
      <c r="G400" s="167">
        <f>VLOOKUP(F400,AllPlayers!Q:R,2,0)</f>
        <v/>
      </c>
      <c r="H400" s="156" t="inlineStr">
        <is>
          <t>TE</t>
        </is>
      </c>
      <c r="I400" s="156" t="n">
        <v>17</v>
      </c>
      <c r="J400" s="156" t="n">
        <v>2</v>
      </c>
      <c r="K400" s="156" t="n">
        <v>20</v>
      </c>
      <c r="L400" s="156">
        <f>IF(J400=0,0,K400/J400)</f>
        <v/>
      </c>
      <c r="M400" s="156">
        <f>K400/17</f>
        <v/>
      </c>
      <c r="N400" s="156" t="n">
        <v>0</v>
      </c>
      <c r="O400" s="156" t="n">
        <v>3</v>
      </c>
      <c r="P400" s="281">
        <f>IF(K400=0,0,K400/O400)</f>
        <v/>
      </c>
      <c r="Q400" s="156" t="n">
        <v>0</v>
      </c>
      <c r="R400" s="156" t="n">
        <v>0</v>
      </c>
      <c r="S400" s="156" t="n">
        <v>0</v>
      </c>
      <c r="T400" s="156" t="n">
        <v>0</v>
      </c>
      <c r="U400" s="156" t="n">
        <v>0</v>
      </c>
      <c r="V400" s="156" t="n">
        <v>0</v>
      </c>
      <c r="W400" s="156" t="n">
        <v>0</v>
      </c>
      <c r="X400" s="204">
        <f>INDEX(Matrix!$AA$2:$AA$33, MATCH(G400, Matrix!$AC$2:$AC$33, 0))</f>
        <v/>
      </c>
      <c r="Y400" s="156">
        <f>_xlfn.IFNA(MATCH(E399,'Injury Report'!$C$2:$C$6216,0),0)</f>
        <v/>
      </c>
    </row>
    <row r="401" ht="15.6" customHeight="1" s="152">
      <c r="A401" s="212" t="n">
        <v>399</v>
      </c>
      <c r="B401" s="167">
        <f>F401&amp;G401</f>
        <v/>
      </c>
      <c r="C401" s="156">
        <f>(K401/MAX(K:K)*$K$1)+(O401/MAX(O:O)*$O$1)+(M401/MAX(M:M)*$M$1)+(N401/MAX(N:N)*$N$1)+(V401/MAX(V:V)*$V$1)+(P401/MAX(P:P)*$P$1)</f>
        <v/>
      </c>
      <c r="E401" s="156">
        <f>IFERROR(VLOOKUP(F401,AllPlayers!F:F,1,0),"------------")</f>
        <v/>
      </c>
      <c r="F401" s="156" t="inlineStr">
        <is>
          <t>Deven Thompkins</t>
        </is>
      </c>
      <c r="G401" s="167">
        <f>VLOOKUP(F401,AllPlayers!Q:R,2,0)</f>
        <v/>
      </c>
      <c r="H401" s="156" t="inlineStr">
        <is>
          <t>TE</t>
        </is>
      </c>
      <c r="I401" s="156" t="n">
        <v>17</v>
      </c>
      <c r="J401" s="156" t="n">
        <v>4</v>
      </c>
      <c r="K401" s="156" t="n">
        <v>20</v>
      </c>
      <c r="L401" s="156">
        <f>IF(J401=0,0,K401/J401)</f>
        <v/>
      </c>
      <c r="M401" s="156">
        <f>K401/17</f>
        <v/>
      </c>
      <c r="N401" s="156" t="n">
        <v>0</v>
      </c>
      <c r="O401" s="156" t="n">
        <v>4</v>
      </c>
      <c r="P401" s="281">
        <f>IF(K401=0,0,K401/O401)</f>
        <v/>
      </c>
      <c r="Q401" s="156" t="n">
        <v>0</v>
      </c>
      <c r="R401" s="156" t="n">
        <v>0</v>
      </c>
      <c r="S401" s="156" t="n">
        <v>0</v>
      </c>
      <c r="T401" s="156" t="n">
        <v>0</v>
      </c>
      <c r="U401" s="156" t="n">
        <v>0</v>
      </c>
      <c r="V401" s="156" t="n">
        <v>0</v>
      </c>
      <c r="W401" s="156" t="n">
        <v>0</v>
      </c>
      <c r="X401" s="204">
        <f>INDEX(Matrix!$AA$2:$AA$33, MATCH(G401, Matrix!$AC$2:$AC$33, 0))</f>
        <v/>
      </c>
      <c r="Y401" s="156">
        <f>_xlfn.IFNA(MATCH(E400,'Injury Report'!$C$2:$C$6216,0),0)</f>
        <v/>
      </c>
    </row>
    <row r="402" ht="15.6" customHeight="1" s="152">
      <c r="A402" s="212" t="n">
        <v>400</v>
      </c>
      <c r="B402" s="167">
        <f>F402&amp;G402</f>
        <v/>
      </c>
      <c r="C402" s="156">
        <f>(K402/MAX(K:K)*$K$1)+(O402/MAX(O:O)*$O$1)+(M402/MAX(M:M)*$M$1)+(N402/MAX(N:N)*$N$1)+(V402/MAX(V:V)*$V$1)+(P402/MAX(P:P)*$P$1)</f>
        <v/>
      </c>
      <c r="E402" s="156">
        <f>IFERROR(VLOOKUP(F402,AllPlayers!F:F,1,0),"------------")</f>
        <v/>
      </c>
      <c r="F402" s="156" t="inlineStr">
        <is>
          <t>Jeff Wilson</t>
        </is>
      </c>
      <c r="G402" s="167">
        <f>VLOOKUP(F402,AllPlayers!Q:R,2,0)</f>
        <v/>
      </c>
      <c r="H402" s="156" t="inlineStr">
        <is>
          <t>TE</t>
        </is>
      </c>
      <c r="I402" s="156" t="n">
        <v>17</v>
      </c>
      <c r="J402" s="156" t="n">
        <v>3</v>
      </c>
      <c r="K402" s="156" t="n">
        <v>19</v>
      </c>
      <c r="L402" s="156">
        <f>IF(J402=0,0,K402/J402)</f>
        <v/>
      </c>
      <c r="M402" s="156">
        <f>K402/17</f>
        <v/>
      </c>
      <c r="N402" s="156" t="n">
        <v>0</v>
      </c>
      <c r="O402" s="156" t="n">
        <v>3</v>
      </c>
      <c r="P402" s="281">
        <f>IF(K402=0,0,K402/O402)</f>
        <v/>
      </c>
      <c r="Q402" s="156" t="n">
        <v>0</v>
      </c>
      <c r="R402" s="156" t="n">
        <v>0</v>
      </c>
      <c r="S402" s="156" t="n">
        <v>0</v>
      </c>
      <c r="T402" s="156" t="n">
        <v>0</v>
      </c>
      <c r="U402" s="156" t="n">
        <v>0</v>
      </c>
      <c r="V402" s="156" t="n">
        <v>0</v>
      </c>
      <c r="W402" s="156" t="n">
        <v>0</v>
      </c>
      <c r="X402" s="204">
        <f>INDEX(Matrix!$AA$2:$AA$33, MATCH(G402, Matrix!$AC$2:$AC$33, 0))</f>
        <v/>
      </c>
      <c r="Y402" s="156">
        <f>_xlfn.IFNA(MATCH(E401,'Injury Report'!$C$2:$C$6216,0),0)</f>
        <v/>
      </c>
    </row>
    <row r="403" ht="15.6" customHeight="1" s="152">
      <c r="A403" s="212" t="n">
        <v>401</v>
      </c>
      <c r="B403" s="167">
        <f>F403&amp;G403</f>
        <v/>
      </c>
      <c r="C403" s="156">
        <f>(K403/MAX(K:K)*$K$1)+(O403/MAX(O:O)*$O$1)+(M403/MAX(M:M)*$M$1)+(N403/MAX(N:N)*$N$1)+(V403/MAX(V:V)*$V$1)+(P403/MAX(P:P)*$P$1)</f>
        <v/>
      </c>
      <c r="E403" s="156">
        <f>IFERROR(VLOOKUP(F403,AllPlayers!F:F,1,0),"------------")</f>
        <v/>
      </c>
      <c r="F403" s="156" t="inlineStr">
        <is>
          <t>Deuce Vaughn</t>
        </is>
      </c>
      <c r="G403" s="167">
        <f>VLOOKUP(F403,AllPlayers!Q:R,2,0)</f>
        <v/>
      </c>
      <c r="H403" s="156" t="inlineStr">
        <is>
          <t>TE</t>
        </is>
      </c>
      <c r="I403" s="156" t="n">
        <v>17</v>
      </c>
      <c r="J403" s="156" t="n">
        <v>3</v>
      </c>
      <c r="K403" s="156" t="n">
        <v>18</v>
      </c>
      <c r="L403" s="156">
        <f>IF(J403=0,0,K403/J403)</f>
        <v/>
      </c>
      <c r="M403" s="156">
        <f>K403/17</f>
        <v/>
      </c>
      <c r="N403" s="156" t="n">
        <v>0</v>
      </c>
      <c r="O403" s="156" t="n">
        <v>5</v>
      </c>
      <c r="P403" s="281">
        <f>IF(K403=0,0,K403/O403)</f>
        <v/>
      </c>
      <c r="Q403" s="156" t="n">
        <v>0</v>
      </c>
      <c r="R403" s="156" t="n">
        <v>0</v>
      </c>
      <c r="S403" s="156" t="n">
        <v>0</v>
      </c>
      <c r="T403" s="156" t="n">
        <v>0</v>
      </c>
      <c r="U403" s="156" t="n">
        <v>0</v>
      </c>
      <c r="V403" s="156" t="n">
        <v>0</v>
      </c>
      <c r="W403" s="156" t="n">
        <v>0</v>
      </c>
      <c r="X403" s="204">
        <f>INDEX(Matrix!$AA$2:$AA$33, MATCH(G403, Matrix!$AC$2:$AC$33, 0))</f>
        <v/>
      </c>
      <c r="Y403" s="156">
        <f>_xlfn.IFNA(MATCH(E402,'Injury Report'!$C$2:$C$6216,0),0)</f>
        <v/>
      </c>
    </row>
    <row r="404" ht="15.6" customHeight="1" s="152">
      <c r="A404" s="212" t="n">
        <v>402</v>
      </c>
      <c r="B404" s="167">
        <f>F404&amp;G404</f>
        <v/>
      </c>
      <c r="C404" s="156">
        <f>(K404/MAX(K:K)*$K$1)+(O404/MAX(O:O)*$O$1)+(M404/MAX(M:M)*$M$1)+(N404/MAX(N:N)*$N$1)+(V404/MAX(V:V)*$V$1)+(P404/MAX(P:P)*$P$1)</f>
        <v/>
      </c>
      <c r="E404" s="156">
        <f>IFERROR(VLOOKUP(F404,AllPlayers!F:F,1,0),"------------")</f>
        <v/>
      </c>
      <c r="F404" s="156" t="inlineStr">
        <is>
          <t>Kristian Wilkerson</t>
        </is>
      </c>
      <c r="G404" s="167">
        <f>VLOOKUP(F404,AllPlayers!Q:R,2,0)</f>
        <v/>
      </c>
      <c r="H404" s="156" t="inlineStr">
        <is>
          <t>TE</t>
        </is>
      </c>
      <c r="I404" s="156" t="n">
        <v>17</v>
      </c>
      <c r="J404" s="156" t="n">
        <v>2</v>
      </c>
      <c r="K404" s="156" t="n">
        <v>18</v>
      </c>
      <c r="L404" s="156">
        <f>IF(J404=0,0,K404/J404)</f>
        <v/>
      </c>
      <c r="M404" s="156">
        <f>K404/17</f>
        <v/>
      </c>
      <c r="N404" s="156" t="n">
        <v>1</v>
      </c>
      <c r="O404" s="156" t="n">
        <v>3</v>
      </c>
      <c r="P404" s="281">
        <f>IF(K404=0,0,K404/O404)</f>
        <v/>
      </c>
      <c r="Q404" s="156" t="n">
        <v>0</v>
      </c>
      <c r="R404" s="156" t="n">
        <v>0</v>
      </c>
      <c r="S404" s="156" t="n">
        <v>0</v>
      </c>
      <c r="T404" s="156" t="n">
        <v>0</v>
      </c>
      <c r="U404" s="156" t="n">
        <v>0</v>
      </c>
      <c r="V404" s="156" t="n">
        <v>0</v>
      </c>
      <c r="W404" s="156" t="n">
        <v>0</v>
      </c>
      <c r="X404" s="204">
        <f>INDEX(Matrix!$AA$2:$AA$33, MATCH(G404, Matrix!$AC$2:$AC$33, 0))</f>
        <v/>
      </c>
      <c r="Y404" s="156">
        <f>_xlfn.IFNA(MATCH(E403,'Injury Report'!$C$2:$C$6216,0),0)</f>
        <v/>
      </c>
    </row>
    <row r="405" ht="15.6" customHeight="1" s="152">
      <c r="A405" s="212" t="n">
        <v>403</v>
      </c>
      <c r="B405" s="167">
        <f>F405&amp;G405</f>
        <v/>
      </c>
      <c r="C405" s="156">
        <f>(K405/MAX(K:K)*$K$1)+(O405/MAX(O:O)*$O$1)+(M405/MAX(M:M)*$M$1)+(N405/MAX(N:N)*$N$1)+(V405/MAX(V:V)*$V$1)+(P405/MAX(P:P)*$P$1)</f>
        <v/>
      </c>
      <c r="E405" s="156">
        <f>IFERROR(VLOOKUP(F405,AllPlayers!F:F,1,0),"------------")</f>
        <v/>
      </c>
      <c r="F405" s="156" t="inlineStr">
        <is>
          <t>Marcus Jones</t>
        </is>
      </c>
      <c r="G405" s="167">
        <f>VLOOKUP(F405,AllPlayers!Q:R,2,0)</f>
        <v/>
      </c>
      <c r="H405" s="156" t="inlineStr">
        <is>
          <t>TE</t>
        </is>
      </c>
      <c r="I405" s="156" t="n">
        <v>17</v>
      </c>
      <c r="J405" s="156" t="n">
        <v>1</v>
      </c>
      <c r="K405" s="156" t="n">
        <v>18</v>
      </c>
      <c r="L405" s="156">
        <f>IF(J405=0,0,K405/J405)</f>
        <v/>
      </c>
      <c r="M405" s="156">
        <f>K405/17</f>
        <v/>
      </c>
      <c r="N405" s="156" t="n">
        <v>0</v>
      </c>
      <c r="O405" s="156" t="n">
        <v>1</v>
      </c>
      <c r="P405" s="281">
        <f>IF(K405=0,0,K405/O405)</f>
        <v/>
      </c>
      <c r="Q405" s="156" t="n">
        <v>0</v>
      </c>
      <c r="R405" s="156" t="n">
        <v>0</v>
      </c>
      <c r="S405" s="156" t="n">
        <v>0</v>
      </c>
      <c r="T405" s="156" t="n">
        <v>0</v>
      </c>
      <c r="U405" s="156" t="n">
        <v>0</v>
      </c>
      <c r="V405" s="156" t="n">
        <v>0</v>
      </c>
      <c r="W405" s="156" t="n">
        <v>0</v>
      </c>
      <c r="X405" s="204">
        <f>INDEX(Matrix!$AA$2:$AA$33, MATCH(G405, Matrix!$AC$2:$AC$33, 0))</f>
        <v/>
      </c>
      <c r="Y405" s="156">
        <f>_xlfn.IFNA(MATCH(E404,'Injury Report'!$C$2:$C$6216,0),0)</f>
        <v/>
      </c>
    </row>
    <row r="406" ht="15.6" customHeight="1" s="152">
      <c r="A406" s="212" t="n">
        <v>404</v>
      </c>
      <c r="B406" s="167">
        <f>F406&amp;G406</f>
        <v/>
      </c>
      <c r="C406" s="156">
        <f>(K406/MAX(K:K)*$K$1)+(O406/MAX(O:O)*$O$1)+(M406/MAX(M:M)*$M$1)+(N406/MAX(N:N)*$N$1)+(V406/MAX(V:V)*$V$1)+(P406/MAX(P:P)*$P$1)</f>
        <v/>
      </c>
      <c r="E406" s="156">
        <f>IFERROR(VLOOKUP(F406,AllPlayers!F:F,1,0),"------------")</f>
        <v/>
      </c>
      <c r="F406" s="156" t="inlineStr">
        <is>
          <t>Chris Blair</t>
        </is>
      </c>
      <c r="G406" s="167">
        <f>VLOOKUP(F406,AllPlayers!Q:R,2,0)</f>
        <v/>
      </c>
      <c r="H406" s="156" t="inlineStr">
        <is>
          <t>TE</t>
        </is>
      </c>
      <c r="I406" s="156" t="n">
        <v>17</v>
      </c>
      <c r="J406" s="156" t="n">
        <v>1</v>
      </c>
      <c r="K406" s="156" t="n">
        <v>17</v>
      </c>
      <c r="L406" s="156">
        <f>IF(J406=0,0,K406/J406)</f>
        <v/>
      </c>
      <c r="M406" s="156">
        <f>K406/17</f>
        <v/>
      </c>
      <c r="N406" s="156" t="n">
        <v>0</v>
      </c>
      <c r="O406" s="156" t="n">
        <v>2</v>
      </c>
      <c r="P406" s="281">
        <f>IF(K406=0,0,K406/O406)</f>
        <v/>
      </c>
      <c r="Q406" s="156" t="n">
        <v>0</v>
      </c>
      <c r="R406" s="156" t="n">
        <v>0</v>
      </c>
      <c r="S406" s="156" t="n">
        <v>0</v>
      </c>
      <c r="T406" s="156" t="n">
        <v>0</v>
      </c>
      <c r="U406" s="156" t="n">
        <v>0</v>
      </c>
      <c r="V406" s="156" t="n">
        <v>0</v>
      </c>
      <c r="W406" s="156" t="n">
        <v>0</v>
      </c>
      <c r="X406" s="204">
        <f>INDEX(Matrix!$AA$2:$AA$33, MATCH(G406, Matrix!$AC$2:$AC$33, 0))</f>
        <v/>
      </c>
      <c r="Y406" s="156">
        <f>_xlfn.IFNA(MATCH(E405,'Injury Report'!$C$2:$C$6216,0),0)</f>
        <v/>
      </c>
    </row>
    <row r="407" ht="15.6" customHeight="1" s="152">
      <c r="A407" s="212" t="n">
        <v>405</v>
      </c>
      <c r="B407" s="167">
        <f>F407&amp;G407</f>
        <v/>
      </c>
      <c r="C407" s="156">
        <f>(K407/MAX(K:K)*$K$1)+(O407/MAX(O:O)*$O$1)+(M407/MAX(M:M)*$M$1)+(N407/MAX(N:N)*$N$1)+(V407/MAX(V:V)*$V$1)+(P407/MAX(P:P)*$P$1)</f>
        <v/>
      </c>
      <c r="E407" s="156">
        <f>IFERROR(VLOOKUP(F407,AllPlayers!F:F,1,0),"------------")</f>
        <v/>
      </c>
      <c r="F407" s="156" t="inlineStr">
        <is>
          <t>Mason Kinsey</t>
        </is>
      </c>
      <c r="G407" s="167">
        <f>VLOOKUP(F407,AllPlayers!Q:R,2,0)</f>
        <v/>
      </c>
      <c r="H407" s="156" t="inlineStr">
        <is>
          <t>TE</t>
        </is>
      </c>
      <c r="I407" s="156" t="n">
        <v>17</v>
      </c>
      <c r="J407" s="156" t="n">
        <v>2</v>
      </c>
      <c r="K407" s="156" t="n">
        <v>17</v>
      </c>
      <c r="L407" s="156">
        <f>IF(J407=0,0,K407/J407)</f>
        <v/>
      </c>
      <c r="M407" s="156">
        <f>K407/17</f>
        <v/>
      </c>
      <c r="N407" s="156" t="n">
        <v>0</v>
      </c>
      <c r="O407" s="156" t="n">
        <v>2</v>
      </c>
      <c r="P407" s="281">
        <f>IF(K407=0,0,K407/O407)</f>
        <v/>
      </c>
      <c r="Q407" s="156" t="n">
        <v>0</v>
      </c>
      <c r="R407" s="156" t="n">
        <v>0</v>
      </c>
      <c r="S407" s="156" t="n">
        <v>0</v>
      </c>
      <c r="T407" s="156" t="n">
        <v>0</v>
      </c>
      <c r="U407" s="156" t="n">
        <v>0</v>
      </c>
      <c r="V407" s="156" t="n">
        <v>0</v>
      </c>
      <c r="W407" s="156" t="n">
        <v>0</v>
      </c>
      <c r="X407" s="204">
        <f>INDEX(Matrix!$AA$2:$AA$33, MATCH(G407, Matrix!$AC$2:$AC$33, 0))</f>
        <v/>
      </c>
      <c r="Y407" s="156">
        <f>_xlfn.IFNA(MATCH(E406,'Injury Report'!$C$2:$C$6216,0),0)</f>
        <v/>
      </c>
    </row>
    <row r="408" ht="15.6" customHeight="1" s="152">
      <c r="A408" s="212" t="n">
        <v>406</v>
      </c>
      <c r="B408" s="167">
        <f>F408&amp;G408</f>
        <v/>
      </c>
      <c r="C408" s="156">
        <f>(K408/MAX(K:K)*$K$1)+(O408/MAX(O:O)*$O$1)+(M408/MAX(M:M)*$M$1)+(N408/MAX(N:N)*$N$1)+(V408/MAX(V:V)*$V$1)+(P408/MAX(P:P)*$P$1)</f>
        <v/>
      </c>
      <c r="E408" s="156">
        <f>IFERROR(VLOOKUP(F408,AllPlayers!F:F,1,0),"------------")</f>
        <v/>
      </c>
      <c r="F408" s="156" t="inlineStr">
        <is>
          <t>Tanner Conner</t>
        </is>
      </c>
      <c r="G408" s="167">
        <f>VLOOKUP(F408,AllPlayers!Q:R,2,0)</f>
        <v/>
      </c>
      <c r="H408" s="156" t="inlineStr">
        <is>
          <t>TE</t>
        </is>
      </c>
      <c r="I408" s="156" t="n">
        <v>1</v>
      </c>
      <c r="J408" s="156" t="n">
        <v>2</v>
      </c>
      <c r="K408" s="156" t="n">
        <v>20</v>
      </c>
      <c r="L408" s="156">
        <f>IF(J408=0,0,K408/J408)</f>
        <v/>
      </c>
      <c r="M408" s="156">
        <f>K408/17</f>
        <v/>
      </c>
      <c r="N408" s="156" t="n">
        <v>0</v>
      </c>
      <c r="O408" s="156" t="n">
        <v>4</v>
      </c>
      <c r="P408" s="281">
        <f>IF(K408=0,0,K408/O408)</f>
        <v/>
      </c>
      <c r="Q408" s="156" t="n">
        <v>0</v>
      </c>
      <c r="R408" s="156" t="n">
        <v>0</v>
      </c>
      <c r="S408" s="156" t="n">
        <v>0</v>
      </c>
      <c r="T408" s="156" t="n">
        <v>0</v>
      </c>
      <c r="U408" s="156" t="n">
        <v>0</v>
      </c>
      <c r="V408" s="156" t="n">
        <v>0</v>
      </c>
      <c r="W408" s="156" t="n">
        <v>0</v>
      </c>
      <c r="X408" s="204">
        <f>INDEX(Matrix!$AA$2:$AA$33, MATCH(G408, Matrix!$AC$2:$AC$33, 0))</f>
        <v/>
      </c>
      <c r="Y408" s="156">
        <f>_xlfn.IFNA(MATCH(E407,'Injury Report'!$C$2:$C$6216,0),0)</f>
        <v/>
      </c>
    </row>
    <row r="409" ht="15.6" customHeight="1" s="152">
      <c r="A409" s="212" t="n">
        <v>407</v>
      </c>
      <c r="B409" s="167">
        <f>F409&amp;G409</f>
        <v/>
      </c>
      <c r="C409" s="156">
        <f>(K409/MAX(K:K)*$K$1)+(O409/MAX(O:O)*$O$1)+(M409/MAX(M:M)*$M$1)+(N409/MAX(N:N)*$N$1)+(V409/MAX(V:V)*$V$1)+(P409/MAX(P:P)*$P$1)</f>
        <v/>
      </c>
      <c r="E409" s="156">
        <f>IFERROR(VLOOKUP(F409,AllPlayers!F:F,1,0),"------------")</f>
        <v/>
      </c>
      <c r="F409" s="156" t="inlineStr">
        <is>
          <t>Anthony Miller</t>
        </is>
      </c>
      <c r="G409" s="167">
        <f>VLOOKUP(F409,AllPlayers!Q:R,2,0)</f>
        <v/>
      </c>
      <c r="H409" s="156" t="inlineStr">
        <is>
          <t>TE</t>
        </is>
      </c>
      <c r="I409" s="156" t="n">
        <v>17</v>
      </c>
      <c r="J409" s="156" t="n">
        <v>1</v>
      </c>
      <c r="K409" s="156" t="n">
        <v>16</v>
      </c>
      <c r="L409" s="156">
        <f>IF(J409=0,0,K409/J409)</f>
        <v/>
      </c>
      <c r="M409" s="156">
        <f>K409/17</f>
        <v/>
      </c>
      <c r="N409" s="156" t="n">
        <v>0</v>
      </c>
      <c r="O409" s="156" t="n">
        <v>1</v>
      </c>
      <c r="P409" s="281">
        <f>IF(K409=0,0,K409/O409)</f>
        <v/>
      </c>
      <c r="Q409" s="156" t="n">
        <v>0</v>
      </c>
      <c r="R409" s="156" t="n">
        <v>0</v>
      </c>
      <c r="S409" s="156" t="n">
        <v>0</v>
      </c>
      <c r="T409" s="156" t="n">
        <v>0</v>
      </c>
      <c r="U409" s="156" t="n">
        <v>0</v>
      </c>
      <c r="V409" s="156" t="n">
        <v>0</v>
      </c>
      <c r="W409" s="156" t="n">
        <v>0</v>
      </c>
      <c r="X409" s="204">
        <f>INDEX(Matrix!$AA$2:$AA$33, MATCH(G409, Matrix!$AC$2:$AC$33, 0))</f>
        <v/>
      </c>
      <c r="Y409" s="156">
        <f>_xlfn.IFNA(MATCH(E408,'Injury Report'!$C$2:$C$6216,0),0)</f>
        <v/>
      </c>
    </row>
    <row r="410" ht="15.6" customHeight="1" s="152">
      <c r="A410" s="212" t="n">
        <v>408</v>
      </c>
      <c r="B410" s="167">
        <f>F410&amp;G410</f>
        <v/>
      </c>
      <c r="C410" s="156">
        <f>(K410/MAX(K:K)*$K$1)+(O410/MAX(O:O)*$O$1)+(M410/MAX(M:M)*$M$1)+(N410/MAX(N:N)*$N$1)+(V410/MAX(V:V)*$V$1)+(P410/MAX(P:P)*$P$1)</f>
        <v/>
      </c>
      <c r="E410" s="156">
        <f>IFERROR(VLOOKUP(F410,AllPlayers!F:F,1,0),"------------")</f>
        <v/>
      </c>
      <c r="F410" s="156" t="inlineStr">
        <is>
          <t>Cam Akers</t>
        </is>
      </c>
      <c r="G410" s="167">
        <f>VLOOKUP(F410,AllPlayers!Q:R,2,0)</f>
        <v/>
      </c>
      <c r="H410" s="156" t="inlineStr">
        <is>
          <t>TE</t>
        </is>
      </c>
      <c r="I410" s="156" t="n">
        <v>17</v>
      </c>
      <c r="J410" s="156" t="n">
        <v>4</v>
      </c>
      <c r="K410" s="156" t="n">
        <v>16</v>
      </c>
      <c r="L410" s="156">
        <f>IF(J410=0,0,K410/J410)</f>
        <v/>
      </c>
      <c r="M410" s="156">
        <f>K410/17</f>
        <v/>
      </c>
      <c r="N410" s="156" t="n">
        <v>1</v>
      </c>
      <c r="O410" s="156" t="n">
        <v>7</v>
      </c>
      <c r="P410" s="281">
        <f>IF(K410=0,0,K410/O410)</f>
        <v/>
      </c>
      <c r="Q410" s="156" t="n">
        <v>0</v>
      </c>
      <c r="R410" s="156" t="n">
        <v>0</v>
      </c>
      <c r="S410" s="156" t="n">
        <v>0</v>
      </c>
      <c r="T410" s="156" t="n">
        <v>0</v>
      </c>
      <c r="U410" s="156" t="n">
        <v>0</v>
      </c>
      <c r="V410" s="156" t="n">
        <v>1</v>
      </c>
      <c r="W410" s="156" t="n">
        <v>1</v>
      </c>
      <c r="X410" s="204">
        <f>INDEX(Matrix!$AA$2:$AA$33, MATCH(G410, Matrix!$AC$2:$AC$33, 0))</f>
        <v/>
      </c>
      <c r="Y410" s="156">
        <f>_xlfn.IFNA(MATCH(E409,'Injury Report'!$C$2:$C$6216,0),0)</f>
        <v/>
      </c>
    </row>
    <row r="411" ht="15.6" customHeight="1" s="152">
      <c r="A411" s="212" t="n">
        <v>409</v>
      </c>
      <c r="B411" s="167">
        <f>F411&amp;G411</f>
        <v/>
      </c>
      <c r="C411" s="156">
        <f>(K411/MAX(K:K)*$K$1)+(O411/MAX(O:O)*$O$1)+(M411/MAX(M:M)*$M$1)+(N411/MAX(N:N)*$N$1)+(V411/MAX(V:V)*$V$1)+(P411/MAX(P:P)*$P$1)</f>
        <v/>
      </c>
      <c r="E411" s="156">
        <f>IFERROR(VLOOKUP(F411,AllPlayers!F:F,1,0),"------------")</f>
        <v/>
      </c>
      <c r="F411" s="156" t="inlineStr">
        <is>
          <t>Malachi Corley</t>
        </is>
      </c>
      <c r="G411" s="167">
        <f>VLOOKUP(F411,AllPlayers!Q:R,2,0)</f>
        <v/>
      </c>
      <c r="H411" s="156" t="inlineStr">
        <is>
          <t>TE</t>
        </is>
      </c>
      <c r="I411" s="156" t="n">
        <v>17</v>
      </c>
      <c r="J411" s="156" t="n">
        <v>3</v>
      </c>
      <c r="K411" s="156" t="n">
        <v>16</v>
      </c>
      <c r="L411" s="156">
        <f>IF(J411=0,0,K411/J411)</f>
        <v/>
      </c>
      <c r="M411" s="156">
        <f>K411/17</f>
        <v/>
      </c>
      <c r="N411" s="156" t="n">
        <v>0</v>
      </c>
      <c r="O411" s="156" t="n">
        <v>6</v>
      </c>
      <c r="P411" s="281">
        <f>IF(K411=0,0,K411/O411)</f>
        <v/>
      </c>
      <c r="Q411" s="156" t="n">
        <v>0</v>
      </c>
      <c r="R411" s="156" t="n">
        <v>0</v>
      </c>
      <c r="S411" s="156" t="n">
        <v>0</v>
      </c>
      <c r="T411" s="156" t="n">
        <v>0</v>
      </c>
      <c r="U411" s="156" t="n">
        <v>0</v>
      </c>
      <c r="V411" s="156" t="n">
        <v>0</v>
      </c>
      <c r="W411" s="156" t="n">
        <v>0</v>
      </c>
      <c r="X411" s="204">
        <f>INDEX(Matrix!$AA$2:$AA$33, MATCH(G411, Matrix!$AC$2:$AC$33, 0))</f>
        <v/>
      </c>
      <c r="Y411" s="156">
        <f>_xlfn.IFNA(MATCH(E410,'Injury Report'!$C$2:$C$6216,0),0)</f>
        <v/>
      </c>
    </row>
    <row r="412" ht="15.6" customHeight="1" s="152">
      <c r="A412" s="212" t="n">
        <v>410</v>
      </c>
      <c r="B412" s="167">
        <f>F412&amp;G412</f>
        <v/>
      </c>
      <c r="C412" s="156">
        <f>(K412/MAX(K:K)*$K$1)+(O412/MAX(O:O)*$O$1)+(M412/MAX(M:M)*$M$1)+(N412/MAX(N:N)*$N$1)+(V412/MAX(V:V)*$V$1)+(P412/MAX(P:P)*$P$1)</f>
        <v/>
      </c>
      <c r="E412" s="156">
        <f>IFERROR(VLOOKUP(F412,AllPlayers!F:F,1,0),"------------")</f>
        <v/>
      </c>
      <c r="F412" s="156" t="inlineStr">
        <is>
          <t>Trenton Irwin</t>
        </is>
      </c>
      <c r="G412" s="167">
        <f>VLOOKUP(F412,AllPlayers!Q:R,2,0)</f>
        <v/>
      </c>
      <c r="H412" s="156" t="inlineStr">
        <is>
          <t>TE</t>
        </is>
      </c>
      <c r="I412" s="156" t="n">
        <v>17</v>
      </c>
      <c r="J412" s="156" t="n">
        <v>3</v>
      </c>
      <c r="K412" s="156" t="n">
        <v>15</v>
      </c>
      <c r="L412" s="156">
        <f>IF(J412=0,0,K412/J412)</f>
        <v/>
      </c>
      <c r="M412" s="156">
        <f>K412/17</f>
        <v/>
      </c>
      <c r="N412" s="156" t="n">
        <v>0</v>
      </c>
      <c r="O412" s="156" t="n">
        <v>10</v>
      </c>
      <c r="P412" s="281">
        <f>IF(K412=0,0,K412/O412)</f>
        <v/>
      </c>
      <c r="Q412" s="156" t="n">
        <v>0</v>
      </c>
      <c r="R412" s="156" t="n">
        <v>0</v>
      </c>
      <c r="S412" s="156" t="n">
        <v>0</v>
      </c>
      <c r="T412" s="156" t="n">
        <v>0</v>
      </c>
      <c r="U412" s="156" t="n">
        <v>0</v>
      </c>
      <c r="V412" s="156" t="n">
        <v>0</v>
      </c>
      <c r="W412" s="156" t="n">
        <v>0</v>
      </c>
      <c r="X412" s="204">
        <f>INDEX(Matrix!$AA$2:$AA$33, MATCH(G412, Matrix!$AC$2:$AC$33, 0))</f>
        <v/>
      </c>
      <c r="Y412" s="156">
        <f>_xlfn.IFNA(MATCH(E411,'Injury Report'!$C$2:$C$6216,0),0)</f>
        <v/>
      </c>
    </row>
    <row r="413" ht="15.6" customHeight="1" s="152">
      <c r="A413" s="212" t="n">
        <v>411</v>
      </c>
      <c r="B413" s="167">
        <f>F413&amp;G413</f>
        <v/>
      </c>
      <c r="C413" s="156">
        <f>(K413/MAX(K:K)*$K$1)+(O413/MAX(O:O)*$O$1)+(M413/MAX(M:M)*$M$1)+(N413/MAX(N:N)*$N$1)+(V413/MAX(V:V)*$V$1)+(P413/MAX(P:P)*$P$1)</f>
        <v/>
      </c>
      <c r="E413" s="156">
        <f>IFERROR(VLOOKUP(F413,AllPlayers!F:F,1,0),"------------")</f>
        <v/>
      </c>
      <c r="F413" s="156" t="inlineStr">
        <is>
          <t>Jacob Kibodi</t>
        </is>
      </c>
      <c r="G413" s="167">
        <f>VLOOKUP(F413,AllPlayers!Q:R,2,0)</f>
        <v/>
      </c>
      <c r="H413" s="156" t="inlineStr">
        <is>
          <t>TE</t>
        </is>
      </c>
      <c r="I413" s="156" t="n">
        <v>17</v>
      </c>
      <c r="J413" s="156" t="n">
        <v>1</v>
      </c>
      <c r="K413" s="156" t="n">
        <v>15</v>
      </c>
      <c r="L413" s="156">
        <f>IF(J413=0,0,K413/J413)</f>
        <v/>
      </c>
      <c r="M413" s="156">
        <f>K413/17</f>
        <v/>
      </c>
      <c r="N413" s="156" t="n">
        <v>0</v>
      </c>
      <c r="O413" s="156" t="n">
        <v>3</v>
      </c>
      <c r="P413" s="281">
        <f>IF(K413=0,0,K413/O413)</f>
        <v/>
      </c>
      <c r="Q413" s="156" t="n">
        <v>0</v>
      </c>
      <c r="R413" s="156" t="n">
        <v>0</v>
      </c>
      <c r="S413" s="156" t="n">
        <v>0</v>
      </c>
      <c r="T413" s="156" t="n">
        <v>0</v>
      </c>
      <c r="U413" s="156" t="n">
        <v>0</v>
      </c>
      <c r="V413" s="156" t="n">
        <v>0</v>
      </c>
      <c r="W413" s="156" t="n">
        <v>0</v>
      </c>
      <c r="X413" s="204">
        <f>INDEX(Matrix!$AA$2:$AA$33, MATCH(G413, Matrix!$AC$2:$AC$33, 0))</f>
        <v/>
      </c>
      <c r="Y413" s="156">
        <f>_xlfn.IFNA(MATCH(E412,'Injury Report'!$C$2:$C$6216,0),0)</f>
        <v/>
      </c>
    </row>
    <row r="414" ht="15.6" customHeight="1" s="152">
      <c r="A414" s="212" t="n">
        <v>412</v>
      </c>
      <c r="B414" s="167">
        <f>F414&amp;G414</f>
        <v/>
      </c>
      <c r="C414" s="156">
        <f>(K414/MAX(K:K)*$K$1)+(O414/MAX(O:O)*$O$1)+(M414/MAX(M:M)*$M$1)+(N414/MAX(N:N)*$N$1)+(V414/MAX(V:V)*$V$1)+(P414/MAX(P:P)*$P$1)</f>
        <v/>
      </c>
      <c r="E414" s="156">
        <f>IFERROR(VLOOKUP(F414,AllPlayers!F:F,1,0),"------------")</f>
        <v/>
      </c>
      <c r="F414" s="156" t="inlineStr">
        <is>
          <t>Casey Washington</t>
        </is>
      </c>
      <c r="G414" s="167">
        <f>VLOOKUP(F414,AllPlayers!Q:R,2,0)</f>
        <v/>
      </c>
      <c r="H414" s="156" t="inlineStr">
        <is>
          <t>TE</t>
        </is>
      </c>
      <c r="I414" s="156" t="n">
        <v>1</v>
      </c>
      <c r="J414" s="156" t="n">
        <v>3</v>
      </c>
      <c r="K414" s="156" t="n">
        <v>33</v>
      </c>
      <c r="L414" s="156">
        <f>IF(J414=0,0,K414/J414)</f>
        <v/>
      </c>
      <c r="M414" s="156">
        <f>K414/17</f>
        <v/>
      </c>
      <c r="N414" s="156" t="n">
        <v>0</v>
      </c>
      <c r="O414" s="156" t="n">
        <v>6</v>
      </c>
      <c r="P414" s="281">
        <f>IF(K414=0,0,K414/O414)</f>
        <v/>
      </c>
      <c r="Q414" s="156" t="n">
        <v>0</v>
      </c>
      <c r="R414" s="156" t="n">
        <v>0</v>
      </c>
      <c r="S414" s="156" t="n">
        <v>0</v>
      </c>
      <c r="T414" s="156" t="n">
        <v>0</v>
      </c>
      <c r="U414" s="156" t="n">
        <v>0</v>
      </c>
      <c r="V414" s="156" t="n">
        <v>0</v>
      </c>
      <c r="W414" s="156" t="n">
        <v>0</v>
      </c>
      <c r="X414" s="204">
        <f>INDEX(Matrix!$AA$2:$AA$33, MATCH(G414, Matrix!$AC$2:$AC$33, 0))</f>
        <v/>
      </c>
      <c r="Y414" s="156">
        <f>_xlfn.IFNA(MATCH(E413,'Injury Report'!$C$2:$C$6216,0),0)</f>
        <v/>
      </c>
    </row>
    <row r="415" ht="15.6" customHeight="1" s="152">
      <c r="A415" s="212" t="n">
        <v>413</v>
      </c>
      <c r="B415" s="167">
        <f>F415&amp;G415</f>
        <v/>
      </c>
      <c r="C415" s="156">
        <f>(K415/MAX(K:K)*$K$1)+(O415/MAX(O:O)*$O$1)+(M415/MAX(M:M)*$M$1)+(N415/MAX(N:N)*$N$1)+(V415/MAX(V:V)*$V$1)+(P415/MAX(P:P)*$P$1)</f>
        <v/>
      </c>
      <c r="E415" s="156">
        <f>IFERROR(VLOOKUP(F415,AllPlayers!F:F,1,0),"------------")</f>
        <v/>
      </c>
      <c r="F415" s="156" t="inlineStr">
        <is>
          <t>Josiah Deguara</t>
        </is>
      </c>
      <c r="G415" s="167">
        <f>VLOOKUP(F415,AllPlayers!Q:R,2,0)</f>
        <v/>
      </c>
      <c r="H415" s="156" t="inlineStr">
        <is>
          <t>TE</t>
        </is>
      </c>
      <c r="I415" s="156" t="n">
        <v>1</v>
      </c>
      <c r="J415" s="156" t="n">
        <v>0</v>
      </c>
      <c r="K415" s="156" t="n">
        <v>0</v>
      </c>
      <c r="L415" s="156">
        <f>IF(J415=0,0,K415/J415)</f>
        <v/>
      </c>
      <c r="M415" s="156">
        <f>K415/17</f>
        <v/>
      </c>
      <c r="N415" s="156" t="n">
        <v>0</v>
      </c>
      <c r="O415" s="156" t="n">
        <v>0</v>
      </c>
      <c r="P415" s="281">
        <f>IF(K415=0,0,K415/O415)</f>
        <v/>
      </c>
      <c r="Q415" s="156" t="n">
        <v>0</v>
      </c>
      <c r="R415" s="156" t="n">
        <v>0</v>
      </c>
      <c r="S415" s="156" t="n">
        <v>0</v>
      </c>
      <c r="T415" s="156" t="n">
        <v>0</v>
      </c>
      <c r="U415" s="156" t="n">
        <v>0</v>
      </c>
      <c r="V415" s="156" t="n">
        <v>0</v>
      </c>
      <c r="W415" s="156" t="n">
        <v>0</v>
      </c>
      <c r="X415" s="204">
        <f>INDEX(Matrix!$AA$2:$AA$33, MATCH(G415, Matrix!$AC$2:$AC$33, 0))</f>
        <v/>
      </c>
      <c r="Y415" s="156">
        <f>_xlfn.IFNA(MATCH(E414,'Injury Report'!$C$2:$C$6216,0),0)</f>
        <v/>
      </c>
    </row>
    <row r="416" ht="15.6" customHeight="1" s="152">
      <c r="A416" s="212" t="n">
        <v>414</v>
      </c>
      <c r="B416" s="167">
        <f>F416&amp;G416</f>
        <v/>
      </c>
      <c r="C416" s="156">
        <f>(K416/MAX(K:K)*$K$1)+(O416/MAX(O:O)*$O$1)+(M416/MAX(M:M)*$M$1)+(N416/MAX(N:N)*$N$1)+(V416/MAX(V:V)*$V$1)+(P416/MAX(P:P)*$P$1)</f>
        <v/>
      </c>
      <c r="E416" s="156">
        <f>IFERROR(VLOOKUP(F416,AllPlayers!F:F,1,0),"------------")</f>
        <v/>
      </c>
      <c r="F416" s="156" t="inlineStr">
        <is>
          <t>Blake Watson</t>
        </is>
      </c>
      <c r="G416" s="167">
        <f>VLOOKUP(F416,AllPlayers!Q:R,2,0)</f>
        <v/>
      </c>
      <c r="H416" s="156" t="inlineStr">
        <is>
          <t>TE</t>
        </is>
      </c>
      <c r="I416" s="156" t="n">
        <v>17</v>
      </c>
      <c r="J416" s="156" t="n">
        <v>1</v>
      </c>
      <c r="K416" s="156" t="n">
        <v>13</v>
      </c>
      <c r="L416" s="156">
        <f>IF(J416=0,0,K416/J416)</f>
        <v/>
      </c>
      <c r="M416" s="156">
        <f>K416/17</f>
        <v/>
      </c>
      <c r="N416" s="156" t="n">
        <v>0</v>
      </c>
      <c r="O416" s="156" t="n">
        <v>2</v>
      </c>
      <c r="P416" s="281">
        <f>IF(K416=0,0,K416/O416)</f>
        <v/>
      </c>
      <c r="Q416" s="156" t="n">
        <v>0</v>
      </c>
      <c r="R416" s="156" t="n">
        <v>0</v>
      </c>
      <c r="S416" s="156" t="n">
        <v>0</v>
      </c>
      <c r="T416" s="156" t="n">
        <v>0</v>
      </c>
      <c r="U416" s="156" t="n">
        <v>0</v>
      </c>
      <c r="V416" s="156" t="n">
        <v>0</v>
      </c>
      <c r="W416" s="156" t="n">
        <v>0</v>
      </c>
      <c r="X416" s="204">
        <f>INDEX(Matrix!$AA$2:$AA$33, MATCH(G416, Matrix!$AC$2:$AC$33, 0))</f>
        <v/>
      </c>
      <c r="Y416" s="156">
        <f>_xlfn.IFNA(MATCH(E415,'Injury Report'!$C$2:$C$6216,0),0)</f>
        <v/>
      </c>
    </row>
    <row r="417" ht="15.6" customHeight="1" s="152">
      <c r="A417" s="212" t="n">
        <v>415</v>
      </c>
      <c r="B417" s="167">
        <f>F417&amp;G417</f>
        <v/>
      </c>
      <c r="C417" s="156">
        <f>(K417/MAX(K:K)*$K$1)+(O417/MAX(O:O)*$O$1)+(M417/MAX(M:M)*$M$1)+(N417/MAX(N:N)*$N$1)+(V417/MAX(V:V)*$V$1)+(P417/MAX(P:P)*$P$1)</f>
        <v/>
      </c>
      <c r="E417" s="156">
        <f>IFERROR(VLOOKUP(F417,AllPlayers!F:F,1,0),"------------")</f>
        <v/>
      </c>
      <c r="F417" s="156" t="inlineStr">
        <is>
          <t>Chris Rodriguez</t>
        </is>
      </c>
      <c r="G417" s="167">
        <f>VLOOKUP(F417,AllPlayers!Q:R,2,0)</f>
        <v/>
      </c>
      <c r="H417" s="156" t="inlineStr">
        <is>
          <t>TE</t>
        </is>
      </c>
      <c r="I417" s="156" t="n">
        <v>17</v>
      </c>
      <c r="J417" s="156" t="n">
        <v>1</v>
      </c>
      <c r="K417" s="156" t="n">
        <v>12</v>
      </c>
      <c r="L417" s="156">
        <f>IF(J417=0,0,K417/J417)</f>
        <v/>
      </c>
      <c r="M417" s="156">
        <f>K417/17</f>
        <v/>
      </c>
      <c r="N417" s="156" t="n">
        <v>0</v>
      </c>
      <c r="O417" s="156" t="n">
        <v>1</v>
      </c>
      <c r="P417" s="281">
        <f>IF(K417=0,0,K417/O417)</f>
        <v/>
      </c>
      <c r="Q417" s="156" t="n">
        <v>0</v>
      </c>
      <c r="R417" s="156" t="n">
        <v>0</v>
      </c>
      <c r="S417" s="156" t="n">
        <v>0</v>
      </c>
      <c r="T417" s="156" t="n">
        <v>0</v>
      </c>
      <c r="U417" s="156" t="n">
        <v>0</v>
      </c>
      <c r="V417" s="156" t="n">
        <v>0</v>
      </c>
      <c r="W417" s="156" t="n">
        <v>0</v>
      </c>
      <c r="X417" s="204">
        <f>INDEX(Matrix!$AA$2:$AA$33, MATCH(G417, Matrix!$AC$2:$AC$33, 0))</f>
        <v/>
      </c>
      <c r="Y417" s="156">
        <f>_xlfn.IFNA(MATCH(E416,'Injury Report'!$C$2:$C$6216,0),0)</f>
        <v/>
      </c>
    </row>
    <row r="418" ht="15.6" customHeight="1" s="152">
      <c r="A418" s="212" t="n">
        <v>416</v>
      </c>
      <c r="B418" s="167">
        <f>F418&amp;G418</f>
        <v/>
      </c>
      <c r="C418" s="156">
        <f>(K418/MAX(K:K)*$K$1)+(O418/MAX(O:O)*$O$1)+(M418/MAX(M:M)*$M$1)+(N418/MAX(N:N)*$N$1)+(V418/MAX(V:V)*$V$1)+(P418/MAX(P:P)*$P$1)</f>
        <v/>
      </c>
      <c r="E418" s="156">
        <f>IFERROR(VLOOKUP(F418,AllPlayers!F:F,1,0),"------------")</f>
        <v/>
      </c>
      <c r="F418" s="156" t="inlineStr">
        <is>
          <t>Feleipe Franks</t>
        </is>
      </c>
      <c r="G418" s="167">
        <f>VLOOKUP(F418,AllPlayers!Q:R,2,0)</f>
        <v/>
      </c>
      <c r="H418" s="156" t="inlineStr">
        <is>
          <t>TE</t>
        </is>
      </c>
      <c r="I418" s="156" t="n">
        <v>1</v>
      </c>
      <c r="J418" s="156" t="n">
        <v>0</v>
      </c>
      <c r="K418" s="156" t="n">
        <v>0</v>
      </c>
      <c r="L418" s="156">
        <f>IF(J418=0,0,K418/J418)</f>
        <v/>
      </c>
      <c r="M418" s="156">
        <f>K418/17</f>
        <v/>
      </c>
      <c r="N418" s="156" t="n">
        <v>0</v>
      </c>
      <c r="O418" s="156" t="n">
        <v>0</v>
      </c>
      <c r="P418" s="281">
        <f>IF(K418=0,0,K418/O418)</f>
        <v/>
      </c>
      <c r="Q418" s="156" t="n">
        <v>0</v>
      </c>
      <c r="R418" s="156" t="n">
        <v>0</v>
      </c>
      <c r="S418" s="156" t="n">
        <v>0</v>
      </c>
      <c r="T418" s="156" t="n">
        <v>0</v>
      </c>
      <c r="U418" s="156" t="n">
        <v>0</v>
      </c>
      <c r="V418" s="156" t="n">
        <v>0</v>
      </c>
      <c r="W418" s="156" t="n">
        <v>0</v>
      </c>
      <c r="X418" s="204">
        <f>INDEX(Matrix!$AA$2:$AA$33, MATCH(G418, Matrix!$AC$2:$AC$33, 0))</f>
        <v/>
      </c>
      <c r="Y418" s="156">
        <f>_xlfn.IFNA(MATCH(E417,'Injury Report'!$C$2:$C$6216,0),0)</f>
        <v/>
      </c>
    </row>
    <row r="419" ht="15.6" customHeight="1" s="152">
      <c r="A419" s="212" t="n">
        <v>417</v>
      </c>
      <c r="B419" s="167">
        <f>F419&amp;G419</f>
        <v/>
      </c>
      <c r="C419" s="156">
        <f>(K419/MAX(K:K)*$K$1)+(O419/MAX(O:O)*$O$1)+(M419/MAX(M:M)*$M$1)+(N419/MAX(N:N)*$N$1)+(V419/MAX(V:V)*$V$1)+(P419/MAX(P:P)*$P$1)</f>
        <v/>
      </c>
      <c r="E419" s="156">
        <f>IFERROR(VLOOKUP(F419,AllPlayers!F:F,1,0),"------------")</f>
        <v/>
      </c>
      <c r="F419" s="156" t="inlineStr">
        <is>
          <t>Isaiah Hodgins</t>
        </is>
      </c>
      <c r="G419" s="167">
        <f>VLOOKUP(F419,AllPlayers!Q:R,2,0)</f>
        <v/>
      </c>
      <c r="H419" s="156" t="inlineStr">
        <is>
          <t>TE</t>
        </is>
      </c>
      <c r="I419" s="156" t="n">
        <v>17</v>
      </c>
      <c r="J419" s="156" t="n">
        <v>2</v>
      </c>
      <c r="K419" s="156" t="n">
        <v>12</v>
      </c>
      <c r="L419" s="156">
        <f>IF(J419=0,0,K419/J419)</f>
        <v/>
      </c>
      <c r="M419" s="156">
        <f>K419/17</f>
        <v/>
      </c>
      <c r="N419" s="156" t="n">
        <v>0</v>
      </c>
      <c r="O419" s="156" t="n">
        <v>2</v>
      </c>
      <c r="P419" s="281">
        <f>IF(K419=0,0,K419/O419)</f>
        <v/>
      </c>
      <c r="Q419" s="156" t="n">
        <v>0</v>
      </c>
      <c r="R419" s="156" t="n">
        <v>0</v>
      </c>
      <c r="S419" s="156" t="n">
        <v>0</v>
      </c>
      <c r="T419" s="156" t="n">
        <v>0</v>
      </c>
      <c r="U419" s="156" t="n">
        <v>0</v>
      </c>
      <c r="V419" s="156" t="n">
        <v>0</v>
      </c>
      <c r="W419" s="156" t="n">
        <v>0</v>
      </c>
      <c r="X419" s="204">
        <f>INDEX(Matrix!$AA$2:$AA$33, MATCH(G419, Matrix!$AC$2:$AC$33, 0))</f>
        <v/>
      </c>
      <c r="Y419" s="156">
        <f>_xlfn.IFNA(MATCH(E418,'Injury Report'!$C$2:$C$6216,0),0)</f>
        <v/>
      </c>
    </row>
    <row r="420" ht="15.6" customHeight="1" s="152">
      <c r="A420" s="212" t="n">
        <v>418</v>
      </c>
      <c r="B420" s="167">
        <f>F420&amp;G420</f>
        <v/>
      </c>
      <c r="C420" s="156">
        <f>(K420/MAX(K:K)*$K$1)+(O420/MAX(O:O)*$O$1)+(M420/MAX(M:M)*$M$1)+(N420/MAX(N:N)*$N$1)+(V420/MAX(V:V)*$V$1)+(P420/MAX(P:P)*$P$1)</f>
        <v/>
      </c>
      <c r="E420" s="156">
        <f>IFERROR(VLOOKUP(F420,AllPlayers!F:F,1,0),"------------")</f>
        <v/>
      </c>
      <c r="F420" s="156" t="inlineStr">
        <is>
          <t>Javon Baker</t>
        </is>
      </c>
      <c r="G420" s="167">
        <f>VLOOKUP(F420,AllPlayers!Q:R,2,0)</f>
        <v/>
      </c>
      <c r="H420" s="156" t="inlineStr">
        <is>
          <t>TE</t>
        </is>
      </c>
      <c r="I420" s="156" t="n">
        <v>17</v>
      </c>
      <c r="J420" s="156" t="n">
        <v>1</v>
      </c>
      <c r="K420" s="156" t="n">
        <v>12</v>
      </c>
      <c r="L420" s="156">
        <f>IF(J420=0,0,K420/J420)</f>
        <v/>
      </c>
      <c r="M420" s="156">
        <f>K420/17</f>
        <v/>
      </c>
      <c r="N420" s="156" t="n">
        <v>0</v>
      </c>
      <c r="O420" s="156" t="n">
        <v>4</v>
      </c>
      <c r="P420" s="281">
        <f>IF(K420=0,0,K420/O420)</f>
        <v/>
      </c>
      <c r="Q420" s="156" t="n">
        <v>0</v>
      </c>
      <c r="R420" s="156" t="n">
        <v>0</v>
      </c>
      <c r="S420" s="156" t="n">
        <v>0</v>
      </c>
      <c r="T420" s="156" t="n">
        <v>0</v>
      </c>
      <c r="U420" s="156" t="n">
        <v>0</v>
      </c>
      <c r="V420" s="156" t="n">
        <v>0</v>
      </c>
      <c r="W420" s="156" t="n">
        <v>0</v>
      </c>
      <c r="X420" s="204">
        <f>INDEX(Matrix!$AA$2:$AA$33, MATCH(G420, Matrix!$AC$2:$AC$33, 0))</f>
        <v/>
      </c>
      <c r="Y420" s="156">
        <f>_xlfn.IFNA(MATCH(E419,'Injury Report'!$C$2:$C$6216,0),0)</f>
        <v/>
      </c>
    </row>
    <row r="421" ht="15.6" customHeight="1" s="152">
      <c r="A421" s="212" t="n">
        <v>419</v>
      </c>
      <c r="B421" s="167">
        <f>F421&amp;G421</f>
        <v/>
      </c>
      <c r="C421" s="156">
        <f>(K421/MAX(K:K)*$K$1)+(O421/MAX(O:O)*$O$1)+(M421/MAX(M:M)*$M$1)+(N421/MAX(N:N)*$N$1)+(V421/MAX(V:V)*$V$1)+(P421/MAX(P:P)*$P$1)</f>
        <v/>
      </c>
      <c r="E421" s="156">
        <f>IFERROR(VLOOKUP(F421,AllPlayers!F:F,1,0),"------------")</f>
        <v/>
      </c>
      <c r="F421" s="156" t="inlineStr">
        <is>
          <t>Diontae Johnson</t>
        </is>
      </c>
      <c r="G421" s="167">
        <f>VLOOKUP(F421,AllPlayers!Q:R,2,0)</f>
        <v/>
      </c>
      <c r="H421" s="156" t="inlineStr">
        <is>
          <t>TE</t>
        </is>
      </c>
      <c r="I421" s="156" t="n">
        <v>17</v>
      </c>
      <c r="J421" s="156" t="n">
        <v>2</v>
      </c>
      <c r="K421" s="156" t="n">
        <v>12</v>
      </c>
      <c r="L421" s="156">
        <f>IF(J421=0,0,K421/J421)</f>
        <v/>
      </c>
      <c r="M421" s="156">
        <f>K421/17</f>
        <v/>
      </c>
      <c r="N421" s="156" t="n">
        <v>0</v>
      </c>
      <c r="O421" s="156" t="n">
        <v>4</v>
      </c>
      <c r="P421" s="281">
        <f>IF(K421=0,0,K421/O421)</f>
        <v/>
      </c>
      <c r="Q421" s="156" t="n">
        <v>0</v>
      </c>
      <c r="R421" s="156" t="n">
        <v>0</v>
      </c>
      <c r="S421" s="156" t="n">
        <v>0</v>
      </c>
      <c r="T421" s="156" t="n">
        <v>0</v>
      </c>
      <c r="U421" s="156" t="n">
        <v>0</v>
      </c>
      <c r="V421" s="156" t="n">
        <v>0</v>
      </c>
      <c r="W421" s="156" t="n">
        <v>0</v>
      </c>
      <c r="X421" s="204">
        <f>INDEX(Matrix!$AA$2:$AA$33, MATCH(G421, Matrix!$AC$2:$AC$33, 0))</f>
        <v/>
      </c>
      <c r="Y421" s="156">
        <f>_xlfn.IFNA(MATCH(E420,'Injury Report'!$C$2:$C$6216,0),0)</f>
        <v/>
      </c>
    </row>
    <row r="422" ht="15.6" customHeight="1" s="152">
      <c r="A422" s="212" t="n">
        <v>420</v>
      </c>
      <c r="B422" s="167">
        <f>F422&amp;G422</f>
        <v/>
      </c>
      <c r="C422" s="156">
        <f>(K422/MAX(K:K)*$K$1)+(O422/MAX(O:O)*$O$1)+(M422/MAX(M:M)*$M$1)+(N422/MAX(N:N)*$N$1)+(V422/MAX(V:V)*$V$1)+(P422/MAX(P:P)*$P$1)</f>
        <v/>
      </c>
      <c r="E422" s="156">
        <f>IFERROR(VLOOKUP(F422,AllPlayers!F:F,1,0),"------------")</f>
        <v/>
      </c>
      <c r="F422" s="156" t="inlineStr">
        <is>
          <t>Josh Reynolds</t>
        </is>
      </c>
      <c r="G422" s="167">
        <f>VLOOKUP(F422,AllPlayers!Q:R,2,0)</f>
        <v/>
      </c>
      <c r="H422" s="156" t="inlineStr">
        <is>
          <t>TE</t>
        </is>
      </c>
      <c r="I422" s="156" t="n">
        <v>1</v>
      </c>
      <c r="J422" s="156" t="n">
        <v>2</v>
      </c>
      <c r="K422" s="156" t="n">
        <v>18</v>
      </c>
      <c r="L422" s="156">
        <f>IF(J422=0,0,K422/J422)</f>
        <v/>
      </c>
      <c r="M422" s="156">
        <f>K422/17</f>
        <v/>
      </c>
      <c r="N422" s="156" t="n">
        <v>0</v>
      </c>
      <c r="O422" s="156" t="n">
        <v>3</v>
      </c>
      <c r="P422" s="281">
        <f>IF(K422=0,0,K422/O422)</f>
        <v/>
      </c>
      <c r="Q422" s="156" t="n">
        <v>0</v>
      </c>
      <c r="R422" s="156" t="n">
        <v>0</v>
      </c>
      <c r="S422" s="156" t="n">
        <v>0</v>
      </c>
      <c r="T422" s="156" t="n">
        <v>0</v>
      </c>
      <c r="U422" s="156" t="n">
        <v>0</v>
      </c>
      <c r="V422" s="156" t="n">
        <v>0</v>
      </c>
      <c r="W422" s="156" t="n">
        <v>0</v>
      </c>
      <c r="X422" s="204">
        <f>INDEX(Matrix!$AA$2:$AA$33, MATCH(G422, Matrix!$AC$2:$AC$33, 0))</f>
        <v/>
      </c>
      <c r="Y422" s="156">
        <f>_xlfn.IFNA(MATCH(E421,'Injury Report'!$C$2:$C$6216,0),0)</f>
        <v/>
      </c>
    </row>
    <row r="423" ht="15.6" customHeight="1" s="152">
      <c r="A423" s="212" t="n">
        <v>421</v>
      </c>
      <c r="B423" s="167">
        <f>F423&amp;G423</f>
        <v/>
      </c>
      <c r="C423" s="156">
        <f>(K423/MAX(K:K)*$K$1)+(O423/MAX(O:O)*$O$1)+(M423/MAX(M:M)*$M$1)+(N423/MAX(N:N)*$N$1)+(V423/MAX(V:V)*$V$1)+(P423/MAX(P:P)*$P$1)</f>
        <v/>
      </c>
      <c r="E423" s="156">
        <f>IFERROR(VLOOKUP(F423,AllPlayers!F:F,1,0),"------------")</f>
        <v/>
      </c>
      <c r="F423" s="156" t="inlineStr">
        <is>
          <t>Deejay Dallas</t>
        </is>
      </c>
      <c r="G423" s="167">
        <f>VLOOKUP(F423,AllPlayers!Q:R,2,0)</f>
        <v/>
      </c>
      <c r="H423" s="156" t="inlineStr">
        <is>
          <t>TE</t>
        </is>
      </c>
      <c r="I423" s="156" t="n">
        <v>17</v>
      </c>
      <c r="J423" s="156" t="n">
        <v>3</v>
      </c>
      <c r="K423" s="156" t="n">
        <v>11</v>
      </c>
      <c r="L423" s="156">
        <f>IF(J423=0,0,K423/J423)</f>
        <v/>
      </c>
      <c r="M423" s="156">
        <f>K423/17</f>
        <v/>
      </c>
      <c r="N423" s="156" t="n">
        <v>1</v>
      </c>
      <c r="O423" s="156" t="n">
        <v>3</v>
      </c>
      <c r="P423" s="281">
        <f>IF(K423=0,0,K423/O423)</f>
        <v/>
      </c>
      <c r="Q423" s="156" t="n">
        <v>0</v>
      </c>
      <c r="R423" s="156" t="n">
        <v>0</v>
      </c>
      <c r="S423" s="156" t="n">
        <v>0</v>
      </c>
      <c r="T423" s="156" t="n">
        <v>0</v>
      </c>
      <c r="U423" s="156" t="n">
        <v>0</v>
      </c>
      <c r="V423" s="156" t="n">
        <v>0</v>
      </c>
      <c r="W423" s="156" t="n">
        <v>0</v>
      </c>
      <c r="X423" s="204">
        <f>INDEX(Matrix!$AA$2:$AA$33, MATCH(G423, Matrix!$AC$2:$AC$33, 0))</f>
        <v/>
      </c>
      <c r="Y423" s="156">
        <f>_xlfn.IFNA(MATCH(E422,'Injury Report'!$C$2:$C$6216,0),0)</f>
        <v/>
      </c>
    </row>
    <row r="424" ht="15.6" customHeight="1" s="152">
      <c r="A424" s="212" t="n">
        <v>422</v>
      </c>
      <c r="B424" s="167">
        <f>F424&amp;G424</f>
        <v/>
      </c>
      <c r="C424" s="156">
        <f>(K424/MAX(K:K)*$K$1)+(O424/MAX(O:O)*$O$1)+(M424/MAX(M:M)*$M$1)+(N424/MAX(N:N)*$N$1)+(V424/MAX(V:V)*$V$1)+(P424/MAX(P:P)*$P$1)</f>
        <v/>
      </c>
      <c r="E424" s="156">
        <f>IFERROR(VLOOKUP(F424,AllPlayers!F:F,1,0),"------------")</f>
        <v/>
      </c>
      <c r="F424" s="156" t="inlineStr">
        <is>
          <t>Trent Taylor</t>
        </is>
      </c>
      <c r="G424" s="167">
        <f>VLOOKUP(F424,AllPlayers!Q:R,2,0)</f>
        <v/>
      </c>
      <c r="H424" s="156" t="inlineStr">
        <is>
          <t>TE</t>
        </is>
      </c>
      <c r="I424" s="156" t="n">
        <v>17</v>
      </c>
      <c r="J424" s="156" t="n">
        <v>1</v>
      </c>
      <c r="K424" s="156" t="n">
        <v>11</v>
      </c>
      <c r="L424" s="156">
        <f>IF(J424=0,0,K424/J424)</f>
        <v/>
      </c>
      <c r="M424" s="156">
        <f>K424/17</f>
        <v/>
      </c>
      <c r="N424" s="156" t="n">
        <v>0</v>
      </c>
      <c r="O424" s="156" t="n">
        <v>1</v>
      </c>
      <c r="P424" s="281">
        <f>IF(K424=0,0,K424/O424)</f>
        <v/>
      </c>
      <c r="Q424" s="156" t="n">
        <v>0</v>
      </c>
      <c r="R424" s="156" t="n">
        <v>0</v>
      </c>
      <c r="S424" s="156" t="n">
        <v>0</v>
      </c>
      <c r="T424" s="156" t="n">
        <v>0</v>
      </c>
      <c r="U424" s="156" t="n">
        <v>0</v>
      </c>
      <c r="V424" s="156" t="n">
        <v>0</v>
      </c>
      <c r="W424" s="156" t="n">
        <v>0</v>
      </c>
      <c r="X424" s="204">
        <f>INDEX(Matrix!$AA$2:$AA$33, MATCH(G424, Matrix!$AC$2:$AC$33, 0))</f>
        <v/>
      </c>
      <c r="Y424" s="156">
        <f>_xlfn.IFNA(MATCH(E423,'Injury Report'!$C$2:$C$6216,0),0)</f>
        <v/>
      </c>
    </row>
    <row r="425" ht="15.6" customHeight="1" s="152">
      <c r="A425" s="212" t="n">
        <v>423</v>
      </c>
      <c r="B425" s="167">
        <f>F425&amp;G425</f>
        <v/>
      </c>
      <c r="C425" s="156">
        <f>(K425/MAX(K:K)*$K$1)+(O425/MAX(O:O)*$O$1)+(M425/MAX(M:M)*$M$1)+(N425/MAX(N:N)*$N$1)+(V425/MAX(V:V)*$V$1)+(P425/MAX(P:P)*$P$1)</f>
        <v/>
      </c>
      <c r="E425" s="156">
        <f>IFERROR(VLOOKUP(F425,AllPlayers!F:F,1,0),"------------")</f>
        <v/>
      </c>
      <c r="F425" s="156" t="inlineStr">
        <is>
          <t>Myles Gaskin</t>
        </is>
      </c>
      <c r="G425" s="167">
        <f>VLOOKUP(F425,AllPlayers!Q:R,2,0)</f>
        <v/>
      </c>
      <c r="H425" s="156" t="inlineStr">
        <is>
          <t>TE</t>
        </is>
      </c>
      <c r="I425" s="156" t="n">
        <v>17</v>
      </c>
      <c r="J425" s="156" t="n">
        <v>1</v>
      </c>
      <c r="K425" s="156" t="n">
        <v>11</v>
      </c>
      <c r="L425" s="156">
        <f>IF(J425=0,0,K425/J425)</f>
        <v/>
      </c>
      <c r="M425" s="156">
        <f>K425/17</f>
        <v/>
      </c>
      <c r="N425" s="156" t="n">
        <v>0</v>
      </c>
      <c r="O425" s="156" t="n">
        <v>1</v>
      </c>
      <c r="P425" s="281">
        <f>IF(K425=0,0,K425/O425)</f>
        <v/>
      </c>
      <c r="Q425" s="156" t="n">
        <v>0</v>
      </c>
      <c r="R425" s="156" t="n">
        <v>0</v>
      </c>
      <c r="S425" s="156" t="n">
        <v>0</v>
      </c>
      <c r="T425" s="156" t="n">
        <v>0</v>
      </c>
      <c r="U425" s="156" t="n">
        <v>0</v>
      </c>
      <c r="V425" s="156" t="n">
        <v>0</v>
      </c>
      <c r="W425" s="156" t="n">
        <v>0</v>
      </c>
      <c r="X425" s="204">
        <f>INDEX(Matrix!$AA$2:$AA$33, MATCH(G425, Matrix!$AC$2:$AC$33, 0))</f>
        <v/>
      </c>
      <c r="Y425" s="156">
        <f>_xlfn.IFNA(MATCH(E424,'Injury Report'!$C$2:$C$6216,0),0)</f>
        <v/>
      </c>
    </row>
    <row r="426" ht="15.6" customHeight="1" s="152">
      <c r="A426" s="212" t="n">
        <v>424</v>
      </c>
      <c r="B426" s="167">
        <f>F426&amp;G426</f>
        <v/>
      </c>
      <c r="C426" s="156">
        <f>(K426/MAX(K:K)*$K$1)+(O426/MAX(O:O)*$O$1)+(M426/MAX(M:M)*$M$1)+(N426/MAX(N:N)*$N$1)+(V426/MAX(V:V)*$V$1)+(P426/MAX(P:P)*$P$1)</f>
        <v/>
      </c>
      <c r="E426" s="156">
        <f>IFERROR(VLOOKUP(F426,AllPlayers!F:F,1,0),"------------")</f>
        <v/>
      </c>
      <c r="F426" s="156" t="inlineStr">
        <is>
          <t>Travis Homer</t>
        </is>
      </c>
      <c r="G426" s="167">
        <f>VLOOKUP(F426,AllPlayers!Q:R,2,0)</f>
        <v/>
      </c>
      <c r="H426" s="156" t="inlineStr">
        <is>
          <t>TE</t>
        </is>
      </c>
      <c r="I426" s="156" t="n">
        <v>17</v>
      </c>
      <c r="J426" s="156" t="n">
        <v>3</v>
      </c>
      <c r="K426" s="156" t="n">
        <v>11</v>
      </c>
      <c r="L426" s="156">
        <f>IF(J426=0,0,K426/J426)</f>
        <v/>
      </c>
      <c r="M426" s="156">
        <f>K426/17</f>
        <v/>
      </c>
      <c r="N426" s="156" t="n">
        <v>0</v>
      </c>
      <c r="O426" s="156" t="n">
        <v>3</v>
      </c>
      <c r="P426" s="281">
        <f>IF(K426=0,0,K426/O426)</f>
        <v/>
      </c>
      <c r="Q426" s="156" t="n">
        <v>0</v>
      </c>
      <c r="R426" s="156" t="n">
        <v>0</v>
      </c>
      <c r="S426" s="156" t="n">
        <v>0</v>
      </c>
      <c r="T426" s="156" t="n">
        <v>0</v>
      </c>
      <c r="U426" s="156" t="n">
        <v>0</v>
      </c>
      <c r="V426" s="156" t="n">
        <v>0</v>
      </c>
      <c r="W426" s="156" t="n">
        <v>0</v>
      </c>
      <c r="X426" s="204">
        <f>INDEX(Matrix!$AA$2:$AA$33, MATCH(G426, Matrix!$AC$2:$AC$33, 0))</f>
        <v/>
      </c>
      <c r="Y426" s="156">
        <f>_xlfn.IFNA(MATCH(E425,'Injury Report'!$C$2:$C$6216,0),0)</f>
        <v/>
      </c>
    </row>
    <row r="427" ht="15.6" customHeight="1" s="152">
      <c r="A427" s="212" t="n">
        <v>425</v>
      </c>
      <c r="B427" s="167">
        <f>F427&amp;G427</f>
        <v/>
      </c>
      <c r="C427" s="156">
        <f>(K427/MAX(K:K)*$K$1)+(O427/MAX(O:O)*$O$1)+(M427/MAX(M:M)*$M$1)+(N427/MAX(N:N)*$N$1)+(V427/MAX(V:V)*$V$1)+(P427/MAX(P:P)*$P$1)</f>
        <v/>
      </c>
      <c r="E427" s="156">
        <f>IFERROR(VLOOKUP(F427,AllPlayers!F:F,1,0),"------------")</f>
        <v/>
      </c>
      <c r="F427" s="156" t="inlineStr">
        <is>
          <t>Grant Dubose</t>
        </is>
      </c>
      <c r="G427" s="167">
        <f>VLOOKUP(F427,AllPlayers!Q:R,2,0)</f>
        <v/>
      </c>
      <c r="H427" s="156" t="inlineStr">
        <is>
          <t>TE</t>
        </is>
      </c>
      <c r="I427" s="156" t="n">
        <v>17</v>
      </c>
      <c r="J427" s="156" t="n">
        <v>2</v>
      </c>
      <c r="K427" s="156" t="n">
        <v>11</v>
      </c>
      <c r="L427" s="156">
        <f>IF(J427=0,0,K427/J427)</f>
        <v/>
      </c>
      <c r="M427" s="156">
        <f>K427/17</f>
        <v/>
      </c>
      <c r="N427" s="156" t="n">
        <v>0</v>
      </c>
      <c r="O427" s="156" t="n">
        <v>4</v>
      </c>
      <c r="P427" s="281">
        <f>IF(K427=0,0,K427/O427)</f>
        <v/>
      </c>
      <c r="Q427" s="156" t="n">
        <v>0</v>
      </c>
      <c r="R427" s="156" t="n">
        <v>0</v>
      </c>
      <c r="S427" s="156" t="n">
        <v>0</v>
      </c>
      <c r="T427" s="156" t="n">
        <v>0</v>
      </c>
      <c r="U427" s="156" t="n">
        <v>0</v>
      </c>
      <c r="V427" s="156" t="n">
        <v>0</v>
      </c>
      <c r="W427" s="156" t="n">
        <v>0</v>
      </c>
      <c r="X427" s="204">
        <f>INDEX(Matrix!$AA$2:$AA$33, MATCH(G427, Matrix!$AC$2:$AC$33, 0))</f>
        <v/>
      </c>
      <c r="Y427" s="156">
        <f>_xlfn.IFNA(MATCH(E426,'Injury Report'!$C$2:$C$6216,0),0)</f>
        <v/>
      </c>
    </row>
    <row r="428" ht="15.6" customHeight="1" s="152">
      <c r="A428" s="212" t="n">
        <v>426</v>
      </c>
      <c r="B428" s="167">
        <f>F428&amp;G428</f>
        <v/>
      </c>
      <c r="C428" s="156">
        <f>(K428/MAX(K:K)*$K$1)+(O428/MAX(O:O)*$O$1)+(M428/MAX(M:M)*$M$1)+(N428/MAX(N:N)*$N$1)+(V428/MAX(V:V)*$V$1)+(P428/MAX(P:P)*$P$1)</f>
        <v/>
      </c>
      <c r="E428" s="156">
        <f>IFERROR(VLOOKUP(F428,AllPlayers!F:F,1,0),"------------")</f>
        <v/>
      </c>
      <c r="F428" s="156" t="inlineStr">
        <is>
          <t>Julius Chestnut</t>
        </is>
      </c>
      <c r="G428" s="167">
        <f>VLOOKUP(F428,AllPlayers!Q:R,2,0)</f>
        <v/>
      </c>
      <c r="H428" s="156" t="inlineStr">
        <is>
          <t>TE</t>
        </is>
      </c>
      <c r="I428" s="156" t="n">
        <v>1</v>
      </c>
      <c r="J428" s="156" t="n">
        <v>0</v>
      </c>
      <c r="K428" s="156" t="n">
        <v>0</v>
      </c>
      <c r="L428" s="156">
        <f>IF(J428=0,0,K428/J428)</f>
        <v/>
      </c>
      <c r="M428" s="156">
        <f>K428/17</f>
        <v/>
      </c>
      <c r="N428" s="156" t="n">
        <v>0</v>
      </c>
      <c r="O428" s="156" t="n">
        <v>0</v>
      </c>
      <c r="P428" s="281">
        <f>IF(K428=0,0,K428/O428)</f>
        <v/>
      </c>
      <c r="Q428" s="156" t="n">
        <v>0</v>
      </c>
      <c r="R428" s="156" t="n">
        <v>0</v>
      </c>
      <c r="S428" s="156" t="n">
        <v>0</v>
      </c>
      <c r="T428" s="156" t="n">
        <v>0</v>
      </c>
      <c r="U428" s="156" t="n">
        <v>0</v>
      </c>
      <c r="V428" s="156" t="n">
        <v>0</v>
      </c>
      <c r="W428" s="156" t="n">
        <v>0</v>
      </c>
      <c r="X428" s="204">
        <f>INDEX(Matrix!$AA$2:$AA$33, MATCH(G428, Matrix!$AC$2:$AC$33, 0))</f>
        <v/>
      </c>
      <c r="Y428" s="156">
        <f>_xlfn.IFNA(MATCH(E427,'Injury Report'!$C$2:$C$6216,0),0)</f>
        <v/>
      </c>
    </row>
    <row r="429" ht="15.6" customHeight="1" s="152">
      <c r="A429" s="212" t="n">
        <v>427</v>
      </c>
      <c r="B429" s="167">
        <f>F429&amp;G429</f>
        <v/>
      </c>
      <c r="C429" s="156">
        <f>(K429/MAX(K:K)*$K$1)+(O429/MAX(O:O)*$O$1)+(M429/MAX(M:M)*$M$1)+(N429/MAX(N:N)*$N$1)+(V429/MAX(V:V)*$V$1)+(P429/MAX(P:P)*$P$1)</f>
        <v/>
      </c>
      <c r="E429" s="156">
        <f>IFERROR(VLOOKUP(F429,AllPlayers!F:F,1,0),"------------")</f>
        <v/>
      </c>
      <c r="F429" s="156" t="inlineStr">
        <is>
          <t>Jack Stoll</t>
        </is>
      </c>
      <c r="G429" s="167">
        <f>VLOOKUP(F429,AllPlayers!Q:R,2,0)</f>
        <v/>
      </c>
      <c r="H429" s="156" t="inlineStr">
        <is>
          <t>TE</t>
        </is>
      </c>
      <c r="I429" s="156" t="n">
        <v>1</v>
      </c>
      <c r="J429" s="156" t="n">
        <v>0</v>
      </c>
      <c r="K429" s="156" t="n">
        <v>0</v>
      </c>
      <c r="L429" s="156">
        <f>IF(J429=0,0,K429/J429)</f>
        <v/>
      </c>
      <c r="M429" s="156">
        <f>K429/17</f>
        <v/>
      </c>
      <c r="N429" s="156" t="n">
        <v>0</v>
      </c>
      <c r="O429" s="156" t="n">
        <v>0</v>
      </c>
      <c r="P429" s="281">
        <f>IF(K429=0,0,K429/O429)</f>
        <v/>
      </c>
      <c r="Q429" s="156" t="n">
        <v>0</v>
      </c>
      <c r="R429" s="156" t="n">
        <v>0</v>
      </c>
      <c r="S429" s="156" t="n">
        <v>0</v>
      </c>
      <c r="T429" s="156" t="n">
        <v>0</v>
      </c>
      <c r="U429" s="156" t="n">
        <v>0</v>
      </c>
      <c r="V429" s="156" t="n">
        <v>0</v>
      </c>
      <c r="W429" s="156" t="n">
        <v>0</v>
      </c>
      <c r="X429" s="204">
        <f>INDEX(Matrix!$AA$2:$AA$33, MATCH(G429, Matrix!$AC$2:$AC$33, 0))</f>
        <v/>
      </c>
      <c r="Y429" s="156">
        <f>_xlfn.IFNA(MATCH(E428,'Injury Report'!$C$2:$C$6216,0),0)</f>
        <v/>
      </c>
    </row>
    <row r="430" ht="15.6" customHeight="1" s="152">
      <c r="A430" s="212" t="n">
        <v>428</v>
      </c>
      <c r="B430" s="167">
        <f>F430&amp;G430</f>
        <v/>
      </c>
      <c r="C430" s="156">
        <f>(K430/MAX(K:K)*$K$1)+(O430/MAX(O:O)*$O$1)+(M430/MAX(M:M)*$M$1)+(N430/MAX(N:N)*$N$1)+(V430/MAX(V:V)*$V$1)+(P430/MAX(P:P)*$P$1)</f>
        <v/>
      </c>
      <c r="E430" s="156">
        <f>IFERROR(VLOOKUP(F430,AllPlayers!F:F,1,0),"------------")</f>
        <v/>
      </c>
      <c r="F430" s="156" t="inlineStr">
        <is>
          <t>Dalvin Cook</t>
        </is>
      </c>
      <c r="G430" s="167">
        <f>VLOOKUP(F430,AllPlayers!Q:R,2,0)</f>
        <v/>
      </c>
      <c r="H430" s="156" t="inlineStr">
        <is>
          <t>TE</t>
        </is>
      </c>
      <c r="I430" s="156" t="n">
        <v>17</v>
      </c>
      <c r="J430" s="156" t="n">
        <v>1</v>
      </c>
      <c r="K430" s="156" t="n">
        <v>10</v>
      </c>
      <c r="L430" s="156">
        <f>IF(J430=0,0,K430/J430)</f>
        <v/>
      </c>
      <c r="M430" s="156">
        <f>K430/17</f>
        <v/>
      </c>
      <c r="N430" s="156" t="n">
        <v>0</v>
      </c>
      <c r="O430" s="156" t="n">
        <v>1</v>
      </c>
      <c r="P430" s="281">
        <f>IF(K430=0,0,K430/O430)</f>
        <v/>
      </c>
      <c r="Q430" s="156" t="n">
        <v>0</v>
      </c>
      <c r="R430" s="156" t="n">
        <v>0</v>
      </c>
      <c r="S430" s="156" t="n">
        <v>0</v>
      </c>
      <c r="T430" s="156" t="n">
        <v>0</v>
      </c>
      <c r="U430" s="156" t="n">
        <v>0</v>
      </c>
      <c r="V430" s="156" t="n">
        <v>0</v>
      </c>
      <c r="W430" s="156" t="n">
        <v>0</v>
      </c>
      <c r="X430" s="204">
        <f>INDEX(Matrix!$AA$2:$AA$33, MATCH(G430, Matrix!$AC$2:$AC$33, 0))</f>
        <v/>
      </c>
      <c r="Y430" s="156">
        <f>_xlfn.IFNA(MATCH(E429,'Injury Report'!$C$2:$C$6216,0),0)</f>
        <v/>
      </c>
    </row>
    <row r="431" ht="15.6" customHeight="1" s="152">
      <c r="A431" s="212" t="n">
        <v>429</v>
      </c>
      <c r="B431" s="167">
        <f>F431&amp;G431</f>
        <v/>
      </c>
      <c r="C431" s="156">
        <f>(K431/MAX(K:K)*$K$1)+(O431/MAX(O:O)*$O$1)+(M431/MAX(M:M)*$M$1)+(N431/MAX(N:N)*$N$1)+(V431/MAX(V:V)*$V$1)+(P431/MAX(P:P)*$P$1)</f>
        <v/>
      </c>
      <c r="E431" s="156">
        <f>IFERROR(VLOOKUP(F431,AllPlayers!F:F,1,0),"------------")</f>
        <v/>
      </c>
      <c r="F431" s="156" t="inlineStr">
        <is>
          <t>Jermar Jefferson</t>
        </is>
      </c>
      <c r="G431" s="167">
        <f>VLOOKUP(F431,AllPlayers!Q:R,2,0)</f>
        <v/>
      </c>
      <c r="H431" s="156" t="inlineStr">
        <is>
          <t>TE</t>
        </is>
      </c>
      <c r="I431" s="156" t="n">
        <v>17</v>
      </c>
      <c r="J431" s="156" t="n">
        <v>1</v>
      </c>
      <c r="K431" s="156" t="n">
        <v>10</v>
      </c>
      <c r="L431" s="156">
        <f>IF(J431=0,0,K431/J431)</f>
        <v/>
      </c>
      <c r="M431" s="156">
        <f>K431/17</f>
        <v/>
      </c>
      <c r="N431" s="156" t="n">
        <v>0</v>
      </c>
      <c r="O431" s="156" t="n">
        <v>1</v>
      </c>
      <c r="P431" s="281">
        <f>IF(K431=0,0,K431/O431)</f>
        <v/>
      </c>
      <c r="Q431" s="156" t="n">
        <v>0</v>
      </c>
      <c r="R431" s="156" t="n">
        <v>0</v>
      </c>
      <c r="S431" s="156" t="n">
        <v>0</v>
      </c>
      <c r="T431" s="156" t="n">
        <v>0</v>
      </c>
      <c r="U431" s="156" t="n">
        <v>0</v>
      </c>
      <c r="V431" s="156" t="n">
        <v>0</v>
      </c>
      <c r="W431" s="156" t="n">
        <v>0</v>
      </c>
      <c r="X431" s="204">
        <f>INDEX(Matrix!$AA$2:$AA$33, MATCH(G431, Matrix!$AC$2:$AC$33, 0))</f>
        <v/>
      </c>
      <c r="Y431" s="156">
        <f>_xlfn.IFNA(MATCH(E430,'Injury Report'!$C$2:$C$6216,0),0)</f>
        <v/>
      </c>
    </row>
    <row r="432" ht="15.6" customHeight="1" s="152">
      <c r="A432" s="212" t="n">
        <v>430</v>
      </c>
      <c r="B432" s="167">
        <f>F432&amp;G432</f>
        <v/>
      </c>
      <c r="C432" s="156">
        <f>(K432/MAX(K:K)*$K$1)+(O432/MAX(O:O)*$O$1)+(M432/MAX(M:M)*$M$1)+(N432/MAX(N:N)*$N$1)+(V432/MAX(V:V)*$V$1)+(P432/MAX(P:P)*$P$1)</f>
        <v/>
      </c>
      <c r="E432" s="156">
        <f>IFERROR(VLOOKUP(F432,AllPlayers!F:F,1,0),"------------")</f>
        <v/>
      </c>
      <c r="F432" s="156" t="inlineStr">
        <is>
          <t>Dan Skipper</t>
        </is>
      </c>
      <c r="G432" s="167">
        <f>VLOOKUP(F432,AllPlayers!Q:R,2,0)</f>
        <v/>
      </c>
      <c r="H432" s="156" t="inlineStr">
        <is>
          <t>TE</t>
        </is>
      </c>
      <c r="I432" s="156" t="n">
        <v>17</v>
      </c>
      <c r="J432" s="156" t="n">
        <v>1</v>
      </c>
      <c r="K432" s="156" t="n">
        <v>9</v>
      </c>
      <c r="L432" s="156">
        <f>IF(J432=0,0,K432/J432)</f>
        <v/>
      </c>
      <c r="M432" s="156">
        <f>K432/17</f>
        <v/>
      </c>
      <c r="N432" s="156" t="n">
        <v>1</v>
      </c>
      <c r="O432" s="156" t="n">
        <v>1</v>
      </c>
      <c r="P432" s="281">
        <f>IF(K432=0,0,K432/O432)</f>
        <v/>
      </c>
      <c r="Q432" s="156" t="n">
        <v>0</v>
      </c>
      <c r="R432" s="156" t="n">
        <v>0</v>
      </c>
      <c r="S432" s="156" t="n">
        <v>0</v>
      </c>
      <c r="T432" s="156" t="n">
        <v>0</v>
      </c>
      <c r="U432" s="156" t="n">
        <v>0</v>
      </c>
      <c r="V432" s="156" t="n">
        <v>0</v>
      </c>
      <c r="W432" s="156" t="n">
        <v>0</v>
      </c>
      <c r="X432" s="204">
        <f>INDEX(Matrix!$AA$2:$AA$33, MATCH(G432, Matrix!$AC$2:$AC$33, 0))</f>
        <v/>
      </c>
      <c r="Y432" s="156">
        <f>_xlfn.IFNA(MATCH(E431,'Injury Report'!$C$2:$C$6216,0),0)</f>
        <v/>
      </c>
    </row>
    <row r="433" ht="15.6" customHeight="1" s="152">
      <c r="A433" s="212" t="n">
        <v>431</v>
      </c>
      <c r="B433" s="167">
        <f>F433&amp;G433</f>
        <v/>
      </c>
      <c r="C433" s="156">
        <f>(K433/MAX(K:K)*$K$1)+(O433/MAX(O:O)*$O$1)+(M433/MAX(M:M)*$M$1)+(N433/MAX(N:N)*$N$1)+(V433/MAX(V:V)*$V$1)+(P433/MAX(P:P)*$P$1)</f>
        <v/>
      </c>
      <c r="E433" s="156">
        <f>IFERROR(VLOOKUP(F433,AllPlayers!F:F,1,0),"------------")</f>
        <v/>
      </c>
      <c r="F433" s="156" t="inlineStr">
        <is>
          <t>Eric Tomlinson</t>
        </is>
      </c>
      <c r="G433" s="167">
        <f>VLOOKUP(F433,AllPlayers!Q:R,2,0)</f>
        <v/>
      </c>
      <c r="H433" s="156" t="inlineStr">
        <is>
          <t>TE</t>
        </is>
      </c>
      <c r="I433" s="156" t="n">
        <v>17</v>
      </c>
      <c r="J433" s="156" t="n">
        <v>2</v>
      </c>
      <c r="K433" s="156" t="n">
        <v>9</v>
      </c>
      <c r="L433" s="156">
        <f>IF(J433=0,0,K433/J433)</f>
        <v/>
      </c>
      <c r="M433" s="156">
        <f>K433/17</f>
        <v/>
      </c>
      <c r="N433" s="156" t="n">
        <v>0</v>
      </c>
      <c r="O433" s="156" t="n">
        <v>4</v>
      </c>
      <c r="P433" s="281">
        <f>IF(K433=0,0,K433/O433)</f>
        <v/>
      </c>
      <c r="Q433" s="156" t="n">
        <v>0</v>
      </c>
      <c r="R433" s="156" t="n">
        <v>0</v>
      </c>
      <c r="S433" s="156" t="n">
        <v>0</v>
      </c>
      <c r="T433" s="156" t="n">
        <v>0</v>
      </c>
      <c r="U433" s="156" t="n">
        <v>0</v>
      </c>
      <c r="V433" s="156" t="n">
        <v>0</v>
      </c>
      <c r="W433" s="156" t="n">
        <v>0</v>
      </c>
      <c r="X433" s="204">
        <f>INDEX(Matrix!$AA$2:$AA$33, MATCH(G433, Matrix!$AC$2:$AC$33, 0))</f>
        <v/>
      </c>
      <c r="Y433" s="156">
        <f>_xlfn.IFNA(MATCH(E432,'Injury Report'!$C$2:$C$6216,0),0)</f>
        <v/>
      </c>
    </row>
    <row r="434" ht="15.6" customHeight="1" s="152">
      <c r="A434" s="212" t="n">
        <v>432</v>
      </c>
      <c r="B434" s="167">
        <f>F434&amp;G434</f>
        <v/>
      </c>
      <c r="C434" s="156">
        <f>(K434/MAX(K:K)*$K$1)+(O434/MAX(O:O)*$O$1)+(M434/MAX(M:M)*$M$1)+(N434/MAX(N:N)*$N$1)+(V434/MAX(V:V)*$V$1)+(P434/MAX(P:P)*$P$1)</f>
        <v/>
      </c>
      <c r="E434" s="156">
        <f>IFERROR(VLOOKUP(F434,AllPlayers!F:F,1,0),"------------")</f>
        <v/>
      </c>
      <c r="F434" s="156" t="inlineStr">
        <is>
          <t>Brandon Johnson</t>
        </is>
      </c>
      <c r="G434" s="167">
        <f>VLOOKUP(F434,AllPlayers!Q:R,2,0)</f>
        <v/>
      </c>
      <c r="H434" s="156" t="inlineStr">
        <is>
          <t>TE</t>
        </is>
      </c>
      <c r="I434" s="156" t="n">
        <v>17</v>
      </c>
      <c r="J434" s="156" t="n">
        <v>1</v>
      </c>
      <c r="K434" s="156" t="n">
        <v>9</v>
      </c>
      <c r="L434" s="156">
        <f>IF(J434=0,0,K434/J434)</f>
        <v/>
      </c>
      <c r="M434" s="156">
        <f>K434/17</f>
        <v/>
      </c>
      <c r="N434" s="156" t="n">
        <v>0</v>
      </c>
      <c r="O434" s="156" t="n">
        <v>1</v>
      </c>
      <c r="P434" s="281">
        <f>IF(K434=0,0,K434/O434)</f>
        <v/>
      </c>
      <c r="Q434" s="156" t="n">
        <v>0</v>
      </c>
      <c r="R434" s="156" t="n">
        <v>0</v>
      </c>
      <c r="S434" s="156" t="n">
        <v>0</v>
      </c>
      <c r="T434" s="156" t="n">
        <v>0</v>
      </c>
      <c r="U434" s="156" t="n">
        <v>0</v>
      </c>
      <c r="V434" s="156" t="n">
        <v>0</v>
      </c>
      <c r="W434" s="156" t="n">
        <v>0</v>
      </c>
      <c r="X434" s="204">
        <f>INDEX(Matrix!$AA$2:$AA$33, MATCH(G434, Matrix!$AC$2:$AC$33, 0))</f>
        <v/>
      </c>
      <c r="Y434" s="156">
        <f>_xlfn.IFNA(MATCH(E433,'Injury Report'!$C$2:$C$6216,0),0)</f>
        <v/>
      </c>
    </row>
    <row r="435" ht="15.6" customHeight="1" s="152">
      <c r="A435" s="212" t="n">
        <v>433</v>
      </c>
      <c r="B435" s="167">
        <f>F435&amp;G435</f>
        <v/>
      </c>
      <c r="C435" s="156">
        <f>(K435/MAX(K:K)*$K$1)+(O435/MAX(O:O)*$O$1)+(M435/MAX(M:M)*$M$1)+(N435/MAX(N:N)*$N$1)+(V435/MAX(V:V)*$V$1)+(P435/MAX(P:P)*$P$1)</f>
        <v/>
      </c>
      <c r="E435" s="156">
        <f>IFERROR(VLOOKUP(F435,AllPlayers!F:F,1,0),"------------")</f>
        <v/>
      </c>
      <c r="F435" s="156" t="inlineStr">
        <is>
          <t>Kendric Pryor</t>
        </is>
      </c>
      <c r="G435" s="167">
        <f>VLOOKUP(F435,AllPlayers!Q:R,2,0)</f>
        <v/>
      </c>
      <c r="H435" s="156" t="inlineStr">
        <is>
          <t>TE</t>
        </is>
      </c>
      <c r="I435" s="156" t="n">
        <v>17</v>
      </c>
      <c r="J435" s="156" t="n">
        <v>1</v>
      </c>
      <c r="K435" s="156" t="n">
        <v>9</v>
      </c>
      <c r="L435" s="156">
        <f>IF(J435=0,0,K435/J435)</f>
        <v/>
      </c>
      <c r="M435" s="156">
        <f>K435/17</f>
        <v/>
      </c>
      <c r="N435" s="156" t="n">
        <v>0</v>
      </c>
      <c r="O435" s="156" t="n">
        <v>1</v>
      </c>
      <c r="P435" s="281">
        <f>IF(K435=0,0,K435/O435)</f>
        <v/>
      </c>
      <c r="Q435" s="156" t="n">
        <v>0</v>
      </c>
      <c r="R435" s="156" t="n">
        <v>0</v>
      </c>
      <c r="S435" s="156" t="n">
        <v>0</v>
      </c>
      <c r="T435" s="156" t="n">
        <v>0</v>
      </c>
      <c r="U435" s="156" t="n">
        <v>0</v>
      </c>
      <c r="V435" s="156" t="n">
        <v>0</v>
      </c>
      <c r="W435" s="156" t="n">
        <v>0</v>
      </c>
      <c r="X435" s="204">
        <f>INDEX(Matrix!$AA$2:$AA$33, MATCH(G435, Matrix!$AC$2:$AC$33, 0))</f>
        <v/>
      </c>
      <c r="Y435" s="156">
        <f>_xlfn.IFNA(MATCH(E434,'Injury Report'!$C$2:$C$6216,0),0)</f>
        <v/>
      </c>
    </row>
    <row r="436" ht="15.6" customHeight="1" s="152">
      <c r="A436" s="212" t="n">
        <v>434</v>
      </c>
      <c r="B436" s="167">
        <f>F436&amp;G436</f>
        <v/>
      </c>
      <c r="C436" s="156">
        <f>(K436/MAX(K:K)*$K$1)+(O436/MAX(O:O)*$O$1)+(M436/MAX(M:M)*$M$1)+(N436/MAX(N:N)*$N$1)+(V436/MAX(V:V)*$V$1)+(P436/MAX(P:P)*$P$1)</f>
        <v/>
      </c>
      <c r="E436" s="156">
        <f>IFERROR(VLOOKUP(F436,AllPlayers!F:F,1,0),"------------")</f>
        <v/>
      </c>
      <c r="F436" s="156" t="inlineStr">
        <is>
          <t>Jha'quan Jackson</t>
        </is>
      </c>
      <c r="G436" s="167">
        <f>VLOOKUP(F436,AllPlayers!Q:R,2,0)</f>
        <v/>
      </c>
      <c r="H436" s="156" t="inlineStr">
        <is>
          <t>TE</t>
        </is>
      </c>
      <c r="I436" s="156" t="n">
        <v>17</v>
      </c>
      <c r="J436" s="156" t="n">
        <v>1</v>
      </c>
      <c r="K436" s="156" t="n">
        <v>8</v>
      </c>
      <c r="L436" s="156">
        <f>IF(J436=0,0,K436/J436)</f>
        <v/>
      </c>
      <c r="M436" s="156">
        <f>K436/17</f>
        <v/>
      </c>
      <c r="N436" s="156" t="n">
        <v>0</v>
      </c>
      <c r="O436" s="156" t="n">
        <v>3</v>
      </c>
      <c r="P436" s="281">
        <f>IF(K436=0,0,K436/O436)</f>
        <v/>
      </c>
      <c r="Q436" s="156" t="n">
        <v>0</v>
      </c>
      <c r="R436" s="156" t="n">
        <v>0</v>
      </c>
      <c r="S436" s="156" t="n">
        <v>0</v>
      </c>
      <c r="T436" s="156" t="n">
        <v>0</v>
      </c>
      <c r="U436" s="156" t="n">
        <v>0</v>
      </c>
      <c r="V436" s="156" t="n">
        <v>3</v>
      </c>
      <c r="W436" s="156" t="n">
        <v>0</v>
      </c>
      <c r="X436" s="204">
        <f>INDEX(Matrix!$AA$2:$AA$33, MATCH(G436, Matrix!$AC$2:$AC$33, 0))</f>
        <v/>
      </c>
      <c r="Y436" s="156">
        <f>_xlfn.IFNA(MATCH(E435,'Injury Report'!$C$2:$C$6216,0),0)</f>
        <v/>
      </c>
    </row>
    <row r="437" ht="15.6" customHeight="1" s="152">
      <c r="A437" s="212" t="n">
        <v>435</v>
      </c>
      <c r="B437" s="167">
        <f>F437&amp;G437</f>
        <v/>
      </c>
      <c r="C437" s="156">
        <f>(K437/MAX(K:K)*$K$1)+(O437/MAX(O:O)*$O$1)+(M437/MAX(M:M)*$M$1)+(N437/MAX(N:N)*$N$1)+(V437/MAX(V:V)*$V$1)+(P437/MAX(P:P)*$P$1)</f>
        <v/>
      </c>
      <c r="E437" s="156">
        <f>IFERROR(VLOOKUP(F437,AllPlayers!F:F,1,0),"------------")</f>
        <v/>
      </c>
      <c r="F437" s="156" t="inlineStr">
        <is>
          <t>Velus Jones</t>
        </is>
      </c>
      <c r="G437" s="167">
        <f>VLOOKUP(F437,AllPlayers!Q:R,2,0)</f>
        <v/>
      </c>
      <c r="H437" s="156" t="inlineStr">
        <is>
          <t>TE</t>
        </is>
      </c>
      <c r="I437" s="156" t="n">
        <v>1</v>
      </c>
      <c r="J437" s="156" t="n">
        <v>0</v>
      </c>
      <c r="K437" s="156" t="n">
        <v>0</v>
      </c>
      <c r="L437" s="156">
        <f>IF(J437=0,0,K437/J437)</f>
        <v/>
      </c>
      <c r="M437" s="156">
        <f>K437/17</f>
        <v/>
      </c>
      <c r="N437" s="156" t="n">
        <v>0</v>
      </c>
      <c r="O437" s="156" t="n">
        <v>0</v>
      </c>
      <c r="P437" s="281">
        <f>IF(K437=0,0,K437/O437)</f>
        <v/>
      </c>
      <c r="Q437" s="156" t="n">
        <v>0</v>
      </c>
      <c r="R437" s="156" t="n">
        <v>0</v>
      </c>
      <c r="S437" s="156" t="n">
        <v>0</v>
      </c>
      <c r="T437" s="156" t="n">
        <v>0</v>
      </c>
      <c r="U437" s="156" t="n">
        <v>0</v>
      </c>
      <c r="V437" s="156" t="n">
        <v>0</v>
      </c>
      <c r="W437" s="156" t="n">
        <v>0</v>
      </c>
      <c r="X437" s="204">
        <f>INDEX(Matrix!$AA$2:$AA$33, MATCH(G437, Matrix!$AC$2:$AC$33, 0))</f>
        <v/>
      </c>
      <c r="Y437" s="156">
        <f>_xlfn.IFNA(MATCH(E436,'Injury Report'!$C$2:$C$6216,0),0)</f>
        <v/>
      </c>
    </row>
    <row r="438" ht="15.6" customHeight="1" s="152">
      <c r="A438" s="212" t="n">
        <v>436</v>
      </c>
      <c r="B438" s="167">
        <f>F438&amp;G438</f>
        <v/>
      </c>
      <c r="C438" s="156">
        <f>(K438/MAX(K:K)*$K$1)+(O438/MAX(O:O)*$O$1)+(M438/MAX(M:M)*$M$1)+(N438/MAX(N:N)*$N$1)+(V438/MAX(V:V)*$V$1)+(P438/MAX(P:P)*$P$1)</f>
        <v/>
      </c>
      <c r="E438" s="156">
        <f>IFERROR(VLOOKUP(F438,AllPlayers!F:F,1,0),"------------")</f>
        <v/>
      </c>
      <c r="F438" s="156" t="inlineStr">
        <is>
          <t>Jaylen Wright</t>
        </is>
      </c>
      <c r="G438" s="167">
        <f>VLOOKUP(F438,AllPlayers!Q:R,2,0)</f>
        <v/>
      </c>
      <c r="H438" s="156" t="inlineStr">
        <is>
          <t>TE</t>
        </is>
      </c>
      <c r="I438" s="156" t="n">
        <v>17</v>
      </c>
      <c r="J438" s="156" t="n">
        <v>3</v>
      </c>
      <c r="K438" s="156" t="n">
        <v>8</v>
      </c>
      <c r="L438" s="156">
        <f>IF(J438=0,0,K438/J438)</f>
        <v/>
      </c>
      <c r="M438" s="156">
        <f>K438/17</f>
        <v/>
      </c>
      <c r="N438" s="156" t="n">
        <v>0</v>
      </c>
      <c r="O438" s="156" t="n">
        <v>6</v>
      </c>
      <c r="P438" s="281">
        <f>IF(K438=0,0,K438/O438)</f>
        <v/>
      </c>
      <c r="Q438" s="156" t="n">
        <v>0</v>
      </c>
      <c r="R438" s="156" t="n">
        <v>0</v>
      </c>
      <c r="S438" s="156" t="n">
        <v>0</v>
      </c>
      <c r="T438" s="156" t="n">
        <v>0</v>
      </c>
      <c r="U438" s="156" t="n">
        <v>0</v>
      </c>
      <c r="V438" s="156" t="n">
        <v>1</v>
      </c>
      <c r="W438" s="156" t="n">
        <v>1</v>
      </c>
      <c r="X438" s="204">
        <f>INDEX(Matrix!$AA$2:$AA$33, MATCH(G438, Matrix!$AC$2:$AC$33, 0))</f>
        <v/>
      </c>
      <c r="Y438" s="156">
        <f>_xlfn.IFNA(MATCH(E437,'Injury Report'!$C$2:$C$6216,0),0)</f>
        <v/>
      </c>
    </row>
    <row r="439" ht="15.6" customHeight="1" s="152">
      <c r="A439" s="212" t="n">
        <v>437</v>
      </c>
      <c r="B439" s="167">
        <f>F439&amp;G439</f>
        <v/>
      </c>
      <c r="C439" s="156">
        <f>(K439/MAX(K:K)*$K$1)+(O439/MAX(O:O)*$O$1)+(M439/MAX(M:M)*$M$1)+(N439/MAX(N:N)*$N$1)+(V439/MAX(V:V)*$V$1)+(P439/MAX(P:P)*$P$1)</f>
        <v/>
      </c>
      <c r="E439" s="156">
        <f>IFERROR(VLOOKUP(F439,AllPlayers!F:F,1,0),"------------")</f>
        <v/>
      </c>
      <c r="F439" s="156" t="inlineStr">
        <is>
          <t>Ian Thomas</t>
        </is>
      </c>
      <c r="G439" s="167">
        <f>VLOOKUP(F439,AllPlayers!Q:R,2,0)</f>
        <v/>
      </c>
      <c r="H439" s="156" t="inlineStr">
        <is>
          <t>TE</t>
        </is>
      </c>
      <c r="I439" s="156" t="n">
        <v>1</v>
      </c>
      <c r="J439" s="156" t="n">
        <v>0</v>
      </c>
      <c r="K439" s="156" t="n">
        <v>0</v>
      </c>
      <c r="L439" s="156">
        <f>IF(J439=0,0,K439/J439)</f>
        <v/>
      </c>
      <c r="M439" s="156">
        <f>K439/17</f>
        <v/>
      </c>
      <c r="N439" s="156" t="n">
        <v>0</v>
      </c>
      <c r="O439" s="156" t="n">
        <v>0</v>
      </c>
      <c r="P439" s="281">
        <f>IF(K439=0,0,K439/O439)</f>
        <v/>
      </c>
      <c r="Q439" s="156" t="n">
        <v>0</v>
      </c>
      <c r="R439" s="156" t="n">
        <v>0</v>
      </c>
      <c r="S439" s="156" t="n">
        <v>0</v>
      </c>
      <c r="T439" s="156" t="n">
        <v>0</v>
      </c>
      <c r="U439" s="156" t="n">
        <v>0</v>
      </c>
      <c r="V439" s="156" t="n">
        <v>0</v>
      </c>
      <c r="W439" s="156" t="n">
        <v>0</v>
      </c>
      <c r="X439" s="204">
        <f>INDEX(Matrix!$AA$2:$AA$33, MATCH(G439, Matrix!$AC$2:$AC$33, 0))</f>
        <v/>
      </c>
      <c r="Y439" s="156">
        <f>_xlfn.IFNA(MATCH(E438,'Injury Report'!$C$2:$C$6216,0),0)</f>
        <v/>
      </c>
    </row>
    <row r="440" ht="15.6" customHeight="1" s="152">
      <c r="A440" s="212" t="n">
        <v>438</v>
      </c>
      <c r="B440" s="167">
        <f>F440&amp;G440</f>
        <v/>
      </c>
      <c r="C440" s="156">
        <f>(K440/MAX(K:K)*$K$1)+(O440/MAX(O:O)*$O$1)+(M440/MAX(M:M)*$M$1)+(N440/MAX(N:N)*$N$1)+(V440/MAX(V:V)*$V$1)+(P440/MAX(P:P)*$P$1)</f>
        <v/>
      </c>
      <c r="E440" s="156">
        <f>IFERROR(VLOOKUP(F440,AllPlayers!F:F,1,0),"------------")</f>
        <v/>
      </c>
      <c r="F440" s="156" t="inlineStr">
        <is>
          <t>Jared Wiley</t>
        </is>
      </c>
      <c r="G440" s="167">
        <f>VLOOKUP(F440,AllPlayers!Q:R,2,0)</f>
        <v/>
      </c>
      <c r="H440" s="156" t="inlineStr">
        <is>
          <t>TE</t>
        </is>
      </c>
      <c r="I440" s="156" t="n">
        <v>17</v>
      </c>
      <c r="J440" s="156" t="n">
        <v>1</v>
      </c>
      <c r="K440" s="156" t="n">
        <v>7</v>
      </c>
      <c r="L440" s="156">
        <f>IF(J440=0,0,K440/J440)</f>
        <v/>
      </c>
      <c r="M440" s="156">
        <f>K440/17</f>
        <v/>
      </c>
      <c r="N440" s="156" t="n">
        <v>0</v>
      </c>
      <c r="O440" s="156" t="n">
        <v>1</v>
      </c>
      <c r="P440" s="281">
        <f>IF(K440=0,0,K440/O440)</f>
        <v/>
      </c>
      <c r="Q440" s="156" t="n">
        <v>0</v>
      </c>
      <c r="R440" s="156" t="n">
        <v>0</v>
      </c>
      <c r="S440" s="156" t="n">
        <v>0</v>
      </c>
      <c r="T440" s="156" t="n">
        <v>0</v>
      </c>
      <c r="U440" s="156" t="n">
        <v>0</v>
      </c>
      <c r="V440" s="156" t="n">
        <v>0</v>
      </c>
      <c r="W440" s="156" t="n">
        <v>0</v>
      </c>
      <c r="X440" s="204">
        <f>INDEX(Matrix!$AA$2:$AA$33, MATCH(G440, Matrix!$AC$2:$AC$33, 0))</f>
        <v/>
      </c>
      <c r="Y440" s="156">
        <f>_xlfn.IFNA(MATCH(E439,'Injury Report'!$C$2:$C$6216,0),0)</f>
        <v/>
      </c>
    </row>
    <row r="441" ht="15.6" customHeight="1" s="152">
      <c r="A441" s="212" t="n">
        <v>439</v>
      </c>
      <c r="B441" s="167">
        <f>F441&amp;G441</f>
        <v/>
      </c>
      <c r="C441" s="156">
        <f>(K441/MAX(K:K)*$K$1)+(O441/MAX(O:O)*$O$1)+(M441/MAX(M:M)*$M$1)+(N441/MAX(N:N)*$N$1)+(V441/MAX(V:V)*$V$1)+(P441/MAX(P:P)*$P$1)</f>
        <v/>
      </c>
      <c r="E441" s="156">
        <f>IFERROR(VLOOKUP(F441,AllPlayers!F:F,1,0),"------------")</f>
        <v/>
      </c>
      <c r="F441" s="156" t="inlineStr">
        <is>
          <t>Jared Goff</t>
        </is>
      </c>
      <c r="G441" s="167">
        <f>VLOOKUP(F441,AllPlayers!Q:R,2,0)</f>
        <v/>
      </c>
      <c r="H441" s="156" t="inlineStr">
        <is>
          <t>TE</t>
        </is>
      </c>
      <c r="I441" s="156" t="n">
        <v>17</v>
      </c>
      <c r="J441" s="156" t="n">
        <v>1</v>
      </c>
      <c r="K441" s="156" t="n">
        <v>7</v>
      </c>
      <c r="L441" s="156">
        <f>IF(J441=0,0,K441/J441)</f>
        <v/>
      </c>
      <c r="M441" s="156">
        <f>K441/17</f>
        <v/>
      </c>
      <c r="N441" s="156" t="n">
        <v>1</v>
      </c>
      <c r="O441" s="156" t="n">
        <v>1</v>
      </c>
      <c r="P441" s="281">
        <f>IF(K441=0,0,K441/O441)</f>
        <v/>
      </c>
      <c r="Q441" s="156" t="n">
        <v>0</v>
      </c>
      <c r="R441" s="156" t="n">
        <v>0</v>
      </c>
      <c r="S441" s="156" t="n">
        <v>0</v>
      </c>
      <c r="T441" s="156" t="n">
        <v>0</v>
      </c>
      <c r="U441" s="156" t="n">
        <v>0</v>
      </c>
      <c r="V441" s="156" t="n">
        <v>0</v>
      </c>
      <c r="W441" s="156" t="n">
        <v>0</v>
      </c>
      <c r="X441" s="204">
        <f>INDEX(Matrix!$AA$2:$AA$33, MATCH(G441, Matrix!$AC$2:$AC$33, 0))</f>
        <v/>
      </c>
      <c r="Y441" s="156">
        <f>_xlfn.IFNA(MATCH(E440,'Injury Report'!$C$2:$C$6216,0),0)</f>
        <v/>
      </c>
    </row>
    <row r="442" ht="15.6" customHeight="1" s="152">
      <c r="A442" s="212" t="n">
        <v>440</v>
      </c>
      <c r="B442" s="167">
        <f>F442&amp;G442</f>
        <v/>
      </c>
      <c r="C442" s="156">
        <f>(K442/MAX(K:K)*$K$1)+(O442/MAX(O:O)*$O$1)+(M442/MAX(M:M)*$M$1)+(N442/MAX(N:N)*$N$1)+(V442/MAX(V:V)*$V$1)+(P442/MAX(P:P)*$P$1)</f>
        <v/>
      </c>
      <c r="E442" s="156">
        <f>IFERROR(VLOOKUP(F442,AllPlayers!F:F,1,0),"------------")</f>
        <v/>
      </c>
      <c r="F442" s="156" t="inlineStr">
        <is>
          <t>E.J. Jenkins</t>
        </is>
      </c>
      <c r="G442" s="167">
        <f>VLOOKUP(F442,AllPlayers!Q:R,2,0)</f>
        <v/>
      </c>
      <c r="H442" s="156" t="inlineStr">
        <is>
          <t>TE</t>
        </is>
      </c>
      <c r="I442" s="156" t="n">
        <v>17</v>
      </c>
      <c r="J442" s="156" t="n">
        <v>1</v>
      </c>
      <c r="K442" s="156" t="n">
        <v>7</v>
      </c>
      <c r="L442" s="156">
        <f>IF(J442=0,0,K442/J442)</f>
        <v/>
      </c>
      <c r="M442" s="156">
        <f>K442/17</f>
        <v/>
      </c>
      <c r="N442" s="156" t="n">
        <v>1</v>
      </c>
      <c r="O442" s="156" t="n">
        <v>2</v>
      </c>
      <c r="P442" s="281">
        <f>IF(K442=0,0,K442/O442)</f>
        <v/>
      </c>
      <c r="Q442" s="156" t="n">
        <v>0</v>
      </c>
      <c r="R442" s="156" t="n">
        <v>0</v>
      </c>
      <c r="S442" s="156" t="n">
        <v>0</v>
      </c>
      <c r="T442" s="156" t="n">
        <v>0</v>
      </c>
      <c r="U442" s="156" t="n">
        <v>0</v>
      </c>
      <c r="V442" s="156" t="n">
        <v>0</v>
      </c>
      <c r="W442" s="156" t="n">
        <v>0</v>
      </c>
      <c r="X442" s="204">
        <f>INDEX(Matrix!$AA$2:$AA$33, MATCH(G442, Matrix!$AC$2:$AC$33, 0))</f>
        <v/>
      </c>
      <c r="Y442" s="156">
        <f>_xlfn.IFNA(MATCH(E441,'Injury Report'!$C$2:$C$6216,0),0)</f>
        <v/>
      </c>
    </row>
    <row r="443" ht="15.6" customHeight="1" s="152">
      <c r="A443" s="212" t="n">
        <v>441</v>
      </c>
      <c r="B443" s="167">
        <f>F443&amp;G443</f>
        <v/>
      </c>
      <c r="C443" s="156">
        <f>(K443/MAX(K:K)*$K$1)+(O443/MAX(O:O)*$O$1)+(M443/MAX(M:M)*$M$1)+(N443/MAX(N:N)*$N$1)+(V443/MAX(V:V)*$V$1)+(P443/MAX(P:P)*$P$1)</f>
        <v/>
      </c>
      <c r="E443" s="156">
        <f>IFERROR(VLOOKUP(F443,AllPlayers!F:F,1,0),"------------")</f>
        <v/>
      </c>
      <c r="F443" s="156" t="inlineStr">
        <is>
          <t>Geoff Swaim</t>
        </is>
      </c>
      <c r="G443" s="167">
        <f>VLOOKUP(F443,AllPlayers!Q:R,2,0)</f>
        <v/>
      </c>
      <c r="H443" s="156" t="inlineStr">
        <is>
          <t>TE</t>
        </is>
      </c>
      <c r="I443" s="156" t="n">
        <v>17</v>
      </c>
      <c r="J443" s="156" t="n">
        <v>1</v>
      </c>
      <c r="K443" s="156" t="n">
        <v>7</v>
      </c>
      <c r="L443" s="156">
        <f>IF(J443=0,0,K443/J443)</f>
        <v/>
      </c>
      <c r="M443" s="156">
        <f>K443/17</f>
        <v/>
      </c>
      <c r="N443" s="156" t="n">
        <v>0</v>
      </c>
      <c r="O443" s="156" t="n">
        <v>1</v>
      </c>
      <c r="P443" s="281">
        <f>IF(K443=0,0,K443/O443)</f>
        <v/>
      </c>
      <c r="Q443" s="156" t="n">
        <v>0</v>
      </c>
      <c r="R443" s="156" t="n">
        <v>0</v>
      </c>
      <c r="S443" s="156" t="n">
        <v>0</v>
      </c>
      <c r="T443" s="156" t="n">
        <v>0</v>
      </c>
      <c r="U443" s="156" t="n">
        <v>0</v>
      </c>
      <c r="V443" s="156" t="n">
        <v>0</v>
      </c>
      <c r="W443" s="156" t="n">
        <v>0</v>
      </c>
      <c r="X443" s="204">
        <f>INDEX(Matrix!$AA$2:$AA$33, MATCH(G443, Matrix!$AC$2:$AC$33, 0))</f>
        <v/>
      </c>
      <c r="Y443" s="156">
        <f>_xlfn.IFNA(MATCH(E442,'Injury Report'!$C$2:$C$6216,0),0)</f>
        <v/>
      </c>
    </row>
    <row r="444" ht="15.6" customHeight="1" s="152">
      <c r="A444" s="212" t="n">
        <v>442</v>
      </c>
      <c r="B444" s="167">
        <f>F444&amp;G444</f>
        <v/>
      </c>
      <c r="C444" s="156">
        <f>(K444/MAX(K:K)*$K$1)+(O444/MAX(O:O)*$O$1)+(M444/MAX(M:M)*$M$1)+(N444/MAX(N:N)*$N$1)+(V444/MAX(V:V)*$V$1)+(P444/MAX(P:P)*$P$1)</f>
        <v/>
      </c>
      <c r="E444" s="156">
        <f>IFERROR(VLOOKUP(F444,AllPlayers!F:F,1,0),"------------")</f>
        <v/>
      </c>
      <c r="F444" s="156" t="inlineStr">
        <is>
          <t>John Samuel Shenker</t>
        </is>
      </c>
      <c r="G444" s="167">
        <f>VLOOKUP(F444,AllPlayers!Q:R,2,0)</f>
        <v/>
      </c>
      <c r="H444" s="156" t="inlineStr">
        <is>
          <t>TE</t>
        </is>
      </c>
      <c r="I444" s="156" t="n">
        <v>17</v>
      </c>
      <c r="J444" s="156" t="n">
        <v>1</v>
      </c>
      <c r="K444" s="156" t="n">
        <v>7</v>
      </c>
      <c r="L444" s="156">
        <f>IF(J444=0,0,K444/J444)</f>
        <v/>
      </c>
      <c r="M444" s="156">
        <f>K444/17</f>
        <v/>
      </c>
      <c r="N444" s="156" t="n">
        <v>0</v>
      </c>
      <c r="O444" s="156" t="n">
        <v>1</v>
      </c>
      <c r="P444" s="281">
        <f>IF(K444=0,0,K444/O444)</f>
        <v/>
      </c>
      <c r="Q444" s="156" t="n">
        <v>0</v>
      </c>
      <c r="R444" s="156" t="n">
        <v>0</v>
      </c>
      <c r="S444" s="156" t="n">
        <v>0</v>
      </c>
      <c r="T444" s="156" t="n">
        <v>0</v>
      </c>
      <c r="U444" s="156" t="n">
        <v>0</v>
      </c>
      <c r="V444" s="156" t="n">
        <v>0</v>
      </c>
      <c r="W444" s="156" t="n">
        <v>0</v>
      </c>
      <c r="X444" s="204">
        <f>INDEX(Matrix!$AA$2:$AA$33, MATCH(G444, Matrix!$AC$2:$AC$33, 0))</f>
        <v/>
      </c>
      <c r="Y444" s="156">
        <f>_xlfn.IFNA(MATCH(E443,'Injury Report'!$C$2:$C$6216,0),0)</f>
        <v/>
      </c>
    </row>
    <row r="445" ht="15.6" customHeight="1" s="152">
      <c r="A445" s="212" t="n">
        <v>443</v>
      </c>
      <c r="B445" s="167">
        <f>F445&amp;G445</f>
        <v/>
      </c>
      <c r="C445" s="156">
        <f>(K445/MAX(K:K)*$K$1)+(O445/MAX(O:O)*$O$1)+(M445/MAX(M:M)*$M$1)+(N445/MAX(N:N)*$N$1)+(V445/MAX(V:V)*$V$1)+(P445/MAX(P:P)*$P$1)</f>
        <v/>
      </c>
      <c r="E445" s="156">
        <f>IFERROR(VLOOKUP(F445,AllPlayers!F:F,1,0),"------------")</f>
        <v/>
      </c>
      <c r="F445" s="156" t="inlineStr">
        <is>
          <t>Ramel Keyton</t>
        </is>
      </c>
      <c r="G445" s="167">
        <f>VLOOKUP(F445,AllPlayers!Q:R,2,0)</f>
        <v/>
      </c>
      <c r="H445" s="156" t="inlineStr">
        <is>
          <t>TE</t>
        </is>
      </c>
      <c r="I445" s="156" t="n">
        <v>17</v>
      </c>
      <c r="J445" s="156" t="n">
        <v>1</v>
      </c>
      <c r="K445" s="156" t="n">
        <v>7</v>
      </c>
      <c r="L445" s="156">
        <f>IF(J445=0,0,K445/J445)</f>
        <v/>
      </c>
      <c r="M445" s="156">
        <f>K445/17</f>
        <v/>
      </c>
      <c r="N445" s="156" t="n">
        <v>0</v>
      </c>
      <c r="O445" s="156" t="n">
        <v>3</v>
      </c>
      <c r="P445" s="281">
        <f>IF(K445=0,0,K445/O445)</f>
        <v/>
      </c>
      <c r="Q445" s="156" t="n">
        <v>0</v>
      </c>
      <c r="R445" s="156" t="n">
        <v>0</v>
      </c>
      <c r="S445" s="156" t="n">
        <v>0</v>
      </c>
      <c r="T445" s="156" t="n">
        <v>0</v>
      </c>
      <c r="U445" s="156" t="n">
        <v>0</v>
      </c>
      <c r="V445" s="156" t="n">
        <v>0</v>
      </c>
      <c r="W445" s="156" t="n">
        <v>0</v>
      </c>
      <c r="X445" s="204">
        <f>INDEX(Matrix!$AA$2:$AA$33, MATCH(G445, Matrix!$AC$2:$AC$33, 0))</f>
        <v/>
      </c>
      <c r="Y445" s="156">
        <f>_xlfn.IFNA(MATCH(E444,'Injury Report'!$C$2:$C$6216,0),0)</f>
        <v/>
      </c>
    </row>
    <row r="446" ht="15.6" customHeight="1" s="152">
      <c r="A446" s="212" t="n">
        <v>444</v>
      </c>
      <c r="B446" s="167">
        <f>F446&amp;G446</f>
        <v/>
      </c>
      <c r="C446" s="156">
        <f>(K446/MAX(K:K)*$K$1)+(O446/MAX(O:O)*$O$1)+(M446/MAX(M:M)*$M$1)+(N446/MAX(N:N)*$N$1)+(V446/MAX(V:V)*$V$1)+(P446/MAX(P:P)*$P$1)</f>
        <v/>
      </c>
      <c r="E446" s="156">
        <f>IFERROR(VLOOKUP(F446,AllPlayers!F:F,1,0),"------------")</f>
        <v/>
      </c>
      <c r="F446" s="156" t="inlineStr">
        <is>
          <t>Brevin Jordan</t>
        </is>
      </c>
      <c r="G446" s="167">
        <f>VLOOKUP(F446,AllPlayers!Q:R,2,0)</f>
        <v/>
      </c>
      <c r="H446" s="156" t="inlineStr">
        <is>
          <t>TE</t>
        </is>
      </c>
      <c r="I446" s="156" t="n">
        <v>17</v>
      </c>
      <c r="J446" s="156" t="n">
        <v>2</v>
      </c>
      <c r="K446" s="156" t="n">
        <v>7</v>
      </c>
      <c r="L446" s="156">
        <f>IF(J446=0,0,K446/J446)</f>
        <v/>
      </c>
      <c r="M446" s="156">
        <f>K446/17</f>
        <v/>
      </c>
      <c r="N446" s="156" t="n">
        <v>0</v>
      </c>
      <c r="O446" s="156" t="n">
        <v>3</v>
      </c>
      <c r="P446" s="281">
        <f>IF(K446=0,0,K446/O446)</f>
        <v/>
      </c>
      <c r="Q446" s="156" t="n">
        <v>0</v>
      </c>
      <c r="R446" s="156" t="n">
        <v>0</v>
      </c>
      <c r="S446" s="156" t="n">
        <v>0</v>
      </c>
      <c r="T446" s="156" t="n">
        <v>0</v>
      </c>
      <c r="U446" s="156" t="n">
        <v>0</v>
      </c>
      <c r="V446" s="156" t="n">
        <v>0</v>
      </c>
      <c r="W446" s="156" t="n">
        <v>0</v>
      </c>
      <c r="X446" s="204">
        <f>INDEX(Matrix!$AA$2:$AA$33, MATCH(G446, Matrix!$AC$2:$AC$33, 0))</f>
        <v/>
      </c>
      <c r="Y446" s="156">
        <f>_xlfn.IFNA(MATCH(E445,'Injury Report'!$C$2:$C$6216,0),0)</f>
        <v/>
      </c>
    </row>
    <row r="447" ht="15.6" customHeight="1" s="152">
      <c r="A447" s="212" t="n">
        <v>445</v>
      </c>
      <c r="B447" s="167">
        <f>F447&amp;G447</f>
        <v/>
      </c>
      <c r="C447" s="156">
        <f>(K447/MAX(K:K)*$K$1)+(O447/MAX(O:O)*$O$1)+(M447/MAX(M:M)*$M$1)+(N447/MAX(N:N)*$N$1)+(V447/MAX(V:V)*$V$1)+(P447/MAX(P:P)*$P$1)</f>
        <v/>
      </c>
      <c r="E447" s="156">
        <f>IFERROR(VLOOKUP(F447,AllPlayers!F:F,1,0),"------------")</f>
        <v/>
      </c>
      <c r="F447" s="156" t="inlineStr">
        <is>
          <t>Gus Edwards</t>
        </is>
      </c>
      <c r="G447" s="167">
        <f>VLOOKUP(F447,AllPlayers!Q:R,2,0)</f>
        <v/>
      </c>
      <c r="H447" s="156" t="inlineStr">
        <is>
          <t>TE</t>
        </is>
      </c>
      <c r="I447" s="156" t="n">
        <v>17</v>
      </c>
      <c r="J447" s="156" t="n">
        <v>3</v>
      </c>
      <c r="K447" s="156" t="n">
        <v>6</v>
      </c>
      <c r="L447" s="156">
        <f>IF(J447=0,0,K447/J447)</f>
        <v/>
      </c>
      <c r="M447" s="156">
        <f>K447/17</f>
        <v/>
      </c>
      <c r="N447" s="156" t="n">
        <v>0</v>
      </c>
      <c r="O447" s="156" t="n">
        <v>5</v>
      </c>
      <c r="P447" s="281">
        <f>IF(K447=0,0,K447/O447)</f>
        <v/>
      </c>
      <c r="Q447" s="156" t="n">
        <v>0</v>
      </c>
      <c r="R447" s="156" t="n">
        <v>0</v>
      </c>
      <c r="S447" s="156" t="n">
        <v>0</v>
      </c>
      <c r="T447" s="156" t="n">
        <v>0</v>
      </c>
      <c r="U447" s="156" t="n">
        <v>0</v>
      </c>
      <c r="V447" s="156" t="n">
        <v>0</v>
      </c>
      <c r="W447" s="156" t="n">
        <v>0</v>
      </c>
      <c r="X447" s="204">
        <f>INDEX(Matrix!$AA$2:$AA$33, MATCH(G447, Matrix!$AC$2:$AC$33, 0))</f>
        <v/>
      </c>
      <c r="Y447" s="156">
        <f>_xlfn.IFNA(MATCH(E446,'Injury Report'!$C$2:$C$6216,0),0)</f>
        <v/>
      </c>
    </row>
    <row r="448" ht="15.6" customHeight="1" s="152">
      <c r="A448" s="212" t="n">
        <v>446</v>
      </c>
      <c r="B448" s="167">
        <f>F448&amp;G448</f>
        <v/>
      </c>
      <c r="C448" s="156">
        <f>(K448/MAX(K:K)*$K$1)+(O448/MAX(O:O)*$O$1)+(M448/MAX(M:M)*$M$1)+(N448/MAX(N:N)*$N$1)+(V448/MAX(V:V)*$V$1)+(P448/MAX(P:P)*$P$1)</f>
        <v/>
      </c>
      <c r="E448" s="156">
        <f>IFERROR(VLOOKUP(F448,AllPlayers!F:F,1,0),"------------")</f>
        <v/>
      </c>
      <c r="F448" s="156" t="inlineStr">
        <is>
          <t>Xavier Smith</t>
        </is>
      </c>
      <c r="G448" s="167">
        <f>VLOOKUP(F448,AllPlayers!Q:R,2,0)</f>
        <v/>
      </c>
      <c r="H448" s="156" t="inlineStr">
        <is>
          <t>TE</t>
        </is>
      </c>
      <c r="I448" s="156" t="n">
        <v>2</v>
      </c>
      <c r="J448" s="156" t="n">
        <v>1</v>
      </c>
      <c r="K448" s="156" t="n">
        <v>36</v>
      </c>
      <c r="L448" s="156">
        <f>IF(J448=0,0,K448/J448)</f>
        <v/>
      </c>
      <c r="M448" s="156">
        <f>K448/17</f>
        <v/>
      </c>
      <c r="N448" s="156" t="n">
        <v>0</v>
      </c>
      <c r="O448" s="156" t="n">
        <v>1</v>
      </c>
      <c r="P448" s="281">
        <f>IF(K448=0,0,K448/O448)</f>
        <v/>
      </c>
      <c r="Q448" s="156" t="n">
        <v>0</v>
      </c>
      <c r="R448" s="156" t="n">
        <v>0</v>
      </c>
      <c r="S448" s="156" t="n">
        <v>0</v>
      </c>
      <c r="T448" s="156" t="n">
        <v>0</v>
      </c>
      <c r="U448" s="156" t="n">
        <v>0</v>
      </c>
      <c r="V448" s="156" t="n">
        <v>0</v>
      </c>
      <c r="W448" s="156" t="n">
        <v>0</v>
      </c>
      <c r="X448" s="204">
        <f>INDEX(Matrix!$AA$2:$AA$33, MATCH(G448, Matrix!$AC$2:$AC$33, 0))</f>
        <v/>
      </c>
      <c r="Y448" s="156">
        <f>_xlfn.IFNA(MATCH(E447,'Injury Report'!$C$2:$C$6216,0),0)</f>
        <v/>
      </c>
    </row>
    <row r="449" ht="15.6" customHeight="1" s="152">
      <c r="A449" s="212" t="n">
        <v>447</v>
      </c>
      <c r="B449" s="167">
        <f>F449&amp;G449</f>
        <v/>
      </c>
      <c r="C449" s="156">
        <f>(K449/MAX(K:K)*$K$1)+(O449/MAX(O:O)*$O$1)+(M449/MAX(M:M)*$M$1)+(N449/MAX(N:N)*$N$1)+(V449/MAX(V:V)*$V$1)+(P449/MAX(P:P)*$P$1)</f>
        <v/>
      </c>
      <c r="E449" s="156">
        <f>IFERROR(VLOOKUP(F449,AllPlayers!F:F,1,0),"------------")</f>
        <v/>
      </c>
      <c r="F449" s="156" t="inlineStr">
        <is>
          <t>Jaelon Darden</t>
        </is>
      </c>
      <c r="G449" s="167">
        <f>VLOOKUP(F449,AllPlayers!Q:R,2,0)</f>
        <v/>
      </c>
      <c r="H449" s="156" t="inlineStr">
        <is>
          <t>TE</t>
        </is>
      </c>
      <c r="I449" s="156" t="n">
        <v>17</v>
      </c>
      <c r="J449" s="156" t="n">
        <v>1</v>
      </c>
      <c r="K449" s="156" t="n">
        <v>6</v>
      </c>
      <c r="L449" s="156">
        <f>IF(J449=0,0,K449/J449)</f>
        <v/>
      </c>
      <c r="M449" s="156">
        <f>K449/17</f>
        <v/>
      </c>
      <c r="N449" s="156" t="n">
        <v>0</v>
      </c>
      <c r="O449" s="156" t="n">
        <v>1</v>
      </c>
      <c r="P449" s="281">
        <f>IF(K449=0,0,K449/O449)</f>
        <v/>
      </c>
      <c r="Q449" s="156" t="n">
        <v>0</v>
      </c>
      <c r="R449" s="156" t="n">
        <v>0</v>
      </c>
      <c r="S449" s="156" t="n">
        <v>0</v>
      </c>
      <c r="T449" s="156" t="n">
        <v>0</v>
      </c>
      <c r="U449" s="156" t="n">
        <v>0</v>
      </c>
      <c r="V449" s="156" t="n">
        <v>0</v>
      </c>
      <c r="W449" s="156" t="n">
        <v>0</v>
      </c>
      <c r="X449" s="204">
        <f>INDEX(Matrix!$AA$2:$AA$33, MATCH(G449, Matrix!$AC$2:$AC$33, 0))</f>
        <v/>
      </c>
      <c r="Y449" s="156">
        <f>_xlfn.IFNA(MATCH(E448,'Injury Report'!$C$2:$C$6216,0),0)</f>
        <v/>
      </c>
    </row>
    <row r="450" ht="15.6" customHeight="1" s="152">
      <c r="A450" s="212" t="n">
        <v>448</v>
      </c>
      <c r="B450" s="167">
        <f>F450&amp;G450</f>
        <v/>
      </c>
      <c r="C450" s="156">
        <f>(K450/MAX(K:K)*$K$1)+(O450/MAX(O:O)*$O$1)+(M450/MAX(M:M)*$M$1)+(N450/MAX(N:N)*$N$1)+(V450/MAX(V:V)*$V$1)+(P450/MAX(P:P)*$P$1)</f>
        <v/>
      </c>
      <c r="E450" s="156">
        <f>IFERROR(VLOOKUP(F450,AllPlayers!F:F,1,0),"------------")</f>
        <v/>
      </c>
      <c r="F450" s="156" t="inlineStr">
        <is>
          <t>Diontae Johnson</t>
        </is>
      </c>
      <c r="G450" s="167">
        <f>VLOOKUP(F450,AllPlayers!Q:R,2,0)</f>
        <v/>
      </c>
      <c r="H450" s="156" t="inlineStr">
        <is>
          <t>TE</t>
        </is>
      </c>
      <c r="I450" s="156" t="n">
        <v>17</v>
      </c>
      <c r="J450" s="156" t="n">
        <v>1</v>
      </c>
      <c r="K450" s="156" t="n">
        <v>6</v>
      </c>
      <c r="L450" s="156">
        <f>IF(J450=0,0,K450/J450)</f>
        <v/>
      </c>
      <c r="M450" s="156">
        <f>K450/17</f>
        <v/>
      </c>
      <c r="N450" s="156" t="n">
        <v>0</v>
      </c>
      <c r="O450" s="156" t="n">
        <v>5</v>
      </c>
      <c r="P450" s="281">
        <f>IF(K450=0,0,K450/O450)</f>
        <v/>
      </c>
      <c r="Q450" s="156" t="n">
        <v>0</v>
      </c>
      <c r="R450" s="156" t="n">
        <v>0</v>
      </c>
      <c r="S450" s="156" t="n">
        <v>0</v>
      </c>
      <c r="T450" s="156" t="n">
        <v>0</v>
      </c>
      <c r="U450" s="156" t="n">
        <v>0</v>
      </c>
      <c r="V450" s="156" t="n">
        <v>0</v>
      </c>
      <c r="W450" s="156" t="n">
        <v>0</v>
      </c>
      <c r="X450" s="204">
        <f>INDEX(Matrix!$AA$2:$AA$33, MATCH(G450, Matrix!$AC$2:$AC$33, 0))</f>
        <v/>
      </c>
      <c r="Y450" s="156">
        <f>_xlfn.IFNA(MATCH(E449,'Injury Report'!$C$2:$C$6216,0),0)</f>
        <v/>
      </c>
    </row>
    <row r="451" ht="15.6" customHeight="1" s="152">
      <c r="A451" s="212" t="n">
        <v>449</v>
      </c>
      <c r="B451" s="167">
        <f>F451&amp;G451</f>
        <v/>
      </c>
      <c r="C451" s="156">
        <f>(K451/MAX(K:K)*$K$1)+(O451/MAX(O:O)*$O$1)+(M451/MAX(M:M)*$M$1)+(N451/MAX(N:N)*$N$1)+(V451/MAX(V:V)*$V$1)+(P451/MAX(P:P)*$P$1)</f>
        <v/>
      </c>
      <c r="E451" s="156">
        <f>IFERROR(VLOOKUP(F451,AllPlayers!F:F,1,0),"------------")</f>
        <v/>
      </c>
      <c r="F451" s="156" t="inlineStr">
        <is>
          <t>Isaiah Williams</t>
        </is>
      </c>
      <c r="G451" s="167">
        <f>VLOOKUP(F451,AllPlayers!Q:R,2,0)</f>
        <v/>
      </c>
      <c r="H451" s="156" t="inlineStr">
        <is>
          <t>TE</t>
        </is>
      </c>
      <c r="I451" s="156" t="n">
        <v>1</v>
      </c>
      <c r="J451" s="156" t="n">
        <v>0</v>
      </c>
      <c r="K451" s="156" t="n">
        <v>0</v>
      </c>
      <c r="L451" s="156">
        <f>IF(J451=0,0,K451/J451)</f>
        <v/>
      </c>
      <c r="M451" s="156">
        <f>K451/17</f>
        <v/>
      </c>
      <c r="N451" s="156" t="n">
        <v>0</v>
      </c>
      <c r="O451" s="156" t="n">
        <v>0</v>
      </c>
      <c r="P451" s="281">
        <f>IF(K451=0,0,K451/O451)</f>
        <v/>
      </c>
      <c r="Q451" s="156" t="n">
        <v>0</v>
      </c>
      <c r="R451" s="156" t="n">
        <v>0</v>
      </c>
      <c r="S451" s="156" t="n">
        <v>0</v>
      </c>
      <c r="T451" s="156" t="n">
        <v>0</v>
      </c>
      <c r="U451" s="156" t="n">
        <v>0</v>
      </c>
      <c r="V451" s="156" t="n">
        <v>0</v>
      </c>
      <c r="W451" s="156" t="n">
        <v>0</v>
      </c>
      <c r="X451" s="204">
        <f>INDEX(Matrix!$AA$2:$AA$33, MATCH(G451, Matrix!$AC$2:$AC$33, 0))</f>
        <v/>
      </c>
      <c r="Y451" s="156">
        <f>_xlfn.IFNA(MATCH(E450,'Injury Report'!$C$2:$C$6216,0),0)</f>
        <v/>
      </c>
    </row>
    <row r="452" ht="15.6" customHeight="1" s="152">
      <c r="A452" s="212" t="n">
        <v>450</v>
      </c>
      <c r="B452" s="167">
        <f>F452&amp;G452</f>
        <v/>
      </c>
      <c r="C452" s="156">
        <f>(K452/MAX(K:K)*$K$1)+(O452/MAX(O:O)*$O$1)+(M452/MAX(M:M)*$M$1)+(N452/MAX(N:N)*$N$1)+(V452/MAX(V:V)*$V$1)+(P452/MAX(P:P)*$P$1)</f>
        <v/>
      </c>
      <c r="E452" s="156">
        <f>IFERROR(VLOOKUP(F452,AllPlayers!F:F,1,0),"------------")</f>
        <v/>
      </c>
      <c r="F452" s="156" t="inlineStr">
        <is>
          <t>John Ross</t>
        </is>
      </c>
      <c r="G452" s="167">
        <f>VLOOKUP(F452,AllPlayers!Q:R,2,0)</f>
        <v/>
      </c>
      <c r="H452" s="156" t="inlineStr">
        <is>
          <t>TE</t>
        </is>
      </c>
      <c r="I452" s="156" t="n">
        <v>17</v>
      </c>
      <c r="J452" s="156" t="n">
        <v>1</v>
      </c>
      <c r="K452" s="156" t="n">
        <v>6</v>
      </c>
      <c r="L452" s="156">
        <f>IF(J452=0,0,K452/J452)</f>
        <v/>
      </c>
      <c r="M452" s="156">
        <f>K452/17</f>
        <v/>
      </c>
      <c r="N452" s="156" t="n">
        <v>0</v>
      </c>
      <c r="O452" s="156" t="n">
        <v>2</v>
      </c>
      <c r="P452" s="281">
        <f>IF(K452=0,0,K452/O452)</f>
        <v/>
      </c>
      <c r="Q452" s="156" t="n">
        <v>0</v>
      </c>
      <c r="R452" s="156" t="n">
        <v>0</v>
      </c>
      <c r="S452" s="156" t="n">
        <v>0</v>
      </c>
      <c r="T452" s="156" t="n">
        <v>0</v>
      </c>
      <c r="U452" s="156" t="n">
        <v>0</v>
      </c>
      <c r="V452" s="156" t="n">
        <v>0</v>
      </c>
      <c r="W452" s="156" t="n">
        <v>0</v>
      </c>
      <c r="X452" s="204">
        <f>INDEX(Matrix!$AA$2:$AA$33, MATCH(G452, Matrix!$AC$2:$AC$33, 0))</f>
        <v/>
      </c>
      <c r="Y452" s="156">
        <f>_xlfn.IFNA(MATCH(E451,'Injury Report'!$C$2:$C$6216,0),0)</f>
        <v/>
      </c>
    </row>
    <row r="453" ht="15.6" customHeight="1" s="152">
      <c r="A453" s="212" t="n">
        <v>451</v>
      </c>
      <c r="B453" s="167">
        <f>F453&amp;G453</f>
        <v/>
      </c>
      <c r="C453" s="156">
        <f>(K453/MAX(K:K)*$K$1)+(O453/MAX(O:O)*$O$1)+(M453/MAX(M:M)*$M$1)+(N453/MAX(N:N)*$N$1)+(V453/MAX(V:V)*$V$1)+(P453/MAX(P:P)*$P$1)</f>
        <v/>
      </c>
      <c r="E453" s="156">
        <f>IFERROR(VLOOKUP(F453,AllPlayers!F:F,1,0),"------------")</f>
        <v/>
      </c>
      <c r="F453" s="156" t="inlineStr">
        <is>
          <t>David Martin-robinson</t>
        </is>
      </c>
      <c r="G453" s="167">
        <f>VLOOKUP(F453,AllPlayers!Q:R,2,0)</f>
        <v/>
      </c>
      <c r="H453" s="156" t="inlineStr">
        <is>
          <t>TE</t>
        </is>
      </c>
      <c r="I453" s="156" t="n">
        <v>1</v>
      </c>
      <c r="J453" s="156" t="n">
        <v>0</v>
      </c>
      <c r="K453" s="156" t="n">
        <v>0</v>
      </c>
      <c r="L453" s="156">
        <f>IF(J453=0,0,K453/J453)</f>
        <v/>
      </c>
      <c r="M453" s="156">
        <f>K453/17</f>
        <v/>
      </c>
      <c r="N453" s="156" t="n">
        <v>0</v>
      </c>
      <c r="O453" s="156" t="n">
        <v>0</v>
      </c>
      <c r="P453" s="281">
        <f>IF(K453=0,0,K453/O453)</f>
        <v/>
      </c>
      <c r="Q453" s="156" t="n">
        <v>0</v>
      </c>
      <c r="R453" s="156" t="n">
        <v>0</v>
      </c>
      <c r="S453" s="156" t="n">
        <v>0</v>
      </c>
      <c r="T453" s="156" t="n">
        <v>0</v>
      </c>
      <c r="U453" s="156" t="n">
        <v>0</v>
      </c>
      <c r="V453" s="156" t="n">
        <v>0</v>
      </c>
      <c r="W453" s="156" t="n">
        <v>0</v>
      </c>
      <c r="X453" s="204">
        <f>INDEX(Matrix!$AA$2:$AA$33, MATCH(G453, Matrix!$AC$2:$AC$33, 0))</f>
        <v/>
      </c>
      <c r="Y453" s="156">
        <f>_xlfn.IFNA(MATCH(E452,'Injury Report'!$C$2:$C$6216,0),0)</f>
        <v/>
      </c>
    </row>
    <row r="454" ht="15.6" customHeight="1" s="152">
      <c r="A454" s="212" t="n">
        <v>452</v>
      </c>
      <c r="B454" s="167">
        <f>F454&amp;G454</f>
        <v/>
      </c>
      <c r="C454" s="156">
        <f>(K454/MAX(K:K)*$K$1)+(O454/MAX(O:O)*$O$1)+(M454/MAX(M:M)*$M$1)+(N454/MAX(N:N)*$N$1)+(V454/MAX(V:V)*$V$1)+(P454/MAX(P:P)*$P$1)</f>
        <v/>
      </c>
      <c r="E454" s="156">
        <f>IFERROR(VLOOKUP(F454,AllPlayers!F:F,1,0),"------------")</f>
        <v/>
      </c>
      <c r="F454" s="156" t="inlineStr">
        <is>
          <t>Collin Johnson</t>
        </is>
      </c>
      <c r="G454" s="167">
        <f>VLOOKUP(F454,AllPlayers!Q:R,2,0)</f>
        <v/>
      </c>
      <c r="H454" s="156" t="inlineStr">
        <is>
          <t>TE</t>
        </is>
      </c>
      <c r="I454" s="156" t="n">
        <v>17</v>
      </c>
      <c r="J454" s="156" t="n">
        <v>1</v>
      </c>
      <c r="K454" s="156" t="n">
        <v>6</v>
      </c>
      <c r="L454" s="156">
        <f>IF(J454=0,0,K454/J454)</f>
        <v/>
      </c>
      <c r="M454" s="156">
        <f>K454/17</f>
        <v/>
      </c>
      <c r="N454" s="156" t="n">
        <v>0</v>
      </c>
      <c r="O454" s="156" t="n">
        <v>2</v>
      </c>
      <c r="P454" s="281">
        <f>IF(K454=0,0,K454/O454)</f>
        <v/>
      </c>
      <c r="Q454" s="156" t="n">
        <v>0</v>
      </c>
      <c r="R454" s="156" t="n">
        <v>0</v>
      </c>
      <c r="S454" s="156" t="n">
        <v>0</v>
      </c>
      <c r="T454" s="156" t="n">
        <v>0</v>
      </c>
      <c r="U454" s="156" t="n">
        <v>0</v>
      </c>
      <c r="V454" s="156" t="n">
        <v>0</v>
      </c>
      <c r="W454" s="156" t="n">
        <v>0</v>
      </c>
      <c r="X454" s="204">
        <f>INDEX(Matrix!$AA$2:$AA$33, MATCH(G454, Matrix!$AC$2:$AC$33, 0))</f>
        <v/>
      </c>
      <c r="Y454" s="156">
        <f>_xlfn.IFNA(MATCH(E453,'Injury Report'!$C$2:$C$6216,0),0)</f>
        <v/>
      </c>
    </row>
    <row r="455" ht="15.6" customHeight="1" s="152">
      <c r="A455" s="212" t="n">
        <v>453</v>
      </c>
      <c r="B455" s="167">
        <f>F455&amp;G455</f>
        <v/>
      </c>
      <c r="C455" s="156">
        <f>(K455/MAX(K:K)*$K$1)+(O455/MAX(O:O)*$O$1)+(M455/MAX(M:M)*$M$1)+(N455/MAX(N:N)*$N$1)+(V455/MAX(V:V)*$V$1)+(P455/MAX(P:P)*$P$1)</f>
        <v/>
      </c>
      <c r="E455" s="156">
        <f>IFERROR(VLOOKUP(F455,AllPlayers!F:F,1,0),"------------")</f>
        <v/>
      </c>
      <c r="F455" s="156" t="inlineStr">
        <is>
          <t>Cody Schrader</t>
        </is>
      </c>
      <c r="G455" s="167">
        <f>VLOOKUP(F455,AllPlayers!Q:R,2,0)</f>
        <v/>
      </c>
      <c r="H455" s="156" t="inlineStr">
        <is>
          <t>TE</t>
        </is>
      </c>
      <c r="I455" s="156" t="n">
        <v>17</v>
      </c>
      <c r="J455" s="156" t="n">
        <v>1</v>
      </c>
      <c r="K455" s="156" t="n">
        <v>6</v>
      </c>
      <c r="L455" s="156">
        <f>IF(J455=0,0,K455/J455)</f>
        <v/>
      </c>
      <c r="M455" s="156">
        <f>K455/17</f>
        <v/>
      </c>
      <c r="N455" s="156" t="n">
        <v>0</v>
      </c>
      <c r="O455" s="156" t="n">
        <v>1</v>
      </c>
      <c r="P455" s="281">
        <f>IF(K455=0,0,K455/O455)</f>
        <v/>
      </c>
      <c r="Q455" s="156" t="n">
        <v>0</v>
      </c>
      <c r="R455" s="156" t="n">
        <v>0</v>
      </c>
      <c r="S455" s="156" t="n">
        <v>0</v>
      </c>
      <c r="T455" s="156" t="n">
        <v>0</v>
      </c>
      <c r="U455" s="156" t="n">
        <v>0</v>
      </c>
      <c r="V455" s="156" t="n">
        <v>0</v>
      </c>
      <c r="W455" s="156" t="n">
        <v>0</v>
      </c>
      <c r="X455" s="204">
        <f>INDEX(Matrix!$AA$2:$AA$33, MATCH(G455, Matrix!$AC$2:$AC$33, 0))</f>
        <v/>
      </c>
      <c r="Y455" s="156">
        <f>_xlfn.IFNA(MATCH(E454,'Injury Report'!$C$2:$C$6216,0),0)</f>
        <v/>
      </c>
    </row>
    <row r="456" ht="15.6" customHeight="1" s="152">
      <c r="A456" s="212" t="n">
        <v>454</v>
      </c>
      <c r="B456" s="167">
        <f>F456&amp;G456</f>
        <v/>
      </c>
      <c r="C456" s="156">
        <f>(K456/MAX(K:K)*$K$1)+(O456/MAX(O:O)*$O$1)+(M456/MAX(M:M)*$M$1)+(N456/MAX(N:N)*$N$1)+(V456/MAX(V:V)*$V$1)+(P456/MAX(P:P)*$P$1)</f>
        <v/>
      </c>
      <c r="E456" s="156">
        <f>IFERROR(VLOOKUP(F456,AllPlayers!F:F,1,0),"------------")</f>
        <v/>
      </c>
      <c r="F456" s="156" t="inlineStr">
        <is>
          <t>Mike Caliendo</t>
        </is>
      </c>
      <c r="G456" s="167">
        <f>VLOOKUP(F456,AllPlayers!Q:R,2,0)</f>
        <v/>
      </c>
      <c r="H456" s="156" t="inlineStr">
        <is>
          <t>TE</t>
        </is>
      </c>
      <c r="I456" s="156" t="n">
        <v>17</v>
      </c>
      <c r="J456" s="156" t="n">
        <v>1</v>
      </c>
      <c r="K456" s="156" t="n">
        <v>5</v>
      </c>
      <c r="L456" s="156">
        <f>IF(J456=0,0,K456/J456)</f>
        <v/>
      </c>
      <c r="M456" s="156">
        <f>K456/17</f>
        <v/>
      </c>
      <c r="N456" s="156" t="n">
        <v>0</v>
      </c>
      <c r="O456" s="156" t="n">
        <v>1</v>
      </c>
      <c r="P456" s="281">
        <f>IF(K456=0,0,K456/O456)</f>
        <v/>
      </c>
      <c r="Q456" s="156" t="n">
        <v>0</v>
      </c>
      <c r="R456" s="156" t="n">
        <v>0</v>
      </c>
      <c r="S456" s="156" t="n">
        <v>0</v>
      </c>
      <c r="T456" s="156" t="n">
        <v>0</v>
      </c>
      <c r="U456" s="156" t="n">
        <v>0</v>
      </c>
      <c r="V456" s="156" t="n">
        <v>0</v>
      </c>
      <c r="W456" s="156" t="n">
        <v>0</v>
      </c>
      <c r="X456" s="204">
        <f>INDEX(Matrix!$AA$2:$AA$33, MATCH(G456, Matrix!$AC$2:$AC$33, 0))</f>
        <v/>
      </c>
      <c r="Y456" s="156">
        <f>_xlfn.IFNA(MATCH(E455,'Injury Report'!$C$2:$C$6216,0),0)</f>
        <v/>
      </c>
    </row>
    <row r="457" ht="15.6" customHeight="1" s="152">
      <c r="A457" s="212" t="n">
        <v>455</v>
      </c>
      <c r="B457" s="167">
        <f>F457&amp;G457</f>
        <v/>
      </c>
      <c r="C457" s="156">
        <f>(K457/MAX(K:K)*$K$1)+(O457/MAX(O:O)*$O$1)+(M457/MAX(M:M)*$M$1)+(N457/MAX(N:N)*$N$1)+(V457/MAX(V:V)*$V$1)+(P457/MAX(P:P)*$P$1)</f>
        <v/>
      </c>
      <c r="E457" s="156">
        <f>IFERROR(VLOOKUP(F457,AllPlayers!F:F,1,0),"------------")</f>
        <v/>
      </c>
      <c r="F457" s="156" t="inlineStr">
        <is>
          <t>Ross Dwelley</t>
        </is>
      </c>
      <c r="G457" s="167">
        <f>VLOOKUP(F457,AllPlayers!Q:R,2,0)</f>
        <v/>
      </c>
      <c r="H457" s="156" t="inlineStr">
        <is>
          <t>TE</t>
        </is>
      </c>
      <c r="I457" s="156" t="n">
        <v>17</v>
      </c>
      <c r="J457" s="156" t="n">
        <v>1</v>
      </c>
      <c r="K457" s="156" t="n">
        <v>5</v>
      </c>
      <c r="L457" s="156">
        <f>IF(J457=0,0,K457/J457)</f>
        <v/>
      </c>
      <c r="M457" s="156">
        <f>K457/17</f>
        <v/>
      </c>
      <c r="N457" s="156" t="n">
        <v>0</v>
      </c>
      <c r="O457" s="156" t="n">
        <v>1</v>
      </c>
      <c r="P457" s="281">
        <f>IF(K457=0,0,K457/O457)</f>
        <v/>
      </c>
      <c r="Q457" s="156" t="n">
        <v>0</v>
      </c>
      <c r="R457" s="156" t="n">
        <v>0</v>
      </c>
      <c r="S457" s="156" t="n">
        <v>0</v>
      </c>
      <c r="T457" s="156" t="n">
        <v>0</v>
      </c>
      <c r="U457" s="156" t="n">
        <v>0</v>
      </c>
      <c r="V457" s="156" t="n">
        <v>0</v>
      </c>
      <c r="W457" s="156" t="n">
        <v>0</v>
      </c>
      <c r="X457" s="204">
        <f>INDEX(Matrix!$AA$2:$AA$33, MATCH(G457, Matrix!$AC$2:$AC$33, 0))</f>
        <v/>
      </c>
      <c r="Y457" s="156">
        <f>_xlfn.IFNA(MATCH(E456,'Injury Report'!$C$2:$C$6216,0),0)</f>
        <v/>
      </c>
    </row>
    <row r="458" ht="15.6" customHeight="1" s="152">
      <c r="A458" s="212" t="n">
        <v>456</v>
      </c>
      <c r="B458" s="167">
        <f>F458&amp;G458</f>
        <v/>
      </c>
      <c r="C458" s="156">
        <f>(K458/MAX(K:K)*$K$1)+(O458/MAX(O:O)*$O$1)+(M458/MAX(M:M)*$M$1)+(N458/MAX(N:N)*$N$1)+(V458/MAX(V:V)*$V$1)+(P458/MAX(P:P)*$P$1)</f>
        <v/>
      </c>
      <c r="E458" s="156">
        <f>IFERROR(VLOOKUP(F458,AllPlayers!F:F,1,0),"------------")</f>
        <v/>
      </c>
      <c r="F458" s="156" t="inlineStr">
        <is>
          <t>Tyler Scott</t>
        </is>
      </c>
      <c r="G458" s="167">
        <f>VLOOKUP(F458,AllPlayers!Q:R,2,0)</f>
        <v/>
      </c>
      <c r="H458" s="156" t="inlineStr">
        <is>
          <t>TE</t>
        </is>
      </c>
      <c r="I458" s="156" t="n">
        <v>17</v>
      </c>
      <c r="J458" s="156" t="n">
        <v>1</v>
      </c>
      <c r="K458" s="156" t="n">
        <v>5</v>
      </c>
      <c r="L458" s="156">
        <f>IF(J458=0,0,K458/J458)</f>
        <v/>
      </c>
      <c r="M458" s="156">
        <f>K458/17</f>
        <v/>
      </c>
      <c r="N458" s="156" t="n">
        <v>0</v>
      </c>
      <c r="O458" s="156" t="n">
        <v>1</v>
      </c>
      <c r="P458" s="281">
        <f>IF(K458=0,0,K458/O458)</f>
        <v/>
      </c>
      <c r="Q458" s="156" t="n">
        <v>0</v>
      </c>
      <c r="R458" s="156" t="n">
        <v>0</v>
      </c>
      <c r="S458" s="156" t="n">
        <v>0</v>
      </c>
      <c r="T458" s="156" t="n">
        <v>0</v>
      </c>
      <c r="U458" s="156" t="n">
        <v>0</v>
      </c>
      <c r="V458" s="156" t="n">
        <v>0</v>
      </c>
      <c r="W458" s="156" t="n">
        <v>0</v>
      </c>
      <c r="X458" s="204">
        <f>INDEX(Matrix!$AA$2:$AA$33, MATCH(G458, Matrix!$AC$2:$AC$33, 0))</f>
        <v/>
      </c>
      <c r="Y458" s="156">
        <f>_xlfn.IFNA(MATCH(E457,'Injury Report'!$C$2:$C$6216,0),0)</f>
        <v/>
      </c>
    </row>
    <row r="459" ht="15.6" customHeight="1" s="152">
      <c r="A459" s="212" t="n">
        <v>457</v>
      </c>
      <c r="B459" s="167">
        <f>F459&amp;G459</f>
        <v/>
      </c>
      <c r="C459" s="156">
        <f>(K459/MAX(K:K)*$K$1)+(O459/MAX(O:O)*$O$1)+(M459/MAX(M:M)*$M$1)+(N459/MAX(N:N)*$N$1)+(V459/MAX(V:V)*$V$1)+(P459/MAX(P:P)*$P$1)</f>
        <v/>
      </c>
      <c r="E459" s="156">
        <f>IFERROR(VLOOKUP(F459,AllPlayers!F:F,1,0),"------------")</f>
        <v/>
      </c>
      <c r="F459" s="156" t="inlineStr">
        <is>
          <t>Robbie Chosen</t>
        </is>
      </c>
      <c r="G459" s="167">
        <f>VLOOKUP(F459,AllPlayers!Q:R,2,0)</f>
        <v/>
      </c>
      <c r="H459" s="156" t="inlineStr">
        <is>
          <t>TE</t>
        </is>
      </c>
      <c r="I459" s="156" t="n">
        <v>17</v>
      </c>
      <c r="J459" s="156" t="n">
        <v>1</v>
      </c>
      <c r="K459" s="156" t="n">
        <v>5</v>
      </c>
      <c r="L459" s="156">
        <f>IF(J459=0,0,K459/J459)</f>
        <v/>
      </c>
      <c r="M459" s="156">
        <f>K459/17</f>
        <v/>
      </c>
      <c r="N459" s="156" t="n">
        <v>0</v>
      </c>
      <c r="O459" s="156" t="n">
        <v>4</v>
      </c>
      <c r="P459" s="281">
        <f>IF(K459=0,0,K459/O459)</f>
        <v/>
      </c>
      <c r="Q459" s="156" t="n">
        <v>0</v>
      </c>
      <c r="R459" s="156" t="n">
        <v>0</v>
      </c>
      <c r="S459" s="156" t="n">
        <v>0</v>
      </c>
      <c r="T459" s="156" t="n">
        <v>0</v>
      </c>
      <c r="U459" s="156" t="n">
        <v>0</v>
      </c>
      <c r="V459" s="156" t="n">
        <v>0</v>
      </c>
      <c r="W459" s="156" t="n">
        <v>0</v>
      </c>
      <c r="X459" s="204">
        <f>INDEX(Matrix!$AA$2:$AA$33, MATCH(G459, Matrix!$AC$2:$AC$33, 0))</f>
        <v/>
      </c>
      <c r="Y459" s="156">
        <f>_xlfn.IFNA(MATCH(E458,'Injury Report'!$C$2:$C$6216,0),0)</f>
        <v/>
      </c>
    </row>
    <row r="460" ht="15.6" customHeight="1" s="152">
      <c r="A460" s="212" t="n">
        <v>458</v>
      </c>
      <c r="B460" s="167">
        <f>F460&amp;G460</f>
        <v/>
      </c>
      <c r="C460" s="156">
        <f>(K460/MAX(K:K)*$K$1)+(O460/MAX(O:O)*$O$1)+(M460/MAX(M:M)*$M$1)+(N460/MAX(N:N)*$N$1)+(V460/MAX(V:V)*$V$1)+(P460/MAX(P:P)*$P$1)</f>
        <v/>
      </c>
      <c r="E460" s="156">
        <f>IFERROR(VLOOKUP(F460,AllPlayers!F:F,1,0),"------------")</f>
        <v/>
      </c>
      <c r="F460" s="156" t="inlineStr">
        <is>
          <t>Zach Davidson</t>
        </is>
      </c>
      <c r="G460" s="167">
        <f>VLOOKUP(F460,AllPlayers!Q:R,2,0)</f>
        <v/>
      </c>
      <c r="H460" s="156" t="inlineStr">
        <is>
          <t>TE</t>
        </is>
      </c>
      <c r="I460" s="156" t="n">
        <v>17</v>
      </c>
      <c r="J460" s="156" t="n">
        <v>1</v>
      </c>
      <c r="K460" s="156" t="n">
        <v>5</v>
      </c>
      <c r="L460" s="156">
        <f>IF(J460=0,0,K460/J460)</f>
        <v/>
      </c>
      <c r="M460" s="156">
        <f>K460/17</f>
        <v/>
      </c>
      <c r="N460" s="156" t="n">
        <v>0</v>
      </c>
      <c r="O460" s="156" t="n">
        <v>2</v>
      </c>
      <c r="P460" s="281">
        <f>IF(K460=0,0,K460/O460)</f>
        <v/>
      </c>
      <c r="Q460" s="156" t="n">
        <v>0</v>
      </c>
      <c r="R460" s="156" t="n">
        <v>0</v>
      </c>
      <c r="S460" s="156" t="n">
        <v>0</v>
      </c>
      <c r="T460" s="156" t="n">
        <v>0</v>
      </c>
      <c r="U460" s="156" t="n">
        <v>0</v>
      </c>
      <c r="V460" s="156" t="n">
        <v>0</v>
      </c>
      <c r="W460" s="156" t="n">
        <v>0</v>
      </c>
      <c r="X460" s="204">
        <f>INDEX(Matrix!$AA$2:$AA$33, MATCH(G460, Matrix!$AC$2:$AC$33, 0))</f>
        <v/>
      </c>
      <c r="Y460" s="156">
        <f>_xlfn.IFNA(MATCH(E459,'Injury Report'!$C$2:$C$6216,0),0)</f>
        <v/>
      </c>
    </row>
    <row r="461" ht="15.6" customHeight="1" s="152">
      <c r="A461" s="212" t="n">
        <v>459</v>
      </c>
      <c r="B461" s="167">
        <f>F461&amp;G461</f>
        <v/>
      </c>
      <c r="C461" s="156">
        <f>(K461/MAX(K:K)*$K$1)+(O461/MAX(O:O)*$O$1)+(M461/MAX(M:M)*$M$1)+(N461/MAX(N:N)*$N$1)+(V461/MAX(V:V)*$V$1)+(P461/MAX(P:P)*$P$1)</f>
        <v/>
      </c>
      <c r="E461" s="156">
        <f>IFERROR(VLOOKUP(F461,AllPlayers!F:F,1,0),"------------")</f>
        <v/>
      </c>
      <c r="F461" s="156" t="inlineStr">
        <is>
          <t>Charlie Jones</t>
        </is>
      </c>
      <c r="G461" s="167">
        <f>VLOOKUP(F461,AllPlayers!Q:R,2,0)</f>
        <v/>
      </c>
      <c r="H461" s="156" t="inlineStr">
        <is>
          <t>TE</t>
        </is>
      </c>
      <c r="I461" s="156" t="n">
        <v>2</v>
      </c>
      <c r="J461" s="156" t="n">
        <v>0</v>
      </c>
      <c r="K461" s="156" t="n">
        <v>0</v>
      </c>
      <c r="L461" s="156">
        <f>IF(J461=0,0,K461/J461)</f>
        <v/>
      </c>
      <c r="M461" s="156">
        <f>K461/17</f>
        <v/>
      </c>
      <c r="N461" s="156" t="n">
        <v>0</v>
      </c>
      <c r="O461" s="156" t="n">
        <v>0</v>
      </c>
      <c r="P461" s="281">
        <f>IF(K461=0,0,K461/O461)</f>
        <v/>
      </c>
      <c r="Q461" s="156" t="n">
        <v>0</v>
      </c>
      <c r="R461" s="156" t="n">
        <v>0</v>
      </c>
      <c r="S461" s="156" t="n">
        <v>0</v>
      </c>
      <c r="T461" s="156" t="n">
        <v>0</v>
      </c>
      <c r="U461" s="156" t="n">
        <v>0</v>
      </c>
      <c r="V461" s="156" t="n">
        <v>0</v>
      </c>
      <c r="W461" s="156" t="n">
        <v>0</v>
      </c>
      <c r="X461" s="204">
        <f>INDEX(Matrix!$AA$2:$AA$33, MATCH(G461, Matrix!$AC$2:$AC$33, 0))</f>
        <v/>
      </c>
      <c r="Y461" s="156">
        <f>_xlfn.IFNA(MATCH(E460,'Injury Report'!$C$2:$C$6216,0),0)</f>
        <v/>
      </c>
    </row>
    <row r="462" ht="15.6" customHeight="1" s="152">
      <c r="A462" s="212" t="n">
        <v>460</v>
      </c>
      <c r="B462" s="167">
        <f>F462&amp;G462</f>
        <v/>
      </c>
      <c r="C462" s="156">
        <f>(K462/MAX(K:K)*$K$1)+(O462/MAX(O:O)*$O$1)+(M462/MAX(M:M)*$M$1)+(N462/MAX(N:N)*$N$1)+(V462/MAX(V:V)*$V$1)+(P462/MAX(P:P)*$P$1)</f>
        <v/>
      </c>
      <c r="E462" s="156">
        <f>IFERROR(VLOOKUP(F462,AllPlayers!F:F,1,0),"------------")</f>
        <v/>
      </c>
      <c r="F462" s="156" t="inlineStr">
        <is>
          <t>Jody Fortson</t>
        </is>
      </c>
      <c r="G462" s="167">
        <f>VLOOKUP(F462,AllPlayers!Q:R,2,0)</f>
        <v/>
      </c>
      <c r="H462" s="156" t="inlineStr">
        <is>
          <t>TE</t>
        </is>
      </c>
      <c r="I462" s="156" t="n">
        <v>17</v>
      </c>
      <c r="J462" s="156" t="n">
        <v>1</v>
      </c>
      <c r="K462" s="156" t="n">
        <v>5</v>
      </c>
      <c r="L462" s="156">
        <f>IF(J462=0,0,K462/J462)</f>
        <v/>
      </c>
      <c r="M462" s="156">
        <f>K462/17</f>
        <v/>
      </c>
      <c r="N462" s="156" t="n">
        <v>0</v>
      </c>
      <c r="O462" s="156" t="n">
        <v>3</v>
      </c>
      <c r="P462" s="281">
        <f>IF(K462=0,0,K462/O462)</f>
        <v/>
      </c>
      <c r="Q462" s="156" t="n">
        <v>0</v>
      </c>
      <c r="R462" s="156" t="n">
        <v>0</v>
      </c>
      <c r="S462" s="156" t="n">
        <v>0</v>
      </c>
      <c r="T462" s="156" t="n">
        <v>0</v>
      </c>
      <c r="U462" s="156" t="n">
        <v>0</v>
      </c>
      <c r="V462" s="156" t="n">
        <v>0</v>
      </c>
      <c r="W462" s="156" t="n">
        <v>0</v>
      </c>
      <c r="X462" s="204">
        <f>INDEX(Matrix!$AA$2:$AA$33, MATCH(G462, Matrix!$AC$2:$AC$33, 0))</f>
        <v/>
      </c>
      <c r="Y462" s="156">
        <f>_xlfn.IFNA(MATCH(E461,'Injury Report'!$C$2:$C$6216,0),0)</f>
        <v/>
      </c>
    </row>
    <row r="463" ht="15.6" customHeight="1" s="152">
      <c r="A463" s="212" t="n">
        <v>461</v>
      </c>
      <c r="B463" s="167">
        <f>F463&amp;G463</f>
        <v/>
      </c>
      <c r="C463" s="156">
        <f>(K463/MAX(K:K)*$K$1)+(O463/MAX(O:O)*$O$1)+(M463/MAX(M:M)*$M$1)+(N463/MAX(N:N)*$N$1)+(V463/MAX(V:V)*$V$1)+(P463/MAX(P:P)*$P$1)</f>
        <v/>
      </c>
      <c r="E463" s="156">
        <f>IFERROR(VLOOKUP(F463,AllPlayers!F:F,1,0),"------------")</f>
        <v/>
      </c>
      <c r="F463" s="156" t="inlineStr">
        <is>
          <t>Khalil Herbert</t>
        </is>
      </c>
      <c r="G463" s="167">
        <f>VLOOKUP(F463,AllPlayers!Q:R,2,0)</f>
        <v/>
      </c>
      <c r="H463" s="156" t="inlineStr">
        <is>
          <t>TE</t>
        </is>
      </c>
      <c r="I463" s="156" t="n">
        <v>17</v>
      </c>
      <c r="J463" s="156" t="n">
        <v>2</v>
      </c>
      <c r="K463" s="156" t="n">
        <v>4</v>
      </c>
      <c r="L463" s="156">
        <f>IF(J463=0,0,K463/J463)</f>
        <v/>
      </c>
      <c r="M463" s="156">
        <f>K463/17</f>
        <v/>
      </c>
      <c r="N463" s="156" t="n">
        <v>0</v>
      </c>
      <c r="O463" s="156" t="n">
        <v>2</v>
      </c>
      <c r="P463" s="281">
        <f>IF(K463=0,0,K463/O463)</f>
        <v/>
      </c>
      <c r="Q463" s="156" t="n">
        <v>0</v>
      </c>
      <c r="R463" s="156" t="n">
        <v>0</v>
      </c>
      <c r="S463" s="156" t="n">
        <v>0</v>
      </c>
      <c r="T463" s="156" t="n">
        <v>0</v>
      </c>
      <c r="U463" s="156" t="n">
        <v>0</v>
      </c>
      <c r="V463" s="156" t="n">
        <v>0</v>
      </c>
      <c r="W463" s="156" t="n">
        <v>0</v>
      </c>
      <c r="X463" s="204">
        <f>INDEX(Matrix!$AA$2:$AA$33, MATCH(G463, Matrix!$AC$2:$AC$33, 0))</f>
        <v/>
      </c>
      <c r="Y463" s="156">
        <f>_xlfn.IFNA(MATCH(E462,'Injury Report'!$C$2:$C$6216,0),0)</f>
        <v/>
      </c>
    </row>
    <row r="464" ht="15.6" customHeight="1" s="152">
      <c r="A464" s="212" t="n">
        <v>462</v>
      </c>
      <c r="B464" s="167">
        <f>F464&amp;G464</f>
        <v/>
      </c>
      <c r="C464" s="156">
        <f>(K464/MAX(K:K)*$K$1)+(O464/MAX(O:O)*$O$1)+(M464/MAX(M:M)*$M$1)+(N464/MAX(N:N)*$N$1)+(V464/MAX(V:V)*$V$1)+(P464/MAX(P:P)*$P$1)</f>
        <v/>
      </c>
      <c r="E464" s="156">
        <f>IFERROR(VLOOKUP(F464,AllPlayers!F:F,1,0),"------------")</f>
        <v/>
      </c>
      <c r="F464" s="156" t="inlineStr">
        <is>
          <t>Juanyeh Thomas</t>
        </is>
      </c>
      <c r="G464" s="167">
        <f>VLOOKUP(F464,AllPlayers!Q:R,2,0)</f>
        <v/>
      </c>
      <c r="H464" s="156" t="inlineStr">
        <is>
          <t>TE</t>
        </is>
      </c>
      <c r="I464" s="156" t="n">
        <v>17</v>
      </c>
      <c r="J464" s="156" t="n">
        <v>1</v>
      </c>
      <c r="K464" s="156" t="n">
        <v>4</v>
      </c>
      <c r="L464" s="156">
        <f>IF(J464=0,0,K464/J464)</f>
        <v/>
      </c>
      <c r="M464" s="156">
        <f>K464/17</f>
        <v/>
      </c>
      <c r="N464" s="156" t="n">
        <v>0</v>
      </c>
      <c r="O464" s="156" t="n">
        <v>1</v>
      </c>
      <c r="P464" s="281">
        <f>IF(K464=0,0,K464/O464)</f>
        <v/>
      </c>
      <c r="Q464" s="156" t="n">
        <v>0</v>
      </c>
      <c r="R464" s="156" t="n">
        <v>0</v>
      </c>
      <c r="S464" s="156" t="n">
        <v>0</v>
      </c>
      <c r="T464" s="156" t="n">
        <v>0</v>
      </c>
      <c r="U464" s="156" t="n">
        <v>0</v>
      </c>
      <c r="V464" s="156" t="n">
        <v>0</v>
      </c>
      <c r="W464" s="156" t="n">
        <v>0</v>
      </c>
      <c r="X464" s="204">
        <f>INDEX(Matrix!$AA$2:$AA$33, MATCH(G464, Matrix!$AC$2:$AC$33, 0))</f>
        <v/>
      </c>
      <c r="Y464" s="156">
        <f>_xlfn.IFNA(MATCH(E463,'Injury Report'!$C$2:$C$6216,0),0)</f>
        <v/>
      </c>
    </row>
    <row r="465" ht="15.6" customHeight="1" s="152">
      <c r="A465" s="212" t="n">
        <v>463</v>
      </c>
      <c r="B465" s="167">
        <f>F465&amp;G465</f>
        <v/>
      </c>
      <c r="C465" s="156">
        <f>(K465/MAX(K:K)*$K$1)+(O465/MAX(O:O)*$O$1)+(M465/MAX(M:M)*$M$1)+(N465/MAX(N:N)*$N$1)+(V465/MAX(V:V)*$V$1)+(P465/MAX(P:P)*$P$1)</f>
        <v/>
      </c>
      <c r="E465" s="156">
        <f>IFERROR(VLOOKUP(F465,AllPlayers!F:F,1,0),"------------")</f>
        <v/>
      </c>
      <c r="F465" s="156" t="inlineStr">
        <is>
          <t>Vederian Lowe</t>
        </is>
      </c>
      <c r="G465" s="167">
        <f>VLOOKUP(F465,AllPlayers!Q:R,2,0)</f>
        <v/>
      </c>
      <c r="H465" s="156" t="inlineStr">
        <is>
          <t>TE</t>
        </is>
      </c>
      <c r="I465" s="156" t="n">
        <v>17</v>
      </c>
      <c r="J465" s="156" t="n">
        <v>1</v>
      </c>
      <c r="K465" s="156" t="n">
        <v>4</v>
      </c>
      <c r="L465" s="156">
        <f>IF(J465=0,0,K465/J465)</f>
        <v/>
      </c>
      <c r="M465" s="156">
        <f>K465/17</f>
        <v/>
      </c>
      <c r="N465" s="156" t="n">
        <v>1</v>
      </c>
      <c r="O465" s="156" t="n">
        <v>1</v>
      </c>
      <c r="P465" s="281">
        <f>IF(K465=0,0,K465/O465)</f>
        <v/>
      </c>
      <c r="Q465" s="156" t="n">
        <v>0</v>
      </c>
      <c r="R465" s="156" t="n">
        <v>0</v>
      </c>
      <c r="S465" s="156" t="n">
        <v>0</v>
      </c>
      <c r="T465" s="156" t="n">
        <v>0</v>
      </c>
      <c r="U465" s="156" t="n">
        <v>0</v>
      </c>
      <c r="V465" s="156" t="n">
        <v>0</v>
      </c>
      <c r="W465" s="156" t="n">
        <v>0</v>
      </c>
      <c r="X465" s="204">
        <f>INDEX(Matrix!$AA$2:$AA$33, MATCH(G465, Matrix!$AC$2:$AC$33, 0))</f>
        <v/>
      </c>
      <c r="Y465" s="156">
        <f>_xlfn.IFNA(MATCH(E464,'Injury Report'!$C$2:$C$6216,0),0)</f>
        <v/>
      </c>
    </row>
    <row r="466" ht="15.6" customHeight="1" s="152">
      <c r="A466" s="212" t="n">
        <v>464</v>
      </c>
      <c r="B466" s="167">
        <f>F466&amp;G466</f>
        <v/>
      </c>
      <c r="C466" s="156">
        <f>(K466/MAX(K:K)*$K$1)+(O466/MAX(O:O)*$O$1)+(M466/MAX(M:M)*$M$1)+(N466/MAX(N:N)*$N$1)+(V466/MAX(V:V)*$V$1)+(P466/MAX(P:P)*$P$1)</f>
        <v/>
      </c>
      <c r="E466" s="156">
        <f>IFERROR(VLOOKUP(F466,AllPlayers!F:F,1,0),"------------")</f>
        <v/>
      </c>
      <c r="F466" s="156" t="inlineStr">
        <is>
          <t>Marshawn Lloyd</t>
        </is>
      </c>
      <c r="G466" s="167">
        <f>VLOOKUP(F466,AllPlayers!Q:R,2,0)</f>
        <v/>
      </c>
      <c r="H466" s="156" t="inlineStr">
        <is>
          <t>TE</t>
        </is>
      </c>
      <c r="I466" s="156" t="n">
        <v>17</v>
      </c>
      <c r="J466" s="156" t="n">
        <v>1</v>
      </c>
      <c r="K466" s="156" t="n">
        <v>3</v>
      </c>
      <c r="L466" s="156">
        <f>IF(J466=0,0,K466/J466)</f>
        <v/>
      </c>
      <c r="M466" s="156">
        <f>K466/17</f>
        <v/>
      </c>
      <c r="N466" s="156" t="n">
        <v>0</v>
      </c>
      <c r="O466" s="156" t="n">
        <v>1</v>
      </c>
      <c r="P466" s="281">
        <f>IF(K466=0,0,K466/O466)</f>
        <v/>
      </c>
      <c r="Q466" s="156" t="n">
        <v>0</v>
      </c>
      <c r="R466" s="156" t="n">
        <v>0</v>
      </c>
      <c r="S466" s="156" t="n">
        <v>0</v>
      </c>
      <c r="T466" s="156" t="n">
        <v>0</v>
      </c>
      <c r="U466" s="156" t="n">
        <v>0</v>
      </c>
      <c r="V466" s="156" t="n">
        <v>0</v>
      </c>
      <c r="W466" s="156" t="n">
        <v>0</v>
      </c>
      <c r="X466" s="204">
        <f>INDEX(Matrix!$AA$2:$AA$33, MATCH(G466, Matrix!$AC$2:$AC$33, 0))</f>
        <v/>
      </c>
      <c r="Y466" s="156">
        <f>_xlfn.IFNA(MATCH(E465,'Injury Report'!$C$2:$C$6216,0),0)</f>
        <v/>
      </c>
    </row>
    <row r="467" ht="15.6" customHeight="1" s="152">
      <c r="A467" s="212" t="n">
        <v>465</v>
      </c>
      <c r="B467" s="167">
        <f>F467&amp;G467</f>
        <v/>
      </c>
      <c r="C467" s="156">
        <f>(K467/MAX(K:K)*$K$1)+(O467/MAX(O:O)*$O$1)+(M467/MAX(M:M)*$M$1)+(N467/MAX(N:N)*$N$1)+(V467/MAX(V:V)*$V$1)+(P467/MAX(P:P)*$P$1)</f>
        <v/>
      </c>
      <c r="E467" s="156">
        <f>IFERROR(VLOOKUP(F467,AllPlayers!F:F,1,0),"------------")</f>
        <v/>
      </c>
      <c r="F467" s="156" t="inlineStr">
        <is>
          <t>Patrick Mahomes</t>
        </is>
      </c>
      <c r="G467" s="167">
        <f>VLOOKUP(F467,AllPlayers!Q:R,2,0)</f>
        <v/>
      </c>
      <c r="H467" s="156" t="inlineStr">
        <is>
          <t>TE</t>
        </is>
      </c>
      <c r="I467" s="156" t="n">
        <v>17</v>
      </c>
      <c r="J467" s="156" t="n">
        <v>1</v>
      </c>
      <c r="K467" s="156" t="n">
        <v>2</v>
      </c>
      <c r="L467" s="156">
        <f>IF(J467=0,0,K467/J467)</f>
        <v/>
      </c>
      <c r="M467" s="156">
        <f>K467/17</f>
        <v/>
      </c>
      <c r="N467" s="156" t="n">
        <v>0</v>
      </c>
      <c r="O467" s="156" t="n">
        <v>1</v>
      </c>
      <c r="P467" s="281">
        <f>IF(K467=0,0,K467/O467)</f>
        <v/>
      </c>
      <c r="Q467" s="156" t="n">
        <v>0</v>
      </c>
      <c r="R467" s="156" t="n">
        <v>0</v>
      </c>
      <c r="S467" s="156" t="n">
        <v>0</v>
      </c>
      <c r="T467" s="156" t="n">
        <v>0</v>
      </c>
      <c r="U467" s="156" t="n">
        <v>0</v>
      </c>
      <c r="V467" s="156" t="n">
        <v>0</v>
      </c>
      <c r="W467" s="156" t="n">
        <v>0</v>
      </c>
      <c r="X467" s="204">
        <f>INDEX(Matrix!$AA$2:$AA$33, MATCH(G467, Matrix!$AC$2:$AC$33, 0))</f>
        <v/>
      </c>
      <c r="Y467" s="156">
        <f>_xlfn.IFNA(MATCH(E466,'Injury Report'!$C$2:$C$6216,0),0)</f>
        <v/>
      </c>
    </row>
    <row r="468" ht="15.6" customHeight="1" s="152">
      <c r="A468" s="212" t="n">
        <v>466</v>
      </c>
      <c r="B468" s="167">
        <f>F468&amp;G468</f>
        <v/>
      </c>
      <c r="C468" s="156">
        <f>(K468/MAX(K:K)*$K$1)+(O468/MAX(O:O)*$O$1)+(M468/MAX(M:M)*$M$1)+(N468/MAX(N:N)*$N$1)+(V468/MAX(V:V)*$V$1)+(P468/MAX(P:P)*$P$1)</f>
        <v/>
      </c>
      <c r="E468" s="156">
        <f>IFERROR(VLOOKUP(F468,AllPlayers!F:F,1,0),"------------")</f>
        <v/>
      </c>
      <c r="F468" s="156" t="inlineStr">
        <is>
          <t>Bo Nix</t>
        </is>
      </c>
      <c r="G468" s="167">
        <f>VLOOKUP(F468,AllPlayers!Q:R,2,0)</f>
        <v/>
      </c>
      <c r="H468" s="156" t="inlineStr">
        <is>
          <t>TE</t>
        </is>
      </c>
      <c r="I468" s="156" t="n">
        <v>17</v>
      </c>
      <c r="J468" s="156" t="n">
        <v>1</v>
      </c>
      <c r="K468" s="156" t="n">
        <v>2</v>
      </c>
      <c r="L468" s="156">
        <f>IF(J468=0,0,K468/J468)</f>
        <v/>
      </c>
      <c r="M468" s="156">
        <f>K468/17</f>
        <v/>
      </c>
      <c r="N468" s="156" t="n">
        <v>1</v>
      </c>
      <c r="O468" s="156" t="n">
        <v>1</v>
      </c>
      <c r="P468" s="281">
        <f>IF(K468=0,0,K468/O468)</f>
        <v/>
      </c>
      <c r="Q468" s="156" t="n">
        <v>0</v>
      </c>
      <c r="R468" s="156" t="n">
        <v>0</v>
      </c>
      <c r="S468" s="156" t="n">
        <v>0</v>
      </c>
      <c r="T468" s="156" t="n">
        <v>0</v>
      </c>
      <c r="U468" s="156" t="n">
        <v>0</v>
      </c>
      <c r="V468" s="156" t="n">
        <v>0</v>
      </c>
      <c r="W468" s="156" t="n">
        <v>0</v>
      </c>
      <c r="X468" s="204">
        <f>INDEX(Matrix!$AA$2:$AA$33, MATCH(G468, Matrix!$AC$2:$AC$33, 0))</f>
        <v/>
      </c>
      <c r="Y468" s="156">
        <f>_xlfn.IFNA(MATCH(E467,'Injury Report'!$C$2:$C$6216,0),0)</f>
        <v/>
      </c>
    </row>
    <row r="469" ht="15.6" customHeight="1" s="152">
      <c r="A469" s="212" t="n">
        <v>467</v>
      </c>
      <c r="B469" s="167">
        <f>F469&amp;G469</f>
        <v/>
      </c>
      <c r="C469" s="156">
        <f>(K469/MAX(K:K)*$K$1)+(O469/MAX(O:O)*$O$1)+(M469/MAX(M:M)*$M$1)+(N469/MAX(N:N)*$N$1)+(V469/MAX(V:V)*$V$1)+(P469/MAX(P:P)*$P$1)</f>
        <v/>
      </c>
      <c r="E469" s="156">
        <f>IFERROR(VLOOKUP(F469,AllPlayers!F:F,1,0),"------------")</f>
        <v/>
      </c>
      <c r="F469" s="156" t="inlineStr">
        <is>
          <t>John Fitzpatrick</t>
        </is>
      </c>
      <c r="G469" s="167">
        <f>VLOOKUP(F469,AllPlayers!Q:R,2,0)</f>
        <v/>
      </c>
      <c r="H469" s="156" t="inlineStr">
        <is>
          <t>TE</t>
        </is>
      </c>
      <c r="I469" s="156" t="n">
        <v>2</v>
      </c>
      <c r="J469" s="156" t="n">
        <v>1</v>
      </c>
      <c r="K469" s="156" t="n">
        <v>2</v>
      </c>
      <c r="L469" s="156">
        <f>IF(J469=0,0,K469/J469)</f>
        <v/>
      </c>
      <c r="M469" s="156">
        <f>K469/17</f>
        <v/>
      </c>
      <c r="N469" s="156" t="n">
        <v>0</v>
      </c>
      <c r="O469" s="156" t="n">
        <v>1</v>
      </c>
      <c r="P469" s="281">
        <f>IF(K469=0,0,K469/O469)</f>
        <v/>
      </c>
      <c r="Q469" s="156" t="n">
        <v>0</v>
      </c>
      <c r="R469" s="156" t="n">
        <v>0</v>
      </c>
      <c r="S469" s="156" t="n">
        <v>0</v>
      </c>
      <c r="T469" s="156" t="n">
        <v>0</v>
      </c>
      <c r="U469" s="156" t="n">
        <v>0</v>
      </c>
      <c r="V469" s="156" t="n">
        <v>0</v>
      </c>
      <c r="W469" s="156" t="n">
        <v>0</v>
      </c>
      <c r="X469" s="204">
        <f>INDEX(Matrix!$AA$2:$AA$33, MATCH(G469, Matrix!$AC$2:$AC$33, 0))</f>
        <v/>
      </c>
      <c r="Y469" s="156">
        <f>_xlfn.IFNA(MATCH(E468,'Injury Report'!$C$2:$C$6216,0),0)</f>
        <v/>
      </c>
    </row>
    <row r="470" ht="15.6" customHeight="1" s="152">
      <c r="A470" s="212" t="n">
        <v>468</v>
      </c>
      <c r="B470" s="167">
        <f>F470&amp;G470</f>
        <v/>
      </c>
      <c r="C470" s="156">
        <f>(K470/MAX(K:K)*$K$1)+(O470/MAX(O:O)*$O$1)+(M470/MAX(M:M)*$M$1)+(N470/MAX(N:N)*$N$1)+(V470/MAX(V:V)*$V$1)+(P470/MAX(P:P)*$P$1)</f>
        <v/>
      </c>
      <c r="E470" s="156">
        <f>IFERROR(VLOOKUP(F470,AllPlayers!F:F,1,0),"------------")</f>
        <v/>
      </c>
      <c r="F470" s="156" t="inlineStr">
        <is>
          <t>Sam Hubbard</t>
        </is>
      </c>
      <c r="G470" s="167">
        <f>VLOOKUP(F470,AllPlayers!Q:R,2,0)</f>
        <v/>
      </c>
      <c r="H470" s="156" t="inlineStr">
        <is>
          <t>TE</t>
        </is>
      </c>
      <c r="I470" s="156" t="n">
        <v>17</v>
      </c>
      <c r="J470" s="156" t="n">
        <v>1</v>
      </c>
      <c r="K470" s="156" t="n">
        <v>2</v>
      </c>
      <c r="L470" s="156">
        <f>IF(J470=0,0,K470/J470)</f>
        <v/>
      </c>
      <c r="M470" s="156">
        <f>K470/17</f>
        <v/>
      </c>
      <c r="N470" s="156" t="n">
        <v>1</v>
      </c>
      <c r="O470" s="156" t="n">
        <v>1</v>
      </c>
      <c r="P470" s="281">
        <f>IF(K470=0,0,K470/O470)</f>
        <v/>
      </c>
      <c r="Q470" s="156" t="n">
        <v>0</v>
      </c>
      <c r="R470" s="156" t="n">
        <v>0</v>
      </c>
      <c r="S470" s="156" t="n">
        <v>0</v>
      </c>
      <c r="T470" s="156" t="n">
        <v>0</v>
      </c>
      <c r="U470" s="156" t="n">
        <v>0</v>
      </c>
      <c r="V470" s="156" t="n">
        <v>0</v>
      </c>
      <c r="W470" s="156" t="n">
        <v>0</v>
      </c>
      <c r="X470" s="204">
        <f>INDEX(Matrix!$AA$2:$AA$33, MATCH(G470, Matrix!$AC$2:$AC$33, 0))</f>
        <v/>
      </c>
      <c r="Y470" s="156">
        <f>_xlfn.IFNA(MATCH(E469,'Injury Report'!$C$2:$C$6216,0),0)</f>
        <v/>
      </c>
    </row>
    <row r="471" ht="15.6" customHeight="1" s="152">
      <c r="A471" s="212" t="n">
        <v>469</v>
      </c>
      <c r="B471" s="167">
        <f>F471&amp;G471</f>
        <v/>
      </c>
      <c r="C471" s="156">
        <f>(K471/MAX(K:K)*$K$1)+(O471/MAX(O:O)*$O$1)+(M471/MAX(M:M)*$M$1)+(N471/MAX(N:N)*$N$1)+(V471/MAX(V:V)*$V$1)+(P471/MAX(P:P)*$P$1)</f>
        <v/>
      </c>
      <c r="E471" s="156">
        <f>IFERROR(VLOOKUP(F471,AllPlayers!F:F,1,0),"------------")</f>
        <v/>
      </c>
      <c r="F471" s="156" t="inlineStr">
        <is>
          <t>Marcedes Lewis</t>
        </is>
      </c>
      <c r="G471" s="167">
        <f>VLOOKUP(F471,AllPlayers!Q:R,2,0)</f>
        <v/>
      </c>
      <c r="H471" s="156" t="inlineStr">
        <is>
          <t>TE</t>
        </is>
      </c>
      <c r="I471" s="156" t="n">
        <v>17</v>
      </c>
      <c r="J471" s="156" t="n">
        <v>1</v>
      </c>
      <c r="K471" s="156" t="n">
        <v>2</v>
      </c>
      <c r="L471" s="156">
        <f>IF(J471=0,0,K471/J471)</f>
        <v/>
      </c>
      <c r="M471" s="156">
        <f>K471/17</f>
        <v/>
      </c>
      <c r="N471" s="156" t="n">
        <v>0</v>
      </c>
      <c r="O471" s="156" t="n">
        <v>1</v>
      </c>
      <c r="P471" s="281">
        <f>IF(K471=0,0,K471/O471)</f>
        <v/>
      </c>
      <c r="Q471" s="156" t="n">
        <v>0</v>
      </c>
      <c r="R471" s="156" t="n">
        <v>0</v>
      </c>
      <c r="S471" s="156" t="n">
        <v>0</v>
      </c>
      <c r="T471" s="156" t="n">
        <v>0</v>
      </c>
      <c r="U471" s="156" t="n">
        <v>0</v>
      </c>
      <c r="V471" s="156" t="n">
        <v>0</v>
      </c>
      <c r="W471" s="156" t="n">
        <v>0</v>
      </c>
      <c r="X471" s="204">
        <f>INDEX(Matrix!$AA$2:$AA$33, MATCH(G471, Matrix!$AC$2:$AC$33, 0))</f>
        <v/>
      </c>
      <c r="Y471" s="156">
        <f>_xlfn.IFNA(MATCH(E470,'Injury Report'!$C$2:$C$6216,0),0)</f>
        <v/>
      </c>
    </row>
    <row r="472" ht="15.6" customHeight="1" s="152">
      <c r="A472" s="212" t="n">
        <v>470</v>
      </c>
      <c r="B472" s="167">
        <f>F472&amp;G472</f>
        <v/>
      </c>
      <c r="C472" s="156">
        <f>(K472/MAX(K:K)*$K$1)+(O472/MAX(O:O)*$O$1)+(M472/MAX(M:M)*$M$1)+(N472/MAX(N:N)*$N$1)+(V472/MAX(V:V)*$V$1)+(P472/MAX(P:P)*$P$1)</f>
        <v/>
      </c>
      <c r="E472" s="156">
        <f>IFERROR(VLOOKUP(F472,AllPlayers!F:F,1,0),"------------")</f>
        <v/>
      </c>
      <c r="F472" s="156" t="inlineStr">
        <is>
          <t>Dameon Pierce</t>
        </is>
      </c>
      <c r="G472" s="167">
        <f>VLOOKUP(F472,AllPlayers!Q:R,2,0)</f>
        <v/>
      </c>
      <c r="H472" s="156" t="inlineStr">
        <is>
          <t>TE</t>
        </is>
      </c>
      <c r="I472" s="156" t="n">
        <v>1</v>
      </c>
      <c r="J472" s="156" t="n">
        <v>0</v>
      </c>
      <c r="K472" s="156" t="n">
        <v>0</v>
      </c>
      <c r="L472" s="156">
        <f>IF(J472=0,0,K472/J472)</f>
        <v/>
      </c>
      <c r="M472" s="156">
        <f>K472/17</f>
        <v/>
      </c>
      <c r="N472" s="156" t="n">
        <v>0</v>
      </c>
      <c r="O472" s="156" t="n">
        <v>1</v>
      </c>
      <c r="P472" s="281">
        <f>IF(K472=0,0,K472/O472)</f>
        <v/>
      </c>
      <c r="Q472" s="156" t="n">
        <v>0</v>
      </c>
      <c r="R472" s="156" t="n">
        <v>0</v>
      </c>
      <c r="S472" s="156" t="n">
        <v>0</v>
      </c>
      <c r="T472" s="156" t="n">
        <v>0</v>
      </c>
      <c r="U472" s="156" t="n">
        <v>0</v>
      </c>
      <c r="V472" s="156" t="n">
        <v>0</v>
      </c>
      <c r="W472" s="156" t="n">
        <v>0</v>
      </c>
      <c r="X472" s="204">
        <f>INDEX(Matrix!$AA$2:$AA$33, MATCH(G472, Matrix!$AC$2:$AC$33, 0))</f>
        <v/>
      </c>
      <c r="Y472" s="156">
        <f>_xlfn.IFNA(MATCH(E471,'Injury Report'!$C$2:$C$6216,0),0)</f>
        <v/>
      </c>
    </row>
    <row r="473" ht="15.6" customHeight="1" s="152">
      <c r="A473" s="212" t="n">
        <v>471</v>
      </c>
      <c r="B473" s="167">
        <f>F473&amp;G473</f>
        <v/>
      </c>
      <c r="C473" s="156">
        <f>(K473/MAX(K:K)*$K$1)+(O473/MAX(O:O)*$O$1)+(M473/MAX(M:M)*$M$1)+(N473/MAX(N:N)*$N$1)+(V473/MAX(V:V)*$V$1)+(P473/MAX(P:P)*$P$1)</f>
        <v/>
      </c>
      <c r="E473" s="156">
        <f>IFERROR(VLOOKUP(F473,AllPlayers!F:F,1,0),"------------")</f>
        <v/>
      </c>
      <c r="F473" s="156" t="inlineStr">
        <is>
          <t>Wanya Morris</t>
        </is>
      </c>
      <c r="G473" s="167">
        <f>VLOOKUP(F473,AllPlayers!Q:R,2,0)</f>
        <v/>
      </c>
      <c r="H473" s="156" t="inlineStr">
        <is>
          <t>TE</t>
        </is>
      </c>
      <c r="I473" s="156" t="n">
        <v>17</v>
      </c>
      <c r="J473" s="156" t="n">
        <v>1</v>
      </c>
      <c r="K473" s="156" t="n">
        <v>1</v>
      </c>
      <c r="L473" s="156">
        <f>IF(J473=0,0,K473/J473)</f>
        <v/>
      </c>
      <c r="M473" s="156">
        <f>K473/17</f>
        <v/>
      </c>
      <c r="N473" s="156" t="n">
        <v>1</v>
      </c>
      <c r="O473" s="156" t="n">
        <v>1</v>
      </c>
      <c r="P473" s="281">
        <f>IF(K473=0,0,K473/O473)</f>
        <v/>
      </c>
      <c r="Q473" s="156" t="n">
        <v>0</v>
      </c>
      <c r="R473" s="156" t="n">
        <v>0</v>
      </c>
      <c r="S473" s="156" t="n">
        <v>0</v>
      </c>
      <c r="T473" s="156" t="n">
        <v>0</v>
      </c>
      <c r="U473" s="156" t="n">
        <v>0</v>
      </c>
      <c r="V473" s="156" t="n">
        <v>0</v>
      </c>
      <c r="W473" s="156" t="n">
        <v>0</v>
      </c>
      <c r="X473" s="204">
        <f>INDEX(Matrix!$AA$2:$AA$33, MATCH(G473, Matrix!$AC$2:$AC$33, 0))</f>
        <v/>
      </c>
      <c r="Y473" s="156">
        <f>_xlfn.IFNA(MATCH(E472,'Injury Report'!$C$2:$C$6216,0),0)</f>
        <v/>
      </c>
    </row>
    <row r="474" ht="15.6" customHeight="1" s="152">
      <c r="A474" s="212" t="n">
        <v>472</v>
      </c>
      <c r="B474" s="167">
        <f>F474&amp;G474</f>
        <v/>
      </c>
      <c r="C474" s="156">
        <f>(K474/MAX(K:K)*$K$1)+(O474/MAX(O:O)*$O$1)+(M474/MAX(M:M)*$M$1)+(N474/MAX(N:N)*$N$1)+(V474/MAX(V:V)*$V$1)+(P474/MAX(P:P)*$P$1)</f>
        <v/>
      </c>
      <c r="E474" s="156">
        <f>IFERROR(VLOOKUP(F474,AllPlayers!F:F,1,0),"------------")</f>
        <v/>
      </c>
      <c r="F474" s="156" t="inlineStr">
        <is>
          <t>Trent Scott</t>
        </is>
      </c>
      <c r="G474" s="167">
        <f>VLOOKUP(F474,AllPlayers!Q:R,2,0)</f>
        <v/>
      </c>
      <c r="H474" s="156" t="inlineStr">
        <is>
          <t>TE</t>
        </is>
      </c>
      <c r="I474" s="156" t="n">
        <v>17</v>
      </c>
      <c r="J474" s="156" t="n">
        <v>1</v>
      </c>
      <c r="K474" s="156" t="n">
        <v>1</v>
      </c>
      <c r="L474" s="156">
        <f>IF(J474=0,0,K474/J474)</f>
        <v/>
      </c>
      <c r="M474" s="156">
        <f>K474/17</f>
        <v/>
      </c>
      <c r="N474" s="156" t="n">
        <v>1</v>
      </c>
      <c r="O474" s="156" t="n">
        <v>1</v>
      </c>
      <c r="P474" s="281">
        <f>IF(K474=0,0,K474/O474)</f>
        <v/>
      </c>
      <c r="Q474" s="156" t="n">
        <v>0</v>
      </c>
      <c r="R474" s="156" t="n">
        <v>0</v>
      </c>
      <c r="S474" s="156" t="n">
        <v>0</v>
      </c>
      <c r="T474" s="156" t="n">
        <v>0</v>
      </c>
      <c r="U474" s="156" t="n">
        <v>0</v>
      </c>
      <c r="V474" s="156" t="n">
        <v>0</v>
      </c>
      <c r="W474" s="156" t="n">
        <v>0</v>
      </c>
      <c r="X474" s="204">
        <f>INDEX(Matrix!$AA$2:$AA$33, MATCH(G474, Matrix!$AC$2:$AC$33, 0))</f>
        <v/>
      </c>
      <c r="Y474" s="156">
        <f>_xlfn.IFNA(MATCH(E473,'Injury Report'!$C$2:$C$6216,0),0)</f>
        <v/>
      </c>
    </row>
    <row r="475" ht="15.6" customHeight="1" s="152">
      <c r="A475" s="212" t="n">
        <v>473</v>
      </c>
      <c r="B475" s="167">
        <f>F475&amp;G475</f>
        <v/>
      </c>
      <c r="C475" s="156">
        <f>(K475/MAX(K:K)*$K$1)+(O475/MAX(O:O)*$O$1)+(M475/MAX(M:M)*$M$1)+(N475/MAX(N:N)*$N$1)+(V475/MAX(V:V)*$V$1)+(P475/MAX(P:P)*$P$1)</f>
        <v/>
      </c>
      <c r="E475" s="156">
        <f>IFERROR(VLOOKUP(F475,AllPlayers!F:F,1,0),"------------")</f>
        <v/>
      </c>
      <c r="F475" s="156" t="inlineStr">
        <is>
          <t>James Pierre</t>
        </is>
      </c>
      <c r="G475" s="167">
        <f>VLOOKUP(F475,AllPlayers!Q:R,2,0)</f>
        <v/>
      </c>
      <c r="H475" s="156" t="inlineStr">
        <is>
          <t>TE</t>
        </is>
      </c>
      <c r="I475" s="156" t="n">
        <v>17</v>
      </c>
      <c r="J475" s="156" t="n">
        <v>0</v>
      </c>
      <c r="K475" s="156" t="n">
        <v>0</v>
      </c>
      <c r="L475" s="156">
        <f>IF(J475=0,0,K475/J475)</f>
        <v/>
      </c>
      <c r="M475" s="156">
        <f>K475/17</f>
        <v/>
      </c>
      <c r="N475" s="156" t="n">
        <v>0</v>
      </c>
      <c r="O475" s="156" t="n">
        <v>1</v>
      </c>
      <c r="P475" s="281">
        <f>IF(K475=0,0,K475/O475)</f>
        <v/>
      </c>
      <c r="Q475" s="156" t="n">
        <v>0</v>
      </c>
      <c r="R475" s="156" t="n">
        <v>0</v>
      </c>
      <c r="S475" s="156" t="n">
        <v>0</v>
      </c>
      <c r="T475" s="156" t="n">
        <v>0</v>
      </c>
      <c r="U475" s="156" t="n">
        <v>0</v>
      </c>
      <c r="V475" s="156" t="n">
        <v>0</v>
      </c>
      <c r="W475" s="156" t="n">
        <v>0</v>
      </c>
      <c r="X475" s="204">
        <f>INDEX(Matrix!$AA$2:$AA$33, MATCH(G475, Matrix!$AC$2:$AC$33, 0))</f>
        <v/>
      </c>
      <c r="Y475" s="156">
        <f>_xlfn.IFNA(MATCH(E474,'Injury Report'!$C$2:$C$6216,0),0)</f>
        <v/>
      </c>
    </row>
    <row r="476" ht="15.6" customHeight="1" s="152">
      <c r="A476" s="212" t="n">
        <v>474</v>
      </c>
      <c r="B476" s="167">
        <f>F476&amp;G476</f>
        <v/>
      </c>
      <c r="C476" s="156">
        <f>(K476/MAX(K:K)*$K$1)+(O476/MAX(O:O)*$O$1)+(M476/MAX(M:M)*$M$1)+(N476/MAX(N:N)*$N$1)+(V476/MAX(V:V)*$V$1)+(P476/MAX(P:P)*$P$1)</f>
        <v/>
      </c>
      <c r="E476" s="156">
        <f>IFERROR(VLOOKUP(F476,AllPlayers!F:F,1,0),"------------")</f>
        <v/>
      </c>
      <c r="F476" s="156" t="inlineStr">
        <is>
          <t>Irvin Charles</t>
        </is>
      </c>
      <c r="G476" s="167">
        <f>VLOOKUP(F476,AllPlayers!Q:R,2,0)</f>
        <v/>
      </c>
      <c r="H476" s="156" t="inlineStr">
        <is>
          <t>TE</t>
        </is>
      </c>
      <c r="I476" s="156" t="n">
        <v>17</v>
      </c>
      <c r="J476" s="156" t="n">
        <v>0</v>
      </c>
      <c r="K476" s="156" t="n">
        <v>0</v>
      </c>
      <c r="L476" s="156">
        <f>IF(J476=0,0,K476/J476)</f>
        <v/>
      </c>
      <c r="M476" s="156">
        <f>K476/17</f>
        <v/>
      </c>
      <c r="N476" s="156" t="n">
        <v>0</v>
      </c>
      <c r="O476" s="156" t="n">
        <v>1</v>
      </c>
      <c r="P476" s="281">
        <f>IF(K476=0,0,K476/O476)</f>
        <v/>
      </c>
      <c r="Q476" s="156" t="n">
        <v>0</v>
      </c>
      <c r="R476" s="156" t="n">
        <v>0</v>
      </c>
      <c r="S476" s="156" t="n">
        <v>0</v>
      </c>
      <c r="T476" s="156" t="n">
        <v>0</v>
      </c>
      <c r="U476" s="156" t="n">
        <v>0</v>
      </c>
      <c r="V476" s="156" t="n">
        <v>0</v>
      </c>
      <c r="W476" s="156" t="n">
        <v>0</v>
      </c>
      <c r="X476" s="204">
        <f>INDEX(Matrix!$AA$2:$AA$33, MATCH(G476, Matrix!$AC$2:$AC$33, 0))</f>
        <v/>
      </c>
      <c r="Y476" s="156">
        <f>_xlfn.IFNA(MATCH(E475,'Injury Report'!$C$2:$C$6216,0),0)</f>
        <v/>
      </c>
    </row>
    <row r="477" ht="15.6" customHeight="1" s="152">
      <c r="A477" s="212" t="n">
        <v>475</v>
      </c>
      <c r="B477" s="167">
        <f>F477&amp;G477</f>
        <v/>
      </c>
      <c r="C477" s="156">
        <f>(K477/MAX(K:K)*$K$1)+(O477/MAX(O:O)*$O$1)+(M477/MAX(M:M)*$M$1)+(N477/MAX(N:N)*$N$1)+(V477/MAX(V:V)*$V$1)+(P477/MAX(P:P)*$P$1)</f>
        <v/>
      </c>
      <c r="E477" s="156">
        <f>IFERROR(VLOOKUP(F477,AllPlayers!F:F,1,0),"------------")</f>
        <v/>
      </c>
      <c r="F477" s="156" t="inlineStr">
        <is>
          <t>Justyn Ross</t>
        </is>
      </c>
      <c r="G477" s="167">
        <f>VLOOKUP(F477,AllPlayers!Q:R,2,0)</f>
        <v/>
      </c>
      <c r="H477" s="156" t="inlineStr">
        <is>
          <t>TE</t>
        </is>
      </c>
      <c r="I477" s="156" t="n">
        <v>17</v>
      </c>
      <c r="J477" s="156" t="n">
        <v>0</v>
      </c>
      <c r="K477" s="156" t="n">
        <v>0</v>
      </c>
      <c r="L477" s="156">
        <f>IF(J477=0,0,K477/J477)</f>
        <v/>
      </c>
      <c r="M477" s="156">
        <f>K477/17</f>
        <v/>
      </c>
      <c r="N477" s="156" t="n">
        <v>0</v>
      </c>
      <c r="O477" s="156" t="n">
        <v>1</v>
      </c>
      <c r="P477" s="281">
        <f>IF(K477=0,0,K477/O477)</f>
        <v/>
      </c>
      <c r="Q477" s="156" t="n">
        <v>0</v>
      </c>
      <c r="R477" s="156" t="n">
        <v>0</v>
      </c>
      <c r="S477" s="156" t="n">
        <v>0</v>
      </c>
      <c r="T477" s="156" t="n">
        <v>0</v>
      </c>
      <c r="U477" s="156" t="n">
        <v>0</v>
      </c>
      <c r="V477" s="156" t="n">
        <v>0</v>
      </c>
      <c r="W477" s="156" t="n">
        <v>0</v>
      </c>
      <c r="X477" s="204">
        <f>INDEX(Matrix!$AA$2:$AA$33, MATCH(G477, Matrix!$AC$2:$AC$33, 0))</f>
        <v/>
      </c>
      <c r="Y477" s="156">
        <f>_xlfn.IFNA(MATCH(E476,'Injury Report'!$C$2:$C$6216,0),0)</f>
        <v/>
      </c>
    </row>
    <row r="478" ht="15.6" customHeight="1" s="152">
      <c r="A478" s="212" t="n">
        <v>476</v>
      </c>
      <c r="B478" s="167">
        <f>F478&amp;G478</f>
        <v/>
      </c>
      <c r="C478" s="156">
        <f>(K478/MAX(K:K)*$K$1)+(O478/MAX(O:O)*$O$1)+(M478/MAX(M:M)*$M$1)+(N478/MAX(N:N)*$N$1)+(V478/MAX(V:V)*$V$1)+(P478/MAX(P:P)*$P$1)</f>
        <v/>
      </c>
      <c r="E478" s="156">
        <f>IFERROR(VLOOKUP(F478,AllPlayers!F:F,1,0),"------------")</f>
        <v/>
      </c>
      <c r="F478" s="156" t="inlineStr">
        <is>
          <t>Erik Ezukanma</t>
        </is>
      </c>
      <c r="G478" s="167">
        <f>VLOOKUP(F478,AllPlayers!Q:R,2,0)</f>
        <v/>
      </c>
      <c r="H478" s="156" t="inlineStr">
        <is>
          <t>TE</t>
        </is>
      </c>
      <c r="I478" s="156" t="n">
        <v>17</v>
      </c>
      <c r="J478" s="156" t="n">
        <v>0</v>
      </c>
      <c r="K478" s="156" t="n">
        <v>0</v>
      </c>
      <c r="L478" s="156">
        <f>IF(J478=0,0,K478/J478)</f>
        <v/>
      </c>
      <c r="M478" s="156">
        <f>K478/17</f>
        <v/>
      </c>
      <c r="N478" s="156" t="n">
        <v>0</v>
      </c>
      <c r="O478" s="156" t="n">
        <v>2</v>
      </c>
      <c r="P478" s="281">
        <f>IF(K478=0,0,K478/O478)</f>
        <v/>
      </c>
      <c r="Q478" s="156" t="n">
        <v>0</v>
      </c>
      <c r="R478" s="156" t="n">
        <v>0</v>
      </c>
      <c r="S478" s="156" t="n">
        <v>0</v>
      </c>
      <c r="T478" s="156" t="n">
        <v>0</v>
      </c>
      <c r="U478" s="156" t="n">
        <v>0</v>
      </c>
      <c r="V478" s="156" t="n">
        <v>0</v>
      </c>
      <c r="W478" s="156" t="n">
        <v>0</v>
      </c>
      <c r="X478" s="204">
        <f>INDEX(Matrix!$AA$2:$AA$33, MATCH(G478, Matrix!$AC$2:$AC$33, 0))</f>
        <v/>
      </c>
      <c r="Y478" s="156">
        <f>_xlfn.IFNA(MATCH(E477,'Injury Report'!$C$2:$C$6216,0),0)</f>
        <v/>
      </c>
    </row>
    <row r="479" ht="15.6" customHeight="1" s="152">
      <c r="A479" s="212" t="n">
        <v>477</v>
      </c>
      <c r="B479" s="167">
        <f>F479&amp;G479</f>
        <v/>
      </c>
      <c r="C479" s="156">
        <f>(K479/MAX(K:K)*$K$1)+(O479/MAX(O:O)*$O$1)+(M479/MAX(M:M)*$M$1)+(N479/MAX(N:N)*$N$1)+(V479/MAX(V:V)*$V$1)+(P479/MAX(P:P)*$P$1)</f>
        <v/>
      </c>
      <c r="E479" s="156">
        <f>IFERROR(VLOOKUP(F479,AllPlayers!F:F,1,0),"------------")</f>
        <v/>
      </c>
      <c r="F479" s="156" t="inlineStr">
        <is>
          <t>Terrell Jennings</t>
        </is>
      </c>
      <c r="G479" s="167">
        <f>VLOOKUP(F479,AllPlayers!Q:R,2,0)</f>
        <v/>
      </c>
      <c r="H479" s="156" t="inlineStr">
        <is>
          <t>TE</t>
        </is>
      </c>
      <c r="I479" s="156" t="n">
        <v>17</v>
      </c>
      <c r="J479" s="156" t="n">
        <v>0</v>
      </c>
      <c r="K479" s="156" t="n">
        <v>0</v>
      </c>
      <c r="L479" s="156">
        <f>IF(J479=0,0,K479/J479)</f>
        <v/>
      </c>
      <c r="M479" s="156">
        <f>K479/17</f>
        <v/>
      </c>
      <c r="N479" s="156" t="n">
        <v>0</v>
      </c>
      <c r="O479" s="156" t="n">
        <v>1</v>
      </c>
      <c r="P479" s="281">
        <f>IF(K479=0,0,K479/O479)</f>
        <v/>
      </c>
      <c r="Q479" s="156" t="n">
        <v>0</v>
      </c>
      <c r="R479" s="156" t="n">
        <v>0</v>
      </c>
      <c r="S479" s="156" t="n">
        <v>0</v>
      </c>
      <c r="T479" s="156" t="n">
        <v>0</v>
      </c>
      <c r="U479" s="156" t="n">
        <v>0</v>
      </c>
      <c r="V479" s="156" t="n">
        <v>0</v>
      </c>
      <c r="W479" s="156" t="n">
        <v>0</v>
      </c>
      <c r="X479" s="204">
        <f>INDEX(Matrix!$AA$2:$AA$33, MATCH(G479, Matrix!$AC$2:$AC$33, 0))</f>
        <v/>
      </c>
      <c r="Y479" s="156">
        <f>_xlfn.IFNA(MATCH(E478,'Injury Report'!$C$2:$C$6216,0),0)</f>
        <v/>
      </c>
    </row>
    <row r="480" ht="15.6" customHeight="1" s="152">
      <c r="A480" s="212" t="n">
        <v>478</v>
      </c>
      <c r="B480" s="167">
        <f>F480&amp;G480</f>
        <v/>
      </c>
      <c r="C480" s="156">
        <f>(K480/MAX(K:K)*$K$1)+(O480/MAX(O:O)*$O$1)+(M480/MAX(M:M)*$M$1)+(N480/MAX(N:N)*$N$1)+(V480/MAX(V:V)*$V$1)+(P480/MAX(P:P)*$P$1)</f>
        <v/>
      </c>
      <c r="E480" s="156">
        <f>IFERROR(VLOOKUP(F480,AllPlayers!F:F,1,0),"------------")</f>
        <v/>
      </c>
      <c r="F480" s="156" t="inlineStr">
        <is>
          <t>Adam Prentice</t>
        </is>
      </c>
      <c r="G480" s="167">
        <f>VLOOKUP(F480,AllPlayers!Q:R,2,0)</f>
        <v/>
      </c>
      <c r="H480" s="156" t="inlineStr">
        <is>
          <t>TE</t>
        </is>
      </c>
      <c r="I480" s="156" t="n">
        <v>1</v>
      </c>
      <c r="J480" s="156" t="n">
        <v>1</v>
      </c>
      <c r="K480" s="156" t="n">
        <v>4</v>
      </c>
      <c r="L480" s="156">
        <f>IF(J480=0,0,K480/J480)</f>
        <v/>
      </c>
      <c r="M480" s="156">
        <f>K480/17</f>
        <v/>
      </c>
      <c r="N480" s="156" t="n">
        <v>0</v>
      </c>
      <c r="O480" s="156" t="n">
        <v>1</v>
      </c>
      <c r="P480" s="281">
        <f>IF(K480=0,0,K480/O480)</f>
        <v/>
      </c>
      <c r="Q480" s="156" t="n">
        <v>0</v>
      </c>
      <c r="R480" s="156" t="n">
        <v>0</v>
      </c>
      <c r="S480" s="156" t="n">
        <v>0</v>
      </c>
      <c r="T480" s="156" t="n">
        <v>0</v>
      </c>
      <c r="U480" s="156" t="n">
        <v>0</v>
      </c>
      <c r="V480" s="156" t="n">
        <v>0</v>
      </c>
      <c r="W480" s="156" t="n">
        <v>0</v>
      </c>
      <c r="X480" s="204">
        <f>INDEX(Matrix!$AA$2:$AA$33, MATCH(G480, Matrix!$AC$2:$AC$33, 0))</f>
        <v/>
      </c>
      <c r="Y480" s="156">
        <f>_xlfn.IFNA(MATCH(E479,'Injury Report'!$C$2:$C$6216,0),0)</f>
        <v/>
      </c>
    </row>
    <row r="481" ht="15.6" customHeight="1" s="152">
      <c r="A481" s="212" t="n">
        <v>479</v>
      </c>
      <c r="B481" s="167">
        <f>F481&amp;G481</f>
        <v/>
      </c>
      <c r="C481" s="156">
        <f>(K481/MAX(K:K)*$K$1)+(O481/MAX(O:O)*$O$1)+(M481/MAX(M:M)*$M$1)+(N481/MAX(N:N)*$N$1)+(V481/MAX(V:V)*$V$1)+(P481/MAX(P:P)*$P$1)</f>
        <v/>
      </c>
      <c r="E481" s="156">
        <f>IFERROR(VLOOKUP(F481,AllPlayers!F:F,1,0),"------------")</f>
        <v/>
      </c>
      <c r="F481" s="156" t="inlineStr">
        <is>
          <t>Kadarius Toney</t>
        </is>
      </c>
      <c r="G481" s="167">
        <f>VLOOKUP(F481,AllPlayers!Q:R,2,0)</f>
        <v/>
      </c>
      <c r="H481" s="156" t="inlineStr">
        <is>
          <t>TE</t>
        </is>
      </c>
      <c r="I481" s="156" t="n">
        <v>17</v>
      </c>
      <c r="J481" s="156" t="n">
        <v>0</v>
      </c>
      <c r="K481" s="156" t="n">
        <v>0</v>
      </c>
      <c r="L481" s="156">
        <f>IF(J481=0,0,K481/J481)</f>
        <v/>
      </c>
      <c r="M481" s="156">
        <f>K481/17</f>
        <v/>
      </c>
      <c r="N481" s="156" t="n">
        <v>0</v>
      </c>
      <c r="O481" s="156" t="n">
        <v>1</v>
      </c>
      <c r="P481" s="281">
        <f>IF(K481=0,0,K481/O481)</f>
        <v/>
      </c>
      <c r="Q481" s="156" t="n">
        <v>0</v>
      </c>
      <c r="R481" s="156" t="n">
        <v>0</v>
      </c>
      <c r="S481" s="156" t="n">
        <v>0</v>
      </c>
      <c r="T481" s="156" t="n">
        <v>0</v>
      </c>
      <c r="U481" s="156" t="n">
        <v>0</v>
      </c>
      <c r="V481" s="156" t="n">
        <v>0</v>
      </c>
      <c r="W481" s="156" t="n">
        <v>0</v>
      </c>
      <c r="X481" s="204">
        <f>INDEX(Matrix!$AA$2:$AA$33, MATCH(G481, Matrix!$AC$2:$AC$33, 0))</f>
        <v/>
      </c>
      <c r="Y481" s="156">
        <f>_xlfn.IFNA(MATCH(E480,'Injury Report'!$C$2:$C$6216,0),0)</f>
        <v/>
      </c>
    </row>
    <row r="482" ht="15.6" customHeight="1" s="152">
      <c r="A482" s="212" t="n">
        <v>480</v>
      </c>
      <c r="B482" s="167">
        <f>F482&amp;G482</f>
        <v/>
      </c>
      <c r="C482" s="156">
        <f>(K482/MAX(K:K)*$K$1)+(O482/MAX(O:O)*$O$1)+(M482/MAX(M:M)*$M$1)+(N482/MAX(N:N)*$N$1)+(V482/MAX(V:V)*$V$1)+(P482/MAX(P:P)*$P$1)</f>
        <v/>
      </c>
      <c r="E482" s="156">
        <f>IFERROR(VLOOKUP(F482,AllPlayers!F:F,1,0),"------------")</f>
        <v/>
      </c>
      <c r="F482" s="156" t="inlineStr">
        <is>
          <t>Andrew Beck</t>
        </is>
      </c>
      <c r="G482" s="167">
        <f>VLOOKUP(F482,AllPlayers!Q:R,2,0)</f>
        <v/>
      </c>
      <c r="H482" s="156" t="inlineStr">
        <is>
          <t>TE</t>
        </is>
      </c>
      <c r="I482" s="156" t="n">
        <v>17</v>
      </c>
      <c r="J482" s="156" t="n">
        <v>0</v>
      </c>
      <c r="K482" s="156" t="n">
        <v>0</v>
      </c>
      <c r="L482" s="156">
        <f>IF(J482=0,0,K482/J482)</f>
        <v/>
      </c>
      <c r="M482" s="156">
        <f>K482/17</f>
        <v/>
      </c>
      <c r="N482" s="156" t="n">
        <v>0</v>
      </c>
      <c r="O482" s="156" t="n">
        <v>1</v>
      </c>
      <c r="P482" s="281">
        <f>IF(K482=0,0,K482/O482)</f>
        <v/>
      </c>
      <c r="Q482" s="156" t="n">
        <v>0</v>
      </c>
      <c r="R482" s="156" t="n">
        <v>0</v>
      </c>
      <c r="S482" s="156" t="n">
        <v>0</v>
      </c>
      <c r="T482" s="156" t="n">
        <v>0</v>
      </c>
      <c r="U482" s="156" t="n">
        <v>0</v>
      </c>
      <c r="V482" s="156" t="n">
        <v>0</v>
      </c>
      <c r="W482" s="156" t="n">
        <v>0</v>
      </c>
      <c r="X482" s="204">
        <f>INDEX(Matrix!$AA$2:$AA$33, MATCH(G482, Matrix!$AC$2:$AC$33, 0))</f>
        <v/>
      </c>
      <c r="Y482" s="156">
        <f>_xlfn.IFNA(MATCH(E481,'Injury Report'!$C$2:$C$6216,0),0)</f>
        <v/>
      </c>
    </row>
    <row r="483" ht="15.6" customHeight="1" s="152">
      <c r="A483" s="212" t="n">
        <v>481</v>
      </c>
      <c r="B483" s="167">
        <f>F483&amp;G483</f>
        <v/>
      </c>
      <c r="C483" s="156">
        <f>(K483/MAX(K:K)*$K$1)+(O483/MAX(O:O)*$O$1)+(M483/MAX(M:M)*$M$1)+(N483/MAX(N:N)*$N$1)+(V483/MAX(V:V)*$V$1)+(P483/MAX(P:P)*$P$1)</f>
        <v/>
      </c>
      <c r="E483" s="156">
        <f>IFERROR(VLOOKUP(F483,AllPlayers!F:F,1,0),"------------")</f>
        <v/>
      </c>
      <c r="F483" s="156" t="inlineStr">
        <is>
          <t>J.J. Taylor</t>
        </is>
      </c>
      <c r="G483" s="167">
        <f>VLOOKUP(F483,AllPlayers!Q:R,2,0)</f>
        <v/>
      </c>
      <c r="H483" s="156" t="inlineStr">
        <is>
          <t>TE</t>
        </is>
      </c>
      <c r="I483" s="156" t="n">
        <v>17</v>
      </c>
      <c r="J483" s="156" t="n">
        <v>2</v>
      </c>
      <c r="K483" s="156" t="n">
        <v>0</v>
      </c>
      <c r="L483" s="156">
        <f>IF(J483=0,0,K483/J483)</f>
        <v/>
      </c>
      <c r="M483" s="156">
        <f>K483/17</f>
        <v/>
      </c>
      <c r="N483" s="156" t="n">
        <v>0</v>
      </c>
      <c r="O483" s="156" t="n">
        <v>3</v>
      </c>
      <c r="P483" s="281">
        <f>IF(K483=0,0,K483/O483)</f>
        <v/>
      </c>
      <c r="Q483" s="156" t="n">
        <v>0</v>
      </c>
      <c r="R483" s="156" t="n">
        <v>0</v>
      </c>
      <c r="S483" s="156" t="n">
        <v>0</v>
      </c>
      <c r="T483" s="156" t="n">
        <v>0</v>
      </c>
      <c r="U483" s="156" t="n">
        <v>0</v>
      </c>
      <c r="V483" s="156" t="n">
        <v>0</v>
      </c>
      <c r="W483" s="156" t="n">
        <v>0</v>
      </c>
      <c r="X483" s="204">
        <f>INDEX(Matrix!$AA$2:$AA$33, MATCH(G483, Matrix!$AC$2:$AC$33, 0))</f>
        <v/>
      </c>
      <c r="Y483" s="156">
        <f>_xlfn.IFNA(MATCH(E482,'Injury Report'!$C$2:$C$6216,0),0)</f>
        <v/>
      </c>
    </row>
    <row r="484" ht="15.6" customHeight="1" s="152">
      <c r="A484" s="212" t="n">
        <v>482</v>
      </c>
      <c r="B484" s="167">
        <f>F484&amp;G484</f>
        <v/>
      </c>
      <c r="C484" s="156">
        <f>(K484/MAX(K:K)*$K$1)+(O484/MAX(O:O)*$O$1)+(M484/MAX(M:M)*$M$1)+(N484/MAX(N:N)*$N$1)+(V484/MAX(V:V)*$V$1)+(P484/MAX(P:P)*$P$1)</f>
        <v/>
      </c>
      <c r="E484" s="156">
        <f>IFERROR(VLOOKUP(F484,AllPlayers!F:F,1,0),"------------")</f>
        <v/>
      </c>
      <c r="F484" s="156" t="inlineStr">
        <is>
          <t>Sam Franklin</t>
        </is>
      </c>
      <c r="G484" s="167">
        <f>VLOOKUP(F484,AllPlayers!Q:R,2,0)</f>
        <v/>
      </c>
      <c r="H484" s="156" t="inlineStr">
        <is>
          <t>TE</t>
        </is>
      </c>
      <c r="I484" s="156" t="n">
        <v>17</v>
      </c>
      <c r="J484" s="156" t="n">
        <v>0</v>
      </c>
      <c r="K484" s="156" t="n">
        <v>0</v>
      </c>
      <c r="L484" s="156">
        <f>IF(J484=0,0,K484/J484)</f>
        <v/>
      </c>
      <c r="M484" s="156">
        <f>K484/17</f>
        <v/>
      </c>
      <c r="N484" s="156" t="n">
        <v>0</v>
      </c>
      <c r="O484" s="156" t="n">
        <v>1</v>
      </c>
      <c r="P484" s="281">
        <f>IF(K484=0,0,K484/O484)</f>
        <v/>
      </c>
      <c r="Q484" s="156" t="n">
        <v>0</v>
      </c>
      <c r="R484" s="156" t="n">
        <v>0</v>
      </c>
      <c r="S484" s="156" t="n">
        <v>0</v>
      </c>
      <c r="T484" s="156" t="n">
        <v>0</v>
      </c>
      <c r="U484" s="156" t="n">
        <v>0</v>
      </c>
      <c r="V484" s="156" t="n">
        <v>0</v>
      </c>
      <c r="W484" s="156" t="n">
        <v>0</v>
      </c>
      <c r="X484" s="204">
        <f>INDEX(Matrix!$AA$2:$AA$33, MATCH(G484, Matrix!$AC$2:$AC$33, 0))</f>
        <v/>
      </c>
      <c r="Y484" s="156">
        <f>_xlfn.IFNA(MATCH(E483,'Injury Report'!$C$2:$C$6216,0),0)</f>
        <v/>
      </c>
    </row>
    <row r="485" ht="15.6" customHeight="1" s="152">
      <c r="A485" s="212" t="n">
        <v>483</v>
      </c>
      <c r="B485" s="167">
        <f>F485&amp;G485</f>
        <v/>
      </c>
      <c r="C485" s="156">
        <f>(K485/MAX(K:K)*$K$1)+(O485/MAX(O:O)*$O$1)+(M485/MAX(M:M)*$M$1)+(N485/MAX(N:N)*$N$1)+(V485/MAX(V:V)*$V$1)+(P485/MAX(P:P)*$P$1)</f>
        <v/>
      </c>
      <c r="E485" s="156">
        <f>IFERROR(VLOOKUP(F485,AllPlayers!F:F,1,0),"------------")</f>
        <v/>
      </c>
      <c r="F485" s="156" t="inlineStr">
        <is>
          <t>Kameron Johnson</t>
        </is>
      </c>
      <c r="G485" s="167">
        <f>VLOOKUP(F485,AllPlayers!Q:R,2,0)</f>
        <v/>
      </c>
      <c r="H485" s="156" t="inlineStr">
        <is>
          <t>TE</t>
        </is>
      </c>
      <c r="I485" s="156" t="n">
        <v>2</v>
      </c>
      <c r="J485" s="156" t="n">
        <v>0</v>
      </c>
      <c r="K485" s="156" t="n">
        <v>0</v>
      </c>
      <c r="L485" s="156">
        <f>IF(J485=0,0,K485/J485)</f>
        <v/>
      </c>
      <c r="M485" s="156">
        <f>K485/17</f>
        <v/>
      </c>
      <c r="N485" s="156" t="n">
        <v>0</v>
      </c>
      <c r="O485" s="156" t="n">
        <v>0</v>
      </c>
      <c r="P485" s="281">
        <f>IF(K485=0,0,K485/O485)</f>
        <v/>
      </c>
      <c r="Q485" s="156" t="n">
        <v>0</v>
      </c>
      <c r="R485" s="156" t="n">
        <v>0</v>
      </c>
      <c r="S485" s="156" t="n">
        <v>0</v>
      </c>
      <c r="T485" s="156" t="n">
        <v>0</v>
      </c>
      <c r="U485" s="156" t="n">
        <v>0</v>
      </c>
      <c r="V485" s="156" t="n">
        <v>0</v>
      </c>
      <c r="W485" s="156" t="n">
        <v>0</v>
      </c>
      <c r="X485" s="204">
        <f>INDEX(Matrix!$AA$2:$AA$33, MATCH(G485, Matrix!$AC$2:$AC$33, 0))</f>
        <v/>
      </c>
      <c r="Y485" s="156">
        <f>_xlfn.IFNA(MATCH(E484,'Injury Report'!$C$2:$C$6216,0),0)</f>
        <v/>
      </c>
    </row>
    <row r="486" ht="15.6" customHeight="1" s="152">
      <c r="A486" s="212" t="n">
        <v>484</v>
      </c>
      <c r="B486" s="167">
        <f>F486&amp;G486</f>
        <v/>
      </c>
      <c r="C486" s="156">
        <f>(K486/MAX(K:K)*$K$1)+(O486/MAX(O:O)*$O$1)+(M486/MAX(M:M)*$M$1)+(N486/MAX(N:N)*$N$1)+(V486/MAX(V:V)*$V$1)+(P486/MAX(P:P)*$P$1)</f>
        <v/>
      </c>
      <c r="E486" s="156">
        <f>IFERROR(VLOOKUP(F486,AllPlayers!F:F,1,0),"------------")</f>
        <v/>
      </c>
      <c r="F486" s="156" t="inlineStr">
        <is>
          <t>Braxton Berrios</t>
        </is>
      </c>
      <c r="G486" s="167">
        <f>VLOOKUP(F486,AllPlayers!Q:R,2,0)</f>
        <v/>
      </c>
      <c r="H486" s="156" t="inlineStr">
        <is>
          <t>TE</t>
        </is>
      </c>
      <c r="I486" s="156" t="n">
        <v>17</v>
      </c>
      <c r="J486" s="156" t="n">
        <v>0</v>
      </c>
      <c r="K486" s="156" t="n">
        <v>0</v>
      </c>
      <c r="L486" s="156">
        <f>IF(J486=0,0,K486/J486)</f>
        <v/>
      </c>
      <c r="M486" s="156">
        <f>K486/17</f>
        <v/>
      </c>
      <c r="N486" s="156" t="n">
        <v>0</v>
      </c>
      <c r="O486" s="156" t="n">
        <v>4</v>
      </c>
      <c r="P486" s="281">
        <f>IF(K486=0,0,K486/O486)</f>
        <v/>
      </c>
      <c r="Q486" s="156" t="n">
        <v>0</v>
      </c>
      <c r="R486" s="156" t="n">
        <v>0</v>
      </c>
      <c r="S486" s="156" t="n">
        <v>0</v>
      </c>
      <c r="T486" s="156" t="n">
        <v>0</v>
      </c>
      <c r="U486" s="156" t="n">
        <v>0</v>
      </c>
      <c r="V486" s="156" t="n">
        <v>0</v>
      </c>
      <c r="W486" s="156" t="n">
        <v>0</v>
      </c>
      <c r="X486" s="204">
        <f>INDEX(Matrix!$AA$2:$AA$33, MATCH(G486, Matrix!$AC$2:$AC$33, 0))</f>
        <v/>
      </c>
      <c r="Y486" s="156">
        <f>_xlfn.IFNA(MATCH(E485,'Injury Report'!$C$2:$C$6216,0),0)</f>
        <v/>
      </c>
    </row>
    <row r="487" ht="15.6" customHeight="1" s="152">
      <c r="A487" s="212" t="n">
        <v>485</v>
      </c>
      <c r="B487" s="167">
        <f>F487&amp;G487</f>
        <v/>
      </c>
      <c r="C487" s="156">
        <f>(K487/MAX(K:K)*$K$1)+(O487/MAX(O:O)*$O$1)+(M487/MAX(M:M)*$M$1)+(N487/MAX(N:N)*$N$1)+(V487/MAX(V:V)*$V$1)+(P487/MAX(P:P)*$P$1)</f>
        <v/>
      </c>
      <c r="E487" s="156">
        <f>IFERROR(VLOOKUP(F487,AllPlayers!F:F,1,0),"------------")</f>
        <v/>
      </c>
      <c r="F487" s="156" t="inlineStr">
        <is>
          <t>Skyy Moore</t>
        </is>
      </c>
      <c r="G487" s="167">
        <f>VLOOKUP(F487,AllPlayers!Q:R,2,0)</f>
        <v/>
      </c>
      <c r="H487" s="156" t="inlineStr">
        <is>
          <t>TE</t>
        </is>
      </c>
      <c r="I487" s="156" t="n">
        <v>2</v>
      </c>
      <c r="J487" s="156" t="n">
        <v>0</v>
      </c>
      <c r="K487" s="156" t="n">
        <v>0</v>
      </c>
      <c r="L487" s="156">
        <f>IF(J487=0,0,K487/J487)</f>
        <v/>
      </c>
      <c r="M487" s="156">
        <f>K487/17</f>
        <v/>
      </c>
      <c r="N487" s="156" t="n">
        <v>0</v>
      </c>
      <c r="O487" s="156" t="n">
        <v>0</v>
      </c>
      <c r="P487" s="281">
        <f>IF(K487=0,0,K487/O487)</f>
        <v/>
      </c>
      <c r="Q487" s="156" t="n">
        <v>0</v>
      </c>
      <c r="R487" s="156" t="n">
        <v>0</v>
      </c>
      <c r="S487" s="156" t="n">
        <v>0</v>
      </c>
      <c r="T487" s="156" t="n">
        <v>0</v>
      </c>
      <c r="U487" s="156" t="n">
        <v>0</v>
      </c>
      <c r="V487" s="156" t="n">
        <v>0</v>
      </c>
      <c r="W487" s="156" t="n">
        <v>0</v>
      </c>
      <c r="X487" s="204">
        <f>INDEX(Matrix!$AA$2:$AA$33, MATCH(G487, Matrix!$AC$2:$AC$33, 0))</f>
        <v/>
      </c>
      <c r="Y487" s="156">
        <f>_xlfn.IFNA(MATCH(E486,'Injury Report'!$C$2:$C$6216,0),0)</f>
        <v/>
      </c>
    </row>
    <row r="488" ht="15.6" customHeight="1" s="152">
      <c r="A488" s="212" t="n">
        <v>486</v>
      </c>
      <c r="B488" s="167">
        <f>F488&amp;G488</f>
        <v/>
      </c>
      <c r="C488" s="156">
        <f>(K488/MAX(K:K)*$K$1)+(O488/MAX(O:O)*$O$1)+(M488/MAX(M:M)*$M$1)+(N488/MAX(N:N)*$N$1)+(V488/MAX(V:V)*$V$1)+(P488/MAX(P:P)*$P$1)</f>
        <v/>
      </c>
      <c r="E488" s="156">
        <f>IFERROR(VLOOKUP(F488,AllPlayers!F:F,1,0),"------------")</f>
        <v/>
      </c>
      <c r="F488" s="156" t="inlineStr">
        <is>
          <t>Taylor Decker</t>
        </is>
      </c>
      <c r="G488" s="167">
        <f>VLOOKUP(F488,AllPlayers!Q:R,2,0)</f>
        <v/>
      </c>
      <c r="H488" s="156" t="inlineStr">
        <is>
          <t>TE</t>
        </is>
      </c>
      <c r="I488" s="156" t="n">
        <v>17</v>
      </c>
      <c r="J488" s="156" t="n">
        <v>0</v>
      </c>
      <c r="K488" s="156" t="n">
        <v>0</v>
      </c>
      <c r="L488" s="156">
        <f>IF(J488=0,0,K488/J488)</f>
        <v/>
      </c>
      <c r="M488" s="156">
        <f>K488/17</f>
        <v/>
      </c>
      <c r="N488" s="156" t="n">
        <v>0</v>
      </c>
      <c r="O488" s="156" t="n">
        <v>1</v>
      </c>
      <c r="P488" s="281">
        <f>IF(K488=0,0,K488/O488)</f>
        <v/>
      </c>
      <c r="Q488" s="156" t="n">
        <v>0</v>
      </c>
      <c r="R488" s="156" t="n">
        <v>0</v>
      </c>
      <c r="S488" s="156" t="n">
        <v>0</v>
      </c>
      <c r="T488" s="156" t="n">
        <v>0</v>
      </c>
      <c r="U488" s="156" t="n">
        <v>0</v>
      </c>
      <c r="V488" s="156" t="n">
        <v>0</v>
      </c>
      <c r="W488" s="156" t="n">
        <v>0</v>
      </c>
      <c r="X488" s="204">
        <f>INDEX(Matrix!$AA$2:$AA$33, MATCH(G488, Matrix!$AC$2:$AC$33, 0))</f>
        <v/>
      </c>
      <c r="Y488" s="156">
        <f>_xlfn.IFNA(MATCH(E487,'Injury Report'!$C$2:$C$6216,0),0)</f>
        <v/>
      </c>
    </row>
    <row r="489" ht="15.6" customHeight="1" s="152">
      <c r="A489" s="212" t="n">
        <v>487</v>
      </c>
      <c r="B489" s="167">
        <f>F489&amp;G489</f>
        <v/>
      </c>
      <c r="C489" s="156">
        <f>(K489/MAX(K:K)*$K$1)+(O489/MAX(O:O)*$O$1)+(M489/MAX(M:M)*$M$1)+(N489/MAX(N:N)*$N$1)+(V489/MAX(V:V)*$V$1)+(P489/MAX(P:P)*$P$1)</f>
        <v/>
      </c>
      <c r="E489" s="156">
        <f>IFERROR(VLOOKUP(F489,AllPlayers!F:F,1,0),"------------")</f>
        <v/>
      </c>
      <c r="F489" s="156" t="inlineStr">
        <is>
          <t>Tom Kennedy</t>
        </is>
      </c>
      <c r="G489" s="167">
        <f>VLOOKUP(F489,AllPlayers!Q:R,2,0)</f>
        <v/>
      </c>
      <c r="H489" s="156" t="inlineStr">
        <is>
          <t>TE</t>
        </is>
      </c>
      <c r="I489" s="156" t="n">
        <v>17</v>
      </c>
      <c r="J489" s="156" t="n">
        <v>0</v>
      </c>
      <c r="K489" s="156" t="n">
        <v>0</v>
      </c>
      <c r="L489" s="156">
        <f>IF(J489=0,0,K489/J489)</f>
        <v/>
      </c>
      <c r="M489" s="156">
        <f>K489/17</f>
        <v/>
      </c>
      <c r="N489" s="156" t="n">
        <v>0</v>
      </c>
      <c r="O489" s="156" t="n">
        <v>1</v>
      </c>
      <c r="P489" s="281">
        <f>IF(K489=0,0,K489/O489)</f>
        <v/>
      </c>
      <c r="Q489" s="156" t="n">
        <v>0</v>
      </c>
      <c r="R489" s="156" t="n">
        <v>0</v>
      </c>
      <c r="S489" s="156" t="n">
        <v>0</v>
      </c>
      <c r="T489" s="156" t="n">
        <v>0</v>
      </c>
      <c r="U489" s="156" t="n">
        <v>0</v>
      </c>
      <c r="V489" s="156" t="n">
        <v>0</v>
      </c>
      <c r="W489" s="156" t="n">
        <v>0</v>
      </c>
      <c r="X489" s="204">
        <f>INDEX(Matrix!$AA$2:$AA$33, MATCH(G489, Matrix!$AC$2:$AC$33, 0))</f>
        <v/>
      </c>
      <c r="Y489" s="156">
        <f>_xlfn.IFNA(MATCH(E488,'Injury Report'!$C$2:$C$6216,0),0)</f>
        <v/>
      </c>
    </row>
    <row r="490" ht="15.6" customHeight="1" s="152">
      <c r="A490" s="212" t="n">
        <v>488</v>
      </c>
      <c r="B490" s="167">
        <f>F490&amp;G490</f>
        <v/>
      </c>
      <c r="C490" s="156">
        <f>(K490/MAX(K:K)*$K$1)+(O490/MAX(O:O)*$O$1)+(M490/MAX(M:M)*$M$1)+(N490/MAX(N:N)*$N$1)+(V490/MAX(V:V)*$V$1)+(P490/MAX(P:P)*$P$1)</f>
        <v/>
      </c>
      <c r="E490" s="156">
        <f>IFERROR(VLOOKUP(F490,AllPlayers!F:F,1,0),"------------")</f>
        <v/>
      </c>
      <c r="F490" s="156" t="inlineStr">
        <is>
          <t>Xavier Weaver</t>
        </is>
      </c>
      <c r="G490" s="167">
        <f>VLOOKUP(F490,AllPlayers!Q:R,2,0)</f>
        <v/>
      </c>
      <c r="H490" s="156" t="inlineStr">
        <is>
          <t>TE</t>
        </is>
      </c>
      <c r="I490" s="156" t="n">
        <v>17</v>
      </c>
      <c r="J490" s="156" t="n">
        <v>0</v>
      </c>
      <c r="K490" s="156" t="n">
        <v>0</v>
      </c>
      <c r="L490" s="156">
        <f>IF(J490=0,0,K490/J490)</f>
        <v/>
      </c>
      <c r="M490" s="156">
        <f>K490/17</f>
        <v/>
      </c>
      <c r="N490" s="156" t="n">
        <v>0</v>
      </c>
      <c r="O490" s="156" t="n">
        <v>2</v>
      </c>
      <c r="P490" s="281">
        <f>IF(K490=0,0,K490/O490)</f>
        <v/>
      </c>
      <c r="Q490" s="156" t="n">
        <v>0</v>
      </c>
      <c r="R490" s="156" t="n">
        <v>0</v>
      </c>
      <c r="S490" s="156" t="n">
        <v>0</v>
      </c>
      <c r="T490" s="156" t="n">
        <v>0</v>
      </c>
      <c r="U490" s="156" t="n">
        <v>0</v>
      </c>
      <c r="V490" s="156" t="n">
        <v>0</v>
      </c>
      <c r="W490" s="156" t="n">
        <v>0</v>
      </c>
      <c r="X490" s="204">
        <f>INDEX(Matrix!$AA$2:$AA$33, MATCH(G490, Matrix!$AC$2:$AC$33, 0))</f>
        <v/>
      </c>
      <c r="Y490" s="156">
        <f>_xlfn.IFNA(MATCH(E489,'Injury Report'!$C$2:$C$6216,0),0)</f>
        <v/>
      </c>
    </row>
    <row r="491" ht="15.6" customHeight="1" s="152">
      <c r="A491" s="212" t="n">
        <v>489</v>
      </c>
      <c r="B491" s="167">
        <f>F491&amp;G491</f>
        <v/>
      </c>
      <c r="C491" s="156">
        <f>(K491/MAX(K:K)*$K$1)+(O491/MAX(O:O)*$O$1)+(M491/MAX(M:M)*$M$1)+(N491/MAX(N:N)*$N$1)+(V491/MAX(V:V)*$V$1)+(P491/MAX(P:P)*$P$1)</f>
        <v/>
      </c>
      <c r="E491" s="156">
        <f>IFERROR(VLOOKUP(F491,AllPlayers!F:F,1,0),"------------")</f>
        <v/>
      </c>
      <c r="F491" s="156" t="inlineStr">
        <is>
          <t>Rasheen Ali</t>
        </is>
      </c>
      <c r="G491" s="167">
        <f>VLOOKUP(F491,AllPlayers!Q:R,2,0)</f>
        <v/>
      </c>
      <c r="H491" s="156" t="inlineStr">
        <is>
          <t>TE</t>
        </is>
      </c>
      <c r="I491" s="156" t="n">
        <v>2</v>
      </c>
      <c r="J491" s="156" t="n">
        <v>0</v>
      </c>
      <c r="K491" s="156" t="n">
        <v>0</v>
      </c>
      <c r="L491" s="156">
        <f>IF(J491=0,0,K491/J491)</f>
        <v/>
      </c>
      <c r="M491" s="156">
        <f>K491/17</f>
        <v/>
      </c>
      <c r="N491" s="156" t="n">
        <v>0</v>
      </c>
      <c r="O491" s="156" t="n">
        <v>0</v>
      </c>
      <c r="P491" s="281">
        <f>IF(K491=0,0,K491/O491)</f>
        <v/>
      </c>
      <c r="Q491" s="156" t="n">
        <v>0</v>
      </c>
      <c r="R491" s="156" t="n">
        <v>0</v>
      </c>
      <c r="S491" s="156" t="n">
        <v>0</v>
      </c>
      <c r="T491" s="156" t="n">
        <v>0</v>
      </c>
      <c r="U491" s="156" t="n">
        <v>0</v>
      </c>
      <c r="V491" s="156" t="n">
        <v>0</v>
      </c>
      <c r="W491" s="156" t="n">
        <v>0</v>
      </c>
      <c r="X491" s="204">
        <f>INDEX(Matrix!$AA$2:$AA$33, MATCH(G491, Matrix!$AC$2:$AC$33, 0))</f>
        <v/>
      </c>
      <c r="Y491" s="156">
        <f>_xlfn.IFNA(MATCH(E490,'Injury Report'!$C$2:$C$6216,0),0)</f>
        <v/>
      </c>
    </row>
    <row r="492" ht="15.6" customHeight="1" s="152">
      <c r="A492" s="212" t="n">
        <v>490</v>
      </c>
      <c r="B492" s="167">
        <f>F492&amp;G492</f>
        <v/>
      </c>
      <c r="C492" s="156">
        <f>(K492/MAX(K:K)*$K$1)+(O492/MAX(O:O)*$O$1)+(M492/MAX(M:M)*$M$1)+(N492/MAX(N:N)*$N$1)+(V492/MAX(V:V)*$V$1)+(P492/MAX(P:P)*$P$1)</f>
        <v/>
      </c>
      <c r="E492" s="156">
        <f>IFERROR(VLOOKUP(F492,AllPlayers!F:F,1,0),"------------")</f>
        <v/>
      </c>
      <c r="F492" s="156" t="inlineStr">
        <is>
          <t>Jordan Matthews</t>
        </is>
      </c>
      <c r="G492" s="167">
        <f>VLOOKUP(F492,AllPlayers!Q:R,2,0)</f>
        <v/>
      </c>
      <c r="H492" s="156" t="inlineStr">
        <is>
          <t>TE</t>
        </is>
      </c>
      <c r="I492" s="156" t="n">
        <v>17</v>
      </c>
      <c r="J492" s="156" t="n">
        <v>0</v>
      </c>
      <c r="K492" s="156" t="n">
        <v>0</v>
      </c>
      <c r="L492" s="156">
        <f>IF(J492=0,0,K492/J492)</f>
        <v/>
      </c>
      <c r="M492" s="156">
        <f>K492/17</f>
        <v/>
      </c>
      <c r="N492" s="156" t="n">
        <v>0</v>
      </c>
      <c r="O492" s="156" t="n">
        <v>1</v>
      </c>
      <c r="P492" s="281">
        <f>IF(K492=0,0,K492/O492)</f>
        <v/>
      </c>
      <c r="Q492" s="156" t="n">
        <v>0</v>
      </c>
      <c r="R492" s="156" t="n">
        <v>0</v>
      </c>
      <c r="S492" s="156" t="n">
        <v>0</v>
      </c>
      <c r="T492" s="156" t="n">
        <v>0</v>
      </c>
      <c r="U492" s="156" t="n">
        <v>0</v>
      </c>
      <c r="V492" s="156" t="n">
        <v>0</v>
      </c>
      <c r="W492" s="156" t="n">
        <v>0</v>
      </c>
      <c r="X492" s="204">
        <f>INDEX(Matrix!$AA$2:$AA$33, MATCH(G492, Matrix!$AC$2:$AC$33, 0))</f>
        <v/>
      </c>
      <c r="Y492" s="156">
        <f>_xlfn.IFNA(MATCH(E491,'Injury Report'!$C$2:$C$6216,0),0)</f>
        <v/>
      </c>
    </row>
    <row r="493" ht="15.6" customHeight="1" s="152">
      <c r="A493" s="212" t="n">
        <v>491</v>
      </c>
      <c r="B493" s="167">
        <f>F493&amp;G493</f>
        <v/>
      </c>
      <c r="C493" s="156">
        <f>(K493/MAX(K:K)*$K$1)+(O493/MAX(O:O)*$O$1)+(M493/MAX(M:M)*$M$1)+(N493/MAX(N:N)*$N$1)+(V493/MAX(V:V)*$V$1)+(P493/MAX(P:P)*$P$1)</f>
        <v/>
      </c>
      <c r="E493" s="156">
        <f>IFERROR(VLOOKUP(F493,AllPlayers!F:F,1,0),"------------")</f>
        <v/>
      </c>
      <c r="F493" s="156" t="inlineStr">
        <is>
          <t>Dareke Young</t>
        </is>
      </c>
      <c r="G493" s="167">
        <f>VLOOKUP(F493,AllPlayers!Q:R,2,0)</f>
        <v/>
      </c>
      <c r="H493" s="156" t="inlineStr">
        <is>
          <t>TE</t>
        </is>
      </c>
      <c r="I493" s="156" t="n">
        <v>1</v>
      </c>
      <c r="J493" s="156" t="n">
        <v>0</v>
      </c>
      <c r="K493" s="156" t="n">
        <v>0</v>
      </c>
      <c r="L493" s="156">
        <f>IF(J493=0,0,K493/J493)</f>
        <v/>
      </c>
      <c r="M493" s="156">
        <f>K493/17</f>
        <v/>
      </c>
      <c r="N493" s="156" t="n">
        <v>0</v>
      </c>
      <c r="O493" s="156" t="n">
        <v>0</v>
      </c>
      <c r="P493" s="281">
        <f>IF(K493=0,0,K493/O493)</f>
        <v/>
      </c>
      <c r="Q493" s="156" t="n">
        <v>0</v>
      </c>
      <c r="R493" s="156" t="n">
        <v>0</v>
      </c>
      <c r="S493" s="156" t="n">
        <v>0</v>
      </c>
      <c r="T493" s="156" t="n">
        <v>0</v>
      </c>
      <c r="U493" s="156" t="n">
        <v>0</v>
      </c>
      <c r="V493" s="156" t="n">
        <v>0</v>
      </c>
      <c r="W493" s="156" t="n">
        <v>0</v>
      </c>
      <c r="X493" s="204">
        <f>INDEX(Matrix!$AA$2:$AA$33, MATCH(G493, Matrix!$AC$2:$AC$33, 0))</f>
        <v/>
      </c>
      <c r="Y493" s="156">
        <f>_xlfn.IFNA(MATCH(E492,'Injury Report'!$C$2:$C$6216,0),0)</f>
        <v/>
      </c>
    </row>
    <row r="494" ht="15.6" customHeight="1" s="152">
      <c r="A494" s="212" t="n">
        <v>492</v>
      </c>
      <c r="B494" s="167">
        <f>F494&amp;G494</f>
        <v/>
      </c>
      <c r="C494" s="156">
        <f>(K494/MAX(K:K)*$K$1)+(O494/MAX(O:O)*$O$1)+(M494/MAX(M:M)*$M$1)+(N494/MAX(N:N)*$N$1)+(V494/MAX(V:V)*$V$1)+(P494/MAX(P:P)*$P$1)</f>
        <v/>
      </c>
      <c r="E494" s="156">
        <f>IFERROR(VLOOKUP(F494,AllPlayers!F:F,1,0),"------------")</f>
        <v/>
      </c>
      <c r="F494" s="156" t="inlineStr">
        <is>
          <t>J.C. Latham</t>
        </is>
      </c>
      <c r="G494" s="167">
        <f>VLOOKUP(F494,AllPlayers!Q:R,2,0)</f>
        <v/>
      </c>
      <c r="H494" s="156" t="inlineStr">
        <is>
          <t>TE</t>
        </is>
      </c>
      <c r="I494" s="156" t="n">
        <v>17</v>
      </c>
      <c r="J494" s="156" t="n">
        <v>1</v>
      </c>
      <c r="K494" s="156" t="n">
        <v>0</v>
      </c>
      <c r="L494" s="156">
        <f>IF(J494=0,0,K494/J494)</f>
        <v/>
      </c>
      <c r="M494" s="156">
        <f>K494/17</f>
        <v/>
      </c>
      <c r="N494" s="156" t="n">
        <v>0</v>
      </c>
      <c r="O494" s="156" t="n">
        <v>1</v>
      </c>
      <c r="P494" s="281">
        <f>IF(K494=0,0,K494/O494)</f>
        <v/>
      </c>
      <c r="Q494" s="156" t="n">
        <v>0</v>
      </c>
      <c r="R494" s="156" t="n">
        <v>0</v>
      </c>
      <c r="S494" s="156" t="n">
        <v>0</v>
      </c>
      <c r="T494" s="156" t="n">
        <v>0</v>
      </c>
      <c r="U494" s="156" t="n">
        <v>0</v>
      </c>
      <c r="V494" s="156" t="n">
        <v>0</v>
      </c>
      <c r="W494" s="156" t="n">
        <v>0</v>
      </c>
      <c r="X494" s="204">
        <f>INDEX(Matrix!$AA$2:$AA$33, MATCH(G494, Matrix!$AC$2:$AC$33, 0))</f>
        <v/>
      </c>
      <c r="Y494" s="156">
        <f>_xlfn.IFNA(MATCH(E493,'Injury Report'!$C$2:$C$6216,0),0)</f>
        <v/>
      </c>
    </row>
    <row r="495" ht="15.6" customHeight="1" s="152">
      <c r="A495" s="212" t="n">
        <v>493</v>
      </c>
      <c r="B495" s="167">
        <f>F495&amp;G495</f>
        <v/>
      </c>
      <c r="C495" s="156">
        <f>(K495/MAX(K:K)*$K$1)+(O495/MAX(O:O)*$O$1)+(M495/MAX(M:M)*$M$1)+(N495/MAX(N:N)*$N$1)+(V495/MAX(V:V)*$V$1)+(P495/MAX(P:P)*$P$1)</f>
        <v/>
      </c>
      <c r="E495" s="156">
        <f>IFERROR(VLOOKUP(F495,AllPlayers!F:F,1,0),"------------")</f>
        <v/>
      </c>
      <c r="F495" s="156" t="inlineStr">
        <is>
          <t>C.J. Goodwin</t>
        </is>
      </c>
      <c r="G495" s="167">
        <f>VLOOKUP(F495,AllPlayers!Q:R,2,0)</f>
        <v/>
      </c>
      <c r="H495" s="156" t="inlineStr">
        <is>
          <t>TE</t>
        </is>
      </c>
      <c r="I495" s="156" t="n">
        <v>17</v>
      </c>
      <c r="J495" s="156" t="n">
        <v>0</v>
      </c>
      <c r="K495" s="156" t="n">
        <v>0</v>
      </c>
      <c r="L495" s="156">
        <f>IF(J495=0,0,K495/J495)</f>
        <v/>
      </c>
      <c r="M495" s="156">
        <f>K495/17</f>
        <v/>
      </c>
      <c r="N495" s="156" t="n">
        <v>0</v>
      </c>
      <c r="O495" s="156" t="n">
        <v>1</v>
      </c>
      <c r="P495" s="281">
        <f>IF(K495=0,0,K495/O495)</f>
        <v/>
      </c>
      <c r="Q495" s="156" t="n">
        <v>0</v>
      </c>
      <c r="R495" s="156" t="n">
        <v>0</v>
      </c>
      <c r="S495" s="156" t="n">
        <v>0</v>
      </c>
      <c r="T495" s="156" t="n">
        <v>0</v>
      </c>
      <c r="U495" s="156" t="n">
        <v>0</v>
      </c>
      <c r="V495" s="156" t="n">
        <v>0</v>
      </c>
      <c r="W495" s="156" t="n">
        <v>0</v>
      </c>
      <c r="X495" s="204">
        <f>INDEX(Matrix!$AA$2:$AA$33, MATCH(G495, Matrix!$AC$2:$AC$33, 0))</f>
        <v/>
      </c>
      <c r="Y495" s="156">
        <f>_xlfn.IFNA(MATCH(E494,'Injury Report'!$C$2:$C$6216,0),0)</f>
        <v/>
      </c>
    </row>
    <row r="496" ht="15.6" customHeight="1" s="152">
      <c r="A496" s="212" t="n">
        <v>494</v>
      </c>
      <c r="B496" s="167">
        <f>F496&amp;G496</f>
        <v/>
      </c>
      <c r="C496" s="156">
        <f>(K496/MAX(K:K)*$K$1)+(O496/MAX(O:O)*$O$1)+(M496/MAX(M:M)*$M$1)+(N496/MAX(N:N)*$N$1)+(V496/MAX(V:V)*$V$1)+(P496/MAX(P:P)*$P$1)</f>
        <v/>
      </c>
      <c r="E496" s="156">
        <f>IFERROR(VLOOKUP(F496,AllPlayers!F:F,1,0),"------------")</f>
        <v/>
      </c>
      <c r="F496" s="156" t="inlineStr">
        <is>
          <t>Tyler Smith</t>
        </is>
      </c>
      <c r="G496" s="167">
        <f>VLOOKUP(F496,AllPlayers!Q:R,2,0)</f>
        <v/>
      </c>
      <c r="H496" s="156" t="inlineStr">
        <is>
          <t>TE</t>
        </is>
      </c>
      <c r="I496" s="156" t="n">
        <v>17</v>
      </c>
      <c r="J496" s="156" t="n">
        <v>1</v>
      </c>
      <c r="K496" s="156" t="n">
        <v>0</v>
      </c>
      <c r="L496" s="156">
        <f>IF(J496=0,0,K496/J496)</f>
        <v/>
      </c>
      <c r="M496" s="156">
        <f>K496/17</f>
        <v/>
      </c>
      <c r="N496" s="156" t="n">
        <v>0</v>
      </c>
      <c r="O496" s="156" t="n">
        <v>1</v>
      </c>
      <c r="P496" s="281">
        <f>IF(K496=0,0,K496/O496)</f>
        <v/>
      </c>
      <c r="Q496" s="156" t="n">
        <v>0</v>
      </c>
      <c r="R496" s="156" t="n">
        <v>0</v>
      </c>
      <c r="S496" s="156" t="n">
        <v>0</v>
      </c>
      <c r="T496" s="156" t="n">
        <v>0</v>
      </c>
      <c r="U496" s="156" t="n">
        <v>0</v>
      </c>
      <c r="V496" s="156" t="n">
        <v>0</v>
      </c>
      <c r="W496" s="156" t="n">
        <v>0</v>
      </c>
      <c r="X496" s="204">
        <f>INDEX(Matrix!$AA$2:$AA$33, MATCH(G496, Matrix!$AC$2:$AC$33, 0))</f>
        <v/>
      </c>
      <c r="Y496" s="156">
        <f>_xlfn.IFNA(MATCH(E495,'Injury Report'!$C$2:$C$6216,0),0)</f>
        <v/>
      </c>
    </row>
    <row r="497" ht="15.6" customHeight="1" s="152">
      <c r="A497" s="212" t="n">
        <v>495</v>
      </c>
      <c r="B497" s="167">
        <f>F497&amp;G497</f>
        <v/>
      </c>
      <c r="C497" s="156">
        <f>(K497/MAX(K:K)*$K$1)+(O497/MAX(O:O)*$O$1)+(M497/MAX(M:M)*$M$1)+(N497/MAX(N:N)*$N$1)+(V497/MAX(V:V)*$V$1)+(P497/MAX(P:P)*$P$1)</f>
        <v/>
      </c>
      <c r="E497" s="156">
        <f>IFERROR(VLOOKUP(F497,AllPlayers!F:F,1,0),"------------")</f>
        <v/>
      </c>
      <c r="F497" s="156" t="inlineStr">
        <is>
          <t>Baylor Cupp</t>
        </is>
      </c>
      <c r="G497" s="167">
        <f>VLOOKUP(F497,AllPlayers!Q:R,2,0)</f>
        <v/>
      </c>
      <c r="H497" s="156" t="inlineStr">
        <is>
          <t>TE</t>
        </is>
      </c>
      <c r="I497" s="156" t="n">
        <v>17</v>
      </c>
      <c r="J497" s="156" t="n">
        <v>0</v>
      </c>
      <c r="K497" s="156" t="n">
        <v>0</v>
      </c>
      <c r="L497" s="156">
        <f>IF(J497=0,0,K497/J497)</f>
        <v/>
      </c>
      <c r="M497" s="156">
        <f>K497/17</f>
        <v/>
      </c>
      <c r="N497" s="156" t="n">
        <v>0</v>
      </c>
      <c r="O497" s="156" t="n">
        <v>1</v>
      </c>
      <c r="P497" s="281">
        <f>IF(K497=0,0,K497/O497)</f>
        <v/>
      </c>
      <c r="Q497" s="156" t="n">
        <v>0</v>
      </c>
      <c r="R497" s="156" t="n">
        <v>0</v>
      </c>
      <c r="S497" s="156" t="n">
        <v>0</v>
      </c>
      <c r="T497" s="156" t="n">
        <v>0</v>
      </c>
      <c r="U497" s="156" t="n">
        <v>0</v>
      </c>
      <c r="V497" s="156" t="n">
        <v>0</v>
      </c>
      <c r="W497" s="156" t="n">
        <v>0</v>
      </c>
      <c r="X497" s="204">
        <f>INDEX(Matrix!$AA$2:$AA$33, MATCH(G497, Matrix!$AC$2:$AC$33, 0))</f>
        <v/>
      </c>
      <c r="Y497" s="156">
        <f>_xlfn.IFNA(MATCH(E496,'Injury Report'!$C$2:$C$6216,0),0)</f>
        <v/>
      </c>
    </row>
    <row r="498" ht="15.6" customHeight="1" s="152">
      <c r="A498" s="212" t="n">
        <v>496</v>
      </c>
      <c r="B498" s="167">
        <f>F498&amp;G498</f>
        <v/>
      </c>
      <c r="C498" s="156">
        <f>(K498/MAX(K:K)*$K$1)+(O498/MAX(O:O)*$O$1)+(M498/MAX(M:M)*$M$1)+(N498/MAX(N:N)*$N$1)+(V498/MAX(V:V)*$V$1)+(P498/MAX(P:P)*$P$1)</f>
        <v/>
      </c>
      <c r="E498" s="156">
        <f>IFERROR(VLOOKUP(F498,AllPlayers!F:F,1,0),"------------")</f>
        <v/>
      </c>
      <c r="F498" s="156" t="inlineStr">
        <is>
          <t>Brayden Willis</t>
        </is>
      </c>
      <c r="G498" s="167">
        <f>VLOOKUP(F498,AllPlayers!Q:R,2,0)</f>
        <v/>
      </c>
      <c r="H498" s="156" t="inlineStr">
        <is>
          <t>TE</t>
        </is>
      </c>
      <c r="I498" s="156" t="n">
        <v>1</v>
      </c>
      <c r="J498" s="156" t="n">
        <v>0</v>
      </c>
      <c r="K498" s="156" t="n">
        <v>0</v>
      </c>
      <c r="L498" s="156">
        <f>IF(J498=0,0,K498/J498)</f>
        <v/>
      </c>
      <c r="M498" s="156">
        <f>K498/17</f>
        <v/>
      </c>
      <c r="N498" s="156" t="n">
        <v>0</v>
      </c>
      <c r="O498" s="156" t="n">
        <v>1</v>
      </c>
      <c r="P498" s="281">
        <f>IF(K498=0,0,K498/O498)</f>
        <v/>
      </c>
      <c r="Q498" s="156" t="n">
        <v>0</v>
      </c>
      <c r="R498" s="156" t="n">
        <v>0</v>
      </c>
      <c r="S498" s="156" t="n">
        <v>0</v>
      </c>
      <c r="T498" s="156" t="n">
        <v>0</v>
      </c>
      <c r="U498" s="156" t="n">
        <v>0</v>
      </c>
      <c r="V498" s="156" t="n">
        <v>0</v>
      </c>
      <c r="W498" s="156" t="n">
        <v>0</v>
      </c>
      <c r="X498" s="204">
        <f>INDEX(Matrix!$AA$2:$AA$33, MATCH(G498, Matrix!$AC$2:$AC$33, 0))</f>
        <v/>
      </c>
      <c r="Y498" s="156">
        <f>_xlfn.IFNA(MATCH(E497,'Injury Report'!$C$2:$C$6216,0),0)</f>
        <v/>
      </c>
    </row>
    <row r="499" ht="15.6" customHeight="1" s="152">
      <c r="A499" s="212" t="n">
        <v>497</v>
      </c>
      <c r="B499" s="167">
        <f>F499&amp;G499</f>
        <v/>
      </c>
      <c r="C499" s="156">
        <f>(K499/MAX(K:K)*$K$1)+(O499/MAX(O:O)*$O$1)+(M499/MAX(M:M)*$M$1)+(N499/MAX(N:N)*$N$1)+(V499/MAX(V:V)*$V$1)+(P499/MAX(P:P)*$P$1)</f>
        <v/>
      </c>
      <c r="E499" s="156">
        <f>IFERROR(VLOOKUP(F499,AllPlayers!F:F,1,0),"------------")</f>
        <v/>
      </c>
      <c r="F499" s="156" t="inlineStr">
        <is>
          <t>Andrew Beck</t>
        </is>
      </c>
      <c r="G499" s="167">
        <f>VLOOKUP(F499,AllPlayers!Q:R,2,0)</f>
        <v/>
      </c>
      <c r="H499" s="156" t="inlineStr">
        <is>
          <t>TE</t>
        </is>
      </c>
      <c r="I499" s="156" t="n">
        <v>17</v>
      </c>
      <c r="J499" s="156" t="n">
        <v>0</v>
      </c>
      <c r="K499" s="156" t="n">
        <v>0</v>
      </c>
      <c r="L499" s="156">
        <f>IF(J499=0,0,K499/J499)</f>
        <v/>
      </c>
      <c r="M499" s="156">
        <f>K499/17</f>
        <v/>
      </c>
      <c r="N499" s="156" t="n">
        <v>0</v>
      </c>
      <c r="O499" s="156" t="n">
        <v>1</v>
      </c>
      <c r="P499" s="281">
        <f>IF(K499=0,0,K499/O499)</f>
        <v/>
      </c>
      <c r="Q499" s="156" t="n">
        <v>0</v>
      </c>
      <c r="R499" s="156" t="n">
        <v>0</v>
      </c>
      <c r="S499" s="156" t="n">
        <v>0</v>
      </c>
      <c r="T499" s="156" t="n">
        <v>0</v>
      </c>
      <c r="U499" s="156" t="n">
        <v>0</v>
      </c>
      <c r="V499" s="156" t="n">
        <v>0</v>
      </c>
      <c r="W499" s="156" t="n">
        <v>0</v>
      </c>
      <c r="X499" s="204">
        <f>INDEX(Matrix!$AA$2:$AA$33, MATCH(G499, Matrix!$AC$2:$AC$33, 0))</f>
        <v/>
      </c>
      <c r="Y499" s="156">
        <f>_xlfn.IFNA(MATCH(E498,'Injury Report'!$C$2:$C$6216,0),0)</f>
        <v/>
      </c>
    </row>
    <row r="500" ht="15.6" customHeight="1" s="152">
      <c r="A500" s="212" t="n">
        <v>498</v>
      </c>
      <c r="B500" s="167">
        <f>F500&amp;G500</f>
        <v/>
      </c>
      <c r="C500" s="156">
        <f>(K500/MAX(K:K)*$K$1)+(O500/MAX(O:O)*$O$1)+(M500/MAX(M:M)*$M$1)+(N500/MAX(N:N)*$N$1)+(V500/MAX(V:V)*$V$1)+(P500/MAX(P:P)*$P$1)</f>
        <v/>
      </c>
      <c r="E500" s="156">
        <f>IFERROR(VLOOKUP(F500,AllPlayers!F:F,1,0),"------------")</f>
        <v/>
      </c>
      <c r="F500" s="156" t="inlineStr">
        <is>
          <t>Ben Vansumeren</t>
        </is>
      </c>
      <c r="G500" s="167">
        <f>VLOOKUP(F500,AllPlayers!Q:R,2,0)</f>
        <v/>
      </c>
      <c r="H500" s="156" t="inlineStr">
        <is>
          <t>TE</t>
        </is>
      </c>
      <c r="I500" s="156" t="n">
        <v>17</v>
      </c>
      <c r="J500" s="156" t="n">
        <v>1</v>
      </c>
      <c r="K500" s="156" t="n">
        <v>0</v>
      </c>
      <c r="L500" s="156">
        <f>IF(J500=0,0,K500/J500)</f>
        <v/>
      </c>
      <c r="M500" s="156">
        <f>K500/17</f>
        <v/>
      </c>
      <c r="N500" s="156" t="n">
        <v>0</v>
      </c>
      <c r="O500" s="156" t="n">
        <v>1</v>
      </c>
      <c r="P500" s="281">
        <f>IF(K500=0,0,K500/O500)</f>
        <v/>
      </c>
      <c r="Q500" s="156" t="n">
        <v>0</v>
      </c>
      <c r="R500" s="156" t="n">
        <v>0</v>
      </c>
      <c r="S500" s="156" t="n">
        <v>0</v>
      </c>
      <c r="T500" s="156" t="n">
        <v>0</v>
      </c>
      <c r="U500" s="156" t="n">
        <v>0</v>
      </c>
      <c r="V500" s="156" t="n">
        <v>0</v>
      </c>
      <c r="W500" s="156" t="n">
        <v>0</v>
      </c>
      <c r="X500" s="204">
        <f>INDEX(Matrix!$AA$2:$AA$33, MATCH(G500, Matrix!$AC$2:$AC$33, 0))</f>
        <v/>
      </c>
      <c r="Y500" s="156">
        <f>_xlfn.IFNA(MATCH(E499,'Injury Report'!$C$2:$C$6216,0),0)</f>
        <v/>
      </c>
    </row>
    <row r="501" ht="15.6" customHeight="1" s="152">
      <c r="A501" s="212" t="n">
        <v>499</v>
      </c>
      <c r="B501" s="167">
        <f>F501&amp;G501</f>
        <v/>
      </c>
      <c r="C501" s="156">
        <f>(K501/MAX(K:K)*$K$1)+(O501/MAX(O:O)*$O$1)+(M501/MAX(M:M)*$M$1)+(N501/MAX(N:N)*$N$1)+(V501/MAX(V:V)*$V$1)+(P501/MAX(P:P)*$P$1)</f>
        <v/>
      </c>
      <c r="E501" s="156">
        <f>IFERROR(VLOOKUP(F501,AllPlayers!F:F,1,0),"------------")</f>
        <v/>
      </c>
      <c r="F501" s="156" t="inlineStr">
        <is>
          <t>Brenden Bates</t>
        </is>
      </c>
      <c r="G501" s="167">
        <f>VLOOKUP(F501,AllPlayers!Q:R,2,0)</f>
        <v/>
      </c>
      <c r="H501" s="156" t="inlineStr">
        <is>
          <t>TE</t>
        </is>
      </c>
      <c r="I501" s="156" t="n">
        <v>17</v>
      </c>
      <c r="J501" s="156" t="n">
        <v>0</v>
      </c>
      <c r="K501" s="156" t="n">
        <v>0</v>
      </c>
      <c r="L501" s="156">
        <f>IF(J501=0,0,K501/J501)</f>
        <v/>
      </c>
      <c r="M501" s="156">
        <f>K501/17</f>
        <v/>
      </c>
      <c r="N501" s="156" t="n">
        <v>0</v>
      </c>
      <c r="O501" s="156" t="n">
        <v>1</v>
      </c>
      <c r="P501" s="281">
        <f>IF(K501=0,0,K501/O501)</f>
        <v/>
      </c>
      <c r="Q501" s="156" t="n">
        <v>0</v>
      </c>
      <c r="R501" s="156" t="n">
        <v>0</v>
      </c>
      <c r="S501" s="156" t="n">
        <v>0</v>
      </c>
      <c r="T501" s="156" t="n">
        <v>0</v>
      </c>
      <c r="U501" s="156" t="n">
        <v>0</v>
      </c>
      <c r="V501" s="156" t="n">
        <v>0</v>
      </c>
      <c r="W501" s="156" t="n">
        <v>0</v>
      </c>
      <c r="X501" s="204">
        <f>INDEX(Matrix!$AA$2:$AA$33, MATCH(G501, Matrix!$AC$2:$AC$33, 0))</f>
        <v/>
      </c>
      <c r="Y501" s="156">
        <f>_xlfn.IFNA(MATCH(E500,'Injury Report'!$C$2:$C$6216,0),0)</f>
        <v/>
      </c>
    </row>
    <row r="502" ht="15.6" customHeight="1" s="152">
      <c r="A502" s="212" t="n">
        <v>500</v>
      </c>
      <c r="B502" s="167">
        <f>F502&amp;G502</f>
        <v/>
      </c>
      <c r="C502" s="156">
        <f>(K502/MAX(K:K)*$K$1)+(O502/MAX(O:O)*$O$1)+(M502/MAX(M:M)*$M$1)+(N502/MAX(N:N)*$N$1)+(V502/MAX(V:V)*$V$1)+(P502/MAX(P:P)*$P$1)</f>
        <v/>
      </c>
      <c r="E502" s="156">
        <f>IFERROR(VLOOKUP(F502,AllPlayers!F:F,1,0),"------------")</f>
        <v/>
      </c>
      <c r="F502" s="156" t="inlineStr">
        <is>
          <t>Stephen Sullivan</t>
        </is>
      </c>
      <c r="G502" s="167">
        <f>VLOOKUP(F502,AllPlayers!Q:R,2,0)</f>
        <v/>
      </c>
      <c r="H502" s="156" t="inlineStr">
        <is>
          <t>TE</t>
        </is>
      </c>
      <c r="I502" s="156" t="n">
        <v>17</v>
      </c>
      <c r="J502" s="156" t="n">
        <v>0</v>
      </c>
      <c r="K502" s="156" t="n">
        <v>0</v>
      </c>
      <c r="L502" s="156">
        <f>IF(J502=0,0,K502/J502)</f>
        <v/>
      </c>
      <c r="M502" s="156">
        <f>K502/17</f>
        <v/>
      </c>
      <c r="N502" s="156" t="n">
        <v>0</v>
      </c>
      <c r="O502" s="156" t="n">
        <v>1</v>
      </c>
      <c r="P502" s="281">
        <f>IF(K502=0,0,K502/O502)</f>
        <v/>
      </c>
      <c r="Q502" s="156" t="n">
        <v>0</v>
      </c>
      <c r="R502" s="156" t="n">
        <v>0</v>
      </c>
      <c r="S502" s="156" t="n">
        <v>0</v>
      </c>
      <c r="T502" s="156" t="n">
        <v>0</v>
      </c>
      <c r="U502" s="156" t="n">
        <v>0</v>
      </c>
      <c r="V502" s="156" t="n">
        <v>0</v>
      </c>
      <c r="W502" s="156" t="n">
        <v>0</v>
      </c>
      <c r="X502" s="204">
        <f>INDEX(Matrix!$AA$2:$AA$33, MATCH(G502, Matrix!$AC$2:$AC$33, 0))</f>
        <v/>
      </c>
      <c r="Y502" s="156">
        <f>_xlfn.IFNA(MATCH(E501,'Injury Report'!$C$2:$C$6216,0),0)</f>
        <v/>
      </c>
    </row>
    <row r="503" ht="15.6" customHeight="1" s="152">
      <c r="B503" s="167">
        <f>F503&amp;G503</f>
        <v/>
      </c>
      <c r="C503" s="156">
        <f>(K503/MAX(K:K)*$K$1)+(O503/MAX(O:O)*$O$1)+(M503/MAX(M:M)*$M$1)+(N503/MAX(N:N)*$N$1)+(V503/MAX(V:V)*$V$1)+(P503/MAX(P:P)*$P$1)</f>
        <v/>
      </c>
      <c r="E503" s="156">
        <f>IFERROR(VLOOKUP(F503,AllPlayers!F:F,1,0),"------------")</f>
        <v/>
      </c>
      <c r="F503" s="156" t="inlineStr">
        <is>
          <t>C.J. Stroud</t>
        </is>
      </c>
      <c r="G503" s="167">
        <f>VLOOKUP(F503,AllPlayers!Q:R,2,0)</f>
        <v/>
      </c>
      <c r="H503" s="156" t="inlineStr">
        <is>
          <t>TE</t>
        </is>
      </c>
      <c r="I503" s="156" t="n">
        <v>17</v>
      </c>
      <c r="J503" s="156" t="n">
        <v>0</v>
      </c>
      <c r="K503" s="156" t="n">
        <v>0</v>
      </c>
      <c r="L503" s="156">
        <f>IF(J503=0,0,K503/J503)</f>
        <v/>
      </c>
      <c r="M503" s="156">
        <f>K503/17</f>
        <v/>
      </c>
      <c r="N503" s="156" t="n">
        <v>0</v>
      </c>
      <c r="O503" s="156" t="n">
        <v>1</v>
      </c>
      <c r="P503" s="281">
        <f>IF(K503=0,0,K503/O503)</f>
        <v/>
      </c>
      <c r="Q503" s="156" t="n">
        <v>0</v>
      </c>
      <c r="R503" s="156" t="n">
        <v>0</v>
      </c>
      <c r="S503" s="156" t="n">
        <v>0</v>
      </c>
      <c r="T503" s="156" t="n">
        <v>0</v>
      </c>
      <c r="U503" s="156" t="n">
        <v>0</v>
      </c>
      <c r="V503" s="156" t="n">
        <v>1</v>
      </c>
      <c r="W503" s="156" t="n">
        <v>1</v>
      </c>
      <c r="X503" s="204">
        <f>INDEX(Matrix!$AA$2:$AA$33, MATCH(G503, Matrix!$AC$2:$AC$33, 0))</f>
        <v/>
      </c>
      <c r="Y503" s="156">
        <f>_xlfn.IFNA(MATCH(E502,'Injury Report'!$C$2:$C$6216,0),0)</f>
        <v/>
      </c>
    </row>
    <row r="504" ht="15.6" customHeight="1" s="152">
      <c r="B504" s="167">
        <f>F504&amp;G504</f>
        <v/>
      </c>
      <c r="C504" s="156">
        <f>(K504/MAX(K:K)*$K$1)+(O504/MAX(O:O)*$O$1)+(M504/MAX(M:M)*$M$1)+(N504/MAX(N:N)*$N$1)+(V504/MAX(V:V)*$V$1)+(P504/MAX(P:P)*$P$1)</f>
        <v/>
      </c>
      <c r="E504" s="156">
        <f>IFERROR(VLOOKUP(F504,AllPlayers!F:F,1,0),"------------")</f>
        <v/>
      </c>
      <c r="F504" s="156" t="inlineStr">
        <is>
          <t>George Holani</t>
        </is>
      </c>
      <c r="G504" s="167">
        <f>VLOOKUP(F504,AllPlayers!Q:R,2,0)</f>
        <v/>
      </c>
      <c r="H504" s="156" t="inlineStr">
        <is>
          <t>TE</t>
        </is>
      </c>
      <c r="I504" s="156" t="n">
        <v>2</v>
      </c>
      <c r="J504" s="156" t="n">
        <v>0</v>
      </c>
      <c r="K504" s="156" t="n">
        <v>0</v>
      </c>
      <c r="L504" s="156">
        <f>IF(J504=0,0,K504/J504)</f>
        <v/>
      </c>
      <c r="M504" s="156">
        <f>K504/17</f>
        <v/>
      </c>
      <c r="N504" s="156" t="n">
        <v>0</v>
      </c>
      <c r="O504" s="156" t="n">
        <v>0</v>
      </c>
      <c r="P504" s="281">
        <f>IF(K504=0,0,K504/O504)</f>
        <v/>
      </c>
      <c r="Q504" s="156" t="n">
        <v>0</v>
      </c>
      <c r="R504" s="156" t="n">
        <v>0</v>
      </c>
      <c r="S504" s="156" t="n">
        <v>0</v>
      </c>
      <c r="T504" s="156" t="n">
        <v>0</v>
      </c>
      <c r="U504" s="156" t="n">
        <v>0</v>
      </c>
      <c r="V504" s="156" t="n">
        <v>0</v>
      </c>
      <c r="W504" s="156" t="n">
        <v>0</v>
      </c>
      <c r="X504" s="204">
        <f>INDEX(Matrix!$AA$2:$AA$33, MATCH(G504, Matrix!$AC$2:$AC$33, 0))</f>
        <v/>
      </c>
      <c r="Y504" s="156">
        <f>_xlfn.IFNA(MATCH(E503,'Injury Report'!$C$2:$C$6216,0),0)</f>
        <v/>
      </c>
    </row>
    <row r="505" ht="15.6" customHeight="1" s="152">
      <c r="B505" s="167">
        <f>F505&amp;G505</f>
        <v/>
      </c>
      <c r="C505" s="156">
        <f>(K505/MAX(K:K)*$K$1)+(O505/MAX(O:O)*$O$1)+(M505/MAX(M:M)*$M$1)+(N505/MAX(N:N)*$N$1)+(V505/MAX(V:V)*$V$1)+(P505/MAX(P:P)*$P$1)</f>
        <v/>
      </c>
      <c r="E505" s="156">
        <f>IFERROR(VLOOKUP(F505,AllPlayers!F:F,1,0),"------------")</f>
        <v/>
      </c>
      <c r="F505" s="156" t="inlineStr">
        <is>
          <t>Anthony Richardson</t>
        </is>
      </c>
      <c r="G505" s="167">
        <f>VLOOKUP(F505,AllPlayers!Q:R,2,0)</f>
        <v/>
      </c>
      <c r="H505" s="156" t="inlineStr">
        <is>
          <t>TE</t>
        </is>
      </c>
      <c r="I505" s="156" t="n">
        <v>17</v>
      </c>
      <c r="J505" s="156" t="n">
        <v>1</v>
      </c>
      <c r="K505" s="156" t="n">
        <v>-1</v>
      </c>
      <c r="L505" s="156">
        <f>IF(J505=0,0,K505/J505)</f>
        <v/>
      </c>
      <c r="M505" s="156">
        <f>K505/17</f>
        <v/>
      </c>
      <c r="N505" s="156" t="n">
        <v>0</v>
      </c>
      <c r="O505" s="156" t="n">
        <v>1</v>
      </c>
      <c r="P505" s="281">
        <f>IF(K505=0,0,K505/O505)</f>
        <v/>
      </c>
      <c r="Q505" s="156" t="n">
        <v>0</v>
      </c>
      <c r="R505" s="156" t="n">
        <v>0</v>
      </c>
      <c r="S505" s="156" t="n">
        <v>0</v>
      </c>
      <c r="T505" s="156" t="n">
        <v>0</v>
      </c>
      <c r="U505" s="156" t="n">
        <v>0</v>
      </c>
      <c r="V505" s="156" t="n">
        <v>0</v>
      </c>
      <c r="W505" s="156" t="n">
        <v>0</v>
      </c>
      <c r="X505" s="204">
        <f>INDEX(Matrix!$AA$2:$AA$33, MATCH(G505, Matrix!$AC$2:$AC$33, 0))</f>
        <v/>
      </c>
      <c r="Y505" s="156">
        <f>_xlfn.IFNA(MATCH(E504,'Injury Report'!$C$2:$C$6216,0),0)</f>
        <v/>
      </c>
    </row>
    <row r="506" ht="15.6" customHeight="1" s="152">
      <c r="B506" s="167">
        <f>F506&amp;G506</f>
        <v/>
      </c>
      <c r="C506" s="156">
        <f>(K506/MAX(K:K)*$K$1)+(O506/MAX(O:O)*$O$1)+(M506/MAX(M:M)*$M$1)+(N506/MAX(N:N)*$N$1)+(V506/MAX(V:V)*$V$1)+(P506/MAX(P:P)*$P$1)</f>
        <v/>
      </c>
      <c r="E506" s="156">
        <f>IFERROR(VLOOKUP(F506,AllPlayers!F:F,1,0),"------------")</f>
        <v/>
      </c>
      <c r="F506" s="156" t="inlineStr">
        <is>
          <t>Mike Boone</t>
        </is>
      </c>
      <c r="G506" s="167">
        <f>VLOOKUP(F506,AllPlayers!Q:R,2,0)</f>
        <v/>
      </c>
      <c r="H506" s="156" t="inlineStr">
        <is>
          <t>TE</t>
        </is>
      </c>
      <c r="I506" s="156" t="n">
        <v>17</v>
      </c>
      <c r="J506" s="156" t="n">
        <v>1</v>
      </c>
      <c r="K506" s="156" t="n">
        <v>-2</v>
      </c>
      <c r="L506" s="156">
        <f>IF(J506=0,0,K506/J506)</f>
        <v/>
      </c>
      <c r="M506" s="156">
        <f>K506/17</f>
        <v/>
      </c>
      <c r="N506" s="156" t="n">
        <v>0</v>
      </c>
      <c r="O506" s="156" t="n">
        <v>3</v>
      </c>
      <c r="P506" s="281">
        <f>IF(K506=0,0,K506/O506)</f>
        <v/>
      </c>
      <c r="Q506" s="156" t="n">
        <v>0</v>
      </c>
      <c r="R506" s="156" t="n">
        <v>0</v>
      </c>
      <c r="S506" s="156" t="n">
        <v>0</v>
      </c>
      <c r="T506" s="156" t="n">
        <v>0</v>
      </c>
      <c r="U506" s="156" t="n">
        <v>0</v>
      </c>
      <c r="V506" s="156" t="n">
        <v>0</v>
      </c>
      <c r="W506" s="156" t="n">
        <v>0</v>
      </c>
      <c r="X506" s="204">
        <f>INDEX(Matrix!$AA$2:$AA$33, MATCH(G506, Matrix!$AC$2:$AC$33, 0))</f>
        <v/>
      </c>
      <c r="Y506" s="156">
        <f>_xlfn.IFNA(MATCH(E505,'Injury Report'!$C$2:$C$6216,0),0)</f>
        <v/>
      </c>
    </row>
    <row r="507" ht="15.6" customHeight="1" s="152">
      <c r="B507" s="167">
        <f>F507&amp;G507</f>
        <v/>
      </c>
      <c r="C507" s="156">
        <f>(K507/MAX(K:K)*$K$1)+(O507/MAX(O:O)*$O$1)+(M507/MAX(M:M)*$M$1)+(N507/MAX(N:N)*$N$1)+(V507/MAX(V:V)*$V$1)+(P507/MAX(P:P)*$P$1)</f>
        <v/>
      </c>
      <c r="E507" s="156">
        <f>IFERROR(VLOOKUP(F507,AllPlayers!F:F,1,0),"------------")</f>
        <v/>
      </c>
      <c r="F507" s="156" t="inlineStr">
        <is>
          <t>Brycen Tremayne</t>
        </is>
      </c>
      <c r="G507" s="167">
        <f>VLOOKUP(F507,AllPlayers!Q:R,2,0)</f>
        <v/>
      </c>
      <c r="H507" s="156" t="inlineStr">
        <is>
          <t>TE</t>
        </is>
      </c>
      <c r="I507" s="156" t="n">
        <v>2</v>
      </c>
      <c r="J507" s="156" t="n">
        <v>3</v>
      </c>
      <c r="K507" s="156" t="n">
        <v>48</v>
      </c>
      <c r="L507" s="156">
        <f>IF(J507=0,0,K507/J507)</f>
        <v/>
      </c>
      <c r="M507" s="156">
        <f>K507/17</f>
        <v/>
      </c>
      <c r="N507" s="156" t="n">
        <v>0</v>
      </c>
      <c r="O507" s="156" t="n">
        <v>5</v>
      </c>
      <c r="P507" s="281">
        <f>IF(K507=0,0,K507/O507)</f>
        <v/>
      </c>
      <c r="Q507" s="156" t="n">
        <v>0</v>
      </c>
      <c r="R507" s="156" t="n">
        <v>0</v>
      </c>
      <c r="S507" s="156" t="n">
        <v>0</v>
      </c>
      <c r="T507" s="156" t="n">
        <v>0</v>
      </c>
      <c r="U507" s="156" t="n">
        <v>0</v>
      </c>
      <c r="V507" s="156" t="n">
        <v>0</v>
      </c>
      <c r="W507" s="156" t="n">
        <v>0</v>
      </c>
      <c r="X507" s="204">
        <f>INDEX(Matrix!$AA$2:$AA$33, MATCH(G507, Matrix!$AC$2:$AC$33, 0))</f>
        <v/>
      </c>
      <c r="Y507" s="156">
        <f>_xlfn.IFNA(MATCH(E506,'Injury Report'!$C$2:$C$6216,0),0)</f>
        <v/>
      </c>
    </row>
    <row r="508" ht="15.6" customHeight="1" s="152">
      <c r="B508" s="167">
        <f>F508&amp;G508</f>
        <v/>
      </c>
      <c r="C508" s="156">
        <f>(K508/MAX(K:K)*$K$1)+(O508/MAX(O:O)*$O$1)+(M508/MAX(M:M)*$M$1)+(N508/MAX(N:N)*$N$1)+(V508/MAX(V:V)*$V$1)+(P508/MAX(P:P)*$P$1)</f>
        <v/>
      </c>
      <c r="E508" s="156">
        <f>IFERROR(VLOOKUP(F508,AllPlayers!F:F,1,0),"------------")</f>
        <v/>
      </c>
      <c r="F508" s="156" t="inlineStr">
        <is>
          <t>Tyler Badie</t>
        </is>
      </c>
      <c r="G508" s="167">
        <f>VLOOKUP(F508,AllPlayers!Q:R,2,0)</f>
        <v/>
      </c>
      <c r="H508" s="156" t="inlineStr">
        <is>
          <t>TE</t>
        </is>
      </c>
      <c r="I508" s="156" t="n">
        <v>2</v>
      </c>
      <c r="J508" s="156" t="n">
        <v>4</v>
      </c>
      <c r="K508" s="156" t="n">
        <v>35</v>
      </c>
      <c r="L508" s="156">
        <f>IF(J508=0,0,K508/J508)</f>
        <v/>
      </c>
      <c r="M508" s="156">
        <f>K508/17</f>
        <v/>
      </c>
      <c r="N508" s="156" t="n">
        <v>0</v>
      </c>
      <c r="O508" s="156" t="n">
        <v>8</v>
      </c>
      <c r="P508" s="281">
        <f>IF(K508=0,0,K508/O508)</f>
        <v/>
      </c>
      <c r="Q508" s="156" t="n">
        <v>0</v>
      </c>
      <c r="R508" s="156" t="n">
        <v>0</v>
      </c>
      <c r="S508" s="156" t="n">
        <v>0</v>
      </c>
      <c r="T508" s="156" t="n">
        <v>0</v>
      </c>
      <c r="U508" s="156" t="n">
        <v>0</v>
      </c>
      <c r="V508" s="156" t="n">
        <v>0</v>
      </c>
      <c r="W508" s="156" t="n">
        <v>0</v>
      </c>
      <c r="X508" s="204">
        <f>INDEX(Matrix!$AA$2:$AA$33, MATCH(G508, Matrix!$AC$2:$AC$33, 0))</f>
        <v/>
      </c>
      <c r="Y508" s="156">
        <f>_xlfn.IFNA(MATCH(E507,'Injury Report'!$C$2:$C$6216,0),0)</f>
        <v/>
      </c>
    </row>
    <row r="509" ht="15.6" customHeight="1" s="152">
      <c r="B509" s="167">
        <f>F509&amp;G509</f>
        <v/>
      </c>
      <c r="C509" s="156">
        <f>(K509/MAX(K:K)*$K$1)+(O509/MAX(O:O)*$O$1)+(M509/MAX(M:M)*$M$1)+(N509/MAX(N:N)*$N$1)+(V509/MAX(V:V)*$V$1)+(P509/MAX(P:P)*$P$1)</f>
        <v/>
      </c>
      <c r="E509" s="156">
        <f>IFERROR(VLOOKUP(F509,AllPlayers!F:F,1,0),"------------")</f>
        <v/>
      </c>
      <c r="F509" s="156" t="inlineStr">
        <is>
          <t>Chris Collier</t>
        </is>
      </c>
      <c r="G509" s="167">
        <f>VLOOKUP(F509,AllPlayers!Q:R,2,0)</f>
        <v/>
      </c>
      <c r="H509" s="156" t="inlineStr">
        <is>
          <t>TE</t>
        </is>
      </c>
      <c r="I509" s="156" t="n">
        <v>17</v>
      </c>
      <c r="J509" s="156" t="n">
        <v>1</v>
      </c>
      <c r="K509" s="156" t="n">
        <v>-4</v>
      </c>
      <c r="L509" s="156">
        <f>IF(J509=0,0,K509/J509)</f>
        <v/>
      </c>
      <c r="M509" s="156">
        <f>K509/17</f>
        <v/>
      </c>
      <c r="N509" s="156" t="n">
        <v>0</v>
      </c>
      <c r="O509" s="156" t="n">
        <v>2</v>
      </c>
      <c r="P509" s="281">
        <f>IF(K509=0,0,K509/O509)</f>
        <v/>
      </c>
      <c r="Q509" s="156" t="n">
        <v>0</v>
      </c>
      <c r="R509" s="156" t="n">
        <v>0</v>
      </c>
      <c r="S509" s="156" t="n">
        <v>0</v>
      </c>
      <c r="T509" s="156" t="n">
        <v>0</v>
      </c>
      <c r="U509" s="156" t="n">
        <v>0</v>
      </c>
      <c r="V509" s="156" t="n">
        <v>0</v>
      </c>
      <c r="W509" s="156" t="n">
        <v>0</v>
      </c>
      <c r="X509" s="204">
        <f>INDEX(Matrix!$AA$2:$AA$33, MATCH(G509, Matrix!$AC$2:$AC$33, 0))</f>
        <v/>
      </c>
      <c r="Y509" s="156">
        <f>_xlfn.IFNA(MATCH(E508,'Injury Report'!$C$2:$C$6216,0),0)</f>
        <v/>
      </c>
    </row>
    <row r="510" ht="13.8" customHeight="1" s="152">
      <c r="K510" s="156">
        <f>MAX(K3:K509)</f>
        <v/>
      </c>
      <c r="L510" s="156">
        <f>MAX(L3:L509)</f>
        <v/>
      </c>
      <c r="M510" s="156">
        <f>MAX(M3:M509)</f>
        <v/>
      </c>
      <c r="N510" s="156">
        <f>MAX(N3:N509)</f>
        <v/>
      </c>
      <c r="O510" s="156">
        <f>MAX(O3:O509)</f>
        <v/>
      </c>
      <c r="P510" s="281">
        <f>IF(K510=0,0,K510/O510)</f>
        <v/>
      </c>
      <c r="Q510" s="156">
        <f>MAX(Q3:Q509)</f>
        <v/>
      </c>
      <c r="R510" s="156">
        <f>MAX(R3:R509)</f>
        <v/>
      </c>
      <c r="X510" s="204">
        <f>INDEX(Matrix!$AA$2:$AA$33, MATCH(G510, Matrix!$AC$2:$AC$33, 0))</f>
        <v/>
      </c>
      <c r="Y510" s="156">
        <f>_xlfn.IFNA(MATCH(E509,'Injury Report'!$C$2:$C$6216,0),0)</f>
        <v/>
      </c>
    </row>
    <row r="511" ht="13.8" customHeight="1" s="152">
      <c r="X511" s="204">
        <f>INDEX(Matrix!$AA$2:$AA$33, MATCH(G511, Matrix!$AC$2:$AC$33, 0))</f>
        <v/>
      </c>
      <c r="Y511" s="156">
        <f>_xlfn.IFNA(MATCH(E510,'Injury Report'!$C$2:$C$6216,0),0)</f>
        <v/>
      </c>
    </row>
    <row r="512" ht="13.8" customHeight="1" s="152">
      <c r="X512" s="204">
        <f>INDEX(Matrix!$AA$2:$AA$33, MATCH(G512, Matrix!$AC$2:$AC$33, 0))</f>
        <v/>
      </c>
      <c r="Y512" s="156">
        <f>_xlfn.IFNA(MATCH(E511,'Injury Report'!$C$2:$C$6216,0),0)</f>
        <v/>
      </c>
    </row>
    <row r="513" ht="13.8" customHeight="1" s="152">
      <c r="X513" s="204">
        <f>INDEX(Matrix!$AA$2:$AA$33, MATCH(G513, Matrix!$AC$2:$AC$33, 0))</f>
        <v/>
      </c>
      <c r="Y513" s="156">
        <f>_xlfn.IFNA(MATCH(E512,'Injury Report'!$C$2:$C$6216,0),0)</f>
        <v/>
      </c>
    </row>
    <row r="514" ht="13.8" customHeight="1" s="152">
      <c r="X514" s="204">
        <f>INDEX(Matrix!$AA$2:$AA$33, MATCH(G514, Matrix!$AC$2:$AC$33, 0))</f>
        <v/>
      </c>
      <c r="Y514" s="156">
        <f>_xlfn.IFNA(MATCH(E513,'Injury Report'!$C$2:$C$6216,0),0)</f>
        <v/>
      </c>
    </row>
    <row r="515" ht="13.8" customHeight="1" s="152">
      <c r="X515" s="204">
        <f>INDEX(Matrix!$AA$2:$AA$33, MATCH(G515, Matrix!$AC$2:$AC$33, 0))</f>
        <v/>
      </c>
      <c r="Y515" s="156">
        <f>_xlfn.IFNA(MATCH(E514,'Injury Report'!$C$2:$C$6216,0),0)</f>
        <v/>
      </c>
    </row>
    <row r="516" ht="13.8" customHeight="1" s="152">
      <c r="X516" s="204">
        <f>INDEX(Matrix!$AA$2:$AA$33, MATCH(G516, Matrix!$AC$2:$AC$33, 0))</f>
        <v/>
      </c>
      <c r="Y516" s="156">
        <f>_xlfn.IFNA(MATCH(E515,'Injury Report'!$C$2:$C$6216,0),0)</f>
        <v/>
      </c>
    </row>
    <row r="517" ht="13.8" customHeight="1" s="152">
      <c r="X517" s="204">
        <f>INDEX(Matrix!$AA$2:$AA$33, MATCH(G517, Matrix!$AC$2:$AC$33, 0))</f>
        <v/>
      </c>
      <c r="Y517" s="156">
        <f>_xlfn.IFNA(MATCH(E516,'Injury Report'!$C$2:$C$6216,0),0)</f>
        <v/>
      </c>
    </row>
    <row r="518" ht="13.8" customHeight="1" s="152">
      <c r="X518" s="204">
        <f>INDEX(Matrix!$AA$2:$AA$33, MATCH(G518, Matrix!$AC$2:$AC$33, 0))</f>
        <v/>
      </c>
      <c r="Y518" s="156">
        <f>_xlfn.IFNA(MATCH(E517,'Injury Report'!$C$2:$C$6216,0),0)</f>
        <v/>
      </c>
    </row>
    <row r="519" ht="13.8" customHeight="1" s="152">
      <c r="X519" s="204">
        <f>INDEX(Matrix!$AA$2:$AA$33, MATCH(G519, Matrix!$AC$2:$AC$33, 0))</f>
        <v/>
      </c>
      <c r="Y519" s="156">
        <f>_xlfn.IFNA(MATCH(E518,'Injury Report'!$C$2:$C$6216,0),0)</f>
        <v/>
      </c>
    </row>
    <row r="520" ht="13.8" customHeight="1" s="152">
      <c r="X520" s="204">
        <f>INDEX(Matrix!$AA$2:$AA$33, MATCH(G520, Matrix!$AC$2:$AC$33, 0))</f>
        <v/>
      </c>
      <c r="Y520" s="156">
        <f>_xlfn.IFNA(MATCH(E519,'Injury Report'!$C$2:$C$6216,0),0)</f>
        <v/>
      </c>
    </row>
    <row r="521" ht="13.8" customHeight="1" s="152">
      <c r="X521" s="204">
        <f>INDEX(Matrix!$AA$2:$AA$33, MATCH(G521, Matrix!$AC$2:$AC$33, 0))</f>
        <v/>
      </c>
      <c r="Y521" s="156">
        <f>_xlfn.IFNA(MATCH(E520,'Injury Report'!$C$2:$C$6216,0),0)</f>
        <v/>
      </c>
    </row>
    <row r="522" ht="13.8" customHeight="1" s="152">
      <c r="X522" s="204">
        <f>INDEX(Matrix!$AA$2:$AA$33, MATCH(G522, Matrix!$AC$2:$AC$33, 0))</f>
        <v/>
      </c>
      <c r="Y522" s="156">
        <f>_xlfn.IFNA(MATCH(E521,'Injury Report'!$C$2:$C$6216,0),0)</f>
        <v/>
      </c>
    </row>
    <row r="523" ht="13.8" customHeight="1" s="152">
      <c r="X523" s="204">
        <f>INDEX(Matrix!$AA$2:$AA$33, MATCH(G523, Matrix!$AC$2:$AC$33, 0))</f>
        <v/>
      </c>
      <c r="Y523" s="156">
        <f>_xlfn.IFNA(MATCH(E522,'Injury Report'!$C$2:$C$6216,0),0)</f>
        <v/>
      </c>
    </row>
    <row r="524" ht="13.8" customHeight="1" s="152">
      <c r="X524" s="204">
        <f>INDEX(Matrix!$AA$2:$AA$33, MATCH(G524, Matrix!$AC$2:$AC$33, 0))</f>
        <v/>
      </c>
      <c r="Y524" s="156">
        <f>_xlfn.IFNA(MATCH(E523,'Injury Report'!$C$2:$C$6216,0),0)</f>
        <v/>
      </c>
    </row>
    <row r="525" ht="13.8" customHeight="1" s="152">
      <c r="X525" s="204">
        <f>INDEX(Matrix!$AA$2:$AA$33, MATCH(G525, Matrix!$AC$2:$AC$33, 0))</f>
        <v/>
      </c>
      <c r="Y525" s="156">
        <f>_xlfn.IFNA(MATCH(E524,'Injury Report'!$C$2:$C$6216,0),0)</f>
        <v/>
      </c>
    </row>
    <row r="526" ht="13.8" customHeight="1" s="152">
      <c r="X526" s="204">
        <f>INDEX(Matrix!$AA$2:$AA$33, MATCH(G526, Matrix!$AC$2:$AC$33, 0))</f>
        <v/>
      </c>
      <c r="Y526" s="156">
        <f>_xlfn.IFNA(MATCH(E525,'Injury Report'!$C$2:$C$6216,0),0)</f>
        <v/>
      </c>
    </row>
    <row r="527" ht="13.8" customHeight="1" s="152">
      <c r="X527" s="204">
        <f>INDEX(Matrix!$AA$2:$AA$33, MATCH(G527, Matrix!$AC$2:$AC$33, 0))</f>
        <v/>
      </c>
      <c r="Y527" s="156">
        <f>_xlfn.IFNA(MATCH(E526,'Injury Report'!$C$2:$C$6216,0),0)</f>
        <v/>
      </c>
    </row>
    <row r="528" ht="13.8" customHeight="1" s="152">
      <c r="X528" s="204">
        <f>INDEX(Matrix!$AA$2:$AA$33, MATCH(G528, Matrix!$AC$2:$AC$33, 0))</f>
        <v/>
      </c>
      <c r="Y528" s="156">
        <f>_xlfn.IFNA(MATCH(E527,'Injury Report'!$C$2:$C$6216,0),0)</f>
        <v/>
      </c>
    </row>
    <row r="529" ht="13.8" customHeight="1" s="152">
      <c r="X529" s="204">
        <f>INDEX(Matrix!$AA$2:$AA$33, MATCH(G529, Matrix!$AC$2:$AC$33, 0))</f>
        <v/>
      </c>
      <c r="Y529" s="156">
        <f>_xlfn.IFNA(MATCH(E528,'Injury Report'!$C$2:$C$6216,0),0)</f>
        <v/>
      </c>
    </row>
    <row r="530" ht="13.8" customHeight="1" s="152">
      <c r="X530" s="204">
        <f>INDEX(Matrix!$AA$2:$AA$33, MATCH(G530, Matrix!$AC$2:$AC$33, 0))</f>
        <v/>
      </c>
      <c r="Y530" s="156">
        <f>_xlfn.IFNA(MATCH(E529,'Injury Report'!$C$2:$C$6216,0),0)</f>
        <v/>
      </c>
    </row>
    <row r="531" ht="13.8" customHeight="1" s="152">
      <c r="X531" s="204">
        <f>INDEX(Matrix!$AA$2:$AA$33, MATCH(G531, Matrix!$AC$2:$AC$33, 0))</f>
        <v/>
      </c>
      <c r="Y531" s="156">
        <f>_xlfn.IFNA(MATCH(E530,'Injury Report'!$C$2:$C$6216,0),0)</f>
        <v/>
      </c>
    </row>
    <row r="532" ht="13.8" customHeight="1" s="152">
      <c r="X532" s="204">
        <f>INDEX(Matrix!$AA$2:$AA$33, MATCH(G532, Matrix!$AC$2:$AC$33, 0))</f>
        <v/>
      </c>
      <c r="Y532" s="156">
        <f>_xlfn.IFNA(MATCH(E531,'Injury Report'!$C$2:$C$6216,0),0)</f>
        <v/>
      </c>
    </row>
    <row r="533" ht="13.8" customHeight="1" s="152">
      <c r="X533" s="204">
        <f>INDEX(Matrix!$AA$2:$AA$33, MATCH(G533, Matrix!$AC$2:$AC$33, 0))</f>
        <v/>
      </c>
      <c r="Y533" s="156">
        <f>_xlfn.IFNA(MATCH(E532,'Injury Report'!$C$2:$C$6216,0),0)</f>
        <v/>
      </c>
    </row>
    <row r="534" ht="13.8" customHeight="1" s="152">
      <c r="X534" s="204">
        <f>INDEX(Matrix!$AA$2:$AA$33, MATCH(G534, Matrix!$AC$2:$AC$33, 0))</f>
        <v/>
      </c>
      <c r="Y534" s="156">
        <f>_xlfn.IFNA(MATCH(E533,'Injury Report'!$C$2:$C$6216,0),0)</f>
        <v/>
      </c>
    </row>
    <row r="535" ht="13.8" customHeight="1" s="152">
      <c r="X535" s="204">
        <f>INDEX(Matrix!$AA$2:$AA$33, MATCH(G535, Matrix!$AC$2:$AC$33, 0))</f>
        <v/>
      </c>
      <c r="Y535" s="156">
        <f>_xlfn.IFNA(MATCH(E534,'Injury Report'!$C$2:$C$6216,0),0)</f>
        <v/>
      </c>
    </row>
    <row r="536" ht="13.8" customHeight="1" s="152">
      <c r="X536" s="204">
        <f>INDEX(Matrix!$AA$2:$AA$33, MATCH(G536, Matrix!$AC$2:$AC$33, 0))</f>
        <v/>
      </c>
      <c r="Y536" s="156">
        <f>_xlfn.IFNA(MATCH(E535,'Injury Report'!$C$2:$C$6216,0),0)</f>
        <v/>
      </c>
    </row>
    <row r="537" ht="13.8" customHeight="1" s="152">
      <c r="X537" s="204">
        <f>INDEX(Matrix!$AA$2:$AA$33, MATCH(G537, Matrix!$AC$2:$AC$33, 0))</f>
        <v/>
      </c>
      <c r="Y537" s="156">
        <f>_xlfn.IFNA(MATCH(E536,'Injury Report'!$C$2:$C$6216,0),0)</f>
        <v/>
      </c>
    </row>
    <row r="538" ht="13.8" customHeight="1" s="152">
      <c r="X538" s="204">
        <f>INDEX(Matrix!$AA$2:$AA$33, MATCH(G538, Matrix!$AC$2:$AC$33, 0))</f>
        <v/>
      </c>
      <c r="Y538" s="156">
        <f>_xlfn.IFNA(MATCH(E537,'Injury Report'!$C$2:$C$6216,0),0)</f>
        <v/>
      </c>
    </row>
    <row r="539" ht="13.8" customHeight="1" s="152">
      <c r="X539" s="204">
        <f>INDEX(Matrix!$AA$2:$AA$33, MATCH(G539, Matrix!$AC$2:$AC$33, 0))</f>
        <v/>
      </c>
      <c r="Y539" s="156">
        <f>_xlfn.IFNA(MATCH(E538,'Injury Report'!$C$2:$C$6216,0),0)</f>
        <v/>
      </c>
    </row>
    <row r="540" ht="13.8" customHeight="1" s="152">
      <c r="X540" s="204">
        <f>INDEX(Matrix!$AA$2:$AA$33, MATCH(G540, Matrix!$AC$2:$AC$33, 0))</f>
        <v/>
      </c>
      <c r="Y540" s="156">
        <f>_xlfn.IFNA(MATCH(E539,'Injury Report'!$C$2:$C$6216,0),0)</f>
        <v/>
      </c>
    </row>
    <row r="541" ht="13.8" customHeight="1" s="152">
      <c r="X541" s="204">
        <f>INDEX(Matrix!$AA$2:$AA$33, MATCH(G541, Matrix!$AC$2:$AC$33, 0))</f>
        <v/>
      </c>
      <c r="Y541" s="156">
        <f>_xlfn.IFNA(MATCH(E540,'Injury Report'!$C$2:$C$6216,0),0)</f>
        <v/>
      </c>
    </row>
    <row r="542" ht="13.8" customHeight="1" s="152">
      <c r="X542" s="204">
        <f>INDEX(Matrix!$AA$2:$AA$33, MATCH(G542, Matrix!$AC$2:$AC$33, 0))</f>
        <v/>
      </c>
      <c r="Y542" s="156">
        <f>_xlfn.IFNA(MATCH(E541,'Injury Report'!$C$2:$C$6216,0),0)</f>
        <v/>
      </c>
    </row>
    <row r="543" ht="13.8" customHeight="1" s="152">
      <c r="X543" s="204">
        <f>INDEX(Matrix!$AA$2:$AA$33, MATCH(G543, Matrix!$AC$2:$AC$33, 0))</f>
        <v/>
      </c>
      <c r="Y543" s="156">
        <f>_xlfn.IFNA(MATCH(E542,'Injury Report'!$C$2:$C$6216,0),0)</f>
        <v/>
      </c>
    </row>
    <row r="544" ht="13.8" customHeight="1" s="152">
      <c r="X544" s="204">
        <f>INDEX(Matrix!$AA$2:$AA$33, MATCH(G544, Matrix!$AC$2:$AC$33, 0))</f>
        <v/>
      </c>
      <c r="Y544" s="156">
        <f>_xlfn.IFNA(MATCH(E543,'Injury Report'!$C$2:$C$6216,0),0)</f>
        <v/>
      </c>
    </row>
    <row r="545" ht="13.8" customHeight="1" s="152">
      <c r="X545" s="204">
        <f>INDEX(Matrix!$AA$2:$AA$33, MATCH(G545, Matrix!$AC$2:$AC$33, 0))</f>
        <v/>
      </c>
      <c r="Y545" s="156">
        <f>_xlfn.IFNA(MATCH(E544,'Injury Report'!$C$2:$C$6216,0),0)</f>
        <v/>
      </c>
    </row>
    <row r="546" ht="13.8" customHeight="1" s="152">
      <c r="X546" s="204">
        <f>INDEX(Matrix!$AA$2:$AA$33, MATCH(G546, Matrix!$AC$2:$AC$33, 0))</f>
        <v/>
      </c>
      <c r="Y546" s="156">
        <f>_xlfn.IFNA(MATCH(E545,'Injury Report'!$C$2:$C$6216,0),0)</f>
        <v/>
      </c>
    </row>
    <row r="547" ht="13.8" customHeight="1" s="152">
      <c r="X547" s="204">
        <f>INDEX(Matrix!$AA$2:$AA$33, MATCH(G547, Matrix!$AC$2:$AC$33, 0))</f>
        <v/>
      </c>
      <c r="Y547" s="156">
        <f>_xlfn.IFNA(MATCH(E546,'Injury Report'!$C$2:$C$6216,0),0)</f>
        <v/>
      </c>
    </row>
    <row r="548" ht="13.8" customHeight="1" s="152">
      <c r="X548" s="204">
        <f>INDEX(Matrix!$AA$2:$AA$33, MATCH(G548, Matrix!$AC$2:$AC$33, 0))</f>
        <v/>
      </c>
      <c r="Y548" s="156">
        <f>_xlfn.IFNA(MATCH(E547,'Injury Report'!$C$2:$C$6216,0),0)</f>
        <v/>
      </c>
    </row>
    <row r="549" ht="13.8" customHeight="1" s="152">
      <c r="X549" s="204">
        <f>INDEX(Matrix!$AA$2:$AA$33, MATCH(G549, Matrix!$AC$2:$AC$33, 0))</f>
        <v/>
      </c>
      <c r="Y549" s="156">
        <f>_xlfn.IFNA(MATCH(E548,'Injury Report'!$C$2:$C$6216,0),0)</f>
        <v/>
      </c>
    </row>
    <row r="550" ht="13.8" customHeight="1" s="152">
      <c r="X550" s="204">
        <f>INDEX(Matrix!$AA$2:$AA$33, MATCH(G550, Matrix!$AC$2:$AC$33, 0))</f>
        <v/>
      </c>
      <c r="Y550" s="156">
        <f>_xlfn.IFNA(MATCH(E549,'Injury Report'!$C$2:$C$6216,0),0)</f>
        <v/>
      </c>
    </row>
    <row r="551" ht="13.8" customHeight="1" s="152">
      <c r="X551" s="204">
        <f>INDEX(Matrix!$AA$2:$AA$33, MATCH(G551, Matrix!$AC$2:$AC$33, 0))</f>
        <v/>
      </c>
      <c r="Y551" s="156">
        <f>_xlfn.IFNA(MATCH(E550,'Injury Report'!$C$2:$C$6216,0),0)</f>
        <v/>
      </c>
    </row>
    <row r="552" ht="13.8" customHeight="1" s="152">
      <c r="X552" s="204">
        <f>INDEX(Matrix!$AA$2:$AA$33, MATCH(G552, Matrix!$AC$2:$AC$33, 0))</f>
        <v/>
      </c>
      <c r="Y552" s="156">
        <f>_xlfn.IFNA(MATCH(E551,'Injury Report'!$C$2:$C$6216,0),0)</f>
        <v/>
      </c>
    </row>
    <row r="553" ht="13.8" customHeight="1" s="152">
      <c r="X553" s="204">
        <f>INDEX(Matrix!$AA$2:$AA$33, MATCH(G553, Matrix!$AC$2:$AC$33, 0))</f>
        <v/>
      </c>
      <c r="Y553" s="156">
        <f>_xlfn.IFNA(MATCH(E552,'Injury Report'!$C$2:$C$6216,0),0)</f>
        <v/>
      </c>
    </row>
    <row r="554" ht="13.8" customHeight="1" s="152">
      <c r="X554" s="204">
        <f>INDEX(Matrix!$AA$2:$AA$33, MATCH(G554, Matrix!$AC$2:$AC$33, 0))</f>
        <v/>
      </c>
      <c r="Y554" s="156">
        <f>_xlfn.IFNA(MATCH(E553,'Injury Report'!$C$2:$C$6216,0),0)</f>
        <v/>
      </c>
    </row>
    <row r="555" ht="13.8" customHeight="1" s="152">
      <c r="X555" s="204">
        <f>INDEX(Matrix!$AA$2:$AA$33, MATCH(G555, Matrix!$AC$2:$AC$33, 0))</f>
        <v/>
      </c>
      <c r="Y555" s="156">
        <f>_xlfn.IFNA(MATCH(E554,'Injury Report'!$C$2:$C$6216,0),0)</f>
        <v/>
      </c>
    </row>
    <row r="556" ht="13.8" customHeight="1" s="152">
      <c r="X556" s="204">
        <f>INDEX(Matrix!$AA$2:$AA$33, MATCH(G556, Matrix!$AC$2:$AC$33, 0))</f>
        <v/>
      </c>
      <c r="Y556" s="156">
        <f>_xlfn.IFNA(MATCH(E555,'Injury Report'!$C$2:$C$6216,0),0)</f>
        <v/>
      </c>
    </row>
    <row r="557" ht="13.8" customHeight="1" s="152">
      <c r="X557" s="204">
        <f>INDEX(Matrix!$AA$2:$AA$33, MATCH(G557, Matrix!$AC$2:$AC$33, 0))</f>
        <v/>
      </c>
      <c r="Y557" s="156">
        <f>_xlfn.IFNA(MATCH(E556,'Injury Report'!$C$2:$C$6216,0),0)</f>
        <v/>
      </c>
    </row>
    <row r="558" ht="13.8" customHeight="1" s="152">
      <c r="X558" s="204">
        <f>INDEX(Matrix!$AA$2:$AA$33, MATCH(G558, Matrix!$AC$2:$AC$33, 0))</f>
        <v/>
      </c>
      <c r="Y558" s="156">
        <f>_xlfn.IFNA(MATCH(E557,'Injury Report'!$C$2:$C$6216,0),0)</f>
        <v/>
      </c>
    </row>
    <row r="559" ht="13.8" customHeight="1" s="152">
      <c r="X559" s="204">
        <f>INDEX(Matrix!$AA$2:$AA$33, MATCH(G559, Matrix!$AC$2:$AC$33, 0))</f>
        <v/>
      </c>
      <c r="Y559" s="156">
        <f>_xlfn.IFNA(MATCH(E558,'Injury Report'!$C$2:$C$6216,0),0)</f>
        <v/>
      </c>
    </row>
    <row r="560" ht="13.8" customHeight="1" s="152">
      <c r="X560" s="204">
        <f>INDEX(Matrix!$AA$2:$AA$33, MATCH(G560, Matrix!$AC$2:$AC$33, 0))</f>
        <v/>
      </c>
      <c r="Y560" s="156">
        <f>_xlfn.IFNA(MATCH(E559,'Injury Report'!$C$2:$C$6216,0),0)</f>
        <v/>
      </c>
    </row>
    <row r="561" ht="13.8" customHeight="1" s="152">
      <c r="X561" s="204">
        <f>INDEX(Matrix!$AA$2:$AA$33, MATCH(G561, Matrix!$AC$2:$AC$33, 0))</f>
        <v/>
      </c>
      <c r="Y561" s="156">
        <f>_xlfn.IFNA(MATCH(E560,'Injury Report'!$C$2:$C$6216,0),0)</f>
        <v/>
      </c>
    </row>
    <row r="562" ht="13.8" customHeight="1" s="152">
      <c r="X562" s="204">
        <f>INDEX(Matrix!$AA$2:$AA$33, MATCH(G562, Matrix!$AC$2:$AC$33, 0))</f>
        <v/>
      </c>
      <c r="Y562" s="156">
        <f>_xlfn.IFNA(MATCH(E561,'Injury Report'!$C$2:$C$6216,0),0)</f>
        <v/>
      </c>
    </row>
    <row r="563" ht="13.8" customHeight="1" s="152">
      <c r="X563" s="204">
        <f>INDEX(Matrix!$AA$2:$AA$33, MATCH(G563, Matrix!$AC$2:$AC$33, 0))</f>
        <v/>
      </c>
      <c r="Y563" s="156">
        <f>_xlfn.IFNA(MATCH(E562,'Injury Report'!$C$2:$C$6216,0),0)</f>
        <v/>
      </c>
    </row>
    <row r="564" ht="13.8" customHeight="1" s="152">
      <c r="X564" s="204">
        <f>INDEX(Matrix!$AA$2:$AA$33, MATCH(G564, Matrix!$AC$2:$AC$33, 0))</f>
        <v/>
      </c>
      <c r="Y564" s="156">
        <f>_xlfn.IFNA(MATCH(E563,'Injury Report'!$C$2:$C$6216,0),0)</f>
        <v/>
      </c>
    </row>
    <row r="565" ht="13.8" customHeight="1" s="152">
      <c r="X565" s="204">
        <f>INDEX(Matrix!$AA$2:$AA$33, MATCH(G565, Matrix!$AC$2:$AC$33, 0))</f>
        <v/>
      </c>
      <c r="Y565" s="156">
        <f>_xlfn.IFNA(MATCH(E564,'Injury Report'!$C$2:$C$6216,0),0)</f>
        <v/>
      </c>
    </row>
    <row r="566" ht="13.8" customHeight="1" s="152">
      <c r="X566" s="204">
        <f>INDEX(Matrix!$AA$2:$AA$33, MATCH(G566, Matrix!$AC$2:$AC$33, 0))</f>
        <v/>
      </c>
      <c r="Y566" s="156">
        <f>_xlfn.IFNA(MATCH(E565,'Injury Report'!$C$2:$C$6216,0),0)</f>
        <v/>
      </c>
    </row>
    <row r="567" ht="13.8" customHeight="1" s="152">
      <c r="X567" s="204">
        <f>INDEX(Matrix!$AA$2:$AA$33, MATCH(G567, Matrix!$AC$2:$AC$33, 0))</f>
        <v/>
      </c>
      <c r="Y567" s="156">
        <f>_xlfn.IFNA(MATCH(E566,'Injury Report'!$C$2:$C$6216,0),0)</f>
        <v/>
      </c>
    </row>
    <row r="568" ht="13.8" customHeight="1" s="152">
      <c r="X568" s="204">
        <f>INDEX(Matrix!$AA$2:$AA$33, MATCH(G568, Matrix!$AC$2:$AC$33, 0))</f>
        <v/>
      </c>
      <c r="Y568" s="156">
        <f>_xlfn.IFNA(MATCH(E567,'Injury Report'!$C$2:$C$6216,0),0)</f>
        <v/>
      </c>
    </row>
    <row r="569" ht="13.8" customHeight="1" s="152">
      <c r="X569" s="204">
        <f>INDEX(Matrix!$AA$2:$AA$33, MATCH(G569, Matrix!$AC$2:$AC$33, 0))</f>
        <v/>
      </c>
      <c r="Y569" s="156">
        <f>_xlfn.IFNA(MATCH(E568,'Injury Report'!$C$2:$C$6216,0),0)</f>
        <v/>
      </c>
    </row>
    <row r="570" ht="13.8" customHeight="1" s="152">
      <c r="X570" s="204">
        <f>INDEX(Matrix!$AA$2:$AA$33, MATCH(G570, Matrix!$AC$2:$AC$33, 0))</f>
        <v/>
      </c>
      <c r="Y570" s="156">
        <f>_xlfn.IFNA(MATCH(E569,'Injury Report'!$C$2:$C$6216,0),0)</f>
        <v/>
      </c>
    </row>
    <row r="571" ht="13.8" customHeight="1" s="152">
      <c r="X571" s="204">
        <f>INDEX(Matrix!$AA$2:$AA$33, MATCH(G571, Matrix!$AC$2:$AC$33, 0))</f>
        <v/>
      </c>
      <c r="Y571" s="156">
        <f>_xlfn.IFNA(MATCH(E570,'Injury Report'!$C$2:$C$6216,0),0)</f>
        <v/>
      </c>
    </row>
    <row r="572" ht="13.8" customHeight="1" s="152">
      <c r="X572" s="204">
        <f>INDEX(Matrix!$AA$2:$AA$33, MATCH(G572, Matrix!$AC$2:$AC$33, 0))</f>
        <v/>
      </c>
      <c r="Y572" s="156">
        <f>_xlfn.IFNA(MATCH(E571,'Injury Report'!$C$2:$C$6216,0),0)</f>
        <v/>
      </c>
    </row>
    <row r="573" ht="13.8" customHeight="1" s="152">
      <c r="X573" s="204">
        <f>INDEX(Matrix!$AA$2:$AA$33, MATCH(G573, Matrix!$AC$2:$AC$33, 0))</f>
        <v/>
      </c>
      <c r="Y573" s="156">
        <f>_xlfn.IFNA(MATCH(E572,'Injury Report'!$C$2:$C$6216,0),0)</f>
        <v/>
      </c>
    </row>
    <row r="574" ht="13.8" customHeight="1" s="152">
      <c r="X574" s="204">
        <f>INDEX(Matrix!$AA$2:$AA$33, MATCH(G574, Matrix!$AC$2:$AC$33, 0))</f>
        <v/>
      </c>
      <c r="Y574" s="156">
        <f>_xlfn.IFNA(MATCH(E573,'Injury Report'!$C$2:$C$6216,0),0)</f>
        <v/>
      </c>
    </row>
    <row r="575" ht="13.8" customHeight="1" s="152">
      <c r="X575" s="204">
        <f>INDEX(Matrix!$AA$2:$AA$33, MATCH(G575, Matrix!$AC$2:$AC$33, 0))</f>
        <v/>
      </c>
      <c r="Y575" s="156">
        <f>_xlfn.IFNA(MATCH(E574,'Injury Report'!$C$2:$C$6216,0),0)</f>
        <v/>
      </c>
    </row>
    <row r="576" ht="13.8" customHeight="1" s="152">
      <c r="X576" s="204">
        <f>INDEX(Matrix!$AA$2:$AA$33, MATCH(G576, Matrix!$AC$2:$AC$33, 0))</f>
        <v/>
      </c>
      <c r="Y576" s="156">
        <f>_xlfn.IFNA(MATCH(E575,'Injury Report'!$C$2:$C$6216,0),0)</f>
        <v/>
      </c>
    </row>
    <row r="577" ht="13.8" customHeight="1" s="152">
      <c r="X577" s="204">
        <f>INDEX(Matrix!$AA$2:$AA$33, MATCH(G577, Matrix!$AC$2:$AC$33, 0))</f>
        <v/>
      </c>
      <c r="Y577" s="156">
        <f>_xlfn.IFNA(MATCH(E576,'Injury Report'!$C$2:$C$6216,0),0)</f>
        <v/>
      </c>
    </row>
    <row r="578" ht="13.8" customHeight="1" s="152">
      <c r="X578" s="204">
        <f>INDEX(Matrix!$AA$2:$AA$33, MATCH(G578, Matrix!$AC$2:$AC$33, 0))</f>
        <v/>
      </c>
      <c r="Y578" s="156">
        <f>_xlfn.IFNA(MATCH(E577,'Injury Report'!$C$2:$C$6216,0),0)</f>
        <v/>
      </c>
    </row>
    <row r="579" ht="13.8" customHeight="1" s="152">
      <c r="X579" s="204">
        <f>INDEX(Matrix!$AA$2:$AA$33, MATCH(G579, Matrix!$AC$2:$AC$33, 0))</f>
        <v/>
      </c>
      <c r="Y579" s="156">
        <f>_xlfn.IFNA(MATCH(E578,'Injury Report'!$C$2:$C$6216,0),0)</f>
        <v/>
      </c>
    </row>
    <row r="580" ht="13.8" customHeight="1" s="152">
      <c r="X580" s="204">
        <f>INDEX(Matrix!$AA$2:$AA$33, MATCH(G580, Matrix!$AC$2:$AC$33, 0))</f>
        <v/>
      </c>
      <c r="Y580" s="156">
        <f>_xlfn.IFNA(MATCH(E579,'Injury Report'!$C$2:$C$6216,0),0)</f>
        <v/>
      </c>
    </row>
    <row r="581" ht="13.8" customHeight="1" s="152">
      <c r="X581" s="204">
        <f>INDEX(Matrix!$AA$2:$AA$33, MATCH(G581, Matrix!$AC$2:$AC$33, 0))</f>
        <v/>
      </c>
      <c r="Y581" s="156">
        <f>_xlfn.IFNA(MATCH(E580,'Injury Report'!$C$2:$C$6216,0),0)</f>
        <v/>
      </c>
    </row>
    <row r="582" ht="13.8" customHeight="1" s="152">
      <c r="X582" s="204">
        <f>INDEX(Matrix!$AA$2:$AA$33, MATCH(G582, Matrix!$AC$2:$AC$33, 0))</f>
        <v/>
      </c>
      <c r="Y582" s="156">
        <f>_xlfn.IFNA(MATCH(E581,'Injury Report'!$C$2:$C$6216,0),0)</f>
        <v/>
      </c>
    </row>
    <row r="583" ht="13.8" customHeight="1" s="152">
      <c r="X583" s="204">
        <f>INDEX(Matrix!$AA$2:$AA$33, MATCH(G583, Matrix!$AC$2:$AC$33, 0))</f>
        <v/>
      </c>
      <c r="Y583" s="156">
        <f>_xlfn.IFNA(MATCH(E582,'Injury Report'!$C$2:$C$6216,0),0)</f>
        <v/>
      </c>
    </row>
    <row r="584" ht="13.8" customHeight="1" s="152">
      <c r="X584" s="204">
        <f>INDEX(Matrix!$AA$2:$AA$33, MATCH(G584, Matrix!$AC$2:$AC$33, 0))</f>
        <v/>
      </c>
      <c r="Y584" s="156">
        <f>_xlfn.IFNA(MATCH(E583,'Injury Report'!$C$2:$C$6216,0),0)</f>
        <v/>
      </c>
    </row>
    <row r="585" ht="13.8" customHeight="1" s="152">
      <c r="X585" s="204">
        <f>INDEX(Matrix!$AA$2:$AA$33, MATCH(G585, Matrix!$AC$2:$AC$33, 0))</f>
        <v/>
      </c>
      <c r="Y585" s="156">
        <f>_xlfn.IFNA(MATCH(E584,'Injury Report'!$C$2:$C$6216,0),0)</f>
        <v/>
      </c>
    </row>
    <row r="586" ht="13.8" customHeight="1" s="152">
      <c r="X586" s="204">
        <f>INDEX(Matrix!$AA$2:$AA$33, MATCH(G586, Matrix!$AC$2:$AC$33, 0))</f>
        <v/>
      </c>
      <c r="Y586" s="156">
        <f>_xlfn.IFNA(MATCH(E585,'Injury Report'!$C$2:$C$6216,0),0)</f>
        <v/>
      </c>
    </row>
    <row r="587" ht="13.8" customHeight="1" s="152">
      <c r="X587" s="204">
        <f>INDEX(Matrix!$AA$2:$AA$33, MATCH(G587, Matrix!$AC$2:$AC$33, 0))</f>
        <v/>
      </c>
      <c r="Y587" s="156">
        <f>_xlfn.IFNA(MATCH(E586,'Injury Report'!$C$2:$C$6216,0),0)</f>
        <v/>
      </c>
    </row>
    <row r="588" ht="13.8" customHeight="1" s="152">
      <c r="X588" s="204">
        <f>INDEX(Matrix!$AA$2:$AA$33, MATCH(G588, Matrix!$AC$2:$AC$33, 0))</f>
        <v/>
      </c>
      <c r="Y588" s="156">
        <f>_xlfn.IFNA(MATCH(E587,'Injury Report'!$C$2:$C$6216,0),0)</f>
        <v/>
      </c>
    </row>
    <row r="589" ht="13.8" customHeight="1" s="152">
      <c r="X589" s="204">
        <f>INDEX(Matrix!$AA$2:$AA$33, MATCH(G589, Matrix!$AC$2:$AC$33, 0))</f>
        <v/>
      </c>
      <c r="Y589" s="156">
        <f>_xlfn.IFNA(MATCH(E588,'Injury Report'!$C$2:$C$6216,0),0)</f>
        <v/>
      </c>
    </row>
    <row r="590" ht="13.8" customHeight="1" s="152">
      <c r="X590" s="204">
        <f>INDEX(Matrix!$AA$2:$AA$33, MATCH(G590, Matrix!$AC$2:$AC$33, 0))</f>
        <v/>
      </c>
      <c r="Y590" s="156">
        <f>_xlfn.IFNA(MATCH(E589,'Injury Report'!$C$2:$C$6216,0),0)</f>
        <v/>
      </c>
    </row>
    <row r="591" ht="13.8" customHeight="1" s="152">
      <c r="X591" s="204">
        <f>INDEX(Matrix!$AA$2:$AA$33, MATCH(G591, Matrix!$AC$2:$AC$33, 0))</f>
        <v/>
      </c>
      <c r="Y591" s="156">
        <f>_xlfn.IFNA(MATCH(E590,'Injury Report'!$C$2:$C$6216,0),0)</f>
        <v/>
      </c>
    </row>
    <row r="592" ht="13.8" customHeight="1" s="152">
      <c r="X592" s="204">
        <f>INDEX(Matrix!$AA$2:$AA$33, MATCH(G592, Matrix!$AC$2:$AC$33, 0))</f>
        <v/>
      </c>
      <c r="Y592" s="156">
        <f>_xlfn.IFNA(MATCH(E591,'Injury Report'!$C$2:$C$6216,0),0)</f>
        <v/>
      </c>
    </row>
    <row r="593" ht="13.8" customHeight="1" s="152">
      <c r="X593" s="204">
        <f>INDEX(Matrix!$AA$2:$AA$33, MATCH(G593, Matrix!$AC$2:$AC$33, 0))</f>
        <v/>
      </c>
      <c r="Y593" s="156">
        <f>_xlfn.IFNA(MATCH(E592,'Injury Report'!$C$2:$C$6216,0),0)</f>
        <v/>
      </c>
    </row>
    <row r="594" ht="13.8" customHeight="1" s="152">
      <c r="X594" s="204">
        <f>INDEX(Matrix!$AA$2:$AA$33, MATCH(G594, Matrix!$AC$2:$AC$33, 0))</f>
        <v/>
      </c>
      <c r="Y594" s="156">
        <f>_xlfn.IFNA(MATCH(E593,'Injury Report'!$C$2:$C$6216,0),0)</f>
        <v/>
      </c>
    </row>
    <row r="595" ht="13.8" customHeight="1" s="152">
      <c r="X595" s="204">
        <f>INDEX(Matrix!$AA$2:$AA$33, MATCH(G595, Matrix!$AC$2:$AC$33, 0))</f>
        <v/>
      </c>
      <c r="Y595" s="156">
        <f>_xlfn.IFNA(MATCH(E594,'Injury Report'!$C$2:$C$6216,0),0)</f>
        <v/>
      </c>
    </row>
    <row r="596" ht="13.8" customHeight="1" s="152">
      <c r="X596" s="204">
        <f>INDEX(Matrix!$AA$2:$AA$33, MATCH(G596, Matrix!$AC$2:$AC$33, 0))</f>
        <v/>
      </c>
      <c r="Y596" s="156">
        <f>_xlfn.IFNA(MATCH(E595,'Injury Report'!$C$2:$C$6216,0),0)</f>
        <v/>
      </c>
    </row>
    <row r="597" ht="13.8" customHeight="1" s="152">
      <c r="X597" s="204">
        <f>INDEX(Matrix!$AA$2:$AA$33, MATCH(G597, Matrix!$AC$2:$AC$33, 0))</f>
        <v/>
      </c>
      <c r="Y597" s="156">
        <f>_xlfn.IFNA(MATCH(E596,'Injury Report'!$C$2:$C$6216,0),0)</f>
        <v/>
      </c>
    </row>
    <row r="598" ht="13.8" customHeight="1" s="152">
      <c r="X598" s="204">
        <f>INDEX(Matrix!$AA$2:$AA$33, MATCH(G598, Matrix!$AC$2:$AC$33, 0))</f>
        <v/>
      </c>
      <c r="Y598" s="156">
        <f>_xlfn.IFNA(MATCH(E597,'Injury Report'!$C$2:$C$6216,0),0)</f>
        <v/>
      </c>
    </row>
    <row r="599" ht="13.8" customHeight="1" s="152">
      <c r="X599" s="204">
        <f>INDEX(Matrix!$AA$2:$AA$33, MATCH(G599, Matrix!$AC$2:$AC$33, 0))</f>
        <v/>
      </c>
      <c r="Y599" s="156">
        <f>_xlfn.IFNA(MATCH(E598,'Injury Report'!$C$2:$C$6216,0),0)</f>
        <v/>
      </c>
    </row>
    <row r="600" ht="13.8" customHeight="1" s="152">
      <c r="X600" s="204">
        <f>INDEX(Matrix!$AA$2:$AA$33, MATCH(G600, Matrix!$AC$2:$AC$33, 0))</f>
        <v/>
      </c>
      <c r="Y600" s="156">
        <f>_xlfn.IFNA(MATCH(E599,'Injury Report'!$C$2:$C$6216,0),0)</f>
        <v/>
      </c>
    </row>
    <row r="601" ht="13.8" customHeight="1" s="152">
      <c r="X601" s="204">
        <f>INDEX(Matrix!$AA$2:$AA$33, MATCH(G601, Matrix!$AC$2:$AC$33, 0))</f>
        <v/>
      </c>
      <c r="Y601" s="156">
        <f>_xlfn.IFNA(MATCH(E600,'Injury Report'!$C$2:$C$6216,0),0)</f>
        <v/>
      </c>
    </row>
    <row r="602" ht="13.8" customHeight="1" s="152">
      <c r="X602" s="204">
        <f>INDEX(Matrix!$AA$2:$AA$33, MATCH(G602, Matrix!$AC$2:$AC$33, 0))</f>
        <v/>
      </c>
      <c r="Y602" s="156">
        <f>_xlfn.IFNA(MATCH(E601,'Injury Report'!$C$2:$C$6216,0),0)</f>
        <v/>
      </c>
    </row>
    <row r="603" ht="13.8" customHeight="1" s="152">
      <c r="X603" s="204">
        <f>INDEX(Matrix!$AA$2:$AA$33, MATCH(G603, Matrix!$AC$2:$AC$33, 0))</f>
        <v/>
      </c>
      <c r="Y603" s="156">
        <f>_xlfn.IFNA(MATCH(E602,'Injury Report'!$C$2:$C$6216,0),0)</f>
        <v/>
      </c>
    </row>
    <row r="604" ht="13.8" customHeight="1" s="152">
      <c r="X604" s="204">
        <f>INDEX(Matrix!$AA$2:$AA$33, MATCH(G604, Matrix!$AC$2:$AC$33, 0))</f>
        <v/>
      </c>
      <c r="Y604" s="156">
        <f>_xlfn.IFNA(MATCH(E603,'Injury Report'!$C$2:$C$6216,0),0)</f>
        <v/>
      </c>
    </row>
    <row r="605" ht="13.8" customHeight="1" s="152">
      <c r="X605" s="204">
        <f>INDEX(Matrix!$AA$2:$AA$33, MATCH(G605, Matrix!$AC$2:$AC$33, 0))</f>
        <v/>
      </c>
      <c r="Y605" s="156">
        <f>_xlfn.IFNA(MATCH(E604,'Injury Report'!$C$2:$C$6216,0),0)</f>
        <v/>
      </c>
    </row>
    <row r="606" ht="13.8" customHeight="1" s="152">
      <c r="X606" s="204">
        <f>INDEX(Matrix!$AA$2:$AA$33, MATCH(G606, Matrix!$AC$2:$AC$33, 0))</f>
        <v/>
      </c>
      <c r="Y606" s="156">
        <f>_xlfn.IFNA(MATCH(E605,'Injury Report'!$C$2:$C$6216,0),0)</f>
        <v/>
      </c>
    </row>
    <row r="607" ht="13.8" customHeight="1" s="152">
      <c r="X607" s="204">
        <f>INDEX(Matrix!$AA$2:$AA$33, MATCH(G607, Matrix!$AC$2:$AC$33, 0))</f>
        <v/>
      </c>
      <c r="Y607" s="156">
        <f>_xlfn.IFNA(MATCH(E606,'Injury Report'!$C$2:$C$6216,0),0)</f>
        <v/>
      </c>
    </row>
    <row r="608" ht="13.8" customHeight="1" s="152">
      <c r="X608" s="204">
        <f>INDEX(Matrix!$AA$2:$AA$33, MATCH(G608, Matrix!$AC$2:$AC$33, 0))</f>
        <v/>
      </c>
      <c r="Y608" s="156">
        <f>_xlfn.IFNA(MATCH(E607,'Injury Report'!$C$2:$C$6216,0),0)</f>
        <v/>
      </c>
    </row>
    <row r="609" ht="13.8" customHeight="1" s="152">
      <c r="X609" s="204">
        <f>INDEX(Matrix!$AA$2:$AA$33, MATCH(G609, Matrix!$AC$2:$AC$33, 0))</f>
        <v/>
      </c>
      <c r="Y609" s="156">
        <f>_xlfn.IFNA(MATCH(E608,'Injury Report'!$C$2:$C$6216,0),0)</f>
        <v/>
      </c>
    </row>
    <row r="610" ht="13.8" customHeight="1" s="152">
      <c r="X610" s="204">
        <f>INDEX(Matrix!$AA$2:$AA$33, MATCH(G610, Matrix!$AC$2:$AC$33, 0))</f>
        <v/>
      </c>
      <c r="Y610" s="156">
        <f>_xlfn.IFNA(MATCH(E609,'Injury Report'!$C$2:$C$6216,0),0)</f>
        <v/>
      </c>
    </row>
    <row r="611" ht="13.8" customHeight="1" s="152">
      <c r="X611" s="204">
        <f>INDEX(Matrix!$AA$2:$AA$33, MATCH(G611, Matrix!$AC$2:$AC$33, 0))</f>
        <v/>
      </c>
      <c r="Y611" s="156">
        <f>_xlfn.IFNA(MATCH(E610,'Injury Report'!$C$2:$C$6216,0),0)</f>
        <v/>
      </c>
    </row>
    <row r="612" ht="13.8" customHeight="1" s="152">
      <c r="X612" s="204">
        <f>INDEX(Matrix!$AA$2:$AA$33, MATCH(G612, Matrix!$AC$2:$AC$33, 0))</f>
        <v/>
      </c>
      <c r="Y612" s="156">
        <f>_xlfn.IFNA(MATCH(E611,'Injury Report'!$C$2:$C$6216,0),0)</f>
        <v/>
      </c>
    </row>
    <row r="613" ht="13.8" customHeight="1" s="152">
      <c r="X613" s="204">
        <f>INDEX(Matrix!$AA$2:$AA$33, MATCH(G613, Matrix!$AC$2:$AC$33, 0))</f>
        <v/>
      </c>
      <c r="Y613" s="156">
        <f>_xlfn.IFNA(MATCH(E612,'Injury Report'!$C$2:$C$6216,0),0)</f>
        <v/>
      </c>
    </row>
    <row r="614" ht="13.8" customHeight="1" s="152">
      <c r="X614" s="204">
        <f>INDEX(Matrix!$AA$2:$AA$33, MATCH(G614, Matrix!$AC$2:$AC$33, 0))</f>
        <v/>
      </c>
      <c r="Y614" s="156">
        <f>_xlfn.IFNA(MATCH(E613,'Injury Report'!$C$2:$C$6216,0),0)</f>
        <v/>
      </c>
    </row>
    <row r="615" ht="13.8" customHeight="1" s="152">
      <c r="X615" s="204">
        <f>INDEX(Matrix!$AA$2:$AA$33, MATCH(G615, Matrix!$AC$2:$AC$33, 0))</f>
        <v/>
      </c>
      <c r="Y615" s="156">
        <f>_xlfn.IFNA(MATCH(E614,'Injury Report'!$C$2:$C$6216,0),0)</f>
        <v/>
      </c>
    </row>
    <row r="616" ht="13.8" customHeight="1" s="152">
      <c r="X616" s="204">
        <f>INDEX(Matrix!$AA$2:$AA$33, MATCH(G616, Matrix!$AC$2:$AC$33, 0))</f>
        <v/>
      </c>
      <c r="Y616" s="156">
        <f>_xlfn.IFNA(MATCH(E615,'Injury Report'!$C$2:$C$6216,0),0)</f>
        <v/>
      </c>
    </row>
    <row r="617" ht="13.8" customHeight="1" s="152">
      <c r="X617" s="204">
        <f>INDEX(Matrix!$AA$2:$AA$33, MATCH(G617, Matrix!$AC$2:$AC$33, 0))</f>
        <v/>
      </c>
      <c r="Y617" s="156">
        <f>_xlfn.IFNA(MATCH(E616,'Injury Report'!$C$2:$C$6216,0),0)</f>
        <v/>
      </c>
    </row>
    <row r="618" ht="13.8" customHeight="1" s="152">
      <c r="X618" s="204">
        <f>INDEX(Matrix!$AA$2:$AA$33, MATCH(G618, Matrix!$AC$2:$AC$33, 0))</f>
        <v/>
      </c>
      <c r="Y618" s="156">
        <f>_xlfn.IFNA(MATCH(E617,'Injury Report'!$C$2:$C$6216,0),0)</f>
        <v/>
      </c>
    </row>
    <row r="619" ht="13.8" customHeight="1" s="152">
      <c r="X619" s="204">
        <f>INDEX(Matrix!$AA$2:$AA$33, MATCH(G619, Matrix!$AC$2:$AC$33, 0))</f>
        <v/>
      </c>
      <c r="Y619" s="156">
        <f>_xlfn.IFNA(MATCH(E618,'Injury Report'!$C$2:$C$6216,0),0)</f>
        <v/>
      </c>
    </row>
    <row r="620" ht="13.8" customHeight="1" s="152">
      <c r="X620" s="204">
        <f>INDEX(Matrix!$AA$2:$AA$33, MATCH(G620, Matrix!$AC$2:$AC$33, 0))</f>
        <v/>
      </c>
      <c r="Y620" s="156">
        <f>_xlfn.IFNA(MATCH(E619,'Injury Report'!$C$2:$C$6216,0),0)</f>
        <v/>
      </c>
    </row>
    <row r="621" ht="13.8" customHeight="1" s="152">
      <c r="X621" s="204">
        <f>INDEX(Matrix!$AA$2:$AA$33, MATCH(G621, Matrix!$AC$2:$AC$33, 0))</f>
        <v/>
      </c>
      <c r="Y621" s="156">
        <f>_xlfn.IFNA(MATCH(E620,'Injury Report'!$C$2:$C$6216,0),0)</f>
        <v/>
      </c>
    </row>
    <row r="622" ht="13.8" customHeight="1" s="152">
      <c r="X622" s="204">
        <f>INDEX(Matrix!$AA$2:$AA$33, MATCH(G622, Matrix!$AC$2:$AC$33, 0))</f>
        <v/>
      </c>
      <c r="Y622" s="156">
        <f>_xlfn.IFNA(MATCH(E621,'Injury Report'!$C$2:$C$6216,0),0)</f>
        <v/>
      </c>
    </row>
    <row r="623" ht="13.8" customHeight="1" s="152">
      <c r="X623" s="204">
        <f>INDEX(Matrix!$AA$2:$AA$33, MATCH(G623, Matrix!$AC$2:$AC$33, 0))</f>
        <v/>
      </c>
      <c r="Y623" s="156">
        <f>_xlfn.IFNA(MATCH(E622,'Injury Report'!$C$2:$C$6216,0),0)</f>
        <v/>
      </c>
    </row>
    <row r="624" ht="13.8" customHeight="1" s="152">
      <c r="X624" s="204">
        <f>INDEX(Matrix!$AA$2:$AA$33, MATCH(G624, Matrix!$AC$2:$AC$33, 0))</f>
        <v/>
      </c>
      <c r="Y624" s="156">
        <f>_xlfn.IFNA(MATCH(E623,'Injury Report'!$C$2:$C$6216,0),0)</f>
        <v/>
      </c>
    </row>
    <row r="625" ht="13.8" customHeight="1" s="152">
      <c r="X625" s="204">
        <f>INDEX(Matrix!$AA$2:$AA$33, MATCH(G625, Matrix!$AC$2:$AC$33, 0))</f>
        <v/>
      </c>
      <c r="Y625" s="156">
        <f>_xlfn.IFNA(MATCH(E624,'Injury Report'!$C$2:$C$6216,0),0)</f>
        <v/>
      </c>
    </row>
    <row r="626" ht="13.8" customHeight="1" s="152">
      <c r="X626" s="204">
        <f>INDEX(Matrix!$AA$2:$AA$33, MATCH(G626, Matrix!$AC$2:$AC$33, 0))</f>
        <v/>
      </c>
      <c r="Y626" s="156">
        <f>_xlfn.IFNA(MATCH(E625,'Injury Report'!$C$2:$C$6216,0),0)</f>
        <v/>
      </c>
    </row>
    <row r="627" ht="13.8" customHeight="1" s="152">
      <c r="X627" s="204">
        <f>INDEX(Matrix!$AA$2:$AA$33, MATCH(G627, Matrix!$AC$2:$AC$33, 0))</f>
        <v/>
      </c>
      <c r="Y627" s="156">
        <f>_xlfn.IFNA(MATCH(E626,'Injury Report'!$C$2:$C$6216,0),0)</f>
        <v/>
      </c>
    </row>
    <row r="628" ht="13.8" customHeight="1" s="152">
      <c r="X628" s="204">
        <f>INDEX(Matrix!$AA$2:$AA$33, MATCH(G628, Matrix!$AC$2:$AC$33, 0))</f>
        <v/>
      </c>
      <c r="Y628" s="156">
        <f>_xlfn.IFNA(MATCH(E627,'Injury Report'!$C$2:$C$6216,0),0)</f>
        <v/>
      </c>
    </row>
    <row r="629" ht="13.8" customHeight="1" s="152">
      <c r="X629" s="204">
        <f>INDEX(Matrix!$AA$2:$AA$33, MATCH(G629, Matrix!$AC$2:$AC$33, 0))</f>
        <v/>
      </c>
      <c r="Y629" s="156">
        <f>_xlfn.IFNA(MATCH(E628,'Injury Report'!$C$2:$C$6216,0),0)</f>
        <v/>
      </c>
    </row>
    <row r="630" ht="13.8" customHeight="1" s="152">
      <c r="X630" s="204">
        <f>INDEX(Matrix!$AA$2:$AA$33, MATCH(G630, Matrix!$AC$2:$AC$33, 0))</f>
        <v/>
      </c>
      <c r="Y630" s="156">
        <f>_xlfn.IFNA(MATCH(E629,'Injury Report'!$C$2:$C$6216,0),0)</f>
        <v/>
      </c>
    </row>
    <row r="631" ht="13.8" customHeight="1" s="152">
      <c r="X631" s="204">
        <f>INDEX(Matrix!$AA$2:$AA$33, MATCH(G631, Matrix!$AC$2:$AC$33, 0))</f>
        <v/>
      </c>
      <c r="Y631" s="156">
        <f>_xlfn.IFNA(MATCH(E630,'Injury Report'!$C$2:$C$6216,0),0)</f>
        <v/>
      </c>
    </row>
    <row r="632" ht="13.8" customHeight="1" s="152">
      <c r="X632" s="204">
        <f>INDEX(Matrix!$AA$2:$AA$33, MATCH(G632, Matrix!$AC$2:$AC$33, 0))</f>
        <v/>
      </c>
      <c r="Y632" s="156">
        <f>_xlfn.IFNA(MATCH(E631,'Injury Report'!$C$2:$C$6216,0),0)</f>
        <v/>
      </c>
    </row>
    <row r="633" ht="13.8" customHeight="1" s="152">
      <c r="X633" s="204">
        <f>INDEX(Matrix!$AA$2:$AA$33, MATCH(G633, Matrix!$AC$2:$AC$33, 0))</f>
        <v/>
      </c>
      <c r="Y633" s="156">
        <f>_xlfn.IFNA(MATCH(E632,'Injury Report'!$C$2:$C$6216,0),0)</f>
        <v/>
      </c>
    </row>
    <row r="634" ht="13.8" customHeight="1" s="152">
      <c r="X634" s="204">
        <f>INDEX(Matrix!$AA$2:$AA$33, MATCH(G634, Matrix!$AC$2:$AC$33, 0))</f>
        <v/>
      </c>
      <c r="Y634" s="156">
        <f>_xlfn.IFNA(MATCH(E633,'Injury Report'!$C$2:$C$6216,0),0)</f>
        <v/>
      </c>
    </row>
    <row r="635" ht="13.8" customHeight="1" s="152">
      <c r="X635" s="204">
        <f>INDEX(Matrix!$AA$2:$AA$33, MATCH(G635, Matrix!$AC$2:$AC$33, 0))</f>
        <v/>
      </c>
      <c r="Y635" s="156">
        <f>_xlfn.IFNA(MATCH(E634,'Injury Report'!$C$2:$C$6216,0),0)</f>
        <v/>
      </c>
    </row>
    <row r="636" ht="13.8" customHeight="1" s="152">
      <c r="X636" s="204">
        <f>INDEX(Matrix!$AA$2:$AA$33, MATCH(G636, Matrix!$AC$2:$AC$33, 0))</f>
        <v/>
      </c>
      <c r="Y636" s="156">
        <f>_xlfn.IFNA(MATCH(E635,'Injury Report'!$C$2:$C$6216,0),0)</f>
        <v/>
      </c>
    </row>
    <row r="637" ht="13.8" customHeight="1" s="152">
      <c r="X637" s="204">
        <f>INDEX(Matrix!$AA$2:$AA$33, MATCH(G637, Matrix!$AC$2:$AC$33, 0))</f>
        <v/>
      </c>
      <c r="Y637" s="156">
        <f>_xlfn.IFNA(MATCH(E636,'Injury Report'!$C$2:$C$6216,0),0)</f>
        <v/>
      </c>
    </row>
    <row r="638" ht="13.8" customHeight="1" s="152">
      <c r="X638" s="204">
        <f>INDEX(Matrix!$AA$2:$AA$33, MATCH(G638, Matrix!$AC$2:$AC$33, 0))</f>
        <v/>
      </c>
      <c r="Y638" s="156">
        <f>_xlfn.IFNA(MATCH(E637,'Injury Report'!$C$2:$C$6216,0),0)</f>
        <v/>
      </c>
    </row>
    <row r="639" ht="13.8" customHeight="1" s="152">
      <c r="X639" s="204">
        <f>INDEX(Matrix!$AA$2:$AA$33, MATCH(G639, Matrix!$AC$2:$AC$33, 0))</f>
        <v/>
      </c>
      <c r="Y639" s="156">
        <f>_xlfn.IFNA(MATCH(E638,'Injury Report'!$C$2:$C$6216,0),0)</f>
        <v/>
      </c>
    </row>
    <row r="640" ht="13.8" customHeight="1" s="152">
      <c r="X640" s="204">
        <f>INDEX(Matrix!$AA$2:$AA$33, MATCH(G640, Matrix!$AC$2:$AC$33, 0))</f>
        <v/>
      </c>
      <c r="Y640" s="156">
        <f>_xlfn.IFNA(MATCH(E639,'Injury Report'!$C$2:$C$6216,0),0)</f>
        <v/>
      </c>
    </row>
    <row r="641" ht="13.8" customHeight="1" s="152">
      <c r="X641" s="204">
        <f>INDEX(Matrix!$AA$2:$AA$33, MATCH(G641, Matrix!$AC$2:$AC$33, 0))</f>
        <v/>
      </c>
      <c r="Y641" s="156">
        <f>_xlfn.IFNA(MATCH(E640,'Injury Report'!$C$2:$C$6216,0),0)</f>
        <v/>
      </c>
    </row>
    <row r="642" ht="13.8" customHeight="1" s="152">
      <c r="X642" s="204">
        <f>INDEX(Matrix!$AA$2:$AA$33, MATCH(G642, Matrix!$AC$2:$AC$33, 0))</f>
        <v/>
      </c>
      <c r="Y642" s="156">
        <f>_xlfn.IFNA(MATCH(E641,'Injury Report'!$C$2:$C$6216,0),0)</f>
        <v/>
      </c>
    </row>
    <row r="643" ht="13.8" customHeight="1" s="152">
      <c r="X643" s="204">
        <f>INDEX(Matrix!$AA$2:$AA$33, MATCH(G643, Matrix!$AC$2:$AC$33, 0))</f>
        <v/>
      </c>
      <c r="Y643" s="156">
        <f>_xlfn.IFNA(MATCH(E642,'Injury Report'!$C$2:$C$6216,0),0)</f>
        <v/>
      </c>
    </row>
    <row r="644" ht="13.8" customHeight="1" s="152">
      <c r="X644" s="204">
        <f>INDEX(Matrix!$AA$2:$AA$33, MATCH(G644, Matrix!$AC$2:$AC$33, 0))</f>
        <v/>
      </c>
      <c r="Y644" s="156">
        <f>_xlfn.IFNA(MATCH(E643,'Injury Report'!$C$2:$C$6216,0),0)</f>
        <v/>
      </c>
    </row>
    <row r="645" ht="13.8" customHeight="1" s="152">
      <c r="X645" s="204">
        <f>INDEX(Matrix!$AA$2:$AA$33, MATCH(G645, Matrix!$AC$2:$AC$33, 0))</f>
        <v/>
      </c>
      <c r="Y645" s="156">
        <f>_xlfn.IFNA(MATCH(E644,'Injury Report'!$C$2:$C$6216,0),0)</f>
        <v/>
      </c>
    </row>
    <row r="646" ht="13.8" customHeight="1" s="152">
      <c r="X646" s="204">
        <f>INDEX(Matrix!$AA$2:$AA$33, MATCH(G646, Matrix!$AC$2:$AC$33, 0))</f>
        <v/>
      </c>
      <c r="Y646" s="156">
        <f>_xlfn.IFNA(MATCH(E645,'Injury Report'!$C$2:$C$6216,0),0)</f>
        <v/>
      </c>
    </row>
    <row r="647" ht="13.8" customHeight="1" s="152">
      <c r="X647" s="204">
        <f>INDEX(Matrix!$AA$2:$AA$33, MATCH(G647, Matrix!$AC$2:$AC$33, 0))</f>
        <v/>
      </c>
      <c r="Y647" s="156">
        <f>_xlfn.IFNA(MATCH(E646,'Injury Report'!$C$2:$C$6216,0),0)</f>
        <v/>
      </c>
    </row>
    <row r="648" ht="13.8" customHeight="1" s="152">
      <c r="X648" s="204">
        <f>INDEX(Matrix!$AA$2:$AA$33, MATCH(G648, Matrix!$AC$2:$AC$33, 0))</f>
        <v/>
      </c>
      <c r="Y648" s="156">
        <f>_xlfn.IFNA(MATCH(E647,'Injury Report'!$C$2:$C$6216,0),0)</f>
        <v/>
      </c>
    </row>
    <row r="649" ht="13.8" customHeight="1" s="152">
      <c r="X649" s="204">
        <f>INDEX(Matrix!$AA$2:$AA$33, MATCH(G649, Matrix!$AC$2:$AC$33, 0))</f>
        <v/>
      </c>
      <c r="Y649" s="156">
        <f>_xlfn.IFNA(MATCH(E648,'Injury Report'!$C$2:$C$6216,0),0)</f>
        <v/>
      </c>
    </row>
    <row r="650" ht="13.8" customHeight="1" s="152">
      <c r="X650" s="204">
        <f>INDEX(Matrix!$AA$2:$AA$33, MATCH(G650, Matrix!$AC$2:$AC$33, 0))</f>
        <v/>
      </c>
      <c r="Y650" s="156">
        <f>_xlfn.IFNA(MATCH(E649,'Injury Report'!$C$2:$C$6216,0),0)</f>
        <v/>
      </c>
    </row>
    <row r="651" ht="13.8" customHeight="1" s="152">
      <c r="X651" s="204">
        <f>INDEX(Matrix!$AA$2:$AA$33, MATCH(G651, Matrix!$AC$2:$AC$33, 0))</f>
        <v/>
      </c>
      <c r="Y651" s="156">
        <f>_xlfn.IFNA(MATCH(E650,'Injury Report'!$C$2:$C$6216,0),0)</f>
        <v/>
      </c>
    </row>
    <row r="652" ht="13.8" customHeight="1" s="152">
      <c r="X652" s="204">
        <f>INDEX(Matrix!$AA$2:$AA$33, MATCH(G652, Matrix!$AC$2:$AC$33, 0))</f>
        <v/>
      </c>
      <c r="Y652" s="156">
        <f>_xlfn.IFNA(MATCH(E651,'Injury Report'!$C$2:$C$6216,0),0)</f>
        <v/>
      </c>
    </row>
    <row r="653" ht="13.8" customHeight="1" s="152">
      <c r="X653" s="204">
        <f>INDEX(Matrix!$AA$2:$AA$33, MATCH(G653, Matrix!$AC$2:$AC$33, 0))</f>
        <v/>
      </c>
      <c r="Y653" s="156">
        <f>_xlfn.IFNA(MATCH(E652,'Injury Report'!$C$2:$C$6216,0),0)</f>
        <v/>
      </c>
    </row>
    <row r="654" ht="13.8" customHeight="1" s="152">
      <c r="X654" s="204">
        <f>INDEX(Matrix!$AA$2:$AA$33, MATCH(G654, Matrix!$AC$2:$AC$33, 0))</f>
        <v/>
      </c>
      <c r="Y654" s="156">
        <f>_xlfn.IFNA(MATCH(E653,'Injury Report'!$C$2:$C$6216,0),0)</f>
        <v/>
      </c>
    </row>
    <row r="655" ht="13.8" customHeight="1" s="152">
      <c r="X655" s="204">
        <f>INDEX(Matrix!$AA$2:$AA$33, MATCH(G655, Matrix!$AC$2:$AC$33, 0))</f>
        <v/>
      </c>
      <c r="Y655" s="156">
        <f>_xlfn.IFNA(MATCH(E654,'Injury Report'!$C$2:$C$6216,0),0)</f>
        <v/>
      </c>
    </row>
    <row r="656" ht="13.8" customHeight="1" s="152">
      <c r="X656" s="204">
        <f>INDEX(Matrix!$AA$2:$AA$33, MATCH(G656, Matrix!$AC$2:$AC$33, 0))</f>
        <v/>
      </c>
      <c r="Y656" s="156">
        <f>_xlfn.IFNA(MATCH(E655,'Injury Report'!$C$2:$C$6216,0),0)</f>
        <v/>
      </c>
    </row>
    <row r="657" ht="13.8" customHeight="1" s="152">
      <c r="X657" s="204">
        <f>INDEX(Matrix!$AA$2:$AA$33, MATCH(G657, Matrix!$AC$2:$AC$33, 0))</f>
        <v/>
      </c>
      <c r="Y657" s="156">
        <f>_xlfn.IFNA(MATCH(E656,'Injury Report'!$C$2:$C$6216,0),0)</f>
        <v/>
      </c>
    </row>
    <row r="658" ht="13.8" customHeight="1" s="152">
      <c r="X658" s="204">
        <f>INDEX(Matrix!$AA$2:$AA$33, MATCH(G658, Matrix!$AC$2:$AC$33, 0))</f>
        <v/>
      </c>
      <c r="Y658" s="156">
        <f>_xlfn.IFNA(MATCH(E657,'Injury Report'!$C$2:$C$6216,0),0)</f>
        <v/>
      </c>
    </row>
    <row r="659" ht="13.8" customHeight="1" s="152">
      <c r="X659" s="204">
        <f>INDEX(Matrix!$AA$2:$AA$33, MATCH(G659, Matrix!$AC$2:$AC$33, 0))</f>
        <v/>
      </c>
      <c r="Y659" s="156">
        <f>_xlfn.IFNA(MATCH(E658,'Injury Report'!$C$2:$C$6216,0),0)</f>
        <v/>
      </c>
    </row>
    <row r="660" ht="13.8" customHeight="1" s="152">
      <c r="X660" s="204">
        <f>INDEX(Matrix!$AA$2:$AA$33, MATCH(G660, Matrix!$AC$2:$AC$33, 0))</f>
        <v/>
      </c>
      <c r="Y660" s="156">
        <f>_xlfn.IFNA(MATCH(E659,'Injury Report'!$C$2:$C$6216,0),0)</f>
        <v/>
      </c>
    </row>
    <row r="661" ht="13.8" customHeight="1" s="152">
      <c r="X661" s="204">
        <f>INDEX(Matrix!$AA$2:$AA$33, MATCH(G661, Matrix!$AC$2:$AC$33, 0))</f>
        <v/>
      </c>
      <c r="Y661" s="156">
        <f>_xlfn.IFNA(MATCH(E660,'Injury Report'!$C$2:$C$6216,0),0)</f>
        <v/>
      </c>
    </row>
    <row r="662" ht="13.8" customHeight="1" s="152">
      <c r="X662" s="204">
        <f>INDEX(Matrix!$AA$2:$AA$33, MATCH(G662, Matrix!$AC$2:$AC$33, 0))</f>
        <v/>
      </c>
      <c r="Y662" s="156">
        <f>_xlfn.IFNA(MATCH(E661,'Injury Report'!$C$2:$C$6216,0),0)</f>
        <v/>
      </c>
    </row>
    <row r="663" ht="13.8" customHeight="1" s="152">
      <c r="X663" s="204">
        <f>INDEX(Matrix!$AA$2:$AA$33, MATCH(G663, Matrix!$AC$2:$AC$33, 0))</f>
        <v/>
      </c>
      <c r="Y663" s="156">
        <f>_xlfn.IFNA(MATCH(E662,'Injury Report'!$C$2:$C$6216,0),0)</f>
        <v/>
      </c>
    </row>
    <row r="664" ht="13.8" customHeight="1" s="152">
      <c r="X664" s="204">
        <f>INDEX(Matrix!$AA$2:$AA$33, MATCH(G664, Matrix!$AC$2:$AC$33, 0))</f>
        <v/>
      </c>
      <c r="Y664" s="156">
        <f>_xlfn.IFNA(MATCH(E663,'Injury Report'!$C$2:$C$6216,0),0)</f>
        <v/>
      </c>
    </row>
    <row r="665" ht="13.8" customHeight="1" s="152">
      <c r="X665" s="204">
        <f>INDEX(Matrix!$AA$2:$AA$33, MATCH(G665, Matrix!$AC$2:$AC$33, 0))</f>
        <v/>
      </c>
      <c r="Y665" s="156">
        <f>_xlfn.IFNA(MATCH(E664,'Injury Report'!$C$2:$C$6216,0),0)</f>
        <v/>
      </c>
    </row>
    <row r="666" ht="13.8" customHeight="1" s="152">
      <c r="X666" s="204">
        <f>INDEX(Matrix!$AA$2:$AA$33, MATCH(G666, Matrix!$AC$2:$AC$33, 0))</f>
        <v/>
      </c>
      <c r="Y666" s="156">
        <f>_xlfn.IFNA(MATCH(E665,'Injury Report'!$C$2:$C$6216,0),0)</f>
        <v/>
      </c>
    </row>
    <row r="667" ht="13.8" customHeight="1" s="152">
      <c r="X667" s="204">
        <f>INDEX(Matrix!$AA$2:$AA$33, MATCH(G667, Matrix!$AC$2:$AC$33, 0))</f>
        <v/>
      </c>
      <c r="Y667" s="156">
        <f>_xlfn.IFNA(MATCH(E666,'Injury Report'!$C$2:$C$6216,0),0)</f>
        <v/>
      </c>
    </row>
    <row r="668" ht="13.8" customHeight="1" s="152">
      <c r="X668" s="204">
        <f>INDEX(Matrix!$AA$2:$AA$33, MATCH(G668, Matrix!$AC$2:$AC$33, 0))</f>
        <v/>
      </c>
      <c r="Y668" s="156">
        <f>_xlfn.IFNA(MATCH(E667,'Injury Report'!$C$2:$C$6216,0),0)</f>
        <v/>
      </c>
    </row>
    <row r="669" ht="13.8" customHeight="1" s="152">
      <c r="X669" s="204">
        <f>INDEX(Matrix!$AA$2:$AA$33, MATCH(G669, Matrix!$AC$2:$AC$33, 0))</f>
        <v/>
      </c>
      <c r="Y669" s="156">
        <f>_xlfn.IFNA(MATCH(E668,'Injury Report'!$C$2:$C$6216,0),0)</f>
        <v/>
      </c>
    </row>
    <row r="670" ht="13.8" customHeight="1" s="152">
      <c r="X670" s="204">
        <f>INDEX(Matrix!$AA$2:$AA$33, MATCH(G670, Matrix!$AC$2:$AC$33, 0))</f>
        <v/>
      </c>
      <c r="Y670" s="156">
        <f>_xlfn.IFNA(MATCH(E669,'Injury Report'!$C$2:$C$6216,0),0)</f>
        <v/>
      </c>
    </row>
    <row r="671" ht="13.8" customHeight="1" s="152">
      <c r="X671" s="204">
        <f>INDEX(Matrix!$AA$2:$AA$33, MATCH(G671, Matrix!$AC$2:$AC$33, 0))</f>
        <v/>
      </c>
      <c r="Y671" s="156">
        <f>_xlfn.IFNA(MATCH(E670,'Injury Report'!$C$2:$C$6216,0),0)</f>
        <v/>
      </c>
    </row>
    <row r="672" ht="13.8" customHeight="1" s="152">
      <c r="X672" s="204">
        <f>INDEX(Matrix!$AA$2:$AA$33, MATCH(G672, Matrix!$AC$2:$AC$33, 0))</f>
        <v/>
      </c>
      <c r="Y672" s="156">
        <f>_xlfn.IFNA(MATCH(E671,'Injury Report'!$C$2:$C$6216,0),0)</f>
        <v/>
      </c>
    </row>
    <row r="673" ht="13.8" customHeight="1" s="152">
      <c r="X673" s="204">
        <f>INDEX(Matrix!$AA$2:$AA$33, MATCH(G673, Matrix!$AC$2:$AC$33, 0))</f>
        <v/>
      </c>
      <c r="Y673" s="156">
        <f>_xlfn.IFNA(MATCH(E672,'Injury Report'!$C$2:$C$6216,0),0)</f>
        <v/>
      </c>
    </row>
    <row r="674" ht="13.8" customHeight="1" s="152">
      <c r="X674" s="204">
        <f>INDEX(Matrix!$AA$2:$AA$33, MATCH(G674, Matrix!$AC$2:$AC$33, 0))</f>
        <v/>
      </c>
      <c r="Y674" s="156">
        <f>_xlfn.IFNA(MATCH(E673,'Injury Report'!$C$2:$C$6216,0),0)</f>
        <v/>
      </c>
    </row>
    <row r="675" ht="13.8" customHeight="1" s="152">
      <c r="X675" s="204">
        <f>INDEX(Matrix!$AA$2:$AA$33, MATCH(G675, Matrix!$AC$2:$AC$33, 0))</f>
        <v/>
      </c>
      <c r="Y675" s="156">
        <f>_xlfn.IFNA(MATCH(E674,'Injury Report'!$C$2:$C$6216,0),0)</f>
        <v/>
      </c>
    </row>
    <row r="676" ht="13.8" customHeight="1" s="152">
      <c r="X676" s="204">
        <f>INDEX(Matrix!$AA$2:$AA$33, MATCH(G676, Matrix!$AC$2:$AC$33, 0))</f>
        <v/>
      </c>
      <c r="Y676" s="156">
        <f>_xlfn.IFNA(MATCH(E675,'Injury Report'!$C$2:$C$6216,0),0)</f>
        <v/>
      </c>
    </row>
    <row r="677" ht="13.8" customHeight="1" s="152">
      <c r="X677" s="204">
        <f>INDEX(Matrix!$AA$2:$AA$33, MATCH(G677, Matrix!$AC$2:$AC$33, 0))</f>
        <v/>
      </c>
      <c r="Y677" s="156">
        <f>_xlfn.IFNA(MATCH(E676,'Injury Report'!$C$2:$C$6216,0),0)</f>
        <v/>
      </c>
    </row>
    <row r="678" ht="13.8" customHeight="1" s="152">
      <c r="X678" s="204">
        <f>INDEX(Matrix!$AA$2:$AA$33, MATCH(G678, Matrix!$AC$2:$AC$33, 0))</f>
        <v/>
      </c>
      <c r="Y678" s="156">
        <f>_xlfn.IFNA(MATCH(E677,'Injury Report'!$C$2:$C$6216,0),0)</f>
        <v/>
      </c>
    </row>
    <row r="679" ht="13.8" customHeight="1" s="152">
      <c r="X679" s="204">
        <f>INDEX(Matrix!$AA$2:$AA$33, MATCH(G679, Matrix!$AC$2:$AC$33, 0))</f>
        <v/>
      </c>
      <c r="Y679" s="156">
        <f>_xlfn.IFNA(MATCH(E678,'Injury Report'!$C$2:$C$6216,0),0)</f>
        <v/>
      </c>
    </row>
    <row r="680" ht="13.8" customHeight="1" s="152">
      <c r="X680" s="204">
        <f>INDEX(Matrix!$AA$2:$AA$33, MATCH(G680, Matrix!$AC$2:$AC$33, 0))</f>
        <v/>
      </c>
      <c r="Y680" s="156">
        <f>_xlfn.IFNA(MATCH(E679,'Injury Report'!$C$2:$C$6216,0),0)</f>
        <v/>
      </c>
    </row>
    <row r="681" ht="13.8" customHeight="1" s="152">
      <c r="X681" s="204">
        <f>INDEX(Matrix!$AA$2:$AA$33, MATCH(G681, Matrix!$AC$2:$AC$33, 0))</f>
        <v/>
      </c>
      <c r="Y681" s="156">
        <f>_xlfn.IFNA(MATCH(E680,'Injury Report'!$C$2:$C$6216,0),0)</f>
        <v/>
      </c>
    </row>
    <row r="682" ht="13.8" customHeight="1" s="152">
      <c r="X682" s="204">
        <f>INDEX(Matrix!$AA$2:$AA$33, MATCH(G682, Matrix!$AC$2:$AC$33, 0))</f>
        <v/>
      </c>
      <c r="Y682" s="156">
        <f>_xlfn.IFNA(MATCH(E681,'Injury Report'!$C$2:$C$6216,0),0)</f>
        <v/>
      </c>
    </row>
    <row r="683" ht="13.8" customHeight="1" s="152">
      <c r="X683" s="204">
        <f>INDEX(Matrix!$AA$2:$AA$33, MATCH(G683, Matrix!$AC$2:$AC$33, 0))</f>
        <v/>
      </c>
      <c r="Y683" s="156">
        <f>_xlfn.IFNA(MATCH(E682,'Injury Report'!$C$2:$C$6216,0),0)</f>
        <v/>
      </c>
    </row>
    <row r="684" ht="13.8" customHeight="1" s="152">
      <c r="X684" s="204">
        <f>INDEX(Matrix!$AA$2:$AA$33, MATCH(G684, Matrix!$AC$2:$AC$33, 0))</f>
        <v/>
      </c>
      <c r="Y684" s="156">
        <f>_xlfn.IFNA(MATCH(E683,'Injury Report'!$C$2:$C$6216,0),0)</f>
        <v/>
      </c>
    </row>
    <row r="685" ht="13.8" customHeight="1" s="152">
      <c r="X685" s="204">
        <f>INDEX(Matrix!$AA$2:$AA$33, MATCH(G685, Matrix!$AC$2:$AC$33, 0))</f>
        <v/>
      </c>
      <c r="Y685" s="156">
        <f>_xlfn.IFNA(MATCH(E684,'Injury Report'!$C$2:$C$6216,0),0)</f>
        <v/>
      </c>
    </row>
    <row r="686" ht="13.8" customHeight="1" s="152">
      <c r="X686" s="204">
        <f>INDEX(Matrix!$AA$2:$AA$33, MATCH(G686, Matrix!$AC$2:$AC$33, 0))</f>
        <v/>
      </c>
      <c r="Y686" s="156">
        <f>_xlfn.IFNA(MATCH(E685,'Injury Report'!$C$2:$C$6216,0),0)</f>
        <v/>
      </c>
    </row>
    <row r="687" ht="13.8" customHeight="1" s="152">
      <c r="X687" s="204">
        <f>INDEX(Matrix!$AA$2:$AA$33, MATCH(G687, Matrix!$AC$2:$AC$33, 0))</f>
        <v/>
      </c>
      <c r="Y687" s="156">
        <f>_xlfn.IFNA(MATCH(E686,'Injury Report'!$C$2:$C$6216,0),0)</f>
        <v/>
      </c>
    </row>
    <row r="688" ht="13.8" customHeight="1" s="152">
      <c r="X688" s="204">
        <f>INDEX(Matrix!$AA$2:$AA$33, MATCH(G688, Matrix!$AC$2:$AC$33, 0))</f>
        <v/>
      </c>
      <c r="Y688" s="156">
        <f>_xlfn.IFNA(MATCH(E687,'Injury Report'!$C$2:$C$6216,0),0)</f>
        <v/>
      </c>
    </row>
    <row r="689" ht="13.8" customHeight="1" s="152">
      <c r="X689" s="204">
        <f>INDEX(Matrix!$AA$2:$AA$33, MATCH(G689, Matrix!$AC$2:$AC$33, 0))</f>
        <v/>
      </c>
      <c r="Y689" s="156">
        <f>_xlfn.IFNA(MATCH(E688,'Injury Report'!$C$2:$C$6216,0),0)</f>
        <v/>
      </c>
    </row>
    <row r="690" ht="13.8" customHeight="1" s="152">
      <c r="X690" s="204">
        <f>INDEX(Matrix!$AA$2:$AA$33, MATCH(G690, Matrix!$AC$2:$AC$33, 0))</f>
        <v/>
      </c>
      <c r="Y690" s="156">
        <f>_xlfn.IFNA(MATCH(E689,'Injury Report'!$C$2:$C$6216,0),0)</f>
        <v/>
      </c>
    </row>
    <row r="691" ht="13.8" customHeight="1" s="152">
      <c r="X691" s="204">
        <f>INDEX(Matrix!$AA$2:$AA$33, MATCH(G691, Matrix!$AC$2:$AC$33, 0))</f>
        <v/>
      </c>
      <c r="Y691" s="156">
        <f>_xlfn.IFNA(MATCH(E690,'Injury Report'!$C$2:$C$6216,0),0)</f>
        <v/>
      </c>
    </row>
    <row r="692" ht="13.8" customHeight="1" s="152">
      <c r="X692" s="204">
        <f>INDEX(Matrix!$AA$2:$AA$33, MATCH(G692, Matrix!$AC$2:$AC$33, 0))</f>
        <v/>
      </c>
      <c r="Y692" s="156">
        <f>_xlfn.IFNA(MATCH(E691,'Injury Report'!$C$2:$C$6216,0),0)</f>
        <v/>
      </c>
    </row>
    <row r="693" ht="13.8" customHeight="1" s="152">
      <c r="X693" s="204">
        <f>INDEX(Matrix!$AA$2:$AA$33, MATCH(G693, Matrix!$AC$2:$AC$33, 0))</f>
        <v/>
      </c>
      <c r="Y693" s="156">
        <f>_xlfn.IFNA(MATCH(E692,'Injury Report'!$C$2:$C$6216,0),0)</f>
        <v/>
      </c>
    </row>
    <row r="694" ht="13.8" customHeight="1" s="152">
      <c r="X694" s="204">
        <f>INDEX(Matrix!$AA$2:$AA$33, MATCH(G694, Matrix!$AC$2:$AC$33, 0))</f>
        <v/>
      </c>
      <c r="Y694" s="156">
        <f>_xlfn.IFNA(MATCH(E693,'Injury Report'!$C$2:$C$6216,0),0)</f>
        <v/>
      </c>
    </row>
    <row r="695" ht="13.8" customHeight="1" s="152">
      <c r="X695" s="204">
        <f>INDEX(Matrix!$AA$2:$AA$33, MATCH(G695, Matrix!$AC$2:$AC$33, 0))</f>
        <v/>
      </c>
      <c r="Y695" s="156">
        <f>_xlfn.IFNA(MATCH(E694,'Injury Report'!$C$2:$C$6216,0),0)</f>
        <v/>
      </c>
    </row>
    <row r="696" ht="13.8" customHeight="1" s="152">
      <c r="X696" s="204">
        <f>INDEX(Matrix!$AA$2:$AA$33, MATCH(G696, Matrix!$AC$2:$AC$33, 0))</f>
        <v/>
      </c>
      <c r="Y696" s="156">
        <f>_xlfn.IFNA(MATCH(E695,'Injury Report'!$C$2:$C$6216,0),0)</f>
        <v/>
      </c>
    </row>
    <row r="697" ht="13.8" customHeight="1" s="152">
      <c r="X697" s="204">
        <f>INDEX(Matrix!$AA$2:$AA$33, MATCH(G697, Matrix!$AC$2:$AC$33, 0))</f>
        <v/>
      </c>
      <c r="Y697" s="156">
        <f>_xlfn.IFNA(MATCH(E696,'Injury Report'!$C$2:$C$6216,0),0)</f>
        <v/>
      </c>
    </row>
    <row r="698" ht="13.8" customHeight="1" s="152">
      <c r="X698" s="204">
        <f>INDEX(Matrix!$AA$2:$AA$33, MATCH(G698, Matrix!$AC$2:$AC$33, 0))</f>
        <v/>
      </c>
      <c r="Y698" s="156">
        <f>_xlfn.IFNA(MATCH(E697,'Injury Report'!$C$2:$C$6216,0),0)</f>
        <v/>
      </c>
    </row>
    <row r="699" ht="13.8" customHeight="1" s="152">
      <c r="X699" s="204">
        <f>INDEX(Matrix!$AA$2:$AA$33, MATCH(G699, Matrix!$AC$2:$AC$33, 0))</f>
        <v/>
      </c>
      <c r="Y699" s="156">
        <f>_xlfn.IFNA(MATCH(E698,'Injury Report'!$C$2:$C$6216,0),0)</f>
        <v/>
      </c>
    </row>
    <row r="700" ht="13.8" customHeight="1" s="152">
      <c r="X700" s="204">
        <f>INDEX(Matrix!$AA$2:$AA$33, MATCH(G700, Matrix!$AC$2:$AC$33, 0))</f>
        <v/>
      </c>
      <c r="Y700" s="156">
        <f>_xlfn.IFNA(MATCH(E699,'Injury Report'!$C$2:$C$6216,0),0)</f>
        <v/>
      </c>
    </row>
    <row r="701" ht="13.8" customHeight="1" s="152">
      <c r="X701" s="204">
        <f>INDEX(Matrix!$AA$2:$AA$33, MATCH(G701, Matrix!$AC$2:$AC$33, 0))</f>
        <v/>
      </c>
      <c r="Y701" s="156">
        <f>_xlfn.IFNA(MATCH(E700,'Injury Report'!$C$2:$C$6216,0),0)</f>
        <v/>
      </c>
    </row>
    <row r="702" ht="13.8" customHeight="1" s="152">
      <c r="X702" s="204">
        <f>INDEX(Matrix!$AA$2:$AA$33, MATCH(G702, Matrix!$AC$2:$AC$33, 0))</f>
        <v/>
      </c>
      <c r="Y702" s="156">
        <f>_xlfn.IFNA(MATCH(E701,'Injury Report'!$C$2:$C$6216,0),0)</f>
        <v/>
      </c>
    </row>
    <row r="703" ht="13.8" customHeight="1" s="152">
      <c r="X703" s="204">
        <f>INDEX(Matrix!$AA$2:$AA$33, MATCH(G703, Matrix!$AC$2:$AC$33, 0))</f>
        <v/>
      </c>
      <c r="Y703" s="156">
        <f>_xlfn.IFNA(MATCH(E702,'Injury Report'!$C$2:$C$6216,0),0)</f>
        <v/>
      </c>
    </row>
    <row r="704" ht="13.8" customHeight="1" s="152">
      <c r="X704" s="204">
        <f>INDEX(Matrix!$AA$2:$AA$33, MATCH(G704, Matrix!$AC$2:$AC$33, 0))</f>
        <v/>
      </c>
      <c r="Y704" s="156">
        <f>_xlfn.IFNA(MATCH(E703,'Injury Report'!$C$2:$C$6216,0),0)</f>
        <v/>
      </c>
    </row>
    <row r="705" ht="13.8" customHeight="1" s="152">
      <c r="X705" s="204">
        <f>INDEX(Matrix!$AA$2:$AA$33, MATCH(G705, Matrix!$AC$2:$AC$33, 0))</f>
        <v/>
      </c>
      <c r="Y705" s="156">
        <f>_xlfn.IFNA(MATCH(E704,'Injury Report'!$C$2:$C$6216,0),0)</f>
        <v/>
      </c>
    </row>
    <row r="706" ht="13.8" customHeight="1" s="152">
      <c r="X706" s="204">
        <f>INDEX(Matrix!$AA$2:$AA$33, MATCH(G706, Matrix!$AC$2:$AC$33, 0))</f>
        <v/>
      </c>
      <c r="Y706" s="156">
        <f>_xlfn.IFNA(MATCH(E705,'Injury Report'!$C$2:$C$6216,0),0)</f>
        <v/>
      </c>
    </row>
    <row r="707" ht="13.8" customHeight="1" s="152">
      <c r="X707" s="204">
        <f>INDEX(Matrix!$AA$2:$AA$33, MATCH(G707, Matrix!$AC$2:$AC$33, 0))</f>
        <v/>
      </c>
      <c r="Y707" s="156">
        <f>_xlfn.IFNA(MATCH(E706,'Injury Report'!$C$2:$C$6216,0),0)</f>
        <v/>
      </c>
    </row>
    <row r="708" ht="13.8" customHeight="1" s="152">
      <c r="X708" s="204">
        <f>INDEX(Matrix!$AA$2:$AA$33, MATCH(G708, Matrix!$AC$2:$AC$33, 0))</f>
        <v/>
      </c>
      <c r="Y708" s="156">
        <f>_xlfn.IFNA(MATCH(E707,'Injury Report'!$C$2:$C$6216,0),0)</f>
        <v/>
      </c>
    </row>
    <row r="709" ht="13.8" customHeight="1" s="152">
      <c r="X709" s="204">
        <f>INDEX(Matrix!$AA$2:$AA$33, MATCH(G709, Matrix!$AC$2:$AC$33, 0))</f>
        <v/>
      </c>
      <c r="Y709" s="156">
        <f>_xlfn.IFNA(MATCH(E708,'Injury Report'!$C$2:$C$6216,0),0)</f>
        <v/>
      </c>
    </row>
    <row r="710" ht="13.8" customHeight="1" s="152">
      <c r="X710" s="204">
        <f>INDEX(Matrix!$AA$2:$AA$33, MATCH(G710, Matrix!$AC$2:$AC$33, 0))</f>
        <v/>
      </c>
      <c r="Y710" s="156">
        <f>_xlfn.IFNA(MATCH(E709,'Injury Report'!$C$2:$C$6216,0),0)</f>
        <v/>
      </c>
    </row>
    <row r="711" ht="13.8" customHeight="1" s="152">
      <c r="X711" s="204">
        <f>INDEX(Matrix!$AA$2:$AA$33, MATCH(G711, Matrix!$AC$2:$AC$33, 0))</f>
        <v/>
      </c>
      <c r="Y711" s="156">
        <f>_xlfn.IFNA(MATCH(E710,'Injury Report'!$C$2:$C$6216,0),0)</f>
        <v/>
      </c>
    </row>
    <row r="712" ht="13.8" customHeight="1" s="152">
      <c r="X712" s="204">
        <f>INDEX(Matrix!$AA$2:$AA$33, MATCH(G712, Matrix!$AC$2:$AC$33, 0))</f>
        <v/>
      </c>
      <c r="Y712" s="156">
        <f>_xlfn.IFNA(MATCH(E711,'Injury Report'!$C$2:$C$6216,0),0)</f>
        <v/>
      </c>
    </row>
    <row r="713" ht="13.8" customHeight="1" s="152">
      <c r="X713" s="204">
        <f>INDEX(Matrix!$AA$2:$AA$33, MATCH(G713, Matrix!$AC$2:$AC$33, 0))</f>
        <v/>
      </c>
      <c r="Y713" s="156">
        <f>_xlfn.IFNA(MATCH(E712,'Injury Report'!$C$2:$C$6216,0),0)</f>
        <v/>
      </c>
    </row>
    <row r="714" ht="13.8" customHeight="1" s="152">
      <c r="X714" s="204">
        <f>INDEX(Matrix!$AA$2:$AA$33, MATCH(G714, Matrix!$AC$2:$AC$33, 0))</f>
        <v/>
      </c>
      <c r="Y714" s="156">
        <f>_xlfn.IFNA(MATCH(E713,'Injury Report'!$C$2:$C$6216,0),0)</f>
        <v/>
      </c>
    </row>
    <row r="715" ht="13.8" customHeight="1" s="152">
      <c r="X715" s="204">
        <f>INDEX(Matrix!$AA$2:$AA$33, MATCH(G715, Matrix!$AC$2:$AC$33, 0))</f>
        <v/>
      </c>
      <c r="Y715" s="156">
        <f>_xlfn.IFNA(MATCH(E714,'Injury Report'!$C$2:$C$6216,0),0)</f>
        <v/>
      </c>
    </row>
    <row r="716" ht="13.8" customHeight="1" s="152">
      <c r="X716" s="204">
        <f>INDEX(Matrix!$AA$2:$AA$33, MATCH(G716, Matrix!$AC$2:$AC$33, 0))</f>
        <v/>
      </c>
      <c r="Y716" s="156">
        <f>_xlfn.IFNA(MATCH(E715,'Injury Report'!$C$2:$C$6216,0),0)</f>
        <v/>
      </c>
    </row>
    <row r="717" ht="13.8" customHeight="1" s="152">
      <c r="X717" s="204">
        <f>INDEX(Matrix!$AA$2:$AA$33, MATCH(G717, Matrix!$AC$2:$AC$33, 0))</f>
        <v/>
      </c>
      <c r="Y717" s="156">
        <f>_xlfn.IFNA(MATCH(E716,'Injury Report'!$C$2:$C$6216,0),0)</f>
        <v/>
      </c>
    </row>
    <row r="718" ht="13.8" customHeight="1" s="152">
      <c r="X718" s="204">
        <f>INDEX(Matrix!$AA$2:$AA$33, MATCH(G718, Matrix!$AC$2:$AC$33, 0))</f>
        <v/>
      </c>
      <c r="Y718" s="156">
        <f>_xlfn.IFNA(MATCH(E717,'Injury Report'!$C$2:$C$6216,0),0)</f>
        <v/>
      </c>
    </row>
    <row r="719" ht="13.8" customHeight="1" s="152">
      <c r="X719" s="204">
        <f>INDEX(Matrix!$AA$2:$AA$33, MATCH(G719, Matrix!$AC$2:$AC$33, 0))</f>
        <v/>
      </c>
      <c r="Y719" s="156">
        <f>_xlfn.IFNA(MATCH(E718,'Injury Report'!$C$2:$C$6216,0),0)</f>
        <v/>
      </c>
    </row>
    <row r="720" ht="13.8" customHeight="1" s="152">
      <c r="X720" s="204">
        <f>INDEX(Matrix!$AA$2:$AA$33, MATCH(G720, Matrix!$AC$2:$AC$33, 0))</f>
        <v/>
      </c>
      <c r="Y720" s="156">
        <f>_xlfn.IFNA(MATCH(E719,'Injury Report'!$C$2:$C$6216,0),0)</f>
        <v/>
      </c>
    </row>
    <row r="721" ht="13.8" customHeight="1" s="152">
      <c r="X721" s="204">
        <f>INDEX(Matrix!$AA$2:$AA$33, MATCH(G721, Matrix!$AC$2:$AC$33, 0))</f>
        <v/>
      </c>
      <c r="Y721" s="156">
        <f>_xlfn.IFNA(MATCH(E720,'Injury Report'!$C$2:$C$6216,0),0)</f>
        <v/>
      </c>
    </row>
    <row r="722" ht="13.8" customHeight="1" s="152">
      <c r="X722" s="204">
        <f>INDEX(Matrix!$AA$2:$AA$33, MATCH(G722, Matrix!$AC$2:$AC$33, 0))</f>
        <v/>
      </c>
      <c r="Y722" s="156">
        <f>_xlfn.IFNA(MATCH(E721,'Injury Report'!$C$2:$C$6216,0),0)</f>
        <v/>
      </c>
    </row>
    <row r="723" ht="13.8" customHeight="1" s="152">
      <c r="X723" s="204">
        <f>INDEX(Matrix!$AA$2:$AA$33, MATCH(G723, Matrix!$AC$2:$AC$33, 0))</f>
        <v/>
      </c>
      <c r="Y723" s="156">
        <f>_xlfn.IFNA(MATCH(E722,'Injury Report'!$C$2:$C$6216,0),0)</f>
        <v/>
      </c>
    </row>
    <row r="724" ht="13.8" customHeight="1" s="152">
      <c r="X724" s="204">
        <f>INDEX(Matrix!$AA$2:$AA$33, MATCH(G724, Matrix!$AC$2:$AC$33, 0))</f>
        <v/>
      </c>
      <c r="Y724" s="156">
        <f>_xlfn.IFNA(MATCH(E723,'Injury Report'!$C$2:$C$6216,0),0)</f>
        <v/>
      </c>
    </row>
    <row r="725" ht="13.8" customHeight="1" s="152">
      <c r="X725" s="204">
        <f>INDEX(Matrix!$AA$2:$AA$33, MATCH(G725, Matrix!$AC$2:$AC$33, 0))</f>
        <v/>
      </c>
      <c r="Y725" s="156">
        <f>_xlfn.IFNA(MATCH(E724,'Injury Report'!$C$2:$C$6216,0),0)</f>
        <v/>
      </c>
    </row>
    <row r="726" ht="13.8" customHeight="1" s="152">
      <c r="X726" s="204">
        <f>INDEX(Matrix!$AA$2:$AA$33, MATCH(G726, Matrix!$AC$2:$AC$33, 0))</f>
        <v/>
      </c>
      <c r="Y726" s="156">
        <f>_xlfn.IFNA(MATCH(E725,'Injury Report'!$C$2:$C$6216,0),0)</f>
        <v/>
      </c>
    </row>
    <row r="727" ht="13.8" customHeight="1" s="152">
      <c r="X727" s="204">
        <f>INDEX(Matrix!$AA$2:$AA$33, MATCH(G727, Matrix!$AC$2:$AC$33, 0))</f>
        <v/>
      </c>
      <c r="Y727" s="156">
        <f>_xlfn.IFNA(MATCH(E726,'Injury Report'!$C$2:$C$6216,0),0)</f>
        <v/>
      </c>
    </row>
    <row r="728" ht="13.8" customHeight="1" s="152">
      <c r="X728" s="204">
        <f>INDEX(Matrix!$AA$2:$AA$33, MATCH(G728, Matrix!$AC$2:$AC$33, 0))</f>
        <v/>
      </c>
      <c r="Y728" s="156">
        <f>_xlfn.IFNA(MATCH(E727,'Injury Report'!$C$2:$C$6216,0),0)</f>
        <v/>
      </c>
    </row>
    <row r="729" ht="13.8" customHeight="1" s="152">
      <c r="X729" s="204">
        <f>INDEX(Matrix!$AA$2:$AA$33, MATCH(G729, Matrix!$AC$2:$AC$33, 0))</f>
        <v/>
      </c>
      <c r="Y729" s="156">
        <f>_xlfn.IFNA(MATCH(E728,'Injury Report'!$C$2:$C$6216,0),0)</f>
        <v/>
      </c>
    </row>
    <row r="730" ht="13.8" customHeight="1" s="152">
      <c r="X730" s="204">
        <f>INDEX(Matrix!$AA$2:$AA$33, MATCH(G730, Matrix!$AC$2:$AC$33, 0))</f>
        <v/>
      </c>
      <c r="Y730" s="156">
        <f>_xlfn.IFNA(MATCH(E729,'Injury Report'!$C$2:$C$6216,0),0)</f>
        <v/>
      </c>
    </row>
    <row r="731" ht="13.8" customHeight="1" s="152">
      <c r="X731" s="204">
        <f>INDEX(Matrix!$AA$2:$AA$33, MATCH(G731, Matrix!$AC$2:$AC$33, 0))</f>
        <v/>
      </c>
      <c r="Y731" s="156">
        <f>_xlfn.IFNA(MATCH(E730,'Injury Report'!$C$2:$C$6216,0),0)</f>
        <v/>
      </c>
    </row>
    <row r="732" ht="13.8" customHeight="1" s="152">
      <c r="X732" s="204">
        <f>INDEX(Matrix!$AA$2:$AA$33, MATCH(G732, Matrix!$AC$2:$AC$33, 0))</f>
        <v/>
      </c>
      <c r="Y732" s="156">
        <f>_xlfn.IFNA(MATCH(E731,'Injury Report'!$C$2:$C$6216,0),0)</f>
        <v/>
      </c>
    </row>
    <row r="733" ht="13.8" customHeight="1" s="152">
      <c r="X733" s="204">
        <f>INDEX(Matrix!$AA$2:$AA$33, MATCH(G733, Matrix!$AC$2:$AC$33, 0))</f>
        <v/>
      </c>
      <c r="Y733" s="156">
        <f>_xlfn.IFNA(MATCH(E732,'Injury Report'!$C$2:$C$6216,0),0)</f>
        <v/>
      </c>
    </row>
    <row r="734" ht="13.8" customHeight="1" s="152">
      <c r="X734" s="204">
        <f>INDEX(Matrix!$AA$2:$AA$33, MATCH(G734, Matrix!$AC$2:$AC$33, 0))</f>
        <v/>
      </c>
      <c r="Y734" s="156">
        <f>_xlfn.IFNA(MATCH(E733,'Injury Report'!$C$2:$C$6216,0),0)</f>
        <v/>
      </c>
    </row>
    <row r="735" ht="13.8" customHeight="1" s="152">
      <c r="X735" s="204">
        <f>INDEX(Matrix!$AA$2:$AA$33, MATCH(G735, Matrix!$AC$2:$AC$33, 0))</f>
        <v/>
      </c>
      <c r="Y735" s="156">
        <f>_xlfn.IFNA(MATCH(E734,'Injury Report'!$C$2:$C$6216,0),0)</f>
        <v/>
      </c>
    </row>
    <row r="736" ht="13.8" customHeight="1" s="152">
      <c r="X736" s="204">
        <f>INDEX(Matrix!$AA$2:$AA$33, MATCH(G736, Matrix!$AC$2:$AC$33, 0))</f>
        <v/>
      </c>
      <c r="Y736" s="156">
        <f>_xlfn.IFNA(MATCH(E735,'Injury Report'!$C$2:$C$6216,0),0)</f>
        <v/>
      </c>
    </row>
    <row r="737" ht="13.8" customHeight="1" s="152">
      <c r="X737" s="204">
        <f>INDEX(Matrix!$AA$2:$AA$33, MATCH(G737, Matrix!$AC$2:$AC$33, 0))</f>
        <v/>
      </c>
      <c r="Y737" s="156">
        <f>_xlfn.IFNA(MATCH(E736,'Injury Report'!$C$2:$C$6216,0),0)</f>
        <v/>
      </c>
    </row>
    <row r="738" ht="13.8" customHeight="1" s="152">
      <c r="X738" s="204">
        <f>INDEX(Matrix!$AA$2:$AA$33, MATCH(G738, Matrix!$AC$2:$AC$33, 0))</f>
        <v/>
      </c>
      <c r="Y738" s="156">
        <f>_xlfn.IFNA(MATCH(E737,'Injury Report'!$C$2:$C$6216,0),0)</f>
        <v/>
      </c>
    </row>
    <row r="739" ht="13.8" customHeight="1" s="152">
      <c r="X739" s="204">
        <f>INDEX(Matrix!$AA$2:$AA$33, MATCH(G739, Matrix!$AC$2:$AC$33, 0))</f>
        <v/>
      </c>
      <c r="Y739" s="156">
        <f>_xlfn.IFNA(MATCH(E738,'Injury Report'!$C$2:$C$6216,0),0)</f>
        <v/>
      </c>
    </row>
    <row r="740" ht="13.8" customHeight="1" s="152">
      <c r="X740" s="204">
        <f>INDEX(Matrix!$AA$2:$AA$33, MATCH(G740, Matrix!$AC$2:$AC$33, 0))</f>
        <v/>
      </c>
      <c r="Y740" s="156">
        <f>_xlfn.IFNA(MATCH(E739,'Injury Report'!$C$2:$C$6216,0),0)</f>
        <v/>
      </c>
    </row>
    <row r="741" ht="13.8" customHeight="1" s="152">
      <c r="X741" s="204">
        <f>INDEX(Matrix!$AA$2:$AA$33, MATCH(G741, Matrix!$AC$2:$AC$33, 0))</f>
        <v/>
      </c>
      <c r="Y741" s="156">
        <f>_xlfn.IFNA(MATCH(E740,'Injury Report'!$C$2:$C$6216,0),0)</f>
        <v/>
      </c>
    </row>
    <row r="742" ht="13.8" customHeight="1" s="152">
      <c r="X742" s="204">
        <f>INDEX(Matrix!$AA$2:$AA$33, MATCH(G742, Matrix!$AC$2:$AC$33, 0))</f>
        <v/>
      </c>
      <c r="Y742" s="156">
        <f>_xlfn.IFNA(MATCH(E741,'Injury Report'!$C$2:$C$6216,0),0)</f>
        <v/>
      </c>
    </row>
    <row r="743" ht="13.8" customHeight="1" s="152">
      <c r="X743" s="204">
        <f>INDEX(Matrix!$AA$2:$AA$33, MATCH(G743, Matrix!$AC$2:$AC$33, 0))</f>
        <v/>
      </c>
      <c r="Y743" s="156">
        <f>_xlfn.IFNA(MATCH(E742,'Injury Report'!$C$2:$C$6216,0),0)</f>
        <v/>
      </c>
    </row>
    <row r="744" ht="13.8" customHeight="1" s="152">
      <c r="X744" s="204">
        <f>INDEX(Matrix!$AA$2:$AA$33, MATCH(G744, Matrix!$AC$2:$AC$33, 0))</f>
        <v/>
      </c>
      <c r="Y744" s="156">
        <f>_xlfn.IFNA(MATCH(E743,'Injury Report'!$C$2:$C$6216,0),0)</f>
        <v/>
      </c>
    </row>
    <row r="745" ht="13.8" customHeight="1" s="152">
      <c r="X745" s="204">
        <f>INDEX(Matrix!$AA$2:$AA$33, MATCH(G745, Matrix!$AC$2:$AC$33, 0))</f>
        <v/>
      </c>
      <c r="Y745" s="156">
        <f>_xlfn.IFNA(MATCH(E744,'Injury Report'!$C$2:$C$6216,0),0)</f>
        <v/>
      </c>
    </row>
    <row r="746" ht="13.8" customHeight="1" s="152">
      <c r="X746" s="204">
        <f>INDEX(Matrix!$AA$2:$AA$33, MATCH(G746, Matrix!$AC$2:$AC$33, 0))</f>
        <v/>
      </c>
      <c r="Y746" s="156">
        <f>_xlfn.IFNA(MATCH(E745,'Injury Report'!$C$2:$C$6216,0),0)</f>
        <v/>
      </c>
    </row>
    <row r="747" ht="13.8" customHeight="1" s="152">
      <c r="X747" s="204">
        <f>INDEX(Matrix!$AA$2:$AA$33, MATCH(G747, Matrix!$AC$2:$AC$33, 0))</f>
        <v/>
      </c>
      <c r="Y747" s="156">
        <f>_xlfn.IFNA(MATCH(E746,'Injury Report'!$C$2:$C$6216,0),0)</f>
        <v/>
      </c>
    </row>
    <row r="748" ht="13.8" customHeight="1" s="152">
      <c r="X748" s="204">
        <f>INDEX(Matrix!$AA$2:$AA$33, MATCH(G748, Matrix!$AC$2:$AC$33, 0))</f>
        <v/>
      </c>
      <c r="Y748" s="156">
        <f>_xlfn.IFNA(MATCH(E747,'Injury Report'!$C$2:$C$6216,0),0)</f>
        <v/>
      </c>
    </row>
    <row r="749" ht="13.8" customHeight="1" s="152">
      <c r="X749" s="204">
        <f>INDEX(Matrix!$AA$2:$AA$33, MATCH(G749, Matrix!$AC$2:$AC$33, 0))</f>
        <v/>
      </c>
      <c r="Y749" s="156">
        <f>_xlfn.IFNA(MATCH(E748,'Injury Report'!$C$2:$C$6216,0),0)</f>
        <v/>
      </c>
    </row>
    <row r="750" ht="13.8" customHeight="1" s="152">
      <c r="X750" s="204">
        <f>INDEX(Matrix!$AA$2:$AA$33, MATCH(G750, Matrix!$AC$2:$AC$33, 0))</f>
        <v/>
      </c>
      <c r="Y750" s="156">
        <f>_xlfn.IFNA(MATCH(E749,'Injury Report'!$C$2:$C$6216,0),0)</f>
        <v/>
      </c>
    </row>
    <row r="751" ht="13.8" customHeight="1" s="152">
      <c r="X751" s="204">
        <f>INDEX(Matrix!$AA$2:$AA$33, MATCH(G751, Matrix!$AC$2:$AC$33, 0))</f>
        <v/>
      </c>
      <c r="Y751" s="156">
        <f>_xlfn.IFNA(MATCH(E750,'Injury Report'!$C$2:$C$6216,0),0)</f>
        <v/>
      </c>
    </row>
    <row r="752" ht="13.8" customHeight="1" s="152">
      <c r="X752" s="204">
        <f>INDEX(Matrix!$AA$2:$AA$33, MATCH(G752, Matrix!$AC$2:$AC$33, 0))</f>
        <v/>
      </c>
      <c r="Y752" s="156">
        <f>_xlfn.IFNA(MATCH(E751,'Injury Report'!$C$2:$C$6216,0),0)</f>
        <v/>
      </c>
    </row>
    <row r="753" ht="13.8" customHeight="1" s="152">
      <c r="X753" s="204">
        <f>INDEX(Matrix!$AA$2:$AA$33, MATCH(G753, Matrix!$AC$2:$AC$33, 0))</f>
        <v/>
      </c>
      <c r="Y753" s="156">
        <f>_xlfn.IFNA(MATCH(E752,'Injury Report'!$C$2:$C$6216,0),0)</f>
        <v/>
      </c>
    </row>
    <row r="754" ht="13.8" customHeight="1" s="152">
      <c r="X754" s="204">
        <f>INDEX(Matrix!$AA$2:$AA$33, MATCH(G754, Matrix!$AC$2:$AC$33, 0))</f>
        <v/>
      </c>
      <c r="Y754" s="156">
        <f>_xlfn.IFNA(MATCH(E753,'Injury Report'!$C$2:$C$6216,0),0)</f>
        <v/>
      </c>
    </row>
    <row r="755" ht="13.8" customHeight="1" s="152">
      <c r="X755" s="204">
        <f>INDEX(Matrix!$AA$2:$AA$33, MATCH(G755, Matrix!$AC$2:$AC$33, 0))</f>
        <v/>
      </c>
      <c r="Y755" s="156">
        <f>_xlfn.IFNA(MATCH(E754,'Injury Report'!$C$2:$C$6216,0),0)</f>
        <v/>
      </c>
    </row>
    <row r="756" ht="13.8" customHeight="1" s="152">
      <c r="X756" s="204">
        <f>INDEX(Matrix!$AA$2:$AA$33, MATCH(G756, Matrix!$AC$2:$AC$33, 0))</f>
        <v/>
      </c>
      <c r="Y756" s="156">
        <f>_xlfn.IFNA(MATCH(E755,'Injury Report'!$C$2:$C$6216,0),0)</f>
        <v/>
      </c>
    </row>
    <row r="757" ht="13.8" customHeight="1" s="152">
      <c r="X757" s="204">
        <f>INDEX(Matrix!$AA$2:$AA$33, MATCH(G757, Matrix!$AC$2:$AC$33, 0))</f>
        <v/>
      </c>
      <c r="Y757" s="156">
        <f>_xlfn.IFNA(MATCH(E756,'Injury Report'!$C$2:$C$6216,0),0)</f>
        <v/>
      </c>
    </row>
    <row r="758" ht="13.8" customHeight="1" s="152">
      <c r="X758" s="204">
        <f>INDEX(Matrix!$AA$2:$AA$33, MATCH(G758, Matrix!$AC$2:$AC$33, 0))</f>
        <v/>
      </c>
      <c r="Y758" s="156">
        <f>_xlfn.IFNA(MATCH(E757,'Injury Report'!$C$2:$C$6216,0),0)</f>
        <v/>
      </c>
    </row>
    <row r="759" ht="13.8" customHeight="1" s="152">
      <c r="X759" s="204">
        <f>INDEX(Matrix!$AA$2:$AA$33, MATCH(G759, Matrix!$AC$2:$AC$33, 0))</f>
        <v/>
      </c>
      <c r="Y759" s="156">
        <f>_xlfn.IFNA(MATCH(E758,'Injury Report'!$C$2:$C$6216,0),0)</f>
        <v/>
      </c>
    </row>
    <row r="760" ht="13.8" customHeight="1" s="152">
      <c r="X760" s="204">
        <f>INDEX(Matrix!$AA$2:$AA$33, MATCH(G760, Matrix!$AC$2:$AC$33, 0))</f>
        <v/>
      </c>
      <c r="Y760" s="156">
        <f>_xlfn.IFNA(MATCH(E759,'Injury Report'!$C$2:$C$6216,0),0)</f>
        <v/>
      </c>
    </row>
    <row r="761" ht="13.8" customHeight="1" s="152">
      <c r="X761" s="204">
        <f>INDEX(Matrix!$AA$2:$AA$33, MATCH(G761, Matrix!$AC$2:$AC$33, 0))</f>
        <v/>
      </c>
      <c r="Y761" s="156">
        <f>_xlfn.IFNA(MATCH(E760,'Injury Report'!$C$2:$C$6216,0),0)</f>
        <v/>
      </c>
    </row>
    <row r="762" ht="13.8" customHeight="1" s="152">
      <c r="X762" s="204">
        <f>INDEX(Matrix!$AA$2:$AA$33, MATCH(G762, Matrix!$AC$2:$AC$33, 0))</f>
        <v/>
      </c>
      <c r="Y762" s="156">
        <f>_xlfn.IFNA(MATCH(E761,'Injury Report'!$C$2:$C$6216,0),0)</f>
        <v/>
      </c>
    </row>
    <row r="763" ht="13.8" customHeight="1" s="152">
      <c r="X763" s="204">
        <f>INDEX(Matrix!$AA$2:$AA$33, MATCH(G763, Matrix!$AC$2:$AC$33, 0))</f>
        <v/>
      </c>
      <c r="Y763" s="156">
        <f>_xlfn.IFNA(MATCH(E762,'Injury Report'!$C$2:$C$6216,0),0)</f>
        <v/>
      </c>
    </row>
    <row r="764" ht="13.8" customHeight="1" s="152">
      <c r="X764" s="204">
        <f>INDEX(Matrix!$AA$2:$AA$33, MATCH(G764, Matrix!$AC$2:$AC$33, 0))</f>
        <v/>
      </c>
      <c r="Y764" s="156">
        <f>_xlfn.IFNA(MATCH(E763,'Injury Report'!$C$2:$C$6216,0),0)</f>
        <v/>
      </c>
    </row>
    <row r="765" ht="13.8" customHeight="1" s="152">
      <c r="X765" s="204">
        <f>INDEX(Matrix!$AA$2:$AA$33, MATCH(G765, Matrix!$AC$2:$AC$33, 0))</f>
        <v/>
      </c>
      <c r="Y765" s="156">
        <f>_xlfn.IFNA(MATCH(E764,'Injury Report'!$C$2:$C$6216,0),0)</f>
        <v/>
      </c>
    </row>
    <row r="766" ht="13.8" customHeight="1" s="152">
      <c r="X766" s="204">
        <f>INDEX(Matrix!$AA$2:$AA$33, MATCH(G766, Matrix!$AC$2:$AC$33, 0))</f>
        <v/>
      </c>
      <c r="Y766" s="156">
        <f>_xlfn.IFNA(MATCH(E765,'Injury Report'!$C$2:$C$6216,0),0)</f>
        <v/>
      </c>
    </row>
    <row r="767" ht="13.8" customHeight="1" s="152">
      <c r="X767" s="204">
        <f>INDEX(Matrix!$AA$2:$AA$33, MATCH(G767, Matrix!$AC$2:$AC$33, 0))</f>
        <v/>
      </c>
      <c r="Y767" s="156">
        <f>_xlfn.IFNA(MATCH(E766,'Injury Report'!$C$2:$C$6216,0),0)</f>
        <v/>
      </c>
    </row>
    <row r="768" ht="13.8" customHeight="1" s="152">
      <c r="X768" s="204">
        <f>INDEX(Matrix!$AA$2:$AA$33, MATCH(G768, Matrix!$AC$2:$AC$33, 0))</f>
        <v/>
      </c>
      <c r="Y768" s="156">
        <f>_xlfn.IFNA(MATCH(E767,'Injury Report'!$C$2:$C$6216,0),0)</f>
        <v/>
      </c>
    </row>
    <row r="769" ht="13.8" customHeight="1" s="152">
      <c r="X769" s="204">
        <f>INDEX(Matrix!$AA$2:$AA$33, MATCH(G769, Matrix!$AC$2:$AC$33, 0))</f>
        <v/>
      </c>
      <c r="Y769" s="156">
        <f>_xlfn.IFNA(MATCH(E768,'Injury Report'!$C$2:$C$6216,0),0)</f>
        <v/>
      </c>
    </row>
    <row r="770" ht="13.8" customHeight="1" s="152">
      <c r="X770" s="204">
        <f>INDEX(Matrix!$AA$2:$AA$33, MATCH(G770, Matrix!$AC$2:$AC$33, 0))</f>
        <v/>
      </c>
      <c r="Y770" s="156">
        <f>_xlfn.IFNA(MATCH(E769,'Injury Report'!$C$2:$C$6216,0),0)</f>
        <v/>
      </c>
    </row>
  </sheetData>
  <conditionalFormatting sqref="C3:C509">
    <cfRule type="dataBar" priority="2">
      <dataBar minLength="10" maxLength="90" showValue="1">
        <cfvo type="min" val="0"/>
        <cfvo type="max" val="0"/>
        <color rgb="FF385724"/>
      </dataBar>
    </cfRule>
  </conditionalFormatting>
  <conditionalFormatting sqref="D3:D509">
    <cfRule type="dataBar" priority="3">
      <dataBar minLength="10" maxLength="90" showValue="1">
        <cfvo type="min" val="0"/>
        <cfvo type="max" val="0"/>
        <color rgb="FF63C384"/>
      </dataBar>
    </cfRule>
  </conditionalFormatting>
  <hyperlinks>
    <hyperlink xmlns:r="http://schemas.openxmlformats.org/officeDocument/2006/relationships" ref="Y1" display="https://www.rotowire.com/football/player-stats.php?view=receiving"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tabColor rgb="FF000000"/>
    <outlinePr summaryBelow="1" summaryRight="1"/>
    <pageSetUpPr fitToPage="0"/>
  </sheetPr>
  <dimension ref="A1:X59"/>
  <sheetViews>
    <sheetView showFormulas="0" showGridLines="0" showRowColHeaders="1" showZeros="1" rightToLeft="0" tabSelected="0" showOutlineSymbols="1" defaultGridColor="1" view="normal" topLeftCell="A1" colorId="64" zoomScale="95" zoomScaleNormal="95" zoomScalePageLayoutView="100" workbookViewId="0">
      <pane xSplit="0" ySplit="3" topLeftCell="A4" activePane="bottomLeft" state="frozen"/>
      <selection pane="topLeft" activeCell="A1" activeCellId="0" sqref="A1"/>
      <selection pane="bottomLeft" activeCell="A1" activeCellId="0" sqref="A1"/>
    </sheetView>
  </sheetViews>
  <sheetFormatPr baseColWidth="8" defaultColWidth="8.796875" defaultRowHeight="14.4" zeroHeight="0" outlineLevelRow="0"/>
  <cols>
    <col width="6.35" customWidth="1" style="212" min="1" max="1"/>
    <col width="23.56" customWidth="1" style="156" min="2" max="2"/>
    <col width="15.66" customWidth="1" style="156" min="3" max="3"/>
    <col width="7" customWidth="1" style="156" min="4" max="4"/>
    <col width="20.33" customWidth="1" style="156" min="5" max="5"/>
    <col width="19.89" customWidth="1" style="156" min="6" max="6"/>
    <col width="10.99" customWidth="1" style="157" min="7" max="7"/>
    <col width="8.890000000000001" customWidth="1" style="156" min="9" max="9"/>
  </cols>
  <sheetData>
    <row r="1" ht="14.4" customHeight="1" s="152">
      <c r="A1" s="212" t="inlineStr">
        <is>
          <t>Line</t>
        </is>
      </c>
      <c r="J1" s="156" t="n"/>
      <c r="K1" s="156" t="n">
        <v>0.35</v>
      </c>
      <c r="L1" s="156" t="n"/>
      <c r="M1" s="156" t="n"/>
      <c r="N1" s="156" t="n">
        <v>0.3</v>
      </c>
      <c r="O1" s="156" t="n">
        <v>0.1</v>
      </c>
      <c r="P1" s="156" t="n"/>
      <c r="Q1" s="156" t="n">
        <v>0.1</v>
      </c>
      <c r="R1" s="156" t="n"/>
      <c r="S1" s="156" t="n">
        <v>0.1</v>
      </c>
      <c r="T1" s="156" t="n"/>
      <c r="U1" s="156" t="n">
        <v>0.05</v>
      </c>
      <c r="V1" s="156" t="n"/>
      <c r="W1" s="220">
        <f>SUM(I1:V1)</f>
        <v/>
      </c>
      <c r="X1" s="156" t="inlineStr">
        <is>
          <t>https://www.rotowire.com/football/player-stats.php?view=kicking</t>
        </is>
      </c>
    </row>
    <row r="2" ht="14.4" customHeight="1" s="152">
      <c r="I2" s="156" t="inlineStr">
        <is>
          <t>Extra Points</t>
        </is>
      </c>
      <c r="L2" s="156" t="inlineStr">
        <is>
          <t>FGM</t>
        </is>
      </c>
      <c r="O2" s="156" t="inlineStr">
        <is>
          <t>0-29</t>
        </is>
      </c>
      <c r="Q2" s="156" t="inlineStr">
        <is>
          <t>30-39</t>
        </is>
      </c>
      <c r="S2" s="156" t="inlineStr">
        <is>
          <t>40-49</t>
        </is>
      </c>
      <c r="U2" s="156" t="inlineStr">
        <is>
          <t>50+</t>
        </is>
      </c>
    </row>
    <row r="3" ht="14.4" customHeight="1" s="152">
      <c r="A3" s="156" t="n">
        <v>1</v>
      </c>
      <c r="B3" s="167" t="inlineStr">
        <is>
          <t>Combo Name Team</t>
        </is>
      </c>
      <c r="C3" s="167" t="inlineStr">
        <is>
          <t>C- Score</t>
        </is>
      </c>
      <c r="D3" s="167" t="inlineStr">
        <is>
          <t xml:space="preserve">N/A </t>
        </is>
      </c>
      <c r="E3" s="167" t="inlineStr">
        <is>
          <t>ALP Exist</t>
        </is>
      </c>
      <c r="F3" s="279" t="inlineStr">
        <is>
          <t>Chris Boswell</t>
        </is>
      </c>
      <c r="G3" s="283" t="inlineStr">
        <is>
          <t>Team</t>
        </is>
      </c>
      <c r="H3" s="279" t="n">
        <v>2</v>
      </c>
      <c r="I3" s="279" t="n">
        <v>35</v>
      </c>
      <c r="J3" s="279" t="n">
        <v>35</v>
      </c>
      <c r="K3" s="279" t="n">
        <v>100</v>
      </c>
      <c r="L3" s="279" t="n">
        <v>5</v>
      </c>
      <c r="M3" s="279" t="n">
        <v>44</v>
      </c>
      <c r="N3" s="279" t="n">
        <v>93.2</v>
      </c>
      <c r="O3" s="279" t="n">
        <v>9</v>
      </c>
      <c r="P3" s="279" t="n">
        <v>9</v>
      </c>
      <c r="Q3" s="279" t="n">
        <v>0</v>
      </c>
      <c r="R3" s="279" t="n">
        <v>12</v>
      </c>
      <c r="S3" s="279" t="n">
        <v>0</v>
      </c>
      <c r="T3" s="279" t="n">
        <v>8</v>
      </c>
      <c r="U3" s="279" t="n">
        <v>3</v>
      </c>
      <c r="V3" s="279" t="n">
        <v>15</v>
      </c>
    </row>
    <row r="4" ht="15.6" customHeight="1" s="152">
      <c r="A4" s="212" t="n">
        <v>1</v>
      </c>
      <c r="B4" s="167">
        <f>F4&amp;G4</f>
        <v/>
      </c>
      <c r="C4" s="156">
        <f>(K4/MAX(K:K)*$K$1)+(O4/MAX(O:O)*$O$1)+(Q4/MAX(Q:Q)*$Q$1)+(N4/MAX(N:N)*$N$1)+(U4/MAX(U:U)*$U$1)+(S4/MAX(S:S)*$S$1)</f>
        <v/>
      </c>
      <c r="E4" s="156">
        <f>IFERROR(VLOOKUP(F4,AllPlayers!F:F,1,0),"------------")</f>
        <v/>
      </c>
      <c r="F4" s="156" t="inlineStr">
        <is>
          <t>Chris Boswell</t>
        </is>
      </c>
      <c r="G4" s="226">
        <f>VLOOKUP(F4,AllPlayers!Q:R,2,0)</f>
        <v/>
      </c>
      <c r="H4" s="156" t="n">
        <v>2</v>
      </c>
      <c r="I4" s="156" t="n">
        <v>35</v>
      </c>
      <c r="J4" s="156" t="n">
        <v>35</v>
      </c>
      <c r="K4" s="156" t="n">
        <v>100</v>
      </c>
      <c r="L4" s="156" t="n">
        <v>5</v>
      </c>
      <c r="M4" s="156" t="n">
        <v>44</v>
      </c>
      <c r="N4" s="156" t="n">
        <v>93.2</v>
      </c>
      <c r="O4" s="156" t="n">
        <v>9</v>
      </c>
      <c r="P4" s="156" t="n">
        <v>9</v>
      </c>
      <c r="Q4" s="156" t="n">
        <v>0</v>
      </c>
      <c r="R4" s="156" t="n">
        <v>12</v>
      </c>
      <c r="S4" s="156" t="n">
        <v>0</v>
      </c>
      <c r="T4" s="156" t="n">
        <v>8</v>
      </c>
      <c r="U4" s="156" t="n">
        <v>3</v>
      </c>
      <c r="V4" s="156" t="n">
        <v>15</v>
      </c>
      <c r="W4" s="156">
        <f>INDEX(Matrix!$AA$2:$AA$33, MATCH(G4, Matrix!$AC$2:$AC$33, 0))</f>
        <v/>
      </c>
    </row>
    <row r="5" ht="15.6" customHeight="1" s="152">
      <c r="A5" s="212" t="n">
        <v>2</v>
      </c>
      <c r="B5" s="167">
        <f>F5&amp;G5</f>
        <v/>
      </c>
      <c r="C5" s="156">
        <f>(K5/MAX(K:K)*$K$1)+(O5/MAX(O:O)*$O$1)+(Q5/MAX(Q:Q)*$Q$1)+(N5/MAX(N:N)*$N$1)+(U5/MAX(U:U)*$U$1)+(S5/MAX(S:S)*$S$1)</f>
        <v/>
      </c>
      <c r="E5" s="156">
        <f>IFERROR(VLOOKUP(F5,AllPlayers!F:F,1,0),"------------")</f>
        <v/>
      </c>
      <c r="F5" s="156" t="inlineStr">
        <is>
          <t>Brandon Aubrey</t>
        </is>
      </c>
      <c r="G5" s="226">
        <f>VLOOKUP(F5,AllPlayers!Q:R,2,0)</f>
        <v/>
      </c>
      <c r="H5" s="156" t="n">
        <v>2</v>
      </c>
      <c r="I5" s="156" t="n">
        <v>30</v>
      </c>
      <c r="J5" s="156" t="n">
        <v>30</v>
      </c>
      <c r="K5" s="156" t="n">
        <v>100</v>
      </c>
      <c r="L5" s="156" t="n">
        <v>6</v>
      </c>
      <c r="M5" s="156" t="n">
        <v>47</v>
      </c>
      <c r="N5" s="156" t="n">
        <v>85.09999999999999</v>
      </c>
      <c r="O5" s="156" t="n">
        <v>4</v>
      </c>
      <c r="P5" s="156" t="n">
        <v>4</v>
      </c>
      <c r="Q5" s="156" t="n">
        <v>0</v>
      </c>
      <c r="R5" s="156" t="n">
        <v>10</v>
      </c>
      <c r="S5" s="156" t="n">
        <v>0</v>
      </c>
      <c r="T5" s="156" t="n">
        <v>16</v>
      </c>
      <c r="U5" s="156" t="n">
        <v>3</v>
      </c>
      <c r="V5" s="156" t="n">
        <v>17</v>
      </c>
      <c r="W5" s="156">
        <f>INDEX(Matrix!$AA$2:$AA$33, MATCH(G5, Matrix!$AC$2:$AC$33, 0))</f>
        <v/>
      </c>
    </row>
    <row r="6" ht="15.6" customHeight="1" s="152">
      <c r="A6" s="212" t="n">
        <v>3</v>
      </c>
      <c r="B6" s="167">
        <f>F6&amp;G6</f>
        <v/>
      </c>
      <c r="C6" s="156">
        <f>(K6/MAX(K:K)*$K$1)+(O6/MAX(O:O)*$O$1)+(Q6/MAX(Q:Q)*$Q$1)+(N6/MAX(N:N)*$N$1)+(U6/MAX(U:U)*$U$1)+(S6/MAX(S:S)*$S$1)</f>
        <v/>
      </c>
      <c r="E6" s="156">
        <f>IFERROR(VLOOKUP(F6,AllPlayers!F:F,1,0),"------------")</f>
        <v/>
      </c>
      <c r="F6" s="156" t="inlineStr">
        <is>
          <t>Cameron Dicker</t>
        </is>
      </c>
      <c r="G6" s="226">
        <f>VLOOKUP(F6,AllPlayers!Q:R,2,0)</f>
        <v/>
      </c>
      <c r="H6" s="156" t="n">
        <v>2</v>
      </c>
      <c r="I6" s="156" t="n">
        <v>33</v>
      </c>
      <c r="J6" s="156" t="n">
        <v>36</v>
      </c>
      <c r="K6" s="156" t="n">
        <v>91.7</v>
      </c>
      <c r="L6" s="156" t="n">
        <v>4</v>
      </c>
      <c r="M6" s="156" t="n">
        <v>42</v>
      </c>
      <c r="N6" s="156" t="n">
        <v>92.90000000000001</v>
      </c>
      <c r="O6" s="156" t="n">
        <v>10</v>
      </c>
      <c r="P6" s="156" t="n">
        <v>10</v>
      </c>
      <c r="Q6" s="156" t="n">
        <v>1</v>
      </c>
      <c r="R6" s="156" t="n">
        <v>9</v>
      </c>
      <c r="S6" s="156" t="n">
        <v>3</v>
      </c>
      <c r="T6" s="156" t="n">
        <v>12</v>
      </c>
      <c r="U6" s="156" t="n">
        <v>0</v>
      </c>
      <c r="V6" s="156" t="n">
        <v>11</v>
      </c>
      <c r="W6" s="156">
        <f>INDEX(Matrix!$AA$2:$AA$33, MATCH(G6, Matrix!$AC$2:$AC$33, 0))</f>
        <v/>
      </c>
    </row>
    <row r="7" ht="15.6" customHeight="1" s="152">
      <c r="A7" s="212" t="n">
        <v>4</v>
      </c>
      <c r="B7" s="167">
        <f>F7&amp;G7</f>
        <v/>
      </c>
      <c r="C7" s="156">
        <f>(K7/MAX(K:K)*$K$1)+(O7/MAX(O:O)*$O$1)+(Q7/MAX(Q:Q)*$Q$1)+(N7/MAX(N:N)*$N$1)+(U7/MAX(U:U)*$U$1)+(S7/MAX(S:S)*$S$1)</f>
        <v/>
      </c>
      <c r="E7" s="156">
        <f>IFERROR(VLOOKUP(F7,AllPlayers!F:F,1,0),"------------")</f>
        <v/>
      </c>
      <c r="F7" s="156" t="inlineStr">
        <is>
          <t>Jason Sanders</t>
        </is>
      </c>
      <c r="G7" s="226">
        <f>VLOOKUP(F7,AllPlayers!Q:R,2,0)</f>
        <v/>
      </c>
      <c r="H7" s="156" t="n">
        <v>17</v>
      </c>
      <c r="I7" s="156" t="n">
        <v>26</v>
      </c>
      <c r="J7" s="156" t="n">
        <v>28</v>
      </c>
      <c r="K7" s="156" t="n">
        <v>92.90000000000001</v>
      </c>
      <c r="L7" s="156" t="n">
        <v>37</v>
      </c>
      <c r="M7" s="156" t="n">
        <v>41</v>
      </c>
      <c r="N7" s="156" t="n">
        <v>90.2</v>
      </c>
      <c r="O7" s="156" t="n">
        <v>7</v>
      </c>
      <c r="P7" s="156" t="n">
        <v>7</v>
      </c>
      <c r="Q7" s="156" t="n">
        <v>13</v>
      </c>
      <c r="R7" s="156" t="n">
        <v>13</v>
      </c>
      <c r="S7" s="156" t="n">
        <v>5</v>
      </c>
      <c r="T7" s="156" t="n">
        <v>7</v>
      </c>
      <c r="U7" s="156" t="n">
        <v>12</v>
      </c>
      <c r="V7" s="156" t="n">
        <v>14</v>
      </c>
      <c r="W7" s="156">
        <f>INDEX(Matrix!$AA$2:$AA$33, MATCH(G7, Matrix!$AC$2:$AC$33, 0))</f>
        <v/>
      </c>
    </row>
    <row r="8" ht="15.6" customHeight="1" s="152">
      <c r="A8" s="212" t="n">
        <v>5</v>
      </c>
      <c r="B8" s="167">
        <f>F8&amp;G8</f>
        <v/>
      </c>
      <c r="C8" s="156">
        <f>(K8/MAX(K:K)*$K$1)+(O8/MAX(O:O)*$O$1)+(Q8/MAX(Q:Q)*$Q$1)+(N8/MAX(N:N)*$N$1)+(U8/MAX(U:U)*$U$1)+(S8/MAX(S:S)*$S$1)</f>
        <v/>
      </c>
      <c r="E8" s="156">
        <f>IFERROR(VLOOKUP(F8,AllPlayers!F:F,1,0),"------------")</f>
        <v/>
      </c>
      <c r="F8" s="156" t="inlineStr">
        <is>
          <t>Ka'imi Fairbairn</t>
        </is>
      </c>
      <c r="G8" s="226">
        <f>VLOOKUP(F8,AllPlayers!Q:R,2,0)</f>
        <v/>
      </c>
      <c r="H8" s="156" t="n">
        <v>2</v>
      </c>
      <c r="I8" s="156" t="n">
        <v>34</v>
      </c>
      <c r="J8" s="156" t="n">
        <v>36</v>
      </c>
      <c r="K8" s="156" t="n">
        <v>94.40000000000001</v>
      </c>
      <c r="L8" s="156" t="n">
        <v>5</v>
      </c>
      <c r="M8" s="156" t="n">
        <v>42</v>
      </c>
      <c r="N8" s="156" t="n">
        <v>85.7</v>
      </c>
      <c r="O8" s="156" t="n">
        <v>8</v>
      </c>
      <c r="P8" s="156" t="n">
        <v>10</v>
      </c>
      <c r="Q8" s="156" t="n">
        <v>0</v>
      </c>
      <c r="R8" s="156" t="n">
        <v>11</v>
      </c>
      <c r="S8" s="156" t="n">
        <v>1</v>
      </c>
      <c r="T8" s="156" t="n">
        <v>5</v>
      </c>
      <c r="U8" s="156" t="n">
        <v>1</v>
      </c>
      <c r="V8" s="156" t="n">
        <v>16</v>
      </c>
      <c r="W8" s="156">
        <f>INDEX(Matrix!$AA$2:$AA$33, MATCH(G8, Matrix!$AC$2:$AC$33, 0))</f>
        <v/>
      </c>
    </row>
    <row r="9" ht="15.6" customHeight="1" s="152">
      <c r="A9" s="212" t="n">
        <v>6</v>
      </c>
      <c r="B9" s="167">
        <f>F9&amp;G9</f>
        <v/>
      </c>
      <c r="C9" s="156">
        <f>(K9/MAX(K:K)*$K$1)+(O9/MAX(O:O)*$O$1)+(Q9/MAX(Q:Q)*$Q$1)+(N9/MAX(N:N)*$N$1)+(U9/MAX(U:U)*$U$1)+(S9/MAX(S:S)*$S$1)</f>
        <v/>
      </c>
      <c r="E9" s="156">
        <f>IFERROR(VLOOKUP(F9,AllPlayers!F:F,1,0),"------------")</f>
        <v/>
      </c>
      <c r="F9" s="156" t="inlineStr">
        <is>
          <t>Daniel Carlson</t>
        </is>
      </c>
      <c r="G9" s="226">
        <f>VLOOKUP(F9,AllPlayers!Q:R,2,0)</f>
        <v/>
      </c>
      <c r="H9" s="156" t="n">
        <v>2</v>
      </c>
      <c r="I9" s="156" t="n">
        <v>23</v>
      </c>
      <c r="J9" s="156" t="n">
        <v>25</v>
      </c>
      <c r="K9" s="156" t="n">
        <v>92</v>
      </c>
      <c r="L9" s="156" t="n">
        <v>5</v>
      </c>
      <c r="M9" s="156" t="n">
        <v>40</v>
      </c>
      <c r="N9" s="156" t="n">
        <v>85</v>
      </c>
      <c r="O9" s="156" t="n">
        <v>10</v>
      </c>
      <c r="P9" s="156" t="n">
        <v>10</v>
      </c>
      <c r="Q9" s="156" t="n">
        <v>0</v>
      </c>
      <c r="R9" s="156" t="n">
        <v>11</v>
      </c>
      <c r="S9" s="156" t="n">
        <v>1</v>
      </c>
      <c r="T9" s="156" t="n">
        <v>8</v>
      </c>
      <c r="U9" s="156" t="n">
        <v>2</v>
      </c>
      <c r="V9" s="156" t="n">
        <v>11</v>
      </c>
      <c r="W9" s="156">
        <f>INDEX(Matrix!$AA$2:$AA$33, MATCH(G9, Matrix!$AC$2:$AC$33, 0))</f>
        <v/>
      </c>
    </row>
    <row r="10" ht="15.6" customHeight="1" s="152">
      <c r="A10" s="212" t="n">
        <v>7</v>
      </c>
      <c r="B10" s="167">
        <f>F10&amp;G10</f>
        <v/>
      </c>
      <c r="C10" s="156">
        <f>(K10/MAX(K:K)*$K$1)+(O10/MAX(O:O)*$O$1)+(Q10/MAX(Q:Q)*$Q$1)+(N10/MAX(N:N)*$N$1)+(U10/MAX(U:U)*$U$1)+(S10/MAX(S:S)*$S$1)</f>
        <v/>
      </c>
      <c r="E10" s="156">
        <f>IFERROR(VLOOKUP(F10,AllPlayers!F:F,1,0),"------------")</f>
        <v/>
      </c>
      <c r="F10" s="156" t="inlineStr">
        <is>
          <t>Matt Gay</t>
        </is>
      </c>
      <c r="G10" s="226">
        <f>VLOOKUP(F10,AllPlayers!Q:R,2,0)</f>
        <v/>
      </c>
      <c r="H10" s="156" t="n">
        <v>2</v>
      </c>
      <c r="I10" s="156" t="n">
        <v>33</v>
      </c>
      <c r="J10" s="156" t="n">
        <v>33</v>
      </c>
      <c r="K10" s="156" t="n">
        <v>100</v>
      </c>
      <c r="L10" s="156" t="n">
        <v>1</v>
      </c>
      <c r="M10" s="156" t="n">
        <v>37</v>
      </c>
      <c r="N10" s="156" t="n">
        <v>83.8</v>
      </c>
      <c r="O10" s="156" t="n">
        <v>9</v>
      </c>
      <c r="P10" s="156" t="n">
        <v>9</v>
      </c>
      <c r="Q10" s="156" t="n">
        <v>0</v>
      </c>
      <c r="R10" s="156" t="n">
        <v>12</v>
      </c>
      <c r="S10" s="156" t="n">
        <v>0</v>
      </c>
      <c r="T10" s="156" t="n">
        <v>7</v>
      </c>
      <c r="U10" s="156" t="n">
        <v>0</v>
      </c>
      <c r="V10" s="156" t="n">
        <v>9</v>
      </c>
      <c r="W10" s="156">
        <f>INDEX(Matrix!$AA$2:$AA$33, MATCH(G10, Matrix!$AC$2:$AC$33, 0))</f>
        <v/>
      </c>
    </row>
    <row r="11" ht="15.6" customHeight="1" s="152">
      <c r="A11" s="212" t="n">
        <v>8</v>
      </c>
      <c r="B11" s="167">
        <f>F11&amp;G11</f>
        <v/>
      </c>
      <c r="C11" s="156">
        <f>(K11/MAX(K:K)*$K$1)+(O11/MAX(O:O)*$O$1)+(Q11/MAX(Q:Q)*$Q$1)+(N11/MAX(N:N)*$N$1)+(U11/MAX(U:U)*$U$1)+(S11/MAX(S:S)*$S$1)</f>
        <v/>
      </c>
      <c r="E11" s="156">
        <f>IFERROR(VLOOKUP(F11,AllPlayers!F:F,1,0),"------------")</f>
        <v/>
      </c>
      <c r="F11" s="156" t="inlineStr">
        <is>
          <t>Wil Lutz</t>
        </is>
      </c>
      <c r="G11" s="226">
        <f>VLOOKUP(F11,AllPlayers!Q:R,2,0)</f>
        <v/>
      </c>
      <c r="H11" s="156" t="n">
        <v>2</v>
      </c>
      <c r="I11" s="156" t="n">
        <v>46</v>
      </c>
      <c r="J11" s="156" t="n">
        <v>46</v>
      </c>
      <c r="K11" s="156" t="n">
        <v>100</v>
      </c>
      <c r="L11" s="156" t="n">
        <v>2</v>
      </c>
      <c r="M11" s="156" t="n">
        <v>34</v>
      </c>
      <c r="N11" s="156" t="n">
        <v>91.2</v>
      </c>
      <c r="O11" s="156" t="n">
        <v>2</v>
      </c>
      <c r="P11" s="156" t="n">
        <v>2</v>
      </c>
      <c r="Q11" s="156" t="n">
        <v>0</v>
      </c>
      <c r="R11" s="156" t="n">
        <v>14</v>
      </c>
      <c r="S11" s="156" t="n">
        <v>2</v>
      </c>
      <c r="T11" s="156" t="n">
        <v>11</v>
      </c>
      <c r="U11" s="156" t="n">
        <v>0</v>
      </c>
      <c r="V11" s="156" t="n">
        <v>7</v>
      </c>
      <c r="W11" s="156">
        <f>INDEX(Matrix!$AA$2:$AA$33, MATCH(G11, Matrix!$AC$2:$AC$33, 0))</f>
        <v/>
      </c>
    </row>
    <row r="12" ht="15.6" customHeight="1" s="152">
      <c r="A12" s="212" t="n">
        <v>9</v>
      </c>
      <c r="B12" s="167">
        <f>F12&amp;G12</f>
        <v/>
      </c>
      <c r="C12" s="156">
        <f>(K12/MAX(K:K)*$K$1)+(O12/MAX(O:O)*$O$1)+(Q12/MAX(Q:Q)*$Q$1)+(N12/MAX(N:N)*$N$1)+(U12/MAX(U:U)*$U$1)+(S12/MAX(S:S)*$S$1)</f>
        <v/>
      </c>
      <c r="E12" s="156">
        <f>IFERROR(VLOOKUP(F12,AllPlayers!F:F,1,0),"------------")</f>
        <v/>
      </c>
      <c r="F12" s="156" t="inlineStr">
        <is>
          <t>Chase Mclaughlin</t>
        </is>
      </c>
      <c r="G12" s="226">
        <f>VLOOKUP(F12,AllPlayers!Q:R,2,0)</f>
        <v/>
      </c>
      <c r="H12" s="156" t="n">
        <v>2</v>
      </c>
      <c r="I12" s="156" t="n">
        <v>54</v>
      </c>
      <c r="J12" s="156" t="n">
        <v>56</v>
      </c>
      <c r="K12" s="156" t="n">
        <v>96.40000000000001</v>
      </c>
      <c r="L12" s="156" t="n">
        <v>1</v>
      </c>
      <c r="M12" s="156" t="n">
        <v>32</v>
      </c>
      <c r="N12" s="156" t="n">
        <v>93.8</v>
      </c>
      <c r="O12" s="156" t="n">
        <v>11</v>
      </c>
      <c r="P12" s="156" t="n">
        <v>11</v>
      </c>
      <c r="Q12" s="156" t="n">
        <v>0</v>
      </c>
      <c r="R12" s="156" t="n">
        <v>7</v>
      </c>
      <c r="S12" s="156" t="n">
        <v>0</v>
      </c>
      <c r="T12" s="156" t="n">
        <v>4</v>
      </c>
      <c r="U12" s="156" t="n">
        <v>1</v>
      </c>
      <c r="V12" s="156" t="n">
        <v>10</v>
      </c>
      <c r="W12" s="156">
        <f>INDEX(Matrix!$AA$2:$AA$33, MATCH(G12, Matrix!$AC$2:$AC$33, 0))</f>
        <v/>
      </c>
    </row>
    <row r="13" ht="15.6" customHeight="1" s="152">
      <c r="A13" s="212" t="n">
        <v>10</v>
      </c>
      <c r="B13" s="167">
        <f>F13&amp;G13</f>
        <v/>
      </c>
      <c r="C13" s="156">
        <f>(K13/MAX(K:K)*$K$1)+(O13/MAX(O:O)*$O$1)+(Q13/MAX(Q:Q)*$Q$1)+(N13/MAX(N:N)*$N$1)+(U13/MAX(U:U)*$U$1)+(S13/MAX(S:S)*$S$1)</f>
        <v/>
      </c>
      <c r="E13" s="156">
        <f>IFERROR(VLOOKUP(F13,AllPlayers!F:F,1,0),"------------")</f>
        <v/>
      </c>
      <c r="F13" s="156" t="inlineStr">
        <is>
          <t>Joshua Karty</t>
        </is>
      </c>
      <c r="G13" s="226">
        <f>VLOOKUP(F13,AllPlayers!Q:R,2,0)</f>
        <v/>
      </c>
      <c r="H13" s="156" t="n">
        <v>2</v>
      </c>
      <c r="I13" s="156" t="n">
        <v>32</v>
      </c>
      <c r="J13" s="156" t="n">
        <v>36</v>
      </c>
      <c r="K13" s="156" t="n">
        <v>88.90000000000001</v>
      </c>
      <c r="L13" s="156" t="n">
        <v>2</v>
      </c>
      <c r="M13" s="156" t="n">
        <v>34</v>
      </c>
      <c r="N13" s="156" t="n">
        <v>85.3</v>
      </c>
      <c r="O13" s="156" t="n">
        <v>10</v>
      </c>
      <c r="P13" s="156" t="n">
        <v>11</v>
      </c>
      <c r="Q13" s="156" t="n">
        <v>2</v>
      </c>
      <c r="R13" s="156" t="n">
        <v>10</v>
      </c>
      <c r="S13" s="156" t="n">
        <v>0</v>
      </c>
      <c r="T13" s="156" t="n">
        <v>6</v>
      </c>
      <c r="U13" s="156" t="n">
        <v>0</v>
      </c>
      <c r="V13" s="156" t="n">
        <v>7</v>
      </c>
      <c r="W13" s="156">
        <f>INDEX(Matrix!$AA$2:$AA$33, MATCH(G13, Matrix!$AC$2:$AC$33, 0))</f>
        <v/>
      </c>
    </row>
    <row r="14" ht="15.6" customHeight="1" s="152">
      <c r="A14" s="212" t="n">
        <v>11</v>
      </c>
      <c r="B14" s="167">
        <f>F14&amp;G14</f>
        <v/>
      </c>
      <c r="C14" s="156">
        <f>(K14/MAX(K:K)*$K$1)+(O14/MAX(O:O)*$O$1)+(Q14/MAX(Q:Q)*$Q$1)+(N14/MAX(N:N)*$N$1)+(U14/MAX(U:U)*$U$1)+(S14/MAX(S:S)*$S$1)</f>
        <v/>
      </c>
      <c r="E14" s="156">
        <f>IFERROR(VLOOKUP(F14,AllPlayers!F:F,1,0),"------------")</f>
        <v/>
      </c>
      <c r="F14" s="156" t="inlineStr">
        <is>
          <t>Chad Ryland</t>
        </is>
      </c>
      <c r="G14" s="226">
        <f>VLOOKUP(F14,AllPlayers!Q:R,2,0)</f>
        <v/>
      </c>
      <c r="H14" s="156" t="n">
        <v>2</v>
      </c>
      <c r="I14" s="156" t="n">
        <v>26</v>
      </c>
      <c r="J14" s="156" t="n">
        <v>27</v>
      </c>
      <c r="K14" s="156" t="n">
        <v>96.3</v>
      </c>
      <c r="L14" s="156" t="n">
        <v>4</v>
      </c>
      <c r="M14" s="156" t="n">
        <v>32</v>
      </c>
      <c r="N14" s="156" t="n">
        <v>87.5</v>
      </c>
      <c r="O14" s="156" t="n">
        <v>6</v>
      </c>
      <c r="P14" s="156" t="n">
        <v>6</v>
      </c>
      <c r="Q14" s="156" t="n">
        <v>1</v>
      </c>
      <c r="R14" s="156" t="n">
        <v>11</v>
      </c>
      <c r="S14" s="156" t="n">
        <v>0</v>
      </c>
      <c r="T14" s="156" t="n">
        <v>11</v>
      </c>
      <c r="U14" s="156" t="n">
        <v>2</v>
      </c>
      <c r="V14" s="156" t="n">
        <v>4</v>
      </c>
      <c r="W14" s="156">
        <f>INDEX(Matrix!$AA$2:$AA$33, MATCH(G14, Matrix!$AC$2:$AC$33, 0))</f>
        <v/>
      </c>
    </row>
    <row r="15" ht="15.6" customHeight="1" s="152">
      <c r="A15" s="212" t="n">
        <v>12</v>
      </c>
      <c r="B15" s="167">
        <f>F15&amp;G15</f>
        <v/>
      </c>
      <c r="C15" s="156">
        <f>(K15/MAX(K:K)*$K$1)+(O15/MAX(O:O)*$O$1)+(Q15/MAX(Q:Q)*$Q$1)+(N15/MAX(N:N)*$N$1)+(U15/MAX(U:U)*$U$1)+(S15/MAX(S:S)*$S$1)</f>
        <v/>
      </c>
      <c r="E15" s="156">
        <f>IFERROR(VLOOKUP(F15,AllPlayers!F:F,1,0),"------------")</f>
        <v/>
      </c>
      <c r="F15" s="156" t="inlineStr">
        <is>
          <t>Jake Elliott</t>
        </is>
      </c>
      <c r="G15" s="226">
        <f>VLOOKUP(F15,AllPlayers!Q:R,2,0)</f>
        <v/>
      </c>
      <c r="H15" s="156" t="n">
        <v>2</v>
      </c>
      <c r="I15" s="156" t="n">
        <v>47</v>
      </c>
      <c r="J15" s="156" t="n">
        <v>48</v>
      </c>
      <c r="K15" s="156" t="n">
        <v>97.90000000000001</v>
      </c>
      <c r="L15" s="156" t="n">
        <v>3</v>
      </c>
      <c r="M15" s="156" t="n">
        <v>36</v>
      </c>
      <c r="N15" s="156" t="n">
        <v>77.8</v>
      </c>
      <c r="O15" s="156" t="n">
        <v>9</v>
      </c>
      <c r="P15" s="156" t="n">
        <v>9</v>
      </c>
      <c r="Q15" s="156" t="n">
        <v>0</v>
      </c>
      <c r="R15" s="156" t="n">
        <v>11</v>
      </c>
      <c r="S15" s="156" t="n">
        <v>0</v>
      </c>
      <c r="T15" s="156" t="n">
        <v>9</v>
      </c>
      <c r="U15" s="156" t="n">
        <v>0</v>
      </c>
      <c r="V15" s="156" t="n">
        <v>7</v>
      </c>
      <c r="W15" s="156">
        <f>INDEX(Matrix!$AA$2:$AA$33, MATCH(G15, Matrix!$AC$2:$AC$33, 0))</f>
        <v/>
      </c>
    </row>
    <row r="16" ht="15.6" customHeight="1" s="152">
      <c r="A16" s="212" t="n">
        <v>13</v>
      </c>
      <c r="B16" s="167">
        <f>F16&amp;G16</f>
        <v/>
      </c>
      <c r="C16" s="156">
        <f>(K16/MAX(K:K)*$K$1)+(O16/MAX(O:O)*$O$1)+(Q16/MAX(Q:Q)*$Q$1)+(N16/MAX(N:N)*$N$1)+(U16/MAX(U:U)*$U$1)+(S16/MAX(S:S)*$S$1)</f>
        <v/>
      </c>
      <c r="E16" s="156">
        <f>IFERROR(VLOOKUP(F16,AllPlayers!F:F,1,0),"------------")</f>
        <v/>
      </c>
      <c r="F16" s="156" t="inlineStr">
        <is>
          <t>Blake Grupe</t>
        </is>
      </c>
      <c r="G16" s="226">
        <f>VLOOKUP(F16,AllPlayers!Q:R,2,0)</f>
        <v/>
      </c>
      <c r="H16" s="156" t="n">
        <v>2</v>
      </c>
      <c r="I16" s="156" t="n">
        <v>31</v>
      </c>
      <c r="J16" s="156" t="n">
        <v>33</v>
      </c>
      <c r="K16" s="156" t="n">
        <v>93.90000000000001</v>
      </c>
      <c r="L16" s="156" t="n">
        <v>2</v>
      </c>
      <c r="M16" s="156" t="n">
        <v>31</v>
      </c>
      <c r="N16" s="156" t="n">
        <v>87.09999999999999</v>
      </c>
      <c r="O16" s="156" t="n">
        <v>4</v>
      </c>
      <c r="P16" s="156" t="n">
        <v>4</v>
      </c>
      <c r="Q16" s="156" t="n">
        <v>1</v>
      </c>
      <c r="R16" s="156" t="n">
        <v>11</v>
      </c>
      <c r="S16" s="156" t="n">
        <v>1</v>
      </c>
      <c r="T16" s="156" t="n">
        <v>8</v>
      </c>
      <c r="U16" s="156" t="n">
        <v>0</v>
      </c>
      <c r="V16" s="156" t="n">
        <v>8</v>
      </c>
      <c r="W16" s="156">
        <f>INDEX(Matrix!$AA$2:$AA$33, MATCH(G16, Matrix!$AC$2:$AC$33, 0))</f>
        <v/>
      </c>
    </row>
    <row r="17" ht="15.6" customHeight="1" s="152">
      <c r="A17" s="212" t="n">
        <v>14</v>
      </c>
      <c r="B17" s="167">
        <f>F17&amp;G17</f>
        <v/>
      </c>
      <c r="C17" s="156">
        <f>(K17/MAX(K:K)*$K$1)+(O17/MAX(O:O)*$O$1)+(Q17/MAX(Q:Q)*$Q$1)+(N17/MAX(N:N)*$N$1)+(U17/MAX(U:U)*$U$1)+(S17/MAX(S:S)*$S$1)</f>
        <v/>
      </c>
      <c r="E17" s="156">
        <f>IFERROR(VLOOKUP(F17,AllPlayers!F:F,1,0),"------------")</f>
        <v/>
      </c>
      <c r="F17" s="156" t="inlineStr">
        <is>
          <t>Cam Little</t>
        </is>
      </c>
      <c r="G17" s="226">
        <f>VLOOKUP(F17,AllPlayers!Q:R,2,0)</f>
        <v/>
      </c>
      <c r="H17" s="156" t="n">
        <v>2</v>
      </c>
      <c r="I17" s="156" t="n">
        <v>27</v>
      </c>
      <c r="J17" s="156" t="n">
        <v>27</v>
      </c>
      <c r="K17" s="156" t="n">
        <v>100</v>
      </c>
      <c r="L17" s="156" t="n">
        <v>6</v>
      </c>
      <c r="M17" s="156" t="n">
        <v>29</v>
      </c>
      <c r="N17" s="156" t="n">
        <v>93.09999999999999</v>
      </c>
      <c r="O17" s="156" t="n">
        <v>8</v>
      </c>
      <c r="P17" s="156" t="n">
        <v>8</v>
      </c>
      <c r="Q17" s="156" t="n">
        <v>2</v>
      </c>
      <c r="R17" s="156" t="n">
        <v>6</v>
      </c>
      <c r="S17" s="156" t="n">
        <v>2</v>
      </c>
      <c r="T17" s="156" t="n">
        <v>9</v>
      </c>
      <c r="U17" s="156" t="n">
        <v>2</v>
      </c>
      <c r="V17" s="156" t="n">
        <v>6</v>
      </c>
      <c r="W17" s="156">
        <f>INDEX(Matrix!$AA$2:$AA$33, MATCH(G17, Matrix!$AC$2:$AC$33, 0))</f>
        <v/>
      </c>
    </row>
    <row r="18" ht="15.6" customHeight="1" s="152">
      <c r="A18" s="212" t="n">
        <v>15</v>
      </c>
      <c r="B18" s="167">
        <f>F18&amp;G18</f>
        <v/>
      </c>
      <c r="C18" s="156">
        <f>(K18/MAX(K:K)*$K$1)+(O18/MAX(O:O)*$O$1)+(Q18/MAX(Q:Q)*$Q$1)+(N18/MAX(N:N)*$N$1)+(U18/MAX(U:U)*$U$1)+(S18/MAX(S:S)*$S$1)</f>
        <v/>
      </c>
      <c r="E18" s="156">
        <f>IFERROR(VLOOKUP(F18,AllPlayers!F:F,1,0),"------------")</f>
        <v/>
      </c>
      <c r="F18" s="156" t="inlineStr">
        <is>
          <t>Austin Seibert</t>
        </is>
      </c>
      <c r="G18" s="226">
        <f>VLOOKUP(F18,AllPlayers!Q:R,2,0)</f>
        <v/>
      </c>
      <c r="H18" s="156" t="n">
        <v>9</v>
      </c>
      <c r="I18" s="156" t="n">
        <v>22</v>
      </c>
      <c r="J18" s="156" t="n">
        <v>24</v>
      </c>
      <c r="K18" s="156" t="n">
        <v>91.7</v>
      </c>
      <c r="L18" s="156" t="n">
        <v>27</v>
      </c>
      <c r="M18" s="156" t="n">
        <v>30</v>
      </c>
      <c r="N18" s="156" t="n">
        <v>90</v>
      </c>
      <c r="O18" s="156" t="n">
        <v>10</v>
      </c>
      <c r="P18" s="156" t="n">
        <v>10</v>
      </c>
      <c r="Q18" s="156" t="n">
        <v>7</v>
      </c>
      <c r="R18" s="156" t="n">
        <v>7</v>
      </c>
      <c r="S18" s="156" t="n">
        <v>8</v>
      </c>
      <c r="T18" s="156" t="n">
        <v>8</v>
      </c>
      <c r="U18" s="156" t="n">
        <v>2</v>
      </c>
      <c r="V18" s="156" t="n">
        <v>5</v>
      </c>
      <c r="W18" s="156">
        <f>INDEX(Matrix!$AA$2:$AA$33, MATCH(G18, Matrix!$AC$2:$AC$33, 0))</f>
        <v/>
      </c>
    </row>
    <row r="19" ht="15.6" customHeight="1" s="152">
      <c r="A19" s="212" t="n">
        <v>16</v>
      </c>
      <c r="B19" s="167">
        <f>F19&amp;G19</f>
        <v/>
      </c>
      <c r="C19" s="156">
        <f>(K19/MAX(K:K)*$K$1)+(O19/MAX(O:O)*$O$1)+(Q19/MAX(Q:Q)*$Q$1)+(N19/MAX(N:N)*$N$1)+(U19/MAX(U:U)*$U$1)+(S19/MAX(S:S)*$S$1)</f>
        <v/>
      </c>
      <c r="E19" s="156">
        <f>IFERROR(VLOOKUP(F19,AllPlayers!F:F,1,0),"------------")</f>
        <v/>
      </c>
      <c r="F19" s="156" t="inlineStr">
        <is>
          <t>Jake Bates</t>
        </is>
      </c>
      <c r="G19" s="226">
        <f>VLOOKUP(F19,AllPlayers!Q:R,2,0)</f>
        <v/>
      </c>
      <c r="H19" s="156" t="n">
        <v>2</v>
      </c>
      <c r="I19" s="156" t="n">
        <v>64</v>
      </c>
      <c r="J19" s="156" t="n">
        <v>67</v>
      </c>
      <c r="K19" s="156" t="n">
        <v>95.5</v>
      </c>
      <c r="L19" s="156" t="n">
        <v>3</v>
      </c>
      <c r="M19" s="156" t="n">
        <v>29</v>
      </c>
      <c r="N19" s="156" t="n">
        <v>89.7</v>
      </c>
      <c r="O19" s="156" t="n">
        <v>3</v>
      </c>
      <c r="P19" s="156" t="n">
        <v>3</v>
      </c>
      <c r="Q19" s="156" t="n">
        <v>1</v>
      </c>
      <c r="R19" s="156" t="n">
        <v>10</v>
      </c>
      <c r="S19" s="156" t="n">
        <v>2</v>
      </c>
      <c r="T19" s="156" t="n">
        <v>8</v>
      </c>
      <c r="U19" s="156" t="n">
        <v>0</v>
      </c>
      <c r="V19" s="156" t="n">
        <v>8</v>
      </c>
      <c r="W19" s="156">
        <f>INDEX(Matrix!$AA$2:$AA$33, MATCH(G19, Matrix!$AC$2:$AC$33, 0))</f>
        <v/>
      </c>
    </row>
    <row r="20" ht="15.6" customHeight="1" s="152">
      <c r="A20" s="212" t="n">
        <v>17</v>
      </c>
      <c r="B20" s="167">
        <f>F20&amp;G20</f>
        <v/>
      </c>
      <c r="C20" s="156">
        <f>(K20/MAX(K:K)*$K$1)+(O20/MAX(O:O)*$O$1)+(Q20/MAX(Q:Q)*$Q$1)+(N20/MAX(N:N)*$N$1)+(U20/MAX(U:U)*$U$1)+(S20/MAX(S:S)*$S$1)</f>
        <v/>
      </c>
      <c r="E20" s="156">
        <f>IFERROR(VLOOKUP(F20,AllPlayers!F:F,1,0),"------------")</f>
        <v/>
      </c>
      <c r="F20" s="156" t="inlineStr">
        <is>
          <t>Joey Slye</t>
        </is>
      </c>
      <c r="G20" s="226">
        <f>VLOOKUP(F20,AllPlayers!Q:R,2,0)</f>
        <v/>
      </c>
      <c r="H20" s="156" t="n">
        <v>2</v>
      </c>
      <c r="I20" s="156" t="n">
        <v>25</v>
      </c>
      <c r="J20" s="156" t="n">
        <v>26</v>
      </c>
      <c r="K20" s="156" t="n">
        <v>96.2</v>
      </c>
      <c r="L20" s="156" t="n">
        <v>8</v>
      </c>
      <c r="M20" s="156" t="n">
        <v>33</v>
      </c>
      <c r="N20" s="156" t="n">
        <v>78.8</v>
      </c>
      <c r="O20" s="156" t="n">
        <v>5</v>
      </c>
      <c r="P20" s="156" t="n">
        <v>6</v>
      </c>
      <c r="Q20" s="156" t="n">
        <v>0</v>
      </c>
      <c r="R20" s="156" t="n">
        <v>11</v>
      </c>
      <c r="S20" s="156" t="n">
        <v>4</v>
      </c>
      <c r="T20" s="156" t="n">
        <v>7</v>
      </c>
      <c r="U20" s="156" t="n">
        <v>1</v>
      </c>
      <c r="V20" s="156" t="n">
        <v>9</v>
      </c>
      <c r="W20" s="156">
        <f>INDEX(Matrix!$AA$2:$AA$33, MATCH(G20, Matrix!$AC$2:$AC$33, 0))</f>
        <v/>
      </c>
    </row>
    <row r="21" ht="15.6" customHeight="1" s="152">
      <c r="A21" s="212" t="n">
        <v>18</v>
      </c>
      <c r="B21" s="167">
        <f>F21&amp;G21</f>
        <v/>
      </c>
      <c r="C21" s="156">
        <f>(K21/MAX(K:K)*$K$1)+(O21/MAX(O:O)*$O$1)+(Q21/MAX(Q:Q)*$Q$1)+(N21/MAX(N:N)*$N$1)+(U21/MAX(U:U)*$U$1)+(S21/MAX(S:S)*$S$1)</f>
        <v/>
      </c>
      <c r="E21" s="156">
        <f>IFERROR(VLOOKUP(F21,AllPlayers!F:F,1,0),"------------")</f>
        <v/>
      </c>
      <c r="F21" s="156" t="inlineStr">
        <is>
          <t>Jason Myers</t>
        </is>
      </c>
      <c r="G21" s="226">
        <f>VLOOKUP(F21,AllPlayers!Q:R,2,0)</f>
        <v/>
      </c>
      <c r="H21" s="156" t="n">
        <v>2</v>
      </c>
      <c r="I21" s="156" t="n">
        <v>37</v>
      </c>
      <c r="J21" s="156" t="n">
        <v>40</v>
      </c>
      <c r="K21" s="156" t="n">
        <v>92.5</v>
      </c>
      <c r="L21" s="156" t="n">
        <v>3</v>
      </c>
      <c r="M21" s="156" t="n">
        <v>30</v>
      </c>
      <c r="N21" s="156" t="n">
        <v>86.7</v>
      </c>
      <c r="O21" s="156" t="n">
        <v>4</v>
      </c>
      <c r="P21" s="156" t="n">
        <v>4</v>
      </c>
      <c r="Q21" s="156" t="n">
        <v>0</v>
      </c>
      <c r="R21" s="156" t="n">
        <v>6</v>
      </c>
      <c r="S21" s="156" t="n">
        <v>1</v>
      </c>
      <c r="T21" s="156" t="n">
        <v>8</v>
      </c>
      <c r="U21" s="156" t="n">
        <v>1</v>
      </c>
      <c r="V21" s="156" t="n">
        <v>12</v>
      </c>
      <c r="W21" s="156">
        <f>INDEX(Matrix!$AA$2:$AA$33, MATCH(G21, Matrix!$AC$2:$AC$33, 0))</f>
        <v/>
      </c>
    </row>
    <row r="22" ht="15.6" customHeight="1" s="152">
      <c r="A22" s="212" t="n">
        <v>19</v>
      </c>
      <c r="B22" s="167">
        <f>F22&amp;G22</f>
        <v/>
      </c>
      <c r="C22" s="156">
        <f>(K22/MAX(K:K)*$K$1)+(O22/MAX(O:O)*$O$1)+(Q22/MAX(Q:Q)*$Q$1)+(N22/MAX(N:N)*$N$1)+(U22/MAX(U:U)*$U$1)+(S22/MAX(S:S)*$S$1)</f>
        <v/>
      </c>
      <c r="E22" s="156">
        <f>IFERROR(VLOOKUP(F22,AllPlayers!F:F,1,0),"------------")</f>
        <v/>
      </c>
      <c r="F22" s="156" t="inlineStr">
        <is>
          <t>Younghoe Koo</t>
        </is>
      </c>
      <c r="G22" s="226">
        <f>VLOOKUP(F22,AllPlayers!Q:R,2,0)</f>
        <v/>
      </c>
      <c r="H22" s="156" t="n">
        <v>1</v>
      </c>
      <c r="I22" s="156" t="n">
        <v>26</v>
      </c>
      <c r="J22" s="156" t="n">
        <v>26</v>
      </c>
      <c r="K22" s="156" t="n">
        <v>100</v>
      </c>
      <c r="L22" s="156" t="n">
        <v>2</v>
      </c>
      <c r="M22" s="156" t="n">
        <v>34</v>
      </c>
      <c r="N22" s="156" t="n">
        <v>73.5</v>
      </c>
      <c r="O22" s="156" t="n">
        <v>7</v>
      </c>
      <c r="P22" s="156" t="n">
        <v>7</v>
      </c>
      <c r="Q22" s="156" t="n">
        <v>0</v>
      </c>
      <c r="R22" s="156" t="n">
        <v>7</v>
      </c>
      <c r="S22" s="156" t="n">
        <v>1</v>
      </c>
      <c r="T22" s="156" t="n">
        <v>11</v>
      </c>
      <c r="U22" s="156" t="n">
        <v>1</v>
      </c>
      <c r="V22" s="156" t="n">
        <v>9</v>
      </c>
      <c r="W22" s="156">
        <f>INDEX(Matrix!$AA$2:$AA$33, MATCH(G22, Matrix!$AC$2:$AC$33, 0))</f>
        <v/>
      </c>
    </row>
    <row r="23" ht="15.6" customHeight="1" s="152">
      <c r="A23" s="212" t="n">
        <v>20</v>
      </c>
      <c r="B23" s="167">
        <f>F23&amp;G23</f>
        <v/>
      </c>
      <c r="C23" s="156">
        <f>(K23/MAX(K:K)*$K$1)+(O23/MAX(O:O)*$O$1)+(Q23/MAX(Q:Q)*$Q$1)+(N23/MAX(N:N)*$N$1)+(U23/MAX(U:U)*$U$1)+(S23/MAX(S:S)*$S$1)</f>
        <v/>
      </c>
      <c r="E23" s="156">
        <f>IFERROR(VLOOKUP(F23,AllPlayers!F:F,1,0),"------------")</f>
        <v/>
      </c>
      <c r="F23" s="156" t="inlineStr">
        <is>
          <t>Jake Moody</t>
        </is>
      </c>
      <c r="G23" s="226">
        <f>VLOOKUP(F23,AllPlayers!Q:R,2,0)</f>
        <v/>
      </c>
      <c r="H23" s="156" t="n">
        <v>1</v>
      </c>
      <c r="I23" s="156" t="n">
        <v>32</v>
      </c>
      <c r="J23" s="156" t="n">
        <v>33</v>
      </c>
      <c r="K23" s="156" t="n">
        <v>97</v>
      </c>
      <c r="L23" s="156" t="n">
        <v>1</v>
      </c>
      <c r="M23" s="156" t="n">
        <v>34</v>
      </c>
      <c r="N23" s="156" t="n">
        <v>70.59999999999999</v>
      </c>
      <c r="O23" s="156" t="n">
        <v>9</v>
      </c>
      <c r="P23" s="156" t="n">
        <v>9</v>
      </c>
      <c r="Q23" s="156" t="n">
        <v>0</v>
      </c>
      <c r="R23" s="156" t="n">
        <v>5</v>
      </c>
      <c r="S23" s="156" t="n">
        <v>1</v>
      </c>
      <c r="T23" s="156" t="n">
        <v>11</v>
      </c>
      <c r="U23" s="156" t="n">
        <v>0</v>
      </c>
      <c r="V23" s="156" t="n">
        <v>9</v>
      </c>
      <c r="W23" s="156">
        <f>INDEX(Matrix!$AA$2:$AA$33, MATCH(G23, Matrix!$AC$2:$AC$33, 0))</f>
        <v/>
      </c>
    </row>
    <row r="24" ht="15.6" customHeight="1" s="152">
      <c r="A24" s="212" t="n">
        <v>21</v>
      </c>
      <c r="B24" s="167">
        <f>F24&amp;G24</f>
        <v/>
      </c>
      <c r="C24" s="156">
        <f>(K24/MAX(K:K)*$K$1)+(O24/MAX(O:O)*$O$1)+(Q24/MAX(Q:Q)*$Q$1)+(N24/MAX(N:N)*$N$1)+(U24/MAX(U:U)*$U$1)+(S24/MAX(S:S)*$S$1)</f>
        <v/>
      </c>
      <c r="E24" s="156">
        <f>IFERROR(VLOOKUP(F24,AllPlayers!F:F,1,0),"------------")</f>
        <v/>
      </c>
      <c r="F24" s="156" t="inlineStr">
        <is>
          <t>Will Reichard</t>
        </is>
      </c>
      <c r="G24" s="226">
        <f>VLOOKUP(F24,AllPlayers!Q:R,2,0)</f>
        <v/>
      </c>
      <c r="H24" s="156" t="n">
        <v>2</v>
      </c>
      <c r="I24" s="156" t="n">
        <v>38</v>
      </c>
      <c r="J24" s="156" t="n">
        <v>38</v>
      </c>
      <c r="K24" s="156" t="n">
        <v>100</v>
      </c>
      <c r="L24" s="156" t="n">
        <v>4</v>
      </c>
      <c r="M24" s="156" t="n">
        <v>30</v>
      </c>
      <c r="N24" s="156" t="n">
        <v>80</v>
      </c>
      <c r="O24" s="156" t="n">
        <v>5</v>
      </c>
      <c r="P24" s="156" t="n">
        <v>5</v>
      </c>
      <c r="Q24" s="156" t="n">
        <v>0</v>
      </c>
      <c r="R24" s="156" t="n">
        <v>7</v>
      </c>
      <c r="S24" s="156" t="n">
        <v>2</v>
      </c>
      <c r="T24" s="156" t="n">
        <v>7</v>
      </c>
      <c r="U24" s="156" t="n">
        <v>0</v>
      </c>
      <c r="V24" s="156" t="n">
        <v>11</v>
      </c>
      <c r="W24" s="156">
        <f>INDEX(Matrix!$AA$2:$AA$33, MATCH(G24, Matrix!$AC$2:$AC$33, 0))</f>
        <v/>
      </c>
    </row>
    <row r="25" ht="15.6" customHeight="1" s="152">
      <c r="A25" s="212" t="n">
        <v>22</v>
      </c>
      <c r="B25" s="167">
        <f>F25&amp;G25</f>
        <v/>
      </c>
      <c r="C25" s="156">
        <f>(K25/MAX(K:K)*$K$1)+(O25/MAX(O:O)*$O$1)+(Q25/MAX(Q:Q)*$Q$1)+(N25/MAX(N:N)*$N$1)+(U25/MAX(U:U)*$U$1)+(S25/MAX(S:S)*$S$1)</f>
        <v/>
      </c>
      <c r="E25" s="156">
        <f>IFERROR(VLOOKUP(F25,AllPlayers!F:F,1,0),"------------")</f>
        <v/>
      </c>
      <c r="F25" s="156" t="inlineStr">
        <is>
          <t>Tyler Bass</t>
        </is>
      </c>
      <c r="G25" s="226">
        <f>VLOOKUP(F25,AllPlayers!Q:R,2,0)</f>
        <v/>
      </c>
      <c r="H25" s="156" t="n">
        <v>17</v>
      </c>
      <c r="I25" s="156" t="n">
        <v>59</v>
      </c>
      <c r="J25" s="156" t="n">
        <v>64</v>
      </c>
      <c r="K25" s="156" t="n">
        <v>92.2</v>
      </c>
      <c r="L25" s="156" t="n">
        <v>24</v>
      </c>
      <c r="M25" s="156" t="n">
        <v>29</v>
      </c>
      <c r="N25" s="156" t="n">
        <v>82.8</v>
      </c>
      <c r="O25" s="156" t="n">
        <v>6</v>
      </c>
      <c r="P25" s="156" t="n">
        <v>7</v>
      </c>
      <c r="Q25" s="156" t="n">
        <v>7</v>
      </c>
      <c r="R25" s="156" t="n">
        <v>7</v>
      </c>
      <c r="S25" s="156" t="n">
        <v>7</v>
      </c>
      <c r="T25" s="156" t="n">
        <v>11</v>
      </c>
      <c r="U25" s="156" t="n">
        <v>4</v>
      </c>
      <c r="V25" s="156" t="n">
        <v>4</v>
      </c>
      <c r="W25" s="156">
        <f>INDEX(Matrix!$AA$2:$AA$33, MATCH(G25, Matrix!$AC$2:$AC$33, 0))</f>
        <v/>
      </c>
    </row>
    <row r="26" ht="15.6" customHeight="1" s="152">
      <c r="A26" s="212" t="n">
        <v>23</v>
      </c>
      <c r="B26" s="167">
        <f>F26&amp;G26</f>
        <v/>
      </c>
      <c r="C26" s="156">
        <f>(K26/MAX(K:K)*$K$1)+(O26/MAX(O:O)*$O$1)+(Q26/MAX(Q:Q)*$Q$1)+(N26/MAX(N:N)*$N$1)+(U26/MAX(U:U)*$U$1)+(S26/MAX(S:S)*$S$1)</f>
        <v/>
      </c>
      <c r="E26" s="156">
        <f>IFERROR(VLOOKUP(F26,AllPlayers!F:F,1,0),"------------")</f>
        <v/>
      </c>
      <c r="F26" s="156" t="inlineStr">
        <is>
          <t>Justin Tucker</t>
        </is>
      </c>
      <c r="G26" s="226">
        <f>VLOOKUP(F26,AllPlayers!Q:R,2,0)</f>
        <v/>
      </c>
      <c r="H26" s="156" t="n">
        <v>17</v>
      </c>
      <c r="I26" s="156" t="n">
        <v>60</v>
      </c>
      <c r="J26" s="156" t="n">
        <v>62</v>
      </c>
      <c r="K26" s="156" t="n">
        <v>96.8</v>
      </c>
      <c r="L26" s="156" t="n">
        <v>22</v>
      </c>
      <c r="M26" s="156" t="n">
        <v>30</v>
      </c>
      <c r="N26" s="156" t="n">
        <v>73.3</v>
      </c>
      <c r="O26" s="156" t="n">
        <v>4</v>
      </c>
      <c r="P26" s="156" t="n">
        <v>4</v>
      </c>
      <c r="Q26" s="156" t="n">
        <v>7</v>
      </c>
      <c r="R26" s="156" t="n">
        <v>7</v>
      </c>
      <c r="S26" s="156" t="n">
        <v>5</v>
      </c>
      <c r="T26" s="156" t="n">
        <v>8</v>
      </c>
      <c r="U26" s="156" t="n">
        <v>6</v>
      </c>
      <c r="V26" s="156" t="n">
        <v>11</v>
      </c>
      <c r="W26" s="156">
        <f>INDEX(Matrix!$AA$2:$AA$33, MATCH(G26, Matrix!$AC$2:$AC$33, 0))</f>
        <v/>
      </c>
    </row>
    <row r="27" ht="15.6" customHeight="1" s="152">
      <c r="A27" s="212" t="n">
        <v>24</v>
      </c>
      <c r="B27" s="167">
        <f>F27&amp;G27</f>
        <v/>
      </c>
      <c r="C27" s="156">
        <f>(K27/MAX(K:K)*$K$1)+(O27/MAX(O:O)*$O$1)+(Q27/MAX(Q:Q)*$Q$1)+(N27/MAX(N:N)*$N$1)+(U27/MAX(U:U)*$U$1)+(S27/MAX(S:S)*$S$1)</f>
        <v/>
      </c>
      <c r="E27" s="156">
        <f>IFERROR(VLOOKUP(F27,AllPlayers!F:F,1,0),"------------")</f>
        <v/>
      </c>
      <c r="F27" s="156" t="inlineStr">
        <is>
          <t>Eddy Pineiro</t>
        </is>
      </c>
      <c r="G27" s="226">
        <f>VLOOKUP(F27,AllPlayers!Q:R,2,0)</f>
        <v/>
      </c>
      <c r="H27" s="156" t="n">
        <v>1</v>
      </c>
      <c r="I27" s="156" t="n">
        <v>33</v>
      </c>
      <c r="J27" s="156" t="n">
        <v>35</v>
      </c>
      <c r="K27" s="156" t="n">
        <v>94.3</v>
      </c>
      <c r="L27" s="156" t="n">
        <v>2</v>
      </c>
      <c r="M27" s="156" t="n">
        <v>26</v>
      </c>
      <c r="N27" s="156" t="n">
        <v>84.59999999999999</v>
      </c>
      <c r="O27" s="156" t="n">
        <v>7</v>
      </c>
      <c r="P27" s="156" t="n">
        <v>7</v>
      </c>
      <c r="Q27" s="156" t="n">
        <v>0</v>
      </c>
      <c r="R27" s="156" t="n">
        <v>9</v>
      </c>
      <c r="S27" s="156" t="n">
        <v>0</v>
      </c>
      <c r="T27" s="156" t="n">
        <v>8</v>
      </c>
      <c r="U27" s="156" t="n">
        <v>2</v>
      </c>
      <c r="V27" s="156" t="n">
        <v>2</v>
      </c>
      <c r="W27" s="156">
        <f>INDEX(Matrix!$AA$2:$AA$33, MATCH(G27, Matrix!$AC$2:$AC$33, 0))</f>
        <v/>
      </c>
    </row>
    <row r="28" ht="15.6" customHeight="1" s="152">
      <c r="A28" s="212" t="n">
        <v>25</v>
      </c>
      <c r="B28" s="167">
        <f>F28&amp;G28</f>
        <v/>
      </c>
      <c r="C28" s="156">
        <f>(K28/MAX(K:K)*$K$1)+(O28/MAX(O:O)*$O$1)+(Q28/MAX(Q:Q)*$Q$1)+(N28/MAX(N:N)*$N$1)+(U28/MAX(U:U)*$U$1)+(S28/MAX(S:S)*$S$1)</f>
        <v/>
      </c>
      <c r="E28" s="156">
        <f>IFERROR(VLOOKUP(F28,AllPlayers!F:F,1,0),"------------")</f>
        <v/>
      </c>
      <c r="F28" s="156" t="inlineStr">
        <is>
          <t>Cairo Santos</t>
        </is>
      </c>
      <c r="G28" s="226">
        <f>VLOOKUP(F28,AllPlayers!Q:R,2,0)</f>
        <v/>
      </c>
      <c r="H28" s="156" t="n">
        <v>2</v>
      </c>
      <c r="I28" s="156" t="n">
        <v>25</v>
      </c>
      <c r="J28" s="156" t="n">
        <v>26</v>
      </c>
      <c r="K28" s="156" t="n">
        <v>96.2</v>
      </c>
      <c r="L28" s="156" t="n">
        <v>1</v>
      </c>
      <c r="M28" s="156" t="n">
        <v>25</v>
      </c>
      <c r="N28" s="156" t="n">
        <v>84</v>
      </c>
      <c r="O28" s="156" t="n">
        <v>4</v>
      </c>
      <c r="P28" s="156" t="n">
        <v>4</v>
      </c>
      <c r="Q28" s="156" t="n">
        <v>0</v>
      </c>
      <c r="R28" s="156" t="n">
        <v>4</v>
      </c>
      <c r="S28" s="156" t="n">
        <v>0</v>
      </c>
      <c r="T28" s="156" t="n">
        <v>8</v>
      </c>
      <c r="U28" s="156" t="n">
        <v>1</v>
      </c>
      <c r="V28" s="156" t="n">
        <v>9</v>
      </c>
      <c r="W28" s="156">
        <f>INDEX(Matrix!$AA$2:$AA$33, MATCH(G28, Matrix!$AC$2:$AC$33, 0))</f>
        <v/>
      </c>
    </row>
    <row r="29" ht="15.6" customHeight="1" s="152">
      <c r="A29" s="212" t="n">
        <v>26</v>
      </c>
      <c r="B29" s="167">
        <f>F29&amp;G29</f>
        <v/>
      </c>
      <c r="C29" s="156">
        <f>(K29/MAX(K:K)*$K$1)+(O29/MAX(O:O)*$O$1)+(Q29/MAX(Q:Q)*$Q$1)+(N29/MAX(N:N)*$N$1)+(U29/MAX(U:U)*$U$1)+(S29/MAX(S:S)*$S$1)</f>
        <v/>
      </c>
      <c r="E29" s="156">
        <f>IFERROR(VLOOKUP(F29,AllPlayers!F:F,1,0),"------------")</f>
        <v/>
      </c>
      <c r="F29" s="156" t="inlineStr">
        <is>
          <t>Nick Folk</t>
        </is>
      </c>
      <c r="G29" s="226">
        <f>VLOOKUP(F29,AllPlayers!Q:R,2,0)</f>
        <v/>
      </c>
      <c r="H29" s="156" t="n">
        <v>2</v>
      </c>
      <c r="I29" s="156" t="n">
        <v>25</v>
      </c>
      <c r="J29" s="156" t="n">
        <v>25</v>
      </c>
      <c r="K29" s="156" t="n">
        <v>100</v>
      </c>
      <c r="L29" s="156" t="n">
        <v>3</v>
      </c>
      <c r="M29" s="156" t="n">
        <v>22</v>
      </c>
      <c r="N29" s="156" t="n">
        <v>95.5</v>
      </c>
      <c r="O29" s="156" t="n">
        <v>5</v>
      </c>
      <c r="P29" s="156" t="n">
        <v>5</v>
      </c>
      <c r="Q29" s="156" t="n">
        <v>0</v>
      </c>
      <c r="R29" s="156" t="n">
        <v>2</v>
      </c>
      <c r="S29" s="156" t="n">
        <v>1</v>
      </c>
      <c r="T29" s="156" t="n">
        <v>9</v>
      </c>
      <c r="U29" s="156" t="n">
        <v>0</v>
      </c>
      <c r="V29" s="156" t="n">
        <v>6</v>
      </c>
      <c r="W29" s="156">
        <f>INDEX(Matrix!$AA$2:$AA$33, MATCH(G29, Matrix!$AC$2:$AC$33, 0))</f>
        <v/>
      </c>
    </row>
    <row r="30" ht="15.6" customHeight="1" s="152">
      <c r="A30" s="212" t="n">
        <v>27</v>
      </c>
      <c r="B30" s="167">
        <f>F30&amp;G30</f>
        <v/>
      </c>
      <c r="C30" s="156">
        <f>(K30/MAX(K:K)*$K$1)+(O30/MAX(O:O)*$O$1)+(Q30/MAX(Q:Q)*$Q$1)+(N30/MAX(N:N)*$N$1)+(U30/MAX(U:U)*$U$1)+(S30/MAX(S:S)*$S$1)</f>
        <v/>
      </c>
      <c r="E30" s="156">
        <f>IFERROR(VLOOKUP(F30,AllPlayers!F:F,1,0),"------------")</f>
        <v/>
      </c>
      <c r="F30" s="156" t="inlineStr">
        <is>
          <t>Harrison Butker</t>
        </is>
      </c>
      <c r="G30" s="226">
        <f>VLOOKUP(F30,AllPlayers!Q:R,2,0)</f>
        <v/>
      </c>
      <c r="H30" s="156" t="n">
        <v>2</v>
      </c>
      <c r="I30" s="156" t="n">
        <v>29</v>
      </c>
      <c r="J30" s="156" t="n">
        <v>31</v>
      </c>
      <c r="K30" s="156" t="n">
        <v>93.5</v>
      </c>
      <c r="L30" s="156" t="n">
        <v>4</v>
      </c>
      <c r="M30" s="156" t="n">
        <v>25</v>
      </c>
      <c r="N30" s="156" t="n">
        <v>84</v>
      </c>
      <c r="O30" s="156" t="n">
        <v>8</v>
      </c>
      <c r="P30" s="156" t="n">
        <v>9</v>
      </c>
      <c r="Q30" s="156" t="n">
        <v>1</v>
      </c>
      <c r="R30" s="156" t="n">
        <v>7</v>
      </c>
      <c r="S30" s="156" t="n">
        <v>1</v>
      </c>
      <c r="T30" s="156" t="n">
        <v>4</v>
      </c>
      <c r="U30" s="156" t="n">
        <v>0</v>
      </c>
      <c r="V30" s="156" t="n">
        <v>5</v>
      </c>
      <c r="W30" s="156">
        <f>INDEX(Matrix!$AA$2:$AA$33, MATCH(G30, Matrix!$AC$2:$AC$33, 0))</f>
        <v/>
      </c>
    </row>
    <row r="31" ht="15.6" customHeight="1" s="152">
      <c r="A31" s="212" t="n">
        <v>28</v>
      </c>
      <c r="B31" s="167">
        <f>F31&amp;G31</f>
        <v/>
      </c>
      <c r="C31" s="156">
        <f>(K31/MAX(K:K)*$K$1)+(O31/MAX(O:O)*$O$1)+(Q31/MAX(Q:Q)*$Q$1)+(N31/MAX(N:N)*$N$1)+(U31/MAX(U:U)*$U$1)+(S31/MAX(S:S)*$S$1)</f>
        <v/>
      </c>
      <c r="E31" s="156">
        <f>IFERROR(VLOOKUP(F31,AllPlayers!F:F,1,0),"------------")</f>
        <v/>
      </c>
      <c r="F31" s="156" t="inlineStr">
        <is>
          <t>Brandon Mcmanus</t>
        </is>
      </c>
      <c r="G31" s="226">
        <f>VLOOKUP(F31,AllPlayers!Q:R,2,0)</f>
        <v/>
      </c>
      <c r="H31" s="156" t="n">
        <v>2</v>
      </c>
      <c r="I31" s="156" t="n">
        <v>30</v>
      </c>
      <c r="J31" s="156" t="n">
        <v>30</v>
      </c>
      <c r="K31" s="156" t="n">
        <v>100</v>
      </c>
      <c r="L31" s="156" t="n">
        <v>4</v>
      </c>
      <c r="M31" s="156" t="n">
        <v>21</v>
      </c>
      <c r="N31" s="156" t="n">
        <v>95.2</v>
      </c>
      <c r="O31" s="156" t="n">
        <v>5</v>
      </c>
      <c r="P31" s="156" t="n">
        <v>5</v>
      </c>
      <c r="Q31" s="156" t="n">
        <v>1</v>
      </c>
      <c r="R31" s="156" t="n">
        <v>9</v>
      </c>
      <c r="S31" s="156" t="n">
        <v>2</v>
      </c>
      <c r="T31" s="156" t="n">
        <v>4</v>
      </c>
      <c r="U31" s="156" t="n">
        <v>0</v>
      </c>
      <c r="V31" s="156" t="n">
        <v>3</v>
      </c>
      <c r="W31" s="156">
        <f>INDEX(Matrix!$AA$2:$AA$33, MATCH(G31, Matrix!$AC$2:$AC$33, 0))</f>
        <v/>
      </c>
    </row>
    <row r="32" ht="15.6" customHeight="1" s="152">
      <c r="A32" s="212" t="n">
        <v>29</v>
      </c>
      <c r="B32" s="167">
        <f>F32&amp;G32</f>
        <v/>
      </c>
      <c r="C32" s="156">
        <f>(K32/MAX(K:K)*$K$1)+(O32/MAX(O:O)*$O$1)+(Q32/MAX(Q:Q)*$Q$1)+(N32/MAX(N:N)*$N$1)+(U32/MAX(U:U)*$U$1)+(S32/MAX(S:S)*$S$1)</f>
        <v/>
      </c>
      <c r="E32" s="156">
        <f>IFERROR(VLOOKUP(F32,AllPlayers!F:F,1,0),"------------")</f>
        <v/>
      </c>
      <c r="F32" s="156" t="inlineStr">
        <is>
          <t>Dustin Hopkins</t>
        </is>
      </c>
      <c r="G32" s="226">
        <f>VLOOKUP(F32,AllPlayers!Q:R,2,0)</f>
        <v/>
      </c>
      <c r="H32" s="156" t="n">
        <v>16</v>
      </c>
      <c r="I32" s="156" t="n">
        <v>17</v>
      </c>
      <c r="J32" s="156" t="n">
        <v>20</v>
      </c>
      <c r="K32" s="156" t="n">
        <v>85</v>
      </c>
      <c r="L32" s="156" t="n">
        <v>18</v>
      </c>
      <c r="M32" s="156" t="n">
        <v>27</v>
      </c>
      <c r="N32" s="156" t="n">
        <v>66.7</v>
      </c>
      <c r="O32" s="156" t="n">
        <v>3</v>
      </c>
      <c r="P32" s="156" t="n">
        <v>4</v>
      </c>
      <c r="Q32" s="156" t="n">
        <v>6</v>
      </c>
      <c r="R32" s="156" t="n">
        <v>7</v>
      </c>
      <c r="S32" s="156" t="n">
        <v>5</v>
      </c>
      <c r="T32" s="156" t="n">
        <v>8</v>
      </c>
      <c r="U32" s="156" t="n">
        <v>4</v>
      </c>
      <c r="V32" s="156" t="n">
        <v>8</v>
      </c>
      <c r="W32" s="156">
        <f>INDEX(Matrix!$AA$2:$AA$33, MATCH(G32, Matrix!$AC$2:$AC$33, 0))</f>
        <v/>
      </c>
    </row>
    <row r="33" ht="15.6" customHeight="1" s="152">
      <c r="A33" s="212" t="n">
        <v>30</v>
      </c>
      <c r="B33" s="167">
        <f>F33&amp;G33</f>
        <v/>
      </c>
      <c r="C33" s="156">
        <f>(K33/MAX(K:K)*$K$1)+(O33/MAX(O:O)*$O$1)+(Q33/MAX(Q:Q)*$Q$1)+(N33/MAX(N:N)*$N$1)+(U33/MAX(U:U)*$U$1)+(S33/MAX(S:S)*$S$1)</f>
        <v/>
      </c>
      <c r="E33" s="156">
        <f>IFERROR(VLOOKUP(F33,AllPlayers!F:F,1,0),"------------")</f>
        <v/>
      </c>
      <c r="F33" s="156" t="inlineStr">
        <is>
          <t>Evan Mcpherson</t>
        </is>
      </c>
      <c r="G33" s="226">
        <f>VLOOKUP(F33,AllPlayers!Q:R,2,0)</f>
        <v/>
      </c>
      <c r="H33" s="156" t="n">
        <v>2</v>
      </c>
      <c r="I33" s="156" t="n">
        <v>37</v>
      </c>
      <c r="J33" s="156" t="n">
        <v>38</v>
      </c>
      <c r="K33" s="156" t="n">
        <v>97.40000000000001</v>
      </c>
      <c r="L33" s="156" t="n">
        <v>2</v>
      </c>
      <c r="M33" s="156" t="n">
        <v>22</v>
      </c>
      <c r="N33" s="156" t="n">
        <v>72.7</v>
      </c>
      <c r="O33" s="156" t="n">
        <v>6</v>
      </c>
      <c r="P33" s="156" t="n">
        <v>6</v>
      </c>
      <c r="Q33" s="156" t="n">
        <v>0</v>
      </c>
      <c r="R33" s="156" t="n">
        <v>4</v>
      </c>
      <c r="S33" s="156" t="n">
        <v>2</v>
      </c>
      <c r="T33" s="156" t="n">
        <v>5</v>
      </c>
      <c r="U33" s="156" t="n">
        <v>0</v>
      </c>
      <c r="V33" s="156" t="n">
        <v>7</v>
      </c>
      <c r="W33" s="156">
        <f>INDEX(Matrix!$AA$2:$AA$33, MATCH(G33, Matrix!$AC$2:$AC$33, 0))</f>
        <v/>
      </c>
    </row>
    <row r="34" ht="15.6" customHeight="1" s="152">
      <c r="A34" s="212" t="n">
        <v>31</v>
      </c>
      <c r="B34" s="167">
        <f>F34&amp;G34</f>
        <v/>
      </c>
      <c r="C34" s="156">
        <f>(K34/MAX(K:K)*$K$1)+(O34/MAX(O:O)*$O$1)+(Q34/MAX(Q:Q)*$Q$1)+(N34/MAX(N:N)*$N$1)+(U34/MAX(U:U)*$U$1)+(S34/MAX(S:S)*$S$1)</f>
        <v/>
      </c>
      <c r="E34" s="156">
        <f>IFERROR(VLOOKUP(F34,AllPlayers!F:F,1,0),"------------")</f>
        <v/>
      </c>
      <c r="F34" s="156" t="inlineStr">
        <is>
          <t>Greg Joseph</t>
        </is>
      </c>
      <c r="G34" s="226">
        <f>VLOOKUP(F34,AllPlayers!Q:R,2,0)</f>
        <v/>
      </c>
      <c r="H34" s="156" t="n">
        <v>6</v>
      </c>
      <c r="I34" s="156" t="n">
        <v>6</v>
      </c>
      <c r="J34" s="156" t="n">
        <v>6</v>
      </c>
      <c r="K34" s="156" t="n">
        <v>100</v>
      </c>
      <c r="L34" s="156" t="n">
        <v>13</v>
      </c>
      <c r="M34" s="156" t="n">
        <v>16</v>
      </c>
      <c r="N34" s="156" t="n">
        <v>81.3</v>
      </c>
      <c r="O34" s="156" t="n">
        <v>3</v>
      </c>
      <c r="P34" s="156" t="n">
        <v>3</v>
      </c>
      <c r="Q34" s="156" t="n">
        <v>5</v>
      </c>
      <c r="R34" s="156" t="n">
        <v>5</v>
      </c>
      <c r="S34" s="156" t="n">
        <v>4</v>
      </c>
      <c r="T34" s="156" t="n">
        <v>7</v>
      </c>
      <c r="U34" s="156" t="n">
        <v>1</v>
      </c>
      <c r="V34" s="156" t="n">
        <v>1</v>
      </c>
      <c r="W34" s="156">
        <f>INDEX(Matrix!$AA$2:$AA$33, MATCH(G34, Matrix!$AC$2:$AC$33, 0))</f>
        <v/>
      </c>
    </row>
    <row r="35" ht="15.6" customHeight="1" s="152">
      <c r="A35" s="212" t="n">
        <v>32</v>
      </c>
      <c r="B35" s="167">
        <f>F35&amp;G35</f>
        <v/>
      </c>
      <c r="C35" s="156">
        <f>(K35/MAX(K:K)*$K$1)+(O35/MAX(O:O)*$O$1)+(Q35/MAX(Q:Q)*$Q$1)+(N35/MAX(N:N)*$N$1)+(U35/MAX(U:U)*$U$1)+(S35/MAX(S:S)*$S$1)</f>
        <v/>
      </c>
      <c r="E35" s="156">
        <f>IFERROR(VLOOKUP(F35,AllPlayers!F:F,1,0),"------------")</f>
        <v/>
      </c>
      <c r="F35" s="156" t="inlineStr">
        <is>
          <t>Brayden Narveson</t>
        </is>
      </c>
      <c r="G35" s="226">
        <f>VLOOKUP(F35,AllPlayers!Q:R,2,0)</f>
        <v/>
      </c>
      <c r="H35" s="156" t="n">
        <v>6</v>
      </c>
      <c r="I35" s="156" t="n">
        <v>16</v>
      </c>
      <c r="J35" s="156" t="n">
        <v>16</v>
      </c>
      <c r="K35" s="156" t="n">
        <v>100</v>
      </c>
      <c r="L35" s="156" t="n">
        <v>12</v>
      </c>
      <c r="M35" s="156" t="n">
        <v>17</v>
      </c>
      <c r="N35" s="156" t="n">
        <v>70.59999999999999</v>
      </c>
      <c r="O35" s="156" t="n">
        <v>4</v>
      </c>
      <c r="P35" s="156" t="n">
        <v>4</v>
      </c>
      <c r="Q35" s="156" t="n">
        <v>3</v>
      </c>
      <c r="R35" s="156" t="n">
        <v>4</v>
      </c>
      <c r="S35" s="156" t="n">
        <v>5</v>
      </c>
      <c r="T35" s="156" t="n">
        <v>9</v>
      </c>
      <c r="U35" s="156" t="n">
        <v>0</v>
      </c>
      <c r="V35" s="156" t="n">
        <v>0</v>
      </c>
      <c r="W35" s="156">
        <f>INDEX(Matrix!$AA$2:$AA$33, MATCH(G35, Matrix!$AC$2:$AC$33, 0))</f>
        <v/>
      </c>
    </row>
    <row r="36" ht="15.6" customHeight="1" s="152">
      <c r="A36" s="212" t="n">
        <v>33</v>
      </c>
      <c r="B36" s="167">
        <f>F36&amp;G36</f>
        <v/>
      </c>
      <c r="C36" s="156">
        <f>(K36/MAX(K:K)*$K$1)+(O36/MAX(O:O)*$O$1)+(Q36/MAX(Q:Q)*$Q$1)+(N36/MAX(N:N)*$N$1)+(U36/MAX(U:U)*$U$1)+(S36/MAX(S:S)*$S$1)</f>
        <v/>
      </c>
      <c r="E36" s="156">
        <f>IFERROR(VLOOKUP(F36,AllPlayers!F:F,1,0),"------------")</f>
        <v/>
      </c>
      <c r="F36" s="156" t="inlineStr">
        <is>
          <t>John Parker Romo</t>
        </is>
      </c>
      <c r="G36" s="226">
        <f>VLOOKUP(F36,AllPlayers!Q:R,2,0)</f>
        <v/>
      </c>
      <c r="H36" s="156" t="n">
        <v>1</v>
      </c>
      <c r="I36" s="156" t="n">
        <v>7</v>
      </c>
      <c r="J36" s="156" t="n">
        <v>8</v>
      </c>
      <c r="K36" s="156" t="n">
        <v>87.5</v>
      </c>
      <c r="L36" s="156" t="n">
        <v>5</v>
      </c>
      <c r="M36" s="156" t="n">
        <v>12</v>
      </c>
      <c r="N36" s="156" t="n">
        <v>91.7</v>
      </c>
      <c r="O36" s="156" t="n">
        <v>3</v>
      </c>
      <c r="P36" s="156" t="n">
        <v>3</v>
      </c>
      <c r="Q36" s="156" t="n">
        <v>1</v>
      </c>
      <c r="R36" s="156" t="n">
        <v>3</v>
      </c>
      <c r="S36" s="156" t="n">
        <v>3</v>
      </c>
      <c r="T36" s="156" t="n">
        <v>5</v>
      </c>
      <c r="U36" s="156" t="n">
        <v>0</v>
      </c>
      <c r="V36" s="156" t="n">
        <v>1</v>
      </c>
      <c r="W36" s="156">
        <f>INDEX(Matrix!$AA$2:$AA$33, MATCH(G36, Matrix!$AC$2:$AC$33, 0))</f>
        <v/>
      </c>
    </row>
    <row r="37" ht="15.6" customHeight="1" s="152">
      <c r="A37" s="212" t="n">
        <v>34</v>
      </c>
      <c r="B37" s="167">
        <f>F37&amp;G37</f>
        <v/>
      </c>
      <c r="C37" s="156">
        <f>(K37/MAX(K:K)*$K$1)+(O37/MAX(O:O)*$O$1)+(Q37/MAX(Q:Q)*$Q$1)+(N37/MAX(N:N)*$N$1)+(U37/MAX(U:U)*$U$1)+(S37/MAX(S:S)*$S$1)</f>
        <v/>
      </c>
      <c r="E37" s="156">
        <f>IFERROR(VLOOKUP(F37,AllPlayers!F:F,1,0),"------------")</f>
        <v/>
      </c>
      <c r="F37" s="156" t="inlineStr">
        <is>
          <t>Greg Zuerlein</t>
        </is>
      </c>
      <c r="G37" s="226">
        <f>VLOOKUP(F37,AllPlayers!Q:R,2,0)</f>
        <v/>
      </c>
      <c r="H37" s="156" t="n">
        <v>8</v>
      </c>
      <c r="I37" s="156" t="n">
        <v>13</v>
      </c>
      <c r="J37" s="156" t="n">
        <v>14</v>
      </c>
      <c r="K37" s="156" t="n">
        <v>92.90000000000001</v>
      </c>
      <c r="L37" s="156" t="n">
        <v>9</v>
      </c>
      <c r="M37" s="156" t="n">
        <v>15</v>
      </c>
      <c r="N37" s="156" t="n">
        <v>60</v>
      </c>
      <c r="O37" s="156" t="n">
        <v>4</v>
      </c>
      <c r="P37" s="156" t="n">
        <v>4</v>
      </c>
      <c r="Q37" s="156" t="n">
        <v>4</v>
      </c>
      <c r="R37" s="156" t="n">
        <v>6</v>
      </c>
      <c r="S37" s="156" t="n">
        <v>1</v>
      </c>
      <c r="T37" s="156" t="n">
        <v>4</v>
      </c>
      <c r="U37" s="156" t="n">
        <v>0</v>
      </c>
      <c r="V37" s="156" t="n">
        <v>1</v>
      </c>
      <c r="W37" s="156">
        <f>INDEX(Matrix!$AA$2:$AA$33, MATCH(G37, Matrix!$AC$2:$AC$33, 0))</f>
        <v/>
      </c>
    </row>
    <row r="38" ht="15.6" customHeight="1" s="152">
      <c r="A38" s="212" t="n">
        <v>35</v>
      </c>
      <c r="B38" s="167">
        <f>F38&amp;G38</f>
        <v/>
      </c>
      <c r="C38" s="156">
        <f>(K38/MAX(K:K)*$K$1)+(O38/MAX(O:O)*$O$1)+(Q38/MAX(Q:Q)*$Q$1)+(N38/MAX(N:N)*$N$1)+(U38/MAX(U:U)*$U$1)+(S38/MAX(S:S)*$S$1)</f>
        <v/>
      </c>
      <c r="E38" s="156">
        <f>IFERROR(VLOOKUP(F38,AllPlayers!F:F,1,0),"------------")</f>
        <v/>
      </c>
      <c r="F38" s="156" t="inlineStr">
        <is>
          <t>Graham Gano</t>
        </is>
      </c>
      <c r="G38" s="226">
        <f>VLOOKUP(F38,AllPlayers!Q:R,2,0)</f>
        <v/>
      </c>
      <c r="H38" s="156" t="n">
        <v>2</v>
      </c>
      <c r="I38" s="156" t="n">
        <v>15</v>
      </c>
      <c r="J38" s="156" t="n">
        <v>15</v>
      </c>
      <c r="K38" s="156" t="n">
        <v>100</v>
      </c>
      <c r="L38" s="156" t="n">
        <v>5</v>
      </c>
      <c r="M38" s="156" t="n">
        <v>11</v>
      </c>
      <c r="N38" s="156" t="n">
        <v>81.8</v>
      </c>
      <c r="O38" s="156" t="n">
        <v>2</v>
      </c>
      <c r="P38" s="156" t="n">
        <v>2</v>
      </c>
      <c r="Q38" s="156" t="n">
        <v>1</v>
      </c>
      <c r="R38" s="156" t="n">
        <v>2</v>
      </c>
      <c r="S38" s="156" t="n">
        <v>3</v>
      </c>
      <c r="T38" s="156" t="n">
        <v>5</v>
      </c>
      <c r="U38" s="156" t="n">
        <v>0</v>
      </c>
      <c r="V38" s="156" t="n">
        <v>2</v>
      </c>
      <c r="W38" s="156">
        <f>INDEX(Matrix!$AA$2:$AA$33, MATCH(G38, Matrix!$AC$2:$AC$33, 0))</f>
        <v/>
      </c>
    </row>
    <row r="39" ht="15.6" customHeight="1" s="152">
      <c r="A39" s="212" t="n">
        <v>36</v>
      </c>
      <c r="B39" s="167">
        <f>F39&amp;G39</f>
        <v/>
      </c>
      <c r="C39" s="156">
        <f>(K39/MAX(K:K)*$K$1)+(O39/MAX(O:O)*$O$1)+(Q39/MAX(Q:Q)*$Q$1)+(N39/MAX(N:N)*$N$1)+(U39/MAX(U:U)*$U$1)+(S39/MAX(S:S)*$S$1)</f>
        <v/>
      </c>
      <c r="E39" s="156">
        <f>IFERROR(VLOOKUP(F39,AllPlayers!F:F,1,0),"------------")</f>
        <v/>
      </c>
      <c r="F39" s="156" t="inlineStr">
        <is>
          <t>Cade York</t>
        </is>
      </c>
      <c r="G39" s="226">
        <f>VLOOKUP(F39,AllPlayers!Q:R,2,0)</f>
        <v/>
      </c>
      <c r="H39" s="156" t="n">
        <v>5</v>
      </c>
      <c r="I39" s="156" t="n">
        <v>14</v>
      </c>
      <c r="J39" s="156" t="n">
        <v>15</v>
      </c>
      <c r="K39" s="156" t="n">
        <v>93.3</v>
      </c>
      <c r="L39" s="156" t="n">
        <v>9</v>
      </c>
      <c r="M39" s="156" t="n">
        <v>11</v>
      </c>
      <c r="N39" s="156" t="n">
        <v>81.8</v>
      </c>
      <c r="O39" s="156" t="n">
        <v>5</v>
      </c>
      <c r="P39" s="156" t="n">
        <v>5</v>
      </c>
      <c r="Q39" s="156" t="n">
        <v>2</v>
      </c>
      <c r="R39" s="156" t="n">
        <v>3</v>
      </c>
      <c r="S39" s="156" t="n">
        <v>1</v>
      </c>
      <c r="T39" s="156" t="n">
        <v>2</v>
      </c>
      <c r="U39" s="156" t="n">
        <v>1</v>
      </c>
      <c r="V39" s="156" t="n">
        <v>1</v>
      </c>
      <c r="W39" s="156">
        <f>INDEX(Matrix!$AA$2:$AA$33, MATCH(G39, Matrix!$AC$2:$AC$33, 0))</f>
        <v/>
      </c>
    </row>
    <row r="40" ht="15.6" customHeight="1" s="152">
      <c r="A40" s="212" t="n">
        <v>37</v>
      </c>
      <c r="B40" s="167">
        <f>F40&amp;G40</f>
        <v/>
      </c>
      <c r="C40" s="156">
        <f>(K40/MAX(K:K)*$K$1)+(O40/MAX(O:O)*$O$1)+(Q40/MAX(Q:Q)*$Q$1)+(N40/MAX(N:N)*$N$1)+(U40/MAX(U:U)*$U$1)+(S40/MAX(S:S)*$S$1)</f>
        <v/>
      </c>
      <c r="E40" s="156">
        <f>IFERROR(VLOOKUP(F40,AllPlayers!F:F,1,0),"------------")</f>
        <v/>
      </c>
      <c r="F40" s="156" t="inlineStr">
        <is>
          <t>Matthew Wright</t>
        </is>
      </c>
      <c r="G40" s="226">
        <f>VLOOKUP(F40,AllPlayers!Q:R,2,0)</f>
        <v/>
      </c>
      <c r="H40" s="156" t="n">
        <v>2</v>
      </c>
      <c r="I40" s="156" t="n">
        <v>2</v>
      </c>
      <c r="J40" s="156" t="n">
        <v>2</v>
      </c>
      <c r="K40" s="156" t="n">
        <v>100</v>
      </c>
      <c r="L40" s="156" t="n">
        <v>8</v>
      </c>
      <c r="M40" s="156" t="n">
        <v>9</v>
      </c>
      <c r="N40" s="156" t="n">
        <v>88.90000000000001</v>
      </c>
      <c r="O40" s="156" t="n">
        <v>1</v>
      </c>
      <c r="P40" s="156" t="n">
        <v>1</v>
      </c>
      <c r="Q40" s="156" t="n">
        <v>4</v>
      </c>
      <c r="R40" s="156" t="n">
        <v>4</v>
      </c>
      <c r="S40" s="156" t="n">
        <v>2</v>
      </c>
      <c r="T40" s="156" t="n">
        <v>2</v>
      </c>
      <c r="U40" s="156" t="n">
        <v>1</v>
      </c>
      <c r="V40" s="156" t="n">
        <v>2</v>
      </c>
      <c r="W40" s="156">
        <f>INDEX(Matrix!$AA$2:$AA$33, MATCH(G40, Matrix!$AC$2:$AC$33, 0))</f>
        <v/>
      </c>
    </row>
    <row r="41" ht="15.6" customHeight="1" s="152">
      <c r="A41" s="212" t="n">
        <v>38</v>
      </c>
      <c r="B41" s="167">
        <f>F41&amp;G41</f>
        <v/>
      </c>
      <c r="C41" s="156">
        <f>(K41/MAX(K:K)*$K$1)+(O41/MAX(O:O)*$O$1)+(Q41/MAX(Q:Q)*$Q$1)+(N41/MAX(N:N)*$N$1)+(U41/MAX(U:U)*$U$1)+(S41/MAX(S:S)*$S$1)</f>
        <v/>
      </c>
      <c r="E41" s="156">
        <f>IFERROR(VLOOKUP(F41,AllPlayers!F:F,1,0),"------------")</f>
        <v/>
      </c>
      <c r="F41" s="156" t="inlineStr">
        <is>
          <t>Anders Carlson</t>
        </is>
      </c>
      <c r="G41" s="226">
        <f>VLOOKUP(F41,AllPlayers!Q:R,2,0)</f>
        <v/>
      </c>
      <c r="H41" s="156" t="n">
        <v>5</v>
      </c>
      <c r="I41" s="156" t="n">
        <v>9</v>
      </c>
      <c r="J41" s="156" t="n">
        <v>11</v>
      </c>
      <c r="K41" s="156" t="n">
        <v>81.8</v>
      </c>
      <c r="L41" s="156" t="n">
        <v>8</v>
      </c>
      <c r="M41" s="156" t="n">
        <v>10</v>
      </c>
      <c r="N41" s="156" t="n">
        <v>80</v>
      </c>
      <c r="O41" s="156" t="n">
        <v>2</v>
      </c>
      <c r="P41" s="156" t="n">
        <v>2</v>
      </c>
      <c r="Q41" s="156" t="n">
        <v>2</v>
      </c>
      <c r="R41" s="156" t="n">
        <v>2</v>
      </c>
      <c r="S41" s="156" t="n">
        <v>3</v>
      </c>
      <c r="T41" s="156" t="n">
        <v>5</v>
      </c>
      <c r="U41" s="156" t="n">
        <v>1</v>
      </c>
      <c r="V41" s="156" t="n">
        <v>1</v>
      </c>
      <c r="W41" s="156">
        <f>INDEX(Matrix!$AA$2:$AA$33, MATCH(G41, Matrix!$AC$2:$AC$33, 0))</f>
        <v/>
      </c>
    </row>
    <row r="42" ht="15.6" customHeight="1" s="152">
      <c r="A42" s="212" t="n">
        <v>39</v>
      </c>
      <c r="B42" s="167">
        <f>F42&amp;G42</f>
        <v/>
      </c>
      <c r="C42" s="156">
        <f>(K42/MAX(K:K)*$K$1)+(O42/MAX(O:O)*$O$1)+(Q42/MAX(Q:Q)*$Q$1)+(N42/MAX(N:N)*$N$1)+(U42/MAX(U:U)*$U$1)+(S42/MAX(S:S)*$S$1)</f>
        <v/>
      </c>
      <c r="E42" s="156">
        <f>IFERROR(VLOOKUP(F42,AllPlayers!F:F,1,0),"------------")</f>
        <v/>
      </c>
      <c r="F42" s="156" t="inlineStr">
        <is>
          <t>Matt Prater</t>
        </is>
      </c>
      <c r="G42" s="226">
        <f>VLOOKUP(F42,AllPlayers!Q:R,2,0)</f>
        <v/>
      </c>
      <c r="H42" s="156" t="n">
        <v>2</v>
      </c>
      <c r="I42" s="156" t="n">
        <v>10</v>
      </c>
      <c r="J42" s="156" t="n">
        <v>10</v>
      </c>
      <c r="K42" s="156" t="n">
        <v>100</v>
      </c>
      <c r="L42" s="156" t="n">
        <v>6</v>
      </c>
      <c r="M42" s="156" t="n">
        <v>6</v>
      </c>
      <c r="N42" s="156" t="n">
        <v>100</v>
      </c>
      <c r="O42" s="156" t="n">
        <v>1</v>
      </c>
      <c r="P42" s="156" t="n">
        <v>1</v>
      </c>
      <c r="Q42" s="156" t="n">
        <v>2</v>
      </c>
      <c r="R42" s="156" t="n">
        <v>1</v>
      </c>
      <c r="S42" s="156" t="n">
        <v>2</v>
      </c>
      <c r="T42" s="156" t="n">
        <v>3</v>
      </c>
      <c r="U42" s="156" t="n">
        <v>1</v>
      </c>
      <c r="V42" s="156" t="n">
        <v>1</v>
      </c>
      <c r="W42" s="156">
        <f>INDEX(Matrix!$AA$2:$AA$33, MATCH(G42, Matrix!$AC$2:$AC$33, 0))</f>
        <v/>
      </c>
    </row>
    <row r="43" ht="15.6" customHeight="1" s="152">
      <c r="A43" s="212" t="n">
        <v>40</v>
      </c>
      <c r="B43" s="167">
        <f>F43&amp;G43</f>
        <v/>
      </c>
      <c r="C43" s="156">
        <f>(K43/MAX(K:K)*$K$1)+(O43/MAX(O:O)*$O$1)+(Q43/MAX(Q:Q)*$Q$1)+(N43/MAX(N:N)*$N$1)+(U43/MAX(U:U)*$U$1)+(S43/MAX(S:S)*$S$1)</f>
        <v/>
      </c>
      <c r="E43" s="156">
        <f>IFERROR(VLOOKUP(F43,AllPlayers!F:F,1,0),"------------")</f>
        <v/>
      </c>
      <c r="F43" s="156" t="inlineStr">
        <is>
          <t>Anders Carlson</t>
        </is>
      </c>
      <c r="G43" s="226">
        <f>VLOOKUP(F43,AllPlayers!Q:R,2,0)</f>
        <v/>
      </c>
      <c r="H43" s="156" t="n">
        <v>2</v>
      </c>
      <c r="I43" s="156" t="n">
        <v>3</v>
      </c>
      <c r="J43" s="156" t="n">
        <v>4</v>
      </c>
      <c r="K43" s="156" t="n">
        <v>75</v>
      </c>
      <c r="L43" s="156" t="n">
        <v>5</v>
      </c>
      <c r="M43" s="156" t="n">
        <v>5</v>
      </c>
      <c r="N43" s="156" t="n">
        <v>100</v>
      </c>
      <c r="O43" s="156" t="n">
        <v>1</v>
      </c>
      <c r="P43" s="156" t="n">
        <v>1</v>
      </c>
      <c r="Q43" s="156" t="n">
        <v>0</v>
      </c>
      <c r="R43" s="156" t="n">
        <v>0</v>
      </c>
      <c r="S43" s="156" t="n">
        <v>2</v>
      </c>
      <c r="T43" s="156" t="n">
        <v>2</v>
      </c>
      <c r="U43" s="156" t="n">
        <v>2</v>
      </c>
      <c r="V43" s="156" t="n">
        <v>2</v>
      </c>
      <c r="W43" s="156">
        <f>INDEX(Matrix!$AA$2:$AA$33, MATCH(G43, Matrix!$AC$2:$AC$33, 0))</f>
        <v/>
      </c>
    </row>
    <row r="44" ht="15.6" customHeight="1" s="152">
      <c r="A44" s="212" t="n">
        <v>41</v>
      </c>
      <c r="B44" s="167">
        <f>F44&amp;G44</f>
        <v/>
      </c>
      <c r="C44" s="156">
        <f>(K44/MAX(K:K)*$K$1)+(O44/MAX(O:O)*$O$1)+(Q44/MAX(Q:Q)*$Q$1)+(N44/MAX(N:N)*$N$1)+(U44/MAX(U:U)*$U$1)+(S44/MAX(S:S)*$S$1)</f>
        <v/>
      </c>
      <c r="E44" s="156">
        <f>IFERROR(VLOOKUP(F44,AllPlayers!F:F,1,0),"------------")</f>
        <v/>
      </c>
      <c r="F44" s="156" t="inlineStr">
        <is>
          <t>Zane Gonzalez</t>
        </is>
      </c>
      <c r="G44" s="226">
        <f>VLOOKUP(F44,AllPlayers!Q:R,2,0)</f>
        <v/>
      </c>
      <c r="H44" s="156" t="n">
        <v>6</v>
      </c>
      <c r="I44" s="156" t="n">
        <v>19</v>
      </c>
      <c r="J44" s="156" t="n">
        <v>19</v>
      </c>
      <c r="K44" s="156" t="n">
        <v>100</v>
      </c>
      <c r="L44" s="156" t="n">
        <v>5</v>
      </c>
      <c r="M44" s="156" t="n">
        <v>7</v>
      </c>
      <c r="N44" s="156" t="n">
        <v>71.40000000000001</v>
      </c>
      <c r="O44" s="156" t="n">
        <v>0</v>
      </c>
      <c r="P44" s="156" t="n">
        <v>0</v>
      </c>
      <c r="Q44" s="156" t="n">
        <v>1</v>
      </c>
      <c r="R44" s="156" t="n">
        <v>1</v>
      </c>
      <c r="S44" s="156" t="n">
        <v>4</v>
      </c>
      <c r="T44" s="156" t="n">
        <v>5</v>
      </c>
      <c r="U44" s="156" t="n">
        <v>0</v>
      </c>
      <c r="V44" s="156" t="n">
        <v>1</v>
      </c>
      <c r="W44" s="156">
        <f>INDEX(Matrix!$AA$2:$AA$33, MATCH(G44, Matrix!$AC$2:$AC$33, 0))</f>
        <v/>
      </c>
    </row>
    <row r="45" ht="15.6" customHeight="1" s="152">
      <c r="A45" s="212" t="n">
        <v>42</v>
      </c>
      <c r="B45" s="167">
        <f>F45&amp;G45</f>
        <v/>
      </c>
      <c r="C45" s="156">
        <f>(K45/MAX(K:K)*$K$1)+(O45/MAX(O:O)*$O$1)+(Q45/MAX(Q:Q)*$Q$1)+(N45/MAX(N:N)*$N$1)+(U45/MAX(U:U)*$U$1)+(S45/MAX(S:S)*$S$1)</f>
        <v/>
      </c>
      <c r="E45" s="156">
        <f>IFERROR(VLOOKUP(F45,AllPlayers!F:F,1,0),"------------")</f>
        <v/>
      </c>
      <c r="F45" s="156" t="inlineStr">
        <is>
          <t>Matthew Wright</t>
        </is>
      </c>
      <c r="G45" s="226">
        <f>VLOOKUP(F45,AllPlayers!Q:R,2,0)</f>
        <v/>
      </c>
      <c r="H45" s="156" t="n">
        <v>2</v>
      </c>
      <c r="I45" s="156" t="n">
        <v>1</v>
      </c>
      <c r="J45" s="156" t="n">
        <v>1</v>
      </c>
      <c r="K45" s="156" t="n">
        <v>100</v>
      </c>
      <c r="L45" s="156" t="n">
        <v>4</v>
      </c>
      <c r="M45" s="156" t="n">
        <v>4</v>
      </c>
      <c r="N45" s="156" t="n">
        <v>100</v>
      </c>
      <c r="O45" s="156" t="n">
        <v>1</v>
      </c>
      <c r="P45" s="156" t="n">
        <v>1</v>
      </c>
      <c r="Q45" s="156" t="n">
        <v>3</v>
      </c>
      <c r="R45" s="156" t="n">
        <v>3</v>
      </c>
      <c r="S45" s="156" t="n">
        <v>0</v>
      </c>
      <c r="T45" s="156" t="n">
        <v>0</v>
      </c>
      <c r="U45" s="156" t="n">
        <v>0</v>
      </c>
      <c r="V45" s="156" t="n">
        <v>0</v>
      </c>
      <c r="W45" s="156">
        <f>INDEX(Matrix!$AA$2:$AA$33, MATCH(G45, Matrix!$AC$2:$AC$33, 0))</f>
        <v/>
      </c>
    </row>
    <row r="46" ht="15.6" customHeight="1" s="152">
      <c r="A46" s="212" t="n">
        <v>43</v>
      </c>
      <c r="B46" s="167">
        <f>F46&amp;G46</f>
        <v/>
      </c>
      <c r="C46" s="156">
        <f>(K46/MAX(K:K)*$K$1)+(O46/MAX(O:O)*$O$1)+(Q46/MAX(Q:Q)*$Q$1)+(N46/MAX(N:N)*$N$1)+(U46/MAX(U:U)*$U$1)+(S46/MAX(S:S)*$S$1)</f>
        <v/>
      </c>
      <c r="E46" s="156">
        <f>IFERROR(VLOOKUP(F46,AllPlayers!F:F,1,0),"------------")</f>
        <v/>
      </c>
      <c r="F46" s="156" t="inlineStr">
        <is>
          <t>Riley Patterson</t>
        </is>
      </c>
      <c r="G46" s="226">
        <f>VLOOKUP(F46,AllPlayers!Q:R,2,0)</f>
        <v/>
      </c>
      <c r="H46" s="156" t="n">
        <v>2</v>
      </c>
      <c r="I46" s="156" t="n">
        <v>12</v>
      </c>
      <c r="J46" s="156" t="n">
        <v>12</v>
      </c>
      <c r="K46" s="156" t="n">
        <v>100</v>
      </c>
      <c r="L46" s="156" t="n">
        <v>2</v>
      </c>
      <c r="M46" s="156" t="n">
        <v>7</v>
      </c>
      <c r="N46" s="156" t="n">
        <v>57.1</v>
      </c>
      <c r="O46" s="156" t="n">
        <v>0</v>
      </c>
      <c r="P46" s="156" t="n">
        <v>0</v>
      </c>
      <c r="Q46" s="156" t="n">
        <v>0</v>
      </c>
      <c r="R46" s="156" t="n">
        <v>3</v>
      </c>
      <c r="S46" s="156" t="n">
        <v>0</v>
      </c>
      <c r="T46" s="156" t="n">
        <v>1</v>
      </c>
      <c r="U46" s="156" t="n">
        <v>2</v>
      </c>
      <c r="V46" s="156" t="n">
        <v>3</v>
      </c>
      <c r="W46" s="156">
        <f>INDEX(Matrix!$AA$2:$AA$33, MATCH(G46, Matrix!$AC$2:$AC$33, 0))</f>
        <v/>
      </c>
    </row>
    <row r="47" ht="15.6" customHeight="1" s="152">
      <c r="A47" s="212" t="n">
        <v>44</v>
      </c>
      <c r="B47" s="167">
        <f>F47&amp;G47</f>
        <v/>
      </c>
      <c r="C47" s="156">
        <f>(K47/MAX(K:K)*$K$1)+(O47/MAX(O:O)*$O$1)+(Q47/MAX(Q:Q)*$Q$1)+(N47/MAX(N:N)*$N$1)+(U47/MAX(U:U)*$U$1)+(S47/MAX(S:S)*$S$1)</f>
        <v/>
      </c>
      <c r="E47" s="156">
        <f>IFERROR(VLOOKUP(F47,AllPlayers!F:F,1,0),"------------")</f>
        <v/>
      </c>
      <c r="F47" s="156" t="inlineStr">
        <is>
          <t>Spencer Shrader</t>
        </is>
      </c>
      <c r="G47" s="226">
        <f>VLOOKUP(F47,AllPlayers!Q:R,2,0)</f>
        <v/>
      </c>
      <c r="H47" s="156" t="n">
        <v>2</v>
      </c>
      <c r="I47" s="156" t="n">
        <v>6</v>
      </c>
      <c r="J47" s="156" t="n">
        <v>6</v>
      </c>
      <c r="K47" s="156" t="n">
        <v>100</v>
      </c>
      <c r="L47" s="156" t="n">
        <v>9</v>
      </c>
      <c r="M47" s="156" t="n">
        <v>3</v>
      </c>
      <c r="N47" s="156" t="n">
        <v>100</v>
      </c>
      <c r="O47" s="156" t="n">
        <v>1</v>
      </c>
      <c r="P47" s="156" t="n">
        <v>1</v>
      </c>
      <c r="Q47" s="156" t="n">
        <v>4</v>
      </c>
      <c r="R47" s="156" t="n">
        <v>1</v>
      </c>
      <c r="S47" s="156" t="n">
        <v>3</v>
      </c>
      <c r="T47" s="156" t="n">
        <v>1</v>
      </c>
      <c r="U47" s="156" t="n">
        <v>2</v>
      </c>
      <c r="V47" s="156" t="n">
        <v>0</v>
      </c>
      <c r="W47" s="156">
        <f>INDEX(Matrix!$AA$2:$AA$33, MATCH(G47, Matrix!$AC$2:$AC$33, 0))</f>
        <v/>
      </c>
    </row>
    <row r="48" ht="15.6" customHeight="1" s="152">
      <c r="A48" s="212" t="n">
        <v>45</v>
      </c>
      <c r="B48" s="167">
        <f>F48&amp;G48</f>
        <v/>
      </c>
      <c r="C48" s="156">
        <f>(K48/MAX(K:K)*$K$1)+(O48/MAX(O:O)*$O$1)+(Q48/MAX(Q:Q)*$Q$1)+(N48/MAX(N:N)*$N$1)+(U48/MAX(U:U)*$U$1)+(S48/MAX(S:S)*$S$1)</f>
        <v/>
      </c>
      <c r="E48" s="156">
        <f>IFERROR(VLOOKUP(F48,AllPlayers!F:F,1,0),"------------")</f>
        <v/>
      </c>
      <c r="F48" s="156" t="inlineStr">
        <is>
          <t>Matthew Wright</t>
        </is>
      </c>
      <c r="G48" s="226">
        <f>VLOOKUP(F48,AllPlayers!Q:R,2,0)</f>
        <v/>
      </c>
      <c r="H48" s="156" t="n">
        <v>1</v>
      </c>
      <c r="I48" s="156" t="n">
        <v>3</v>
      </c>
      <c r="J48" s="156" t="n">
        <v>3</v>
      </c>
      <c r="K48" s="156" t="n">
        <v>100</v>
      </c>
      <c r="L48" s="156" t="n">
        <v>3</v>
      </c>
      <c r="M48" s="156" t="n">
        <v>3</v>
      </c>
      <c r="N48" s="156" t="n">
        <v>100</v>
      </c>
      <c r="O48" s="156" t="n">
        <v>1</v>
      </c>
      <c r="P48" s="156" t="n">
        <v>1</v>
      </c>
      <c r="Q48" s="156" t="n">
        <v>1</v>
      </c>
      <c r="R48" s="156" t="n">
        <v>1</v>
      </c>
      <c r="S48" s="156" t="n">
        <v>1</v>
      </c>
      <c r="T48" s="156" t="n">
        <v>1</v>
      </c>
      <c r="U48" s="156" t="n">
        <v>0</v>
      </c>
      <c r="V48" s="156" t="n">
        <v>0</v>
      </c>
      <c r="W48" s="156">
        <f>INDEX(Matrix!$AA$2:$AA$33, MATCH(G48, Matrix!$AC$2:$AC$33, 0))</f>
        <v/>
      </c>
    </row>
    <row r="49" ht="15.6" customHeight="1" s="152">
      <c r="A49" s="212" t="n">
        <v>46</v>
      </c>
      <c r="B49" s="167">
        <f>F49&amp;G49</f>
        <v/>
      </c>
      <c r="C49" s="156">
        <f>(K49/MAX(K:K)*$K$1)+(O49/MAX(O:O)*$O$1)+(Q49/MAX(Q:Q)*$Q$1)+(N49/MAX(N:N)*$N$1)+(U49/MAX(U:U)*$U$1)+(S49/MAX(S:S)*$S$1)</f>
        <v/>
      </c>
      <c r="E49" s="156">
        <f>IFERROR(VLOOKUP(F49,AllPlayers!F:F,1,0),"------------")</f>
        <v/>
      </c>
      <c r="F49" s="156" t="inlineStr">
        <is>
          <t>Spencer Shrader</t>
        </is>
      </c>
      <c r="G49" s="226">
        <f>VLOOKUP(F49,AllPlayers!Q:R,2,0)</f>
        <v/>
      </c>
      <c r="H49" s="156" t="n">
        <v>2</v>
      </c>
      <c r="I49" s="156" t="n">
        <v>0</v>
      </c>
      <c r="J49" s="156" t="n">
        <v>0</v>
      </c>
      <c r="K49" s="156" t="n">
        <v>0</v>
      </c>
      <c r="L49" s="156" t="n">
        <v>9</v>
      </c>
      <c r="M49" s="156" t="n">
        <v>2</v>
      </c>
      <c r="N49" s="156" t="n">
        <v>100</v>
      </c>
      <c r="O49" s="156" t="n">
        <v>1</v>
      </c>
      <c r="P49" s="156" t="n">
        <v>1</v>
      </c>
      <c r="Q49" s="156" t="n">
        <v>4</v>
      </c>
      <c r="R49" s="156" t="n">
        <v>0</v>
      </c>
      <c r="S49" s="156" t="n">
        <v>3</v>
      </c>
      <c r="T49" s="156" t="n">
        <v>1</v>
      </c>
      <c r="U49" s="156" t="n">
        <v>2</v>
      </c>
      <c r="V49" s="156" t="n">
        <v>0</v>
      </c>
      <c r="W49" s="156">
        <f>INDEX(Matrix!$AA$2:$AA$33, MATCH(G49, Matrix!$AC$2:$AC$33, 0))</f>
        <v/>
      </c>
    </row>
    <row r="50" ht="15.6" customHeight="1" s="152">
      <c r="A50" s="212" t="n">
        <v>47</v>
      </c>
      <c r="B50" s="167">
        <f>F50&amp;G50</f>
        <v/>
      </c>
      <c r="C50" s="156">
        <f>(K50/MAX(K:K)*$K$1)+(O50/MAX(O:O)*$O$1)+(Q50/MAX(Q:Q)*$Q$1)+(N50/MAX(N:N)*$N$1)+(U50/MAX(U:U)*$U$1)+(S50/MAX(S:S)*$S$1)</f>
        <v/>
      </c>
      <c r="E50" s="156">
        <f>IFERROR(VLOOKUP(F50,AllPlayers!F:F,1,0),"------------")</f>
        <v/>
      </c>
      <c r="F50" s="156" t="inlineStr">
        <is>
          <t>Greg Joseph</t>
        </is>
      </c>
      <c r="G50" s="226">
        <f>VLOOKUP(F50,AllPlayers!Q:R,2,0)</f>
        <v/>
      </c>
      <c r="H50" s="156" t="n">
        <v>1</v>
      </c>
      <c r="I50" s="156" t="n">
        <v>2</v>
      </c>
      <c r="J50" s="156" t="n">
        <v>2</v>
      </c>
      <c r="K50" s="156" t="n">
        <v>100</v>
      </c>
      <c r="L50" s="156" t="n">
        <v>2</v>
      </c>
      <c r="M50" s="156" t="n">
        <v>3</v>
      </c>
      <c r="N50" s="156" t="n">
        <v>66.7</v>
      </c>
      <c r="O50" s="156" t="n">
        <v>1</v>
      </c>
      <c r="P50" s="156" t="n">
        <v>1</v>
      </c>
      <c r="Q50" s="156" t="n">
        <v>0</v>
      </c>
      <c r="R50" s="156" t="n">
        <v>0</v>
      </c>
      <c r="S50" s="156" t="n">
        <v>1</v>
      </c>
      <c r="T50" s="156" t="n">
        <v>1</v>
      </c>
      <c r="U50" s="156" t="n">
        <v>0</v>
      </c>
      <c r="V50" s="156" t="n">
        <v>1</v>
      </c>
      <c r="W50" s="156">
        <f>INDEX(Matrix!$AA$2:$AA$33, MATCH(G50, Matrix!$AC$2:$AC$33, 0))</f>
        <v/>
      </c>
    </row>
    <row r="51" ht="15.6" customHeight="1" s="152">
      <c r="A51" s="212" t="n">
        <v>48</v>
      </c>
      <c r="B51" s="167">
        <f>F51&amp;G51</f>
        <v/>
      </c>
      <c r="C51" s="156">
        <f>(K51/MAX(K:K)*$K$1)+(O51/MAX(O:O)*$O$1)+(Q51/MAX(Q:Q)*$Q$1)+(N51/MAX(N:N)*$N$1)+(U51/MAX(U:U)*$U$1)+(S51/MAX(S:S)*$S$1)</f>
        <v/>
      </c>
      <c r="E51" s="156">
        <f>IFERROR(VLOOKUP(F51,AllPlayers!F:F,1,0),"------------")</f>
        <v/>
      </c>
      <c r="F51" s="156" t="inlineStr">
        <is>
          <t>Mitch Wishnowsky</t>
        </is>
      </c>
      <c r="G51" s="226">
        <f>VLOOKUP(F51,AllPlayers!Q:R,2,0)</f>
        <v/>
      </c>
      <c r="H51" s="156" t="n">
        <v>1</v>
      </c>
      <c r="I51" s="156" t="n">
        <v>0</v>
      </c>
      <c r="J51" s="156" t="n">
        <v>0</v>
      </c>
      <c r="K51" s="156" t="n">
        <v>0</v>
      </c>
      <c r="L51" s="156" t="n">
        <v>1</v>
      </c>
      <c r="M51" s="156" t="n">
        <v>1</v>
      </c>
      <c r="N51" s="156" t="n">
        <v>100</v>
      </c>
      <c r="O51" s="156" t="n">
        <v>1</v>
      </c>
      <c r="P51" s="156" t="n">
        <v>1</v>
      </c>
      <c r="Q51" s="156" t="n">
        <v>0</v>
      </c>
      <c r="R51" s="156" t="n">
        <v>0</v>
      </c>
      <c r="S51" s="156" t="n">
        <v>0</v>
      </c>
      <c r="T51" s="156" t="n">
        <v>0</v>
      </c>
      <c r="U51" s="156" t="n">
        <v>0</v>
      </c>
      <c r="V51" s="156" t="n">
        <v>0</v>
      </c>
      <c r="W51" s="156">
        <f>INDEX(Matrix!$AA$2:$AA$33, MATCH(G51, Matrix!$AC$2:$AC$33, 0))</f>
        <v/>
      </c>
    </row>
    <row r="52" ht="15.6" customHeight="1" s="152">
      <c r="A52" s="212" t="n">
        <v>49</v>
      </c>
      <c r="B52" s="167">
        <f>F52&amp;G52</f>
        <v/>
      </c>
      <c r="C52" s="156">
        <f>(K52/MAX(K:K)*$K$1)+(O52/MAX(O:O)*$O$1)+(Q52/MAX(Q:Q)*$Q$1)+(N52/MAX(N:N)*$N$1)+(U52/MAX(U:U)*$U$1)+(S52/MAX(S:S)*$S$1)</f>
        <v/>
      </c>
      <c r="E52" s="156">
        <f>IFERROR(VLOOKUP(F52,AllPlayers!F:F,1,0),"------------")</f>
        <v/>
      </c>
      <c r="F52" s="156" t="inlineStr">
        <is>
          <t>Jude Mcatamney</t>
        </is>
      </c>
      <c r="G52" s="226">
        <f>VLOOKUP(F52,AllPlayers!Q:R,2,0)</f>
        <v/>
      </c>
      <c r="H52" s="156" t="n">
        <v>1</v>
      </c>
      <c r="I52" s="156" t="n">
        <v>1</v>
      </c>
      <c r="J52" s="156" t="n">
        <v>1</v>
      </c>
      <c r="K52" s="156" t="n">
        <v>100</v>
      </c>
      <c r="L52" s="156" t="n">
        <v>1</v>
      </c>
      <c r="M52" s="156" t="n">
        <v>1</v>
      </c>
      <c r="N52" s="156" t="n">
        <v>100</v>
      </c>
      <c r="O52" s="156" t="n">
        <v>0</v>
      </c>
      <c r="P52" s="156" t="n">
        <v>0</v>
      </c>
      <c r="Q52" s="156" t="n">
        <v>1</v>
      </c>
      <c r="R52" s="156" t="n">
        <v>1</v>
      </c>
      <c r="S52" s="156" t="n">
        <v>0</v>
      </c>
      <c r="T52" s="156" t="n">
        <v>0</v>
      </c>
      <c r="U52" s="156" t="n">
        <v>0</v>
      </c>
      <c r="V52" s="156" t="n">
        <v>0</v>
      </c>
      <c r="W52" s="156">
        <f>INDEX(Matrix!$AA$2:$AA$33, MATCH(G52, Matrix!$AC$2:$AC$33, 0))</f>
        <v/>
      </c>
    </row>
    <row r="53" ht="15.6" customHeight="1" s="152">
      <c r="A53" s="212" t="n">
        <v>50</v>
      </c>
      <c r="B53" s="167">
        <f>F53&amp;G53</f>
        <v/>
      </c>
      <c r="C53" s="156">
        <f>(K53/MAX(K:K)*$K$1)+(O53/MAX(O:O)*$O$1)+(Q53/MAX(Q:Q)*$Q$1)+(N53/MAX(N:N)*$N$1)+(U53/MAX(U:U)*$U$1)+(S53/MAX(S:S)*$S$1)</f>
        <v/>
      </c>
      <c r="E53" s="156">
        <f>IFERROR(VLOOKUP(F53,AllPlayers!F:F,1,0),"------------")</f>
        <v/>
      </c>
      <c r="F53" s="156" t="inlineStr">
        <is>
          <t>Greg Joseph</t>
        </is>
      </c>
      <c r="G53" s="226">
        <f>VLOOKUP(F53,AllPlayers!Q:R,2,0)</f>
        <v/>
      </c>
      <c r="H53" s="156" t="n">
        <v>1</v>
      </c>
      <c r="I53" s="156" t="n">
        <v>3</v>
      </c>
      <c r="J53" s="156" t="n">
        <v>3</v>
      </c>
      <c r="K53" s="156" t="n">
        <v>100</v>
      </c>
      <c r="L53" s="156" t="n">
        <v>1</v>
      </c>
      <c r="M53" s="156" t="n">
        <v>1</v>
      </c>
      <c r="N53" s="156" t="n">
        <v>100</v>
      </c>
      <c r="O53" s="156" t="n">
        <v>1</v>
      </c>
      <c r="P53" s="156" t="n">
        <v>1</v>
      </c>
      <c r="Q53" s="156" t="n">
        <v>0</v>
      </c>
      <c r="R53" s="156" t="n">
        <v>0</v>
      </c>
      <c r="S53" s="156" t="n">
        <v>0</v>
      </c>
      <c r="T53" s="156" t="n">
        <v>0</v>
      </c>
      <c r="U53" s="156" t="n">
        <v>0</v>
      </c>
      <c r="V53" s="156" t="n">
        <v>0</v>
      </c>
      <c r="W53" s="156">
        <f>INDEX(Matrix!$AA$2:$AA$33, MATCH(G53, Matrix!$AC$2:$AC$33, 0))</f>
        <v/>
      </c>
    </row>
    <row r="54" ht="15.6" customHeight="1" s="152">
      <c r="A54" s="212" t="n">
        <v>51</v>
      </c>
      <c r="B54" s="167">
        <f>F54&amp;G54</f>
        <v/>
      </c>
      <c r="C54" s="156">
        <f>(K54/MAX(K:K)*$K$1)+(O54/MAX(O:O)*$O$1)+(Q54/MAX(Q:Q)*$Q$1)+(N54/MAX(N:N)*$N$1)+(U54/MAX(U:U)*$U$1)+(S54/MAX(S:S)*$S$1)</f>
        <v/>
      </c>
      <c r="E54" s="156">
        <f>IFERROR(VLOOKUP(F54,AllPlayers!F:F,1,0),"------------")</f>
        <v/>
      </c>
      <c r="F54" s="156" t="inlineStr">
        <is>
          <t>Brayden Narveson</t>
        </is>
      </c>
      <c r="G54" s="226">
        <f>VLOOKUP(F54,AllPlayers!Q:R,2,0)</f>
        <v/>
      </c>
      <c r="H54" s="156" t="n">
        <v>1</v>
      </c>
      <c r="I54" s="156" t="n">
        <v>2</v>
      </c>
      <c r="J54" s="156" t="n">
        <v>2</v>
      </c>
      <c r="K54" s="156" t="n">
        <v>100</v>
      </c>
      <c r="L54" s="156" t="n">
        <v>0</v>
      </c>
      <c r="M54" s="156" t="n">
        <v>1</v>
      </c>
      <c r="N54" s="156" t="n">
        <v>0</v>
      </c>
      <c r="O54" s="156" t="n">
        <v>0</v>
      </c>
      <c r="P54" s="156" t="n">
        <v>0</v>
      </c>
      <c r="Q54" s="156" t="n">
        <v>0</v>
      </c>
      <c r="R54" s="156" t="n">
        <v>0</v>
      </c>
      <c r="S54" s="156" t="n">
        <v>0</v>
      </c>
      <c r="T54" s="156" t="n">
        <v>0</v>
      </c>
      <c r="U54" s="156" t="n">
        <v>0</v>
      </c>
      <c r="V54" s="156" t="n">
        <v>1</v>
      </c>
      <c r="W54" s="156">
        <f>INDEX(Matrix!$AA$2:$AA$33, MATCH(G54, Matrix!$AC$2:$AC$33, 0))</f>
        <v/>
      </c>
    </row>
    <row r="55" ht="15.6" customHeight="1" s="152">
      <c r="A55" s="212" t="n">
        <v>52</v>
      </c>
      <c r="B55" s="167">
        <f>F55&amp;G55</f>
        <v/>
      </c>
      <c r="C55" s="156">
        <f>(K55/MAX(K:K)*$K$1)+(O55/MAX(O:O)*$O$1)+(Q55/MAX(Q:Q)*$Q$1)+(N55/MAX(N:N)*$N$1)+(U55/MAX(U:U)*$U$1)+(S55/MAX(S:S)*$S$1)</f>
        <v/>
      </c>
      <c r="E55" s="156">
        <f>IFERROR(VLOOKUP(F55,AllPlayers!F:F,1,0),"------------")</f>
        <v/>
      </c>
      <c r="F55" s="156" t="inlineStr">
        <is>
          <t>Riley Patterson</t>
        </is>
      </c>
      <c r="G55" s="226">
        <f>VLOOKUP(F55,AllPlayers!Q:R,2,0)</f>
        <v/>
      </c>
      <c r="H55" s="156" t="n">
        <v>2</v>
      </c>
      <c r="I55" s="156" t="n">
        <v>1</v>
      </c>
      <c r="J55" s="156" t="n">
        <v>1</v>
      </c>
      <c r="K55" s="156" t="n">
        <v>100</v>
      </c>
      <c r="L55" s="156" t="n">
        <v>2</v>
      </c>
      <c r="M55" s="156" t="n">
        <v>0</v>
      </c>
      <c r="N55" s="156" t="n">
        <v>0</v>
      </c>
      <c r="O55" s="156" t="n">
        <v>0</v>
      </c>
      <c r="P55" s="156" t="n">
        <v>0</v>
      </c>
      <c r="Q55" s="156" t="n">
        <v>0</v>
      </c>
      <c r="R55" s="156" t="n">
        <v>0</v>
      </c>
      <c r="S55" s="156" t="n">
        <v>0</v>
      </c>
      <c r="T55" s="156" t="n">
        <v>0</v>
      </c>
      <c r="U55" s="156" t="n">
        <v>2</v>
      </c>
      <c r="V55" s="156" t="n">
        <v>0</v>
      </c>
      <c r="W55" s="156">
        <f>INDEX(Matrix!$AA$2:$AA$33, MATCH(G55, Matrix!$AC$2:$AC$33, 0))</f>
        <v/>
      </c>
    </row>
    <row r="56" ht="15.6" customHeight="1" s="152">
      <c r="A56" s="212" t="n">
        <v>53</v>
      </c>
      <c r="B56" s="167">
        <f>F56&amp;G56</f>
        <v/>
      </c>
      <c r="C56" s="156">
        <f>(K56/MAX(K:K)*$K$1)+(O56/MAX(O:O)*$O$1)+(Q56/MAX(Q:Q)*$Q$1)+(N56/MAX(N:N)*$N$1)+(U56/MAX(U:U)*$U$1)+(S56/MAX(S:S)*$S$1)</f>
        <v/>
      </c>
      <c r="E56" s="156">
        <f>IFERROR(VLOOKUP(F56,AllPlayers!F:F,1,0),"------------")</f>
        <v/>
      </c>
      <c r="F56" s="156" t="inlineStr">
        <is>
          <t>Cade York</t>
        </is>
      </c>
      <c r="G56" s="226">
        <f>VLOOKUP(F56,AllPlayers!Q:R,2,0)</f>
        <v/>
      </c>
      <c r="H56" s="156" t="n">
        <v>1</v>
      </c>
      <c r="I56" s="156" t="n">
        <v>2</v>
      </c>
      <c r="J56" s="156" t="n">
        <v>2</v>
      </c>
      <c r="K56" s="156" t="n">
        <v>100</v>
      </c>
      <c r="L56" s="156" t="n">
        <v>0</v>
      </c>
      <c r="M56" s="156" t="n">
        <v>2</v>
      </c>
      <c r="N56" s="156" t="n">
        <v>0</v>
      </c>
      <c r="O56" s="156" t="n">
        <v>0</v>
      </c>
      <c r="P56" s="156" t="n">
        <v>0</v>
      </c>
      <c r="Q56" s="156" t="n">
        <v>0</v>
      </c>
      <c r="R56" s="156" t="n">
        <v>0</v>
      </c>
      <c r="S56" s="156" t="n">
        <v>0</v>
      </c>
      <c r="T56" s="156" t="n">
        <v>1</v>
      </c>
      <c r="U56" s="156" t="n">
        <v>0</v>
      </c>
      <c r="V56" s="156" t="n">
        <v>1</v>
      </c>
      <c r="W56" s="156">
        <f>INDEX(Matrix!$AA$2:$AA$33, MATCH(G56, Matrix!$AC$2:$AC$33, 0))</f>
        <v/>
      </c>
    </row>
    <row r="57" ht="15.6" customHeight="1" s="152">
      <c r="A57" s="212" t="n">
        <v>54</v>
      </c>
      <c r="B57" s="167">
        <f>F57&amp;G57</f>
        <v/>
      </c>
      <c r="C57" s="156">
        <f>(K57/MAX(K:K)*$K$1)+(O57/MAX(O:O)*$O$1)+(Q57/MAX(Q:Q)*$Q$1)+(N57/MAX(N:N)*$N$1)+(U57/MAX(U:U)*$U$1)+(S57/MAX(S:S)*$S$1)</f>
        <v/>
      </c>
      <c r="E57" s="156">
        <f>IFERROR(VLOOKUP(F57,AllPlayers!F:F,1,0),"------------")</f>
        <v/>
      </c>
      <c r="F57" s="156" t="inlineStr">
        <is>
          <t>Spencer Shrader</t>
        </is>
      </c>
      <c r="G57" s="226">
        <f>VLOOKUP(F57,AllPlayers!Q:R,2,0)</f>
        <v/>
      </c>
      <c r="H57" s="156" t="n">
        <v>2</v>
      </c>
      <c r="I57" s="156" t="n">
        <v>3</v>
      </c>
      <c r="J57" s="156" t="n">
        <v>3</v>
      </c>
      <c r="K57" s="156" t="n">
        <v>100</v>
      </c>
      <c r="L57" s="156" t="n">
        <v>9</v>
      </c>
      <c r="M57" s="156" t="n">
        <v>0</v>
      </c>
      <c r="N57" s="156" t="n">
        <v>0</v>
      </c>
      <c r="O57" s="156" t="n">
        <v>0</v>
      </c>
      <c r="P57" s="156" t="n">
        <v>0</v>
      </c>
      <c r="Q57" s="156" t="n">
        <v>4</v>
      </c>
      <c r="R57" s="156" t="n">
        <v>0</v>
      </c>
      <c r="S57" s="156" t="n">
        <v>3</v>
      </c>
      <c r="T57" s="156" t="n">
        <v>0</v>
      </c>
      <c r="U57" s="156" t="n">
        <v>2</v>
      </c>
      <c r="V57" s="156" t="n">
        <v>0</v>
      </c>
      <c r="W57" s="156">
        <f>INDEX(Matrix!$AA$2:$AA$33, MATCH(G57, Matrix!$AC$2:$AC$33, 0))</f>
        <v/>
      </c>
    </row>
    <row r="58" ht="15.6" customHeight="1" s="152">
      <c r="A58" s="212" t="n">
        <v>55</v>
      </c>
      <c r="B58" s="167">
        <f>F58&amp;G58</f>
        <v/>
      </c>
      <c r="C58" s="156">
        <f>(K58/MAX(K:K)*$K$1)+(O58/MAX(O:O)*$O$1)+(Q58/MAX(Q:Q)*$Q$1)+(N58/MAX(N:N)*$N$1)+(U58/MAX(U:U)*$U$1)+(S58/MAX(S:S)*$S$1)</f>
        <v/>
      </c>
      <c r="E58" s="156">
        <f>IFERROR(VLOOKUP(F58,AllPlayers!F:F,1,0),"------------")</f>
        <v/>
      </c>
      <c r="F58" s="156" t="inlineStr">
        <is>
          <t>Jamie Gillan</t>
        </is>
      </c>
      <c r="G58" s="226">
        <f>VLOOKUP(F58,AllPlayers!Q:R,2,0)</f>
        <v/>
      </c>
      <c r="H58" s="156" t="n">
        <v>1</v>
      </c>
      <c r="I58" s="156" t="n">
        <v>0</v>
      </c>
      <c r="J58" s="156" t="n">
        <v>1</v>
      </c>
      <c r="K58" s="156" t="n">
        <v>0</v>
      </c>
      <c r="L58" s="156" t="n">
        <v>0</v>
      </c>
      <c r="M58" s="156" t="n">
        <v>0</v>
      </c>
      <c r="N58" s="156" t="n">
        <v>0</v>
      </c>
      <c r="O58" s="156" t="n">
        <v>0</v>
      </c>
      <c r="P58" s="156" t="n">
        <v>0</v>
      </c>
      <c r="Q58" s="156" t="n">
        <v>0</v>
      </c>
      <c r="R58" s="156" t="n">
        <v>0</v>
      </c>
      <c r="S58" s="156" t="n">
        <v>0</v>
      </c>
      <c r="T58" s="156" t="n">
        <v>0</v>
      </c>
      <c r="U58" s="156" t="n">
        <v>0</v>
      </c>
      <c r="V58" s="156" t="n">
        <v>0</v>
      </c>
      <c r="W58" s="156">
        <f>INDEX(Matrix!$AA$2:$AA$33, MATCH(G58, Matrix!$AC$2:$AC$33, 0))</f>
        <v/>
      </c>
    </row>
    <row r="59" ht="15.6" customHeight="1" s="152">
      <c r="A59" s="212" t="n">
        <v>56</v>
      </c>
      <c r="B59" s="167">
        <f>F59&amp;G59</f>
        <v/>
      </c>
      <c r="C59" s="156">
        <f>(K59/MAX(K:K)*$K$1)+(O59/MAX(O:O)*$O$1)+(Q59/MAX(Q:Q)*$Q$1)+(N59/MAX(N:N)*$N$1)+(U59/MAX(U:U)*$U$1)+(S59/MAX(S:S)*$S$1)</f>
        <v/>
      </c>
      <c r="E59" s="156">
        <f>IFERROR(VLOOKUP(F59,AllPlayers!F:F,1,0),"------------")</f>
        <v/>
      </c>
      <c r="F59" s="156" t="inlineStr">
        <is>
          <t>Riley Patterson</t>
        </is>
      </c>
      <c r="G59" s="226">
        <f>VLOOKUP(F59,AllPlayers!Q:R,2,0)</f>
        <v/>
      </c>
      <c r="H59" s="156" t="n">
        <v>2</v>
      </c>
      <c r="I59" s="156" t="n">
        <v>3</v>
      </c>
      <c r="J59" s="156" t="n">
        <v>3</v>
      </c>
      <c r="K59" s="156" t="n">
        <v>100</v>
      </c>
      <c r="L59" s="156" t="n">
        <v>2</v>
      </c>
      <c r="M59" s="156" t="n">
        <v>0</v>
      </c>
      <c r="N59" s="156" t="n">
        <v>0</v>
      </c>
      <c r="O59" s="156" t="n">
        <v>0</v>
      </c>
      <c r="P59" s="156" t="n">
        <v>0</v>
      </c>
      <c r="Q59" s="156" t="n">
        <v>0</v>
      </c>
      <c r="R59" s="156" t="n">
        <v>0</v>
      </c>
      <c r="S59" s="156" t="n">
        <v>0</v>
      </c>
      <c r="T59" s="156" t="n">
        <v>0</v>
      </c>
      <c r="U59" s="156" t="n">
        <v>2</v>
      </c>
      <c r="V59" s="156" t="n">
        <v>0</v>
      </c>
      <c r="W59" s="156">
        <f>INDEX(Matrix!$AA$2:$AA$33, MATCH(G59, Matrix!$AC$2:$AC$33, 0))</f>
        <v/>
      </c>
    </row>
  </sheetData>
  <autoFilter ref="B3:V3">
    <sortState ref="B4:V3">
      <sortCondition ref="A4:A3" customList=""/>
    </sortState>
  </autoFilter>
  <conditionalFormatting sqref="C4:C59">
    <cfRule type="dataBar" priority="2">
      <dataBar minLength="10" maxLength="90" showValue="1">
        <cfvo type="min" val="0"/>
        <cfvo type="max" val="0"/>
        <color rgb="FF385724"/>
      </dataBar>
    </cfRule>
  </conditionalFormatting>
  <conditionalFormatting sqref="D4:D59">
    <cfRule type="dataBar" priority="3">
      <dataBar minLength="10" maxLength="90" showValue="1">
        <cfvo type="min" val="0"/>
        <cfvo type="max" val="0"/>
        <color rgb="FF63C384"/>
      </dataBar>
    </cfRule>
  </conditionalFormatting>
  <conditionalFormatting sqref="F1:F1048576">
    <cfRule type="duplicateValues" rank="0" priority="4" equalAverage="0" aboveAverage="0" dxfId="1" text="" percent="0" bottom="0"/>
  </conditionalFormatting>
  <hyperlinks>
    <hyperlink xmlns:r="http://schemas.openxmlformats.org/officeDocument/2006/relationships" ref="X1" display="https://www.rotowire.com/football/player-stats.php?view=kicking"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2.xml><?xml version="1.0" encoding="utf-8"?>
<worksheet xmlns="http://schemas.openxmlformats.org/spreadsheetml/2006/main">
  <sheetPr filterMode="0">
    <tabColor rgb="FF000000"/>
    <outlinePr summaryBelow="1" summaryRight="1"/>
    <pageSetUpPr fitToPage="0"/>
  </sheetPr>
  <dimension ref="A1:W1088"/>
  <sheetViews>
    <sheetView showFormulas="0" showGridLines="0" showRowColHeaders="1" showZeros="1" rightToLeft="0" tabSelected="1" showOutlineSymbols="1" defaultGridColor="1" view="normal" topLeftCell="A1" colorId="64" zoomScale="95" zoomScaleNormal="95" zoomScalePageLayoutView="100" workbookViewId="0">
      <pane xSplit="0" ySplit="2" topLeftCell="A3" activePane="bottomLeft" state="frozen"/>
      <selection pane="topLeft" activeCell="A1" activeCellId="0" sqref="A1"/>
      <selection pane="bottomLeft" activeCell="F33" activeCellId="0" sqref="F33"/>
    </sheetView>
  </sheetViews>
  <sheetFormatPr baseColWidth="8" defaultColWidth="8.796875" defaultRowHeight="14.4" zeroHeight="0" outlineLevelRow="0"/>
  <cols>
    <col width="26.44" customWidth="1" style="156" min="1" max="1"/>
    <col width="9.890000000000001" customWidth="1" style="156" min="2" max="2"/>
    <col width="17.89" customWidth="1" style="284" min="3" max="3"/>
    <col width="16.89" customWidth="1" style="156" min="4" max="4"/>
    <col width="21.56" customWidth="1" style="156" min="5" max="5"/>
    <col width="5.89" customWidth="1" style="156" min="6" max="6"/>
    <col width="4.1" customWidth="1" style="156" min="7" max="8"/>
    <col width="11.64" customWidth="1" style="156" min="9" max="9"/>
    <col width="8.890000000000001" customWidth="1" style="156" min="10" max="10"/>
    <col width="7.44" customWidth="1" style="156" min="11" max="11"/>
    <col width="10" customWidth="1" style="156" min="12" max="12"/>
    <col width="7.87" customWidth="1" style="156" min="13" max="13"/>
    <col width="11.45" customWidth="1" style="156" min="14" max="14"/>
    <col width="10.89" customWidth="1" style="156" min="15" max="15"/>
    <col width="7.67" customWidth="1" style="156" min="16" max="16"/>
    <col width="7.34" customWidth="1" style="156" min="17" max="17"/>
    <col width="11.45" customWidth="1" style="156" min="18" max="18"/>
  </cols>
  <sheetData>
    <row r="1" ht="14.4" customHeight="1" s="152">
      <c r="A1" s="285" t="inlineStr">
        <is>
          <t>Defensive Roster and Stats List</t>
        </is>
      </c>
      <c r="B1" s="285" t="n"/>
      <c r="E1" s="286" t="inlineStr">
        <is>
          <t>Zaire Franklin</t>
        </is>
      </c>
      <c r="F1" s="287" t="inlineStr">
        <is>
          <t>IND</t>
        </is>
      </c>
      <c r="G1" s="156" t="inlineStr">
        <is>
          <t>LB</t>
        </is>
      </c>
      <c r="H1" s="156" t="n">
        <v>17</v>
      </c>
      <c r="I1" s="157" t="n">
        <v>1112</v>
      </c>
      <c r="J1" s="157" t="n">
        <v>93</v>
      </c>
      <c r="K1" s="157" t="n">
        <v>80</v>
      </c>
      <c r="L1" s="157" t="n">
        <v>173</v>
      </c>
      <c r="M1" s="157" t="n">
        <v>3.5</v>
      </c>
      <c r="N1" s="157" t="n">
        <v>5</v>
      </c>
      <c r="O1" s="157" t="n">
        <v>0</v>
      </c>
      <c r="P1" s="157" t="n">
        <v>2</v>
      </c>
      <c r="Q1" s="157" t="n">
        <v>0</v>
      </c>
      <c r="R1" s="157" t="n">
        <v>6</v>
      </c>
      <c r="S1" s="220">
        <f>SUM(I1:R1)</f>
        <v/>
      </c>
      <c r="T1" s="156" t="inlineStr">
        <is>
          <t>Total Allocated Percentage</t>
        </is>
      </c>
      <c r="W1" s="156" t="inlineStr">
        <is>
          <t>https://www.rotowire.com/football/player-stats.php?view=defense</t>
        </is>
      </c>
    </row>
    <row r="2" ht="35.25" customFormat="1" customHeight="1" s="150">
      <c r="A2" s="288" t="inlineStr">
        <is>
          <t>Combo Name Team</t>
        </is>
      </c>
      <c r="B2" s="288" t="inlineStr">
        <is>
          <t>Injured C-Scores</t>
        </is>
      </c>
      <c r="C2" s="289" t="inlineStr">
        <is>
          <t>C- Score</t>
        </is>
      </c>
      <c r="D2" s="288" t="inlineStr">
        <is>
          <t>Injury Status</t>
        </is>
      </c>
      <c r="E2" s="290" t="inlineStr">
        <is>
          <t>Budda Baker</t>
        </is>
      </c>
      <c r="F2" s="290" t="inlineStr">
        <is>
          <t>ARI</t>
        </is>
      </c>
      <c r="G2" s="290" t="inlineStr">
        <is>
          <t>S</t>
        </is>
      </c>
      <c r="H2" s="290" t="n">
        <v>17</v>
      </c>
      <c r="I2" s="290" t="n">
        <v>1025</v>
      </c>
      <c r="J2" s="290" t="n">
        <v>95</v>
      </c>
      <c r="K2" s="290" t="n">
        <v>69</v>
      </c>
      <c r="L2" s="290" t="n">
        <v>164</v>
      </c>
      <c r="M2" s="290" t="n">
        <v>2</v>
      </c>
      <c r="N2" s="290" t="n">
        <v>1</v>
      </c>
      <c r="O2" s="290" t="n">
        <v>0</v>
      </c>
      <c r="P2" s="290" t="n">
        <v>0</v>
      </c>
      <c r="Q2" s="290" t="n">
        <v>0</v>
      </c>
      <c r="R2" s="290" t="n">
        <v>5</v>
      </c>
    </row>
    <row r="3" ht="15.6" customHeight="1" s="152">
      <c r="A3" s="167">
        <f>E3&amp;F3</f>
        <v/>
      </c>
      <c r="B3" s="156">
        <f>IF(D3&lt;&gt;"",C3,0)</f>
        <v/>
      </c>
      <c r="C3" s="156">
        <f>(M3/MAX(M:M)*$M$1)+(N3/MAX(N:N)*$N$1)+(O3/MAX(O:O)*$O$1)+(P3/MAX(P:P)*$P$1)+(Q3/MAX(Q:Q)*$Q$1)+(R3/MAX(R:R)*$R$1)</f>
        <v/>
      </c>
      <c r="D3" s="156">
        <f>IFERROR(VLOOKUP(A3,'Injury Report'!A:F,6,0),"")</f>
        <v/>
      </c>
      <c r="E3" s="156" t="inlineStr">
        <is>
          <t>Zaire Franklin</t>
        </is>
      </c>
      <c r="F3" s="156" t="inlineStr">
        <is>
          <t>IND</t>
        </is>
      </c>
      <c r="G3" s="156" t="inlineStr">
        <is>
          <t>LB</t>
        </is>
      </c>
      <c r="H3" s="156" t="n">
        <v>17</v>
      </c>
      <c r="I3" s="156" t="n">
        <v>1112</v>
      </c>
      <c r="J3" s="156" t="n">
        <v>93</v>
      </c>
      <c r="K3" s="156" t="n">
        <v>80</v>
      </c>
      <c r="L3" s="156" t="n">
        <v>173</v>
      </c>
      <c r="M3" s="156" t="n">
        <v>3.5</v>
      </c>
      <c r="N3" s="156" t="n">
        <v>5</v>
      </c>
      <c r="O3" s="156" t="n">
        <v>0</v>
      </c>
      <c r="P3" s="156" t="n">
        <v>2</v>
      </c>
      <c r="Q3" s="156" t="n">
        <v>0</v>
      </c>
      <c r="R3" s="156" t="n">
        <v>6</v>
      </c>
    </row>
    <row r="4" ht="15.6" customHeight="1" s="152">
      <c r="A4" s="167">
        <f>E4&amp;F4</f>
        <v/>
      </c>
      <c r="B4" s="156">
        <f>IF(D4&lt;&gt;"",C4,0)</f>
        <v/>
      </c>
      <c r="C4" s="156">
        <f>(M4/MAX(M:M)*$M$1)+(N4/MAX(N:N)*$N$1)+(O4/MAX(O:O)*$O$1)+(P4/MAX(P:P)*$P$1)+(Q4/MAX(Q:Q)*$Q$1)+(R4/MAX(R:R)*$R$1)</f>
        <v/>
      </c>
      <c r="D4" s="156">
        <f>IFERROR(VLOOKUP(A4,'Injury Report'!A:F,6,0),"")</f>
        <v/>
      </c>
      <c r="E4" s="156" t="inlineStr">
        <is>
          <t>Budda Baker</t>
        </is>
      </c>
      <c r="F4" s="156" t="inlineStr">
        <is>
          <t>ARI</t>
        </is>
      </c>
      <c r="G4" s="156" t="inlineStr">
        <is>
          <t>S</t>
        </is>
      </c>
      <c r="H4" s="156" t="n">
        <v>17</v>
      </c>
      <c r="I4" s="156" t="n">
        <v>1025</v>
      </c>
      <c r="J4" s="156" t="n">
        <v>95</v>
      </c>
      <c r="K4" s="156" t="n">
        <v>69</v>
      </c>
      <c r="L4" s="156" t="n">
        <v>164</v>
      </c>
      <c r="M4" s="156" t="n">
        <v>2</v>
      </c>
      <c r="N4" s="156" t="n">
        <v>1</v>
      </c>
      <c r="O4" s="156" t="n">
        <v>0</v>
      </c>
      <c r="P4" s="156" t="n">
        <v>0</v>
      </c>
      <c r="Q4" s="156" t="n">
        <v>0</v>
      </c>
      <c r="R4" s="156" t="n">
        <v>5</v>
      </c>
    </row>
    <row r="5" ht="15.6" customHeight="1" s="152">
      <c r="A5" s="167">
        <f>E5&amp;F5</f>
        <v/>
      </c>
      <c r="B5" s="156">
        <f>IF(D5&lt;&gt;"",C5,0)</f>
        <v/>
      </c>
      <c r="C5" s="156">
        <f>(M5/MAX(M:M)*$M$1)+(N5/MAX(N:N)*$N$1)+(O5/MAX(O:O)*$O$1)+(P5/MAX(P:P)*$P$1)+(Q5/MAX(Q:Q)*$Q$1)+(R5/MAX(R:R)*$R$1)</f>
        <v/>
      </c>
      <c r="D5" s="156">
        <f>IFERROR(VLOOKUP(A5,'Injury Report'!A:F,6,0),"")</f>
        <v/>
      </c>
      <c r="E5" s="156" t="inlineStr">
        <is>
          <t>Robert Spillane</t>
        </is>
      </c>
      <c r="F5" s="156" t="inlineStr">
        <is>
          <t>LV</t>
        </is>
      </c>
      <c r="G5" s="156" t="inlineStr">
        <is>
          <t>LB</t>
        </is>
      </c>
      <c r="H5" s="156" t="n">
        <v>17</v>
      </c>
      <c r="I5" s="156" t="n">
        <v>1033</v>
      </c>
      <c r="J5" s="156" t="n">
        <v>91</v>
      </c>
      <c r="K5" s="156" t="n">
        <v>67</v>
      </c>
      <c r="L5" s="156" t="n">
        <v>158</v>
      </c>
      <c r="M5" s="156" t="n">
        <v>2</v>
      </c>
      <c r="N5" s="156" t="n">
        <v>0</v>
      </c>
      <c r="O5" s="156" t="n">
        <v>0</v>
      </c>
      <c r="P5" s="156" t="n">
        <v>2</v>
      </c>
      <c r="Q5" s="156" t="n">
        <v>0</v>
      </c>
      <c r="R5" s="156" t="n">
        <v>7</v>
      </c>
    </row>
    <row r="6" ht="15.6" customHeight="1" s="152">
      <c r="A6" s="167">
        <f>E6&amp;F6</f>
        <v/>
      </c>
      <c r="B6" s="156">
        <f>IF(D6&lt;&gt;"",C6,0)</f>
        <v/>
      </c>
      <c r="C6" s="156">
        <f>(M6/MAX(M:M)*$M$1)+(N6/MAX(N:N)*$N$1)+(O6/MAX(O:O)*$O$1)+(P6/MAX(P:P)*$P$1)+(Q6/MAX(Q:Q)*$Q$1)+(R6/MAX(R:R)*$R$1)</f>
        <v/>
      </c>
      <c r="D6" s="156">
        <f>IFERROR(VLOOKUP(A6,'Injury Report'!A:F,6,0),"")</f>
        <v/>
      </c>
      <c r="E6" s="156" t="inlineStr">
        <is>
          <t>Jamien Sherwood</t>
        </is>
      </c>
      <c r="F6" s="156" t="inlineStr">
        <is>
          <t>NYJ</t>
        </is>
      </c>
      <c r="G6" s="156" t="inlineStr">
        <is>
          <t>LB</t>
        </is>
      </c>
      <c r="H6" s="156" t="n">
        <v>17</v>
      </c>
      <c r="I6" s="156" t="n">
        <v>992</v>
      </c>
      <c r="J6" s="156" t="n">
        <v>98</v>
      </c>
      <c r="K6" s="156" t="n">
        <v>60</v>
      </c>
      <c r="L6" s="156" t="n">
        <v>158</v>
      </c>
      <c r="M6" s="156" t="n">
        <v>2</v>
      </c>
      <c r="N6" s="156" t="n">
        <v>0</v>
      </c>
      <c r="O6" s="156" t="n">
        <v>0</v>
      </c>
      <c r="P6" s="156" t="n">
        <v>0</v>
      </c>
      <c r="Q6" s="156" t="n">
        <v>0</v>
      </c>
      <c r="R6" s="156" t="n">
        <v>3</v>
      </c>
    </row>
    <row r="7" ht="15.6" customHeight="1" s="152">
      <c r="A7" s="167">
        <f>E7&amp;F7</f>
        <v/>
      </c>
      <c r="B7" s="156">
        <f>IF(D7&lt;&gt;"",C7,0)</f>
        <v/>
      </c>
      <c r="C7" s="156">
        <f>(M7/MAX(M:M)*$M$1)+(N7/MAX(N:N)*$N$1)+(O7/MAX(O:O)*$O$1)+(P7/MAX(P:P)*$P$1)+(Q7/MAX(Q:Q)*$Q$1)+(R7/MAX(R:R)*$R$1)</f>
        <v/>
      </c>
      <c r="D7" s="156">
        <f>IFERROR(VLOOKUP(A7,'Injury Report'!A:F,6,0),"")</f>
        <v/>
      </c>
      <c r="E7" s="156" t="inlineStr">
        <is>
          <t>Roquan Smith</t>
        </is>
      </c>
      <c r="F7" s="156" t="inlineStr">
        <is>
          <t>BAL</t>
        </is>
      </c>
      <c r="G7" s="156" t="inlineStr">
        <is>
          <t>LB</t>
        </is>
      </c>
      <c r="H7" s="156" t="n">
        <v>16</v>
      </c>
      <c r="I7" s="156" t="n">
        <v>933</v>
      </c>
      <c r="J7" s="156" t="n">
        <v>81</v>
      </c>
      <c r="K7" s="156" t="n">
        <v>73</v>
      </c>
      <c r="L7" s="156" t="n">
        <v>154</v>
      </c>
      <c r="M7" s="156" t="n">
        <v>1.5</v>
      </c>
      <c r="N7" s="156" t="n">
        <v>1</v>
      </c>
      <c r="O7" s="156" t="n">
        <v>1</v>
      </c>
      <c r="P7" s="156" t="n">
        <v>1</v>
      </c>
      <c r="Q7" s="156" t="n">
        <v>0</v>
      </c>
      <c r="R7" s="156" t="n">
        <v>4</v>
      </c>
    </row>
    <row r="8" ht="15.6" customHeight="1" s="152">
      <c r="A8" s="167">
        <f>E8&amp;F8</f>
        <v/>
      </c>
      <c r="B8" s="156">
        <f>IF(D8&lt;&gt;"",C8,0)</f>
        <v/>
      </c>
      <c r="C8" s="156">
        <f>(M8/MAX(M:M)*$M$1)+(N8/MAX(N:N)*$N$1)+(O8/MAX(O:O)*$O$1)+(P8/MAX(P:P)*$P$1)+(Q8/MAX(Q:Q)*$Q$1)+(R8/MAX(R:R)*$R$1)</f>
        <v/>
      </c>
      <c r="D8" s="156">
        <f>IFERROR(VLOOKUP(A8,'Injury Report'!A:F,6,0),"")</f>
        <v/>
      </c>
      <c r="E8" s="156" t="inlineStr">
        <is>
          <t>Zack Baun</t>
        </is>
      </c>
      <c r="F8" s="156" t="inlineStr">
        <is>
          <t>PHI</t>
        </is>
      </c>
      <c r="G8" s="156" t="inlineStr">
        <is>
          <t>LB</t>
        </is>
      </c>
      <c r="H8" s="156" t="n">
        <v>16</v>
      </c>
      <c r="I8" s="156" t="n">
        <v>891</v>
      </c>
      <c r="J8" s="156" t="n">
        <v>93</v>
      </c>
      <c r="K8" s="156" t="n">
        <v>58</v>
      </c>
      <c r="L8" s="156">
        <f>SUM(K8,J8)</f>
        <v/>
      </c>
      <c r="M8" s="156" t="n">
        <v>12</v>
      </c>
      <c r="N8" s="156" t="n">
        <v>2</v>
      </c>
      <c r="O8" s="156" t="n">
        <v>1</v>
      </c>
      <c r="P8" s="156" t="n">
        <v>0</v>
      </c>
      <c r="Q8" s="156" t="n">
        <v>0</v>
      </c>
      <c r="R8" s="156" t="n">
        <v>4</v>
      </c>
    </row>
    <row r="9" ht="15.6" customHeight="1" s="152">
      <c r="A9" s="167">
        <f>E9&amp;F9</f>
        <v/>
      </c>
      <c r="B9" s="156">
        <f>IF(D9&lt;&gt;"",C9,0)</f>
        <v/>
      </c>
      <c r="C9" s="156">
        <f>(M9/MAX(M:M)*$M$1)+(N9/MAX(N:N)*$N$1)+(O9/MAX(O:O)*$O$1)+(P9/MAX(P:P)*$P$1)+(Q9/MAX(Q:Q)*$Q$1)+(R9/MAX(R:R)*$R$1)</f>
        <v/>
      </c>
      <c r="D9" s="156">
        <f>IFERROR(VLOOKUP(A9,'Injury Report'!A:F,6,0),"")</f>
        <v/>
      </c>
      <c r="E9" s="156" t="inlineStr">
        <is>
          <t>Maxx Crosby</t>
        </is>
      </c>
      <c r="F9" s="156" t="inlineStr">
        <is>
          <t>LV</t>
        </is>
      </c>
      <c r="G9" s="156" t="inlineStr">
        <is>
          <t>LB</t>
        </is>
      </c>
      <c r="H9" s="156" t="n">
        <v>17</v>
      </c>
      <c r="I9" s="156" t="n">
        <v>1049</v>
      </c>
      <c r="J9" s="156" t="n">
        <v>52</v>
      </c>
      <c r="K9" s="156" t="n">
        <v>29</v>
      </c>
      <c r="L9" s="156">
        <f>SUM(K9,J9)</f>
        <v/>
      </c>
      <c r="M9" s="156" t="n">
        <v>11.5</v>
      </c>
      <c r="N9" s="156" t="n">
        <v>4</v>
      </c>
      <c r="O9" s="156" t="n">
        <v>1</v>
      </c>
      <c r="P9" s="156" t="n">
        <v>1</v>
      </c>
      <c r="Q9" s="156" t="n">
        <v>0</v>
      </c>
      <c r="R9" s="156" t="n">
        <v>5</v>
      </c>
    </row>
    <row r="10" ht="15.6" customHeight="1" s="152">
      <c r="A10" s="167">
        <f>E10&amp;F10</f>
        <v/>
      </c>
      <c r="B10" s="156">
        <f>IF(D10&lt;&gt;"",C10,0)</f>
        <v/>
      </c>
      <c r="C10" s="156">
        <f>(M10/MAX(M:M)*$M$1)+(N10/MAX(N:N)*$N$1)+(O10/MAX(O:O)*$O$1)+(P10/MAX(P:P)*$P$1)+(Q10/MAX(Q:Q)*$Q$1)+(R10/MAX(R:R)*$R$1)</f>
        <v/>
      </c>
      <c r="D10" s="156">
        <f>IFERROR(VLOOKUP(A10,'Injury Report'!A:F,6,0),"")</f>
        <v/>
      </c>
      <c r="E10" s="156" t="inlineStr">
        <is>
          <t>T.J. Watt</t>
        </is>
      </c>
      <c r="F10" s="156" t="inlineStr">
        <is>
          <t>PIT</t>
        </is>
      </c>
      <c r="G10" s="156" t="inlineStr">
        <is>
          <t>LB</t>
        </is>
      </c>
      <c r="H10" s="156" t="n">
        <v>17</v>
      </c>
      <c r="I10" s="156" t="n">
        <v>945</v>
      </c>
      <c r="J10" s="156" t="n">
        <v>42</v>
      </c>
      <c r="K10" s="156" t="n">
        <v>21</v>
      </c>
      <c r="L10" s="156">
        <f>SUM(K10,J10)</f>
        <v/>
      </c>
      <c r="M10" s="156" t="n">
        <v>11.5</v>
      </c>
      <c r="N10" s="156" t="n">
        <v>2</v>
      </c>
      <c r="O10" s="156" t="n">
        <v>1</v>
      </c>
      <c r="P10" s="156" t="n">
        <v>2</v>
      </c>
      <c r="Q10" s="156" t="n">
        <v>0</v>
      </c>
      <c r="R10" s="156" t="n">
        <v>5</v>
      </c>
    </row>
    <row r="11" ht="15.6" customHeight="1" s="152">
      <c r="A11" s="167">
        <f>E11&amp;F11</f>
        <v/>
      </c>
      <c r="B11" s="156">
        <f>IF(D11&lt;&gt;"",C11,0)</f>
        <v/>
      </c>
      <c r="C11" s="156">
        <f>(M11/MAX(M:M)*$M$1)+(N11/MAX(N:N)*$N$1)+(O11/MAX(O:O)*$O$1)+(P11/MAX(P:P)*$P$1)+(Q11/MAX(Q:Q)*$Q$1)+(R11/MAX(R:R)*$R$1)</f>
        <v/>
      </c>
      <c r="D11" s="156">
        <f>IFERROR(VLOOKUP(A11,'Injury Report'!A:F,6,0),"")</f>
        <v/>
      </c>
      <c r="E11" s="156" t="inlineStr">
        <is>
          <t>Aidan Hutchinson</t>
        </is>
      </c>
      <c r="F11" s="156" t="inlineStr">
        <is>
          <t>DET</t>
        </is>
      </c>
      <c r="G11" s="156" t="inlineStr">
        <is>
          <t>S</t>
        </is>
      </c>
      <c r="H11" s="156" t="n">
        <v>17</v>
      </c>
      <c r="I11" s="156" t="n">
        <v>1111</v>
      </c>
      <c r="J11" s="156" t="n">
        <v>38</v>
      </c>
      <c r="K11" s="156" t="n">
        <v>18</v>
      </c>
      <c r="L11" s="156">
        <f>SUM(K11,J11)</f>
        <v/>
      </c>
      <c r="M11" s="156" t="n">
        <v>14.5</v>
      </c>
      <c r="N11" s="156" t="n">
        <v>3</v>
      </c>
      <c r="O11" s="156" t="n">
        <v>1</v>
      </c>
      <c r="P11" s="156" t="n">
        <v>0</v>
      </c>
      <c r="Q11" s="156" t="n">
        <v>0</v>
      </c>
      <c r="R11" s="156" t="n">
        <v>2</v>
      </c>
    </row>
    <row r="12" ht="15.6" customHeight="1" s="152">
      <c r="A12" s="167">
        <f>E12&amp;F12</f>
        <v/>
      </c>
      <c r="B12" s="156">
        <f>IF(D12&lt;&gt;"",C12,0)</f>
        <v/>
      </c>
      <c r="C12" s="156">
        <f>(M12/MAX(M:M)*$M$1)+(N12/MAX(N:N)*$N$1)+(O12/MAX(O:O)*$O$1)+(P12/MAX(P:P)*$P$1)+(Q12/MAX(Q:Q)*$Q$1)+(R12/MAX(R:R)*$R$1)</f>
        <v/>
      </c>
      <c r="D12" s="156">
        <f>IFERROR(VLOOKUP(A12,'Injury Report'!A:F,6,0),"")</f>
        <v/>
      </c>
      <c r="E12" s="156" t="inlineStr">
        <is>
          <t>Myles Garrett</t>
        </is>
      </c>
      <c r="F12" s="156" t="inlineStr">
        <is>
          <t>CLE</t>
        </is>
      </c>
      <c r="G12" s="156" t="inlineStr">
        <is>
          <t>LB</t>
        </is>
      </c>
      <c r="H12" s="156" t="n">
        <v>17</v>
      </c>
      <c r="I12" s="156" t="n">
        <v>986</v>
      </c>
      <c r="J12" s="156" t="n">
        <v>38</v>
      </c>
      <c r="K12" s="156" t="n">
        <v>13</v>
      </c>
      <c r="L12" s="156">
        <f>SUM(K12,J12)</f>
        <v/>
      </c>
      <c r="M12" s="156" t="n">
        <v>13.5</v>
      </c>
      <c r="N12" s="156" t="n">
        <v>2</v>
      </c>
      <c r="O12" s="156" t="n">
        <v>0</v>
      </c>
      <c r="P12" s="156" t="n">
        <v>0</v>
      </c>
      <c r="Q12" s="156" t="n">
        <v>0</v>
      </c>
      <c r="R12" s="156" t="n">
        <v>2</v>
      </c>
    </row>
    <row r="13" ht="15.6" customHeight="1" s="152">
      <c r="A13" s="167">
        <f>E13&amp;F13</f>
        <v/>
      </c>
      <c r="B13" s="156">
        <f>IF(D13&lt;&gt;"",C13,0)</f>
        <v/>
      </c>
      <c r="C13" s="156">
        <f>(M13/MAX(M:M)*$M$1)+(N13/MAX(N:N)*$N$1)+(O13/MAX(O:O)*$O$1)+(P13/MAX(P:P)*$P$1)+(Q13/MAX(Q:Q)*$Q$1)+(R13/MAX(R:R)*$R$1)</f>
        <v/>
      </c>
      <c r="D13" s="156">
        <f>IFERROR(VLOOKUP(A13,'Injury Report'!A:F,6,0),"")</f>
        <v/>
      </c>
      <c r="E13" s="156" t="inlineStr">
        <is>
          <t>Micah Parsons</t>
        </is>
      </c>
      <c r="F13" s="156" t="inlineStr">
        <is>
          <t>DAL</t>
        </is>
      </c>
      <c r="G13" s="156" t="inlineStr">
        <is>
          <t>LB</t>
        </is>
      </c>
      <c r="H13" s="156" t="n">
        <v>17</v>
      </c>
      <c r="I13" s="156" t="n">
        <v>1035</v>
      </c>
      <c r="J13" s="156" t="n">
        <v>38</v>
      </c>
      <c r="K13" s="156" t="n">
        <v>26</v>
      </c>
      <c r="L13" s="156">
        <f>SUM(K13,J13)</f>
        <v/>
      </c>
      <c r="M13" s="156" t="n">
        <v>12</v>
      </c>
      <c r="N13" s="156" t="n">
        <v>2</v>
      </c>
      <c r="O13" s="156" t="n">
        <v>0</v>
      </c>
      <c r="P13" s="156" t="n">
        <v>0</v>
      </c>
      <c r="Q13" s="156" t="n">
        <v>0</v>
      </c>
      <c r="R13" s="156" t="n">
        <v>2</v>
      </c>
    </row>
    <row r="14" ht="15.6" customHeight="1" s="152">
      <c r="A14" s="167">
        <f>E14&amp;F14</f>
        <v/>
      </c>
      <c r="B14" s="156">
        <f>IF(D14&lt;&gt;"",C14,0)</f>
        <v/>
      </c>
      <c r="C14" s="156">
        <f>(M14/MAX(M:M)*$M$1)+(N14/MAX(N:N)*$N$1)+(O14/MAX(O:O)*$O$1)+(P14/MAX(P:P)*$P$1)+(Q14/MAX(Q:Q)*$Q$1)+(R14/MAX(R:R)*$R$1)</f>
        <v/>
      </c>
      <c r="D14" s="156">
        <f>IFERROR(VLOOKUP(A14,'Injury Report'!A:F,6,0),"")</f>
        <v/>
      </c>
      <c r="E14" s="156" t="inlineStr">
        <is>
          <t>Danielle Hunter</t>
        </is>
      </c>
      <c r="F14" s="156" t="inlineStr">
        <is>
          <t>HOU</t>
        </is>
      </c>
      <c r="G14" s="156" t="inlineStr">
        <is>
          <t>LB</t>
        </is>
      </c>
      <c r="H14" s="156" t="n">
        <v>17</v>
      </c>
      <c r="I14" s="156" t="n">
        <v>971</v>
      </c>
      <c r="J14" s="156" t="n">
        <v>41</v>
      </c>
      <c r="K14" s="156" t="n">
        <v>22</v>
      </c>
      <c r="L14" s="156" t="n">
        <v>0</v>
      </c>
      <c r="M14" s="156" t="n">
        <v>12.5</v>
      </c>
      <c r="N14" s="156" t="n">
        <v>1</v>
      </c>
      <c r="O14" s="156" t="n">
        <v>1</v>
      </c>
      <c r="P14" s="156" t="n">
        <v>1</v>
      </c>
      <c r="Q14" s="156" t="n">
        <v>0</v>
      </c>
      <c r="R14" s="156" t="n">
        <v>2</v>
      </c>
    </row>
    <row r="15" ht="15.6" customHeight="1" s="152">
      <c r="A15" s="167">
        <f>E15&amp;F15</f>
        <v/>
      </c>
      <c r="B15" s="156">
        <f>IF(D15&lt;&gt;"",C15,0)</f>
        <v/>
      </c>
      <c r="C15" s="156">
        <f>(M15/MAX(M:M)*$M$1)+(N15/MAX(N:N)*$N$1)+(O15/MAX(O:O)*$O$1)+(P15/MAX(P:P)*$P$1)+(Q15/MAX(Q:Q)*$Q$1)+(R15/MAX(R:R)*$R$1)</f>
        <v/>
      </c>
      <c r="D15" s="156">
        <f>IFERROR(VLOOKUP(A15,'Injury Report'!A:F,6,0),"")</f>
        <v/>
      </c>
      <c r="E15" s="156" t="inlineStr">
        <is>
          <t>Nick Bosa</t>
        </is>
      </c>
      <c r="F15" s="156" t="inlineStr">
        <is>
          <t>SF</t>
        </is>
      </c>
      <c r="G15" s="156" t="inlineStr">
        <is>
          <t>LB</t>
        </is>
      </c>
      <c r="H15" s="156" t="n">
        <v>17</v>
      </c>
      <c r="I15" s="156" t="n">
        <v>869</v>
      </c>
      <c r="J15" s="156" t="n">
        <v>36</v>
      </c>
      <c r="K15" s="156" t="n">
        <v>17</v>
      </c>
      <c r="L15" s="156">
        <f>SUM(K15,J15)</f>
        <v/>
      </c>
      <c r="M15" s="156" t="n">
        <v>13</v>
      </c>
      <c r="N15" s="156" t="n">
        <v>2</v>
      </c>
      <c r="O15" s="156" t="n">
        <v>0</v>
      </c>
      <c r="P15" s="156" t="n">
        <v>0</v>
      </c>
      <c r="Q15" s="156" t="n">
        <v>0</v>
      </c>
      <c r="R15" s="156" t="n">
        <v>4</v>
      </c>
    </row>
    <row r="16" ht="15.6" customHeight="1" s="152">
      <c r="A16" s="167">
        <f>E16&amp;F16</f>
        <v/>
      </c>
      <c r="B16" s="156">
        <f>IF(D16&lt;&gt;"",C16,0)</f>
        <v/>
      </c>
      <c r="C16" s="156">
        <f>(M16/MAX(M:M)*$M$1)+(N16/MAX(N:N)*$N$1)+(O16/MAX(O:O)*$O$1)+(P16/MAX(P:P)*$P$1)+(Q16/MAX(Q:Q)*$Q$1)+(R16/MAX(R:R)*$R$1)</f>
        <v/>
      </c>
      <c r="D16" s="156">
        <f>IFERROR(VLOOKUP(A16,'Injury Report'!A:F,6,0),"")</f>
        <v/>
      </c>
      <c r="E16" s="156" t="inlineStr">
        <is>
          <t>Trey Hendrickson</t>
        </is>
      </c>
      <c r="F16" s="156" t="inlineStr">
        <is>
          <t>CIN</t>
        </is>
      </c>
      <c r="G16" s="156" t="inlineStr">
        <is>
          <t>LB</t>
        </is>
      </c>
      <c r="H16" s="156" t="n">
        <v>17</v>
      </c>
      <c r="I16" s="156" t="n">
        <v>978</v>
      </c>
      <c r="J16" s="156" t="n">
        <v>1</v>
      </c>
      <c r="K16" s="156" t="n">
        <v>1</v>
      </c>
      <c r="L16" s="156" t="n">
        <v>0</v>
      </c>
      <c r="M16" s="156" t="n">
        <v>0</v>
      </c>
      <c r="N16" s="156" t="n">
        <v>0</v>
      </c>
      <c r="O16" s="156" t="n">
        <v>0</v>
      </c>
      <c r="P16" s="156" t="n">
        <v>0</v>
      </c>
      <c r="Q16" s="156" t="n">
        <v>0</v>
      </c>
      <c r="R16" s="156" t="n">
        <v>0</v>
      </c>
    </row>
    <row r="17" ht="15.6" customHeight="1" s="152">
      <c r="A17" s="167">
        <f>E17&amp;F17</f>
        <v/>
      </c>
      <c r="B17" s="156">
        <f>IF(D17&lt;&gt;"",C17,0)</f>
        <v/>
      </c>
      <c r="C17" s="156">
        <f>(M17/MAX(M:M)*$M$1)+(N17/MAX(N:N)*$N$1)+(O17/MAX(O:O)*$O$1)+(P17/MAX(P:P)*$P$1)+(Q17/MAX(Q:Q)*$Q$1)+(R17/MAX(R:R)*$R$1)</f>
        <v/>
      </c>
      <c r="D17" s="156">
        <f>IFERROR(VLOOKUP(A17,'Injury Report'!A:F,6,0),"")</f>
        <v/>
      </c>
      <c r="E17" s="156" t="inlineStr">
        <is>
          <t>Jonathan Greenard</t>
        </is>
      </c>
      <c r="F17" s="156" t="inlineStr">
        <is>
          <t>MIN</t>
        </is>
      </c>
      <c r="G17" s="156" t="inlineStr">
        <is>
          <t>LB</t>
        </is>
      </c>
      <c r="H17" s="156" t="n">
        <v>17</v>
      </c>
      <c r="I17" s="156" t="n">
        <v>1040</v>
      </c>
      <c r="J17" s="156" t="n">
        <v>38</v>
      </c>
      <c r="K17" s="156" t="n">
        <v>17</v>
      </c>
      <c r="L17" s="156">
        <f>SUM(K17,J17)</f>
        <v/>
      </c>
      <c r="M17" s="156" t="n">
        <v>10</v>
      </c>
      <c r="N17" s="156" t="n">
        <v>1</v>
      </c>
      <c r="O17" s="156" t="n">
        <v>0</v>
      </c>
      <c r="P17" s="156" t="n">
        <v>1</v>
      </c>
      <c r="Q17" s="156" t="n">
        <v>0</v>
      </c>
      <c r="R17" s="156" t="n">
        <v>2</v>
      </c>
    </row>
    <row r="18" ht="15.6" customHeight="1" s="152">
      <c r="A18" s="167">
        <f>E18&amp;F18</f>
        <v/>
      </c>
      <c r="B18" s="156">
        <f>IF(D18&lt;&gt;"",C18,0)</f>
        <v/>
      </c>
      <c r="C18" s="156">
        <f>(M18/MAX(M:M)*$M$1)+(N18/MAX(N:N)*$N$1)+(O18/MAX(O:O)*$O$1)+(P18/MAX(P:P)*$P$1)+(Q18/MAX(Q:Q)*$Q$1)+(R18/MAX(R:R)*$R$1)</f>
        <v/>
      </c>
      <c r="D18" s="156">
        <f>IFERROR(VLOOKUP(A18,'Injury Report'!A:F,6,0),"")</f>
        <v/>
      </c>
      <c r="E18" s="156" t="inlineStr">
        <is>
          <t>Josh Hines-Allen</t>
        </is>
      </c>
      <c r="F18" s="156" t="inlineStr">
        <is>
          <t>JAX</t>
        </is>
      </c>
      <c r="G18" s="156" t="inlineStr">
        <is>
          <t>LB</t>
        </is>
      </c>
      <c r="H18" s="156" t="n">
        <v>17</v>
      </c>
      <c r="I18" s="156" t="n">
        <v>785</v>
      </c>
      <c r="J18" s="156" t="n">
        <v>38</v>
      </c>
      <c r="K18" s="156" t="n">
        <v>21</v>
      </c>
      <c r="L18" s="156">
        <f>SUM(K18,J18)</f>
        <v/>
      </c>
      <c r="M18" s="156" t="n">
        <v>8</v>
      </c>
      <c r="N18" s="156" t="n">
        <v>0</v>
      </c>
      <c r="O18" s="156" t="n">
        <v>0</v>
      </c>
      <c r="P18" s="156" t="n">
        <v>1</v>
      </c>
      <c r="Q18" s="156" t="n">
        <v>0</v>
      </c>
      <c r="R18" s="156" t="n">
        <v>2</v>
      </c>
    </row>
    <row r="19" ht="15.6" customHeight="1" s="152">
      <c r="A19" s="167">
        <f>E19&amp;F19</f>
        <v/>
      </c>
      <c r="B19" s="156">
        <f>IF(D19&lt;&gt;"",C19,0)</f>
        <v/>
      </c>
      <c r="C19" s="156">
        <f>(M19/MAX(M:M)*$M$1)+(N19/MAX(N:N)*$N$1)+(O19/MAX(O:O)*$O$1)+(P19/MAX(P:P)*$P$1)+(Q19/MAX(Q:Q)*$Q$1)+(R19/MAX(R:R)*$R$1)</f>
        <v/>
      </c>
      <c r="D19" s="156">
        <f>IFERROR(VLOOKUP(A19,'Injury Report'!A:F,6,0),"")</f>
        <v/>
      </c>
      <c r="E19" s="156" t="inlineStr">
        <is>
          <t>Andrew Van Ginkel</t>
        </is>
      </c>
      <c r="F19" s="156" t="inlineStr">
        <is>
          <t>MIN</t>
        </is>
      </c>
      <c r="G19" s="156" t="inlineStr">
        <is>
          <t>LB</t>
        </is>
      </c>
      <c r="H19" s="156" t="n">
        <v>17</v>
      </c>
      <c r="I19" s="156" t="n">
        <v>1017</v>
      </c>
      <c r="J19" s="156" t="n">
        <v>44</v>
      </c>
      <c r="K19" s="156" t="n">
        <v>28</v>
      </c>
      <c r="L19" s="156">
        <f>SUM(K19,J19)</f>
        <v/>
      </c>
      <c r="M19" s="156" t="n">
        <v>8</v>
      </c>
      <c r="N19" s="156" t="n">
        <v>3</v>
      </c>
      <c r="O19" s="156" t="n">
        <v>1</v>
      </c>
      <c r="P19" s="156" t="n">
        <v>0</v>
      </c>
      <c r="Q19" s="156" t="n">
        <v>0</v>
      </c>
      <c r="R19" s="156" t="n">
        <v>2</v>
      </c>
    </row>
    <row r="20" ht="15.6" customHeight="1" s="152">
      <c r="A20" s="167">
        <f>E20&amp;F20</f>
        <v/>
      </c>
      <c r="B20" s="156">
        <f>IF(D20&lt;&gt;"",C20,0)</f>
        <v/>
      </c>
      <c r="C20" s="156">
        <f>(M20/MAX(M:M)*$M$1)+(N20/MAX(N:N)*$N$1)+(O20/MAX(O:O)*$O$1)+(P20/MAX(P:P)*$P$1)+(Q20/MAX(Q:Q)*$Q$1)+(R20/MAX(R:R)*$R$1)</f>
        <v/>
      </c>
      <c r="D20" s="156">
        <f>IFERROR(VLOOKUP(A20,'Injury Report'!A:F,6,0),"")</f>
        <v/>
      </c>
      <c r="E20" s="156" t="inlineStr">
        <is>
          <t>Bradley Chubb</t>
        </is>
      </c>
      <c r="F20" s="156" t="inlineStr">
        <is>
          <t>MIA</t>
        </is>
      </c>
      <c r="G20" s="156" t="inlineStr">
        <is>
          <t>LB</t>
        </is>
      </c>
      <c r="H20" s="156" t="n">
        <v>17</v>
      </c>
      <c r="I20" s="156" t="n">
        <v>959</v>
      </c>
      <c r="J20" s="156" t="n">
        <v>38</v>
      </c>
      <c r="K20" s="156" t="n">
        <v>21</v>
      </c>
      <c r="L20" s="156">
        <f>SUM(K20,J20)</f>
        <v/>
      </c>
      <c r="M20" s="156" t="n">
        <v>7</v>
      </c>
      <c r="N20" s="156" t="n">
        <v>1</v>
      </c>
      <c r="O20" s="156" t="n">
        <v>0</v>
      </c>
      <c r="P20" s="156" t="n">
        <v>0</v>
      </c>
      <c r="Q20" s="156" t="n">
        <v>1</v>
      </c>
      <c r="R20" s="156" t="n">
        <v>3</v>
      </c>
    </row>
    <row r="21" ht="15.6" customHeight="1" s="152">
      <c r="A21" s="167">
        <f>E21&amp;F21</f>
        <v/>
      </c>
      <c r="B21" s="156">
        <f>IF(D21&lt;&gt;"",C21,0)</f>
        <v/>
      </c>
      <c r="C21" s="156">
        <f>(M21/MAX(M:M)*$M$1)+(N21/MAX(N:N)*$N$1)+(O21/MAX(O:O)*$O$1)+(P21/MAX(P:P)*$P$1)+(Q21/MAX(Q:Q)*$Q$1)+(R21/MAX(R:R)*$R$1)</f>
        <v/>
      </c>
      <c r="D21" s="156">
        <f>IFERROR(VLOOKUP(A21,'Injury Report'!A:F,6,0),"")</f>
        <v/>
      </c>
      <c r="E21" s="156" t="inlineStr">
        <is>
          <t>DeForest Buckner</t>
        </is>
      </c>
      <c r="F21" s="156" t="inlineStr">
        <is>
          <t>IND</t>
        </is>
      </c>
      <c r="G21" s="156" t="inlineStr">
        <is>
          <t>LB</t>
        </is>
      </c>
      <c r="H21" s="156" t="n">
        <v>17</v>
      </c>
      <c r="I21" s="156" t="n">
        <v>907</v>
      </c>
      <c r="J21" s="156" t="n">
        <v>43</v>
      </c>
      <c r="K21" s="156" t="n">
        <v>32</v>
      </c>
      <c r="L21" s="156">
        <f>SUM(K21,J21)</f>
        <v/>
      </c>
      <c r="M21" s="156" t="n">
        <v>9</v>
      </c>
      <c r="N21" s="156" t="n">
        <v>2</v>
      </c>
      <c r="O21" s="156" t="n">
        <v>0</v>
      </c>
      <c r="P21" s="156" t="n">
        <v>0</v>
      </c>
      <c r="Q21" s="156" t="n">
        <v>0</v>
      </c>
      <c r="R21" s="156" t="n">
        <v>7</v>
      </c>
    </row>
    <row r="22" ht="15.6" customHeight="1" s="152">
      <c r="A22" s="167">
        <f>E22&amp;F22</f>
        <v/>
      </c>
      <c r="B22" s="156">
        <f>IF(D22&lt;&gt;"",C22,0)</f>
        <v/>
      </c>
      <c r="C22" s="156">
        <f>(M22/MAX(M:M)*$M$1)+(N22/MAX(N:N)*$N$1)+(O22/MAX(O:O)*$O$1)+(P22/MAX(P:P)*$P$1)+(Q22/MAX(Q:Q)*$Q$1)+(R22/MAX(R:R)*$R$1)</f>
        <v/>
      </c>
      <c r="D22" s="156">
        <f>IFERROR(VLOOKUP(A22,'Injury Report'!A:F,6,0),"")</f>
        <v/>
      </c>
      <c r="E22" s="156" t="inlineStr">
        <is>
          <t>Khalil Mack</t>
        </is>
      </c>
      <c r="F22" s="156" t="inlineStr">
        <is>
          <t>LAC</t>
        </is>
      </c>
      <c r="G22" s="156" t="inlineStr">
        <is>
          <t>S</t>
        </is>
      </c>
      <c r="H22" s="156" t="n">
        <v>17</v>
      </c>
      <c r="I22" s="156" t="n">
        <v>1016</v>
      </c>
      <c r="J22" s="156" t="n">
        <v>35</v>
      </c>
      <c r="K22" s="156" t="n">
        <v>18</v>
      </c>
      <c r="L22" s="156">
        <f>SUM(K22,J22)</f>
        <v/>
      </c>
      <c r="M22" s="156" t="n">
        <v>9</v>
      </c>
      <c r="N22" s="156" t="n">
        <v>1</v>
      </c>
      <c r="O22" s="156" t="n">
        <v>0</v>
      </c>
      <c r="P22" s="156" t="n">
        <v>0</v>
      </c>
      <c r="Q22" s="156" t="n">
        <v>0</v>
      </c>
      <c r="R22" s="156" t="n">
        <v>4</v>
      </c>
    </row>
    <row r="23" ht="15.6" customHeight="1" s="152">
      <c r="A23" s="167">
        <f>E23&amp;F23</f>
        <v/>
      </c>
      <c r="B23" s="156">
        <f>IF(D23&lt;&gt;"",C23,0)</f>
        <v/>
      </c>
      <c r="C23" s="156">
        <f>(M23/MAX(M:M)*$M$1)+(N23/MAX(N:N)*$N$1)+(O23/MAX(O:O)*$O$1)+(P23/MAX(P:P)*$P$1)+(Q23/MAX(Q:Q)*$Q$1)+(R23/MAX(R:R)*$R$1)</f>
        <v/>
      </c>
      <c r="D23" s="156">
        <f>IFERROR(VLOOKUP(A23,'Injury Report'!A:F,6,0),"")</f>
        <v/>
      </c>
      <c r="E23" s="156" t="inlineStr">
        <is>
          <t>Brian Burns</t>
        </is>
      </c>
      <c r="F23" s="156" t="inlineStr">
        <is>
          <t>NYG</t>
        </is>
      </c>
      <c r="G23" s="156" t="inlineStr">
        <is>
          <t>LB</t>
        </is>
      </c>
      <c r="H23" s="156" t="n">
        <v>17</v>
      </c>
      <c r="I23" s="156" t="n">
        <v>1015</v>
      </c>
      <c r="J23" s="156" t="n">
        <v>37</v>
      </c>
      <c r="K23" s="156" t="n">
        <v>24</v>
      </c>
      <c r="L23" s="156">
        <f>SUM(K23,J23)</f>
        <v/>
      </c>
      <c r="M23" s="156" t="n">
        <v>8.5</v>
      </c>
      <c r="N23" s="156" t="n">
        <v>1</v>
      </c>
      <c r="O23" s="156" t="n">
        <v>1</v>
      </c>
      <c r="P23" s="156" t="n">
        <v>0</v>
      </c>
      <c r="Q23" s="156" t="n">
        <v>0</v>
      </c>
      <c r="R23" s="156" t="n">
        <v>3</v>
      </c>
    </row>
    <row r="24" ht="15.6" customHeight="1" s="152">
      <c r="A24" s="167">
        <f>E24&amp;F24</f>
        <v/>
      </c>
      <c r="B24" s="156">
        <f>IF(D24&lt;&gt;"",C24,0)</f>
        <v/>
      </c>
      <c r="C24" s="156">
        <f>(M24/MAX(M:M)*$M$1)+(N24/MAX(N:N)*$N$1)+(O24/MAX(O:O)*$O$1)+(P24/MAX(P:P)*$P$1)+(Q24/MAX(Q:Q)*$Q$1)+(R24/MAX(R:R)*$R$1)</f>
        <v/>
      </c>
      <c r="D24" s="156">
        <f>IFERROR(VLOOKUP(A24,'Injury Report'!A:F,6,0),"")</f>
        <v/>
      </c>
      <c r="E24" s="156" t="inlineStr">
        <is>
          <t>Kobie Turner</t>
        </is>
      </c>
      <c r="F24" s="156" t="inlineStr">
        <is>
          <t>LAR</t>
        </is>
      </c>
      <c r="G24" s="156" t="inlineStr">
        <is>
          <t>LB</t>
        </is>
      </c>
      <c r="H24" s="156" t="n">
        <v>17</v>
      </c>
      <c r="I24" s="156" t="n">
        <v>1032</v>
      </c>
      <c r="J24" s="156" t="n">
        <v>36</v>
      </c>
      <c r="K24" s="156" t="n">
        <v>27</v>
      </c>
      <c r="L24" s="156">
        <f>SUM(K24,J24)</f>
        <v/>
      </c>
      <c r="M24" s="156" t="n">
        <v>11</v>
      </c>
      <c r="N24" s="156" t="n">
        <v>1</v>
      </c>
      <c r="O24" s="156" t="n">
        <v>0</v>
      </c>
      <c r="P24" s="156" t="n">
        <v>0</v>
      </c>
      <c r="Q24" s="156" t="n">
        <v>0</v>
      </c>
      <c r="R24" s="156" t="n">
        <v>2</v>
      </c>
    </row>
    <row r="25" ht="15.6" customHeight="1" s="152">
      <c r="A25" s="167">
        <f>E25&amp;F25</f>
        <v/>
      </c>
      <c r="B25" s="156">
        <f>IF(D25&lt;&gt;"",C25,0)</f>
        <v/>
      </c>
      <c r="C25" s="156">
        <f>(M25/MAX(M:M)*$M$1)+(N25/MAX(N:N)*$N$1)+(O25/MAX(O:O)*$O$1)+(P25/MAX(P:P)*$P$1)+(Q25/MAX(Q:Q)*$Q$1)+(R25/MAX(R:R)*$R$1)</f>
        <v/>
      </c>
      <c r="D25" s="156">
        <f>IFERROR(VLOOKUP(A25,'Injury Report'!A:F,6,0),"")</f>
        <v/>
      </c>
      <c r="E25" s="156" t="inlineStr">
        <is>
          <t>Will Anderson Jr.</t>
        </is>
      </c>
      <c r="F25" s="156" t="inlineStr">
        <is>
          <t>HOU</t>
        </is>
      </c>
      <c r="G25" s="156" t="inlineStr">
        <is>
          <t>LB</t>
        </is>
      </c>
      <c r="H25" s="156" t="n">
        <v>17</v>
      </c>
      <c r="I25" s="156" t="n">
        <v>815</v>
      </c>
      <c r="J25" s="156" t="n">
        <v>31</v>
      </c>
      <c r="K25" s="156" t="n">
        <v>17</v>
      </c>
      <c r="L25" s="156">
        <f>SUM(K25,J25)</f>
        <v/>
      </c>
      <c r="M25" s="156" t="n">
        <v>8</v>
      </c>
      <c r="N25" s="156" t="n">
        <v>1</v>
      </c>
      <c r="O25" s="156" t="n">
        <v>0</v>
      </c>
      <c r="P25" s="156" t="n">
        <v>0</v>
      </c>
      <c r="Q25" s="156" t="n">
        <v>0</v>
      </c>
      <c r="R25" s="156" t="n">
        <v>2</v>
      </c>
    </row>
    <row r="26" ht="15.6" customHeight="1" s="152">
      <c r="A26" s="167">
        <f>E26&amp;F26</f>
        <v/>
      </c>
      <c r="B26" s="156">
        <f>IF(D26&lt;&gt;"",C26,0)</f>
        <v/>
      </c>
      <c r="C26" s="156">
        <f>(M26/MAX(M:M)*$M$1)+(N26/MAX(N:N)*$N$1)+(O26/MAX(O:O)*$O$1)+(P26/MAX(P:P)*$P$1)+(Q26/MAX(Q:Q)*$Q$1)+(R26/MAX(R:R)*$R$1)</f>
        <v/>
      </c>
      <c r="D26" s="156">
        <f>IFERROR(VLOOKUP(A26,'Injury Report'!A:F,6,0),"")</f>
        <v/>
      </c>
      <c r="E26" s="156" t="inlineStr">
        <is>
          <t>Harold Landry</t>
        </is>
      </c>
      <c r="F26" s="156" t="inlineStr">
        <is>
          <t>NE</t>
        </is>
      </c>
      <c r="G26" s="156" t="inlineStr">
        <is>
          <t>LB</t>
        </is>
      </c>
      <c r="H26" s="156" t="n">
        <v>17</v>
      </c>
      <c r="I26" s="156" t="n">
        <v>1028</v>
      </c>
      <c r="J26" s="156" t="n">
        <v>38</v>
      </c>
      <c r="K26" s="156" t="n">
        <v>27</v>
      </c>
      <c r="L26" s="156">
        <f>SUM(K26,J26)</f>
        <v/>
      </c>
      <c r="M26" s="156" t="n">
        <v>11.5</v>
      </c>
      <c r="N26" s="156" t="n">
        <v>1</v>
      </c>
      <c r="O26" s="156" t="n">
        <v>0</v>
      </c>
      <c r="P26" s="156" t="n">
        <v>0</v>
      </c>
      <c r="Q26" s="156" t="n">
        <v>0</v>
      </c>
      <c r="R26" s="156" t="n">
        <v>2</v>
      </c>
    </row>
    <row r="27" ht="15.6" customHeight="1" s="152">
      <c r="A27" s="167">
        <f>E27&amp;F27</f>
        <v/>
      </c>
      <c r="B27" s="156">
        <f>IF(D27&lt;&gt;"",C27,0)</f>
        <v/>
      </c>
      <c r="C27" s="156">
        <f>(M27/MAX(M:M)*$M$1)+(N27/MAX(N:N)*$N$1)+(O27/MAX(O:O)*$O$1)+(P27/MAX(P:P)*$P$1)+(Q27/MAX(Q:Q)*$Q$1)+(R27/MAX(R:R)*$R$1)</f>
        <v/>
      </c>
      <c r="D27" s="156">
        <f>IFERROR(VLOOKUP(A27,'Injury Report'!A:F,6,0),"")</f>
        <v/>
      </c>
      <c r="E27" s="156" t="inlineStr">
        <is>
          <t>Nik Bonitto</t>
        </is>
      </c>
      <c r="F27" s="156" t="inlineStr">
        <is>
          <t>DEN</t>
        </is>
      </c>
      <c r="G27" s="156" t="inlineStr">
        <is>
          <t>S</t>
        </is>
      </c>
      <c r="H27" s="156" t="n">
        <v>17</v>
      </c>
      <c r="I27" s="156" t="n">
        <v>1152</v>
      </c>
      <c r="J27" s="156" t="n">
        <v>31</v>
      </c>
      <c r="K27" s="156" t="n">
        <v>12</v>
      </c>
      <c r="L27" s="156">
        <f>SUM(K27,J27)</f>
        <v/>
      </c>
      <c r="M27" s="156" t="n">
        <v>7.5</v>
      </c>
      <c r="N27" s="156" t="n">
        <v>2</v>
      </c>
      <c r="O27" s="156" t="n">
        <v>1</v>
      </c>
      <c r="P27" s="156" t="n">
        <v>0</v>
      </c>
      <c r="Q27" s="156" t="n">
        <v>0</v>
      </c>
      <c r="R27" s="156" t="n">
        <v>3</v>
      </c>
    </row>
    <row r="28" ht="15.6" customHeight="1" s="152">
      <c r="A28" s="167">
        <f>E28&amp;F28</f>
        <v/>
      </c>
      <c r="B28" s="156">
        <f>IF(D28&lt;&gt;"",C28,0)</f>
        <v/>
      </c>
      <c r="C28" s="156">
        <f>(M28/MAX(M:M)*$M$1)+(N28/MAX(N:N)*$N$1)+(O28/MAX(O:O)*$O$1)+(P28/MAX(P:P)*$P$1)+(Q28/MAX(Q:Q)*$Q$1)+(R28/MAX(R:R)*$R$1)</f>
        <v/>
      </c>
      <c r="D28" s="156">
        <f>IFERROR(VLOOKUP(A28,'Injury Report'!A:F,6,0),"")</f>
        <v/>
      </c>
      <c r="E28" s="156" t="inlineStr">
        <is>
          <t>Gregory Rousseau</t>
        </is>
      </c>
      <c r="F28" s="156" t="inlineStr">
        <is>
          <t>BUF</t>
        </is>
      </c>
      <c r="G28" s="156" t="inlineStr">
        <is>
          <t>S</t>
        </is>
      </c>
      <c r="H28" s="156" t="n">
        <v>17</v>
      </c>
      <c r="I28" s="156" t="n">
        <v>968</v>
      </c>
      <c r="J28" s="156" t="n">
        <v>38</v>
      </c>
      <c r="K28" s="156" t="n">
        <v>18</v>
      </c>
      <c r="L28" s="156">
        <f>SUM(K28,J28)</f>
        <v/>
      </c>
      <c r="M28" s="156" t="n">
        <v>5.5</v>
      </c>
      <c r="N28" s="156" t="n">
        <v>2</v>
      </c>
      <c r="O28" s="156" t="n">
        <v>0</v>
      </c>
      <c r="P28" s="156" t="n">
        <v>0</v>
      </c>
      <c r="Q28" s="156" t="n">
        <v>0</v>
      </c>
      <c r="R28" s="156" t="n">
        <v>4</v>
      </c>
    </row>
    <row r="29" ht="15.6" customHeight="1" s="152">
      <c r="A29" s="167">
        <f>E29&amp;F29</f>
        <v/>
      </c>
      <c r="B29" s="156">
        <f>IF(D29&lt;&gt;"",C29,0)</f>
        <v/>
      </c>
      <c r="C29" s="156">
        <f>(M29/MAX(M:M)*$M$1)+(N29/MAX(N:N)*$N$1)+(O29/MAX(O:O)*$O$1)+(P29/MAX(P:P)*$P$1)+(Q29/MAX(Q:Q)*$Q$1)+(R29/MAX(R:R)*$R$1)</f>
        <v/>
      </c>
      <c r="D29" s="156">
        <f>IFERROR(VLOOKUP(A29,'Injury Report'!A:F,6,0),"")</f>
        <v/>
      </c>
      <c r="E29" s="156" t="inlineStr">
        <is>
          <t>Jeffery Simmons</t>
        </is>
      </c>
      <c r="F29" s="156" t="inlineStr">
        <is>
          <t>TEN</t>
        </is>
      </c>
      <c r="G29" s="156" t="inlineStr">
        <is>
          <t>LB</t>
        </is>
      </c>
      <c r="H29" s="156" t="n">
        <v>17</v>
      </c>
      <c r="I29" s="156" t="n">
        <v>618</v>
      </c>
      <c r="J29" s="156" t="n">
        <v>40</v>
      </c>
      <c r="K29" s="156" t="n">
        <v>32</v>
      </c>
      <c r="L29" s="156">
        <f>SUM(K29,J29)</f>
        <v/>
      </c>
      <c r="M29" s="156" t="n">
        <v>6.5</v>
      </c>
      <c r="N29" s="156" t="n">
        <v>1</v>
      </c>
      <c r="O29" s="156" t="n">
        <v>2</v>
      </c>
      <c r="P29" s="156" t="n">
        <v>0</v>
      </c>
      <c r="Q29" s="156" t="n">
        <v>0</v>
      </c>
      <c r="R29" s="156" t="n">
        <v>2</v>
      </c>
    </row>
    <row r="30" ht="15.6" customHeight="1" s="152">
      <c r="A30" s="167">
        <f>E30&amp;F30</f>
        <v/>
      </c>
      <c r="B30" s="156">
        <f>IF(D30&lt;&gt;"",C30,0)</f>
        <v/>
      </c>
      <c r="C30" s="156">
        <f>(M30/MAX(M:M)*$M$1)+(N30/MAX(N:N)*$N$1)+(O30/MAX(O:O)*$O$1)+(P30/MAX(P:P)*$P$1)+(Q30/MAX(Q:Q)*$Q$1)+(R30/MAX(R:R)*$R$1)</f>
        <v/>
      </c>
      <c r="D30" s="156">
        <f>IFERROR(VLOOKUP(A30,'Injury Report'!A:F,6,0),"")</f>
        <v/>
      </c>
      <c r="E30" s="156" t="inlineStr">
        <is>
          <t>Jared Verse</t>
        </is>
      </c>
      <c r="F30" s="156" t="inlineStr">
        <is>
          <t>LAR</t>
        </is>
      </c>
      <c r="G30" s="156" t="inlineStr">
        <is>
          <t>LB</t>
        </is>
      </c>
      <c r="H30" s="156" t="n">
        <v>17</v>
      </c>
      <c r="I30" s="156" t="n">
        <v>1058</v>
      </c>
      <c r="J30" s="156" t="n">
        <v>36</v>
      </c>
      <c r="K30" s="156" t="n">
        <v>32</v>
      </c>
      <c r="L30" s="156">
        <f>SUM(K30,J30)</f>
        <v/>
      </c>
      <c r="M30" s="156" t="n">
        <v>6.5</v>
      </c>
      <c r="N30" s="156" t="n">
        <v>1</v>
      </c>
      <c r="O30" s="156" t="n">
        <v>0</v>
      </c>
      <c r="P30" s="156" t="n">
        <v>0</v>
      </c>
      <c r="Q30" s="156" t="n">
        <v>0</v>
      </c>
      <c r="R30" s="156" t="n">
        <v>2</v>
      </c>
    </row>
    <row r="31" ht="15.6" customHeight="1" s="152">
      <c r="A31" s="167">
        <f>E31&amp;F31</f>
        <v/>
      </c>
      <c r="B31" s="156">
        <f>IF(D31&lt;&gt;"",C31,0)</f>
        <v/>
      </c>
      <c r="C31" s="156">
        <f>(M31/MAX(M:M)*$M$1)+(N31/MAX(N:N)*$N$1)+(O31/MAX(O:O)*$O$1)+(P31/MAX(P:P)*$P$1)+(Q31/MAX(Q:Q)*$Q$1)+(R31/MAX(R:R)*$R$1)</f>
        <v/>
      </c>
      <c r="D31" s="156">
        <f>IFERROR(VLOOKUP(A31,'Injury Report'!A:F,6,0),"")</f>
        <v/>
      </c>
      <c r="E31" s="156" t="inlineStr">
        <is>
          <t>Carl Granderson</t>
        </is>
      </c>
      <c r="F31" s="156" t="inlineStr">
        <is>
          <t>NO</t>
        </is>
      </c>
      <c r="G31" s="156" t="inlineStr">
        <is>
          <t>LB</t>
        </is>
      </c>
      <c r="H31" s="156" t="n">
        <v>17</v>
      </c>
      <c r="I31" s="156" t="n">
        <v>880</v>
      </c>
      <c r="J31" s="156" t="n">
        <v>41</v>
      </c>
      <c r="K31" s="156" t="n">
        <v>30</v>
      </c>
      <c r="L31" s="156">
        <f>SUM(K31,J31)</f>
        <v/>
      </c>
      <c r="M31" s="156" t="n">
        <v>8.5</v>
      </c>
      <c r="N31" s="156" t="n">
        <v>1</v>
      </c>
      <c r="O31" s="156" t="n">
        <v>0</v>
      </c>
      <c r="P31" s="156" t="n">
        <v>0</v>
      </c>
      <c r="Q31" s="156" t="n">
        <v>0</v>
      </c>
      <c r="R31" s="156" t="n">
        <v>2</v>
      </c>
    </row>
    <row r="32" ht="15.6" customHeight="1" s="152">
      <c r="A32" s="167">
        <f>E32&amp;F32</f>
        <v/>
      </c>
      <c r="B32" s="156">
        <f>IF(D32&lt;&gt;"",C32,0)</f>
        <v/>
      </c>
      <c r="C32" s="156">
        <f>(M32/MAX(M:M)*$M$1)+(N32/MAX(N:N)*$N$1)+(O32/MAX(O:O)*$O$1)+(P32/MAX(P:P)*$P$1)+(Q32/MAX(Q:Q)*$Q$1)+(R32/MAX(R:R)*$R$1)</f>
        <v/>
      </c>
      <c r="D32" s="156">
        <f>IFERROR(VLOOKUP(A32,'Injury Report'!A:F,6,0),"")</f>
        <v/>
      </c>
      <c r="E32" s="156" t="inlineStr">
        <is>
          <t>Jonathon Cooper</t>
        </is>
      </c>
      <c r="F32" s="156" t="inlineStr">
        <is>
          <t>DEN</t>
        </is>
      </c>
      <c r="G32" s="156" t="inlineStr">
        <is>
          <t>S</t>
        </is>
      </c>
      <c r="H32" s="156" t="n">
        <v>17</v>
      </c>
      <c r="I32" s="156" t="n">
        <v>919</v>
      </c>
      <c r="J32" s="156" t="n">
        <v>34</v>
      </c>
      <c r="K32" s="156" t="n">
        <v>25</v>
      </c>
      <c r="L32" s="156">
        <f>SUM(K32,J32)</f>
        <v/>
      </c>
      <c r="M32" s="156" t="n">
        <v>9.5</v>
      </c>
      <c r="N32" s="156" t="n">
        <v>1</v>
      </c>
      <c r="O32" s="156" t="n">
        <v>0</v>
      </c>
      <c r="P32" s="156" t="n">
        <v>0</v>
      </c>
      <c r="Q32" s="156" t="n">
        <v>0</v>
      </c>
      <c r="R32" s="156" t="n">
        <v>1</v>
      </c>
    </row>
    <row r="33" ht="15.6" customHeight="1" s="152">
      <c r="A33" s="167">
        <f>E33&amp;F33</f>
        <v/>
      </c>
      <c r="B33" s="156">
        <f>IF(D33&lt;&gt;"",C33,0)</f>
        <v/>
      </c>
      <c r="C33" s="156">
        <f>(M33/MAX(M:M)*$M$1)+(N33/MAX(N:N)*$N$1)+(O33/MAX(O:O)*$O$1)+(P33/MAX(P:P)*$P$1)+(Q33/MAX(Q:Q)*$Q$1)+(R33/MAX(R:R)*$R$1)</f>
        <v/>
      </c>
      <c r="D33" s="156">
        <f>IFERROR(VLOOKUP(A33,'Injury Report'!A:F,6,0),"")</f>
        <v/>
      </c>
      <c r="E33" s="156" t="inlineStr">
        <is>
          <t>Travon Walker</t>
        </is>
      </c>
      <c r="F33" s="156" t="inlineStr">
        <is>
          <t>JAX</t>
        </is>
      </c>
      <c r="G33" s="156" t="inlineStr">
        <is>
          <t>LB</t>
        </is>
      </c>
      <c r="H33" s="156" t="n">
        <v>17</v>
      </c>
      <c r="I33" s="156" t="n">
        <v>834</v>
      </c>
      <c r="J33" s="156" t="n">
        <v>29</v>
      </c>
      <c r="K33" s="156" t="n">
        <v>27</v>
      </c>
      <c r="L33" s="156">
        <f>SUM(K33,J33)</f>
        <v/>
      </c>
      <c r="M33" s="156" t="n">
        <v>8</v>
      </c>
      <c r="N33" s="156" t="n">
        <v>1</v>
      </c>
      <c r="O33" s="156" t="n">
        <v>1</v>
      </c>
      <c r="P33" s="156" t="n">
        <v>0</v>
      </c>
      <c r="Q33" s="156" t="n">
        <v>0</v>
      </c>
      <c r="R33" s="156" t="n">
        <v>2</v>
      </c>
    </row>
    <row r="34" ht="15.6" customHeight="1" s="152">
      <c r="A34" s="167">
        <f>E34&amp;F34</f>
        <v/>
      </c>
      <c r="B34" s="156">
        <f>IF(D34&lt;&gt;"",C34,0)</f>
        <v/>
      </c>
      <c r="C34" s="156">
        <f>(M34/MAX(M:M)*$M$1)+(N34/MAX(N:N)*$N$1)+(O34/MAX(O:O)*$O$1)+(P34/MAX(P:P)*$P$1)+(Q34/MAX(Q:Q)*$Q$1)+(R34/MAX(R:R)*$R$1)</f>
        <v/>
      </c>
      <c r="D34" s="156">
        <f>IFERROR(VLOOKUP(A34,'Injury Report'!A:F,6,0),"")</f>
        <v/>
      </c>
      <c r="E34" s="156" t="inlineStr">
        <is>
          <t>Zach Sieler</t>
        </is>
      </c>
      <c r="F34" s="156" t="inlineStr">
        <is>
          <t>MIA</t>
        </is>
      </c>
      <c r="G34" s="156" t="inlineStr">
        <is>
          <t>LB</t>
        </is>
      </c>
      <c r="H34" s="156" t="n">
        <v>17</v>
      </c>
      <c r="I34" s="156" t="n">
        <v>850</v>
      </c>
      <c r="J34" s="156" t="n">
        <v>33</v>
      </c>
      <c r="K34" s="156" t="n">
        <v>25</v>
      </c>
      <c r="L34" s="156">
        <f>SUM(K34,J34)</f>
        <v/>
      </c>
      <c r="M34" s="156" t="n">
        <v>2</v>
      </c>
      <c r="N34" s="156" t="n">
        <v>1</v>
      </c>
      <c r="O34" s="156" t="n">
        <v>0</v>
      </c>
      <c r="P34" s="156" t="n">
        <v>0</v>
      </c>
      <c r="Q34" s="156" t="n">
        <v>0</v>
      </c>
      <c r="R34" s="156" t="n">
        <v>5</v>
      </c>
    </row>
    <row r="35" ht="15.6" customHeight="1" s="152">
      <c r="A35" s="167">
        <f>E35&amp;F35</f>
        <v/>
      </c>
      <c r="B35" s="156">
        <f>IF(D35&lt;&gt;"",C35,0)</f>
        <v/>
      </c>
      <c r="C35" s="156">
        <f>(M35/MAX(M:M)*$M$1)+(N35/MAX(N:N)*$N$1)+(O35/MAX(O:O)*$O$1)+(P35/MAX(P:P)*$P$1)+(Q35/MAX(Q:Q)*$Q$1)+(R35/MAX(R:R)*$R$1)</f>
        <v/>
      </c>
      <c r="D35" s="156">
        <f>IFERROR(VLOOKUP(A35,'Injury Report'!A:F,6,0),"")</f>
        <v/>
      </c>
      <c r="E35" s="156" t="inlineStr">
        <is>
          <t>Derrick Brown</t>
        </is>
      </c>
      <c r="F35" s="156" t="inlineStr">
        <is>
          <t>CAR</t>
        </is>
      </c>
      <c r="G35" s="156" t="inlineStr">
        <is>
          <t>S</t>
        </is>
      </c>
      <c r="H35" s="156" t="n">
        <v>17</v>
      </c>
      <c r="I35" s="156" t="n">
        <v>936</v>
      </c>
      <c r="J35" s="156" t="n">
        <v>45</v>
      </c>
      <c r="K35" s="156" t="n">
        <v>45</v>
      </c>
      <c r="L35" s="156">
        <f>SUM(K35,J35)</f>
        <v/>
      </c>
      <c r="M35" s="156" t="n">
        <v>7</v>
      </c>
      <c r="N35" s="156" t="n">
        <v>2</v>
      </c>
      <c r="O35" s="156" t="n">
        <v>0</v>
      </c>
      <c r="P35" s="156" t="n">
        <v>1</v>
      </c>
      <c r="Q35" s="156" t="n">
        <v>0</v>
      </c>
      <c r="R35" s="156" t="n">
        <v>2</v>
      </c>
    </row>
    <row r="36" ht="15.6" customHeight="1" s="152">
      <c r="A36" s="167">
        <f>E36&amp;F36</f>
        <v/>
      </c>
      <c r="B36" s="156">
        <f>IF(D36&lt;&gt;"",C36,0)</f>
        <v/>
      </c>
      <c r="C36" s="156">
        <f>(M36/MAX(M:M)*$M$1)+(N36/MAX(N:N)*$N$1)+(O36/MAX(O:O)*$O$1)+(P36/MAX(P:P)*$P$1)+(Q36/MAX(Q:Q)*$Q$1)+(R36/MAX(R:R)*$R$1)</f>
        <v/>
      </c>
      <c r="D36" s="156">
        <f>IFERROR(VLOOKUP(A36,'Injury Report'!A:F,6,0),"")</f>
        <v/>
      </c>
      <c r="E36" s="156" t="inlineStr">
        <is>
          <t>Alex Highsmith</t>
        </is>
      </c>
      <c r="F36" s="156" t="inlineStr">
        <is>
          <t>PIT</t>
        </is>
      </c>
      <c r="G36" s="156" t="inlineStr">
        <is>
          <t>S</t>
        </is>
      </c>
      <c r="H36" s="156" t="n">
        <v>17</v>
      </c>
      <c r="I36" s="156" t="n">
        <v>1015</v>
      </c>
      <c r="J36" s="156" t="n">
        <v>31</v>
      </c>
      <c r="K36" s="156" t="n">
        <v>21</v>
      </c>
      <c r="L36" s="156">
        <f>SUM(K36,J36)</f>
        <v/>
      </c>
      <c r="M36" s="156" t="n">
        <v>8</v>
      </c>
      <c r="N36" s="156" t="n">
        <v>1</v>
      </c>
      <c r="O36" s="156" t="n">
        <v>0</v>
      </c>
      <c r="P36" s="156" t="n">
        <v>0</v>
      </c>
      <c r="Q36" s="156" t="n">
        <v>0</v>
      </c>
      <c r="R36" s="156" t="n">
        <v>2</v>
      </c>
    </row>
    <row r="37" ht="15.6" customHeight="1" s="152">
      <c r="A37" s="167">
        <f>E37&amp;F37</f>
        <v/>
      </c>
      <c r="B37" s="156">
        <f>IF(D37&lt;&gt;"",C37,0)</f>
        <v/>
      </c>
      <c r="C37" s="156">
        <f>(M37/MAX(M:M)*$M$1)+(N37/MAX(N:N)*$N$1)+(O37/MAX(O:O)*$O$1)+(P37/MAX(P:P)*$P$1)+(Q37/MAX(Q:Q)*$Q$1)+(R37/MAX(R:R)*$R$1)</f>
        <v/>
      </c>
      <c r="D37" s="156">
        <f>IFERROR(VLOOKUP(A37,'Injury Report'!A:F,6,0),"")</f>
        <v/>
      </c>
      <c r="E37" s="156" t="inlineStr">
        <is>
          <t>Tuli Tuipulotu</t>
        </is>
      </c>
      <c r="F37" s="156" t="inlineStr">
        <is>
          <t>LAC</t>
        </is>
      </c>
      <c r="G37" s="156" t="inlineStr">
        <is>
          <t>LB</t>
        </is>
      </c>
      <c r="H37" s="156" t="n">
        <v>17</v>
      </c>
      <c r="I37" s="156" t="n">
        <v>1016</v>
      </c>
      <c r="J37" s="156" t="n">
        <v>34</v>
      </c>
      <c r="K37" s="156" t="n">
        <v>16</v>
      </c>
      <c r="L37" s="156">
        <f>SUM(K37,J37)</f>
        <v/>
      </c>
      <c r="M37" s="156" t="n">
        <v>7.5</v>
      </c>
      <c r="N37" s="156" t="n">
        <v>1</v>
      </c>
      <c r="O37" s="156" t="n">
        <v>0</v>
      </c>
      <c r="P37" s="156" t="n">
        <v>0</v>
      </c>
      <c r="Q37" s="156" t="n">
        <v>0</v>
      </c>
      <c r="R37" s="156" t="n">
        <v>2</v>
      </c>
    </row>
    <row r="38" ht="15.6" customHeight="1" s="152">
      <c r="A38" s="167">
        <f>E38&amp;F38</f>
        <v/>
      </c>
      <c r="B38" s="156">
        <f>IF(D38&lt;&gt;"",C38,0)</f>
        <v/>
      </c>
      <c r="C38" s="156">
        <f>(M38/MAX(M:M)*$M$1)+(N38/MAX(N:N)*$N$1)+(O38/MAX(O:O)*$O$1)+(P38/MAX(P:P)*$P$1)+(Q38/MAX(Q:Q)*$Q$1)+(R38/MAX(R:R)*$R$1)</f>
        <v/>
      </c>
      <c r="D38" s="156">
        <f>IFERROR(VLOOKUP(A38,'Injury Report'!A:F,6,0),"")</f>
        <v/>
      </c>
      <c r="E38" s="156" t="inlineStr">
        <is>
          <t>Zach Allen</t>
        </is>
      </c>
      <c r="F38" s="156" t="inlineStr">
        <is>
          <t>DEN</t>
        </is>
      </c>
      <c r="G38" s="156" t="inlineStr">
        <is>
          <t>S</t>
        </is>
      </c>
      <c r="H38" s="156" t="n">
        <v>17</v>
      </c>
      <c r="I38" s="156" t="n">
        <v>851</v>
      </c>
      <c r="J38" s="156" t="n">
        <v>30</v>
      </c>
      <c r="K38" s="156" t="n">
        <v>28</v>
      </c>
      <c r="L38" s="156">
        <f>SUM(K38,J38)</f>
        <v/>
      </c>
      <c r="M38" s="156" t="n">
        <v>8</v>
      </c>
      <c r="N38" s="156" t="n">
        <v>1</v>
      </c>
      <c r="O38" s="156" t="n">
        <v>0</v>
      </c>
      <c r="P38" s="156" t="n">
        <v>0</v>
      </c>
      <c r="Q38" s="156" t="n">
        <v>0</v>
      </c>
      <c r="R38" s="156" t="n">
        <v>4</v>
      </c>
    </row>
    <row r="39" ht="15.6" customHeight="1" s="152">
      <c r="A39" s="167">
        <f>E39&amp;F39</f>
        <v/>
      </c>
      <c r="B39" s="156">
        <f>IF(D39&lt;&gt;"",C39,0)</f>
        <v/>
      </c>
      <c r="C39" s="156">
        <f>(M39/MAX(M:M)*$M$1)+(N39/MAX(N:N)*$N$1)+(O39/MAX(O:O)*$O$1)+(P39/MAX(P:P)*$P$1)+(Q39/MAX(Q:Q)*$Q$1)+(R39/MAX(R:R)*$R$1)</f>
        <v/>
      </c>
      <c r="D39" s="156">
        <f>IFERROR(VLOOKUP(A39,'Injury Report'!A:F,6,0),"")</f>
        <v/>
      </c>
      <c r="E39" s="156" t="inlineStr">
        <is>
          <t>Jermaine Johnson</t>
        </is>
      </c>
      <c r="F39" s="156" t="inlineStr">
        <is>
          <t>NYJ</t>
        </is>
      </c>
      <c r="G39" s="156" t="inlineStr">
        <is>
          <t>S</t>
        </is>
      </c>
      <c r="H39" s="156" t="n">
        <v>17</v>
      </c>
      <c r="I39" s="156" t="n">
        <v>1015</v>
      </c>
      <c r="J39" s="156" t="n">
        <v>30</v>
      </c>
      <c r="K39" s="156" t="n">
        <v>15</v>
      </c>
      <c r="L39" s="156">
        <f>SUM(K39,J39)</f>
        <v/>
      </c>
      <c r="M39" s="156" t="n">
        <v>7</v>
      </c>
      <c r="N39" s="156" t="n">
        <v>1</v>
      </c>
      <c r="O39" s="156" t="n">
        <v>0</v>
      </c>
      <c r="P39" s="156" t="n">
        <v>0</v>
      </c>
      <c r="Q39" s="156" t="n">
        <v>0</v>
      </c>
      <c r="R39" s="156" t="n">
        <v>1</v>
      </c>
    </row>
    <row r="40" ht="15.6" customHeight="1" s="152">
      <c r="A40" s="167">
        <f>E40&amp;F40</f>
        <v/>
      </c>
      <c r="B40" s="156">
        <f>IF(D40&lt;&gt;"",C40,0)</f>
        <v/>
      </c>
      <c r="C40" s="156">
        <f>(M40/MAX(M:M)*$M$1)+(N40/MAX(N:N)*$N$1)+(O40/MAX(O:O)*$O$1)+(P40/MAX(P:P)*$P$1)+(Q40/MAX(Q:Q)*$Q$1)+(R40/MAX(R:R)*$R$1)</f>
        <v/>
      </c>
      <c r="D40" s="156">
        <f>IFERROR(VLOOKUP(A40,'Injury Report'!A:F,6,0),"")</f>
        <v/>
      </c>
      <c r="E40" s="156" t="inlineStr">
        <is>
          <t>Byron Young</t>
        </is>
      </c>
      <c r="F40" s="156" t="inlineStr">
        <is>
          <t>LAR</t>
        </is>
      </c>
      <c r="G40" s="156" t="inlineStr">
        <is>
          <t>S</t>
        </is>
      </c>
      <c r="H40" s="156" t="n">
        <v>17</v>
      </c>
      <c r="I40" s="156" t="n">
        <v>773</v>
      </c>
      <c r="J40" s="156" t="n">
        <v>33</v>
      </c>
      <c r="K40" s="156" t="n">
        <v>22</v>
      </c>
      <c r="L40" s="156">
        <f>SUM(K40,J40)</f>
        <v/>
      </c>
      <c r="M40" s="156" t="n">
        <v>6</v>
      </c>
      <c r="N40" s="156" t="n">
        <v>1</v>
      </c>
      <c r="O40" s="156" t="n">
        <v>0</v>
      </c>
      <c r="P40" s="156" t="n">
        <v>0</v>
      </c>
      <c r="Q40" s="156" t="n">
        <v>0</v>
      </c>
      <c r="R40" s="156" t="n">
        <v>2</v>
      </c>
    </row>
    <row r="41" ht="15.6" customHeight="1" s="152">
      <c r="A41" s="167">
        <f>E41&amp;F41</f>
        <v/>
      </c>
      <c r="B41" s="156">
        <f>IF(D41&lt;&gt;"",C41,0)</f>
        <v/>
      </c>
      <c r="C41" s="156">
        <f>(M41/MAX(M:M)*$M$1)+(N41/MAX(N:N)*$N$1)+(O41/MAX(O:O)*$O$1)+(P41/MAX(P:P)*$P$1)+(Q41/MAX(Q:Q)*$Q$1)+(R41/MAX(R:R)*$R$1)</f>
        <v/>
      </c>
      <c r="D41" s="156">
        <f>IFERROR(VLOOKUP(A41,'Injury Report'!A:F,6,0),"")</f>
        <v/>
      </c>
      <c r="E41" s="156" t="inlineStr">
        <is>
          <t>Dexter Lawrence</t>
        </is>
      </c>
      <c r="F41" s="156" t="inlineStr">
        <is>
          <t>NYG</t>
        </is>
      </c>
      <c r="G41" s="156" t="inlineStr">
        <is>
          <t>S</t>
        </is>
      </c>
      <c r="H41" s="156" t="n">
        <v>17</v>
      </c>
      <c r="I41" s="156" t="n">
        <v>981</v>
      </c>
      <c r="J41" s="156" t="n">
        <v>33</v>
      </c>
      <c r="K41" s="156" t="n">
        <v>27</v>
      </c>
      <c r="L41" s="156">
        <f>SUM(K41,J41)</f>
        <v/>
      </c>
      <c r="M41" s="156" t="n">
        <v>8.5</v>
      </c>
      <c r="N41" s="156" t="n">
        <v>1</v>
      </c>
      <c r="O41" s="156" t="n">
        <v>0</v>
      </c>
      <c r="P41" s="156" t="n">
        <v>0</v>
      </c>
      <c r="Q41" s="156" t="n">
        <v>0</v>
      </c>
      <c r="R41" s="156" t="n">
        <v>1</v>
      </c>
    </row>
    <row r="42" ht="15.6" customHeight="1" s="152">
      <c r="A42" s="167">
        <f>E42&amp;F42</f>
        <v/>
      </c>
      <c r="B42" s="156">
        <f>IF(D42&lt;&gt;"",C42,0)</f>
        <v/>
      </c>
      <c r="C42" s="156">
        <f>(M42/MAX(M:M)*$M$1)+(N42/MAX(N:N)*$N$1)+(O42/MAX(O:O)*$O$1)+(P42/MAX(P:P)*$P$1)+(Q42/MAX(Q:Q)*$Q$1)+(R42/MAX(R:R)*$R$1)</f>
        <v/>
      </c>
      <c r="D42" s="156">
        <f>IFERROR(VLOOKUP(A42,'Injury Report'!A:F,6,0),"")</f>
        <v/>
      </c>
      <c r="E42" s="156" t="inlineStr">
        <is>
          <t>Nnamdi Madubuike</t>
        </is>
      </c>
      <c r="F42" s="156" t="inlineStr">
        <is>
          <t>BAL</t>
        </is>
      </c>
      <c r="G42" s="156" t="inlineStr">
        <is>
          <t>LB</t>
        </is>
      </c>
      <c r="H42" s="156" t="n">
        <v>17</v>
      </c>
      <c r="I42" s="156" t="n">
        <v>645</v>
      </c>
      <c r="J42" s="156" t="n">
        <v>25</v>
      </c>
      <c r="K42" s="156" t="n">
        <v>25</v>
      </c>
      <c r="L42" s="156">
        <f>SUM(K42,J42)</f>
        <v/>
      </c>
      <c r="M42" s="156" t="n">
        <v>7</v>
      </c>
      <c r="N42" s="156" t="n">
        <v>1</v>
      </c>
      <c r="O42" s="156" t="n">
        <v>0</v>
      </c>
      <c r="P42" s="156" t="n">
        <v>0</v>
      </c>
      <c r="Q42" s="156" t="n">
        <v>0</v>
      </c>
      <c r="R42" s="156" t="n">
        <v>2</v>
      </c>
    </row>
    <row r="43" ht="15.6" customHeight="1" s="152">
      <c r="A43" s="167">
        <f>E43&amp;F43</f>
        <v/>
      </c>
      <c r="B43" s="156">
        <f>IF(D43&lt;&gt;"",C43,0)</f>
        <v/>
      </c>
      <c r="C43" s="156">
        <f>(M43/MAX(M:M)*$M$1)+(N43/MAX(N:N)*$N$1)+(O43/MAX(O:O)*$O$1)+(P43/MAX(P:P)*$P$1)+(Q43/MAX(Q:Q)*$Q$1)+(R43/MAX(R:R)*$R$1)</f>
        <v/>
      </c>
      <c r="D43" s="156">
        <f>IFERROR(VLOOKUP(A43,'Injury Report'!A:F,6,0),"")</f>
        <v/>
      </c>
      <c r="E43" s="156" t="inlineStr">
        <is>
          <t>Jaelan Phillips</t>
        </is>
      </c>
      <c r="F43" s="156" t="inlineStr">
        <is>
          <t>MIA</t>
        </is>
      </c>
      <c r="G43" s="156" t="inlineStr">
        <is>
          <t>LB</t>
        </is>
      </c>
      <c r="H43" s="156" t="n">
        <v>17</v>
      </c>
      <c r="I43" s="156" t="n">
        <v>771</v>
      </c>
      <c r="J43" s="156" t="n">
        <v>32</v>
      </c>
      <c r="K43" s="156" t="n">
        <v>18</v>
      </c>
      <c r="L43" s="156">
        <f>SUM(K43,J43)</f>
        <v/>
      </c>
      <c r="M43" s="156" t="n">
        <v>7.5</v>
      </c>
      <c r="N43" s="156" t="n">
        <v>2</v>
      </c>
      <c r="O43" s="156" t="n">
        <v>0</v>
      </c>
      <c r="P43" s="156" t="n">
        <v>0</v>
      </c>
      <c r="Q43" s="156" t="n">
        <v>0</v>
      </c>
      <c r="R43" s="156" t="n">
        <v>1</v>
      </c>
    </row>
    <row r="44" ht="15.6" customHeight="1" s="152">
      <c r="A44" s="167">
        <f>E44&amp;F44</f>
        <v/>
      </c>
      <c r="B44" s="156">
        <f>IF(D44&lt;&gt;"",C44,0)</f>
        <v/>
      </c>
      <c r="C44" s="156">
        <f>(M44/MAX(M:M)*$M$1)+(N44/MAX(N:N)*$N$1)+(O44/MAX(O:O)*$O$1)+(P44/MAX(P:P)*$P$1)+(Q44/MAX(Q:Q)*$Q$1)+(R44/MAX(R:R)*$R$1)</f>
        <v/>
      </c>
      <c r="D44" s="156">
        <f>IFERROR(VLOOKUP(A44,'Injury Report'!A:F,6,0),"")</f>
        <v/>
      </c>
      <c r="E44" s="156" t="inlineStr">
        <is>
          <t>Haason Reddick</t>
        </is>
      </c>
      <c r="F44" s="156" t="inlineStr">
        <is>
          <t>TB</t>
        </is>
      </c>
      <c r="G44" s="156" t="inlineStr">
        <is>
          <t>LB</t>
        </is>
      </c>
      <c r="H44" s="156" t="n">
        <v>17</v>
      </c>
      <c r="I44" s="156" t="n">
        <v>892</v>
      </c>
      <c r="J44" s="156" t="n">
        <v>28</v>
      </c>
      <c r="K44" s="156" t="n">
        <v>17</v>
      </c>
      <c r="L44" s="156">
        <f>SUM(K44,J44)</f>
        <v/>
      </c>
      <c r="M44" s="156" t="n">
        <v>9</v>
      </c>
      <c r="N44" s="156" t="n">
        <v>0</v>
      </c>
      <c r="O44" s="156" t="n">
        <v>1</v>
      </c>
      <c r="P44" s="156" t="n">
        <v>0</v>
      </c>
      <c r="Q44" s="156" t="n">
        <v>0</v>
      </c>
      <c r="R44" s="156" t="n">
        <v>4</v>
      </c>
    </row>
    <row r="45" ht="15.6" customHeight="1" s="152">
      <c r="A45" s="167">
        <f>E45&amp;F45</f>
        <v/>
      </c>
      <c r="B45" s="156">
        <f>IF(D45&lt;&gt;"",C45,0)</f>
        <v/>
      </c>
      <c r="C45" s="156">
        <f>(M45/MAX(M:M)*$M$1)+(N45/MAX(N:N)*$N$1)+(O45/MAX(O:O)*$O$1)+(P45/MAX(P:P)*$P$1)+(Q45/MAX(Q:Q)*$Q$1)+(R45/MAX(R:R)*$R$1)</f>
        <v/>
      </c>
      <c r="D45" s="156">
        <f>IFERROR(VLOOKUP(A45,'Injury Report'!A:F,6,0),"")</f>
        <v/>
      </c>
      <c r="E45" s="156" t="inlineStr">
        <is>
          <t>George Karlaftis</t>
        </is>
      </c>
      <c r="F45" s="156" t="inlineStr">
        <is>
          <t>KC</t>
        </is>
      </c>
      <c r="G45" s="156" t="inlineStr">
        <is>
          <t>LB</t>
        </is>
      </c>
      <c r="H45" s="156" t="n">
        <v>17</v>
      </c>
      <c r="I45" s="156" t="n">
        <v>996</v>
      </c>
      <c r="J45" s="156" t="n">
        <v>23</v>
      </c>
      <c r="K45" s="156" t="n">
        <v>17</v>
      </c>
      <c r="L45" s="156">
        <f>SUM(K45,J45)</f>
        <v/>
      </c>
      <c r="M45" s="156" t="n">
        <v>9</v>
      </c>
      <c r="N45" s="156" t="n">
        <v>1</v>
      </c>
      <c r="O45" s="156" t="n">
        <v>0</v>
      </c>
      <c r="P45" s="156" t="n">
        <v>0</v>
      </c>
      <c r="Q45" s="156" t="n">
        <v>0</v>
      </c>
      <c r="R45" s="156" t="n">
        <v>4</v>
      </c>
    </row>
    <row r="46" ht="15.6" customHeight="1" s="152">
      <c r="A46" s="167">
        <f>E46&amp;F46</f>
        <v/>
      </c>
      <c r="B46" s="156">
        <f>IF(D46&lt;&gt;"",C46,0)</f>
        <v/>
      </c>
      <c r="C46" s="156">
        <f>(M46/MAX(M:M)*$M$1)+(N46/MAX(N:N)*$N$1)+(O46/MAX(O:O)*$O$1)+(P46/MAX(P:P)*$P$1)+(Q46/MAX(Q:Q)*$Q$1)+(R46/MAX(R:R)*$R$1)</f>
        <v/>
      </c>
      <c r="D46" s="156">
        <f>IFERROR(VLOOKUP(A46,'Injury Report'!A:F,6,0),"")</f>
        <v/>
      </c>
      <c r="E46" s="156" t="inlineStr">
        <is>
          <t>Chris Jones</t>
        </is>
      </c>
      <c r="F46" s="156" t="inlineStr">
        <is>
          <t>KC</t>
        </is>
      </c>
      <c r="G46" s="156" t="inlineStr">
        <is>
          <t>LB</t>
        </is>
      </c>
      <c r="H46" s="156" t="n">
        <v>17</v>
      </c>
      <c r="I46" s="156" t="n">
        <v>796</v>
      </c>
      <c r="J46" s="156" t="n">
        <v>22</v>
      </c>
      <c r="K46" s="156" t="n">
        <v>15</v>
      </c>
      <c r="L46" s="156">
        <f>SUM(K46,J46)</f>
        <v/>
      </c>
      <c r="M46" s="156" t="n">
        <v>6.5</v>
      </c>
      <c r="N46" s="156" t="n">
        <v>0</v>
      </c>
      <c r="O46" s="156" t="n">
        <v>0</v>
      </c>
      <c r="P46" s="156" t="n">
        <v>0</v>
      </c>
      <c r="Q46" s="156" t="n">
        <v>0</v>
      </c>
      <c r="R46" s="156" t="n">
        <v>2</v>
      </c>
    </row>
    <row r="47" ht="15.6" customHeight="1" s="152">
      <c r="A47" s="167">
        <f>E47&amp;F47</f>
        <v/>
      </c>
      <c r="B47" s="156">
        <f>IF(D47&lt;&gt;"",C47,0)</f>
        <v/>
      </c>
      <c r="C47" s="156">
        <f>(M47/MAX(M:M)*$M$1)+(N47/MAX(N:N)*$N$1)+(O47/MAX(O:O)*$O$1)+(P47/MAX(P:P)*$P$1)+(Q47/MAX(Q:Q)*$Q$1)+(R47/MAX(R:R)*$R$1)</f>
        <v/>
      </c>
      <c r="D47" s="156">
        <f>IFERROR(VLOOKUP(A47,'Injury Report'!A:F,6,0),"")</f>
        <v/>
      </c>
      <c r="E47" s="156" t="inlineStr">
        <is>
          <t>Leonard Williams</t>
        </is>
      </c>
      <c r="F47" s="156" t="inlineStr">
        <is>
          <t>SEA</t>
        </is>
      </c>
      <c r="G47" s="156" t="inlineStr">
        <is>
          <t>LB</t>
        </is>
      </c>
      <c r="H47" s="156" t="n">
        <v>17</v>
      </c>
      <c r="I47" s="156" t="n">
        <v>712</v>
      </c>
      <c r="J47" s="156" t="n">
        <v>32</v>
      </c>
      <c r="K47" s="156" t="n">
        <v>25</v>
      </c>
      <c r="L47" s="156">
        <f>SUM(K47,J47)</f>
        <v/>
      </c>
      <c r="M47" s="156" t="n">
        <v>7.5</v>
      </c>
      <c r="N47" s="156" t="n">
        <v>1</v>
      </c>
      <c r="O47" s="156" t="n">
        <v>0</v>
      </c>
      <c r="P47" s="156" t="n">
        <v>0</v>
      </c>
      <c r="Q47" s="156" t="n">
        <v>0</v>
      </c>
      <c r="R47" s="156" t="n">
        <v>2</v>
      </c>
    </row>
    <row r="48" ht="15.6" customHeight="1" s="152">
      <c r="A48" s="167">
        <f>E48&amp;F48</f>
        <v/>
      </c>
      <c r="B48" s="156">
        <f>IF(D48&lt;&gt;"",C48,0)</f>
        <v/>
      </c>
      <c r="C48" s="156">
        <f>(M48/MAX(M:M)*$M$1)+(N48/MAX(N:N)*$N$1)+(O48/MAX(O:O)*$O$1)+(P48/MAX(P:P)*$P$1)+(Q48/MAX(Q:Q)*$Q$1)+(R48/MAX(R:R)*$R$1)</f>
        <v/>
      </c>
      <c r="D48" s="156">
        <f>IFERROR(VLOOKUP(A48,'Injury Report'!A:F,6,0),"")</f>
        <v/>
      </c>
      <c r="E48" s="156" t="inlineStr">
        <is>
          <t>Josh Sweat</t>
        </is>
      </c>
      <c r="F48" s="156" t="inlineStr">
        <is>
          <t>ARI</t>
        </is>
      </c>
      <c r="G48" s="156" t="inlineStr">
        <is>
          <t>LB</t>
        </is>
      </c>
      <c r="H48" s="156" t="n">
        <v>17</v>
      </c>
      <c r="I48" s="156" t="n">
        <v>710</v>
      </c>
      <c r="J48" s="156" t="n">
        <v>29</v>
      </c>
      <c r="K48" s="156" t="n">
        <v>15</v>
      </c>
      <c r="L48" s="156">
        <f>SUM(K48,J48)</f>
        <v/>
      </c>
      <c r="M48" s="156" t="n">
        <v>8</v>
      </c>
      <c r="N48" s="156" t="n">
        <v>1</v>
      </c>
      <c r="O48" s="156" t="n">
        <v>0</v>
      </c>
      <c r="P48" s="156" t="n">
        <v>0</v>
      </c>
      <c r="Q48" s="156" t="n">
        <v>0</v>
      </c>
      <c r="R48" s="156" t="n">
        <v>1</v>
      </c>
    </row>
    <row r="49" ht="15.6" customHeight="1" s="152">
      <c r="A49" s="167">
        <f>E49&amp;F49</f>
        <v/>
      </c>
      <c r="B49" s="156">
        <f>IF(D49&lt;&gt;"",C49,0)</f>
        <v/>
      </c>
      <c r="C49" s="156">
        <f>(M49/MAX(M:M)*$M$1)+(N49/MAX(N:N)*$N$1)+(O49/MAX(O:O)*$O$1)+(P49/MAX(P:P)*$P$1)+(Q49/MAX(Q:Q)*$Q$1)+(R49/MAX(R:R)*$R$1)</f>
        <v/>
      </c>
      <c r="D49" s="156">
        <f>IFERROR(VLOOKUP(A49,'Injury Report'!A:F,6,0),"")</f>
        <v/>
      </c>
      <c r="E49" s="156" t="inlineStr">
        <is>
          <t>Rashan Gary</t>
        </is>
      </c>
      <c r="F49" s="156" t="inlineStr">
        <is>
          <t>GB</t>
        </is>
      </c>
      <c r="G49" s="156" t="inlineStr">
        <is>
          <t>S</t>
        </is>
      </c>
      <c r="H49" s="156" t="n">
        <v>17</v>
      </c>
      <c r="I49" s="156" t="n">
        <v>1039</v>
      </c>
      <c r="J49" s="156" t="n">
        <v>25</v>
      </c>
      <c r="K49" s="156" t="n">
        <v>21</v>
      </c>
      <c r="L49" s="156">
        <f>SUM(K49,J49)</f>
        <v/>
      </c>
      <c r="M49" s="156" t="n">
        <v>5</v>
      </c>
      <c r="N49" s="156" t="n">
        <v>0</v>
      </c>
      <c r="O49" s="156" t="n">
        <v>0</v>
      </c>
      <c r="P49" s="156" t="n">
        <v>0</v>
      </c>
      <c r="Q49" s="156" t="n">
        <v>0</v>
      </c>
      <c r="R49" s="156" t="n">
        <v>6</v>
      </c>
    </row>
    <row r="50" ht="15.6" customHeight="1" s="152">
      <c r="A50" s="167">
        <f>E50&amp;F50</f>
        <v/>
      </c>
      <c r="B50" s="156">
        <f>IF(D50&lt;&gt;"",C50,0)</f>
        <v/>
      </c>
      <c r="C50" s="156">
        <f>(M50/MAX(M:M)*$M$1)+(N50/MAX(N:N)*$N$1)+(O50/MAX(O:O)*$O$1)+(P50/MAX(P:P)*$P$1)+(Q50/MAX(Q:Q)*$Q$1)+(R50/MAX(R:R)*$R$1)</f>
        <v/>
      </c>
      <c r="D50" s="156">
        <f>IFERROR(VLOOKUP(A50,'Injury Report'!A:F,6,0),"")</f>
        <v/>
      </c>
      <c r="E50" s="156" t="inlineStr">
        <is>
          <t>Cameron Heyward</t>
        </is>
      </c>
      <c r="F50" s="156" t="inlineStr">
        <is>
          <t>PIT</t>
        </is>
      </c>
      <c r="G50" s="156" t="inlineStr">
        <is>
          <t>S</t>
        </is>
      </c>
      <c r="H50" s="156" t="n">
        <v>17</v>
      </c>
      <c r="I50" s="156" t="n">
        <v>938</v>
      </c>
      <c r="J50" s="156" t="n">
        <v>30</v>
      </c>
      <c r="K50" s="156" t="n">
        <v>30</v>
      </c>
      <c r="L50" s="156">
        <f>SUM(K50,J50)</f>
        <v/>
      </c>
      <c r="M50" s="156" t="n">
        <v>8</v>
      </c>
      <c r="N50" s="156" t="n">
        <v>2</v>
      </c>
      <c r="O50" s="156" t="n">
        <v>0</v>
      </c>
      <c r="P50" s="156" t="n">
        <v>0</v>
      </c>
      <c r="Q50" s="156" t="n">
        <v>0</v>
      </c>
      <c r="R50" s="156" t="n">
        <v>1</v>
      </c>
    </row>
    <row r="51" ht="15.6" customHeight="1" s="152">
      <c r="A51" s="167">
        <f>E51&amp;F51</f>
        <v/>
      </c>
      <c r="B51" s="156">
        <f>IF(D51&lt;&gt;"",C51,0)</f>
        <v/>
      </c>
      <c r="C51" s="156">
        <f>(M51/MAX(M:M)*$M$1)+(N51/MAX(N:N)*$N$1)+(O51/MAX(O:O)*$O$1)+(P51/MAX(P:P)*$P$1)+(Q51/MAX(Q:Q)*$Q$1)+(R51/MAX(R:R)*$R$1)</f>
        <v/>
      </c>
      <c r="D51" s="156">
        <f>IFERROR(VLOOKUP(A51,'Injury Report'!A:F,6,0),"")</f>
        <v/>
      </c>
      <c r="E51" s="156" t="inlineStr">
        <is>
          <t>Odafe Oweh</t>
        </is>
      </c>
      <c r="F51" s="156" t="inlineStr">
        <is>
          <t>BAL</t>
        </is>
      </c>
      <c r="G51" s="156" t="inlineStr">
        <is>
          <t>LB</t>
        </is>
      </c>
      <c r="H51" s="156" t="n">
        <v>17</v>
      </c>
      <c r="I51" s="156" t="n">
        <v>711</v>
      </c>
      <c r="J51" s="156" t="n">
        <v>25</v>
      </c>
      <c r="K51" s="156" t="n">
        <v>12</v>
      </c>
      <c r="L51" s="156">
        <f>SUM(K51,J51)</f>
        <v/>
      </c>
      <c r="M51" s="156" t="n">
        <v>7</v>
      </c>
      <c r="N51" s="156" t="n">
        <v>1</v>
      </c>
      <c r="O51" s="156" t="n">
        <v>0</v>
      </c>
      <c r="P51" s="156" t="n">
        <v>0</v>
      </c>
      <c r="Q51" s="156" t="n">
        <v>0</v>
      </c>
      <c r="R51" s="156" t="n">
        <v>1</v>
      </c>
    </row>
    <row r="52" ht="15.6" customHeight="1" s="152">
      <c r="A52" s="167">
        <f>E52&amp;F52</f>
        <v/>
      </c>
      <c r="B52" s="156">
        <f>IF(D52&lt;&gt;"",C52,0)</f>
        <v/>
      </c>
      <c r="C52" s="156">
        <f>(M52/MAX(M:M)*$M$1)+(N52/MAX(N:N)*$N$1)+(O52/MAX(O:O)*$O$1)+(P52/MAX(P:P)*$P$1)+(Q52/MAX(Q:Q)*$Q$1)+(R52/MAX(R:R)*$R$1)</f>
        <v/>
      </c>
      <c r="D52" s="156">
        <f>IFERROR(VLOOKUP(A52,'Injury Report'!A:F,6,0),"")</f>
        <v/>
      </c>
      <c r="E52" s="156" t="inlineStr">
        <is>
          <t>Kwity Paye</t>
        </is>
      </c>
      <c r="F52" s="156" t="inlineStr">
        <is>
          <t>IND</t>
        </is>
      </c>
      <c r="G52" s="156" t="inlineStr">
        <is>
          <t>S</t>
        </is>
      </c>
      <c r="H52" s="156" t="n">
        <v>17</v>
      </c>
      <c r="I52" s="156" t="n">
        <v>1050</v>
      </c>
      <c r="J52" s="156" t="n">
        <v>30</v>
      </c>
      <c r="K52" s="156" t="n">
        <v>14</v>
      </c>
      <c r="L52" s="156">
        <f>SUM(K52,J52)</f>
        <v/>
      </c>
      <c r="M52" s="156" t="n">
        <v>2</v>
      </c>
      <c r="N52" s="156" t="n">
        <v>1</v>
      </c>
      <c r="O52" s="156" t="n">
        <v>0</v>
      </c>
      <c r="P52" s="156" t="n">
        <v>0</v>
      </c>
      <c r="Q52" s="156" t="n">
        <v>1</v>
      </c>
      <c r="R52" s="156" t="n">
        <v>1</v>
      </c>
    </row>
    <row r="53" ht="15.6" customHeight="1" s="152">
      <c r="A53" s="167">
        <f>E53&amp;F53</f>
        <v/>
      </c>
      <c r="B53" s="156">
        <f>IF(D53&lt;&gt;"",C53,0)</f>
        <v/>
      </c>
      <c r="C53" s="156">
        <f>(M53/MAX(M:M)*$M$1)+(N53/MAX(N:N)*$N$1)+(O53/MAX(O:O)*$O$1)+(P53/MAX(P:P)*$P$1)+(Q53/MAX(Q:Q)*$Q$1)+(R53/MAX(R:R)*$R$1)</f>
        <v/>
      </c>
      <c r="D53" s="156">
        <f>IFERROR(VLOOKUP(A53,'Injury Report'!A:F,6,0),"")</f>
        <v/>
      </c>
      <c r="E53" s="156" t="inlineStr">
        <is>
          <t>Anfernee Jennings</t>
        </is>
      </c>
      <c r="F53" s="156" t="inlineStr">
        <is>
          <t>NE</t>
        </is>
      </c>
      <c r="G53" s="156" t="inlineStr">
        <is>
          <t>CB</t>
        </is>
      </c>
      <c r="H53" s="156" t="n">
        <v>17</v>
      </c>
      <c r="I53" s="156" t="n">
        <v>1104</v>
      </c>
      <c r="J53" s="156" t="n">
        <v>44</v>
      </c>
      <c r="K53" s="156" t="n">
        <v>26</v>
      </c>
      <c r="L53" s="156">
        <f>SUM(K53,J53)</f>
        <v/>
      </c>
      <c r="M53" s="156" t="n">
        <v>7</v>
      </c>
      <c r="N53" s="156" t="n">
        <v>1</v>
      </c>
      <c r="O53" s="156" t="n">
        <v>0</v>
      </c>
      <c r="P53" s="156" t="n">
        <v>0</v>
      </c>
      <c r="Q53" s="156" t="n">
        <v>0</v>
      </c>
      <c r="R53" s="156" t="n">
        <v>3</v>
      </c>
    </row>
    <row r="54" ht="15.6" customHeight="1" s="152">
      <c r="A54" s="167">
        <f>E54&amp;F54</f>
        <v/>
      </c>
      <c r="B54" s="156">
        <f>IF(D54&lt;&gt;"",C54,0)</f>
        <v/>
      </c>
      <c r="C54" s="156">
        <f>(M54/MAX(M:M)*$M$1)+(N54/MAX(N:N)*$N$1)+(O54/MAX(O:O)*$O$1)+(P54/MAX(P:P)*$P$1)+(Q54/MAX(Q:Q)*$Q$1)+(R54/MAX(R:R)*$R$1)</f>
        <v/>
      </c>
      <c r="D54" s="156">
        <f>IFERROR(VLOOKUP(A54,'Injury Report'!A:F,6,0),"")</f>
        <v/>
      </c>
      <c r="E54" s="156" t="inlineStr">
        <is>
          <t>Chop Robinson</t>
        </is>
      </c>
      <c r="F54" s="156" t="inlineStr">
        <is>
          <t>MIA</t>
        </is>
      </c>
      <c r="G54" s="156" t="inlineStr">
        <is>
          <t>LB</t>
        </is>
      </c>
      <c r="H54" s="156" t="n">
        <v>17</v>
      </c>
      <c r="I54" s="156" t="n">
        <v>1005</v>
      </c>
      <c r="J54" s="156" t="n">
        <v>25</v>
      </c>
      <c r="K54" s="156" t="n">
        <v>18</v>
      </c>
      <c r="L54" s="156">
        <f>SUM(K54,J54)</f>
        <v/>
      </c>
      <c r="M54" s="156" t="n">
        <v>6.5</v>
      </c>
      <c r="N54" s="156" t="n">
        <v>1</v>
      </c>
      <c r="O54" s="156" t="n">
        <v>0</v>
      </c>
      <c r="P54" s="156" t="n">
        <v>0</v>
      </c>
      <c r="Q54" s="156" t="n">
        <v>0</v>
      </c>
      <c r="R54" s="156" t="n">
        <v>3</v>
      </c>
    </row>
    <row r="55" ht="15.6" customHeight="1" s="152">
      <c r="A55" s="167">
        <f>E55&amp;F55</f>
        <v/>
      </c>
      <c r="B55" s="156">
        <f>IF(D55&lt;&gt;"",C55,0)</f>
        <v/>
      </c>
      <c r="C55" s="156">
        <f>(M55/MAX(M:M)*$M$1)+(N55/MAX(N:N)*$N$1)+(O55/MAX(O:O)*$O$1)+(P55/MAX(P:P)*$P$1)+(Q55/MAX(Q:Q)*$Q$1)+(R55/MAX(R:R)*$R$1)</f>
        <v/>
      </c>
      <c r="D55" s="156">
        <f>IFERROR(VLOOKUP(A55,'Injury Report'!A:F,6,0),"")</f>
        <v/>
      </c>
      <c r="E55" s="156" t="inlineStr">
        <is>
          <t>Boye Mafe</t>
        </is>
      </c>
      <c r="F55" s="156" t="inlineStr">
        <is>
          <t>SEA</t>
        </is>
      </c>
      <c r="G55" s="156" t="inlineStr">
        <is>
          <t>CB</t>
        </is>
      </c>
      <c r="H55" s="156" t="n">
        <v>17</v>
      </c>
      <c r="I55" s="156" t="n">
        <v>1039</v>
      </c>
      <c r="J55" s="156" t="n">
        <v>28</v>
      </c>
      <c r="K55" s="156" t="n">
        <v>15</v>
      </c>
      <c r="L55" s="156">
        <f>SUM(K55,J55)</f>
        <v/>
      </c>
      <c r="M55" s="156" t="n">
        <v>6</v>
      </c>
      <c r="N55" s="156" t="n">
        <v>2</v>
      </c>
      <c r="O55" s="156" t="n">
        <v>1</v>
      </c>
      <c r="P55" s="156" t="n">
        <v>0</v>
      </c>
      <c r="Q55" s="156" t="n">
        <v>0</v>
      </c>
      <c r="R55" s="156" t="n">
        <v>3</v>
      </c>
    </row>
    <row r="56" ht="15.6" customHeight="1" s="152">
      <c r="A56" s="167">
        <f>E56&amp;F56</f>
        <v/>
      </c>
      <c r="B56" s="156">
        <f>IF(D56&lt;&gt;"",C56,0)</f>
        <v/>
      </c>
      <c r="C56" s="156">
        <f>(M56/MAX(M:M)*$M$1)+(N56/MAX(N:N)*$N$1)+(O56/MAX(O:O)*$O$1)+(P56/MAX(P:P)*$P$1)+(Q56/MAX(Q:Q)*$Q$1)+(R56/MAX(R:R)*$R$1)</f>
        <v/>
      </c>
      <c r="D56" s="156">
        <f>IFERROR(VLOOKUP(A56,'Injury Report'!A:F,6,0),"")</f>
        <v/>
      </c>
      <c r="E56" s="156" t="inlineStr">
        <is>
          <t>Kayvon Thibodeaux</t>
        </is>
      </c>
      <c r="F56" s="156" t="inlineStr">
        <is>
          <t>NYG</t>
        </is>
      </c>
      <c r="G56" s="156" t="inlineStr">
        <is>
          <t>S</t>
        </is>
      </c>
      <c r="H56" s="156" t="n">
        <v>17</v>
      </c>
      <c r="I56" s="156" t="n">
        <v>908</v>
      </c>
      <c r="J56" s="156" t="n">
        <v>24</v>
      </c>
      <c r="K56" s="156" t="n">
        <v>17</v>
      </c>
      <c r="L56" s="156">
        <f>SUM(K56,J56)</f>
        <v/>
      </c>
      <c r="M56" s="156" t="n">
        <v>6</v>
      </c>
      <c r="N56" s="156" t="n">
        <v>1</v>
      </c>
      <c r="O56" s="156" t="n">
        <v>1</v>
      </c>
      <c r="P56" s="156" t="n">
        <v>0</v>
      </c>
      <c r="Q56" s="156" t="n">
        <v>0</v>
      </c>
      <c r="R56" s="156" t="n">
        <v>0</v>
      </c>
    </row>
    <row r="57" ht="15.6" customHeight="1" s="152">
      <c r="A57" s="167">
        <f>E57&amp;F57</f>
        <v/>
      </c>
      <c r="B57" s="156">
        <f>IF(D57&lt;&gt;"",C57,0)</f>
        <v/>
      </c>
      <c r="C57" s="156">
        <f>(M57/MAX(M:M)*$M$1)+(N57/MAX(N:N)*$N$1)+(O57/MAX(O:O)*$O$1)+(P57/MAX(P:P)*$P$1)+(Q57/MAX(Q:Q)*$Q$1)+(R57/MAX(R:R)*$R$1)</f>
        <v/>
      </c>
      <c r="D57" s="156">
        <f>IFERROR(VLOOKUP(A57,'Injury Report'!A:F,6,0),"")</f>
        <v/>
      </c>
      <c r="E57" s="156" t="inlineStr">
        <is>
          <t>YaYa Diaby</t>
        </is>
      </c>
      <c r="F57" s="156" t="inlineStr">
        <is>
          <t>TB</t>
        </is>
      </c>
      <c r="G57" s="156" t="inlineStr">
        <is>
          <t>S</t>
        </is>
      </c>
      <c r="H57" s="156" t="n">
        <v>17</v>
      </c>
      <c r="I57" s="156" t="n">
        <v>917</v>
      </c>
      <c r="J57" s="156" t="n">
        <v>31</v>
      </c>
      <c r="K57" s="156" t="n">
        <v>14</v>
      </c>
      <c r="L57" s="156">
        <f>SUM(K57,J57)</f>
        <v/>
      </c>
      <c r="M57" s="156" t="n">
        <v>6</v>
      </c>
      <c r="N57" s="156" t="n">
        <v>0</v>
      </c>
      <c r="O57" s="156" t="n">
        <v>0</v>
      </c>
      <c r="P57" s="156" t="n">
        <v>0</v>
      </c>
      <c r="Q57" s="156" t="n">
        <v>0</v>
      </c>
      <c r="R57" s="156" t="n">
        <v>2</v>
      </c>
    </row>
    <row r="58" ht="15.6" customHeight="1" s="152">
      <c r="A58" s="167">
        <f>E58&amp;F58</f>
        <v/>
      </c>
      <c r="B58" s="156">
        <f>IF(D58&lt;&gt;"",C58,0)</f>
        <v/>
      </c>
      <c r="C58" s="156">
        <f>(M58/MAX(M:M)*$M$1)+(N58/MAX(N:N)*$N$1)+(O58/MAX(O:O)*$O$1)+(P58/MAX(P:P)*$P$1)+(Q58/MAX(Q:Q)*$Q$1)+(R58/MAX(R:R)*$R$1)</f>
        <v/>
      </c>
      <c r="D58" s="156">
        <f>IFERROR(VLOOKUP(A58,'Injury Report'!A:F,6,0),"")</f>
        <v/>
      </c>
      <c r="E58" s="156" t="inlineStr">
        <is>
          <t>D.J. Wonnum</t>
        </is>
      </c>
      <c r="F58" s="156" t="inlineStr">
        <is>
          <t>CAR</t>
        </is>
      </c>
      <c r="G58" s="156" t="inlineStr">
        <is>
          <t>S</t>
        </is>
      </c>
      <c r="H58" s="156" t="n">
        <v>17</v>
      </c>
      <c r="I58" s="156" t="n">
        <v>754</v>
      </c>
      <c r="J58" s="156" t="n">
        <v>29</v>
      </c>
      <c r="K58" s="156" t="n">
        <v>23</v>
      </c>
      <c r="L58" s="156">
        <f>SUM(K58,J58)</f>
        <v/>
      </c>
      <c r="M58" s="156" t="n">
        <v>2</v>
      </c>
      <c r="N58" s="156" t="n">
        <v>3</v>
      </c>
      <c r="O58" s="156" t="n">
        <v>0</v>
      </c>
      <c r="P58" s="156" t="n">
        <v>1</v>
      </c>
      <c r="Q58" s="156" t="n">
        <v>0</v>
      </c>
      <c r="R58" s="156" t="n">
        <v>6</v>
      </c>
    </row>
    <row r="59" ht="15.6" customHeight="1" s="152">
      <c r="A59" s="167">
        <f>E59&amp;F59</f>
        <v/>
      </c>
      <c r="B59" s="156">
        <f>IF(D59&lt;&gt;"",C59,0)</f>
        <v/>
      </c>
      <c r="C59" s="156">
        <f>(M59/MAX(M:M)*$M$1)+(N59/MAX(N:N)*$N$1)+(O59/MAX(O:O)*$O$1)+(P59/MAX(P:P)*$P$1)+(Q59/MAX(Q:Q)*$Q$1)+(R59/MAX(R:R)*$R$1)</f>
        <v/>
      </c>
      <c r="D59" s="156">
        <f>IFERROR(VLOOKUP(A59,'Injury Report'!A:F,6,0),"")</f>
        <v/>
      </c>
      <c r="E59" s="156" t="inlineStr">
        <is>
          <t>Zaire Franklin</t>
        </is>
      </c>
      <c r="F59" s="156" t="inlineStr">
        <is>
          <t>IND</t>
        </is>
      </c>
      <c r="G59" s="156" t="inlineStr">
        <is>
          <t>LB</t>
        </is>
      </c>
      <c r="H59" s="156" t="n">
        <v>17</v>
      </c>
      <c r="I59" s="156" t="n">
        <v>753</v>
      </c>
      <c r="J59" s="156" t="n">
        <v>92</v>
      </c>
      <c r="K59" s="156" t="n">
        <v>70</v>
      </c>
      <c r="L59" s="156">
        <f>SUM(K59,J59)</f>
        <v/>
      </c>
      <c r="M59" s="156" t="n">
        <v>2.2</v>
      </c>
      <c r="N59" s="156" t="n">
        <v>3</v>
      </c>
      <c r="O59" s="156" t="n">
        <v>1</v>
      </c>
      <c r="P59" s="156" t="n">
        <v>1</v>
      </c>
      <c r="Q59" s="156" t="n">
        <v>0</v>
      </c>
      <c r="R59" s="156" t="n">
        <v>3</v>
      </c>
    </row>
    <row r="60" ht="15.6" customHeight="1" s="152">
      <c r="A60" s="167">
        <f>E60&amp;F60</f>
        <v/>
      </c>
      <c r="B60" s="156">
        <f>IF(D60&lt;&gt;"",C60,0)</f>
        <v/>
      </c>
      <c r="C60" s="156">
        <f>(M60/MAX(M:M)*$M$1)+(N60/MAX(N:N)*$N$1)+(O60/MAX(O:O)*$O$1)+(P60/MAX(P:P)*$P$1)+(Q60/MAX(Q:Q)*$Q$1)+(R60/MAX(R:R)*$R$1)</f>
        <v/>
      </c>
      <c r="D60" s="156">
        <f>IFERROR(VLOOKUP(A60,'Injury Report'!A:F,6,0),"")</f>
        <v/>
      </c>
      <c r="E60" s="156" t="inlineStr">
        <is>
          <t>Zack Baun</t>
        </is>
      </c>
      <c r="F60" s="156" t="inlineStr">
        <is>
          <t>PHI</t>
        </is>
      </c>
      <c r="G60" s="156" t="inlineStr">
        <is>
          <t>LB</t>
        </is>
      </c>
      <c r="H60" s="156" t="n">
        <v>17</v>
      </c>
      <c r="I60" s="156" t="n">
        <v>663</v>
      </c>
      <c r="J60" s="156" t="n">
        <v>89</v>
      </c>
      <c r="K60" s="156" t="n">
        <v>59</v>
      </c>
      <c r="L60" s="156">
        <f>SUM(K60,J60)</f>
        <v/>
      </c>
      <c r="M60" s="156" t="n">
        <v>1.2</v>
      </c>
      <c r="N60" s="156" t="n">
        <v>3</v>
      </c>
      <c r="O60" s="156" t="n">
        <v>1</v>
      </c>
      <c r="P60" s="156" t="n">
        <v>2</v>
      </c>
      <c r="Q60" s="156" t="n">
        <v>0</v>
      </c>
      <c r="R60" s="156" t="n">
        <v>8</v>
      </c>
    </row>
    <row r="61" ht="15.6" customHeight="1" s="152">
      <c r="A61" s="167">
        <f>E61&amp;F61</f>
        <v/>
      </c>
      <c r="B61" s="156">
        <f>IF(D61&lt;&gt;"",C61,0)</f>
        <v/>
      </c>
      <c r="C61" s="156">
        <f>(M61/MAX(M:M)*$M$1)+(N61/MAX(N:N)*$N$1)+(O61/MAX(O:O)*$O$1)+(P61/MAX(P:P)*$P$1)+(Q61/MAX(Q:Q)*$Q$1)+(R61/MAX(R:R)*$R$1)</f>
        <v/>
      </c>
      <c r="D61" s="156">
        <f>IFERROR(VLOOKUP(A61,'Injury Report'!A:F,6,0),"")</f>
        <v/>
      </c>
      <c r="E61" s="156" t="inlineStr">
        <is>
          <t>Fred Warner</t>
        </is>
      </c>
      <c r="F61" s="156" t="inlineStr">
        <is>
          <t>SF</t>
        </is>
      </c>
      <c r="G61" s="156" t="inlineStr">
        <is>
          <t>S</t>
        </is>
      </c>
      <c r="H61" s="156" t="n">
        <v>17</v>
      </c>
      <c r="I61" s="156" t="n">
        <v>981</v>
      </c>
      <c r="J61" s="156" t="n">
        <v>81</v>
      </c>
      <c r="K61" s="156" t="n">
        <v>53</v>
      </c>
      <c r="L61" s="156">
        <f>SUM(K61,J61)</f>
        <v/>
      </c>
      <c r="M61" s="156" t="n">
        <v>2.5</v>
      </c>
      <c r="N61" s="156" t="n">
        <v>1</v>
      </c>
      <c r="O61" s="156" t="n">
        <v>0</v>
      </c>
      <c r="P61" s="156" t="n">
        <v>1</v>
      </c>
      <c r="Q61" s="156" t="n">
        <v>0</v>
      </c>
      <c r="R61" s="156" t="n">
        <v>5</v>
      </c>
    </row>
    <row r="62" ht="15.6" customHeight="1" s="152">
      <c r="A62" s="167">
        <f>E62&amp;F62</f>
        <v/>
      </c>
      <c r="B62" s="156">
        <f>IF(D62&lt;&gt;"",C62,0)</f>
        <v/>
      </c>
      <c r="C62" s="156">
        <f>(M62/MAX(M:M)*$M$1)+(N62/MAX(N:N)*$N$1)+(O62/MAX(O:O)*$O$1)+(P62/MAX(P:P)*$P$1)+(Q62/MAX(Q:Q)*$Q$1)+(R62/MAX(R:R)*$R$1)</f>
        <v/>
      </c>
      <c r="D62" s="156">
        <f>IFERROR(VLOOKUP(A62,'Injury Report'!A:F,6,0),"")</f>
        <v/>
      </c>
      <c r="E62" s="156" t="inlineStr">
        <is>
          <t>Robert Spillane</t>
        </is>
      </c>
      <c r="F62" s="156" t="inlineStr">
        <is>
          <t>NE</t>
        </is>
      </c>
      <c r="G62" s="156" t="inlineStr">
        <is>
          <t>S</t>
        </is>
      </c>
      <c r="H62" s="156" t="n">
        <v>17</v>
      </c>
      <c r="I62" s="156" t="n">
        <v>1025</v>
      </c>
      <c r="J62" s="156" t="n">
        <v>85</v>
      </c>
      <c r="K62" s="156" t="n">
        <v>66</v>
      </c>
      <c r="L62" s="156">
        <f>SUM(K62,J62)</f>
        <v/>
      </c>
      <c r="M62" s="156" t="n">
        <v>1.4</v>
      </c>
      <c r="N62" s="156" t="n">
        <v>1</v>
      </c>
      <c r="O62" s="156" t="n">
        <v>0</v>
      </c>
      <c r="P62" s="156" t="n">
        <v>1</v>
      </c>
      <c r="Q62" s="156" t="n">
        <v>0</v>
      </c>
      <c r="R62" s="156" t="n">
        <v>5</v>
      </c>
    </row>
    <row r="63" ht="15.6" customHeight="1" s="152">
      <c r="A63" s="167">
        <f>E63&amp;F63</f>
        <v/>
      </c>
      <c r="B63" s="156">
        <f>IF(D63&lt;&gt;"",C63,0)</f>
        <v/>
      </c>
      <c r="C63" s="156">
        <f>(M63/MAX(M:M)*$M$1)+(N63/MAX(N:N)*$N$1)+(O63/MAX(O:O)*$O$1)+(P63/MAX(P:P)*$P$1)+(Q63/MAX(Q:Q)*$Q$1)+(R63/MAX(R:R)*$R$1)</f>
        <v/>
      </c>
      <c r="D63" s="156">
        <f>IFERROR(VLOOKUP(A63,'Injury Report'!A:F,6,0),"")</f>
        <v/>
      </c>
      <c r="E63" s="156" t="inlineStr">
        <is>
          <t>Roquan Smith</t>
        </is>
      </c>
      <c r="F63" s="156" t="inlineStr">
        <is>
          <t>BAL</t>
        </is>
      </c>
      <c r="G63" s="156" t="inlineStr">
        <is>
          <t>LB</t>
        </is>
      </c>
      <c r="H63" s="156" t="n">
        <v>17</v>
      </c>
      <c r="I63" s="156" t="n">
        <v>774</v>
      </c>
      <c r="J63" s="156" t="n">
        <v>83</v>
      </c>
      <c r="K63" s="156" t="n">
        <v>74</v>
      </c>
      <c r="L63" s="156" t="n">
        <v>1</v>
      </c>
      <c r="M63" s="156" t="n">
        <v>2.8</v>
      </c>
      <c r="N63" s="156" t="n">
        <v>1</v>
      </c>
      <c r="O63" s="156" t="n">
        <v>1</v>
      </c>
      <c r="P63" s="156" t="n">
        <v>1</v>
      </c>
      <c r="Q63" s="156" t="n">
        <v>0</v>
      </c>
      <c r="R63" s="156" t="n">
        <v>4</v>
      </c>
    </row>
    <row r="64" ht="15.6" customHeight="1" s="152">
      <c r="A64" s="167">
        <f>E64&amp;F64</f>
        <v/>
      </c>
      <c r="B64" s="156">
        <f>IF(D64&lt;&gt;"",C64,0)</f>
        <v/>
      </c>
      <c r="C64" s="156">
        <f>(M64/MAX(M:M)*$M$1)+(N64/MAX(N:N)*$N$1)+(O64/MAX(O:O)*$O$1)+(P64/MAX(P:P)*$P$1)+(Q64/MAX(Q:Q)*$Q$1)+(R64/MAX(R:R)*$R$1)</f>
        <v/>
      </c>
      <c r="D64" s="156">
        <f>IFERROR(VLOOKUP(A64,'Injury Report'!A:F,6,0),"")</f>
        <v/>
      </c>
      <c r="E64" s="156" t="inlineStr">
        <is>
          <t>T.J. Edwards</t>
        </is>
      </c>
      <c r="F64" s="156" t="inlineStr">
        <is>
          <t>CHI</t>
        </is>
      </c>
      <c r="G64" s="156" t="inlineStr">
        <is>
          <t>LB</t>
        </is>
      </c>
      <c r="H64" s="156" t="n">
        <v>17</v>
      </c>
      <c r="I64" s="156" t="n">
        <v>760</v>
      </c>
      <c r="J64" s="156" t="n">
        <v>83</v>
      </c>
      <c r="K64" s="156" t="n">
        <v>58</v>
      </c>
      <c r="L64" s="156">
        <f>SUM(K64,J64)</f>
        <v/>
      </c>
      <c r="M64" s="156" t="n">
        <v>1.4</v>
      </c>
      <c r="N64" s="156" t="n">
        <v>3</v>
      </c>
      <c r="O64" s="156" t="n">
        <v>1</v>
      </c>
      <c r="P64" s="156" t="n">
        <v>1</v>
      </c>
      <c r="Q64" s="156" t="n">
        <v>0</v>
      </c>
      <c r="R64" s="156" t="n">
        <v>6</v>
      </c>
    </row>
    <row r="65" ht="15.6" customHeight="1" s="152">
      <c r="A65" s="167">
        <f>E65&amp;F65</f>
        <v/>
      </c>
      <c r="B65" s="156">
        <f>IF(D65&lt;&gt;"",C65,0)</f>
        <v/>
      </c>
      <c r="C65" s="156">
        <f>(M65/MAX(M:M)*$M$1)+(N65/MAX(N:N)*$N$1)+(O65/MAX(O:O)*$O$1)+(P65/MAX(P:P)*$P$1)+(Q65/MAX(Q:Q)*$Q$1)+(R65/MAX(R:R)*$R$1)</f>
        <v/>
      </c>
      <c r="D65" s="156">
        <f>IFERROR(VLOOKUP(A65,'Injury Report'!A:F,6,0),"")</f>
        <v/>
      </c>
      <c r="E65" s="156" t="inlineStr">
        <is>
          <t>Bobby Okereke</t>
        </is>
      </c>
      <c r="F65" s="156" t="inlineStr">
        <is>
          <t>NYG</t>
        </is>
      </c>
      <c r="G65" s="156" t="inlineStr">
        <is>
          <t>LB</t>
        </is>
      </c>
      <c r="H65" s="156" t="n">
        <v>17</v>
      </c>
      <c r="I65" s="156" t="n">
        <v>618</v>
      </c>
      <c r="J65" s="156" t="n">
        <v>5</v>
      </c>
      <c r="K65" s="156" t="n">
        <v>8</v>
      </c>
      <c r="L65" s="156" t="n">
        <v>1</v>
      </c>
      <c r="M65" s="156" t="n">
        <v>0</v>
      </c>
      <c r="N65" s="156" t="n">
        <v>0</v>
      </c>
      <c r="O65" s="156" t="n">
        <v>0</v>
      </c>
      <c r="P65" s="156" t="n">
        <v>0</v>
      </c>
      <c r="Q65" s="156" t="n">
        <v>0</v>
      </c>
      <c r="R65" s="156" t="n">
        <v>1</v>
      </c>
    </row>
    <row r="66" ht="15.6" customHeight="1" s="152">
      <c r="A66" s="167">
        <f>E66&amp;F66</f>
        <v/>
      </c>
      <c r="B66" s="156">
        <f>IF(D66&lt;&gt;"",C66,0)</f>
        <v/>
      </c>
      <c r="C66" s="156">
        <f>(M66/MAX(M:M)*$M$1)+(N66/MAX(N:N)*$N$1)+(O66/MAX(O:O)*$O$1)+(P66/MAX(P:P)*$P$1)+(Q66/MAX(Q:Q)*$Q$1)+(R66/MAX(R:R)*$R$1)</f>
        <v/>
      </c>
      <c r="D66" s="156">
        <f>IFERROR(VLOOKUP(A66,'Injury Report'!A:F,6,0),"")</f>
        <v/>
      </c>
      <c r="E66" s="156" t="inlineStr">
        <is>
          <t>Lavonte David</t>
        </is>
      </c>
      <c r="F66" s="156" t="inlineStr">
        <is>
          <t>TB</t>
        </is>
      </c>
      <c r="G66" s="156" t="inlineStr">
        <is>
          <t>S</t>
        </is>
      </c>
      <c r="H66" s="156" t="n">
        <v>17</v>
      </c>
      <c r="I66" s="156" t="n">
        <v>934</v>
      </c>
      <c r="J66" s="156" t="n">
        <v>79</v>
      </c>
      <c r="K66" s="156" t="n">
        <v>46</v>
      </c>
      <c r="L66" s="156">
        <f>SUM(K66,J66)</f>
        <v/>
      </c>
      <c r="M66" s="156" t="n">
        <v>4.1</v>
      </c>
      <c r="N66" s="156" t="n">
        <v>1</v>
      </c>
      <c r="O66" s="156" t="n">
        <v>0</v>
      </c>
      <c r="P66" s="156" t="n">
        <v>1</v>
      </c>
      <c r="Q66" s="156" t="n">
        <v>0</v>
      </c>
      <c r="R66" s="156" t="n">
        <v>2</v>
      </c>
    </row>
    <row r="67" ht="15.6" customHeight="1" s="152">
      <c r="A67" s="167">
        <f>E67&amp;F67</f>
        <v/>
      </c>
      <c r="B67" s="156">
        <f>IF(D67&lt;&gt;"",C67,0)</f>
        <v/>
      </c>
      <c r="C67" s="156">
        <f>(M67/MAX(M:M)*$M$1)+(N67/MAX(N:N)*$N$1)+(O67/MAX(O:O)*$O$1)+(P67/MAX(P:P)*$P$1)+(Q67/MAX(Q:Q)*$Q$1)+(R67/MAX(R:R)*$R$1)</f>
        <v/>
      </c>
      <c r="D67" s="156">
        <f>IFERROR(VLOOKUP(A67,'Injury Report'!A:F,6,0),"")</f>
        <v/>
      </c>
      <c r="E67" s="156" t="inlineStr">
        <is>
          <t>Kaden Elliss</t>
        </is>
      </c>
      <c r="F67" s="156" t="inlineStr">
        <is>
          <t>ATL</t>
        </is>
      </c>
      <c r="G67" s="156" t="inlineStr">
        <is>
          <t>LB</t>
        </is>
      </c>
      <c r="H67" s="156" t="n">
        <v>17</v>
      </c>
      <c r="I67" s="156" t="n">
        <v>702</v>
      </c>
      <c r="J67" s="156" t="n">
        <v>81</v>
      </c>
      <c r="K67" s="156" t="n">
        <v>53</v>
      </c>
      <c r="L67" s="156">
        <f>SUM(K67,J67)</f>
        <v/>
      </c>
      <c r="M67" s="156" t="n">
        <v>1.1</v>
      </c>
      <c r="N67" s="156" t="n">
        <v>1</v>
      </c>
      <c r="O67" s="156" t="n">
        <v>0</v>
      </c>
      <c r="P67" s="156" t="n">
        <v>1</v>
      </c>
      <c r="Q67" s="156" t="n">
        <v>0</v>
      </c>
      <c r="R67" s="156" t="n">
        <v>5</v>
      </c>
    </row>
    <row r="68" ht="15.6" customHeight="1" s="152">
      <c r="A68" s="167">
        <f>E68&amp;F68</f>
        <v/>
      </c>
      <c r="B68" s="156">
        <f>IF(D68&lt;&gt;"",C68,0)</f>
        <v/>
      </c>
      <c r="C68" s="156">
        <f>(M68/MAX(M:M)*$M$1)+(N68/MAX(N:N)*$N$1)+(O68/MAX(O:O)*$O$1)+(P68/MAX(P:P)*$P$1)+(Q68/MAX(Q:Q)*$Q$1)+(R68/MAX(R:R)*$R$1)</f>
        <v/>
      </c>
      <c r="D68" s="156">
        <f>IFERROR(VLOOKUP(A68,'Injury Report'!A:F,6,0),"")</f>
        <v/>
      </c>
      <c r="E68" s="156" t="inlineStr">
        <is>
          <t>Ernest Jones</t>
        </is>
      </c>
      <c r="F68" s="156" t="inlineStr">
        <is>
          <t>SEA</t>
        </is>
      </c>
      <c r="G68" s="156" t="inlineStr">
        <is>
          <t>CB</t>
        </is>
      </c>
      <c r="H68" s="156" t="n">
        <v>17</v>
      </c>
      <c r="I68" s="156" t="n">
        <v>930</v>
      </c>
      <c r="J68" s="156" t="n">
        <v>84</v>
      </c>
      <c r="K68" s="156" t="n">
        <v>63</v>
      </c>
      <c r="L68" s="156">
        <f>SUM(K68,J68)</f>
        <v/>
      </c>
      <c r="M68" s="156" t="n">
        <v>2.1</v>
      </c>
      <c r="N68" s="156" t="n">
        <v>1</v>
      </c>
      <c r="O68" s="156" t="n">
        <v>0</v>
      </c>
      <c r="P68" s="156" t="n">
        <v>2</v>
      </c>
      <c r="Q68" s="156" t="n">
        <v>0</v>
      </c>
      <c r="R68" s="156" t="n">
        <v>4</v>
      </c>
    </row>
    <row r="69" ht="15.6" customHeight="1" s="152">
      <c r="A69" s="167">
        <f>E69&amp;F69</f>
        <v/>
      </c>
      <c r="B69" s="156">
        <f>IF(D69&lt;&gt;"",C69,0)</f>
        <v/>
      </c>
      <c r="C69" s="156">
        <f>(M69/MAX(M:M)*$M$1)+(N69/MAX(N:N)*$N$1)+(O69/MAX(O:O)*$O$1)+(P69/MAX(P:P)*$P$1)+(Q69/MAX(Q:Q)*$Q$1)+(R69/MAX(R:R)*$R$1)</f>
        <v/>
      </c>
      <c r="D69" s="156">
        <f>IFERROR(VLOOKUP(A69,'Injury Report'!A:F,6,0),"")</f>
        <v/>
      </c>
      <c r="E69" s="156" t="inlineStr">
        <is>
          <t>Terrel Bernard</t>
        </is>
      </c>
      <c r="F69" s="156" t="inlineStr">
        <is>
          <t>BUF</t>
        </is>
      </c>
      <c r="G69" s="156" t="inlineStr">
        <is>
          <t>LB</t>
        </is>
      </c>
      <c r="H69" s="156" t="n">
        <v>17</v>
      </c>
      <c r="I69" s="156" t="n">
        <v>693</v>
      </c>
      <c r="J69" s="156" t="n">
        <v>77</v>
      </c>
      <c r="K69" s="156" t="n">
        <v>57</v>
      </c>
      <c r="L69" s="156">
        <f>SUM(K69,J69)</f>
        <v/>
      </c>
      <c r="M69" s="156" t="n">
        <v>1</v>
      </c>
      <c r="N69" s="156" t="n">
        <v>1</v>
      </c>
      <c r="O69" s="156" t="n">
        <v>0</v>
      </c>
      <c r="P69" s="156" t="n">
        <v>0</v>
      </c>
      <c r="Q69" s="156" t="n">
        <v>0</v>
      </c>
      <c r="R69" s="156" t="n">
        <v>7</v>
      </c>
    </row>
    <row r="70" ht="15.6" customHeight="1" s="152">
      <c r="A70" s="167">
        <f>E70&amp;F70</f>
        <v/>
      </c>
      <c r="B70" s="156">
        <f>IF(D70&lt;&gt;"",C70,0)</f>
        <v/>
      </c>
      <c r="C70" s="156">
        <f>(M70/MAX(M:M)*$M$1)+(N70/MAX(N:N)*$N$1)+(O70/MAX(O:O)*$O$1)+(P70/MAX(P:P)*$P$1)+(Q70/MAX(Q:Q)*$Q$1)+(R70/MAX(R:R)*$R$1)</f>
        <v/>
      </c>
      <c r="D70" s="156">
        <f>IFERROR(VLOOKUP(A70,'Injury Report'!A:F,6,0),"")</f>
        <v/>
      </c>
      <c r="E70" s="156" t="inlineStr">
        <is>
          <t>Daiyan Henley</t>
        </is>
      </c>
      <c r="F70" s="156" t="inlineStr">
        <is>
          <t>LAC</t>
        </is>
      </c>
      <c r="G70" s="156" t="inlineStr">
        <is>
          <t>LB</t>
        </is>
      </c>
      <c r="H70" s="156" t="n">
        <v>17</v>
      </c>
      <c r="I70" s="156" t="n">
        <v>671</v>
      </c>
      <c r="J70" s="156" t="n">
        <v>85</v>
      </c>
      <c r="K70" s="156" t="n">
        <v>61</v>
      </c>
      <c r="L70" s="156">
        <f>SUM(K70,J70)</f>
        <v/>
      </c>
      <c r="M70" s="156" t="n">
        <v>2</v>
      </c>
      <c r="N70" s="156" t="n">
        <v>1</v>
      </c>
      <c r="O70" s="156" t="n">
        <v>1</v>
      </c>
      <c r="P70" s="156" t="n">
        <v>0</v>
      </c>
      <c r="Q70" s="156" t="n">
        <v>1</v>
      </c>
      <c r="R70" s="156" t="n">
        <v>3</v>
      </c>
    </row>
    <row r="71" ht="15.6" customHeight="1" s="152">
      <c r="A71" s="167">
        <f>E71&amp;F71</f>
        <v/>
      </c>
      <c r="B71" s="156">
        <f>IF(D71&lt;&gt;"",C71,0)</f>
        <v/>
      </c>
      <c r="C71" s="156">
        <f>(M71/MAX(M:M)*$M$1)+(N71/MAX(N:N)*$N$1)+(O71/MAX(O:O)*$O$1)+(P71/MAX(P:P)*$P$1)+(Q71/MAX(Q:Q)*$Q$1)+(R71/MAX(R:R)*$R$1)</f>
        <v/>
      </c>
      <c r="D71" s="156">
        <f>IFERROR(VLOOKUP(A71,'Injury Report'!A:F,6,0),"")</f>
        <v/>
      </c>
      <c r="E71" s="156" t="inlineStr">
        <is>
          <t>Bobby Wagner</t>
        </is>
      </c>
      <c r="F71" s="156" t="inlineStr">
        <is>
          <t>WAS</t>
        </is>
      </c>
      <c r="G71" s="156" t="inlineStr">
        <is>
          <t>S</t>
        </is>
      </c>
      <c r="H71" s="156" t="n">
        <v>17</v>
      </c>
      <c r="I71" s="156" t="n">
        <v>755</v>
      </c>
      <c r="J71" s="156" t="n">
        <v>83</v>
      </c>
      <c r="K71" s="156" t="n">
        <v>61</v>
      </c>
      <c r="L71" s="156">
        <f>SUM(K71,J71)</f>
        <v/>
      </c>
      <c r="M71" s="156" t="n">
        <v>0.4</v>
      </c>
      <c r="N71" s="156" t="n">
        <v>1</v>
      </c>
      <c r="O71" s="156" t="n">
        <v>1</v>
      </c>
      <c r="P71" s="156" t="n">
        <v>2</v>
      </c>
      <c r="Q71" s="156" t="n">
        <v>0</v>
      </c>
      <c r="R71" s="156" t="n">
        <v>5</v>
      </c>
    </row>
    <row r="72" ht="15.6" customHeight="1" s="152">
      <c r="A72" s="167">
        <f>E72&amp;F72</f>
        <v/>
      </c>
      <c r="B72" s="156">
        <f>IF(D72&lt;&gt;"",C72,0)</f>
        <v/>
      </c>
      <c r="C72" s="156">
        <f>(M72/MAX(M:M)*$M$1)+(N72/MAX(N:N)*$N$1)+(O72/MAX(O:O)*$O$1)+(P72/MAX(P:P)*$P$1)+(Q72/MAX(Q:Q)*$Q$1)+(R72/MAX(R:R)*$R$1)</f>
        <v/>
      </c>
      <c r="D72" s="156">
        <f>IFERROR(VLOOKUP(A72,'Injury Report'!A:F,6,0),"")</f>
        <v/>
      </c>
      <c r="E72" s="156" t="inlineStr">
        <is>
          <t>Logan Wilson</t>
        </is>
      </c>
      <c r="F72" s="156" t="inlineStr">
        <is>
          <t>CIN</t>
        </is>
      </c>
      <c r="G72" s="156" t="inlineStr">
        <is>
          <t>CB</t>
        </is>
      </c>
      <c r="H72" s="156" t="n">
        <v>17</v>
      </c>
      <c r="I72" s="156" t="n">
        <v>1020</v>
      </c>
      <c r="J72" s="156" t="n">
        <v>80</v>
      </c>
      <c r="K72" s="156" t="n">
        <v>54</v>
      </c>
      <c r="L72" s="156">
        <f>SUM(K72,J72)</f>
        <v/>
      </c>
      <c r="M72" s="156" t="n">
        <v>3</v>
      </c>
      <c r="N72" s="156" t="n">
        <v>1</v>
      </c>
      <c r="O72" s="156" t="n">
        <v>1</v>
      </c>
      <c r="P72" s="156" t="n">
        <v>1</v>
      </c>
      <c r="Q72" s="156" t="n">
        <v>0</v>
      </c>
      <c r="R72" s="156" t="n">
        <v>5</v>
      </c>
    </row>
    <row r="73" ht="15.6" customHeight="1" s="152">
      <c r="A73" s="167">
        <f>E73&amp;F73</f>
        <v/>
      </c>
      <c r="B73" s="156">
        <f>IF(D73&lt;&gt;"",C73,0)</f>
        <v/>
      </c>
      <c r="C73" s="156">
        <f>(M73/MAX(M:M)*$M$1)+(N73/MAX(N:N)*$N$1)+(O73/MAX(O:O)*$O$1)+(P73/MAX(P:P)*$P$1)+(Q73/MAX(Q:Q)*$Q$1)+(R73/MAX(R:R)*$R$1)</f>
        <v/>
      </c>
      <c r="D73" s="156">
        <f>IFERROR(VLOOKUP(A73,'Injury Report'!A:F,6,0),"")</f>
        <v/>
      </c>
      <c r="E73" s="156" t="inlineStr">
        <is>
          <t>Edgerrin Cooper</t>
        </is>
      </c>
      <c r="F73" s="156" t="inlineStr">
        <is>
          <t>GB</t>
        </is>
      </c>
      <c r="G73" s="156" t="inlineStr">
        <is>
          <t>S</t>
        </is>
      </c>
      <c r="H73" s="156" t="n">
        <v>17</v>
      </c>
      <c r="I73" s="156" t="n">
        <v>900</v>
      </c>
      <c r="J73" s="156" t="n">
        <v>78</v>
      </c>
      <c r="K73" s="156" t="n">
        <v>47</v>
      </c>
      <c r="L73" s="156">
        <f>SUM(K73,J73)</f>
        <v/>
      </c>
      <c r="M73" s="156" t="n">
        <v>2</v>
      </c>
      <c r="N73" s="156" t="n">
        <v>1</v>
      </c>
      <c r="O73" s="156" t="n">
        <v>1</v>
      </c>
      <c r="P73" s="156" t="n">
        <v>0</v>
      </c>
      <c r="Q73" s="156" t="n">
        <v>0</v>
      </c>
      <c r="R73" s="156" t="n">
        <v>4</v>
      </c>
    </row>
    <row r="74" ht="15.6" customHeight="1" s="152">
      <c r="A74" s="167">
        <f>E74&amp;F74</f>
        <v/>
      </c>
      <c r="B74" s="156">
        <f>IF(D74&lt;&gt;"",C74,0)</f>
        <v/>
      </c>
      <c r="C74" s="156">
        <f>(M74/MAX(M:M)*$M$1)+(N74/MAX(N:N)*$N$1)+(O74/MAX(O:O)*$O$1)+(P74/MAX(P:P)*$P$1)+(Q74/MAX(Q:Q)*$Q$1)+(R74/MAX(R:R)*$R$1)</f>
        <v/>
      </c>
      <c r="D74" s="156">
        <f>IFERROR(VLOOKUP(A74,'Injury Report'!A:F,6,0),"")</f>
        <v/>
      </c>
      <c r="E74" s="156" t="inlineStr">
        <is>
          <t>Azeez Al-Shaair</t>
        </is>
      </c>
      <c r="F74" s="156" t="inlineStr">
        <is>
          <t>HOU</t>
        </is>
      </c>
      <c r="G74" s="156" t="inlineStr">
        <is>
          <t>S</t>
        </is>
      </c>
      <c r="H74" s="156" t="n">
        <v>17</v>
      </c>
      <c r="I74" s="156" t="n">
        <v>835</v>
      </c>
      <c r="J74" s="156" t="n">
        <v>77</v>
      </c>
      <c r="K74" s="156" t="n">
        <v>68</v>
      </c>
      <c r="L74" s="156">
        <f>SUM(K74,J74)</f>
        <v/>
      </c>
      <c r="M74" s="156" t="n">
        <v>1.7</v>
      </c>
      <c r="N74" s="156" t="n">
        <v>0</v>
      </c>
      <c r="O74" s="156" t="n">
        <v>0</v>
      </c>
      <c r="P74" s="156" t="n">
        <v>0</v>
      </c>
      <c r="Q74" s="156" t="n">
        <v>0</v>
      </c>
      <c r="R74" s="156" t="n">
        <v>2</v>
      </c>
    </row>
    <row r="75" ht="15.6" customHeight="1" s="152">
      <c r="A75" s="167">
        <f>E75&amp;F75</f>
        <v/>
      </c>
      <c r="B75" s="156">
        <f>IF(D75&lt;&gt;"",C75,0)</f>
        <v/>
      </c>
      <c r="C75" s="156">
        <f>(M75/MAX(M:M)*$M$1)+(N75/MAX(N:N)*$N$1)+(O75/MAX(O:O)*$O$1)+(P75/MAX(P:P)*$P$1)+(Q75/MAX(Q:Q)*$Q$1)+(R75/MAX(R:R)*$R$1)</f>
        <v/>
      </c>
      <c r="D75" s="156">
        <f>IFERROR(VLOOKUP(A75,'Injury Report'!A:F,6,0),"")</f>
        <v/>
      </c>
      <c r="E75" s="156" t="inlineStr">
        <is>
          <t>Jamien Sherwood</t>
        </is>
      </c>
      <c r="F75" s="156" t="inlineStr">
        <is>
          <t>NYJ</t>
        </is>
      </c>
      <c r="G75" s="156" t="inlineStr">
        <is>
          <t>LB</t>
        </is>
      </c>
      <c r="H75" s="156" t="n">
        <v>17</v>
      </c>
      <c r="I75" s="156" t="n">
        <v>518</v>
      </c>
      <c r="J75" s="156" t="n">
        <v>89</v>
      </c>
      <c r="K75" s="156" t="n">
        <v>58</v>
      </c>
      <c r="L75" s="156">
        <f>SUM(K75,J75)</f>
        <v/>
      </c>
      <c r="M75" s="156" t="n">
        <v>1</v>
      </c>
      <c r="N75" s="156" t="n">
        <v>1</v>
      </c>
      <c r="O75" s="156" t="n">
        <v>0</v>
      </c>
      <c r="P75" s="156" t="n">
        <v>1</v>
      </c>
      <c r="Q75" s="156" t="n">
        <v>0</v>
      </c>
      <c r="R75" s="156" t="n">
        <v>6</v>
      </c>
    </row>
    <row r="76" ht="15.6" customHeight="1" s="152">
      <c r="A76" s="167">
        <f>E76&amp;F76</f>
        <v/>
      </c>
      <c r="B76" s="156">
        <f>IF(D76&lt;&gt;"",C76,0)</f>
        <v/>
      </c>
      <c r="C76" s="156">
        <f>(M76/MAX(M:M)*$M$1)+(N76/MAX(N:N)*$N$1)+(O76/MAX(O:O)*$O$1)+(P76/MAX(P:P)*$P$1)+(Q76/MAX(Q:Q)*$Q$1)+(R76/MAX(R:R)*$R$1)</f>
        <v/>
      </c>
      <c r="D76" s="156">
        <f>IFERROR(VLOOKUP(A76,'Injury Report'!A:F,6,0),"")</f>
        <v/>
      </c>
      <c r="E76" s="156" t="inlineStr">
        <is>
          <t>Foyesade Oluokun</t>
        </is>
      </c>
      <c r="F76" s="156" t="inlineStr">
        <is>
          <t>JAX</t>
        </is>
      </c>
      <c r="G76" s="156" t="inlineStr">
        <is>
          <t>S</t>
        </is>
      </c>
      <c r="H76" s="156" t="n">
        <v>17</v>
      </c>
      <c r="I76" s="156" t="n">
        <v>1015</v>
      </c>
      <c r="J76" s="156" t="n">
        <v>80</v>
      </c>
      <c r="K76" s="156" t="n">
        <v>55</v>
      </c>
      <c r="L76" s="156" t="n">
        <v>0</v>
      </c>
      <c r="M76" s="156" t="n">
        <v>2.5</v>
      </c>
      <c r="N76" s="156" t="n">
        <v>1</v>
      </c>
      <c r="O76" s="156" t="n">
        <v>1</v>
      </c>
      <c r="P76" s="156" t="n">
        <v>0</v>
      </c>
      <c r="Q76" s="156" t="n">
        <v>0</v>
      </c>
      <c r="R76" s="156" t="n">
        <v>4</v>
      </c>
    </row>
    <row r="77" ht="15.6" customHeight="1" s="152">
      <c r="A77" s="167">
        <f>E77&amp;F77</f>
        <v/>
      </c>
      <c r="B77" s="156">
        <f>IF(D77&lt;&gt;"",C77,0)</f>
        <v/>
      </c>
      <c r="C77" s="156">
        <f>(M77/MAX(M:M)*$M$1)+(N77/MAX(N:N)*$N$1)+(O77/MAX(O:O)*$O$1)+(P77/MAX(P:P)*$P$1)+(Q77/MAX(Q:Q)*$Q$1)+(R77/MAX(R:R)*$R$1)</f>
        <v/>
      </c>
      <c r="D77" s="156">
        <f>IFERROR(VLOOKUP(A77,'Injury Report'!A:F,6,0),"")</f>
        <v/>
      </c>
      <c r="E77" s="156" t="inlineStr">
        <is>
          <t>Jordyn Brooks</t>
        </is>
      </c>
      <c r="F77" s="156" t="inlineStr">
        <is>
          <t>MIA</t>
        </is>
      </c>
      <c r="G77" s="156" t="inlineStr">
        <is>
          <t>CB</t>
        </is>
      </c>
      <c r="H77" s="156" t="n">
        <v>17</v>
      </c>
      <c r="I77" s="156" t="n">
        <v>968</v>
      </c>
      <c r="J77" s="156" t="n">
        <v>78</v>
      </c>
      <c r="K77" s="156" t="n">
        <v>54</v>
      </c>
      <c r="L77" s="156">
        <f>SUM(K77,J77)</f>
        <v/>
      </c>
      <c r="M77" s="156" t="n">
        <v>0.5</v>
      </c>
      <c r="N77" s="156" t="n">
        <v>1</v>
      </c>
      <c r="O77" s="156" t="n">
        <v>0</v>
      </c>
      <c r="P77" s="156" t="n">
        <v>0</v>
      </c>
      <c r="Q77" s="156" t="n">
        <v>0</v>
      </c>
      <c r="R77" s="156" t="n">
        <v>2</v>
      </c>
    </row>
    <row r="78" ht="15.6" customHeight="1" s="152">
      <c r="A78" s="167">
        <f>E78&amp;F78</f>
        <v/>
      </c>
      <c r="B78" s="156">
        <f>IF(D78&lt;&gt;"",C78,0)</f>
        <v/>
      </c>
      <c r="C78" s="156">
        <f>(M78/MAX(M:M)*$M$1)+(N78/MAX(N:N)*$N$1)+(O78/MAX(O:O)*$O$1)+(P78/MAX(P:P)*$P$1)+(Q78/MAX(Q:Q)*$Q$1)+(R78/MAX(R:R)*$R$1)</f>
        <v/>
      </c>
      <c r="D78" s="156">
        <f>IFERROR(VLOOKUP(A78,'Injury Report'!A:F,6,0),"")</f>
        <v/>
      </c>
      <c r="E78" s="156" t="inlineStr">
        <is>
          <t>Alex Singleton</t>
        </is>
      </c>
      <c r="F78" s="156" t="inlineStr">
        <is>
          <t>DEN</t>
        </is>
      </c>
      <c r="G78" s="156" t="inlineStr">
        <is>
          <t>S</t>
        </is>
      </c>
      <c r="H78" s="156" t="n">
        <v>17</v>
      </c>
      <c r="I78" s="156" t="n">
        <v>923</v>
      </c>
      <c r="J78" s="156" t="n">
        <v>2</v>
      </c>
      <c r="K78" s="156" t="n">
        <v>1</v>
      </c>
      <c r="L78" s="156" t="n">
        <v>0</v>
      </c>
      <c r="M78" s="156" t="n">
        <v>0</v>
      </c>
      <c r="N78" s="156" t="n">
        <v>0</v>
      </c>
      <c r="O78" s="156" t="n">
        <v>0</v>
      </c>
      <c r="P78" s="156" t="n">
        <v>0</v>
      </c>
      <c r="Q78" s="156" t="n">
        <v>0</v>
      </c>
      <c r="R78" s="156" t="n">
        <v>0</v>
      </c>
    </row>
    <row r="79" ht="15.6" customHeight="1" s="152">
      <c r="A79" s="167">
        <f>E79&amp;F79</f>
        <v/>
      </c>
      <c r="B79" s="156">
        <f>IF(D79&lt;&gt;"",C79,0)</f>
        <v/>
      </c>
      <c r="C79" s="156">
        <f>(M79/MAX(M:M)*$M$1)+(N79/MAX(N:N)*$N$1)+(O79/MAX(O:O)*$O$1)+(P79/MAX(P:P)*$P$1)+(Q79/MAX(Q:Q)*$Q$1)+(R79/MAX(R:R)*$R$1)</f>
        <v/>
      </c>
      <c r="D79" s="156">
        <f>IFERROR(VLOOKUP(A79,'Injury Report'!A:F,6,0),"")</f>
        <v/>
      </c>
      <c r="E79" s="156" t="inlineStr">
        <is>
          <t>Devin Lloyd</t>
        </is>
      </c>
      <c r="F79" s="156" t="inlineStr">
        <is>
          <t>JAX</t>
        </is>
      </c>
      <c r="G79" s="156" t="inlineStr">
        <is>
          <t>S</t>
        </is>
      </c>
      <c r="H79" s="156" t="n">
        <v>17</v>
      </c>
      <c r="I79" s="156" t="n">
        <v>897</v>
      </c>
      <c r="J79" s="156" t="n">
        <v>73</v>
      </c>
      <c r="K79" s="156" t="n">
        <v>54</v>
      </c>
      <c r="L79" s="156">
        <f>SUM(K79,J79)</f>
        <v/>
      </c>
      <c r="M79" s="156" t="n">
        <v>1.1</v>
      </c>
      <c r="N79" s="156" t="n">
        <v>1</v>
      </c>
      <c r="O79" s="156" t="n">
        <v>1</v>
      </c>
      <c r="P79" s="156" t="n">
        <v>1</v>
      </c>
      <c r="Q79" s="156" t="n">
        <v>0</v>
      </c>
      <c r="R79" s="156" t="n">
        <v>3</v>
      </c>
    </row>
    <row r="80" ht="15.6" customHeight="1" s="152">
      <c r="A80" s="167">
        <f>E80&amp;F80</f>
        <v/>
      </c>
      <c r="B80" s="156">
        <f>IF(D80&lt;&gt;"",C80,0)</f>
        <v/>
      </c>
      <c r="C80" s="156">
        <f>(M80/MAX(M:M)*$M$1)+(N80/MAX(N:N)*$N$1)+(O80/MAX(O:O)*$O$1)+(P80/MAX(P:P)*$P$1)+(Q80/MAX(Q:Q)*$Q$1)+(R80/MAX(R:R)*$R$1)</f>
        <v/>
      </c>
      <c r="D80" s="156">
        <f>IFERROR(VLOOKUP(A80,'Injury Report'!A:F,6,0),"")</f>
        <v/>
      </c>
      <c r="E80" s="156" t="inlineStr">
        <is>
          <t>Dre Greenlaw</t>
        </is>
      </c>
      <c r="F80" s="156" t="inlineStr">
        <is>
          <t>DEN</t>
        </is>
      </c>
      <c r="G80" s="156" t="inlineStr">
        <is>
          <t>LB</t>
        </is>
      </c>
      <c r="H80" s="156" t="n">
        <v>17</v>
      </c>
      <c r="I80" s="156" t="n">
        <v>469</v>
      </c>
      <c r="J80" s="156" t="n">
        <v>80</v>
      </c>
      <c r="K80" s="156" t="n">
        <v>49</v>
      </c>
      <c r="L80" s="156">
        <f>SUM(K80,J80)</f>
        <v/>
      </c>
      <c r="M80" s="156" t="n">
        <v>2</v>
      </c>
      <c r="N80" s="156" t="n">
        <v>3</v>
      </c>
      <c r="O80" s="156" t="n">
        <v>0</v>
      </c>
      <c r="P80" s="156" t="n">
        <v>0</v>
      </c>
      <c r="Q80" s="156" t="n">
        <v>0</v>
      </c>
      <c r="R80" s="156" t="n">
        <v>6</v>
      </c>
    </row>
    <row r="81" ht="15.6" customHeight="1" s="152">
      <c r="A81" s="167">
        <f>E81&amp;F81</f>
        <v/>
      </c>
      <c r="B81" s="156">
        <f>IF(D81&lt;&gt;"",C81,0)</f>
        <v/>
      </c>
      <c r="C81" s="156">
        <f>(M81/MAX(M:M)*$M$1)+(N81/MAX(N:N)*$N$1)+(O81/MAX(O:O)*$O$1)+(P81/MAX(P:P)*$P$1)+(Q81/MAX(Q:Q)*$Q$1)+(R81/MAX(R:R)*$R$1)</f>
        <v/>
      </c>
      <c r="D81" s="156">
        <f>IFERROR(VLOOKUP(A81,'Injury Report'!A:F,6,0),"")</f>
        <v/>
      </c>
      <c r="E81" s="156" t="inlineStr">
        <is>
          <t>Quincy Williams</t>
        </is>
      </c>
      <c r="F81" s="156" t="inlineStr">
        <is>
          <t>NYJ</t>
        </is>
      </c>
      <c r="G81" s="156" t="inlineStr">
        <is>
          <t>S</t>
        </is>
      </c>
      <c r="H81" s="156" t="n">
        <v>17</v>
      </c>
      <c r="I81" s="156" t="n">
        <v>961</v>
      </c>
      <c r="J81" s="156" t="n">
        <v>77</v>
      </c>
      <c r="K81" s="156" t="n">
        <v>43</v>
      </c>
      <c r="L81" s="156">
        <f>SUM(K81,J81)</f>
        <v/>
      </c>
      <c r="M81" s="156" t="n">
        <v>1.5</v>
      </c>
      <c r="N81" s="156" t="n">
        <v>2</v>
      </c>
      <c r="O81" s="156" t="n">
        <v>1</v>
      </c>
      <c r="P81" s="156" t="n">
        <v>1</v>
      </c>
      <c r="Q81" s="156" t="n">
        <v>0</v>
      </c>
      <c r="R81" s="156" t="n">
        <v>6</v>
      </c>
    </row>
    <row r="82" ht="15.6" customHeight="1" s="152">
      <c r="A82" s="167">
        <f>E82&amp;F82</f>
        <v/>
      </c>
      <c r="B82" s="156">
        <f>IF(D82&lt;&gt;"",C82,0)</f>
        <v/>
      </c>
      <c r="C82" s="156">
        <f>(M82/MAX(M:M)*$M$1)+(N82/MAX(N:N)*$N$1)+(O82/MAX(O:O)*$O$1)+(P82/MAX(P:P)*$P$1)+(Q82/MAX(Q:Q)*$Q$1)+(R82/MAX(R:R)*$R$1)</f>
        <v/>
      </c>
      <c r="D82" s="156">
        <f>IFERROR(VLOOKUP(A82,'Injury Report'!A:F,6,0),"")</f>
        <v/>
      </c>
      <c r="E82" s="156" t="inlineStr">
        <is>
          <t>Patrick Queen</t>
        </is>
      </c>
      <c r="F82" s="156" t="inlineStr">
        <is>
          <t>PIT</t>
        </is>
      </c>
      <c r="G82" s="156" t="inlineStr">
        <is>
          <t>S</t>
        </is>
      </c>
      <c r="H82" s="156" t="n">
        <v>17</v>
      </c>
      <c r="I82" s="156" t="n">
        <v>1042</v>
      </c>
      <c r="J82" s="156" t="n">
        <v>68</v>
      </c>
      <c r="K82" s="156" t="n">
        <v>56</v>
      </c>
      <c r="L82" s="156">
        <f>SUM(K82,J82)</f>
        <v/>
      </c>
      <c r="M82" s="156" t="n">
        <v>1</v>
      </c>
      <c r="N82" s="156" t="n">
        <v>1</v>
      </c>
      <c r="O82" s="156" t="n">
        <v>0</v>
      </c>
      <c r="P82" s="156" t="n">
        <v>0</v>
      </c>
      <c r="Q82" s="156" t="n">
        <v>0</v>
      </c>
      <c r="R82" s="156" t="n">
        <v>6</v>
      </c>
    </row>
    <row r="83" ht="15.6" customHeight="1" s="152">
      <c r="A83" s="167">
        <f>E83&amp;F83</f>
        <v/>
      </c>
      <c r="B83" s="156">
        <f>IF(D83&lt;&gt;"",C83,0)</f>
        <v/>
      </c>
      <c r="C83" s="156">
        <f>(M83/MAX(M:M)*$M$1)+(N83/MAX(N:N)*$N$1)+(O83/MAX(O:O)*$O$1)+(P83/MAX(P:P)*$P$1)+(Q83/MAX(Q:Q)*$Q$1)+(R83/MAX(R:R)*$R$1)</f>
        <v/>
      </c>
      <c r="D83" s="156">
        <f>IFERROR(VLOOKUP(A83,'Injury Report'!A:F,6,0),"")</f>
        <v/>
      </c>
      <c r="E83" s="156" t="inlineStr">
        <is>
          <t>Alex Anzalone</t>
        </is>
      </c>
      <c r="F83" s="156" t="inlineStr">
        <is>
          <t>DET</t>
        </is>
      </c>
      <c r="G83" s="156" t="inlineStr">
        <is>
          <t>CB</t>
        </is>
      </c>
      <c r="H83" s="156" t="n">
        <v>17</v>
      </c>
      <c r="I83" s="156" t="n">
        <v>788</v>
      </c>
      <c r="J83" s="156" t="n">
        <v>81</v>
      </c>
      <c r="K83" s="156" t="n">
        <v>53</v>
      </c>
      <c r="L83" s="156">
        <f>SUM(K83,J83)</f>
        <v/>
      </c>
      <c r="M83" s="156" t="n">
        <v>6</v>
      </c>
      <c r="N83" s="156" t="n">
        <v>1</v>
      </c>
      <c r="O83" s="156" t="n">
        <v>1</v>
      </c>
      <c r="P83" s="156" t="n">
        <v>1</v>
      </c>
      <c r="Q83" s="156" t="n">
        <v>0</v>
      </c>
      <c r="R83" s="156" t="n">
        <v>6</v>
      </c>
    </row>
    <row r="84" ht="15.6" customHeight="1" s="152">
      <c r="A84" s="167">
        <f>E84&amp;F84</f>
        <v/>
      </c>
      <c r="B84" s="156">
        <f>IF(D84&lt;&gt;"",C84,0)</f>
        <v/>
      </c>
      <c r="C84" s="156">
        <f>(M84/MAX(M:M)*$M$1)+(N84/MAX(N:N)*$N$1)+(O84/MAX(O:O)*$O$1)+(P84/MAX(P:P)*$P$1)+(Q84/MAX(Q:Q)*$Q$1)+(R84/MAX(R:R)*$R$1)</f>
        <v/>
      </c>
      <c r="D84" s="156">
        <f>IFERROR(VLOOKUP(A84,'Injury Report'!A:F,6,0),"")</f>
        <v/>
      </c>
      <c r="E84" s="156" t="inlineStr">
        <is>
          <t>Frankie Luvu</t>
        </is>
      </c>
      <c r="F84" s="156" t="inlineStr">
        <is>
          <t>WAS</t>
        </is>
      </c>
      <c r="G84" s="156" t="inlineStr">
        <is>
          <t>S</t>
        </is>
      </c>
      <c r="H84" s="156" t="n">
        <v>17</v>
      </c>
      <c r="I84" s="156" t="n">
        <v>937</v>
      </c>
      <c r="J84" s="156" t="n">
        <v>55</v>
      </c>
      <c r="K84" s="156" t="n">
        <v>47</v>
      </c>
      <c r="L84" s="156">
        <f>SUM(K84,J84)</f>
        <v/>
      </c>
      <c r="M84" s="156" t="n">
        <v>1.5</v>
      </c>
      <c r="N84" s="156" t="n">
        <v>1</v>
      </c>
      <c r="O84" s="156" t="n">
        <v>0</v>
      </c>
      <c r="P84" s="156" t="n">
        <v>1</v>
      </c>
      <c r="Q84" s="156" t="n">
        <v>0</v>
      </c>
      <c r="R84" s="156" t="n">
        <v>3</v>
      </c>
    </row>
    <row r="85" ht="15.6" customHeight="1" s="152">
      <c r="A85" s="167">
        <f>E85&amp;F85</f>
        <v/>
      </c>
      <c r="B85" s="156">
        <f>IF(D85&lt;&gt;"",C85,0)</f>
        <v/>
      </c>
      <c r="C85" s="156">
        <f>(M85/MAX(M:M)*$M$1)+(N85/MAX(N:N)*$N$1)+(O85/MAX(O:O)*$O$1)+(P85/MAX(P:P)*$P$1)+(Q85/MAX(Q:Q)*$Q$1)+(R85/MAX(R:R)*$R$1)</f>
        <v/>
      </c>
      <c r="D85" s="156">
        <f>IFERROR(VLOOKUP(A85,'Injury Report'!A:F,6,0),"")</f>
        <v/>
      </c>
      <c r="E85" s="156" t="inlineStr">
        <is>
          <t>Tyrel Dodson</t>
        </is>
      </c>
      <c r="F85" s="156" t="inlineStr">
        <is>
          <t>MIA</t>
        </is>
      </c>
      <c r="G85" s="156" t="inlineStr">
        <is>
          <t>CB</t>
        </is>
      </c>
      <c r="H85" s="156" t="n">
        <v>17</v>
      </c>
      <c r="I85" s="156" t="n">
        <v>889</v>
      </c>
      <c r="J85" s="156" t="n">
        <v>70</v>
      </c>
      <c r="K85" s="156" t="n">
        <v>58</v>
      </c>
      <c r="L85" s="156">
        <f>SUM(K85,J85)</f>
        <v/>
      </c>
      <c r="M85" s="156" t="n">
        <v>1.5</v>
      </c>
      <c r="N85" s="156" t="n">
        <v>1</v>
      </c>
      <c r="O85" s="156" t="n">
        <v>1</v>
      </c>
      <c r="P85" s="156" t="n">
        <v>1</v>
      </c>
      <c r="Q85" s="156" t="n">
        <v>0</v>
      </c>
      <c r="R85" s="156" t="n">
        <v>4</v>
      </c>
    </row>
    <row r="86" ht="15.6" customHeight="1" s="152">
      <c r="A86" s="167">
        <f>E86&amp;F86</f>
        <v/>
      </c>
      <c r="B86" s="156">
        <f>IF(D86&lt;&gt;"",C86,0)</f>
        <v/>
      </c>
      <c r="C86" s="156">
        <f>(M86/MAX(M:M)*$M$1)+(N86/MAX(N:N)*$N$1)+(O86/MAX(O:O)*$O$1)+(P86/MAX(P:P)*$P$1)+(Q86/MAX(Q:Q)*$Q$1)+(R86/MAX(R:R)*$R$1)</f>
        <v/>
      </c>
      <c r="D86" s="156">
        <f>IFERROR(VLOOKUP(A86,'Injury Report'!A:F,6,0),"")</f>
        <v/>
      </c>
      <c r="E86" s="156" t="inlineStr">
        <is>
          <t>Nick Bolton</t>
        </is>
      </c>
      <c r="F86" s="156" t="inlineStr">
        <is>
          <t>KC</t>
        </is>
      </c>
      <c r="G86" s="156" t="inlineStr">
        <is>
          <t>S</t>
        </is>
      </c>
      <c r="H86" s="156" t="n">
        <v>17</v>
      </c>
      <c r="I86" s="156" t="n">
        <v>703</v>
      </c>
      <c r="J86" s="156" t="n">
        <v>78</v>
      </c>
      <c r="K86" s="156" t="n">
        <v>36</v>
      </c>
      <c r="L86" s="156">
        <f>SUM(K86,J86)</f>
        <v/>
      </c>
      <c r="M86" s="156" t="n">
        <v>3</v>
      </c>
      <c r="N86" s="156" t="n">
        <v>1</v>
      </c>
      <c r="O86" s="156" t="n">
        <v>1</v>
      </c>
      <c r="P86" s="156" t="n">
        <v>0</v>
      </c>
      <c r="Q86" s="156" t="n">
        <v>0</v>
      </c>
      <c r="R86" s="156" t="n">
        <v>5</v>
      </c>
    </row>
    <row r="87" ht="15.6" customHeight="1" s="152">
      <c r="A87" s="167">
        <f>E87&amp;F87</f>
        <v/>
      </c>
      <c r="B87" s="156">
        <f>IF(D87&lt;&gt;"",C87,0)</f>
        <v/>
      </c>
      <c r="C87" s="156">
        <f>(M87/MAX(M:M)*$M$1)+(N87/MAX(N:N)*$N$1)+(O87/MAX(O:O)*$O$1)+(P87/MAX(P:P)*$P$1)+(Q87/MAX(Q:Q)*$Q$1)+(R87/MAX(R:R)*$R$1)</f>
        <v/>
      </c>
      <c r="D87" s="156">
        <f>IFERROR(VLOOKUP(A87,'Injury Report'!A:F,6,0),"")</f>
        <v/>
      </c>
      <c r="E87" s="156" t="inlineStr">
        <is>
          <t>Blake Cashman</t>
        </is>
      </c>
      <c r="F87" s="156" t="inlineStr">
        <is>
          <t>MIN</t>
        </is>
      </c>
      <c r="G87" s="156" t="inlineStr">
        <is>
          <t>CB</t>
        </is>
      </c>
      <c r="H87" s="156" t="n">
        <v>17</v>
      </c>
      <c r="I87" s="156" t="n">
        <v>686</v>
      </c>
      <c r="J87" s="156" t="n">
        <v>66</v>
      </c>
      <c r="K87" s="156" t="n">
        <v>51</v>
      </c>
      <c r="L87" s="156">
        <f>SUM(K87,J87)</f>
        <v/>
      </c>
      <c r="M87" s="156" t="n">
        <v>1.5</v>
      </c>
      <c r="N87" s="156" t="n">
        <v>1</v>
      </c>
      <c r="O87" s="156" t="n">
        <v>0</v>
      </c>
      <c r="P87" s="156" t="n">
        <v>0</v>
      </c>
      <c r="Q87" s="156" t="n">
        <v>0</v>
      </c>
      <c r="R87" s="156" t="n">
        <v>3</v>
      </c>
    </row>
    <row r="88" ht="15.6" customHeight="1" s="152">
      <c r="A88" s="167">
        <f>E88&amp;F88</f>
        <v/>
      </c>
      <c r="B88" s="156">
        <f>IF(D88&lt;&gt;"",C88,0)</f>
        <v/>
      </c>
      <c r="C88" s="156">
        <f>(M88/MAX(M:M)*$M$1)+(N88/MAX(N:N)*$N$1)+(O88/MAX(O:O)*$O$1)+(P88/MAX(P:P)*$P$1)+(Q88/MAX(Q:Q)*$Q$1)+(R88/MAX(R:R)*$R$1)</f>
        <v/>
      </c>
      <c r="D88" s="156">
        <f>IFERROR(VLOOKUP(A88,'Injury Report'!A:F,6,0),"")</f>
        <v/>
      </c>
      <c r="E88" s="156" t="inlineStr">
        <is>
          <t>Jack Campbell</t>
        </is>
      </c>
      <c r="F88" s="156" t="inlineStr">
        <is>
          <t>DET</t>
        </is>
      </c>
      <c r="G88" s="156" t="inlineStr">
        <is>
          <t>S</t>
        </is>
      </c>
      <c r="H88" s="156" t="n">
        <v>17</v>
      </c>
      <c r="I88" s="156" t="n">
        <v>1006</v>
      </c>
      <c r="J88" s="156" t="n">
        <v>70</v>
      </c>
      <c r="K88" s="156" t="n">
        <v>58</v>
      </c>
      <c r="L88" s="156">
        <f>SUM(K88,J88)</f>
        <v/>
      </c>
      <c r="M88" s="156" t="n">
        <v>1</v>
      </c>
      <c r="N88" s="156" t="n">
        <v>1</v>
      </c>
      <c r="O88" s="156" t="n">
        <v>1</v>
      </c>
      <c r="P88" s="156" t="n">
        <v>1</v>
      </c>
      <c r="Q88" s="156" t="n">
        <v>1</v>
      </c>
      <c r="R88" s="156" t="n">
        <v>7</v>
      </c>
    </row>
    <row r="89" ht="15.6" customHeight="1" s="152">
      <c r="A89" s="167">
        <f>E89&amp;F89</f>
        <v/>
      </c>
      <c r="B89" s="156">
        <f>IF(D89&lt;&gt;"",C89,0)</f>
        <v/>
      </c>
      <c r="C89" s="156">
        <f>(M89/MAX(M:M)*$M$1)+(N89/MAX(N:N)*$N$1)+(O89/MAX(O:O)*$O$1)+(P89/MAX(P:P)*$P$1)+(Q89/MAX(Q:Q)*$Q$1)+(R89/MAX(R:R)*$R$1)</f>
        <v/>
      </c>
      <c r="D89" s="156">
        <f>IFERROR(VLOOKUP(A89,'Injury Report'!A:F,6,0),"")</f>
        <v/>
      </c>
      <c r="E89" s="156" t="inlineStr">
        <is>
          <t>Tremaine Edmunds</t>
        </is>
      </c>
      <c r="F89" s="156" t="inlineStr">
        <is>
          <t>CHI</t>
        </is>
      </c>
      <c r="G89" s="156" t="inlineStr">
        <is>
          <t>CB</t>
        </is>
      </c>
      <c r="H89" s="156" t="n">
        <v>17</v>
      </c>
      <c r="I89" s="156" t="n">
        <v>1007</v>
      </c>
      <c r="J89" s="156" t="n">
        <v>65</v>
      </c>
      <c r="K89" s="156" t="n">
        <v>47</v>
      </c>
      <c r="L89" s="156">
        <f>SUM(K89,J89)</f>
        <v/>
      </c>
      <c r="M89" s="156" t="n">
        <v>2</v>
      </c>
      <c r="N89" s="156" t="n">
        <v>0</v>
      </c>
      <c r="O89" s="156" t="n">
        <v>0</v>
      </c>
      <c r="P89" s="156" t="n">
        <v>0</v>
      </c>
      <c r="Q89" s="156" t="n">
        <v>0</v>
      </c>
      <c r="R89" s="156" t="n">
        <v>3</v>
      </c>
    </row>
    <row r="90" ht="15.6" customHeight="1" s="152">
      <c r="A90" s="167">
        <f>E90&amp;F90</f>
        <v/>
      </c>
      <c r="B90" s="156">
        <f>IF(D90&lt;&gt;"",C90,0)</f>
        <v/>
      </c>
      <c r="C90" s="156">
        <f>(M90/MAX(M:M)*$M$1)+(N90/MAX(N:N)*$N$1)+(O90/MAX(O:O)*$O$1)+(P90/MAX(P:P)*$P$1)+(Q90/MAX(Q:Q)*$Q$1)+(R90/MAX(R:R)*$R$1)</f>
        <v/>
      </c>
      <c r="D90" s="156">
        <f>IFERROR(VLOOKUP(A90,'Injury Report'!A:F,6,0),"")</f>
        <v/>
      </c>
      <c r="E90" s="156" t="inlineStr">
        <is>
          <t>Tyrice Knight</t>
        </is>
      </c>
      <c r="F90" s="156" t="inlineStr">
        <is>
          <t>SEA</t>
        </is>
      </c>
      <c r="G90" s="156" t="inlineStr">
        <is>
          <t>S</t>
        </is>
      </c>
      <c r="H90" s="156" t="n">
        <v>17</v>
      </c>
      <c r="I90" s="156" t="n">
        <v>741</v>
      </c>
      <c r="J90" s="156" t="n">
        <v>70</v>
      </c>
      <c r="K90" s="156" t="n">
        <v>56</v>
      </c>
      <c r="L90" s="156">
        <f>SUM(K90,J90)</f>
        <v/>
      </c>
      <c r="M90" s="156" t="n">
        <v>2.5</v>
      </c>
      <c r="N90" s="156" t="n">
        <v>1</v>
      </c>
      <c r="O90" s="156" t="n">
        <v>0</v>
      </c>
      <c r="P90" s="156" t="n">
        <v>0</v>
      </c>
      <c r="Q90" s="156" t="n">
        <v>0</v>
      </c>
      <c r="R90" s="156" t="n">
        <v>4</v>
      </c>
    </row>
    <row r="91" ht="15.6" customHeight="1" s="152">
      <c r="A91" s="167">
        <f>E91&amp;F91</f>
        <v/>
      </c>
      <c r="B91" s="156">
        <f>IF(D91&lt;&gt;"",C91,0)</f>
        <v/>
      </c>
      <c r="C91" s="156">
        <f>(M91/MAX(M:M)*$M$1)+(N91/MAX(N:N)*$N$1)+(O91/MAX(O:O)*$O$1)+(P91/MAX(P:P)*$P$1)+(Q91/MAX(Q:Q)*$Q$1)+(R91/MAX(R:R)*$R$1)</f>
        <v/>
      </c>
      <c r="D91" s="156">
        <f>IFERROR(VLOOKUP(A91,'Injury Report'!A:F,6,0),"")</f>
        <v/>
      </c>
      <c r="E91" s="156" t="inlineStr">
        <is>
          <t>Quay Walker</t>
        </is>
      </c>
      <c r="F91" s="156" t="inlineStr">
        <is>
          <t>GB</t>
        </is>
      </c>
      <c r="G91" s="156" t="inlineStr">
        <is>
          <t>LB</t>
        </is>
      </c>
      <c r="H91" s="156" t="n">
        <v>17</v>
      </c>
      <c r="I91" s="156" t="n">
        <v>518</v>
      </c>
      <c r="J91" s="156" t="n">
        <v>67</v>
      </c>
      <c r="K91" s="156" t="n">
        <v>48</v>
      </c>
      <c r="L91" s="156">
        <f>SUM(K91,J91)</f>
        <v/>
      </c>
      <c r="M91" s="156" t="n">
        <v>1</v>
      </c>
      <c r="N91" s="156" t="n">
        <v>2</v>
      </c>
      <c r="O91" s="156" t="n">
        <v>0</v>
      </c>
      <c r="P91" s="156" t="n">
        <v>1</v>
      </c>
      <c r="Q91" s="156" t="n">
        <v>0</v>
      </c>
      <c r="R91" s="156" t="n">
        <v>3</v>
      </c>
    </row>
    <row r="92" ht="15.6" customHeight="1" s="152">
      <c r="A92" s="167">
        <f>E92&amp;F92</f>
        <v/>
      </c>
      <c r="B92" s="156">
        <f>IF(D92&lt;&gt;"",C92,0)</f>
        <v/>
      </c>
      <c r="C92" s="156">
        <f>(M92/MAX(M:M)*$M$1)+(N92/MAX(N:N)*$N$1)+(O92/MAX(O:O)*$O$1)+(P92/MAX(P:P)*$P$1)+(Q92/MAX(Q:Q)*$Q$1)+(R92/MAX(R:R)*$R$1)</f>
        <v/>
      </c>
      <c r="D92" s="156">
        <f>IFERROR(VLOOKUP(A92,'Injury Report'!A:F,6,0),"")</f>
        <v/>
      </c>
      <c r="E92" s="156" t="inlineStr">
        <is>
          <t>Nate Landman</t>
        </is>
      </c>
      <c r="F92" s="156" t="inlineStr">
        <is>
          <t>LAR</t>
        </is>
      </c>
      <c r="G92" s="156" t="inlineStr">
        <is>
          <t>S</t>
        </is>
      </c>
      <c r="H92" s="156" t="n">
        <v>17</v>
      </c>
      <c r="I92" s="156" t="n">
        <v>955</v>
      </c>
      <c r="J92" s="156" t="n">
        <v>68</v>
      </c>
      <c r="K92" s="156" t="n">
        <v>41</v>
      </c>
      <c r="L92" s="156">
        <f>SUM(K92,J92)</f>
        <v/>
      </c>
      <c r="M92" s="156" t="n">
        <v>1.1</v>
      </c>
      <c r="N92" s="156" t="n">
        <v>0</v>
      </c>
      <c r="O92" s="156" t="n">
        <v>1</v>
      </c>
      <c r="P92" s="156" t="n">
        <v>1</v>
      </c>
      <c r="Q92" s="156" t="n">
        <v>0</v>
      </c>
      <c r="R92" s="156" t="n">
        <v>4</v>
      </c>
    </row>
    <row r="93" ht="15.6" customHeight="1" s="152">
      <c r="A93" s="167">
        <f>E93&amp;F93</f>
        <v/>
      </c>
      <c r="B93" s="156">
        <f>IF(D93&lt;&gt;"",C93,0)</f>
        <v/>
      </c>
      <c r="C93" s="156">
        <f>(M93/MAX(M:M)*$M$1)+(N93/MAX(N:N)*$N$1)+(O93/MAX(O:O)*$O$1)+(P93/MAX(P:P)*$P$1)+(Q93/MAX(Q:Q)*$Q$1)+(R93/MAX(R:R)*$R$1)</f>
        <v/>
      </c>
      <c r="D93" s="156">
        <f>IFERROR(VLOOKUP(A93,'Injury Report'!A:F,6,0),"")</f>
        <v/>
      </c>
      <c r="E93" s="156" t="inlineStr">
        <is>
          <t>Cody Barton</t>
        </is>
      </c>
      <c r="F93" s="156" t="inlineStr">
        <is>
          <t>TEN</t>
        </is>
      </c>
      <c r="G93" s="156" t="inlineStr">
        <is>
          <t>S</t>
        </is>
      </c>
      <c r="H93" s="156" t="n">
        <v>17</v>
      </c>
      <c r="I93" s="156" t="n">
        <v>1008</v>
      </c>
      <c r="J93" s="156" t="n">
        <v>66</v>
      </c>
      <c r="K93" s="156" t="n">
        <v>50</v>
      </c>
      <c r="L93" s="156">
        <f>SUM(K93,J93)</f>
        <v/>
      </c>
      <c r="M93" s="156" t="n">
        <v>2.5</v>
      </c>
      <c r="N93" s="156" t="n">
        <v>1</v>
      </c>
      <c r="O93" s="156" t="n">
        <v>0</v>
      </c>
      <c r="P93" s="156" t="n">
        <v>0</v>
      </c>
      <c r="Q93" s="156" t="n">
        <v>0</v>
      </c>
      <c r="R93" s="156" t="n">
        <v>5</v>
      </c>
    </row>
    <row r="94" ht="15.6" customHeight="1" s="152">
      <c r="A94" s="167">
        <f>E94&amp;F94</f>
        <v/>
      </c>
      <c r="B94" s="156">
        <f>IF(D94&lt;&gt;"",C94,0)</f>
        <v/>
      </c>
      <c r="C94" s="156">
        <f>(M94/MAX(M:M)*$M$1)+(N94/MAX(N:N)*$N$1)+(O94/MAX(O:O)*$O$1)+(P94/MAX(P:P)*$P$1)+(Q94/MAX(Q:Q)*$Q$1)+(R94/MAX(R:R)*$R$1)</f>
        <v/>
      </c>
      <c r="D94" s="156">
        <f>IFERROR(VLOOKUP(A94,'Injury Report'!A:F,6,0),"")</f>
        <v/>
      </c>
      <c r="E94" s="156" t="inlineStr">
        <is>
          <t>DeMario Davis</t>
        </is>
      </c>
      <c r="F94" s="156" t="inlineStr">
        <is>
          <t>NO</t>
        </is>
      </c>
      <c r="G94" s="156" t="inlineStr">
        <is>
          <t>S</t>
        </is>
      </c>
      <c r="H94" s="156" t="n">
        <v>17</v>
      </c>
      <c r="I94" s="156" t="n">
        <v>726</v>
      </c>
      <c r="J94" s="156" t="n">
        <v>61</v>
      </c>
      <c r="K94" s="156" t="n">
        <v>51</v>
      </c>
      <c r="L94" s="156">
        <f>SUM(K94,J94)</f>
        <v/>
      </c>
      <c r="M94" s="156" t="n">
        <v>1.5</v>
      </c>
      <c r="N94" s="156" t="n">
        <v>1</v>
      </c>
      <c r="O94" s="156" t="n">
        <v>0</v>
      </c>
      <c r="P94" s="156" t="n">
        <v>0</v>
      </c>
      <c r="Q94" s="156" t="n">
        <v>0</v>
      </c>
      <c r="R94" s="156" t="n">
        <v>1</v>
      </c>
    </row>
    <row r="95" ht="15.6" customHeight="1" s="152">
      <c r="A95" s="167">
        <f>E95&amp;F95</f>
        <v/>
      </c>
      <c r="B95" s="156">
        <f>IF(D95&lt;&gt;"",C95,0)</f>
        <v/>
      </c>
      <c r="C95" s="156">
        <f>(M95/MAX(M:M)*$M$1)+(N95/MAX(N:N)*$N$1)+(O95/MAX(O:O)*$O$1)+(P95/MAX(P:P)*$P$1)+(Q95/MAX(Q:Q)*$Q$1)+(R95/MAX(R:R)*$R$1)</f>
        <v/>
      </c>
      <c r="D95" s="156">
        <f>IFERROR(VLOOKUP(A95,'Injury Report'!A:F,6,0),"")</f>
        <v/>
      </c>
      <c r="E95" s="156" t="inlineStr">
        <is>
          <t>Elandon Roberts</t>
        </is>
      </c>
      <c r="F95" s="156" t="inlineStr">
        <is>
          <t>LV</t>
        </is>
      </c>
      <c r="G95" s="156" t="inlineStr">
        <is>
          <t>CB</t>
        </is>
      </c>
      <c r="H95" s="156" t="n">
        <v>17</v>
      </c>
      <c r="I95" s="156" t="n">
        <v>1003</v>
      </c>
      <c r="J95" s="156" t="n">
        <v>69</v>
      </c>
      <c r="K95" s="156" t="n">
        <v>44</v>
      </c>
      <c r="L95" s="156" t="n">
        <v>1</v>
      </c>
      <c r="M95" s="156" t="n">
        <v>1</v>
      </c>
      <c r="N95" s="156" t="n">
        <v>0</v>
      </c>
      <c r="O95" s="156" t="n">
        <v>0</v>
      </c>
      <c r="P95" s="156" t="n">
        <v>1</v>
      </c>
      <c r="Q95" s="156" t="n">
        <v>0</v>
      </c>
      <c r="R95" s="156" t="n">
        <v>2</v>
      </c>
    </row>
    <row r="96" ht="15.6" customHeight="1" s="152">
      <c r="A96" s="167">
        <f>E96&amp;F96</f>
        <v/>
      </c>
      <c r="B96" s="156">
        <f>IF(D96&lt;&gt;"",C96,0)</f>
        <v/>
      </c>
      <c r="C96" s="156">
        <f>(M96/MAX(M:M)*$M$1)+(N96/MAX(N:N)*$N$1)+(O96/MAX(O:O)*$O$1)+(P96/MAX(P:P)*$P$1)+(Q96/MAX(Q:Q)*$Q$1)+(R96/MAX(R:R)*$R$1)</f>
        <v/>
      </c>
      <c r="D96" s="156">
        <f>IFERROR(VLOOKUP(A96,'Injury Report'!A:F,6,0),"")</f>
        <v/>
      </c>
      <c r="E96" s="156" t="inlineStr">
        <is>
          <t>Henry To'oTo'o</t>
        </is>
      </c>
      <c r="F96" s="156" t="inlineStr">
        <is>
          <t>HOU</t>
        </is>
      </c>
      <c r="G96" s="156" t="inlineStr">
        <is>
          <t>CB</t>
        </is>
      </c>
      <c r="H96" s="156" t="n">
        <v>17</v>
      </c>
      <c r="I96" s="156" t="n">
        <v>824</v>
      </c>
      <c r="J96" s="156" t="n">
        <v>64</v>
      </c>
      <c r="K96" s="156" t="n">
        <v>51</v>
      </c>
      <c r="L96" s="156">
        <f>SUM(K96,J96)</f>
        <v/>
      </c>
      <c r="M96" s="156" t="n">
        <v>1.5</v>
      </c>
      <c r="N96" s="156" t="n">
        <v>1</v>
      </c>
      <c r="O96" s="156" t="n">
        <v>0</v>
      </c>
      <c r="P96" s="156" t="n">
        <v>0</v>
      </c>
      <c r="Q96" s="156" t="n">
        <v>1</v>
      </c>
      <c r="R96" s="156" t="n">
        <v>3</v>
      </c>
    </row>
    <row r="97" ht="15.6" customHeight="1" s="152">
      <c r="A97" s="167">
        <f>E97&amp;F97</f>
        <v/>
      </c>
      <c r="B97" s="156">
        <f>IF(D97&lt;&gt;"",C97,0)</f>
        <v/>
      </c>
      <c r="C97" s="156">
        <f>(M97/MAX(M:M)*$M$1)+(N97/MAX(N:N)*$N$1)+(O97/MAX(O:O)*$O$1)+(P97/MAX(P:P)*$P$1)+(Q97/MAX(Q:Q)*$Q$1)+(R97/MAX(R:R)*$R$1)</f>
        <v/>
      </c>
      <c r="D97" s="156">
        <f>IFERROR(VLOOKUP(A97,'Injury Report'!A:F,6,0),"")</f>
        <v/>
      </c>
      <c r="E97" s="156" t="inlineStr">
        <is>
          <t>Jaylon Carlies</t>
        </is>
      </c>
      <c r="F97" s="156" t="inlineStr">
        <is>
          <t>IND</t>
        </is>
      </c>
      <c r="G97" s="156" t="inlineStr">
        <is>
          <t>CB</t>
        </is>
      </c>
      <c r="H97" s="156" t="n">
        <v>17</v>
      </c>
      <c r="I97" s="156" t="n">
        <v>824</v>
      </c>
      <c r="J97" s="156" t="n">
        <v>0</v>
      </c>
      <c r="K97" s="156" t="n">
        <v>1</v>
      </c>
      <c r="L97" s="156" t="n">
        <v>1</v>
      </c>
      <c r="M97" s="156" t="n">
        <v>0</v>
      </c>
      <c r="N97" s="156" t="n">
        <v>0</v>
      </c>
      <c r="O97" s="156" t="n">
        <v>0</v>
      </c>
      <c r="P97" s="156" t="n">
        <v>0</v>
      </c>
      <c r="Q97" s="156" t="n">
        <v>1</v>
      </c>
      <c r="R97" s="156" t="n">
        <v>0</v>
      </c>
    </row>
    <row r="98" ht="15.6" customHeight="1" s="152">
      <c r="A98" s="167">
        <f>E98&amp;F98</f>
        <v/>
      </c>
      <c r="B98" s="156">
        <f>IF(D98&lt;&gt;"",C98,0)</f>
        <v/>
      </c>
      <c r="C98" s="156">
        <f>(M98/MAX(M:M)*$M$1)+(N98/MAX(N:N)*$N$1)+(O98/MAX(O:O)*$O$1)+(P98/MAX(P:P)*$P$1)+(Q98/MAX(Q:Q)*$Q$1)+(R98/MAX(R:R)*$R$1)</f>
        <v/>
      </c>
      <c r="D98" s="156">
        <f>IFERROR(VLOOKUP(A98,'Injury Report'!A:F,6,0),"")</f>
        <v/>
      </c>
      <c r="E98" s="156" t="inlineStr">
        <is>
          <t>Micah McFadden</t>
        </is>
      </c>
      <c r="F98" s="156" t="inlineStr">
        <is>
          <t>NYG</t>
        </is>
      </c>
      <c r="G98" s="156" t="inlineStr">
        <is>
          <t>LB</t>
        </is>
      </c>
      <c r="H98" s="156" t="n">
        <v>17</v>
      </c>
      <c r="I98" s="156" t="n">
        <v>522</v>
      </c>
      <c r="J98" s="156" t="n">
        <v>62</v>
      </c>
      <c r="K98" s="156" t="n">
        <v>45</v>
      </c>
      <c r="L98" s="156">
        <f>SUM(K98,J98)</f>
        <v/>
      </c>
      <c r="M98" s="156" t="n">
        <v>0.6</v>
      </c>
      <c r="N98" s="156" t="n">
        <v>0</v>
      </c>
      <c r="O98" s="156" t="n">
        <v>0</v>
      </c>
      <c r="P98" s="156" t="n">
        <v>0</v>
      </c>
      <c r="Q98" s="156" t="n">
        <v>0</v>
      </c>
      <c r="R98" s="156" t="n">
        <v>2</v>
      </c>
    </row>
    <row r="99" ht="15.6" customHeight="1" s="152">
      <c r="A99" s="167">
        <f>E99&amp;F99</f>
        <v/>
      </c>
      <c r="B99" s="156">
        <f>IF(D99&lt;&gt;"",C99,0)</f>
        <v/>
      </c>
      <c r="C99" s="156">
        <f>(M99/MAX(M:M)*$M$1)+(N99/MAX(N:N)*$N$1)+(O99/MAX(O:O)*$O$1)+(P99/MAX(P:P)*$P$1)+(Q99/MAX(Q:Q)*$Q$1)+(R99/MAX(R:R)*$R$1)</f>
        <v/>
      </c>
      <c r="D99" s="156">
        <f>IFERROR(VLOOKUP(A99,'Injury Report'!A:F,6,0),"")</f>
        <v/>
      </c>
      <c r="E99" s="156" t="inlineStr">
        <is>
          <t>Carson Schwesinger</t>
        </is>
      </c>
      <c r="F99" s="156" t="inlineStr">
        <is>
          <t>CLE</t>
        </is>
      </c>
      <c r="G99" s="156" t="inlineStr">
        <is>
          <t>S</t>
        </is>
      </c>
      <c r="H99" s="156" t="n">
        <v>17</v>
      </c>
      <c r="I99" s="156" t="n">
        <v>1054</v>
      </c>
      <c r="J99" s="156" t="n">
        <v>73</v>
      </c>
      <c r="K99" s="156" t="n">
        <v>43</v>
      </c>
      <c r="L99" s="156">
        <f>SUM(K99,J99)</f>
        <v/>
      </c>
      <c r="M99" s="156" t="n">
        <v>1.1</v>
      </c>
      <c r="N99" s="156" t="n">
        <v>1</v>
      </c>
      <c r="O99" s="156" t="n">
        <v>0</v>
      </c>
      <c r="P99" s="156" t="n">
        <v>0</v>
      </c>
      <c r="Q99" s="156" t="n">
        <v>1</v>
      </c>
      <c r="R99" s="156" t="n">
        <v>2</v>
      </c>
    </row>
    <row r="100" ht="15.6" customHeight="1" s="152">
      <c r="A100" s="167">
        <f>E100&amp;F100</f>
        <v/>
      </c>
      <c r="B100" s="156">
        <f>IF(D100&lt;&gt;"",C100,0)</f>
        <v/>
      </c>
      <c r="C100" s="156">
        <f>(M100/MAX(M:M)*$M$1)+(N100/MAX(N:N)*$N$1)+(O100/MAX(O:O)*$O$1)+(P100/MAX(P:P)*$P$1)+(Q100/MAX(Q:Q)*$Q$1)+(R100/MAX(R:R)*$R$1)</f>
        <v/>
      </c>
      <c r="D100" s="156">
        <f>IFERROR(VLOOKUP(A100,'Injury Report'!A:F,6,0),"")</f>
        <v/>
      </c>
      <c r="E100" s="156" t="inlineStr">
        <is>
          <t>Trevin Wallace</t>
        </is>
      </c>
      <c r="F100" s="156" t="inlineStr">
        <is>
          <t>CAR</t>
        </is>
      </c>
      <c r="G100" s="156" t="inlineStr">
        <is>
          <t>LB</t>
        </is>
      </c>
      <c r="H100" s="156" t="n">
        <v>17</v>
      </c>
      <c r="I100" s="156" t="n">
        <v>451</v>
      </c>
      <c r="J100" s="156" t="n">
        <v>63</v>
      </c>
      <c r="K100" s="156" t="n">
        <v>51</v>
      </c>
      <c r="L100" s="156">
        <f>SUM(K100,J100)</f>
        <v/>
      </c>
      <c r="M100" s="156" t="n">
        <v>2</v>
      </c>
      <c r="N100" s="156" t="n">
        <v>1</v>
      </c>
      <c r="O100" s="156" t="n">
        <v>0</v>
      </c>
      <c r="P100" s="156" t="n">
        <v>1</v>
      </c>
      <c r="Q100" s="156" t="n">
        <v>0</v>
      </c>
      <c r="R100" s="156" t="n">
        <v>2</v>
      </c>
    </row>
    <row r="101" ht="15.6" customHeight="1" s="152">
      <c r="A101" s="167">
        <f>E101&amp;F101</f>
        <v/>
      </c>
      <c r="B101" s="156">
        <f>IF(D101&lt;&gt;"",C101,0)</f>
        <v/>
      </c>
      <c r="C101" s="156">
        <f>(M101/MAX(M:M)*$M$1)+(N101/MAX(N:N)*$N$1)+(O101/MAX(O:O)*$O$1)+(P101/MAX(P:P)*$P$1)+(Q101/MAX(Q:Q)*$Q$1)+(R101/MAX(R:R)*$R$1)</f>
        <v/>
      </c>
      <c r="D101" s="156">
        <f>IFERROR(VLOOKUP(A101,'Injury Report'!A:F,6,0),"")</f>
        <v/>
      </c>
      <c r="E101" s="156" t="inlineStr">
        <is>
          <t>Ivan Pace Jr.</t>
        </is>
      </c>
      <c r="F101" s="156" t="inlineStr">
        <is>
          <t>MIN</t>
        </is>
      </c>
      <c r="G101" s="156" t="inlineStr">
        <is>
          <t>CB</t>
        </is>
      </c>
      <c r="H101" s="156" t="n">
        <v>17</v>
      </c>
      <c r="I101" s="156" t="n">
        <v>791</v>
      </c>
      <c r="J101" s="156" t="n">
        <v>54</v>
      </c>
      <c r="K101" s="156" t="n">
        <v>48</v>
      </c>
      <c r="L101" s="156">
        <f>SUM(K101,J101)</f>
        <v/>
      </c>
      <c r="M101" s="156" t="n">
        <v>0.3</v>
      </c>
      <c r="N101" s="156" t="n">
        <v>1</v>
      </c>
      <c r="O101" s="156" t="n">
        <v>1</v>
      </c>
      <c r="P101" s="156" t="n">
        <v>1</v>
      </c>
      <c r="Q101" s="156" t="n">
        <v>0</v>
      </c>
      <c r="R101" s="156" t="n">
        <v>2</v>
      </c>
    </row>
    <row r="102" ht="15.6" customHeight="1" s="152">
      <c r="A102" s="167">
        <f>E102&amp;F102</f>
        <v/>
      </c>
      <c r="B102" s="156">
        <f>IF(D102&lt;&gt;"",C102,0)</f>
        <v/>
      </c>
      <c r="C102" s="156">
        <f>(M102/MAX(M:M)*$M$1)+(N102/MAX(N:N)*$N$1)+(O102/MAX(O:O)*$O$1)+(P102/MAX(P:P)*$P$1)+(Q102/MAX(Q:Q)*$Q$1)+(R102/MAX(R:R)*$R$1)</f>
        <v/>
      </c>
      <c r="D102" s="156">
        <f>IFERROR(VLOOKUP(A102,'Injury Report'!A:F,6,0),"")</f>
        <v/>
      </c>
      <c r="E102" s="156" t="inlineStr">
        <is>
          <t>Payton Wilson</t>
        </is>
      </c>
      <c r="F102" s="156" t="inlineStr">
        <is>
          <t>PIT</t>
        </is>
      </c>
      <c r="G102" s="156" t="inlineStr">
        <is>
          <t>DE</t>
        </is>
      </c>
      <c r="H102" s="156" t="n">
        <v>17</v>
      </c>
      <c r="I102" s="156" t="n">
        <v>719</v>
      </c>
      <c r="J102" s="156" t="n">
        <v>59</v>
      </c>
      <c r="K102" s="156" t="n">
        <v>39</v>
      </c>
      <c r="L102" s="156">
        <f>SUM(K102,J102)</f>
        <v/>
      </c>
      <c r="M102" s="156" t="n">
        <v>0.6</v>
      </c>
      <c r="N102" s="156" t="n">
        <v>0</v>
      </c>
      <c r="O102" s="156" t="n">
        <v>0</v>
      </c>
      <c r="P102" s="156" t="n">
        <v>0</v>
      </c>
      <c r="Q102" s="156" t="n">
        <v>0</v>
      </c>
      <c r="R102" s="156" t="n">
        <v>3</v>
      </c>
    </row>
    <row r="103" ht="15.6" customHeight="1" s="152">
      <c r="A103" s="167">
        <f>E103&amp;F103</f>
        <v/>
      </c>
      <c r="B103" s="156">
        <f>IF(D103&lt;&gt;"",C103,0)</f>
        <v/>
      </c>
      <c r="C103" s="156">
        <f>(M103/MAX(M:M)*$M$1)+(N103/MAX(N:N)*$N$1)+(O103/MAX(O:O)*$O$1)+(P103/MAX(P:P)*$P$1)+(Q103/MAX(Q:Q)*$Q$1)+(R103/MAX(R:R)*$R$1)</f>
        <v/>
      </c>
      <c r="D103" s="156">
        <f>IFERROR(VLOOKUP(A103,'Injury Report'!A:F,6,0),"")</f>
        <v/>
      </c>
      <c r="E103" s="156" t="inlineStr">
        <is>
          <t>Christian Rozeboom</t>
        </is>
      </c>
      <c r="F103" s="156" t="inlineStr">
        <is>
          <t>CAR</t>
        </is>
      </c>
      <c r="G103" s="156" t="inlineStr">
        <is>
          <t>LB</t>
        </is>
      </c>
      <c r="H103" s="156" t="n">
        <v>17</v>
      </c>
      <c r="I103" s="156" t="n">
        <v>481</v>
      </c>
      <c r="J103" s="156" t="n">
        <v>61</v>
      </c>
      <c r="K103" s="156" t="n">
        <v>50</v>
      </c>
      <c r="L103" s="156">
        <f>SUM(K103,J103)</f>
        <v/>
      </c>
      <c r="M103" s="156" t="n">
        <v>3.2</v>
      </c>
      <c r="N103" s="156" t="n">
        <v>1</v>
      </c>
      <c r="O103" s="156" t="n">
        <v>1</v>
      </c>
      <c r="P103" s="156" t="n">
        <v>1</v>
      </c>
      <c r="Q103" s="156" t="n">
        <v>0</v>
      </c>
      <c r="R103" s="156" t="n">
        <v>4</v>
      </c>
    </row>
    <row r="104" ht="15.6" customHeight="1" s="152">
      <c r="A104" s="167">
        <f>E104&amp;F104</f>
        <v/>
      </c>
      <c r="B104" s="156">
        <f>IF(D104&lt;&gt;"",C104,0)</f>
        <v/>
      </c>
      <c r="C104" s="156">
        <f>(M104/MAX(M:M)*$M$1)+(N104/MAX(N:N)*$N$1)+(O104/MAX(O:O)*$O$1)+(P104/MAX(P:P)*$P$1)+(Q104/MAX(Q:Q)*$Q$1)+(R104/MAX(R:R)*$R$1)</f>
        <v/>
      </c>
      <c r="D104" s="156">
        <f>IFERROR(VLOOKUP(A104,'Injury Report'!A:F,6,0),"")</f>
        <v/>
      </c>
      <c r="E104" s="156" t="inlineStr">
        <is>
          <t>Mack Wilson</t>
        </is>
      </c>
      <c r="F104" s="156" t="inlineStr">
        <is>
          <t>ARI</t>
        </is>
      </c>
      <c r="G104" s="156" t="inlineStr">
        <is>
          <t>LB</t>
        </is>
      </c>
      <c r="H104" s="156" t="n">
        <v>17</v>
      </c>
      <c r="I104" s="156" t="n">
        <v>869</v>
      </c>
      <c r="J104" s="156" t="n">
        <v>50</v>
      </c>
      <c r="K104" s="156" t="n">
        <v>27</v>
      </c>
      <c r="L104" s="156">
        <f>SUM(K104,J104)</f>
        <v/>
      </c>
      <c r="M104" s="156" t="n">
        <v>0.3</v>
      </c>
      <c r="N104" s="156" t="n">
        <v>1</v>
      </c>
      <c r="O104" s="156" t="n">
        <v>0</v>
      </c>
      <c r="P104" s="156" t="n">
        <v>0</v>
      </c>
      <c r="Q104" s="156" t="n">
        <v>2</v>
      </c>
      <c r="R104" s="156" t="n">
        <v>2</v>
      </c>
    </row>
    <row r="105" ht="15.6" customHeight="1" s="152">
      <c r="A105" s="167">
        <f>E105&amp;F105</f>
        <v/>
      </c>
      <c r="B105" s="156">
        <f>IF(D105&lt;&gt;"",C105,0)</f>
        <v/>
      </c>
      <c r="C105" s="156">
        <f>(M105/MAX(M:M)*$M$1)+(N105/MAX(N:N)*$N$1)+(O105/MAX(O:O)*$O$1)+(P105/MAX(P:P)*$P$1)+(Q105/MAX(Q:Q)*$Q$1)+(R105/MAX(R:R)*$R$1)</f>
        <v/>
      </c>
      <c r="D105" s="156">
        <f>IFERROR(VLOOKUP(A105,'Injury Report'!A:F,6,0),"")</f>
        <v/>
      </c>
      <c r="E105" s="156" t="inlineStr">
        <is>
          <t>Demetrius Knight Jr.</t>
        </is>
      </c>
      <c r="F105" s="156" t="inlineStr">
        <is>
          <t>CIN</t>
        </is>
      </c>
      <c r="G105" s="156" t="inlineStr">
        <is>
          <t>S</t>
        </is>
      </c>
      <c r="H105" s="156" t="n">
        <v>17</v>
      </c>
      <c r="I105" s="156" t="n">
        <v>700</v>
      </c>
      <c r="J105" s="156" t="n">
        <v>55</v>
      </c>
      <c r="K105" s="156" t="n">
        <v>57</v>
      </c>
      <c r="L105" s="156">
        <f>SUM(K105,J105)</f>
        <v/>
      </c>
      <c r="M105" s="156" t="n">
        <v>1</v>
      </c>
      <c r="N105" s="156" t="n">
        <v>1</v>
      </c>
      <c r="O105" s="156" t="n">
        <v>1</v>
      </c>
      <c r="P105" s="156" t="n">
        <v>1</v>
      </c>
      <c r="Q105" s="156" t="n">
        <v>0</v>
      </c>
      <c r="R105" s="156" t="n">
        <v>4</v>
      </c>
    </row>
    <row r="106" ht="15.6" customHeight="1" s="152">
      <c r="A106" s="167">
        <f>E106&amp;F106</f>
        <v/>
      </c>
      <c r="B106" s="156">
        <f>IF(D106&lt;&gt;"",C106,0)</f>
        <v/>
      </c>
      <c r="C106" s="156">
        <f>(M106/MAX(M:M)*$M$1)+(N106/MAX(N:N)*$N$1)+(O106/MAX(O:O)*$O$1)+(P106/MAX(P:P)*$P$1)+(Q106/MAX(Q:Q)*$Q$1)+(R106/MAX(R:R)*$R$1)</f>
        <v/>
      </c>
      <c r="D106" s="156">
        <f>IFERROR(VLOOKUP(A106,'Injury Report'!A:F,6,0),"")</f>
        <v/>
      </c>
      <c r="E106" s="156" t="inlineStr">
        <is>
          <t>Jerome Baker</t>
        </is>
      </c>
      <c r="F106" s="156" t="inlineStr">
        <is>
          <t>CLE</t>
        </is>
      </c>
      <c r="G106" s="156" t="inlineStr">
        <is>
          <t>LB</t>
        </is>
      </c>
      <c r="H106" s="156" t="n">
        <v>17</v>
      </c>
      <c r="I106" s="156" t="n">
        <v>691</v>
      </c>
      <c r="J106" s="156" t="n">
        <v>56</v>
      </c>
      <c r="K106" s="156" t="n">
        <v>30</v>
      </c>
      <c r="L106" s="156">
        <f>SUM(K106,J106)</f>
        <v/>
      </c>
      <c r="M106" s="156" t="n">
        <v>3</v>
      </c>
      <c r="N106" s="156" t="n">
        <v>1</v>
      </c>
      <c r="O106" s="156" t="n">
        <v>0</v>
      </c>
      <c r="P106" s="156" t="n">
        <v>1</v>
      </c>
      <c r="Q106" s="156" t="n">
        <v>0</v>
      </c>
      <c r="R106" s="156" t="n">
        <v>2</v>
      </c>
    </row>
    <row r="107" ht="15.6" customHeight="1" s="152">
      <c r="A107" s="167">
        <f>E107&amp;F107</f>
        <v/>
      </c>
      <c r="B107" s="156">
        <f>IF(D107&lt;&gt;"",C107,0)</f>
        <v/>
      </c>
      <c r="C107" s="156">
        <f>(M107/MAX(M:M)*$M$1)+(N107/MAX(N:N)*$N$1)+(O107/MAX(O:O)*$O$1)+(P107/MAX(P:P)*$P$1)+(Q107/MAX(Q:Q)*$Q$1)+(R107/MAX(R:R)*$R$1)</f>
        <v/>
      </c>
      <c r="D107" s="156">
        <f>IFERROR(VLOOKUP(A107,'Injury Report'!A:F,6,0),"")</f>
        <v/>
      </c>
      <c r="E107" s="156" t="inlineStr">
        <is>
          <t>Kenneth Murray</t>
        </is>
      </c>
      <c r="F107" s="156" t="inlineStr">
        <is>
          <t>DAL</t>
        </is>
      </c>
      <c r="G107" s="156" t="inlineStr">
        <is>
          <t>S</t>
        </is>
      </c>
      <c r="H107" s="156" t="n">
        <v>17</v>
      </c>
      <c r="I107" s="156" t="n">
        <v>930</v>
      </c>
      <c r="J107" s="156" t="n">
        <v>48</v>
      </c>
      <c r="K107" s="156" t="n">
        <v>31</v>
      </c>
      <c r="L107" s="156">
        <f>SUM(K107,J107)</f>
        <v/>
      </c>
      <c r="M107" s="156" t="n">
        <v>0.8</v>
      </c>
      <c r="N107" s="156" t="n">
        <v>1</v>
      </c>
      <c r="O107" s="156" t="n">
        <v>0</v>
      </c>
      <c r="P107" s="156" t="n">
        <v>1</v>
      </c>
      <c r="Q107" s="156" t="n">
        <v>0</v>
      </c>
      <c r="R107" s="156" t="n">
        <v>2</v>
      </c>
    </row>
    <row r="108" ht="15.6" customHeight="1" s="152">
      <c r="A108" s="167">
        <f>E108&amp;F108</f>
        <v/>
      </c>
      <c r="B108" s="156">
        <f>IF(D108&lt;&gt;"",C108,0)</f>
        <v/>
      </c>
      <c r="C108" s="156">
        <f>(M108/MAX(M:M)*$M$1)+(N108/MAX(N:N)*$N$1)+(O108/MAX(O:O)*$O$1)+(P108/MAX(P:P)*$P$1)+(Q108/MAX(Q:Q)*$Q$1)+(R108/MAX(R:R)*$R$1)</f>
        <v/>
      </c>
      <c r="D108" s="156">
        <f>IFERROR(VLOOKUP(A108,'Injury Report'!A:F,6,0),"")</f>
        <v/>
      </c>
      <c r="E108" s="156" t="inlineStr">
        <is>
          <t>Nick Martin</t>
        </is>
      </c>
      <c r="F108" s="156" t="inlineStr">
        <is>
          <t>SF</t>
        </is>
      </c>
      <c r="G108" s="156" t="inlineStr">
        <is>
          <t>S</t>
        </is>
      </c>
      <c r="H108" s="156" t="n">
        <v>17</v>
      </c>
      <c r="I108" s="156" t="n">
        <v>777</v>
      </c>
      <c r="J108" s="156" t="n">
        <v>55</v>
      </c>
      <c r="K108" s="156" t="n">
        <v>34</v>
      </c>
      <c r="L108" s="156">
        <f>SUM(K108,J108)</f>
        <v/>
      </c>
      <c r="M108" s="156" t="n">
        <v>1</v>
      </c>
      <c r="N108" s="156" t="n">
        <v>1</v>
      </c>
      <c r="O108" s="156" t="n">
        <v>1</v>
      </c>
      <c r="P108" s="156" t="n">
        <v>3</v>
      </c>
      <c r="Q108" s="156" t="n">
        <v>0</v>
      </c>
      <c r="R108" s="156" t="n">
        <v>15</v>
      </c>
    </row>
    <row r="109" ht="15.6" customHeight="1" s="152">
      <c r="A109" s="167">
        <f>E109&amp;F109</f>
        <v/>
      </c>
      <c r="B109" s="156">
        <f>IF(D109&lt;&gt;"",C109,0)</f>
        <v/>
      </c>
      <c r="C109" s="156">
        <f>(M109/MAX(M:M)*$M$1)+(N109/MAX(N:N)*$N$1)+(O109/MAX(O:O)*$O$1)+(P109/MAX(P:P)*$P$1)+(Q109/MAX(Q:Q)*$Q$1)+(R109/MAX(R:R)*$R$1)</f>
        <v/>
      </c>
      <c r="D109" s="156">
        <f>IFERROR(VLOOKUP(A109,'Injury Report'!A:F,6,0),"")</f>
        <v/>
      </c>
      <c r="E109" s="156" t="inlineStr">
        <is>
          <t>Brian Branch</t>
        </is>
      </c>
      <c r="F109" s="156" t="inlineStr">
        <is>
          <t>DET</t>
        </is>
      </c>
      <c r="G109" s="156" t="inlineStr">
        <is>
          <t>LB</t>
        </is>
      </c>
      <c r="H109" s="156" t="n">
        <v>17</v>
      </c>
      <c r="I109" s="156" t="n">
        <v>799</v>
      </c>
      <c r="J109" s="156" t="n">
        <v>78</v>
      </c>
      <c r="K109" s="156" t="n">
        <v>33</v>
      </c>
      <c r="L109" s="156">
        <f>SUM(K109,J109)</f>
        <v/>
      </c>
      <c r="M109" s="156" t="n">
        <v>0.3</v>
      </c>
      <c r="N109" s="156" t="n">
        <v>2</v>
      </c>
      <c r="O109" s="156" t="n">
        <v>1</v>
      </c>
      <c r="P109" s="156" t="n">
        <v>3</v>
      </c>
      <c r="Q109" s="156" t="n">
        <v>0</v>
      </c>
      <c r="R109" s="156" t="n">
        <v>11</v>
      </c>
    </row>
    <row r="110" ht="15.6" customHeight="1" s="152">
      <c r="A110" s="167">
        <f>E110&amp;F110</f>
        <v/>
      </c>
      <c r="B110" s="156">
        <f>IF(D110&lt;&gt;"",C110,0)</f>
        <v/>
      </c>
      <c r="C110" s="156">
        <f>(M110/MAX(M:M)*$M$1)+(N110/MAX(N:N)*$N$1)+(O110/MAX(O:O)*$O$1)+(P110/MAX(P:P)*$P$1)+(Q110/MAX(Q:Q)*$Q$1)+(R110/MAX(R:R)*$R$1)</f>
        <v/>
      </c>
      <c r="D110" s="156">
        <f>IFERROR(VLOOKUP(A110,'Injury Report'!A:F,6,0),"")</f>
        <v/>
      </c>
      <c r="E110" s="156" t="inlineStr">
        <is>
          <t>Julian Love</t>
        </is>
      </c>
      <c r="F110" s="156" t="inlineStr">
        <is>
          <t>SEA</t>
        </is>
      </c>
      <c r="G110" s="156" t="inlineStr">
        <is>
          <t>S</t>
        </is>
      </c>
      <c r="H110" s="156" t="n">
        <v>17</v>
      </c>
      <c r="I110" s="156" t="n">
        <v>925</v>
      </c>
      <c r="J110" s="156" t="n">
        <v>80</v>
      </c>
      <c r="K110" s="156" t="n">
        <v>36</v>
      </c>
      <c r="L110" s="156">
        <f>SUM(K110,J110)</f>
        <v/>
      </c>
      <c r="M110" s="156" t="n">
        <v>0.6</v>
      </c>
      <c r="N110" s="156" t="n">
        <v>2</v>
      </c>
      <c r="O110" s="156" t="n">
        <v>1</v>
      </c>
      <c r="P110" s="156" t="n">
        <v>4</v>
      </c>
      <c r="Q110" s="156" t="n">
        <v>0</v>
      </c>
      <c r="R110" s="156" t="n">
        <v>10</v>
      </c>
    </row>
    <row r="111" ht="15.6" customHeight="1" s="152">
      <c r="A111" s="167">
        <f>E111&amp;F111</f>
        <v/>
      </c>
      <c r="B111" s="156">
        <f>IF(D111&lt;&gt;"",C111,0)</f>
        <v/>
      </c>
      <c r="C111" s="156">
        <f>(M111/MAX(M:M)*$M$1)+(N111/MAX(N:N)*$N$1)+(O111/MAX(O:O)*$O$1)+(P111/MAX(P:P)*$P$1)+(Q111/MAX(Q:Q)*$Q$1)+(R111/MAX(R:R)*$R$1)</f>
        <v/>
      </c>
      <c r="D111" s="156">
        <f>IFERROR(VLOOKUP(A111,'Injury Report'!A:F,6,0),"")</f>
        <v/>
      </c>
      <c r="E111" s="156" t="inlineStr">
        <is>
          <t>Jessie Bates III</t>
        </is>
      </c>
      <c r="F111" s="156" t="inlineStr">
        <is>
          <t>ATL</t>
        </is>
      </c>
      <c r="G111" s="156" t="inlineStr">
        <is>
          <t>CB</t>
        </is>
      </c>
      <c r="H111" s="156" t="n">
        <v>17</v>
      </c>
      <c r="I111" s="156" t="n">
        <v>786</v>
      </c>
      <c r="J111" s="156" t="n">
        <v>70</v>
      </c>
      <c r="K111" s="156" t="n">
        <v>42</v>
      </c>
      <c r="L111" s="156">
        <f>SUM(K111,J111)</f>
        <v/>
      </c>
      <c r="M111" s="156" t="n">
        <v>2</v>
      </c>
      <c r="N111" s="156" t="n">
        <v>3</v>
      </c>
      <c r="O111" s="156" t="n">
        <v>2</v>
      </c>
      <c r="P111" s="156" t="n">
        <v>2</v>
      </c>
      <c r="Q111" s="156" t="n">
        <v>1</v>
      </c>
      <c r="R111" s="156" t="n">
        <v>8</v>
      </c>
    </row>
    <row r="112" ht="15.6" customHeight="1" s="152">
      <c r="A112" s="167">
        <f>E112&amp;F112</f>
        <v/>
      </c>
      <c r="B112" s="156">
        <f>IF(D112&lt;&gt;"",C112,0)</f>
        <v/>
      </c>
      <c r="C112" s="156">
        <f>(M112/MAX(M:M)*$M$1)+(N112/MAX(N:N)*$N$1)+(O112/MAX(O:O)*$O$1)+(P112/MAX(P:P)*$P$1)+(Q112/MAX(Q:Q)*$Q$1)+(R112/MAX(R:R)*$R$1)</f>
        <v/>
      </c>
      <c r="D112" s="156">
        <f>IFERROR(VLOOKUP(A112,'Injury Report'!A:F,6,0),"")</f>
        <v/>
      </c>
      <c r="E112" s="156" t="inlineStr">
        <is>
          <t>Antoine Winfield Jr.</t>
        </is>
      </c>
      <c r="F112" s="156" t="inlineStr">
        <is>
          <t>TB</t>
        </is>
      </c>
      <c r="G112" s="156" t="inlineStr">
        <is>
          <t>LB</t>
        </is>
      </c>
      <c r="H112" s="156" t="n">
        <v>17</v>
      </c>
      <c r="I112" s="156" t="n">
        <v>576</v>
      </c>
      <c r="J112" s="156" t="n">
        <v>70</v>
      </c>
      <c r="K112" s="156" t="n">
        <v>38</v>
      </c>
      <c r="L112" s="156">
        <f>SUM(K112,J112)</f>
        <v/>
      </c>
      <c r="M112" s="156" t="n">
        <v>1.1</v>
      </c>
      <c r="N112" s="156" t="n">
        <v>1</v>
      </c>
      <c r="O112" s="156" t="n">
        <v>0</v>
      </c>
      <c r="P112" s="156" t="n">
        <v>1</v>
      </c>
      <c r="Q112" s="156" t="n">
        <v>0</v>
      </c>
      <c r="R112" s="156" t="n">
        <v>3</v>
      </c>
    </row>
    <row r="113" ht="15.6" customHeight="1" s="152">
      <c r="A113" s="167">
        <f>E113&amp;F113</f>
        <v/>
      </c>
      <c r="B113" s="156">
        <f>IF(D113&lt;&gt;"",C113,0)</f>
        <v/>
      </c>
      <c r="C113" s="156">
        <f>(M113/MAX(M:M)*$M$1)+(N113/MAX(N:N)*$N$1)+(O113/MAX(O:O)*$O$1)+(P113/MAX(P:P)*$P$1)+(Q113/MAX(Q:Q)*$Q$1)+(R113/MAX(R:R)*$R$1)</f>
        <v/>
      </c>
      <c r="D113" s="156">
        <f>IFERROR(VLOOKUP(A113,'Injury Report'!A:F,6,0),"")</f>
        <v/>
      </c>
      <c r="E113" s="156" t="inlineStr">
        <is>
          <t>Budda Baker</t>
        </is>
      </c>
      <c r="F113" s="156" t="inlineStr">
        <is>
          <t>ARI</t>
        </is>
      </c>
      <c r="G113" s="156" t="inlineStr">
        <is>
          <t>LB</t>
        </is>
      </c>
      <c r="H113" s="156" t="n">
        <v>17</v>
      </c>
      <c r="I113" s="156" t="n">
        <v>464</v>
      </c>
      <c r="J113" s="156" t="n">
        <v>88</v>
      </c>
      <c r="K113" s="156" t="n">
        <v>49</v>
      </c>
      <c r="L113" s="156">
        <f>SUM(K113,J113)</f>
        <v/>
      </c>
      <c r="M113" s="156" t="n">
        <v>3.5</v>
      </c>
      <c r="N113" s="156" t="n">
        <v>1</v>
      </c>
      <c r="O113" s="156" t="n">
        <v>1</v>
      </c>
      <c r="P113" s="156" t="n">
        <v>1</v>
      </c>
      <c r="Q113" s="156" t="n">
        <v>0</v>
      </c>
      <c r="R113" s="156" t="n">
        <v>7</v>
      </c>
    </row>
    <row r="114" ht="15.6" customHeight="1" s="152">
      <c r="A114" s="167">
        <f>E114&amp;F114</f>
        <v/>
      </c>
      <c r="B114" s="156">
        <f>IF(D114&lt;&gt;"",C114,0)</f>
        <v/>
      </c>
      <c r="C114" s="156">
        <f>(M114/MAX(M:M)*$M$1)+(N114/MAX(N:N)*$N$1)+(O114/MAX(O:O)*$O$1)+(P114/MAX(P:P)*$P$1)+(Q114/MAX(Q:Q)*$Q$1)+(R114/MAX(R:R)*$R$1)</f>
        <v/>
      </c>
      <c r="D114" s="156">
        <f>IFERROR(VLOOKUP(A114,'Injury Report'!A:F,6,0),"")</f>
        <v/>
      </c>
      <c r="E114" s="156" t="inlineStr">
        <is>
          <t>Derwin James</t>
        </is>
      </c>
      <c r="F114" s="156" t="inlineStr">
        <is>
          <t>LAC</t>
        </is>
      </c>
      <c r="G114" s="156" t="inlineStr">
        <is>
          <t>S</t>
        </is>
      </c>
      <c r="H114" s="156" t="n">
        <v>17</v>
      </c>
      <c r="I114" s="156" t="n">
        <v>537</v>
      </c>
      <c r="J114" s="156" t="n">
        <v>73</v>
      </c>
      <c r="K114" s="156" t="n">
        <v>40</v>
      </c>
      <c r="L114" s="156">
        <f>SUM(K114,J114)</f>
        <v/>
      </c>
      <c r="M114" s="156" t="n">
        <v>0.5</v>
      </c>
      <c r="N114" s="156" t="n">
        <v>1</v>
      </c>
      <c r="O114" s="156" t="n">
        <v>1</v>
      </c>
      <c r="P114" s="156" t="n">
        <v>5</v>
      </c>
      <c r="Q114" s="156" t="n">
        <v>0</v>
      </c>
      <c r="R114" s="156" t="n">
        <v>11</v>
      </c>
    </row>
    <row r="115" ht="15.6" customHeight="1" s="152">
      <c r="A115" s="167">
        <f>E115&amp;F115</f>
        <v/>
      </c>
      <c r="B115" s="156">
        <f>IF(D115&lt;&gt;"",C115,0)</f>
        <v/>
      </c>
      <c r="C115" s="156">
        <f>(M115/MAX(M:M)*$M$1)+(N115/MAX(N:N)*$N$1)+(O115/MAX(O:O)*$O$1)+(P115/MAX(P:P)*$P$1)+(Q115/MAX(Q:Q)*$Q$1)+(R115/MAX(R:R)*$R$1)</f>
        <v/>
      </c>
      <c r="D115" s="156">
        <f>IFERROR(VLOOKUP(A115,'Injury Report'!A:F,6,0),"")</f>
        <v/>
      </c>
      <c r="E115" s="156" t="inlineStr">
        <is>
          <t>Xavier McKinney</t>
        </is>
      </c>
      <c r="F115" s="156" t="inlineStr">
        <is>
          <t>GB</t>
        </is>
      </c>
      <c r="G115" s="156" t="inlineStr">
        <is>
          <t>S</t>
        </is>
      </c>
      <c r="H115" s="156" t="n">
        <v>17</v>
      </c>
      <c r="I115" s="156" t="n">
        <v>853</v>
      </c>
      <c r="J115" s="156" t="n">
        <v>64</v>
      </c>
      <c r="K115" s="156" t="n">
        <v>32</v>
      </c>
      <c r="L115" s="156">
        <f>SUM(K115,J115)</f>
        <v/>
      </c>
      <c r="M115" s="156" t="n">
        <v>1.4</v>
      </c>
      <c r="N115" s="156" t="n">
        <v>1</v>
      </c>
      <c r="O115" s="156" t="n">
        <v>0</v>
      </c>
      <c r="P115" s="156" t="n">
        <v>2</v>
      </c>
      <c r="Q115" s="156" t="n">
        <v>0</v>
      </c>
      <c r="R115" s="156" t="n">
        <v>10</v>
      </c>
    </row>
    <row r="116" ht="15.6" customHeight="1" s="152">
      <c r="A116" s="167">
        <f>E116&amp;F116</f>
        <v/>
      </c>
      <c r="B116" s="156">
        <f>IF(D116&lt;&gt;"",C116,0)</f>
        <v/>
      </c>
      <c r="C116" s="156">
        <f>(M116/MAX(M:M)*$M$1)+(N116/MAX(N:N)*$N$1)+(O116/MAX(O:O)*$O$1)+(P116/MAX(P:P)*$P$1)+(Q116/MAX(Q:Q)*$Q$1)+(R116/MAX(R:R)*$R$1)</f>
        <v/>
      </c>
      <c r="D116" s="156">
        <f>IFERROR(VLOOKUP(A116,'Injury Report'!A:F,6,0),"")</f>
        <v/>
      </c>
      <c r="E116" s="156" t="inlineStr">
        <is>
          <t>Kyle Hamilton</t>
        </is>
      </c>
      <c r="F116" s="156" t="inlineStr">
        <is>
          <t>BAL</t>
        </is>
      </c>
      <c r="G116" s="156" t="inlineStr">
        <is>
          <t>CB</t>
        </is>
      </c>
      <c r="H116" s="156" t="n">
        <v>17</v>
      </c>
      <c r="I116" s="156" t="n">
        <v>993</v>
      </c>
      <c r="J116" s="156" t="n">
        <v>78</v>
      </c>
      <c r="K116" s="156" t="n">
        <v>27</v>
      </c>
      <c r="L116" s="156">
        <f>SUM(K116,J116)</f>
        <v/>
      </c>
      <c r="M116" s="156" t="n">
        <v>0</v>
      </c>
      <c r="N116" s="156" t="n">
        <v>1</v>
      </c>
      <c r="O116" s="156" t="n">
        <v>0</v>
      </c>
      <c r="P116" s="156" t="n">
        <v>6</v>
      </c>
      <c r="Q116" s="156" t="n">
        <v>1</v>
      </c>
      <c r="R116" s="156" t="n">
        <v>11</v>
      </c>
    </row>
    <row r="117" ht="15.6" customHeight="1" s="152">
      <c r="A117" s="167">
        <f>E117&amp;F117</f>
        <v/>
      </c>
      <c r="B117" s="156">
        <f>IF(D117&lt;&gt;"",C117,0)</f>
        <v/>
      </c>
      <c r="C117" s="156">
        <f>(M117/MAX(M:M)*$M$1)+(N117/MAX(N:N)*$N$1)+(O117/MAX(O:O)*$O$1)+(P117/MAX(P:P)*$P$1)+(Q117/MAX(Q:Q)*$Q$1)+(R117/MAX(R:R)*$R$1)</f>
        <v/>
      </c>
      <c r="D117" s="156">
        <f>IFERROR(VLOOKUP(A117,'Injury Report'!A:F,6,0),"")</f>
        <v/>
      </c>
      <c r="E117" s="156" t="inlineStr">
        <is>
          <t>Kerby Joseph</t>
        </is>
      </c>
      <c r="F117" s="156" t="inlineStr">
        <is>
          <t>DET</t>
        </is>
      </c>
      <c r="G117" s="156" t="inlineStr">
        <is>
          <t>DT</t>
        </is>
      </c>
      <c r="H117" s="156" t="n">
        <v>17</v>
      </c>
      <c r="I117" s="156" t="n">
        <v>774</v>
      </c>
      <c r="J117" s="156" t="n">
        <v>63</v>
      </c>
      <c r="K117" s="156" t="n">
        <v>22</v>
      </c>
      <c r="L117" s="156">
        <f>SUM(K117,J117)</f>
        <v/>
      </c>
      <c r="M117" s="156" t="n">
        <v>1.2</v>
      </c>
      <c r="N117" s="156" t="n">
        <v>1</v>
      </c>
      <c r="O117" s="156" t="n">
        <v>1</v>
      </c>
      <c r="P117" s="156" t="n">
        <v>2</v>
      </c>
      <c r="Q117" s="156" t="n">
        <v>0</v>
      </c>
      <c r="R117" s="156" t="n">
        <v>6</v>
      </c>
    </row>
    <row r="118" ht="15.6" customHeight="1" s="152">
      <c r="A118" s="167">
        <f>E118&amp;F118</f>
        <v/>
      </c>
      <c r="B118" s="156">
        <f>IF(D118&lt;&gt;"",C118,0)</f>
        <v/>
      </c>
      <c r="C118" s="156">
        <f>(M118/MAX(M:M)*$M$1)+(N118/MAX(N:N)*$N$1)+(O118/MAX(O:O)*$O$1)+(P118/MAX(P:P)*$P$1)+(Q118/MAX(Q:Q)*$Q$1)+(R118/MAX(R:R)*$R$1)</f>
        <v/>
      </c>
      <c r="D118" s="156">
        <f>IFERROR(VLOOKUP(A118,'Injury Report'!A:F,6,0),"")</f>
        <v/>
      </c>
      <c r="E118" s="156" t="inlineStr">
        <is>
          <t>Kevin Byard</t>
        </is>
      </c>
      <c r="F118" s="156" t="inlineStr">
        <is>
          <t>CHI</t>
        </is>
      </c>
      <c r="G118" s="156" t="inlineStr">
        <is>
          <t>LB</t>
        </is>
      </c>
      <c r="H118" s="156" t="n">
        <v>17</v>
      </c>
      <c r="I118" s="156" t="n">
        <v>483</v>
      </c>
      <c r="J118" s="156" t="n">
        <v>71</v>
      </c>
      <c r="K118" s="156" t="n">
        <v>42</v>
      </c>
      <c r="L118" s="156">
        <f>SUM(K118,J118)</f>
        <v/>
      </c>
      <c r="M118" s="156" t="n">
        <v>0.5</v>
      </c>
      <c r="N118" s="156" t="n">
        <v>1</v>
      </c>
      <c r="O118" s="156" t="n">
        <v>1</v>
      </c>
      <c r="P118" s="156" t="n">
        <v>2</v>
      </c>
      <c r="Q118" s="156" t="n">
        <v>0</v>
      </c>
      <c r="R118" s="156" t="n">
        <v>9</v>
      </c>
    </row>
    <row r="119" ht="15.6" customHeight="1" s="152">
      <c r="A119" s="167">
        <f>E119&amp;F119</f>
        <v/>
      </c>
      <c r="B119" s="156">
        <f>IF(D119&lt;&gt;"",C119,0)</f>
        <v/>
      </c>
      <c r="C119" s="156">
        <f>(M119/MAX(M:M)*$M$1)+(N119/MAX(N:N)*$N$1)+(O119/MAX(O:O)*$O$1)+(P119/MAX(P:P)*$P$1)+(Q119/MAX(Q:Q)*$Q$1)+(R119/MAX(R:R)*$R$1)</f>
        <v/>
      </c>
      <c r="D119" s="156">
        <f>IFERROR(VLOOKUP(A119,'Injury Report'!A:F,6,0),"")</f>
        <v/>
      </c>
      <c r="E119" s="156" t="inlineStr">
        <is>
          <t>Camryn Bynum</t>
        </is>
      </c>
      <c r="F119" s="156" t="inlineStr">
        <is>
          <t>IND</t>
        </is>
      </c>
      <c r="G119" s="156" t="inlineStr">
        <is>
          <t>CB</t>
        </is>
      </c>
      <c r="H119" s="156" t="n">
        <v>17</v>
      </c>
      <c r="I119" s="156" t="n">
        <v>1140</v>
      </c>
      <c r="J119" s="156" t="n">
        <v>70</v>
      </c>
      <c r="K119" s="156" t="n">
        <v>38</v>
      </c>
      <c r="L119" s="156">
        <f>SUM(K119,J119)</f>
        <v/>
      </c>
      <c r="M119" s="156" t="n">
        <v>1.5</v>
      </c>
      <c r="N119" s="156" t="n">
        <v>1</v>
      </c>
      <c r="O119" s="156" t="n">
        <v>0</v>
      </c>
      <c r="P119" s="156" t="n">
        <v>2</v>
      </c>
      <c r="Q119" s="156" t="n">
        <v>0</v>
      </c>
      <c r="R119" s="156" t="n">
        <v>4</v>
      </c>
    </row>
    <row r="120" ht="15.6" customHeight="1" s="152">
      <c r="A120" s="167">
        <f>E120&amp;F120</f>
        <v/>
      </c>
      <c r="B120" s="156">
        <f>IF(D120&lt;&gt;"",C120,0)</f>
        <v/>
      </c>
      <c r="C120" s="156">
        <f>(M120/MAX(M:M)*$M$1)+(N120/MAX(N:N)*$N$1)+(O120/MAX(O:O)*$O$1)+(P120/MAX(P:P)*$P$1)+(Q120/MAX(Q:Q)*$Q$1)+(R120/MAX(R:R)*$R$1)</f>
        <v/>
      </c>
      <c r="D120" s="156">
        <f>IFERROR(VLOOKUP(A120,'Injury Report'!A:F,6,0),"")</f>
        <v/>
      </c>
      <c r="E120" s="156" t="inlineStr">
        <is>
          <t>Grant Delpit</t>
        </is>
      </c>
      <c r="F120" s="156" t="inlineStr">
        <is>
          <t>CLE</t>
        </is>
      </c>
      <c r="G120" s="156" t="inlineStr">
        <is>
          <t>S</t>
        </is>
      </c>
      <c r="H120" s="156" t="n">
        <v>17</v>
      </c>
      <c r="I120" s="156" t="n">
        <v>721</v>
      </c>
      <c r="J120" s="156" t="n">
        <v>70</v>
      </c>
      <c r="K120" s="156" t="n">
        <v>40</v>
      </c>
      <c r="L120" s="156" t="n">
        <v>2</v>
      </c>
      <c r="M120" s="156" t="n">
        <v>2</v>
      </c>
      <c r="N120" s="156" t="n">
        <v>1</v>
      </c>
      <c r="O120" s="156" t="n">
        <v>1</v>
      </c>
      <c r="P120" s="156" t="n">
        <v>2</v>
      </c>
      <c r="Q120" s="156" t="n">
        <v>0</v>
      </c>
      <c r="R120" s="156" t="n">
        <v>7</v>
      </c>
    </row>
    <row r="121" ht="15.6" customHeight="1" s="152">
      <c r="A121" s="167">
        <f>E121&amp;F121</f>
        <v/>
      </c>
      <c r="B121" s="156">
        <f>IF(D121&lt;&gt;"",C121,0)</f>
        <v/>
      </c>
      <c r="C121" s="156">
        <f>(M121/MAX(M:M)*$M$1)+(N121/MAX(N:N)*$N$1)+(O121/MAX(O:O)*$O$1)+(P121/MAX(P:P)*$P$1)+(Q121/MAX(Q:Q)*$Q$1)+(R121/MAX(R:R)*$R$1)</f>
        <v/>
      </c>
      <c r="D121" s="156">
        <f>IFERROR(VLOOKUP(A121,'Injury Report'!A:F,6,0),"")</f>
        <v/>
      </c>
      <c r="E121" s="156" t="inlineStr">
        <is>
          <t>Harrison Smith</t>
        </is>
      </c>
      <c r="F121" s="156" t="inlineStr">
        <is>
          <t>MIN</t>
        </is>
      </c>
      <c r="G121" s="156" t="inlineStr">
        <is>
          <t>CB</t>
        </is>
      </c>
      <c r="H121" s="156" t="n">
        <v>17</v>
      </c>
      <c r="I121" s="156" t="n">
        <v>871</v>
      </c>
      <c r="J121" s="156" t="n">
        <v>63</v>
      </c>
      <c r="K121" s="156" t="n">
        <v>32</v>
      </c>
      <c r="L121" s="156">
        <f>SUM(K121,J121)</f>
        <v/>
      </c>
      <c r="M121" s="156" t="n">
        <v>0.1</v>
      </c>
      <c r="N121" s="156" t="n">
        <v>1</v>
      </c>
      <c r="O121" s="156" t="n">
        <v>1</v>
      </c>
      <c r="P121" s="156" t="n">
        <v>2</v>
      </c>
      <c r="Q121" s="156" t="n">
        <v>0</v>
      </c>
      <c r="R121" s="156" t="n">
        <v>14</v>
      </c>
    </row>
    <row r="122" ht="15.6" customHeight="1" s="152">
      <c r="A122" s="167">
        <f>E122&amp;F122</f>
        <v/>
      </c>
      <c r="B122" s="156">
        <f>IF(D122&lt;&gt;"",C122,0)</f>
        <v/>
      </c>
      <c r="C122" s="156">
        <f>(M122/MAX(M:M)*$M$1)+(N122/MAX(N:N)*$N$1)+(O122/MAX(O:O)*$O$1)+(P122/MAX(P:P)*$P$1)+(Q122/MAX(Q:Q)*$Q$1)+(R122/MAX(R:R)*$R$1)</f>
        <v/>
      </c>
      <c r="D122" s="156">
        <f>IFERROR(VLOOKUP(A122,'Injury Report'!A:F,6,0),"")</f>
        <v/>
      </c>
      <c r="E122" s="156" t="inlineStr">
        <is>
          <t>Mike Sainristil</t>
        </is>
      </c>
      <c r="F122" s="156" t="inlineStr">
        <is>
          <t>WAS</t>
        </is>
      </c>
      <c r="G122" s="156" t="inlineStr">
        <is>
          <t>S</t>
        </is>
      </c>
      <c r="H122" s="156" t="n">
        <v>17</v>
      </c>
      <c r="I122" s="156" t="n">
        <v>663</v>
      </c>
      <c r="J122" s="156" t="n">
        <v>10</v>
      </c>
      <c r="K122" s="156" t="n">
        <v>4</v>
      </c>
      <c r="L122" s="156" t="n">
        <v>2</v>
      </c>
      <c r="M122" s="156" t="n">
        <v>0</v>
      </c>
      <c r="N122" s="156" t="n">
        <v>0</v>
      </c>
      <c r="O122" s="156" t="n">
        <v>0</v>
      </c>
      <c r="P122" s="156" t="n">
        <v>0</v>
      </c>
      <c r="Q122" s="156" t="n">
        <v>0</v>
      </c>
      <c r="R122" s="156" t="n">
        <v>0</v>
      </c>
    </row>
    <row r="123" ht="15.6" customHeight="1" s="152">
      <c r="A123" s="167">
        <f>E123&amp;F123</f>
        <v/>
      </c>
      <c r="B123" s="156">
        <f>IF(D123&lt;&gt;"",C123,0)</f>
        <v/>
      </c>
      <c r="C123" s="156">
        <f>(M123/MAX(M:M)*$M$1)+(N123/MAX(N:N)*$N$1)+(O123/MAX(O:O)*$O$1)+(P123/MAX(P:P)*$P$1)+(Q123/MAX(Q:Q)*$Q$1)+(R123/MAX(R:R)*$R$1)</f>
        <v/>
      </c>
      <c r="D123" s="156">
        <f>IFERROR(VLOOKUP(A123,'Injury Report'!A:F,6,0),"")</f>
        <v/>
      </c>
      <c r="E123" s="156" t="inlineStr">
        <is>
          <t>Nick Cross</t>
        </is>
      </c>
      <c r="F123" s="156" t="inlineStr">
        <is>
          <t>IND</t>
        </is>
      </c>
      <c r="G123" s="156" t="inlineStr">
        <is>
          <t>LB</t>
        </is>
      </c>
      <c r="H123" s="156" t="n">
        <v>17</v>
      </c>
      <c r="I123" s="156" t="n">
        <v>733</v>
      </c>
      <c r="J123" s="156" t="n">
        <v>70</v>
      </c>
      <c r="K123" s="156" t="n">
        <v>42</v>
      </c>
      <c r="L123" s="156">
        <f>SUM(K123,J123)</f>
        <v/>
      </c>
      <c r="M123" s="156" t="n">
        <v>1</v>
      </c>
      <c r="N123" s="156" t="n">
        <v>2</v>
      </c>
      <c r="O123" s="156" t="n">
        <v>1</v>
      </c>
      <c r="P123" s="156" t="n">
        <v>2</v>
      </c>
      <c r="Q123" s="156" t="n">
        <v>0</v>
      </c>
      <c r="R123" s="156" t="n">
        <v>7</v>
      </c>
    </row>
    <row r="124" ht="15.6" customHeight="1" s="152">
      <c r="A124" s="167">
        <f>E124&amp;F124</f>
        <v/>
      </c>
      <c r="B124" s="156">
        <f>IF(D124&lt;&gt;"",C124,0)</f>
        <v/>
      </c>
      <c r="C124" s="156">
        <f>(M124/MAX(M:M)*$M$1)+(N124/MAX(N:N)*$N$1)+(O124/MAX(O:O)*$O$1)+(P124/MAX(P:P)*$P$1)+(Q124/MAX(Q:Q)*$Q$1)+(R124/MAX(R:R)*$R$1)</f>
        <v/>
      </c>
      <c r="D124" s="156">
        <f>IFERROR(VLOOKUP(A124,'Injury Report'!A:F,6,0),"")</f>
        <v/>
      </c>
      <c r="E124" s="156" t="inlineStr">
        <is>
          <t>Taron Johnson</t>
        </is>
      </c>
      <c r="F124" s="156" t="inlineStr">
        <is>
          <t>BUF</t>
        </is>
      </c>
      <c r="G124" s="156" t="inlineStr">
        <is>
          <t>CB</t>
        </is>
      </c>
      <c r="H124" s="156" t="n">
        <v>17</v>
      </c>
      <c r="I124" s="156" t="n">
        <v>803</v>
      </c>
      <c r="J124" s="156" t="n">
        <v>65</v>
      </c>
      <c r="K124" s="156" t="n">
        <v>27</v>
      </c>
      <c r="L124" s="156" t="n">
        <v>0</v>
      </c>
      <c r="M124" s="156" t="n">
        <v>0</v>
      </c>
      <c r="N124" s="156" t="n">
        <v>0</v>
      </c>
      <c r="O124" s="156" t="n">
        <v>1</v>
      </c>
      <c r="P124" s="156" t="n">
        <v>3</v>
      </c>
      <c r="Q124" s="156" t="n">
        <v>0</v>
      </c>
      <c r="R124" s="156" t="n">
        <v>8</v>
      </c>
    </row>
    <row r="125" ht="15.6" customHeight="1" s="152">
      <c r="A125" s="167">
        <f>E125&amp;F125</f>
        <v/>
      </c>
      <c r="B125" s="156">
        <f>IF(D125&lt;&gt;"",C125,0)</f>
        <v/>
      </c>
      <c r="C125" s="156">
        <f>(M125/MAX(M:M)*$M$1)+(N125/MAX(N:N)*$N$1)+(O125/MAX(O:O)*$O$1)+(P125/MAX(P:P)*$P$1)+(Q125/MAX(Q:Q)*$Q$1)+(R125/MAX(R:R)*$R$1)</f>
        <v/>
      </c>
      <c r="D125" s="156">
        <f>IFERROR(VLOOKUP(A125,'Injury Report'!A:F,6,0),"")</f>
        <v/>
      </c>
      <c r="E125" s="156" t="inlineStr">
        <is>
          <t>Reed Blankenship</t>
        </is>
      </c>
      <c r="F125" s="156" t="inlineStr">
        <is>
          <t>PHI</t>
        </is>
      </c>
      <c r="G125" s="156" t="inlineStr">
        <is>
          <t>S</t>
        </is>
      </c>
      <c r="H125" s="156" t="n">
        <v>17</v>
      </c>
      <c r="I125" s="156" t="n">
        <v>818</v>
      </c>
      <c r="J125" s="156" t="n">
        <v>66</v>
      </c>
      <c r="K125" s="156" t="n">
        <v>33</v>
      </c>
      <c r="L125" s="156">
        <f>SUM(K125,J125)</f>
        <v/>
      </c>
      <c r="M125" s="156" t="n">
        <v>1.4</v>
      </c>
      <c r="N125" s="156" t="n">
        <v>0</v>
      </c>
      <c r="O125" s="156" t="n">
        <v>1</v>
      </c>
      <c r="P125" s="156" t="n">
        <v>2</v>
      </c>
      <c r="Q125" s="156" t="n">
        <v>0</v>
      </c>
      <c r="R125" s="156" t="n">
        <v>9</v>
      </c>
    </row>
    <row r="126" ht="15.6" customHeight="1" s="152">
      <c r="A126" s="167">
        <f>E126&amp;F126</f>
        <v/>
      </c>
      <c r="B126" s="156">
        <f>IF(D126&lt;&gt;"",C126,0)</f>
        <v/>
      </c>
      <c r="C126" s="156">
        <f>(M126/MAX(M:M)*$M$1)+(N126/MAX(N:N)*$N$1)+(O126/MAX(O:O)*$O$1)+(P126/MAX(P:P)*$P$1)+(Q126/MAX(Q:Q)*$Q$1)+(R126/MAX(R:R)*$R$1)</f>
        <v/>
      </c>
      <c r="D126" s="156">
        <f>IFERROR(VLOOKUP(A126,'Injury Report'!A:F,6,0),"")</f>
        <v/>
      </c>
      <c r="E126" s="156" t="inlineStr">
        <is>
          <t>Trevon Moehrig</t>
        </is>
      </c>
      <c r="F126" s="156" t="inlineStr">
        <is>
          <t>CAR</t>
        </is>
      </c>
      <c r="G126" s="156" t="inlineStr">
        <is>
          <t>CB</t>
        </is>
      </c>
      <c r="H126" s="156" t="n">
        <v>17</v>
      </c>
      <c r="I126" s="156" t="n">
        <v>693</v>
      </c>
      <c r="J126" s="156" t="n">
        <v>4</v>
      </c>
      <c r="K126" s="156" t="n">
        <v>6</v>
      </c>
      <c r="L126" s="156" t="n">
        <v>0</v>
      </c>
      <c r="M126" s="156" t="n">
        <v>0</v>
      </c>
      <c r="N126" s="156" t="n">
        <v>0</v>
      </c>
      <c r="O126" s="156" t="n">
        <v>0</v>
      </c>
      <c r="P126" s="156" t="n">
        <v>0</v>
      </c>
      <c r="Q126" s="156" t="n">
        <v>0</v>
      </c>
      <c r="R126" s="156" t="n">
        <v>0</v>
      </c>
    </row>
    <row r="127" ht="15.6" customHeight="1" s="152">
      <c r="A127" s="167">
        <f>E127&amp;F127</f>
        <v/>
      </c>
      <c r="B127" s="156">
        <f>IF(D127&lt;&gt;"",C127,0)</f>
        <v/>
      </c>
      <c r="C127" s="156">
        <f>(M127/MAX(M:M)*$M$1)+(N127/MAX(N:N)*$N$1)+(O127/MAX(O:O)*$O$1)+(P127/MAX(P:P)*$P$1)+(Q127/MAX(Q:Q)*$Q$1)+(R127/MAX(R:R)*$R$1)</f>
        <v/>
      </c>
      <c r="D127" s="156">
        <f>IFERROR(VLOOKUP(A127,'Injury Report'!A:F,6,0),"")</f>
        <v/>
      </c>
      <c r="E127" s="156" t="inlineStr">
        <is>
          <t>Alontae Taylor</t>
        </is>
      </c>
      <c r="F127" s="156" t="inlineStr">
        <is>
          <t>NO</t>
        </is>
      </c>
      <c r="G127" s="156" t="inlineStr">
        <is>
          <t>DT</t>
        </is>
      </c>
      <c r="H127" s="156" t="n">
        <v>17</v>
      </c>
      <c r="I127" s="156" t="n">
        <v>661</v>
      </c>
      <c r="J127" s="156" t="n">
        <v>62</v>
      </c>
      <c r="K127" s="156" t="n">
        <v>24</v>
      </c>
      <c r="L127" s="156">
        <f>SUM(K127,J127)</f>
        <v/>
      </c>
      <c r="M127" s="156" t="n">
        <v>1</v>
      </c>
      <c r="N127" s="156" t="n">
        <v>0</v>
      </c>
      <c r="O127" s="156" t="n">
        <v>1</v>
      </c>
      <c r="P127" s="156" t="n">
        <v>1</v>
      </c>
      <c r="Q127" s="156" t="n">
        <v>0</v>
      </c>
      <c r="R127" s="156" t="n">
        <v>5</v>
      </c>
    </row>
    <row r="128" ht="15.6" customHeight="1" s="152">
      <c r="A128" s="167">
        <f>E128&amp;F128</f>
        <v/>
      </c>
      <c r="B128" s="156">
        <f>IF(D128&lt;&gt;"",C128,0)</f>
        <v/>
      </c>
      <c r="C128" s="156">
        <f>(M128/MAX(M:M)*$M$1)+(N128/MAX(N:N)*$N$1)+(O128/MAX(O:O)*$O$1)+(P128/MAX(P:P)*$P$1)+(Q128/MAX(Q:Q)*$Q$1)+(R128/MAX(R:R)*$R$1)</f>
        <v/>
      </c>
      <c r="D128" s="156">
        <f>IFERROR(VLOOKUP(A128,'Injury Report'!A:F,6,0),"")</f>
        <v/>
      </c>
      <c r="E128" s="156" t="inlineStr">
        <is>
          <t>Jeremy Chinn</t>
        </is>
      </c>
      <c r="F128" s="156" t="inlineStr">
        <is>
          <t>LV</t>
        </is>
      </c>
      <c r="G128" s="156" t="inlineStr">
        <is>
          <t>S</t>
        </is>
      </c>
      <c r="H128" s="156" t="n">
        <v>17</v>
      </c>
      <c r="I128" s="156" t="n">
        <v>819</v>
      </c>
      <c r="J128" s="156" t="n">
        <v>74</v>
      </c>
      <c r="K128" s="156" t="n">
        <v>34</v>
      </c>
      <c r="L128" s="156">
        <f>SUM(K128,J128)</f>
        <v/>
      </c>
      <c r="M128" s="156" t="n">
        <v>0</v>
      </c>
      <c r="N128" s="156" t="n">
        <v>0</v>
      </c>
      <c r="O128" s="156" t="n">
        <v>1</v>
      </c>
      <c r="P128" s="156" t="n">
        <v>4</v>
      </c>
      <c r="Q128" s="156" t="n">
        <v>0</v>
      </c>
      <c r="R128" s="156" t="n">
        <v>12</v>
      </c>
    </row>
    <row r="129" ht="15.6" customHeight="1" s="152">
      <c r="A129" s="167">
        <f>E129&amp;F129</f>
        <v/>
      </c>
      <c r="B129" s="156">
        <f>IF(D129&lt;&gt;"",C129,0)</f>
        <v/>
      </c>
      <c r="C129" s="156">
        <f>(M129/MAX(M:M)*$M$1)+(N129/MAX(N:N)*$N$1)+(O129/MAX(O:O)*$O$1)+(P129/MAX(P:P)*$P$1)+(Q129/MAX(Q:Q)*$Q$1)+(R129/MAX(R:R)*$R$1)</f>
        <v/>
      </c>
      <c r="D129" s="156">
        <f>IFERROR(VLOOKUP(A129,'Injury Report'!A:F,6,0),"")</f>
        <v/>
      </c>
      <c r="E129" s="156" t="inlineStr">
        <is>
          <t>Calen Bullock</t>
        </is>
      </c>
      <c r="F129" s="156" t="inlineStr">
        <is>
          <t>HOU</t>
        </is>
      </c>
      <c r="G129" s="156" t="inlineStr">
        <is>
          <t>S</t>
        </is>
      </c>
      <c r="H129" s="156" t="n">
        <v>17</v>
      </c>
      <c r="I129" s="156" t="n">
        <v>942</v>
      </c>
      <c r="J129" s="156" t="n">
        <v>58</v>
      </c>
      <c r="K129" s="156" t="n">
        <v>28</v>
      </c>
      <c r="L129" s="156">
        <f>SUM(K129,J129)</f>
        <v/>
      </c>
      <c r="M129" s="156" t="n">
        <v>0.3</v>
      </c>
      <c r="N129" s="156" t="n">
        <v>2</v>
      </c>
      <c r="O129" s="156" t="n">
        <v>1</v>
      </c>
      <c r="P129" s="156" t="n">
        <v>1</v>
      </c>
      <c r="Q129" s="156" t="n">
        <v>0</v>
      </c>
      <c r="R129" s="156" t="n">
        <v>6</v>
      </c>
    </row>
    <row r="130" ht="15.6" customHeight="1" s="152">
      <c r="A130" s="167">
        <f>E130&amp;F130</f>
        <v/>
      </c>
      <c r="B130" s="156">
        <f>IF(D130&lt;&gt;"",C130,0)</f>
        <v/>
      </c>
      <c r="C130" s="156">
        <f>(M130/MAX(M:M)*$M$1)+(N130/MAX(N:N)*$N$1)+(O130/MAX(O:O)*$O$1)+(P130/MAX(P:P)*$P$1)+(Q130/MAX(Q:Q)*$Q$1)+(R130/MAX(R:R)*$R$1)</f>
        <v/>
      </c>
      <c r="D130" s="156">
        <f>IFERROR(VLOOKUP(A130,'Injury Report'!A:F,6,0),"")</f>
        <v/>
      </c>
      <c r="E130" s="156" t="inlineStr">
        <is>
          <t>DeShon Elliott</t>
        </is>
      </c>
      <c r="F130" s="156" t="inlineStr">
        <is>
          <t>PIT</t>
        </is>
      </c>
      <c r="G130" s="156" t="inlineStr">
        <is>
          <t>S</t>
        </is>
      </c>
      <c r="H130" s="156" t="n">
        <v>17</v>
      </c>
      <c r="I130" s="156" t="n">
        <v>730</v>
      </c>
      <c r="J130" s="156" t="n">
        <v>68</v>
      </c>
      <c r="K130" s="156" t="n">
        <v>35</v>
      </c>
      <c r="L130" s="156">
        <f>SUM(K130,J130)</f>
        <v/>
      </c>
      <c r="M130" s="156" t="n">
        <v>0.9</v>
      </c>
      <c r="N130" s="156" t="n">
        <v>0</v>
      </c>
      <c r="O130" s="156" t="n">
        <v>0</v>
      </c>
      <c r="P130" s="156" t="n">
        <v>2</v>
      </c>
      <c r="Q130" s="156" t="n">
        <v>1</v>
      </c>
      <c r="R130" s="156" t="n">
        <v>4</v>
      </c>
    </row>
    <row r="131" ht="15.6" customHeight="1" s="152">
      <c r="A131" s="167">
        <f>E131&amp;F131</f>
        <v/>
      </c>
      <c r="B131" s="156">
        <f>IF(D131&lt;&gt;"",C131,0)</f>
        <v/>
      </c>
      <c r="C131" s="156">
        <f>(M131/MAX(M:M)*$M$1)+(N131/MAX(N:N)*$N$1)+(O131/MAX(O:O)*$O$1)+(P131/MAX(P:P)*$P$1)+(Q131/MAX(Q:Q)*$Q$1)+(R131/MAX(R:R)*$R$1)</f>
        <v/>
      </c>
      <c r="D131" s="156">
        <f>IFERROR(VLOOKUP(A131,'Injury Report'!A:F,6,0),"")</f>
        <v/>
      </c>
      <c r="E131" s="156" t="inlineStr">
        <is>
          <t>Jordan Battle</t>
        </is>
      </c>
      <c r="F131" s="156" t="inlineStr">
        <is>
          <t>CIN</t>
        </is>
      </c>
      <c r="G131" s="156" t="inlineStr">
        <is>
          <t>LB</t>
        </is>
      </c>
      <c r="H131" s="156" t="n">
        <v>17</v>
      </c>
      <c r="I131" s="156" t="n">
        <v>618</v>
      </c>
      <c r="J131" s="156" t="n">
        <v>70</v>
      </c>
      <c r="K131" s="156" t="n">
        <v>35</v>
      </c>
      <c r="L131" s="156">
        <f>SUM(K131,J131)</f>
        <v/>
      </c>
      <c r="M131" s="156" t="n">
        <v>0.3</v>
      </c>
      <c r="N131" s="156" t="n">
        <v>0</v>
      </c>
      <c r="O131" s="156" t="n">
        <v>0</v>
      </c>
      <c r="P131" s="156" t="n">
        <v>2</v>
      </c>
      <c r="Q131" s="156" t="n">
        <v>0</v>
      </c>
      <c r="R131" s="156" t="n">
        <v>6</v>
      </c>
    </row>
    <row r="132" ht="15.6" customHeight="1" s="152">
      <c r="A132" s="167">
        <f>E132&amp;F132</f>
        <v/>
      </c>
      <c r="B132" s="156">
        <f>IF(D132&lt;&gt;"",C132,0)</f>
        <v/>
      </c>
      <c r="C132" s="156">
        <f>(M132/MAX(M:M)*$M$1)+(N132/MAX(N:N)*$N$1)+(O132/MAX(O:O)*$O$1)+(P132/MAX(P:P)*$P$1)+(Q132/MAX(Q:Q)*$Q$1)+(R132/MAX(R:R)*$R$1)</f>
        <v/>
      </c>
      <c r="D132" s="156">
        <f>IFERROR(VLOOKUP(A132,'Injury Report'!A:F,6,0),"")</f>
        <v/>
      </c>
      <c r="E132" s="156" t="inlineStr">
        <is>
          <t>Xavier Woods</t>
        </is>
      </c>
      <c r="F132" s="156" t="inlineStr">
        <is>
          <t>TEN</t>
        </is>
      </c>
      <c r="G132" s="156" t="inlineStr">
        <is>
          <t>CB</t>
        </is>
      </c>
      <c r="H132" s="156" t="n">
        <v>17</v>
      </c>
      <c r="I132" s="156" t="n">
        <v>709</v>
      </c>
      <c r="J132" s="156" t="n">
        <v>67</v>
      </c>
      <c r="K132" s="156" t="n">
        <v>40</v>
      </c>
      <c r="L132" s="156">
        <f>SUM(K132,J132)</f>
        <v/>
      </c>
      <c r="M132" s="156" t="n">
        <v>1.1</v>
      </c>
      <c r="N132" s="156" t="n">
        <v>1</v>
      </c>
      <c r="O132" s="156" t="n">
        <v>1</v>
      </c>
      <c r="P132" s="156" t="n">
        <v>1</v>
      </c>
      <c r="Q132" s="156" t="n">
        <v>0</v>
      </c>
      <c r="R132" s="156" t="n">
        <v>4</v>
      </c>
    </row>
    <row r="133" ht="15.6" customHeight="1" s="152">
      <c r="A133" s="167">
        <f>E133&amp;F133</f>
        <v/>
      </c>
      <c r="B133" s="156">
        <f>IF(D133&lt;&gt;"",C133,0)</f>
        <v/>
      </c>
      <c r="C133" s="156">
        <f>(M133/MAX(M:M)*$M$1)+(N133/MAX(N:N)*$N$1)+(O133/MAX(O:O)*$O$1)+(P133/MAX(P:P)*$P$1)+(Q133/MAX(Q:Q)*$Q$1)+(R133/MAX(R:R)*$R$1)</f>
        <v/>
      </c>
      <c r="D133" s="156">
        <f>IFERROR(VLOOKUP(A133,'Injury Report'!A:F,6,0),"")</f>
        <v/>
      </c>
      <c r="E133" s="156" t="inlineStr">
        <is>
          <t>Jaquan Brisker</t>
        </is>
      </c>
      <c r="F133" s="156" t="inlineStr">
        <is>
          <t>CHI</t>
        </is>
      </c>
      <c r="G133" s="156" t="inlineStr">
        <is>
          <t>LB</t>
        </is>
      </c>
      <c r="H133" s="156" t="n">
        <v>17</v>
      </c>
      <c r="I133" s="156" t="n">
        <v>532</v>
      </c>
      <c r="J133" s="156" t="n">
        <v>65</v>
      </c>
      <c r="K133" s="156" t="n">
        <v>41</v>
      </c>
      <c r="L133" s="156">
        <f>SUM(K133,J133)</f>
        <v/>
      </c>
      <c r="M133" s="156" t="n">
        <v>0</v>
      </c>
      <c r="N133" s="156" t="n">
        <v>1</v>
      </c>
      <c r="O133" s="156" t="n">
        <v>1</v>
      </c>
      <c r="P133" s="156" t="n">
        <v>1</v>
      </c>
      <c r="Q133" s="156" t="n">
        <v>0</v>
      </c>
      <c r="R133" s="156" t="n">
        <v>2</v>
      </c>
    </row>
    <row r="134" ht="15.6" customHeight="1" s="152">
      <c r="A134" s="167">
        <f>E134&amp;F134</f>
        <v/>
      </c>
      <c r="B134" s="156">
        <f>IF(D134&lt;&gt;"",C134,0)</f>
        <v/>
      </c>
      <c r="C134" s="156">
        <f>(M134/MAX(M:M)*$M$1)+(N134/MAX(N:N)*$N$1)+(O134/MAX(O:O)*$O$1)+(P134/MAX(P:P)*$P$1)+(Q134/MAX(Q:Q)*$Q$1)+(R134/MAX(R:R)*$R$1)</f>
        <v/>
      </c>
      <c r="D134" s="156">
        <f>IFERROR(VLOOKUP(A134,'Injury Report'!A:F,6,0),"")</f>
        <v/>
      </c>
      <c r="E134" s="156" t="inlineStr">
        <is>
          <t>Tyler Nubin</t>
        </is>
      </c>
      <c r="F134" s="156" t="inlineStr">
        <is>
          <t>NYG</t>
        </is>
      </c>
      <c r="G134" s="156" t="inlineStr">
        <is>
          <t>LB</t>
        </is>
      </c>
      <c r="H134" s="156" t="n">
        <v>17</v>
      </c>
      <c r="I134" s="156" t="n">
        <v>389</v>
      </c>
      <c r="J134" s="156" t="n">
        <v>68</v>
      </c>
      <c r="K134" s="156" t="n">
        <v>47</v>
      </c>
      <c r="L134" s="156">
        <f>SUM(K134,J134)</f>
        <v/>
      </c>
      <c r="M134" s="156" t="n">
        <v>1.5</v>
      </c>
      <c r="N134" s="156" t="n">
        <v>1</v>
      </c>
      <c r="O134" s="156" t="n">
        <v>0</v>
      </c>
      <c r="P134" s="156" t="n">
        <v>0</v>
      </c>
      <c r="Q134" s="156" t="n">
        <v>0</v>
      </c>
      <c r="R134" s="156" t="n">
        <v>5</v>
      </c>
    </row>
    <row r="135" ht="15.6" customHeight="1" s="152">
      <c r="A135" s="167">
        <f>E135&amp;F135</f>
        <v/>
      </c>
      <c r="B135" s="156">
        <f>IF(D135&lt;&gt;"",C135,0)</f>
        <v/>
      </c>
      <c r="C135" s="156">
        <f>(M135/MAX(M:M)*$M$1)+(N135/MAX(N:N)*$N$1)+(O135/MAX(O:O)*$O$1)+(P135/MAX(P:P)*$P$1)+(Q135/MAX(Q:Q)*$Q$1)+(R135/MAX(R:R)*$R$1)</f>
        <v/>
      </c>
      <c r="D135" s="156">
        <f>IFERROR(VLOOKUP(A135,'Injury Report'!A:F,6,0),"")</f>
        <v/>
      </c>
      <c r="E135" s="156" t="inlineStr">
        <is>
          <t>Quentin Lake</t>
        </is>
      </c>
      <c r="F135" s="156" t="inlineStr">
        <is>
          <t>LAR</t>
        </is>
      </c>
      <c r="G135" s="156" t="inlineStr">
        <is>
          <t>LB</t>
        </is>
      </c>
      <c r="H135" s="156" t="n">
        <v>17</v>
      </c>
      <c r="I135" s="156" t="n">
        <v>588</v>
      </c>
      <c r="J135" s="156" t="n">
        <v>71</v>
      </c>
      <c r="K135" s="156" t="n">
        <v>35</v>
      </c>
      <c r="L135" s="156">
        <f>SUM(K135,J135)</f>
        <v/>
      </c>
      <c r="M135" s="156" t="n">
        <v>0.4</v>
      </c>
      <c r="N135" s="156" t="n">
        <v>1</v>
      </c>
      <c r="O135" s="156" t="n">
        <v>1</v>
      </c>
      <c r="P135" s="156" t="n">
        <v>2</v>
      </c>
      <c r="Q135" s="156" t="n">
        <v>0</v>
      </c>
      <c r="R135" s="156" t="n">
        <v>6</v>
      </c>
    </row>
    <row r="136" ht="15.6" customHeight="1" s="152">
      <c r="A136" s="167">
        <f>E136&amp;F136</f>
        <v/>
      </c>
      <c r="B136" s="156">
        <f>IF(D136&lt;&gt;"",C136,0)</f>
        <v/>
      </c>
      <c r="C136" s="156">
        <f>(M136/MAX(M:M)*$M$1)+(N136/MAX(N:N)*$N$1)+(O136/MAX(O:O)*$O$1)+(P136/MAX(P:P)*$P$1)+(Q136/MAX(Q:Q)*$Q$1)+(R136/MAX(R:R)*$R$1)</f>
        <v/>
      </c>
      <c r="D136" s="156">
        <f>IFERROR(VLOOKUP(A136,'Injury Report'!A:F,6,0),"")</f>
        <v/>
      </c>
      <c r="E136" s="156" t="inlineStr">
        <is>
          <t>Brandon Jones</t>
        </is>
      </c>
      <c r="F136" s="156" t="inlineStr">
        <is>
          <t>DEN</t>
        </is>
      </c>
      <c r="G136" s="156" t="inlineStr">
        <is>
          <t>LB</t>
        </is>
      </c>
      <c r="H136" s="156" t="n">
        <v>17</v>
      </c>
      <c r="I136" s="156" t="n">
        <v>838</v>
      </c>
      <c r="J136" s="156" t="n">
        <v>66</v>
      </c>
      <c r="K136" s="156" t="n">
        <v>26</v>
      </c>
      <c r="L136" s="156">
        <f>SUM(K136,J136)</f>
        <v/>
      </c>
      <c r="M136" s="156" t="n">
        <v>1</v>
      </c>
      <c r="N136" s="156" t="n">
        <v>1</v>
      </c>
      <c r="O136" s="156" t="n">
        <v>0</v>
      </c>
      <c r="P136" s="156" t="n">
        <v>1</v>
      </c>
      <c r="Q136" s="156" t="n">
        <v>0</v>
      </c>
      <c r="R136" s="156" t="n">
        <v>6</v>
      </c>
    </row>
    <row r="137" ht="15.6" customHeight="1" s="152">
      <c r="A137" s="167">
        <f>E137&amp;F137</f>
        <v/>
      </c>
      <c r="B137" s="156">
        <f>IF(D137&lt;&gt;"",C137,0)</f>
        <v/>
      </c>
      <c r="C137" s="156">
        <f>(M137/MAX(M:M)*$M$1)+(N137/MAX(N:N)*$N$1)+(O137/MAX(O:O)*$O$1)+(P137/MAX(P:P)*$P$1)+(Q137/MAX(Q:Q)*$Q$1)+(R137/MAX(R:R)*$R$1)</f>
        <v/>
      </c>
      <c r="D137" s="156">
        <f>IFERROR(VLOOKUP(A137,'Injury Report'!A:F,6,0),"")</f>
        <v/>
      </c>
      <c r="E137" s="156" t="inlineStr">
        <is>
          <t>Kamren Curl</t>
        </is>
      </c>
      <c r="F137" s="156" t="inlineStr">
        <is>
          <t>LAR</t>
        </is>
      </c>
      <c r="G137" s="156" t="inlineStr">
        <is>
          <t>CB</t>
        </is>
      </c>
      <c r="H137" s="156" t="n">
        <v>17</v>
      </c>
      <c r="I137" s="156" t="n">
        <v>588</v>
      </c>
      <c r="J137" s="156" t="n">
        <v>66</v>
      </c>
      <c r="K137" s="156" t="n">
        <v>35</v>
      </c>
      <c r="L137" s="156">
        <f>SUM(K137,J137)</f>
        <v/>
      </c>
      <c r="M137" s="156" t="n">
        <v>0.3</v>
      </c>
      <c r="N137" s="156" t="n">
        <v>1</v>
      </c>
      <c r="O137" s="156" t="n">
        <v>0</v>
      </c>
      <c r="P137" s="156" t="n">
        <v>4</v>
      </c>
      <c r="Q137" s="156" t="n">
        <v>0</v>
      </c>
      <c r="R137" s="156" t="n">
        <v>13</v>
      </c>
    </row>
    <row r="138" ht="15.6" customHeight="1" s="152">
      <c r="A138" s="167">
        <f>E138&amp;F138</f>
        <v/>
      </c>
      <c r="B138" s="156">
        <f>IF(D138&lt;&gt;"",C138,0)</f>
        <v/>
      </c>
      <c r="C138" s="156">
        <f>(M138/MAX(M:M)*$M$1)+(N138/MAX(N:N)*$N$1)+(O138/MAX(O:O)*$O$1)+(P138/MAX(P:P)*$P$1)+(Q138/MAX(Q:Q)*$Q$1)+(R138/MAX(R:R)*$R$1)</f>
        <v/>
      </c>
      <c r="D138" s="156">
        <f>IFERROR(VLOOKUP(A138,'Injury Report'!A:F,6,0),"")</f>
        <v/>
      </c>
      <c r="E138" s="156" t="inlineStr">
        <is>
          <t>Byron Murphy</t>
        </is>
      </c>
      <c r="F138" s="156" t="inlineStr">
        <is>
          <t>MIN</t>
        </is>
      </c>
      <c r="G138" s="156" t="inlineStr">
        <is>
          <t>LB</t>
        </is>
      </c>
      <c r="H138" s="156" t="n">
        <v>17</v>
      </c>
      <c r="I138" s="156" t="n">
        <v>647</v>
      </c>
      <c r="J138" s="156" t="n">
        <v>56</v>
      </c>
      <c r="K138" s="156" t="n">
        <v>15</v>
      </c>
      <c r="L138" s="156">
        <f>SUM(K138,J138)</f>
        <v/>
      </c>
      <c r="M138" s="156" t="n">
        <v>0</v>
      </c>
      <c r="N138" s="156" t="n">
        <v>0</v>
      </c>
      <c r="O138" s="156" t="n">
        <v>1</v>
      </c>
      <c r="P138" s="156" t="n">
        <v>2</v>
      </c>
      <c r="Q138" s="156" t="n">
        <v>0</v>
      </c>
      <c r="R138" s="156" t="n">
        <v>7</v>
      </c>
    </row>
    <row r="139" ht="15.6" customHeight="1" s="152">
      <c r="A139" s="167">
        <f>E139&amp;F139</f>
        <v/>
      </c>
      <c r="B139" s="156">
        <f>IF(D139&lt;&gt;"",C139,0)</f>
        <v/>
      </c>
      <c r="C139" s="156">
        <f>(M139/MAX(M:M)*$M$1)+(N139/MAX(N:N)*$N$1)+(O139/MAX(O:O)*$O$1)+(P139/MAX(P:P)*$P$1)+(Q139/MAX(Q:Q)*$Q$1)+(R139/MAX(R:R)*$R$1)</f>
        <v/>
      </c>
      <c r="D139" s="156">
        <f>IFERROR(VLOOKUP(A139,'Injury Report'!A:F,6,0),"")</f>
        <v/>
      </c>
      <c r="E139" s="156" t="inlineStr">
        <is>
          <t>Jalen Pitre</t>
        </is>
      </c>
      <c r="F139" s="156" t="inlineStr">
        <is>
          <t>HOU</t>
        </is>
      </c>
      <c r="G139" s="156" t="inlineStr">
        <is>
          <t>CB</t>
        </is>
      </c>
      <c r="H139" s="156" t="n">
        <v>17</v>
      </c>
      <c r="I139" s="156" t="n">
        <v>824</v>
      </c>
      <c r="J139" s="156" t="n">
        <v>70</v>
      </c>
      <c r="K139" s="156" t="n">
        <v>23</v>
      </c>
      <c r="L139" s="156">
        <f>SUM(K139,J139)</f>
        <v/>
      </c>
      <c r="M139" s="156" t="n">
        <v>1.1</v>
      </c>
      <c r="N139" s="156" t="n">
        <v>1</v>
      </c>
      <c r="O139" s="156" t="n">
        <v>0</v>
      </c>
      <c r="P139" s="156" t="n">
        <v>1</v>
      </c>
      <c r="Q139" s="156" t="n">
        <v>0</v>
      </c>
      <c r="R139" s="156" t="n">
        <v>12</v>
      </c>
    </row>
    <row r="140" ht="15.6" customHeight="1" s="152">
      <c r="A140" s="167">
        <f>E140&amp;F140</f>
        <v/>
      </c>
      <c r="B140" s="156">
        <f>IF(D140&lt;&gt;"",C140,0)</f>
        <v/>
      </c>
      <c r="C140" s="156">
        <f>(M140/MAX(M:M)*$M$1)+(N140/MAX(N:N)*$N$1)+(O140/MAX(O:O)*$O$1)+(P140/MAX(P:P)*$P$1)+(Q140/MAX(Q:Q)*$Q$1)+(R140/MAX(R:R)*$R$1)</f>
        <v/>
      </c>
      <c r="D140" s="156">
        <f>IFERROR(VLOOKUP(A140,'Injury Report'!A:F,6,0),"")</f>
        <v/>
      </c>
      <c r="E140" s="156" t="inlineStr">
        <is>
          <t>Devon Witherspoon</t>
        </is>
      </c>
      <c r="F140" s="156" t="inlineStr">
        <is>
          <t>SEA</t>
        </is>
      </c>
      <c r="G140" s="156" t="inlineStr">
        <is>
          <t>S</t>
        </is>
      </c>
      <c r="H140" s="156" t="n">
        <v>17</v>
      </c>
      <c r="I140" s="156" t="n">
        <v>807</v>
      </c>
      <c r="J140" s="156" t="n">
        <v>60</v>
      </c>
      <c r="K140" s="156" t="n">
        <v>28</v>
      </c>
      <c r="L140" s="156">
        <f>SUM(K140,J140)</f>
        <v/>
      </c>
      <c r="M140" s="156" t="n">
        <v>0.1</v>
      </c>
      <c r="N140" s="156" t="n">
        <v>1</v>
      </c>
      <c r="O140" s="156" t="n">
        <v>0</v>
      </c>
      <c r="P140" s="156" t="n">
        <v>3</v>
      </c>
      <c r="Q140" s="156" t="n">
        <v>0</v>
      </c>
      <c r="R140" s="156" t="n">
        <v>13</v>
      </c>
    </row>
    <row r="141" ht="15.6" customHeight="1" s="152">
      <c r="A141" s="167">
        <f>E141&amp;F141</f>
        <v/>
      </c>
      <c r="B141" s="156">
        <f>IF(D141&lt;&gt;"",C141,0)</f>
        <v/>
      </c>
      <c r="C141" s="156">
        <f>(M141/MAX(M:M)*$M$1)+(N141/MAX(N:N)*$N$1)+(O141/MAX(O:O)*$O$1)+(P141/MAX(P:P)*$P$1)+(Q141/MAX(Q:Q)*$Q$1)+(R141/MAX(R:R)*$R$1)</f>
        <v/>
      </c>
      <c r="D141" s="156">
        <f>IFERROR(VLOOKUP(A141,'Injury Report'!A:F,6,0),"")</f>
        <v/>
      </c>
      <c r="E141" s="156" t="inlineStr">
        <is>
          <t>Tyrique Stevenson</t>
        </is>
      </c>
      <c r="F141" s="156" t="inlineStr">
        <is>
          <t>CHI</t>
        </is>
      </c>
      <c r="G141" s="156" t="inlineStr">
        <is>
          <t>DT</t>
        </is>
      </c>
      <c r="H141" s="156" t="n">
        <v>17</v>
      </c>
      <c r="I141" s="156" t="n">
        <v>738</v>
      </c>
      <c r="J141" s="156" t="n">
        <v>55</v>
      </c>
      <c r="K141" s="156" t="n">
        <v>24</v>
      </c>
      <c r="L141" s="156">
        <f>SUM(K141,J141)</f>
        <v/>
      </c>
      <c r="M141" s="156" t="n">
        <v>1</v>
      </c>
      <c r="N141" s="156" t="n">
        <v>0</v>
      </c>
      <c r="O141" s="156" t="n">
        <v>0</v>
      </c>
      <c r="P141" s="156" t="n">
        <v>2</v>
      </c>
      <c r="Q141" s="156" t="n">
        <v>0</v>
      </c>
      <c r="R141" s="156" t="n">
        <v>8</v>
      </c>
    </row>
    <row r="142" ht="15.6" customHeight="1" s="152">
      <c r="A142" s="167">
        <f>E142&amp;F142</f>
        <v/>
      </c>
      <c r="B142" s="156">
        <f>IF(D142&lt;&gt;"",C142,0)</f>
        <v/>
      </c>
      <c r="C142" s="156">
        <f>(M142/MAX(M:M)*$M$1)+(N142/MAX(N:N)*$N$1)+(O142/MAX(O:O)*$O$1)+(P142/MAX(P:P)*$P$1)+(Q142/MAX(Q:Q)*$Q$1)+(R142/MAX(R:R)*$R$1)</f>
        <v/>
      </c>
      <c r="D142" s="156">
        <f>IFERROR(VLOOKUP(A142,'Injury Report'!A:F,6,0),"")</f>
        <v/>
      </c>
      <c r="E142" s="156" t="inlineStr">
        <is>
          <t>Justin Reid</t>
        </is>
      </c>
      <c r="F142" s="156" t="inlineStr">
        <is>
          <t>NO</t>
        </is>
      </c>
      <c r="G142" s="156" t="inlineStr">
        <is>
          <t>LB</t>
        </is>
      </c>
      <c r="H142" s="156" t="n">
        <v>17</v>
      </c>
      <c r="I142" s="156" t="n">
        <v>827</v>
      </c>
      <c r="J142" s="156" t="n">
        <v>64</v>
      </c>
      <c r="K142" s="156" t="n">
        <v>24</v>
      </c>
      <c r="L142" s="156">
        <f>SUM(K142,J142)</f>
        <v/>
      </c>
      <c r="M142" s="156" t="n">
        <v>2.5</v>
      </c>
      <c r="N142" s="156" t="n">
        <v>1</v>
      </c>
      <c r="O142" s="156" t="n">
        <v>1</v>
      </c>
      <c r="P142" s="156" t="n">
        <v>1</v>
      </c>
      <c r="Q142" s="156" t="n">
        <v>0</v>
      </c>
      <c r="R142" s="156" t="n">
        <v>3</v>
      </c>
    </row>
    <row r="143" ht="15.6" customHeight="1" s="152">
      <c r="A143" s="167">
        <f>E143&amp;F143</f>
        <v/>
      </c>
      <c r="B143" s="156">
        <f>IF(D143&lt;&gt;"",C143,0)</f>
        <v/>
      </c>
      <c r="C143" s="156">
        <f>(M143/MAX(M:M)*$M$1)+(N143/MAX(N:N)*$N$1)+(O143/MAX(O:O)*$O$1)+(P143/MAX(P:P)*$P$1)+(Q143/MAX(Q:Q)*$Q$1)+(R143/MAX(R:R)*$R$1)</f>
        <v/>
      </c>
      <c r="D143" s="156">
        <f>IFERROR(VLOOKUP(A143,'Injury Report'!A:F,6,0),"")</f>
        <v/>
      </c>
      <c r="E143" s="156" t="inlineStr">
        <is>
          <t>Donovan Wilson</t>
        </is>
      </c>
      <c r="F143" s="156" t="inlineStr">
        <is>
          <t>DAL</t>
        </is>
      </c>
      <c r="G143" s="156" t="inlineStr">
        <is>
          <t>CB</t>
        </is>
      </c>
      <c r="H143" s="156" t="n">
        <v>17</v>
      </c>
      <c r="I143" s="156" t="n">
        <v>794</v>
      </c>
      <c r="J143" s="156" t="n">
        <v>57</v>
      </c>
      <c r="K143" s="156" t="n">
        <v>34</v>
      </c>
      <c r="L143" s="156">
        <f>SUM(K143,J143)</f>
        <v/>
      </c>
      <c r="M143" s="156" t="n">
        <v>0.1</v>
      </c>
      <c r="N143" s="156" t="n">
        <v>1</v>
      </c>
      <c r="O143" s="156" t="n">
        <v>0</v>
      </c>
      <c r="P143" s="156" t="n">
        <v>3</v>
      </c>
      <c r="Q143" s="156" t="n">
        <v>0</v>
      </c>
      <c r="R143" s="156" t="n">
        <v>14</v>
      </c>
    </row>
    <row r="144" ht="15.6" customHeight="1" s="152">
      <c r="A144" s="167">
        <f>E144&amp;F144</f>
        <v/>
      </c>
      <c r="B144" s="156">
        <f>IF(D144&lt;&gt;"",C144,0)</f>
        <v/>
      </c>
      <c r="C144" s="156">
        <f>(M144/MAX(M:M)*$M$1)+(N144/MAX(N:N)*$N$1)+(O144/MAX(O:O)*$O$1)+(P144/MAX(P:P)*$P$1)+(Q144/MAX(Q:Q)*$Q$1)+(R144/MAX(R:R)*$R$1)</f>
        <v/>
      </c>
      <c r="D144" s="156">
        <f>IFERROR(VLOOKUP(A144,'Injury Report'!A:F,6,0),"")</f>
        <v/>
      </c>
      <c r="E144" s="156" t="inlineStr">
        <is>
          <t>Paulson Adebo</t>
        </is>
      </c>
      <c r="F144" s="156" t="inlineStr">
        <is>
          <t>NYG</t>
        </is>
      </c>
      <c r="G144" s="156" t="inlineStr">
        <is>
          <t>LB</t>
        </is>
      </c>
      <c r="H144" s="156" t="n">
        <v>17</v>
      </c>
      <c r="I144" s="156" t="n">
        <v>572</v>
      </c>
      <c r="J144" s="156" t="n">
        <v>54</v>
      </c>
      <c r="K144" s="156" t="n">
        <v>14</v>
      </c>
      <c r="L144" s="156">
        <f>SUM(K144,J144)</f>
        <v/>
      </c>
      <c r="M144" s="156" t="n">
        <v>1</v>
      </c>
      <c r="N144" s="156" t="n">
        <v>0</v>
      </c>
      <c r="O144" s="156" t="n">
        <v>0</v>
      </c>
      <c r="P144" s="156" t="n">
        <v>3</v>
      </c>
      <c r="Q144" s="156" t="n">
        <v>0</v>
      </c>
      <c r="R144" s="156" t="n">
        <v>6</v>
      </c>
    </row>
    <row r="145" ht="15.6" customHeight="1" s="152">
      <c r="A145" s="167">
        <f>E145&amp;F145</f>
        <v/>
      </c>
      <c r="B145" s="156">
        <f>IF(D145&lt;&gt;"",C145,0)</f>
        <v/>
      </c>
      <c r="C145" s="156">
        <f>(M145/MAX(M:M)*$M$1)+(N145/MAX(N:N)*$N$1)+(O145/MAX(O:O)*$O$1)+(P145/MAX(P:P)*$P$1)+(Q145/MAX(Q:Q)*$Q$1)+(R145/MAX(R:R)*$R$1)</f>
        <v/>
      </c>
      <c r="D145" s="156">
        <f>IFERROR(VLOOKUP(A145,'Injury Report'!A:F,6,0),"")</f>
        <v/>
      </c>
      <c r="E145" s="156" t="inlineStr">
        <is>
          <t>Kenny Moore</t>
        </is>
      </c>
      <c r="F145" s="156" t="inlineStr">
        <is>
          <t>IND</t>
        </is>
      </c>
      <c r="G145" s="156" t="inlineStr">
        <is>
          <t>S</t>
        </is>
      </c>
      <c r="H145" s="156" t="n">
        <v>17</v>
      </c>
      <c r="I145" s="156" t="n">
        <v>727</v>
      </c>
      <c r="J145" s="156" t="n">
        <v>56</v>
      </c>
      <c r="K145" s="156" t="n">
        <v>24</v>
      </c>
      <c r="L145" s="156">
        <f>SUM(K145,J145)</f>
        <v/>
      </c>
      <c r="M145" s="156" t="n">
        <v>0.2</v>
      </c>
      <c r="N145" s="156" t="n">
        <v>0</v>
      </c>
      <c r="O145" s="156" t="n">
        <v>0</v>
      </c>
      <c r="P145" s="156" t="n">
        <v>4</v>
      </c>
      <c r="Q145" s="156" t="n">
        <v>0</v>
      </c>
      <c r="R145" s="156" t="n">
        <v>6</v>
      </c>
    </row>
    <row r="146" ht="15.6" customHeight="1" s="152">
      <c r="A146" s="167">
        <f>E146&amp;F146</f>
        <v/>
      </c>
      <c r="B146" s="156">
        <f>IF(D146&lt;&gt;"",C146,0)</f>
        <v/>
      </c>
      <c r="C146" s="156">
        <f>(M146/MAX(M:M)*$M$1)+(N146/MAX(N:N)*$N$1)+(O146/MAX(O:O)*$O$1)+(P146/MAX(P:P)*$P$1)+(Q146/MAX(Q:Q)*$Q$1)+(R146/MAX(R:R)*$R$1)</f>
        <v/>
      </c>
      <c r="D146" s="156">
        <f>IFERROR(VLOOKUP(A146,'Injury Report'!A:F,6,0),"")</f>
        <v/>
      </c>
      <c r="E146" s="156" t="inlineStr">
        <is>
          <t>Geno Stone</t>
        </is>
      </c>
      <c r="F146" s="156" t="inlineStr">
        <is>
          <t>CIN</t>
        </is>
      </c>
      <c r="G146" s="156" t="inlineStr">
        <is>
          <t>CB</t>
        </is>
      </c>
      <c r="H146" s="156" t="n">
        <v>17</v>
      </c>
      <c r="I146" s="156" t="n">
        <v>919</v>
      </c>
      <c r="J146" s="156" t="n">
        <v>51</v>
      </c>
      <c r="K146" s="156" t="n">
        <v>30</v>
      </c>
      <c r="L146" s="156">
        <f>SUM(K146,J146)</f>
        <v/>
      </c>
      <c r="M146" s="156" t="n">
        <v>0.5</v>
      </c>
      <c r="N146" s="156" t="n">
        <v>2</v>
      </c>
      <c r="O146" s="156" t="n">
        <v>0</v>
      </c>
      <c r="P146" s="156" t="n">
        <v>2</v>
      </c>
      <c r="Q146" s="156" t="n">
        <v>0</v>
      </c>
      <c r="R146" s="156" t="n">
        <v>4</v>
      </c>
    </row>
    <row r="147" ht="15.6" customHeight="1" s="152">
      <c r="A147" s="167">
        <f>E147&amp;F147</f>
        <v/>
      </c>
      <c r="B147" s="156">
        <f>IF(D147&lt;&gt;"",C147,0)</f>
        <v/>
      </c>
      <c r="C147" s="156">
        <f>(M147/MAX(M:M)*$M$1)+(N147/MAX(N:N)*$N$1)+(O147/MAX(O:O)*$O$1)+(P147/MAX(P:P)*$P$1)+(Q147/MAX(Q:Q)*$Q$1)+(R147/MAX(R:R)*$R$1)</f>
        <v/>
      </c>
      <c r="D147" s="156">
        <f>IFERROR(VLOOKUP(A147,'Injury Report'!A:F,6,0),"")</f>
        <v/>
      </c>
      <c r="E147" s="156" t="inlineStr">
        <is>
          <t>Quan Martin</t>
        </is>
      </c>
      <c r="F147" s="156" t="inlineStr">
        <is>
          <t>WAS</t>
        </is>
      </c>
      <c r="G147" s="156" t="inlineStr">
        <is>
          <t>LB</t>
        </is>
      </c>
      <c r="H147" s="156" t="n">
        <v>17</v>
      </c>
      <c r="I147" s="156" t="n">
        <v>552</v>
      </c>
      <c r="J147" s="156" t="n">
        <v>52</v>
      </c>
      <c r="K147" s="156" t="n">
        <v>35</v>
      </c>
      <c r="L147" s="156">
        <f>SUM(K147,J147)</f>
        <v/>
      </c>
      <c r="M147" s="156" t="n">
        <v>1</v>
      </c>
      <c r="N147" s="156" t="n">
        <v>0</v>
      </c>
      <c r="O147" s="156" t="n">
        <v>0</v>
      </c>
      <c r="P147" s="156" t="n">
        <v>2</v>
      </c>
      <c r="Q147" s="156" t="n">
        <v>0</v>
      </c>
      <c r="R147" s="156" t="n">
        <v>8</v>
      </c>
    </row>
    <row r="148" ht="15.6" customHeight="1" s="152">
      <c r="A148" s="167">
        <f>E148&amp;F148</f>
        <v/>
      </c>
      <c r="B148" s="156">
        <f>IF(D148&lt;&gt;"",C148,0)</f>
        <v/>
      </c>
      <c r="C148" s="156">
        <f>(M148/MAX(M:M)*$M$1)+(N148/MAX(N:N)*$N$1)+(O148/MAX(O:O)*$O$1)+(P148/MAX(P:P)*$P$1)+(Q148/MAX(Q:Q)*$Q$1)+(R148/MAX(R:R)*$R$1)</f>
        <v/>
      </c>
      <c r="D148" s="156">
        <f>IFERROR(VLOOKUP(A148,'Injury Report'!A:F,6,0),"")</f>
        <v/>
      </c>
      <c r="E148" s="156" t="inlineStr">
        <is>
          <t>Daxton Hill</t>
        </is>
      </c>
      <c r="F148" s="156" t="inlineStr">
        <is>
          <t>CIN</t>
        </is>
      </c>
      <c r="G148" s="156" t="inlineStr">
        <is>
          <t>CB</t>
        </is>
      </c>
      <c r="H148" s="156" t="n">
        <v>17</v>
      </c>
      <c r="I148" s="156" t="n">
        <v>981</v>
      </c>
      <c r="J148" s="156" t="n">
        <v>55</v>
      </c>
      <c r="K148" s="156" t="n">
        <v>28</v>
      </c>
      <c r="L148" s="156">
        <f>SUM(K148,J148)</f>
        <v/>
      </c>
      <c r="M148" s="156" t="n">
        <v>0.9</v>
      </c>
      <c r="N148" s="156" t="n">
        <v>2</v>
      </c>
      <c r="O148" s="156" t="n">
        <v>1</v>
      </c>
      <c r="P148" s="156" t="n">
        <v>1</v>
      </c>
      <c r="Q148" s="156" t="n">
        <v>0</v>
      </c>
      <c r="R148" s="156" t="n">
        <v>4</v>
      </c>
    </row>
    <row r="149" ht="15.6" customHeight="1" s="152">
      <c r="A149" s="167">
        <f>E149&amp;F149</f>
        <v/>
      </c>
      <c r="B149" s="156">
        <f>IF(D149&lt;&gt;"",C149,0)</f>
        <v/>
      </c>
      <c r="C149" s="156">
        <f>(M149/MAX(M:M)*$M$1)+(N149/MAX(N:N)*$N$1)+(O149/MAX(O:O)*$O$1)+(P149/MAX(P:P)*$P$1)+(Q149/MAX(Q:Q)*$Q$1)+(R149/MAX(R:R)*$R$1)</f>
        <v/>
      </c>
      <c r="D149" s="156">
        <f>IFERROR(VLOOKUP(A149,'Injury Report'!A:F,6,0),"")</f>
        <v/>
      </c>
      <c r="E149" s="156" t="inlineStr">
        <is>
          <t>Jevon Holland</t>
        </is>
      </c>
      <c r="F149" s="156" t="inlineStr">
        <is>
          <t>NYG</t>
        </is>
      </c>
      <c r="G149" s="156" t="inlineStr">
        <is>
          <t>LB</t>
        </is>
      </c>
      <c r="H149" s="156" t="n">
        <v>17</v>
      </c>
      <c r="I149" s="156" t="n">
        <v>562</v>
      </c>
      <c r="J149" s="156" t="n">
        <v>60</v>
      </c>
      <c r="K149" s="156" t="n">
        <v>20</v>
      </c>
      <c r="L149" s="156">
        <f>SUM(K149,J149)</f>
        <v/>
      </c>
      <c r="M149" s="156" t="n">
        <v>0.3</v>
      </c>
      <c r="N149" s="156" t="n">
        <v>1</v>
      </c>
      <c r="O149" s="156" t="n">
        <v>0</v>
      </c>
      <c r="P149" s="156" t="n">
        <v>3</v>
      </c>
      <c r="Q149" s="156" t="n">
        <v>0</v>
      </c>
      <c r="R149" s="156" t="n">
        <v>13</v>
      </c>
    </row>
    <row r="150" ht="15.6" customHeight="1" s="152">
      <c r="A150" s="167">
        <f>E150&amp;F150</f>
        <v/>
      </c>
      <c r="B150" s="156">
        <f>IF(D150&lt;&gt;"",C150,0)</f>
        <v/>
      </c>
      <c r="C150" s="156">
        <f>(M150/MAX(M:M)*$M$1)+(N150/MAX(N:N)*$N$1)+(O150/MAX(O:O)*$O$1)+(P150/MAX(P:P)*$P$1)+(Q150/MAX(Q:Q)*$Q$1)+(R150/MAX(R:R)*$R$1)</f>
        <v/>
      </c>
      <c r="D150" s="156">
        <f>IFERROR(VLOOKUP(A150,'Injury Report'!A:F,6,0),"")</f>
        <v/>
      </c>
      <c r="E150" s="156" t="inlineStr">
        <is>
          <t>Cam Taylor-Britt</t>
        </is>
      </c>
      <c r="F150" s="156" t="inlineStr">
        <is>
          <t>CIN</t>
        </is>
      </c>
      <c r="G150" s="156" t="inlineStr">
        <is>
          <t>S</t>
        </is>
      </c>
      <c r="H150" s="156" t="n">
        <v>17</v>
      </c>
      <c r="I150" s="156" t="n">
        <v>657</v>
      </c>
      <c r="J150" s="156" t="n">
        <v>50</v>
      </c>
      <c r="K150" s="156" t="n">
        <v>15</v>
      </c>
      <c r="L150" s="156">
        <f>SUM(K150,J150)</f>
        <v/>
      </c>
      <c r="M150" s="156" t="n">
        <v>0</v>
      </c>
      <c r="N150" s="156" t="n">
        <v>1</v>
      </c>
      <c r="O150" s="156" t="n">
        <v>0</v>
      </c>
      <c r="P150" s="156" t="n">
        <v>2</v>
      </c>
      <c r="Q150" s="156" t="n">
        <v>0</v>
      </c>
      <c r="R150" s="156" t="n">
        <v>8</v>
      </c>
    </row>
    <row r="151" ht="15.6" customHeight="1" s="152">
      <c r="A151" s="167">
        <f>E151&amp;F151</f>
        <v/>
      </c>
      <c r="B151" s="156">
        <f>IF(D151&lt;&gt;"",C151,0)</f>
        <v/>
      </c>
      <c r="C151" s="156">
        <f>(M151/MAX(M:M)*$M$1)+(N151/MAX(N:N)*$N$1)+(O151/MAX(O:O)*$O$1)+(P151/MAX(P:P)*$P$1)+(Q151/MAX(Q:Q)*$Q$1)+(R151/MAX(R:R)*$R$1)</f>
        <v/>
      </c>
      <c r="D151" s="156">
        <f>IFERROR(VLOOKUP(A151,'Injury Report'!A:F,6,0),"")</f>
        <v/>
      </c>
      <c r="E151" s="156" t="inlineStr">
        <is>
          <t>Deommodore Lenoir</t>
        </is>
      </c>
      <c r="F151" s="156" t="inlineStr">
        <is>
          <t>SF</t>
        </is>
      </c>
      <c r="G151" s="156" t="inlineStr">
        <is>
          <t>CB</t>
        </is>
      </c>
      <c r="H151" s="156" t="n">
        <v>17</v>
      </c>
      <c r="I151" s="156" t="n">
        <v>989</v>
      </c>
      <c r="J151" s="156" t="n">
        <v>55</v>
      </c>
      <c r="K151" s="156" t="n">
        <v>27</v>
      </c>
      <c r="L151" s="156">
        <f>SUM(K151,J151)</f>
        <v/>
      </c>
      <c r="M151" s="156" t="n">
        <v>1</v>
      </c>
      <c r="N151" s="156" t="n">
        <v>0</v>
      </c>
      <c r="O151" s="156" t="n">
        <v>1</v>
      </c>
      <c r="P151" s="156" t="n">
        <v>4</v>
      </c>
      <c r="Q151" s="156" t="n">
        <v>1</v>
      </c>
      <c r="R151" s="156" t="n">
        <v>6</v>
      </c>
    </row>
    <row r="152" ht="15.6" customHeight="1" s="152">
      <c r="A152" s="167">
        <f>E152&amp;F152</f>
        <v/>
      </c>
      <c r="B152" s="156">
        <f>IF(D152&lt;&gt;"",C152,0)</f>
        <v/>
      </c>
      <c r="C152" s="156">
        <f>(M152/MAX(M:M)*$M$1)+(N152/MAX(N:N)*$N$1)+(O152/MAX(O:O)*$O$1)+(P152/MAX(P:P)*$P$1)+(Q152/MAX(Q:Q)*$Q$1)+(R152/MAX(R:R)*$R$1)</f>
        <v/>
      </c>
      <c r="D152" s="156">
        <f>IFERROR(VLOOKUP(A152,'Injury Report'!A:F,6,0),"")</f>
        <v/>
      </c>
      <c r="E152" s="156" t="inlineStr">
        <is>
          <t>Jaden Hicks</t>
        </is>
      </c>
      <c r="F152" s="156" t="inlineStr">
        <is>
          <t>KC</t>
        </is>
      </c>
      <c r="G152" s="156" t="inlineStr">
        <is>
          <t>S</t>
        </is>
      </c>
      <c r="H152" s="156" t="n">
        <v>17</v>
      </c>
      <c r="I152" s="156" t="n">
        <v>912</v>
      </c>
      <c r="J152" s="156" t="n">
        <v>45</v>
      </c>
      <c r="K152" s="156" t="n">
        <v>25</v>
      </c>
      <c r="L152" s="156">
        <f>SUM(K152,J152)</f>
        <v/>
      </c>
      <c r="M152" s="156" t="n">
        <v>1.5</v>
      </c>
      <c r="N152" s="156" t="n">
        <v>1</v>
      </c>
      <c r="O152" s="156" t="n">
        <v>0</v>
      </c>
      <c r="P152" s="156" t="n">
        <v>2</v>
      </c>
      <c r="Q152" s="156" t="n">
        <v>0</v>
      </c>
      <c r="R152" s="156" t="n">
        <v>12</v>
      </c>
    </row>
    <row r="153" ht="15.6" customHeight="1" s="152">
      <c r="A153" s="167">
        <f>E153&amp;F153</f>
        <v/>
      </c>
      <c r="B153" s="156">
        <f>IF(D153&lt;&gt;"",C153,0)</f>
        <v/>
      </c>
      <c r="C153" s="156">
        <f>(M153/MAX(M:M)*$M$1)+(N153/MAX(N:N)*$N$1)+(O153/MAX(O:O)*$O$1)+(P153/MAX(P:P)*$P$1)+(Q153/MAX(Q:Q)*$Q$1)+(R153/MAX(R:R)*$R$1)</f>
        <v/>
      </c>
      <c r="D153" s="156">
        <f>IFERROR(VLOOKUP(A153,'Injury Report'!A:F,6,0),"")</f>
        <v/>
      </c>
      <c r="E153" s="156" t="inlineStr">
        <is>
          <t>Trent McDuffie</t>
        </is>
      </c>
      <c r="F153" s="156" t="inlineStr">
        <is>
          <t>KC</t>
        </is>
      </c>
      <c r="G153" s="156" t="inlineStr">
        <is>
          <t>CB</t>
        </is>
      </c>
      <c r="H153" s="156" t="n">
        <v>17</v>
      </c>
      <c r="I153" s="156" t="n">
        <v>977</v>
      </c>
      <c r="J153" s="156" t="n">
        <v>51</v>
      </c>
      <c r="K153" s="156" t="n">
        <v>14</v>
      </c>
      <c r="L153" s="156">
        <f>SUM(K153,J153)</f>
        <v/>
      </c>
      <c r="M153" s="156" t="n">
        <v>0.7</v>
      </c>
      <c r="N153" s="156" t="n">
        <v>0</v>
      </c>
      <c r="O153" s="156" t="n">
        <v>0</v>
      </c>
      <c r="P153" s="156" t="n">
        <v>2</v>
      </c>
      <c r="Q153" s="156" t="n">
        <v>0</v>
      </c>
      <c r="R153" s="156" t="n">
        <v>11</v>
      </c>
    </row>
    <row r="154" ht="15.6" customHeight="1" s="152">
      <c r="A154" s="167">
        <f>E154&amp;F154</f>
        <v/>
      </c>
      <c r="B154" s="156">
        <f>IF(D154&lt;&gt;"",C154,0)</f>
        <v/>
      </c>
      <c r="C154" s="156">
        <f>(M154/MAX(M:M)*$M$1)+(N154/MAX(N:N)*$N$1)+(O154/MAX(O:O)*$O$1)+(P154/MAX(P:P)*$P$1)+(Q154/MAX(Q:Q)*$Q$1)+(R154/MAX(R:R)*$R$1)</f>
        <v/>
      </c>
      <c r="D154" s="156">
        <f>IFERROR(VLOOKUP(A154,'Injury Report'!A:F,6,0),"")</f>
        <v/>
      </c>
      <c r="E154" s="156" t="inlineStr">
        <is>
          <t>L'Jarius Sneed</t>
        </is>
      </c>
      <c r="F154" s="156" t="inlineStr">
        <is>
          <t>TEN</t>
        </is>
      </c>
      <c r="G154" s="156" t="inlineStr">
        <is>
          <t>CB</t>
        </is>
      </c>
      <c r="H154" s="156" t="n">
        <v>17</v>
      </c>
      <c r="I154" s="156" t="n">
        <v>569</v>
      </c>
      <c r="J154" s="156" t="n">
        <v>55</v>
      </c>
      <c r="K154" s="156" t="n">
        <v>20</v>
      </c>
      <c r="L154" s="156">
        <f>SUM(K154,J154)</f>
        <v/>
      </c>
      <c r="M154" s="156" t="n">
        <v>0.3</v>
      </c>
      <c r="N154" s="156" t="n">
        <v>1</v>
      </c>
      <c r="O154" s="156" t="n">
        <v>0</v>
      </c>
      <c r="P154" s="156" t="n">
        <v>3</v>
      </c>
      <c r="Q154" s="156" t="n">
        <v>0</v>
      </c>
      <c r="R154" s="156" t="n">
        <v>13</v>
      </c>
    </row>
    <row r="155" ht="15.6" customHeight="1" s="152">
      <c r="A155" s="167">
        <f>E155&amp;F155</f>
        <v/>
      </c>
      <c r="B155" s="156">
        <f>IF(D155&lt;&gt;"",C155,0)</f>
        <v/>
      </c>
      <c r="C155" s="156">
        <f>(M155/MAX(M:M)*$M$1)+(N155/MAX(N:N)*$N$1)+(O155/MAX(O:O)*$O$1)+(P155/MAX(P:P)*$P$1)+(Q155/MAX(Q:Q)*$Q$1)+(R155/MAX(R:R)*$R$1)</f>
        <v/>
      </c>
      <c r="D155" s="156">
        <f>IFERROR(VLOOKUP(A155,'Injury Report'!A:F,6,0),"")</f>
        <v/>
      </c>
      <c r="E155" s="156" t="inlineStr">
        <is>
          <t>Marlon Humphrey</t>
        </is>
      </c>
      <c r="F155" s="156" t="inlineStr">
        <is>
          <t>BAL</t>
        </is>
      </c>
      <c r="G155" s="156" t="inlineStr">
        <is>
          <t>DT</t>
        </is>
      </c>
      <c r="H155" s="156" t="n">
        <v>17</v>
      </c>
      <c r="I155" s="156" t="n">
        <v>658</v>
      </c>
      <c r="J155" s="156" t="n">
        <v>48</v>
      </c>
      <c r="K155" s="156" t="n">
        <v>16</v>
      </c>
      <c r="L155" s="156">
        <f>SUM(K155,J155)</f>
        <v/>
      </c>
      <c r="M155" s="156" t="n">
        <v>0.5</v>
      </c>
      <c r="N155" s="156" t="n">
        <v>1</v>
      </c>
      <c r="O155" s="156" t="n">
        <v>0</v>
      </c>
      <c r="P155" s="156" t="n">
        <v>1</v>
      </c>
      <c r="Q155" s="156" t="n">
        <v>0</v>
      </c>
      <c r="R155" s="156" t="n">
        <v>6</v>
      </c>
    </row>
    <row r="156" ht="15.6" customHeight="1" s="152">
      <c r="A156" s="167">
        <f>E156&amp;F156</f>
        <v/>
      </c>
      <c r="B156" s="156">
        <f>IF(D156&lt;&gt;"",C156,0)</f>
        <v/>
      </c>
      <c r="C156" s="156">
        <f>(M156/MAX(M:M)*$M$1)+(N156/MAX(N:N)*$N$1)+(O156/MAX(O:O)*$O$1)+(P156/MAX(P:P)*$P$1)+(Q156/MAX(Q:Q)*$Q$1)+(R156/MAX(R:R)*$R$1)</f>
        <v/>
      </c>
      <c r="D156" s="156">
        <f>IFERROR(VLOOKUP(A156,'Injury Report'!A:F,6,0),"")</f>
        <v/>
      </c>
      <c r="E156" s="156" t="inlineStr">
        <is>
          <t>Keisean Nixon</t>
        </is>
      </c>
      <c r="F156" s="156" t="inlineStr">
        <is>
          <t>GB</t>
        </is>
      </c>
      <c r="G156" s="156" t="inlineStr">
        <is>
          <t>LB</t>
        </is>
      </c>
      <c r="H156" s="156" t="n">
        <v>17</v>
      </c>
      <c r="I156" s="156" t="n">
        <v>488</v>
      </c>
      <c r="J156" s="156" t="n">
        <v>60</v>
      </c>
      <c r="K156" s="156" t="n">
        <v>24</v>
      </c>
      <c r="L156" s="156">
        <f>SUM(K156,J156)</f>
        <v/>
      </c>
      <c r="M156" s="156" t="n">
        <v>1</v>
      </c>
      <c r="N156" s="156" t="n">
        <v>1</v>
      </c>
      <c r="O156" s="156" t="n">
        <v>0</v>
      </c>
      <c r="P156" s="156" t="n">
        <v>3</v>
      </c>
      <c r="Q156" s="156" t="n">
        <v>0</v>
      </c>
      <c r="R156" s="156" t="n">
        <v>9</v>
      </c>
    </row>
    <row r="157" ht="15.6" customHeight="1" s="152">
      <c r="A157" s="167">
        <f>E157&amp;F157</f>
        <v/>
      </c>
      <c r="B157" s="156">
        <f>IF(D157&lt;&gt;"",C157,0)</f>
        <v/>
      </c>
      <c r="C157" s="156">
        <f>(M157/MAX(M:M)*$M$1)+(N157/MAX(N:N)*$N$1)+(O157/MAX(O:O)*$O$1)+(P157/MAX(P:P)*$P$1)+(Q157/MAX(Q:Q)*$Q$1)+(R157/MAX(R:R)*$R$1)</f>
        <v/>
      </c>
      <c r="D157" s="156">
        <f>IFERROR(VLOOKUP(A157,'Injury Report'!A:F,6,0),"")</f>
        <v/>
      </c>
      <c r="E157" s="156" t="inlineStr">
        <is>
          <t>Chauncey Gardner-Johnson</t>
        </is>
      </c>
      <c r="F157" s="156" t="inlineStr">
        <is>
          <t>HOU</t>
        </is>
      </c>
      <c r="G157" s="156" t="inlineStr">
        <is>
          <t>CB</t>
        </is>
      </c>
      <c r="H157" s="156" t="n">
        <v>17</v>
      </c>
      <c r="I157" s="156" t="n">
        <v>841</v>
      </c>
      <c r="J157" s="156" t="n">
        <v>47</v>
      </c>
      <c r="K157" s="156" t="n">
        <v>20</v>
      </c>
      <c r="L157" s="156">
        <f>SUM(K157,J157)</f>
        <v/>
      </c>
      <c r="M157" s="156" t="n">
        <v>0.4</v>
      </c>
      <c r="N157" s="156" t="n">
        <v>1</v>
      </c>
      <c r="O157" s="156" t="n">
        <v>0</v>
      </c>
      <c r="P157" s="156" t="n">
        <v>3</v>
      </c>
      <c r="Q157" s="156" t="n">
        <v>1</v>
      </c>
      <c r="R157" s="156" t="n">
        <v>14</v>
      </c>
    </row>
    <row r="158" ht="15.6" customHeight="1" s="152">
      <c r="A158" s="167">
        <f>E158&amp;F158</f>
        <v/>
      </c>
      <c r="B158" s="156">
        <f>IF(D158&lt;&gt;"",C158,0)</f>
        <v/>
      </c>
      <c r="C158" s="156">
        <f>(M158/MAX(M:M)*$M$1)+(N158/MAX(N:N)*$N$1)+(O158/MAX(O:O)*$O$1)+(P158/MAX(P:P)*$P$1)+(Q158/MAX(Q:Q)*$Q$1)+(R158/MAX(R:R)*$R$1)</f>
        <v/>
      </c>
      <c r="D158" s="156">
        <f>IFERROR(VLOOKUP(A158,'Injury Report'!A:F,6,0),"")</f>
        <v/>
      </c>
      <c r="E158" s="156" t="inlineStr">
        <is>
          <t>Jalen Ramsey</t>
        </is>
      </c>
      <c r="F158" s="156" t="inlineStr">
        <is>
          <t>PIT</t>
        </is>
      </c>
      <c r="G158" s="156" t="inlineStr">
        <is>
          <t>CB</t>
        </is>
      </c>
      <c r="H158" s="156" t="n">
        <v>17</v>
      </c>
      <c r="I158" s="156" t="n">
        <v>1039</v>
      </c>
      <c r="J158" s="156" t="n">
        <v>47</v>
      </c>
      <c r="K158" s="156" t="n">
        <v>14</v>
      </c>
      <c r="L158" s="156">
        <f>SUM(K158,J158)</f>
        <v/>
      </c>
      <c r="M158" s="156" t="n">
        <v>0</v>
      </c>
      <c r="N158" s="156" t="n">
        <v>0</v>
      </c>
      <c r="O158" s="156" t="n">
        <v>0</v>
      </c>
      <c r="P158" s="156" t="n">
        <v>2</v>
      </c>
      <c r="Q158" s="156" t="n">
        <v>0</v>
      </c>
      <c r="R158" s="156" t="n">
        <v>6</v>
      </c>
    </row>
    <row r="159" ht="15.6" customHeight="1" s="152">
      <c r="A159" s="167">
        <f>E159&amp;F159</f>
        <v/>
      </c>
      <c r="B159" s="156">
        <f>IF(D159&lt;&gt;"",C159,0)</f>
        <v/>
      </c>
      <c r="C159" s="156">
        <f>(M159/MAX(M:M)*$M$1)+(N159/MAX(N:N)*$N$1)+(O159/MAX(O:O)*$O$1)+(P159/MAX(P:P)*$P$1)+(Q159/MAX(Q:Q)*$Q$1)+(R159/MAX(R:R)*$R$1)</f>
        <v/>
      </c>
      <c r="D159" s="156">
        <f>IFERROR(VLOOKUP(A159,'Injury Report'!A:F,6,0),"")</f>
        <v/>
      </c>
    </row>
    <row r="160" ht="15.6" customHeight="1" s="152">
      <c r="A160" s="167">
        <f>E160&amp;F160</f>
        <v/>
      </c>
      <c r="B160" s="156">
        <f>IF(D160&lt;&gt;"",C160,0)</f>
        <v/>
      </c>
      <c r="C160" s="156">
        <f>(M160/MAX(M:M)*$M$1)+(N160/MAX(N:N)*$N$1)+(O160/MAX(O:O)*$O$1)+(P160/MAX(P:P)*$P$1)+(Q160/MAX(Q:Q)*$Q$1)+(R160/MAX(R:R)*$R$1)</f>
        <v/>
      </c>
      <c r="D160" s="156">
        <f>IFERROR(VLOOKUP(A160,'Injury Report'!A:F,6,0),"")</f>
        <v/>
      </c>
    </row>
    <row r="161" ht="15.6" customHeight="1" s="152">
      <c r="A161" s="167">
        <f>E161&amp;F161</f>
        <v/>
      </c>
      <c r="B161" s="156">
        <f>IF(D161&lt;&gt;"",C161,0)</f>
        <v/>
      </c>
      <c r="C161" s="156">
        <f>(M161/MAX(M:M)*$M$1)+(N161/MAX(N:N)*$N$1)+(O161/MAX(O:O)*$O$1)+(P161/MAX(P:P)*$P$1)+(Q161/MAX(Q:Q)*$Q$1)+(R161/MAX(R:R)*$R$1)</f>
        <v/>
      </c>
      <c r="D161" s="156">
        <f>IFERROR(VLOOKUP(A161,'Injury Report'!A:F,6,0),"")</f>
        <v/>
      </c>
    </row>
    <row r="162" ht="15.6" customHeight="1" s="152">
      <c r="A162" s="167">
        <f>E162&amp;F162</f>
        <v/>
      </c>
      <c r="B162" s="156">
        <f>IF(D162&lt;&gt;"",C162,0)</f>
        <v/>
      </c>
      <c r="C162" s="156">
        <f>(M162/MAX(M:M)*$M$1)+(N162/MAX(N:N)*$N$1)+(O162/MAX(O:O)*$O$1)+(P162/MAX(P:P)*$P$1)+(Q162/MAX(Q:Q)*$Q$1)+(R162/MAX(R:R)*$R$1)</f>
        <v/>
      </c>
      <c r="D162" s="156">
        <f>IFERROR(VLOOKUP(A162,'Injury Report'!A:F,6,0),"")</f>
        <v/>
      </c>
    </row>
    <row r="163" ht="15.6" customHeight="1" s="152">
      <c r="A163" s="167">
        <f>E163&amp;F163</f>
        <v/>
      </c>
      <c r="B163" s="156">
        <f>IF(D163&lt;&gt;"",C163,0)</f>
        <v/>
      </c>
      <c r="C163" s="156">
        <f>(M163/MAX(M:M)*$M$1)+(N163/MAX(N:N)*$N$1)+(O163/MAX(O:O)*$O$1)+(P163/MAX(P:P)*$P$1)+(Q163/MAX(Q:Q)*$Q$1)+(R163/MAX(R:R)*$R$1)</f>
        <v/>
      </c>
      <c r="D163" s="156">
        <f>IFERROR(VLOOKUP(A163,'Injury Report'!A:F,6,0),"")</f>
        <v/>
      </c>
    </row>
    <row r="164" ht="15.6" customHeight="1" s="152">
      <c r="A164" s="167">
        <f>E164&amp;F164</f>
        <v/>
      </c>
      <c r="B164" s="156">
        <f>IF(D164&lt;&gt;"",C164,0)</f>
        <v/>
      </c>
      <c r="C164" s="156">
        <f>(M164/MAX(M:M)*$M$1)+(N164/MAX(N:N)*$N$1)+(O164/MAX(O:O)*$O$1)+(P164/MAX(P:P)*$P$1)+(Q164/MAX(Q:Q)*$Q$1)+(R164/MAX(R:R)*$R$1)</f>
        <v/>
      </c>
      <c r="D164" s="156">
        <f>IFERROR(VLOOKUP(A164,'Injury Report'!A:F,6,0),"")</f>
        <v/>
      </c>
    </row>
    <row r="165" ht="15.6" customHeight="1" s="152">
      <c r="A165" s="167">
        <f>E165&amp;F165</f>
        <v/>
      </c>
      <c r="B165" s="156">
        <f>IF(D165&lt;&gt;"",C165,0)</f>
        <v/>
      </c>
      <c r="C165" s="156">
        <f>(M165/MAX(M:M)*$M$1)+(N165/MAX(N:N)*$N$1)+(O165/MAX(O:O)*$O$1)+(P165/MAX(P:P)*$P$1)+(Q165/MAX(Q:Q)*$Q$1)+(R165/MAX(R:R)*$R$1)</f>
        <v/>
      </c>
      <c r="D165" s="156">
        <f>IFERROR(VLOOKUP(A165,'Injury Report'!A:F,6,0),"")</f>
        <v/>
      </c>
    </row>
    <row r="166" ht="15.6" customHeight="1" s="152">
      <c r="A166" s="167">
        <f>E166&amp;F166</f>
        <v/>
      </c>
      <c r="B166" s="156">
        <f>IF(D166&lt;&gt;"",C166,0)</f>
        <v/>
      </c>
      <c r="C166" s="156">
        <f>(M166/MAX(M:M)*$M$1)+(N166/MAX(N:N)*$N$1)+(O166/MAX(O:O)*$O$1)+(P166/MAX(P:P)*$P$1)+(Q166/MAX(Q:Q)*$Q$1)+(R166/MAX(R:R)*$R$1)</f>
        <v/>
      </c>
      <c r="D166" s="156">
        <f>IFERROR(VLOOKUP(A166,'Injury Report'!A:F,6,0),"")</f>
        <v/>
      </c>
    </row>
    <row r="167" ht="15.6" customHeight="1" s="152">
      <c r="A167" s="167">
        <f>E167&amp;F167</f>
        <v/>
      </c>
      <c r="B167" s="156">
        <f>IF(D167&lt;&gt;"",C167,0)</f>
        <v/>
      </c>
      <c r="C167" s="156">
        <f>(M167/MAX(M:M)*$M$1)+(N167/MAX(N:N)*$N$1)+(O167/MAX(O:O)*$O$1)+(P167/MAX(P:P)*$P$1)+(Q167/MAX(Q:Q)*$Q$1)+(R167/MAX(R:R)*$R$1)</f>
        <v/>
      </c>
      <c r="D167" s="156">
        <f>IFERROR(VLOOKUP(A167,'Injury Report'!A:F,6,0),"")</f>
        <v/>
      </c>
    </row>
    <row r="168" ht="15.6" customHeight="1" s="152">
      <c r="A168" s="167">
        <f>E168&amp;F168</f>
        <v/>
      </c>
      <c r="B168" s="156">
        <f>IF(D168&lt;&gt;"",C168,0)</f>
        <v/>
      </c>
      <c r="C168" s="156">
        <f>(M168/MAX(M:M)*$M$1)+(N168/MAX(N:N)*$N$1)+(O168/MAX(O:O)*$O$1)+(P168/MAX(P:P)*$P$1)+(Q168/MAX(Q:Q)*$Q$1)+(R168/MAX(R:R)*$R$1)</f>
        <v/>
      </c>
      <c r="D168" s="156">
        <f>IFERROR(VLOOKUP(A168,'Injury Report'!A:F,6,0),"")</f>
        <v/>
      </c>
    </row>
    <row r="169" ht="15.6" customHeight="1" s="152">
      <c r="A169" s="167">
        <f>E169&amp;F169</f>
        <v/>
      </c>
      <c r="B169" s="156">
        <f>IF(D169&lt;&gt;"",C169,0)</f>
        <v/>
      </c>
      <c r="C169" s="156">
        <f>(M169/MAX(M:M)*$M$1)+(N169/MAX(N:N)*$N$1)+(O169/MAX(O:O)*$O$1)+(P169/MAX(P:P)*$P$1)+(Q169/MAX(Q:Q)*$Q$1)+(R169/MAX(R:R)*$R$1)</f>
        <v/>
      </c>
      <c r="D169" s="156">
        <f>IFERROR(VLOOKUP(A169,'Injury Report'!A:F,6,0),"")</f>
        <v/>
      </c>
    </row>
    <row r="170" ht="15.6" customHeight="1" s="152">
      <c r="A170" s="167">
        <f>E170&amp;F170</f>
        <v/>
      </c>
      <c r="B170" s="156">
        <f>IF(D170&lt;&gt;"",C170,0)</f>
        <v/>
      </c>
      <c r="C170" s="156">
        <f>(M170/MAX(M:M)*$M$1)+(N170/MAX(N:N)*$N$1)+(O170/MAX(O:O)*$O$1)+(P170/MAX(P:P)*$P$1)+(Q170/MAX(Q:Q)*$Q$1)+(R170/MAX(R:R)*$R$1)</f>
        <v/>
      </c>
      <c r="D170" s="156">
        <f>IFERROR(VLOOKUP(A170,'Injury Report'!A:F,6,0),"")</f>
        <v/>
      </c>
    </row>
    <row r="171" ht="15.6" customHeight="1" s="152">
      <c r="A171" s="167">
        <f>E171&amp;F171</f>
        <v/>
      </c>
      <c r="B171" s="156">
        <f>IF(D171&lt;&gt;"",C171,0)</f>
        <v/>
      </c>
      <c r="C171" s="156">
        <f>(M171/MAX(M:M)*$M$1)+(N171/MAX(N:N)*$N$1)+(O171/MAX(O:O)*$O$1)+(P171/MAX(P:P)*$P$1)+(Q171/MAX(Q:Q)*$Q$1)+(R171/MAX(R:R)*$R$1)</f>
        <v/>
      </c>
      <c r="D171" s="156">
        <f>IFERROR(VLOOKUP(A171,'Injury Report'!A:F,6,0),"")</f>
        <v/>
      </c>
    </row>
    <row r="172" ht="15.6" customHeight="1" s="152">
      <c r="A172" s="167">
        <f>E172&amp;F172</f>
        <v/>
      </c>
      <c r="B172" s="156">
        <f>IF(D172&lt;&gt;"",C172,0)</f>
        <v/>
      </c>
      <c r="C172" s="156">
        <f>(M172/MAX(M:M)*$M$1)+(N172/MAX(N:N)*$N$1)+(O172/MAX(O:O)*$O$1)+(P172/MAX(P:P)*$P$1)+(Q172/MAX(Q:Q)*$Q$1)+(R172/MAX(R:R)*$R$1)</f>
        <v/>
      </c>
      <c r="D172" s="156">
        <f>IFERROR(VLOOKUP(A172,'Injury Report'!A:F,6,0),"")</f>
        <v/>
      </c>
    </row>
    <row r="173" ht="15.6" customHeight="1" s="152">
      <c r="A173" s="167">
        <f>E173&amp;F173</f>
        <v/>
      </c>
      <c r="B173" s="156">
        <f>IF(D173&lt;&gt;"",C173,0)</f>
        <v/>
      </c>
      <c r="C173" s="156">
        <f>(M173/MAX(M:M)*$M$1)+(N173/MAX(N:N)*$N$1)+(O173/MAX(O:O)*$O$1)+(P173/MAX(P:P)*$P$1)+(Q173/MAX(Q:Q)*$Q$1)+(R173/MAX(R:R)*$R$1)</f>
        <v/>
      </c>
      <c r="D173" s="156">
        <f>IFERROR(VLOOKUP(A173,'Injury Report'!A:F,6,0),"")</f>
        <v/>
      </c>
    </row>
    <row r="174" ht="15.6" customHeight="1" s="152">
      <c r="A174" s="167">
        <f>E174&amp;F174</f>
        <v/>
      </c>
      <c r="B174" s="156">
        <f>IF(D174&lt;&gt;"",C174,0)</f>
        <v/>
      </c>
      <c r="C174" s="156">
        <f>(M174/MAX(M:M)*$M$1)+(N174/MAX(N:N)*$N$1)+(O174/MAX(O:O)*$O$1)+(P174/MAX(P:P)*$P$1)+(Q174/MAX(Q:Q)*$Q$1)+(R174/MAX(R:R)*$R$1)</f>
        <v/>
      </c>
      <c r="D174" s="156">
        <f>IFERROR(VLOOKUP(A174,'Injury Report'!A:F,6,0),"")</f>
        <v/>
      </c>
    </row>
    <row r="175" ht="15.6" customHeight="1" s="152">
      <c r="A175" s="167">
        <f>E175&amp;F175</f>
        <v/>
      </c>
      <c r="B175" s="156">
        <f>IF(D175&lt;&gt;"",C175,0)</f>
        <v/>
      </c>
      <c r="C175" s="156">
        <f>(M175/MAX(M:M)*$M$1)+(N175/MAX(N:N)*$N$1)+(O175/MAX(O:O)*$O$1)+(P175/MAX(P:P)*$P$1)+(Q175/MAX(Q:Q)*$Q$1)+(R175/MAX(R:R)*$R$1)</f>
        <v/>
      </c>
      <c r="D175" s="156">
        <f>IFERROR(VLOOKUP(A175,'Injury Report'!A:F,6,0),"")</f>
        <v/>
      </c>
    </row>
    <row r="176" ht="15.6" customHeight="1" s="152">
      <c r="A176" s="167">
        <f>E176&amp;F176</f>
        <v/>
      </c>
      <c r="B176" s="156">
        <f>IF(D176&lt;&gt;"",C176,0)</f>
        <v/>
      </c>
      <c r="C176" s="156">
        <f>(M176/MAX(M:M)*$M$1)+(N176/MAX(N:N)*$N$1)+(O176/MAX(O:O)*$O$1)+(P176/MAX(P:P)*$P$1)+(Q176/MAX(Q:Q)*$Q$1)+(R176/MAX(R:R)*$R$1)</f>
        <v/>
      </c>
      <c r="D176" s="156">
        <f>IFERROR(VLOOKUP(A176,'Injury Report'!A:F,6,0),"")</f>
        <v/>
      </c>
    </row>
    <row r="177" ht="15.6" customHeight="1" s="152">
      <c r="A177" s="167">
        <f>E177&amp;F177</f>
        <v/>
      </c>
      <c r="B177" s="156">
        <f>IF(D177&lt;&gt;"",C177,0)</f>
        <v/>
      </c>
      <c r="C177" s="156">
        <f>(M177/MAX(M:M)*$M$1)+(N177/MAX(N:N)*$N$1)+(O177/MAX(O:O)*$O$1)+(P177/MAX(P:P)*$P$1)+(Q177/MAX(Q:Q)*$Q$1)+(R177/MAX(R:R)*$R$1)</f>
        <v/>
      </c>
      <c r="D177" s="156">
        <f>IFERROR(VLOOKUP(A177,'Injury Report'!A:F,6,0),"")</f>
        <v/>
      </c>
    </row>
    <row r="178" ht="15.6" customHeight="1" s="152">
      <c r="A178" s="167">
        <f>E178&amp;F178</f>
        <v/>
      </c>
      <c r="B178" s="156">
        <f>IF(D178&lt;&gt;"",C178,0)</f>
        <v/>
      </c>
      <c r="C178" s="156">
        <f>(M178/MAX(M:M)*$M$1)+(N178/MAX(N:N)*$N$1)+(O178/MAX(O:O)*$O$1)+(P178/MAX(P:P)*$P$1)+(Q178/MAX(Q:Q)*$Q$1)+(R178/MAX(R:R)*$R$1)</f>
        <v/>
      </c>
      <c r="D178" s="156">
        <f>IFERROR(VLOOKUP(A178,'Injury Report'!A:F,6,0),"")</f>
        <v/>
      </c>
    </row>
    <row r="179" ht="15.6" customHeight="1" s="152">
      <c r="A179" s="167">
        <f>E179&amp;F179</f>
        <v/>
      </c>
      <c r="B179" s="156">
        <f>IF(D179&lt;&gt;"",C179,0)</f>
        <v/>
      </c>
      <c r="C179" s="156">
        <f>(M179/MAX(M:M)*$M$1)+(N179/MAX(N:N)*$N$1)+(O179/MAX(O:O)*$O$1)+(P179/MAX(P:P)*$P$1)+(Q179/MAX(Q:Q)*$Q$1)+(R179/MAX(R:R)*$R$1)</f>
        <v/>
      </c>
      <c r="D179" s="156">
        <f>IFERROR(VLOOKUP(A179,'Injury Report'!A:F,6,0),"")</f>
        <v/>
      </c>
    </row>
    <row r="180" ht="15.6" customHeight="1" s="152">
      <c r="A180" s="167">
        <f>E180&amp;F180</f>
        <v/>
      </c>
      <c r="B180" s="156">
        <f>IF(D180&lt;&gt;"",C180,0)</f>
        <v/>
      </c>
      <c r="C180" s="156">
        <f>(M180/MAX(M:M)*$M$1)+(N180/MAX(N:N)*$N$1)+(O180/MAX(O:O)*$O$1)+(P180/MAX(P:P)*$P$1)+(Q180/MAX(Q:Q)*$Q$1)+(R180/MAX(R:R)*$R$1)</f>
        <v/>
      </c>
      <c r="D180" s="156">
        <f>IFERROR(VLOOKUP(A180,'Injury Report'!A:F,6,0),"")</f>
        <v/>
      </c>
    </row>
    <row r="181" ht="15.6" customHeight="1" s="152">
      <c r="A181" s="167">
        <f>E181&amp;F181</f>
        <v/>
      </c>
      <c r="B181" s="156">
        <f>IF(D181&lt;&gt;"",C181,0)</f>
        <v/>
      </c>
      <c r="C181" s="156">
        <f>(M181/MAX(M:M)*$M$1)+(N181/MAX(N:N)*$N$1)+(O181/MAX(O:O)*$O$1)+(P181/MAX(P:P)*$P$1)+(Q181/MAX(Q:Q)*$Q$1)+(R181/MAX(R:R)*$R$1)</f>
        <v/>
      </c>
      <c r="D181" s="156">
        <f>IFERROR(VLOOKUP(A181,'Injury Report'!A:F,6,0),"")</f>
        <v/>
      </c>
    </row>
    <row r="182" ht="15.6" customHeight="1" s="152">
      <c r="A182" s="167">
        <f>E182&amp;F182</f>
        <v/>
      </c>
      <c r="B182" s="156">
        <f>IF(D182&lt;&gt;"",C182,0)</f>
        <v/>
      </c>
      <c r="C182" s="156">
        <f>(M182/MAX(M:M)*$M$1)+(N182/MAX(N:N)*$N$1)+(O182/MAX(O:O)*$O$1)+(P182/MAX(P:P)*$P$1)+(Q182/MAX(Q:Q)*$Q$1)+(R182/MAX(R:R)*$R$1)</f>
        <v/>
      </c>
      <c r="D182" s="156">
        <f>IFERROR(VLOOKUP(A182,'Injury Report'!A:F,6,0),"")</f>
        <v/>
      </c>
    </row>
    <row r="183" ht="15.6" customHeight="1" s="152">
      <c r="A183" s="167">
        <f>E183&amp;F183</f>
        <v/>
      </c>
      <c r="B183" s="156">
        <f>IF(D183&lt;&gt;"",C183,0)</f>
        <v/>
      </c>
      <c r="C183" s="156">
        <f>(M183/MAX(M:M)*$M$1)+(N183/MAX(N:N)*$N$1)+(O183/MAX(O:O)*$O$1)+(P183/MAX(P:P)*$P$1)+(Q183/MAX(Q:Q)*$Q$1)+(R183/MAX(R:R)*$R$1)</f>
        <v/>
      </c>
      <c r="D183" s="156">
        <f>IFERROR(VLOOKUP(A183,'Injury Report'!A:F,6,0),"")</f>
        <v/>
      </c>
    </row>
    <row r="184" ht="15.6" customHeight="1" s="152">
      <c r="A184" s="167">
        <f>E184&amp;F184</f>
        <v/>
      </c>
      <c r="B184" s="156">
        <f>IF(D184&lt;&gt;"",C184,0)</f>
        <v/>
      </c>
      <c r="C184" s="156">
        <f>(M184/MAX(M:M)*$M$1)+(N184/MAX(N:N)*$N$1)+(O184/MAX(O:O)*$O$1)+(P184/MAX(P:P)*$P$1)+(Q184/MAX(Q:Q)*$Q$1)+(R184/MAX(R:R)*$R$1)</f>
        <v/>
      </c>
      <c r="D184" s="156">
        <f>IFERROR(VLOOKUP(A184,'Injury Report'!A:F,6,0),"")</f>
        <v/>
      </c>
    </row>
    <row r="185" ht="15.6" customHeight="1" s="152">
      <c r="A185" s="167">
        <f>E185&amp;F185</f>
        <v/>
      </c>
      <c r="B185" s="156">
        <f>IF(D185&lt;&gt;"",C185,0)</f>
        <v/>
      </c>
      <c r="C185" s="156">
        <f>(M185/MAX(M:M)*$M$1)+(N185/MAX(N:N)*$N$1)+(O185/MAX(O:O)*$O$1)+(P185/MAX(P:P)*$P$1)+(Q185/MAX(Q:Q)*$Q$1)+(R185/MAX(R:R)*$R$1)</f>
        <v/>
      </c>
      <c r="D185" s="156">
        <f>IFERROR(VLOOKUP(A185,'Injury Report'!A:F,6,0),"")</f>
        <v/>
      </c>
    </row>
    <row r="186" ht="15.6" customHeight="1" s="152">
      <c r="A186" s="167">
        <f>E186&amp;F186</f>
        <v/>
      </c>
      <c r="B186" s="156">
        <f>IF(D186&lt;&gt;"",C186,0)</f>
        <v/>
      </c>
      <c r="C186" s="156">
        <f>(M186/MAX(M:M)*$M$1)+(N186/MAX(N:N)*$N$1)+(O186/MAX(O:O)*$O$1)+(P186/MAX(P:P)*$P$1)+(Q186/MAX(Q:Q)*$Q$1)+(R186/MAX(R:R)*$R$1)</f>
        <v/>
      </c>
      <c r="D186" s="156">
        <f>IFERROR(VLOOKUP(A186,'Injury Report'!A:F,6,0),"")</f>
        <v/>
      </c>
    </row>
    <row r="187" ht="15.6" customHeight="1" s="152">
      <c r="A187" s="167">
        <f>E187&amp;F187</f>
        <v/>
      </c>
      <c r="B187" s="156">
        <f>IF(D187&lt;&gt;"",C187,0)</f>
        <v/>
      </c>
      <c r="C187" s="156">
        <f>(M187/MAX(M:M)*$M$1)+(N187/MAX(N:N)*$N$1)+(O187/MAX(O:O)*$O$1)+(P187/MAX(P:P)*$P$1)+(Q187/MAX(Q:Q)*$Q$1)+(R187/MAX(R:R)*$R$1)</f>
        <v/>
      </c>
      <c r="D187" s="156">
        <f>IFERROR(VLOOKUP(A187,'Injury Report'!A:F,6,0),"")</f>
        <v/>
      </c>
    </row>
    <row r="188" ht="15.6" customHeight="1" s="152">
      <c r="A188" s="167">
        <f>E188&amp;F188</f>
        <v/>
      </c>
      <c r="B188" s="156">
        <f>IF(D188&lt;&gt;"",C188,0)</f>
        <v/>
      </c>
      <c r="C188" s="156">
        <f>(M188/MAX(M:M)*$M$1)+(N188/MAX(N:N)*$N$1)+(O188/MAX(O:O)*$O$1)+(P188/MAX(P:P)*$P$1)+(Q188/MAX(Q:Q)*$Q$1)+(R188/MAX(R:R)*$R$1)</f>
        <v/>
      </c>
      <c r="D188" s="156">
        <f>IFERROR(VLOOKUP(A188,'Injury Report'!A:F,6,0),"")</f>
        <v/>
      </c>
    </row>
    <row r="189" ht="15.6" customHeight="1" s="152">
      <c r="A189" s="167">
        <f>E189&amp;F189</f>
        <v/>
      </c>
      <c r="B189" s="156">
        <f>IF(D189&lt;&gt;"",C189,0)</f>
        <v/>
      </c>
      <c r="C189" s="156">
        <f>(M189/MAX(M:M)*$M$1)+(N189/MAX(N:N)*$N$1)+(O189/MAX(O:O)*$O$1)+(P189/MAX(P:P)*$P$1)+(Q189/MAX(Q:Q)*$Q$1)+(R189/MAX(R:R)*$R$1)</f>
        <v/>
      </c>
      <c r="D189" s="156">
        <f>IFERROR(VLOOKUP(A189,'Injury Report'!A:F,6,0),"")</f>
        <v/>
      </c>
    </row>
    <row r="190" ht="15.6" customHeight="1" s="152">
      <c r="A190" s="167">
        <f>E190&amp;F190</f>
        <v/>
      </c>
      <c r="B190" s="156">
        <f>IF(D190&lt;&gt;"",C190,0)</f>
        <v/>
      </c>
      <c r="C190" s="156">
        <f>(M190/MAX(M:M)*$M$1)+(N190/MAX(N:N)*$N$1)+(O190/MAX(O:O)*$O$1)+(P190/MAX(P:P)*$P$1)+(Q190/MAX(Q:Q)*$Q$1)+(R190/MAX(R:R)*$R$1)</f>
        <v/>
      </c>
      <c r="D190" s="156">
        <f>IFERROR(VLOOKUP(A190,'Injury Report'!A:F,6,0),"")</f>
        <v/>
      </c>
    </row>
    <row r="191" ht="15.6" customHeight="1" s="152">
      <c r="A191" s="167">
        <f>E191&amp;F191</f>
        <v/>
      </c>
      <c r="B191" s="156">
        <f>IF(D191&lt;&gt;"",C191,0)</f>
        <v/>
      </c>
      <c r="C191" s="156">
        <f>(M191/MAX(M:M)*$M$1)+(N191/MAX(N:N)*$N$1)+(O191/MAX(O:O)*$O$1)+(P191/MAX(P:P)*$P$1)+(Q191/MAX(Q:Q)*$Q$1)+(R191/MAX(R:R)*$R$1)</f>
        <v/>
      </c>
      <c r="D191" s="156">
        <f>IFERROR(VLOOKUP(A191,'Injury Report'!A:F,6,0),"")</f>
        <v/>
      </c>
    </row>
    <row r="192" ht="15.6" customHeight="1" s="152">
      <c r="A192" s="167">
        <f>E192&amp;F192</f>
        <v/>
      </c>
      <c r="B192" s="156">
        <f>IF(D192&lt;&gt;"",C192,0)</f>
        <v/>
      </c>
      <c r="C192" s="156">
        <f>(M192/MAX(M:M)*$M$1)+(N192/MAX(N:N)*$N$1)+(O192/MAX(O:O)*$O$1)+(P192/MAX(P:P)*$P$1)+(Q192/MAX(Q:Q)*$Q$1)+(R192/MAX(R:R)*$R$1)</f>
        <v/>
      </c>
      <c r="D192" s="156">
        <f>IFERROR(VLOOKUP(A192,'Injury Report'!A:F,6,0),"")</f>
        <v/>
      </c>
    </row>
    <row r="193" ht="15.6" customHeight="1" s="152">
      <c r="A193" s="167">
        <f>E193&amp;F193</f>
        <v/>
      </c>
      <c r="B193" s="156">
        <f>IF(D193&lt;&gt;"",C193,0)</f>
        <v/>
      </c>
      <c r="C193" s="156">
        <f>(M193/MAX(M:M)*$M$1)+(N193/MAX(N:N)*$N$1)+(O193/MAX(O:O)*$O$1)+(P193/MAX(P:P)*$P$1)+(Q193/MAX(Q:Q)*$Q$1)+(R193/MAX(R:R)*$R$1)</f>
        <v/>
      </c>
      <c r="D193" s="156">
        <f>IFERROR(VLOOKUP(A193,'Injury Report'!A:F,6,0),"")</f>
        <v/>
      </c>
    </row>
    <row r="194" ht="15.6" customHeight="1" s="152">
      <c r="A194" s="167">
        <f>E194&amp;F194</f>
        <v/>
      </c>
      <c r="B194" s="156">
        <f>IF(D194&lt;&gt;"",C194,0)</f>
        <v/>
      </c>
      <c r="C194" s="156">
        <f>(M194/MAX(M:M)*$M$1)+(N194/MAX(N:N)*$N$1)+(O194/MAX(O:O)*$O$1)+(P194/MAX(P:P)*$P$1)+(Q194/MAX(Q:Q)*$Q$1)+(R194/MAX(R:R)*$R$1)</f>
        <v/>
      </c>
      <c r="D194" s="156">
        <f>IFERROR(VLOOKUP(A194,'Injury Report'!A:F,6,0),"")</f>
        <v/>
      </c>
    </row>
    <row r="195" ht="15.6" customHeight="1" s="152">
      <c r="A195" s="167">
        <f>E195&amp;F195</f>
        <v/>
      </c>
      <c r="B195" s="156">
        <f>IF(D195&lt;&gt;"",C195,0)</f>
        <v/>
      </c>
      <c r="C195" s="156">
        <f>(M195/MAX(M:M)*$M$1)+(N195/MAX(N:N)*$N$1)+(O195/MAX(O:O)*$O$1)+(P195/MAX(P:P)*$P$1)+(Q195/MAX(Q:Q)*$Q$1)+(R195/MAX(R:R)*$R$1)</f>
        <v/>
      </c>
      <c r="D195" s="156">
        <f>IFERROR(VLOOKUP(A195,'Injury Report'!A:F,6,0),"")</f>
        <v/>
      </c>
    </row>
    <row r="196" ht="15.6" customHeight="1" s="152">
      <c r="A196" s="167">
        <f>E196&amp;F196</f>
        <v/>
      </c>
      <c r="B196" s="156">
        <f>IF(D196&lt;&gt;"",C196,0)</f>
        <v/>
      </c>
      <c r="C196" s="156">
        <f>(M196/MAX(M:M)*$M$1)+(N196/MAX(N:N)*$N$1)+(O196/MAX(O:O)*$O$1)+(P196/MAX(P:P)*$P$1)+(Q196/MAX(Q:Q)*$Q$1)+(R196/MAX(R:R)*$R$1)</f>
        <v/>
      </c>
      <c r="D196" s="156">
        <f>IFERROR(VLOOKUP(A196,'Injury Report'!A:F,6,0),"")</f>
        <v/>
      </c>
    </row>
    <row r="197" ht="15.6" customHeight="1" s="152">
      <c r="A197" s="167">
        <f>E197&amp;F197</f>
        <v/>
      </c>
      <c r="B197" s="156">
        <f>IF(D197&lt;&gt;"",C197,0)</f>
        <v/>
      </c>
      <c r="C197" s="156">
        <f>(M197/MAX(M:M)*$M$1)+(N197/MAX(N:N)*$N$1)+(O197/MAX(O:O)*$O$1)+(P197/MAX(P:P)*$P$1)+(Q197/MAX(Q:Q)*$Q$1)+(R197/MAX(R:R)*$R$1)</f>
        <v/>
      </c>
      <c r="D197" s="156">
        <f>IFERROR(VLOOKUP(A197,'Injury Report'!A:F,6,0),"")</f>
        <v/>
      </c>
    </row>
    <row r="198" ht="15.6" customHeight="1" s="152">
      <c r="A198" s="167">
        <f>E198&amp;F198</f>
        <v/>
      </c>
      <c r="B198" s="156">
        <f>IF(D198&lt;&gt;"",C198,0)</f>
        <v/>
      </c>
      <c r="C198" s="156">
        <f>(M198/MAX(M:M)*$M$1)+(N198/MAX(N:N)*$N$1)+(O198/MAX(O:O)*$O$1)+(P198/MAX(P:P)*$P$1)+(Q198/MAX(Q:Q)*$Q$1)+(R198/MAX(R:R)*$R$1)</f>
        <v/>
      </c>
      <c r="D198" s="156">
        <f>IFERROR(VLOOKUP(A198,'Injury Report'!A:F,6,0),"")</f>
        <v/>
      </c>
    </row>
    <row r="199" ht="15.6" customHeight="1" s="152">
      <c r="A199" s="167">
        <f>E199&amp;F199</f>
        <v/>
      </c>
      <c r="B199" s="156">
        <f>IF(D199&lt;&gt;"",C199,0)</f>
        <v/>
      </c>
      <c r="C199" s="156">
        <f>(M199/MAX(M:M)*$M$1)+(N199/MAX(N:N)*$N$1)+(O199/MAX(O:O)*$O$1)+(P199/MAX(P:P)*$P$1)+(Q199/MAX(Q:Q)*$Q$1)+(R199/MAX(R:R)*$R$1)</f>
        <v/>
      </c>
      <c r="D199" s="156">
        <f>IFERROR(VLOOKUP(A199,'Injury Report'!A:F,6,0),"")</f>
        <v/>
      </c>
    </row>
    <row r="200" ht="15.6" customHeight="1" s="152">
      <c r="A200" s="167">
        <f>E200&amp;F200</f>
        <v/>
      </c>
      <c r="B200" s="156">
        <f>IF(D200&lt;&gt;"",C200,0)</f>
        <v/>
      </c>
      <c r="C200" s="156">
        <f>(M200/MAX(M:M)*$M$1)+(N200/MAX(N:N)*$N$1)+(O200/MAX(O:O)*$O$1)+(P200/MAX(P:P)*$P$1)+(Q200/MAX(Q:Q)*$Q$1)+(R200/MAX(R:R)*$R$1)</f>
        <v/>
      </c>
      <c r="D200" s="156">
        <f>IFERROR(VLOOKUP(A200,'Injury Report'!A:F,6,0),"")</f>
        <v/>
      </c>
    </row>
    <row r="201" ht="15.6" customHeight="1" s="152">
      <c r="A201" s="167">
        <f>E201&amp;F201</f>
        <v/>
      </c>
      <c r="B201" s="156">
        <f>IF(D201&lt;&gt;"",C201,0)</f>
        <v/>
      </c>
      <c r="C201" s="156">
        <f>(M201/MAX(M:M)*$M$1)+(N201/MAX(N:N)*$N$1)+(O201/MAX(O:O)*$O$1)+(P201/MAX(P:P)*$P$1)+(Q201/MAX(Q:Q)*$Q$1)+(R201/MAX(R:R)*$R$1)</f>
        <v/>
      </c>
      <c r="D201" s="156">
        <f>IFERROR(VLOOKUP(A201,'Injury Report'!A:F,6,0),"")</f>
        <v/>
      </c>
    </row>
    <row r="202" ht="15.6" customHeight="1" s="152">
      <c r="A202" s="167">
        <f>E202&amp;F202</f>
        <v/>
      </c>
      <c r="B202" s="156">
        <f>IF(D202&lt;&gt;"",C202,0)</f>
        <v/>
      </c>
      <c r="C202" s="156">
        <f>(M202/MAX(M:M)*$M$1)+(N202/MAX(N:N)*$N$1)+(O202/MAX(O:O)*$O$1)+(P202/MAX(P:P)*$P$1)+(Q202/MAX(Q:Q)*$Q$1)+(R202/MAX(R:R)*$R$1)</f>
        <v/>
      </c>
      <c r="D202" s="156">
        <f>IFERROR(VLOOKUP(A202,'Injury Report'!A:F,6,0),"")</f>
        <v/>
      </c>
    </row>
    <row r="203" ht="15.6" customHeight="1" s="152">
      <c r="A203" s="167">
        <f>E203&amp;F203</f>
        <v/>
      </c>
      <c r="B203" s="156">
        <f>IF(D203&lt;&gt;"",C203,0)</f>
        <v/>
      </c>
      <c r="C203" s="156">
        <f>(M203/MAX(M:M)*$M$1)+(N203/MAX(N:N)*$N$1)+(O203/MAX(O:O)*$O$1)+(P203/MAX(P:P)*$P$1)+(Q203/MAX(Q:Q)*$Q$1)+(R203/MAX(R:R)*$R$1)</f>
        <v/>
      </c>
      <c r="D203" s="156">
        <f>IFERROR(VLOOKUP(A203,'Injury Report'!A:F,6,0),"")</f>
        <v/>
      </c>
    </row>
    <row r="204" ht="15.6" customHeight="1" s="152">
      <c r="A204" s="167">
        <f>E204&amp;F204</f>
        <v/>
      </c>
      <c r="B204" s="156">
        <f>IF(D204&lt;&gt;"",C204,0)</f>
        <v/>
      </c>
      <c r="C204" s="156">
        <f>(M204/MAX(M:M)*$M$1)+(N204/MAX(N:N)*$N$1)+(O204/MAX(O:O)*$O$1)+(P204/MAX(P:P)*$P$1)+(Q204/MAX(Q:Q)*$Q$1)+(R204/MAX(R:R)*$R$1)</f>
        <v/>
      </c>
      <c r="D204" s="156">
        <f>IFERROR(VLOOKUP(A204,'Injury Report'!A:F,6,0),"")</f>
        <v/>
      </c>
    </row>
    <row r="205" ht="15.6" customHeight="1" s="152">
      <c r="A205" s="167">
        <f>E205&amp;F205</f>
        <v/>
      </c>
      <c r="B205" s="156">
        <f>IF(D205&lt;&gt;"",C205,0)</f>
        <v/>
      </c>
      <c r="C205" s="156">
        <f>(M205/MAX(M:M)*$M$1)+(N205/MAX(N:N)*$N$1)+(O205/MAX(O:O)*$O$1)+(P205/MAX(P:P)*$P$1)+(Q205/MAX(Q:Q)*$Q$1)+(R205/MAX(R:R)*$R$1)</f>
        <v/>
      </c>
      <c r="D205" s="156">
        <f>IFERROR(VLOOKUP(A205,'Injury Report'!A:F,6,0),"")</f>
        <v/>
      </c>
    </row>
    <row r="206" ht="15.6" customHeight="1" s="152">
      <c r="A206" s="167">
        <f>E206&amp;F206</f>
        <v/>
      </c>
      <c r="B206" s="156">
        <f>IF(D206&lt;&gt;"",C206,0)</f>
        <v/>
      </c>
      <c r="C206" s="156">
        <f>(M206/MAX(M:M)*$M$1)+(N206/MAX(N:N)*$N$1)+(O206/MAX(O:O)*$O$1)+(P206/MAX(P:P)*$P$1)+(Q206/MAX(Q:Q)*$Q$1)+(R206/MAX(R:R)*$R$1)</f>
        <v/>
      </c>
      <c r="D206" s="156">
        <f>IFERROR(VLOOKUP(A206,'Injury Report'!A:F,6,0),"")</f>
        <v/>
      </c>
    </row>
    <row r="207" ht="15.6" customHeight="1" s="152">
      <c r="A207" s="167">
        <f>E207&amp;F207</f>
        <v/>
      </c>
      <c r="B207" s="156">
        <f>IF(D207&lt;&gt;"",C207,0)</f>
        <v/>
      </c>
      <c r="C207" s="156">
        <f>(M207/MAX(M:M)*$M$1)+(N207/MAX(N:N)*$N$1)+(O207/MAX(O:O)*$O$1)+(P207/MAX(P:P)*$P$1)+(Q207/MAX(Q:Q)*$Q$1)+(R207/MAX(R:R)*$R$1)</f>
        <v/>
      </c>
      <c r="D207" s="156">
        <f>IFERROR(VLOOKUP(A207,'Injury Report'!A:F,6,0),"")</f>
        <v/>
      </c>
    </row>
    <row r="208" ht="15.6" customHeight="1" s="152">
      <c r="A208" s="167">
        <f>E208&amp;F208</f>
        <v/>
      </c>
      <c r="B208" s="156">
        <f>IF(D208&lt;&gt;"",C208,0)</f>
        <v/>
      </c>
      <c r="C208" s="156">
        <f>(M208/MAX(M:M)*$M$1)+(N208/MAX(N:N)*$N$1)+(O208/MAX(O:O)*$O$1)+(P208/MAX(P:P)*$P$1)+(Q208/MAX(Q:Q)*$Q$1)+(R208/MAX(R:R)*$R$1)</f>
        <v/>
      </c>
      <c r="D208" s="156">
        <f>IFERROR(VLOOKUP(A208,'Injury Report'!A:F,6,0),"")</f>
        <v/>
      </c>
    </row>
    <row r="209" ht="15.6" customHeight="1" s="152">
      <c r="A209" s="167">
        <f>E209&amp;F209</f>
        <v/>
      </c>
      <c r="B209" s="156">
        <f>IF(D209&lt;&gt;"",C209,0)</f>
        <v/>
      </c>
      <c r="C209" s="156">
        <f>(M209/MAX(M:M)*$M$1)+(N209/MAX(N:N)*$N$1)+(O209/MAX(O:O)*$O$1)+(P209/MAX(P:P)*$P$1)+(Q209/MAX(Q:Q)*$Q$1)+(R209/MAX(R:R)*$R$1)</f>
        <v/>
      </c>
      <c r="D209" s="156">
        <f>IFERROR(VLOOKUP(A209,'Injury Report'!A:F,6,0),"")</f>
        <v/>
      </c>
    </row>
    <row r="210" ht="15.6" customHeight="1" s="152">
      <c r="A210" s="167">
        <f>E210&amp;F210</f>
        <v/>
      </c>
      <c r="B210" s="156">
        <f>IF(D210&lt;&gt;"",C210,0)</f>
        <v/>
      </c>
      <c r="C210" s="156">
        <f>(M210/MAX(M:M)*$M$1)+(N210/MAX(N:N)*$N$1)+(O210/MAX(O:O)*$O$1)+(P210/MAX(P:P)*$P$1)+(Q210/MAX(Q:Q)*$Q$1)+(R210/MAX(R:R)*$R$1)</f>
        <v/>
      </c>
      <c r="D210" s="156">
        <f>IFERROR(VLOOKUP(A210,'Injury Report'!A:F,6,0),"")</f>
        <v/>
      </c>
    </row>
    <row r="211" ht="15.6" customHeight="1" s="152">
      <c r="A211" s="167">
        <f>E211&amp;F211</f>
        <v/>
      </c>
      <c r="B211" s="156">
        <f>IF(D211&lt;&gt;"",C211,0)</f>
        <v/>
      </c>
      <c r="C211" s="156">
        <f>(M211/MAX(M:M)*$M$1)+(N211/MAX(N:N)*$N$1)+(O211/MAX(O:O)*$O$1)+(P211/MAX(P:P)*$P$1)+(Q211/MAX(Q:Q)*$Q$1)+(R211/MAX(R:R)*$R$1)</f>
        <v/>
      </c>
      <c r="D211" s="156">
        <f>IFERROR(VLOOKUP(A211,'Injury Report'!A:F,6,0),"")</f>
        <v/>
      </c>
    </row>
    <row r="212" ht="15.6" customHeight="1" s="152">
      <c r="A212" s="167">
        <f>E212&amp;F212</f>
        <v/>
      </c>
      <c r="B212" s="156">
        <f>IF(D212&lt;&gt;"",C212,0)</f>
        <v/>
      </c>
      <c r="C212" s="156">
        <f>(M212/MAX(M:M)*$M$1)+(N212/MAX(N:N)*$N$1)+(O212/MAX(O:O)*$O$1)+(P212/MAX(P:P)*$P$1)+(Q212/MAX(Q:Q)*$Q$1)+(R212/MAX(R:R)*$R$1)</f>
        <v/>
      </c>
      <c r="D212" s="156">
        <f>IFERROR(VLOOKUP(A212,'Injury Report'!A:F,6,0),"")</f>
        <v/>
      </c>
    </row>
    <row r="213" ht="15.6" customHeight="1" s="152">
      <c r="A213" s="167">
        <f>E213&amp;F213</f>
        <v/>
      </c>
      <c r="B213" s="156">
        <f>IF(D213&lt;&gt;"",C213,0)</f>
        <v/>
      </c>
      <c r="C213" s="156">
        <f>(M213/MAX(M:M)*$M$1)+(N213/MAX(N:N)*$N$1)+(O213/MAX(O:O)*$O$1)+(P213/MAX(P:P)*$P$1)+(Q213/MAX(Q:Q)*$Q$1)+(R213/MAX(R:R)*$R$1)</f>
        <v/>
      </c>
      <c r="D213" s="156">
        <f>IFERROR(VLOOKUP(A213,'Injury Report'!A:F,6,0),"")</f>
        <v/>
      </c>
    </row>
    <row r="214" ht="15.6" customHeight="1" s="152">
      <c r="A214" s="167">
        <f>E214&amp;F214</f>
        <v/>
      </c>
      <c r="B214" s="156">
        <f>IF(D214&lt;&gt;"",C214,0)</f>
        <v/>
      </c>
      <c r="C214" s="156">
        <f>(M214/MAX(M:M)*$M$1)+(N214/MAX(N:N)*$N$1)+(O214/MAX(O:O)*$O$1)+(P214/MAX(P:P)*$P$1)+(Q214/MAX(Q:Q)*$Q$1)+(R214/MAX(R:R)*$R$1)</f>
        <v/>
      </c>
      <c r="D214" s="156">
        <f>IFERROR(VLOOKUP(A214,'Injury Report'!A:F,6,0),"")</f>
        <v/>
      </c>
    </row>
    <row r="215" ht="15.6" customHeight="1" s="152">
      <c r="A215" s="167">
        <f>E215&amp;F215</f>
        <v/>
      </c>
      <c r="B215" s="156">
        <f>IF(D215&lt;&gt;"",C215,0)</f>
        <v/>
      </c>
      <c r="C215" s="156">
        <f>(M215/MAX(M:M)*$M$1)+(N215/MAX(N:N)*$N$1)+(O215/MAX(O:O)*$O$1)+(P215/MAX(P:P)*$P$1)+(Q215/MAX(Q:Q)*$Q$1)+(R215/MAX(R:R)*$R$1)</f>
        <v/>
      </c>
      <c r="D215" s="156">
        <f>IFERROR(VLOOKUP(A215,'Injury Report'!A:F,6,0),"")</f>
        <v/>
      </c>
    </row>
    <row r="216" ht="15.6" customHeight="1" s="152">
      <c r="A216" s="167">
        <f>E216&amp;F216</f>
        <v/>
      </c>
      <c r="B216" s="156">
        <f>IF(D216&lt;&gt;"",C216,0)</f>
        <v/>
      </c>
      <c r="C216" s="156">
        <f>(M216/MAX(M:M)*$M$1)+(N216/MAX(N:N)*$N$1)+(O216/MAX(O:O)*$O$1)+(P216/MAX(P:P)*$P$1)+(Q216/MAX(Q:Q)*$Q$1)+(R216/MAX(R:R)*$R$1)</f>
        <v/>
      </c>
      <c r="D216" s="156">
        <f>IFERROR(VLOOKUP(A216,'Injury Report'!A:F,6,0),"")</f>
        <v/>
      </c>
    </row>
    <row r="217" ht="15.6" customHeight="1" s="152">
      <c r="A217" s="167">
        <f>E217&amp;F217</f>
        <v/>
      </c>
      <c r="B217" s="156">
        <f>IF(D217&lt;&gt;"",C217,0)</f>
        <v/>
      </c>
      <c r="C217" s="156">
        <f>(M217/MAX(M:M)*$M$1)+(N217/MAX(N:N)*$N$1)+(O217/MAX(O:O)*$O$1)+(P217/MAX(P:P)*$P$1)+(Q217/MAX(Q:Q)*$Q$1)+(R217/MAX(R:R)*$R$1)</f>
        <v/>
      </c>
      <c r="D217" s="156">
        <f>IFERROR(VLOOKUP(A217,'Injury Report'!A:F,6,0),"")</f>
        <v/>
      </c>
    </row>
    <row r="218" ht="15.6" customHeight="1" s="152">
      <c r="A218" s="167">
        <f>E218&amp;F218</f>
        <v/>
      </c>
      <c r="B218" s="156">
        <f>IF(D218&lt;&gt;"",C218,0)</f>
        <v/>
      </c>
      <c r="C218" s="156">
        <f>(M218/MAX(M:M)*$M$1)+(N218/MAX(N:N)*$N$1)+(O218/MAX(O:O)*$O$1)+(P218/MAX(P:P)*$P$1)+(Q218/MAX(Q:Q)*$Q$1)+(R218/MAX(R:R)*$R$1)</f>
        <v/>
      </c>
      <c r="D218" s="156">
        <f>IFERROR(VLOOKUP(A218,'Injury Report'!A:F,6,0),"")</f>
        <v/>
      </c>
    </row>
    <row r="219" ht="15.6" customHeight="1" s="152">
      <c r="A219" s="167">
        <f>E219&amp;F219</f>
        <v/>
      </c>
      <c r="B219" s="156">
        <f>IF(D219&lt;&gt;"",C219,0)</f>
        <v/>
      </c>
      <c r="C219" s="156">
        <f>(M219/MAX(M:M)*$M$1)+(N219/MAX(N:N)*$N$1)+(O219/MAX(O:O)*$O$1)+(P219/MAX(P:P)*$P$1)+(Q219/MAX(Q:Q)*$Q$1)+(R219/MAX(R:R)*$R$1)</f>
        <v/>
      </c>
      <c r="D219" s="156">
        <f>IFERROR(VLOOKUP(A219,'Injury Report'!A:F,6,0),"")</f>
        <v/>
      </c>
    </row>
    <row r="220" ht="15.6" customHeight="1" s="152">
      <c r="A220" s="167">
        <f>E220&amp;F220</f>
        <v/>
      </c>
      <c r="B220" s="156">
        <f>IF(D220&lt;&gt;"",C220,0)</f>
        <v/>
      </c>
      <c r="C220" s="156">
        <f>(M220/MAX(M:M)*$M$1)+(N220/MAX(N:N)*$N$1)+(O220/MAX(O:O)*$O$1)+(P220/MAX(P:P)*$P$1)+(Q220/MAX(Q:Q)*$Q$1)+(R220/MAX(R:R)*$R$1)</f>
        <v/>
      </c>
      <c r="D220" s="156">
        <f>IFERROR(VLOOKUP(A220,'Injury Report'!A:F,6,0),"")</f>
        <v/>
      </c>
    </row>
    <row r="221" ht="15.6" customHeight="1" s="152">
      <c r="A221" s="167">
        <f>E221&amp;F221</f>
        <v/>
      </c>
      <c r="B221" s="156">
        <f>IF(D221&lt;&gt;"",C221,0)</f>
        <v/>
      </c>
      <c r="C221" s="156">
        <f>(M221/MAX(M:M)*$M$1)+(N221/MAX(N:N)*$N$1)+(O221/MAX(O:O)*$O$1)+(P221/MAX(P:P)*$P$1)+(Q221/MAX(Q:Q)*$Q$1)+(R221/MAX(R:R)*$R$1)</f>
        <v/>
      </c>
      <c r="D221" s="156">
        <f>IFERROR(VLOOKUP(A221,'Injury Report'!A:F,6,0),"")</f>
        <v/>
      </c>
    </row>
    <row r="222" ht="15.6" customHeight="1" s="152">
      <c r="A222" s="167">
        <f>E222&amp;F222</f>
        <v/>
      </c>
      <c r="B222" s="156">
        <f>IF(D222&lt;&gt;"",C222,0)</f>
        <v/>
      </c>
      <c r="C222" s="156">
        <f>(M222/MAX(M:M)*$M$1)+(N222/MAX(N:N)*$N$1)+(O222/MAX(O:O)*$O$1)+(P222/MAX(P:P)*$P$1)+(Q222/MAX(Q:Q)*$Q$1)+(R222/MAX(R:R)*$R$1)</f>
        <v/>
      </c>
      <c r="D222" s="156">
        <f>IFERROR(VLOOKUP(A222,'Injury Report'!A:F,6,0),"")</f>
        <v/>
      </c>
    </row>
    <row r="223" ht="15.6" customHeight="1" s="152">
      <c r="A223" s="167">
        <f>E223&amp;F223</f>
        <v/>
      </c>
      <c r="B223" s="156">
        <f>IF(D223&lt;&gt;"",C223,0)</f>
        <v/>
      </c>
      <c r="C223" s="156">
        <f>(M223/MAX(M:M)*$M$1)+(N223/MAX(N:N)*$N$1)+(O223/MAX(O:O)*$O$1)+(P223/MAX(P:P)*$P$1)+(Q223/MAX(Q:Q)*$Q$1)+(R223/MAX(R:R)*$R$1)</f>
        <v/>
      </c>
      <c r="D223" s="156">
        <f>IFERROR(VLOOKUP(A223,'Injury Report'!A:F,6,0),"")</f>
        <v/>
      </c>
    </row>
    <row r="224" ht="15.6" customHeight="1" s="152">
      <c r="A224" s="167">
        <f>E224&amp;F224</f>
        <v/>
      </c>
      <c r="B224" s="156">
        <f>IF(D224&lt;&gt;"",C224,0)</f>
        <v/>
      </c>
      <c r="C224" s="156">
        <f>(M224/MAX(M:M)*$M$1)+(N224/MAX(N:N)*$N$1)+(O224/MAX(O:O)*$O$1)+(P224/MAX(P:P)*$P$1)+(Q224/MAX(Q:Q)*$Q$1)+(R224/MAX(R:R)*$R$1)</f>
        <v/>
      </c>
      <c r="D224" s="156">
        <f>IFERROR(VLOOKUP(A224,'Injury Report'!A:F,6,0),"")</f>
        <v/>
      </c>
    </row>
    <row r="225" ht="15.6" customHeight="1" s="152">
      <c r="A225" s="167">
        <f>E225&amp;F225</f>
        <v/>
      </c>
      <c r="B225" s="156">
        <f>IF(D225&lt;&gt;"",C225,0)</f>
        <v/>
      </c>
      <c r="C225" s="156">
        <f>(M225/MAX(M:M)*$M$1)+(N225/MAX(N:N)*$N$1)+(O225/MAX(O:O)*$O$1)+(P225/MAX(P:P)*$P$1)+(Q225/MAX(Q:Q)*$Q$1)+(R225/MAX(R:R)*$R$1)</f>
        <v/>
      </c>
      <c r="D225" s="156">
        <f>IFERROR(VLOOKUP(A225,'Injury Report'!A:F,6,0),"")</f>
        <v/>
      </c>
    </row>
    <row r="226" ht="15.6" customHeight="1" s="152">
      <c r="A226" s="167">
        <f>E226&amp;F226</f>
        <v/>
      </c>
      <c r="B226" s="156">
        <f>IF(D226&lt;&gt;"",C226,0)</f>
        <v/>
      </c>
      <c r="C226" s="156">
        <f>(M226/MAX(M:M)*$M$1)+(N226/MAX(N:N)*$N$1)+(O226/MAX(O:O)*$O$1)+(P226/MAX(P:P)*$P$1)+(Q226/MAX(Q:Q)*$Q$1)+(R226/MAX(R:R)*$R$1)</f>
        <v/>
      </c>
      <c r="D226" s="156">
        <f>IFERROR(VLOOKUP(A226,'Injury Report'!A:F,6,0),"")</f>
        <v/>
      </c>
    </row>
    <row r="227" ht="15.6" customHeight="1" s="152">
      <c r="A227" s="167">
        <f>E227&amp;F227</f>
        <v/>
      </c>
      <c r="B227" s="156">
        <f>IF(D227&lt;&gt;"",C227,0)</f>
        <v/>
      </c>
      <c r="C227" s="156">
        <f>(M227/MAX(M:M)*$M$1)+(N227/MAX(N:N)*$N$1)+(O227/MAX(O:O)*$O$1)+(P227/MAX(P:P)*$P$1)+(Q227/MAX(Q:Q)*$Q$1)+(R227/MAX(R:R)*$R$1)</f>
        <v/>
      </c>
      <c r="D227" s="156">
        <f>IFERROR(VLOOKUP(A227,'Injury Report'!A:F,6,0),"")</f>
        <v/>
      </c>
    </row>
    <row r="228" ht="15.6" customHeight="1" s="152">
      <c r="A228" s="167">
        <f>E228&amp;F228</f>
        <v/>
      </c>
      <c r="B228" s="156">
        <f>IF(D228&lt;&gt;"",C228,0)</f>
        <v/>
      </c>
      <c r="C228" s="156">
        <f>(M228/MAX(M:M)*$M$1)+(N228/MAX(N:N)*$N$1)+(O228/MAX(O:O)*$O$1)+(P228/MAX(P:P)*$P$1)+(Q228/MAX(Q:Q)*$Q$1)+(R228/MAX(R:R)*$R$1)</f>
        <v/>
      </c>
      <c r="D228" s="156">
        <f>IFERROR(VLOOKUP(A228,'Injury Report'!A:F,6,0),"")</f>
        <v/>
      </c>
    </row>
    <row r="229" ht="15.6" customHeight="1" s="152">
      <c r="A229" s="167">
        <f>E229&amp;F229</f>
        <v/>
      </c>
      <c r="B229" s="156">
        <f>IF(D229&lt;&gt;"",C229,0)</f>
        <v/>
      </c>
      <c r="C229" s="156">
        <f>(M229/MAX(M:M)*$M$1)+(N229/MAX(N:N)*$N$1)+(O229/MAX(O:O)*$O$1)+(P229/MAX(P:P)*$P$1)+(Q229/MAX(Q:Q)*$Q$1)+(R229/MAX(R:R)*$R$1)</f>
        <v/>
      </c>
      <c r="D229" s="156">
        <f>IFERROR(VLOOKUP(A229,'Injury Report'!A:F,6,0),"")</f>
        <v/>
      </c>
    </row>
    <row r="230" ht="15.6" customHeight="1" s="152">
      <c r="A230" s="167">
        <f>E230&amp;F230</f>
        <v/>
      </c>
      <c r="B230" s="156">
        <f>IF(D230&lt;&gt;"",C230,0)</f>
        <v/>
      </c>
      <c r="C230" s="156">
        <f>(M230/MAX(M:M)*$M$1)+(N230/MAX(N:N)*$N$1)+(O230/MAX(O:O)*$O$1)+(P230/MAX(P:P)*$P$1)+(Q230/MAX(Q:Q)*$Q$1)+(R230/MAX(R:R)*$R$1)</f>
        <v/>
      </c>
      <c r="D230" s="156">
        <f>IFERROR(VLOOKUP(A230,'Injury Report'!A:F,6,0),"")</f>
        <v/>
      </c>
    </row>
    <row r="231" ht="15.6" customHeight="1" s="152">
      <c r="A231" s="167">
        <f>E231&amp;F231</f>
        <v/>
      </c>
      <c r="B231" s="156">
        <f>IF(D231&lt;&gt;"",C231,0)</f>
        <v/>
      </c>
      <c r="C231" s="156">
        <f>(M231/MAX(M:M)*$M$1)+(N231/MAX(N:N)*$N$1)+(O231/MAX(O:O)*$O$1)+(P231/MAX(P:P)*$P$1)+(Q231/MAX(Q:Q)*$Q$1)+(R231/MAX(R:R)*$R$1)</f>
        <v/>
      </c>
      <c r="D231" s="156">
        <f>IFERROR(VLOOKUP(A231,'Injury Report'!A:F,6,0),"")</f>
        <v/>
      </c>
    </row>
    <row r="232" ht="15.6" customHeight="1" s="152">
      <c r="A232" s="167">
        <f>E232&amp;F232</f>
        <v/>
      </c>
      <c r="B232" s="156">
        <f>IF(D232&lt;&gt;"",C232,0)</f>
        <v/>
      </c>
      <c r="C232" s="156">
        <f>(M232/MAX(M:M)*$M$1)+(N232/MAX(N:N)*$N$1)+(O232/MAX(O:O)*$O$1)+(P232/MAX(P:P)*$P$1)+(Q232/MAX(Q:Q)*$Q$1)+(R232/MAX(R:R)*$R$1)</f>
        <v/>
      </c>
      <c r="D232" s="156">
        <f>IFERROR(VLOOKUP(A232,'Injury Report'!A:F,6,0),"")</f>
        <v/>
      </c>
    </row>
    <row r="233" ht="15.6" customHeight="1" s="152">
      <c r="A233" s="167">
        <f>E233&amp;F233</f>
        <v/>
      </c>
      <c r="B233" s="156">
        <f>IF(D233&lt;&gt;"",C233,0)</f>
        <v/>
      </c>
      <c r="C233" s="156">
        <f>(M233/MAX(M:M)*$M$1)+(N233/MAX(N:N)*$N$1)+(O233/MAX(O:O)*$O$1)+(P233/MAX(P:P)*$P$1)+(Q233/MAX(Q:Q)*$Q$1)+(R233/MAX(R:R)*$R$1)</f>
        <v/>
      </c>
      <c r="D233" s="156">
        <f>IFERROR(VLOOKUP(A233,'Injury Report'!A:F,6,0),"")</f>
        <v/>
      </c>
    </row>
    <row r="234" ht="15.6" customHeight="1" s="152">
      <c r="A234" s="167">
        <f>E234&amp;F234</f>
        <v/>
      </c>
      <c r="B234" s="156">
        <f>IF(D234&lt;&gt;"",C234,0)</f>
        <v/>
      </c>
      <c r="C234" s="156">
        <f>(M234/MAX(M:M)*$M$1)+(N234/MAX(N:N)*$N$1)+(O234/MAX(O:O)*$O$1)+(P234/MAX(P:P)*$P$1)+(Q234/MAX(Q:Q)*$Q$1)+(R234/MAX(R:R)*$R$1)</f>
        <v/>
      </c>
      <c r="D234" s="156">
        <f>IFERROR(VLOOKUP(A234,'Injury Report'!A:F,6,0),"")</f>
        <v/>
      </c>
    </row>
    <row r="235" ht="15.6" customHeight="1" s="152">
      <c r="A235" s="167">
        <f>E235&amp;F235</f>
        <v/>
      </c>
      <c r="B235" s="156">
        <f>IF(D235&lt;&gt;"",C235,0)</f>
        <v/>
      </c>
      <c r="C235" s="156">
        <f>(M235/MAX(M:M)*$M$1)+(N235/MAX(N:N)*$N$1)+(O235/MAX(O:O)*$O$1)+(P235/MAX(P:P)*$P$1)+(Q235/MAX(Q:Q)*$Q$1)+(R235/MAX(R:R)*$R$1)</f>
        <v/>
      </c>
      <c r="D235" s="156">
        <f>IFERROR(VLOOKUP(A235,'Injury Report'!A:F,6,0),"")</f>
        <v/>
      </c>
    </row>
    <row r="236" ht="15.6" customHeight="1" s="152">
      <c r="A236" s="167">
        <f>E236&amp;F236</f>
        <v/>
      </c>
      <c r="B236" s="156">
        <f>IF(D236&lt;&gt;"",C236,0)</f>
        <v/>
      </c>
      <c r="C236" s="156">
        <f>(M236/MAX(M:M)*$M$1)+(N236/MAX(N:N)*$N$1)+(O236/MAX(O:O)*$O$1)+(P236/MAX(P:P)*$P$1)+(Q236/MAX(Q:Q)*$Q$1)+(R236/MAX(R:R)*$R$1)</f>
        <v/>
      </c>
      <c r="D236" s="156">
        <f>IFERROR(VLOOKUP(A236,'Injury Report'!A:F,6,0),"")</f>
        <v/>
      </c>
    </row>
    <row r="237" ht="15.6" customHeight="1" s="152">
      <c r="A237" s="167">
        <f>E237&amp;F237</f>
        <v/>
      </c>
      <c r="B237" s="156">
        <f>IF(D237&lt;&gt;"",C237,0)</f>
        <v/>
      </c>
      <c r="C237" s="156">
        <f>(M237/MAX(M:M)*$M$1)+(N237/MAX(N:N)*$N$1)+(O237/MAX(O:O)*$O$1)+(P237/MAX(P:P)*$P$1)+(Q237/MAX(Q:Q)*$Q$1)+(R237/MAX(R:R)*$R$1)</f>
        <v/>
      </c>
      <c r="D237" s="156">
        <f>IFERROR(VLOOKUP(A237,'Injury Report'!A:F,6,0),"")</f>
        <v/>
      </c>
    </row>
    <row r="238" ht="15.6" customHeight="1" s="152">
      <c r="A238" s="167">
        <f>E238&amp;F238</f>
        <v/>
      </c>
      <c r="B238" s="156">
        <f>IF(D238&lt;&gt;"",C238,0)</f>
        <v/>
      </c>
      <c r="C238" s="156">
        <f>(M238/MAX(M:M)*$M$1)+(N238/MAX(N:N)*$N$1)+(O238/MAX(O:O)*$O$1)+(P238/MAX(P:P)*$P$1)+(Q238/MAX(Q:Q)*$Q$1)+(R238/MAX(R:R)*$R$1)</f>
        <v/>
      </c>
      <c r="D238" s="156">
        <f>IFERROR(VLOOKUP(A238,'Injury Report'!A:F,6,0),"")</f>
        <v/>
      </c>
    </row>
    <row r="239" ht="15.6" customHeight="1" s="152">
      <c r="A239" s="167">
        <f>E239&amp;F239</f>
        <v/>
      </c>
      <c r="B239" s="156">
        <f>IF(D239&lt;&gt;"",C239,0)</f>
        <v/>
      </c>
      <c r="C239" s="156">
        <f>(M239/MAX(M:M)*$M$1)+(N239/MAX(N:N)*$N$1)+(O239/MAX(O:O)*$O$1)+(P239/MAX(P:P)*$P$1)+(Q239/MAX(Q:Q)*$Q$1)+(R239/MAX(R:R)*$R$1)</f>
        <v/>
      </c>
      <c r="D239" s="156">
        <f>IFERROR(VLOOKUP(A239,'Injury Report'!A:F,6,0),"")</f>
        <v/>
      </c>
    </row>
    <row r="240" ht="15.6" customHeight="1" s="152">
      <c r="A240" s="167">
        <f>E240&amp;F240</f>
        <v/>
      </c>
      <c r="B240" s="156">
        <f>IF(D240&lt;&gt;"",C240,0)</f>
        <v/>
      </c>
      <c r="C240" s="156">
        <f>(M240/MAX(M:M)*$M$1)+(N240/MAX(N:N)*$N$1)+(O240/MAX(O:O)*$O$1)+(P240/MAX(P:P)*$P$1)+(Q240/MAX(Q:Q)*$Q$1)+(R240/MAX(R:R)*$R$1)</f>
        <v/>
      </c>
      <c r="D240" s="156">
        <f>IFERROR(VLOOKUP(A240,'Injury Report'!A:F,6,0),"")</f>
        <v/>
      </c>
    </row>
    <row r="241" ht="15.6" customHeight="1" s="152">
      <c r="A241" s="167">
        <f>E241&amp;F241</f>
        <v/>
      </c>
      <c r="B241" s="156">
        <f>IF(D241&lt;&gt;"",C241,0)</f>
        <v/>
      </c>
      <c r="C241" s="156">
        <f>(M241/MAX(M:M)*$M$1)+(N241/MAX(N:N)*$N$1)+(O241/MAX(O:O)*$O$1)+(P241/MAX(P:P)*$P$1)+(Q241/MAX(Q:Q)*$Q$1)+(R241/MAX(R:R)*$R$1)</f>
        <v/>
      </c>
      <c r="D241" s="156">
        <f>IFERROR(VLOOKUP(A241,'Injury Report'!A:F,6,0),"")</f>
        <v/>
      </c>
    </row>
    <row r="242" ht="15.6" customHeight="1" s="152">
      <c r="A242" s="167">
        <f>E242&amp;F242</f>
        <v/>
      </c>
      <c r="B242" s="156">
        <f>IF(D242&lt;&gt;"",C242,0)</f>
        <v/>
      </c>
      <c r="C242" s="156">
        <f>(M242/MAX(M:M)*$M$1)+(N242/MAX(N:N)*$N$1)+(O242/MAX(O:O)*$O$1)+(P242/MAX(P:P)*$P$1)+(Q242/MAX(Q:Q)*$Q$1)+(R242/MAX(R:R)*$R$1)</f>
        <v/>
      </c>
      <c r="D242" s="156">
        <f>IFERROR(VLOOKUP(A242,'Injury Report'!A:F,6,0),"")</f>
        <v/>
      </c>
    </row>
    <row r="243" ht="15.6" customHeight="1" s="152">
      <c r="A243" s="167">
        <f>E243&amp;F243</f>
        <v/>
      </c>
      <c r="B243" s="156">
        <f>IF(D243&lt;&gt;"",C243,0)</f>
        <v/>
      </c>
      <c r="C243" s="156">
        <f>(M243/MAX(M:M)*$M$1)+(N243/MAX(N:N)*$N$1)+(O243/MAX(O:O)*$O$1)+(P243/MAX(P:P)*$P$1)+(Q243/MAX(Q:Q)*$Q$1)+(R243/MAX(R:R)*$R$1)</f>
        <v/>
      </c>
      <c r="D243" s="156">
        <f>IFERROR(VLOOKUP(A243,'Injury Report'!A:F,6,0),"")</f>
        <v/>
      </c>
    </row>
    <row r="244" ht="15.6" customHeight="1" s="152">
      <c r="A244" s="167">
        <f>E244&amp;F244</f>
        <v/>
      </c>
      <c r="B244" s="156">
        <f>IF(D244&lt;&gt;"",C244,0)</f>
        <v/>
      </c>
      <c r="C244" s="156">
        <f>(M244/MAX(M:M)*$M$1)+(N244/MAX(N:N)*$N$1)+(O244/MAX(O:O)*$O$1)+(P244/MAX(P:P)*$P$1)+(Q244/MAX(Q:Q)*$Q$1)+(R244/MAX(R:R)*$R$1)</f>
        <v/>
      </c>
      <c r="D244" s="156">
        <f>IFERROR(VLOOKUP(A244,'Injury Report'!A:F,6,0),"")</f>
        <v/>
      </c>
    </row>
    <row r="245" ht="15.6" customHeight="1" s="152">
      <c r="A245" s="167">
        <f>E245&amp;F245</f>
        <v/>
      </c>
      <c r="B245" s="156">
        <f>IF(D245&lt;&gt;"",C245,0)</f>
        <v/>
      </c>
      <c r="C245" s="156">
        <f>(M245/MAX(M:M)*$M$1)+(N245/MAX(N:N)*$N$1)+(O245/MAX(O:O)*$O$1)+(P245/MAX(P:P)*$P$1)+(Q245/MAX(Q:Q)*$Q$1)+(R245/MAX(R:R)*$R$1)</f>
        <v/>
      </c>
      <c r="D245" s="156">
        <f>IFERROR(VLOOKUP(A245,'Injury Report'!A:F,6,0),"")</f>
        <v/>
      </c>
    </row>
    <row r="246" ht="15.6" customHeight="1" s="152">
      <c r="A246" s="167">
        <f>E246&amp;F246</f>
        <v/>
      </c>
      <c r="B246" s="156">
        <f>IF(D246&lt;&gt;"",C246,0)</f>
        <v/>
      </c>
      <c r="C246" s="156">
        <f>(M246/MAX(M:M)*$M$1)+(N246/MAX(N:N)*$N$1)+(O246/MAX(O:O)*$O$1)+(P246/MAX(P:P)*$P$1)+(Q246/MAX(Q:Q)*$Q$1)+(R246/MAX(R:R)*$R$1)</f>
        <v/>
      </c>
      <c r="D246" s="156">
        <f>IFERROR(VLOOKUP(A246,'Injury Report'!A:F,6,0),"")</f>
        <v/>
      </c>
    </row>
    <row r="247" ht="15.6" customHeight="1" s="152">
      <c r="A247" s="167">
        <f>E247&amp;F247</f>
        <v/>
      </c>
      <c r="B247" s="156">
        <f>IF(D247&lt;&gt;"",C247,0)</f>
        <v/>
      </c>
      <c r="C247" s="156">
        <f>(M247/MAX(M:M)*$M$1)+(N247/MAX(N:N)*$N$1)+(O247/MAX(O:O)*$O$1)+(P247/MAX(P:P)*$P$1)+(Q247/MAX(Q:Q)*$Q$1)+(R247/MAX(R:R)*$R$1)</f>
        <v/>
      </c>
      <c r="D247" s="156">
        <f>IFERROR(VLOOKUP(A247,'Injury Report'!A:F,6,0),"")</f>
        <v/>
      </c>
    </row>
    <row r="248" ht="15.6" customHeight="1" s="152">
      <c r="A248" s="167">
        <f>E248&amp;F248</f>
        <v/>
      </c>
      <c r="B248" s="156">
        <f>IF(D248&lt;&gt;"",C248,0)</f>
        <v/>
      </c>
      <c r="C248" s="156">
        <f>(M248/MAX(M:M)*$M$1)+(N248/MAX(N:N)*$N$1)+(O248/MAX(O:O)*$O$1)+(P248/MAX(P:P)*$P$1)+(Q248/MAX(Q:Q)*$Q$1)+(R248/MAX(R:R)*$R$1)</f>
        <v/>
      </c>
      <c r="D248" s="156">
        <f>IFERROR(VLOOKUP(A248,'Injury Report'!A:F,6,0),"")</f>
        <v/>
      </c>
    </row>
    <row r="249" ht="15.6" customHeight="1" s="152">
      <c r="A249" s="167">
        <f>E249&amp;F249</f>
        <v/>
      </c>
      <c r="B249" s="156">
        <f>IF(D249&lt;&gt;"",C249,0)</f>
        <v/>
      </c>
      <c r="C249" s="156">
        <f>(M249/MAX(M:M)*$M$1)+(N249/MAX(N:N)*$N$1)+(O249/MAX(O:O)*$O$1)+(P249/MAX(P:P)*$P$1)+(Q249/MAX(Q:Q)*$Q$1)+(R249/MAX(R:R)*$R$1)</f>
        <v/>
      </c>
      <c r="D249" s="156">
        <f>IFERROR(VLOOKUP(A249,'Injury Report'!A:F,6,0),"")</f>
        <v/>
      </c>
    </row>
    <row r="250" ht="15.6" customHeight="1" s="152">
      <c r="A250" s="167">
        <f>E250&amp;F250</f>
        <v/>
      </c>
      <c r="B250" s="156">
        <f>IF(D250&lt;&gt;"",C250,0)</f>
        <v/>
      </c>
      <c r="C250" s="156">
        <f>(M250/MAX(M:M)*$M$1)+(N250/MAX(N:N)*$N$1)+(O250/MAX(O:O)*$O$1)+(P250/MAX(P:P)*$P$1)+(Q250/MAX(Q:Q)*$Q$1)+(R250/MAX(R:R)*$R$1)</f>
        <v/>
      </c>
      <c r="D250" s="156">
        <f>IFERROR(VLOOKUP(A250,'Injury Report'!A:F,6,0),"")</f>
        <v/>
      </c>
    </row>
    <row r="251" ht="15.6" customHeight="1" s="152">
      <c r="A251" s="167">
        <f>E251&amp;F251</f>
        <v/>
      </c>
      <c r="B251" s="156">
        <f>IF(D251&lt;&gt;"",C251,0)</f>
        <v/>
      </c>
      <c r="C251" s="156">
        <f>(M251/MAX(M:M)*$M$1)+(N251/MAX(N:N)*$N$1)+(O251/MAX(O:O)*$O$1)+(P251/MAX(P:P)*$P$1)+(Q251/MAX(Q:Q)*$Q$1)+(R251/MAX(R:R)*$R$1)</f>
        <v/>
      </c>
      <c r="D251" s="156">
        <f>IFERROR(VLOOKUP(A251,'Injury Report'!A:F,6,0),"")</f>
        <v/>
      </c>
    </row>
    <row r="252" ht="15.6" customHeight="1" s="152">
      <c r="A252" s="167">
        <f>E252&amp;F252</f>
        <v/>
      </c>
      <c r="B252" s="156">
        <f>IF(D252&lt;&gt;"",C252,0)</f>
        <v/>
      </c>
      <c r="C252" s="156">
        <f>(M252/MAX(M:M)*$M$1)+(N252/MAX(N:N)*$N$1)+(O252/MAX(O:O)*$O$1)+(P252/MAX(P:P)*$P$1)+(Q252/MAX(Q:Q)*$Q$1)+(R252/MAX(R:R)*$R$1)</f>
        <v/>
      </c>
      <c r="D252" s="156">
        <f>IFERROR(VLOOKUP(A252,'Injury Report'!A:F,6,0),"")</f>
        <v/>
      </c>
    </row>
    <row r="253" ht="15.6" customHeight="1" s="152">
      <c r="A253" s="167">
        <f>E253&amp;F253</f>
        <v/>
      </c>
      <c r="B253" s="156">
        <f>IF(D253&lt;&gt;"",C253,0)</f>
        <v/>
      </c>
      <c r="C253" s="156">
        <f>(M253/MAX(M:M)*$M$1)+(N253/MAX(N:N)*$N$1)+(O253/MAX(O:O)*$O$1)+(P253/MAX(P:P)*$P$1)+(Q253/MAX(Q:Q)*$Q$1)+(R253/MAX(R:R)*$R$1)</f>
        <v/>
      </c>
      <c r="D253" s="156">
        <f>IFERROR(VLOOKUP(A253,'Injury Report'!A:F,6,0),"")</f>
        <v/>
      </c>
    </row>
    <row r="254" ht="15.6" customHeight="1" s="152">
      <c r="A254" s="167">
        <f>E254&amp;F254</f>
        <v/>
      </c>
      <c r="B254" s="156">
        <f>IF(D254&lt;&gt;"",C254,0)</f>
        <v/>
      </c>
      <c r="C254" s="156">
        <f>(M254/MAX(M:M)*$M$1)+(N254/MAX(N:N)*$N$1)+(O254/MAX(O:O)*$O$1)+(P254/MAX(P:P)*$P$1)+(Q254/MAX(Q:Q)*$Q$1)+(R254/MAX(R:R)*$R$1)</f>
        <v/>
      </c>
      <c r="D254" s="156">
        <f>IFERROR(VLOOKUP(A254,'Injury Report'!A:F,6,0),"")</f>
        <v/>
      </c>
    </row>
    <row r="255" ht="15.6" customHeight="1" s="152">
      <c r="A255" s="167">
        <f>E255&amp;F255</f>
        <v/>
      </c>
      <c r="B255" s="156">
        <f>IF(D255&lt;&gt;"",C255,0)</f>
        <v/>
      </c>
      <c r="C255" s="156">
        <f>(M255/MAX(M:M)*$M$1)+(N255/MAX(N:N)*$N$1)+(O255/MAX(O:O)*$O$1)+(P255/MAX(P:P)*$P$1)+(Q255/MAX(Q:Q)*$Q$1)+(R255/MAX(R:R)*$R$1)</f>
        <v/>
      </c>
      <c r="D255" s="156">
        <f>IFERROR(VLOOKUP(A255,'Injury Report'!A:F,6,0),"")</f>
        <v/>
      </c>
    </row>
    <row r="256" ht="15.6" customHeight="1" s="152">
      <c r="A256" s="167">
        <f>E256&amp;F256</f>
        <v/>
      </c>
      <c r="B256" s="156">
        <f>IF(D256&lt;&gt;"",C256,0)</f>
        <v/>
      </c>
      <c r="C256" s="156">
        <f>(M256/MAX(M:M)*$M$1)+(N256/MAX(N:N)*$N$1)+(O256/MAX(O:O)*$O$1)+(P256/MAX(P:P)*$P$1)+(Q256/MAX(Q:Q)*$Q$1)+(R256/MAX(R:R)*$R$1)</f>
        <v/>
      </c>
      <c r="D256" s="156">
        <f>IFERROR(VLOOKUP(A256,'Injury Report'!A:F,6,0),"")</f>
        <v/>
      </c>
    </row>
    <row r="257" ht="15.6" customHeight="1" s="152">
      <c r="A257" s="167">
        <f>E257&amp;F257</f>
        <v/>
      </c>
      <c r="B257" s="156">
        <f>IF(D257&lt;&gt;"",C257,0)</f>
        <v/>
      </c>
      <c r="C257" s="156">
        <f>(M257/MAX(M:M)*$M$1)+(N257/MAX(N:N)*$N$1)+(O257/MAX(O:O)*$O$1)+(P257/MAX(P:P)*$P$1)+(Q257/MAX(Q:Q)*$Q$1)+(R257/MAX(R:R)*$R$1)</f>
        <v/>
      </c>
      <c r="D257" s="156">
        <f>IFERROR(VLOOKUP(A257,'Injury Report'!A:F,6,0),"")</f>
        <v/>
      </c>
    </row>
    <row r="258" ht="15.6" customHeight="1" s="152">
      <c r="A258" s="167">
        <f>E258&amp;F258</f>
        <v/>
      </c>
      <c r="B258" s="156">
        <f>IF(D258&lt;&gt;"",C258,0)</f>
        <v/>
      </c>
      <c r="C258" s="156">
        <f>(M258/MAX(M:M)*$M$1)+(N258/MAX(N:N)*$N$1)+(O258/MAX(O:O)*$O$1)+(P258/MAX(P:P)*$P$1)+(Q258/MAX(Q:Q)*$Q$1)+(R258/MAX(R:R)*$R$1)</f>
        <v/>
      </c>
      <c r="D258" s="156">
        <f>IFERROR(VLOOKUP(A258,'Injury Report'!A:F,6,0),"")</f>
        <v/>
      </c>
    </row>
    <row r="259" ht="15.6" customHeight="1" s="152">
      <c r="A259" s="167">
        <f>E259&amp;F259</f>
        <v/>
      </c>
      <c r="B259" s="156">
        <f>IF(D259&lt;&gt;"",C259,0)</f>
        <v/>
      </c>
      <c r="C259" s="156">
        <f>(M259/MAX(M:M)*$M$1)+(N259/MAX(N:N)*$N$1)+(O259/MAX(O:O)*$O$1)+(P259/MAX(P:P)*$P$1)+(Q259/MAX(Q:Q)*$Q$1)+(R259/MAX(R:R)*$R$1)</f>
        <v/>
      </c>
      <c r="D259" s="156">
        <f>IFERROR(VLOOKUP(A259,'Injury Report'!A:F,6,0),"")</f>
        <v/>
      </c>
    </row>
    <row r="260" ht="15.6" customHeight="1" s="152">
      <c r="A260" s="167">
        <f>E260&amp;F260</f>
        <v/>
      </c>
      <c r="B260" s="156">
        <f>IF(D260&lt;&gt;"",C260,0)</f>
        <v/>
      </c>
      <c r="C260" s="156">
        <f>(M260/MAX(M:M)*$M$1)+(N260/MAX(N:N)*$N$1)+(O260/MAX(O:O)*$O$1)+(P260/MAX(P:P)*$P$1)+(Q260/MAX(Q:Q)*$Q$1)+(R260/MAX(R:R)*$R$1)</f>
        <v/>
      </c>
      <c r="D260" s="156">
        <f>IFERROR(VLOOKUP(A260,'Injury Report'!A:F,6,0),"")</f>
        <v/>
      </c>
    </row>
    <row r="261" ht="15.6" customHeight="1" s="152">
      <c r="A261" s="167">
        <f>E261&amp;F261</f>
        <v/>
      </c>
      <c r="B261" s="156">
        <f>IF(D261&lt;&gt;"",C261,0)</f>
        <v/>
      </c>
      <c r="C261" s="156">
        <f>(M261/MAX(M:M)*$M$1)+(N261/MAX(N:N)*$N$1)+(O261/MAX(O:O)*$O$1)+(P261/MAX(P:P)*$P$1)+(Q261/MAX(Q:Q)*$Q$1)+(R261/MAX(R:R)*$R$1)</f>
        <v/>
      </c>
      <c r="D261" s="156">
        <f>IFERROR(VLOOKUP(A261,'Injury Report'!A:F,6,0),"")</f>
        <v/>
      </c>
    </row>
    <row r="262" ht="15.6" customHeight="1" s="152">
      <c r="A262" s="167">
        <f>E262&amp;F262</f>
        <v/>
      </c>
      <c r="B262" s="156">
        <f>IF(D262&lt;&gt;"",C262,0)</f>
        <v/>
      </c>
      <c r="C262" s="156">
        <f>(M262/MAX(M:M)*$M$1)+(N262/MAX(N:N)*$N$1)+(O262/MAX(O:O)*$O$1)+(P262/MAX(P:P)*$P$1)+(Q262/MAX(Q:Q)*$Q$1)+(R262/MAX(R:R)*$R$1)</f>
        <v/>
      </c>
      <c r="D262" s="156">
        <f>IFERROR(VLOOKUP(A262,'Injury Report'!A:F,6,0),"")</f>
        <v/>
      </c>
    </row>
    <row r="263" ht="15.6" customHeight="1" s="152">
      <c r="A263" s="167">
        <f>E263&amp;F263</f>
        <v/>
      </c>
      <c r="B263" s="156">
        <f>IF(D263&lt;&gt;"",C263,0)</f>
        <v/>
      </c>
      <c r="C263" s="156">
        <f>(M263/MAX(M:M)*$M$1)+(N263/MAX(N:N)*$N$1)+(O263/MAX(O:O)*$O$1)+(P263/MAX(P:P)*$P$1)+(Q263/MAX(Q:Q)*$Q$1)+(R263/MAX(R:R)*$R$1)</f>
        <v/>
      </c>
      <c r="D263" s="156">
        <f>IFERROR(VLOOKUP(A263,'Injury Report'!A:F,6,0),"")</f>
        <v/>
      </c>
    </row>
    <row r="264" ht="15.6" customHeight="1" s="152">
      <c r="A264" s="167">
        <f>E264&amp;F264</f>
        <v/>
      </c>
      <c r="B264" s="156">
        <f>IF(D264&lt;&gt;"",C264,0)</f>
        <v/>
      </c>
      <c r="C264" s="156">
        <f>(M264/MAX(M:M)*$M$1)+(N264/MAX(N:N)*$N$1)+(O264/MAX(O:O)*$O$1)+(P264/MAX(P:P)*$P$1)+(Q264/MAX(Q:Q)*$Q$1)+(R264/MAX(R:R)*$R$1)</f>
        <v/>
      </c>
      <c r="D264" s="156">
        <f>IFERROR(VLOOKUP(A264,'Injury Report'!A:F,6,0),"")</f>
        <v/>
      </c>
    </row>
    <row r="265" ht="15.6" customHeight="1" s="152">
      <c r="A265" s="167">
        <f>E265&amp;F265</f>
        <v/>
      </c>
      <c r="B265" s="156">
        <f>IF(D265&lt;&gt;"",C265,0)</f>
        <v/>
      </c>
      <c r="C265" s="156">
        <f>(M265/MAX(M:M)*$M$1)+(N265/MAX(N:N)*$N$1)+(O265/MAX(O:O)*$O$1)+(P265/MAX(P:P)*$P$1)+(Q265/MAX(Q:Q)*$Q$1)+(R265/MAX(R:R)*$R$1)</f>
        <v/>
      </c>
      <c r="D265" s="156">
        <f>IFERROR(VLOOKUP(A265,'Injury Report'!A:F,6,0),"")</f>
        <v/>
      </c>
    </row>
    <row r="266" ht="15.6" customHeight="1" s="152">
      <c r="A266" s="167">
        <f>E266&amp;F266</f>
        <v/>
      </c>
      <c r="B266" s="156">
        <f>IF(D266&lt;&gt;"",C266,0)</f>
        <v/>
      </c>
      <c r="C266" s="156">
        <f>(M266/MAX(M:M)*$M$1)+(N266/MAX(N:N)*$N$1)+(O266/MAX(O:O)*$O$1)+(P266/MAX(P:P)*$P$1)+(Q266/MAX(Q:Q)*$Q$1)+(R266/MAX(R:R)*$R$1)</f>
        <v/>
      </c>
      <c r="D266" s="156">
        <f>IFERROR(VLOOKUP(A266,'Injury Report'!A:F,6,0),"")</f>
        <v/>
      </c>
    </row>
    <row r="267" ht="15.6" customHeight="1" s="152">
      <c r="A267" s="167">
        <f>E267&amp;F267</f>
        <v/>
      </c>
      <c r="B267" s="156">
        <f>IF(D267&lt;&gt;"",C267,0)</f>
        <v/>
      </c>
      <c r="C267" s="156">
        <f>(M267/MAX(M:M)*$M$1)+(N267/MAX(N:N)*$N$1)+(O267/MAX(O:O)*$O$1)+(P267/MAX(P:P)*$P$1)+(Q267/MAX(Q:Q)*$Q$1)+(R267/MAX(R:R)*$R$1)</f>
        <v/>
      </c>
      <c r="D267" s="156">
        <f>IFERROR(VLOOKUP(A267,'Injury Report'!A:F,6,0),"")</f>
        <v/>
      </c>
    </row>
    <row r="268" ht="15.6" customHeight="1" s="152">
      <c r="A268" s="167">
        <f>E268&amp;F268</f>
        <v/>
      </c>
      <c r="B268" s="156">
        <f>IF(D268&lt;&gt;"",C268,0)</f>
        <v/>
      </c>
      <c r="C268" s="156">
        <f>(M268/MAX(M:M)*$M$1)+(N268/MAX(N:N)*$N$1)+(O268/MAX(O:O)*$O$1)+(P268/MAX(P:P)*$P$1)+(Q268/MAX(Q:Q)*$Q$1)+(R268/MAX(R:R)*$R$1)</f>
        <v/>
      </c>
      <c r="D268" s="156">
        <f>IFERROR(VLOOKUP(A268,'Injury Report'!A:F,6,0),"")</f>
        <v/>
      </c>
    </row>
    <row r="269" ht="15.6" customHeight="1" s="152">
      <c r="A269" s="167">
        <f>E269&amp;F269</f>
        <v/>
      </c>
      <c r="B269" s="156">
        <f>IF(D269&lt;&gt;"",C269,0)</f>
        <v/>
      </c>
      <c r="C269" s="156">
        <f>(M269/MAX(M:M)*$M$1)+(N269/MAX(N:N)*$N$1)+(O269/MAX(O:O)*$O$1)+(P269/MAX(P:P)*$P$1)+(Q269/MAX(Q:Q)*$Q$1)+(R269/MAX(R:R)*$R$1)</f>
        <v/>
      </c>
      <c r="D269" s="156">
        <f>IFERROR(VLOOKUP(A269,'Injury Report'!A:F,6,0),"")</f>
        <v/>
      </c>
    </row>
    <row r="270" ht="15.6" customHeight="1" s="152">
      <c r="A270" s="167">
        <f>E270&amp;F270</f>
        <v/>
      </c>
      <c r="B270" s="156">
        <f>IF(D270&lt;&gt;"",C270,0)</f>
        <v/>
      </c>
      <c r="C270" s="156">
        <f>(M270/MAX(M:M)*$M$1)+(N270/MAX(N:N)*$N$1)+(O270/MAX(O:O)*$O$1)+(P270/MAX(P:P)*$P$1)+(Q270/MAX(Q:Q)*$Q$1)+(R270/MAX(R:R)*$R$1)</f>
        <v/>
      </c>
      <c r="D270" s="156">
        <f>IFERROR(VLOOKUP(A270,'Injury Report'!A:F,6,0),"")</f>
        <v/>
      </c>
    </row>
    <row r="271" ht="15.6" customHeight="1" s="152">
      <c r="A271" s="167">
        <f>E271&amp;F271</f>
        <v/>
      </c>
      <c r="B271" s="156">
        <f>IF(D271&lt;&gt;"",C271,0)</f>
        <v/>
      </c>
      <c r="C271" s="156">
        <f>(M271/MAX(M:M)*$M$1)+(N271/MAX(N:N)*$N$1)+(O271/MAX(O:O)*$O$1)+(P271/MAX(P:P)*$P$1)+(Q271/MAX(Q:Q)*$Q$1)+(R271/MAX(R:R)*$R$1)</f>
        <v/>
      </c>
      <c r="D271" s="156">
        <f>IFERROR(VLOOKUP(A271,'Injury Report'!A:F,6,0),"")</f>
        <v/>
      </c>
    </row>
    <row r="272" ht="15.6" customHeight="1" s="152">
      <c r="A272" s="167">
        <f>E272&amp;F272</f>
        <v/>
      </c>
      <c r="B272" s="156">
        <f>IF(D272&lt;&gt;"",C272,0)</f>
        <v/>
      </c>
      <c r="C272" s="156">
        <f>(M272/MAX(M:M)*$M$1)+(N272/MAX(N:N)*$N$1)+(O272/MAX(O:O)*$O$1)+(P272/MAX(P:P)*$P$1)+(Q272/MAX(Q:Q)*$Q$1)+(R272/MAX(R:R)*$R$1)</f>
        <v/>
      </c>
      <c r="D272" s="156">
        <f>IFERROR(VLOOKUP(A272,'Injury Report'!A:F,6,0),"")</f>
        <v/>
      </c>
    </row>
    <row r="273" ht="15.6" customHeight="1" s="152">
      <c r="A273" s="167">
        <f>E273&amp;F273</f>
        <v/>
      </c>
      <c r="B273" s="156">
        <f>IF(D273&lt;&gt;"",C273,0)</f>
        <v/>
      </c>
      <c r="C273" s="156">
        <f>(M273/MAX(M:M)*$M$1)+(N273/MAX(N:N)*$N$1)+(O273/MAX(O:O)*$O$1)+(P273/MAX(P:P)*$P$1)+(Q273/MAX(Q:Q)*$Q$1)+(R273/MAX(R:R)*$R$1)</f>
        <v/>
      </c>
      <c r="D273" s="156">
        <f>IFERROR(VLOOKUP(A273,'Injury Report'!A:F,6,0),"")</f>
        <v/>
      </c>
    </row>
    <row r="274" ht="15.6" customHeight="1" s="152">
      <c r="A274" s="167">
        <f>E274&amp;F274</f>
        <v/>
      </c>
      <c r="B274" s="156">
        <f>IF(D274&lt;&gt;"",C274,0)</f>
        <v/>
      </c>
      <c r="C274" s="156">
        <f>(M274/MAX(M:M)*$M$1)+(N274/MAX(N:N)*$N$1)+(O274/MAX(O:O)*$O$1)+(P274/MAX(P:P)*$P$1)+(Q274/MAX(Q:Q)*$Q$1)+(R274/MAX(R:R)*$R$1)</f>
        <v/>
      </c>
      <c r="D274" s="156">
        <f>IFERROR(VLOOKUP(A274,'Injury Report'!A:F,6,0),"")</f>
        <v/>
      </c>
    </row>
    <row r="275" ht="15.6" customHeight="1" s="152">
      <c r="A275" s="167">
        <f>E275&amp;F275</f>
        <v/>
      </c>
      <c r="B275" s="156">
        <f>IF(D275&lt;&gt;"",C275,0)</f>
        <v/>
      </c>
      <c r="C275" s="156">
        <f>(M275/MAX(M:M)*$M$1)+(N275/MAX(N:N)*$N$1)+(O275/MAX(O:O)*$O$1)+(P275/MAX(P:P)*$P$1)+(Q275/MAX(Q:Q)*$Q$1)+(R275/MAX(R:R)*$R$1)</f>
        <v/>
      </c>
      <c r="D275" s="156">
        <f>IFERROR(VLOOKUP(A275,'Injury Report'!A:F,6,0),"")</f>
        <v/>
      </c>
    </row>
    <row r="276" ht="15.6" customHeight="1" s="152">
      <c r="A276" s="167">
        <f>E276&amp;F276</f>
        <v/>
      </c>
      <c r="B276" s="156">
        <f>IF(D276&lt;&gt;"",C276,0)</f>
        <v/>
      </c>
      <c r="C276" s="156">
        <f>(M276/MAX(M:M)*$M$1)+(N276/MAX(N:N)*$N$1)+(O276/MAX(O:O)*$O$1)+(P276/MAX(P:P)*$P$1)+(Q276/MAX(Q:Q)*$Q$1)+(R276/MAX(R:R)*$R$1)</f>
        <v/>
      </c>
      <c r="D276" s="156">
        <f>IFERROR(VLOOKUP(A276,'Injury Report'!A:F,6,0),"")</f>
        <v/>
      </c>
    </row>
    <row r="277" ht="15.6" customHeight="1" s="152">
      <c r="A277" s="167">
        <f>E277&amp;F277</f>
        <v/>
      </c>
      <c r="B277" s="156">
        <f>IF(D277&lt;&gt;"",C277,0)</f>
        <v/>
      </c>
      <c r="C277" s="156">
        <f>(M277/MAX(M:M)*$M$1)+(N277/MAX(N:N)*$N$1)+(O277/MAX(O:O)*$O$1)+(P277/MAX(P:P)*$P$1)+(Q277/MAX(Q:Q)*$Q$1)+(R277/MAX(R:R)*$R$1)</f>
        <v/>
      </c>
      <c r="D277" s="156">
        <f>IFERROR(VLOOKUP(A277,'Injury Report'!A:F,6,0),"")</f>
        <v/>
      </c>
    </row>
    <row r="278" ht="15.6" customHeight="1" s="152">
      <c r="A278" s="167">
        <f>E278&amp;F278</f>
        <v/>
      </c>
      <c r="B278" s="156">
        <f>IF(D278&lt;&gt;"",C278,0)</f>
        <v/>
      </c>
      <c r="C278" s="156">
        <f>(M278/MAX(M:M)*$M$1)+(N278/MAX(N:N)*$N$1)+(O278/MAX(O:O)*$O$1)+(P278/MAX(P:P)*$P$1)+(Q278/MAX(Q:Q)*$Q$1)+(R278/MAX(R:R)*$R$1)</f>
        <v/>
      </c>
      <c r="D278" s="156">
        <f>IFERROR(VLOOKUP(A278,'Injury Report'!A:F,6,0),"")</f>
        <v/>
      </c>
    </row>
    <row r="279" ht="15.6" customHeight="1" s="152">
      <c r="A279" s="167">
        <f>E279&amp;F279</f>
        <v/>
      </c>
      <c r="B279" s="156">
        <f>IF(D279&lt;&gt;"",C279,0)</f>
        <v/>
      </c>
      <c r="C279" s="156">
        <f>(M279/MAX(M:M)*$M$1)+(N279/MAX(N:N)*$N$1)+(O279/MAX(O:O)*$O$1)+(P279/MAX(P:P)*$P$1)+(Q279/MAX(Q:Q)*$Q$1)+(R279/MAX(R:R)*$R$1)</f>
        <v/>
      </c>
      <c r="D279" s="156">
        <f>IFERROR(VLOOKUP(A279,'Injury Report'!A:F,6,0),"")</f>
        <v/>
      </c>
    </row>
    <row r="280" ht="15.6" customHeight="1" s="152">
      <c r="A280" s="167">
        <f>E280&amp;F280</f>
        <v/>
      </c>
      <c r="B280" s="156">
        <f>IF(D280&lt;&gt;"",C280,0)</f>
        <v/>
      </c>
      <c r="C280" s="156">
        <f>(M280/MAX(M:M)*$M$1)+(N280/MAX(N:N)*$N$1)+(O280/MAX(O:O)*$O$1)+(P280/MAX(P:P)*$P$1)+(Q280/MAX(Q:Q)*$Q$1)+(R280/MAX(R:R)*$R$1)</f>
        <v/>
      </c>
      <c r="D280" s="156">
        <f>IFERROR(VLOOKUP(A280,'Injury Report'!A:F,6,0),"")</f>
        <v/>
      </c>
    </row>
    <row r="281" ht="15.6" customHeight="1" s="152">
      <c r="A281" s="167">
        <f>E281&amp;F281</f>
        <v/>
      </c>
      <c r="B281" s="156">
        <f>IF(D281&lt;&gt;"",C281,0)</f>
        <v/>
      </c>
      <c r="C281" s="156">
        <f>(M281/MAX(M:M)*$M$1)+(N281/MAX(N:N)*$N$1)+(O281/MAX(O:O)*$O$1)+(P281/MAX(P:P)*$P$1)+(Q281/MAX(Q:Q)*$Q$1)+(R281/MAX(R:R)*$R$1)</f>
        <v/>
      </c>
      <c r="D281" s="156">
        <f>IFERROR(VLOOKUP(A281,'Injury Report'!A:F,6,0),"")</f>
        <v/>
      </c>
    </row>
    <row r="282" ht="15.6" customHeight="1" s="152">
      <c r="A282" s="167">
        <f>E282&amp;F282</f>
        <v/>
      </c>
      <c r="B282" s="156">
        <f>IF(D282&lt;&gt;"",C282,0)</f>
        <v/>
      </c>
      <c r="C282" s="156">
        <f>(M282/MAX(M:M)*$M$1)+(N282/MAX(N:N)*$N$1)+(O282/MAX(O:O)*$O$1)+(P282/MAX(P:P)*$P$1)+(Q282/MAX(Q:Q)*$Q$1)+(R282/MAX(R:R)*$R$1)</f>
        <v/>
      </c>
      <c r="D282" s="156">
        <f>IFERROR(VLOOKUP(A282,'Injury Report'!A:F,6,0),"")</f>
        <v/>
      </c>
    </row>
    <row r="283" ht="15.6" customHeight="1" s="152">
      <c r="A283" s="167">
        <f>E283&amp;F283</f>
        <v/>
      </c>
      <c r="B283" s="156">
        <f>IF(D283&lt;&gt;"",C283,0)</f>
        <v/>
      </c>
      <c r="C283" s="156">
        <f>(M283/MAX(M:M)*$M$1)+(N283/MAX(N:N)*$N$1)+(O283/MAX(O:O)*$O$1)+(P283/MAX(P:P)*$P$1)+(Q283/MAX(Q:Q)*$Q$1)+(R283/MAX(R:R)*$R$1)</f>
        <v/>
      </c>
      <c r="D283" s="156">
        <f>IFERROR(VLOOKUP(A283,'Injury Report'!A:F,6,0),"")</f>
        <v/>
      </c>
    </row>
    <row r="284" ht="15.6" customHeight="1" s="152">
      <c r="A284" s="167">
        <f>E284&amp;F284</f>
        <v/>
      </c>
      <c r="B284" s="156">
        <f>IF(D284&lt;&gt;"",C284,0)</f>
        <v/>
      </c>
      <c r="C284" s="156">
        <f>(M284/MAX(M:M)*$M$1)+(N284/MAX(N:N)*$N$1)+(O284/MAX(O:O)*$O$1)+(P284/MAX(P:P)*$P$1)+(Q284/MAX(Q:Q)*$Q$1)+(R284/MAX(R:R)*$R$1)</f>
        <v/>
      </c>
      <c r="D284" s="156">
        <f>IFERROR(VLOOKUP(A284,'Injury Report'!A:F,6,0),"")</f>
        <v/>
      </c>
    </row>
    <row r="285" ht="15.6" customHeight="1" s="152">
      <c r="A285" s="167">
        <f>E285&amp;F285</f>
        <v/>
      </c>
      <c r="B285" s="156">
        <f>IF(D285&lt;&gt;"",C285,0)</f>
        <v/>
      </c>
      <c r="C285" s="156">
        <f>(M285/MAX(M:M)*$M$1)+(N285/MAX(N:N)*$N$1)+(O285/MAX(O:O)*$O$1)+(P285/MAX(P:P)*$P$1)+(Q285/MAX(Q:Q)*$Q$1)+(R285/MAX(R:R)*$R$1)</f>
        <v/>
      </c>
      <c r="D285" s="156">
        <f>IFERROR(VLOOKUP(A285,'Injury Report'!A:F,6,0),"")</f>
        <v/>
      </c>
    </row>
    <row r="286" ht="15.6" customHeight="1" s="152">
      <c r="A286" s="167">
        <f>E286&amp;F286</f>
        <v/>
      </c>
      <c r="B286" s="156">
        <f>IF(D286&lt;&gt;"",C286,0)</f>
        <v/>
      </c>
      <c r="C286" s="156">
        <f>(M286/MAX(M:M)*$M$1)+(N286/MAX(N:N)*$N$1)+(O286/MAX(O:O)*$O$1)+(P286/MAX(P:P)*$P$1)+(Q286/MAX(Q:Q)*$Q$1)+(R286/MAX(R:R)*$R$1)</f>
        <v/>
      </c>
      <c r="D286" s="156">
        <f>IFERROR(VLOOKUP(A286,'Injury Report'!A:F,6,0),"")</f>
        <v/>
      </c>
    </row>
    <row r="287" ht="15.6" customHeight="1" s="152">
      <c r="A287" s="167">
        <f>E287&amp;F287</f>
        <v/>
      </c>
      <c r="B287" s="156">
        <f>IF(D287&lt;&gt;"",C287,0)</f>
        <v/>
      </c>
      <c r="C287" s="156">
        <f>(M287/MAX(M:M)*$M$1)+(N287/MAX(N:N)*$N$1)+(O287/MAX(O:O)*$O$1)+(P287/MAX(P:P)*$P$1)+(Q287/MAX(Q:Q)*$Q$1)+(R287/MAX(R:R)*$R$1)</f>
        <v/>
      </c>
      <c r="D287" s="156">
        <f>IFERROR(VLOOKUP(A287,'Injury Report'!A:F,6,0),"")</f>
        <v/>
      </c>
    </row>
    <row r="288" ht="15.6" customHeight="1" s="152">
      <c r="A288" s="167">
        <f>E288&amp;F288</f>
        <v/>
      </c>
      <c r="B288" s="156">
        <f>IF(D288&lt;&gt;"",C288,0)</f>
        <v/>
      </c>
      <c r="C288" s="156">
        <f>(M288/MAX(M:M)*$M$1)+(N288/MAX(N:N)*$N$1)+(O288/MAX(O:O)*$O$1)+(P288/MAX(P:P)*$P$1)+(Q288/MAX(Q:Q)*$Q$1)+(R288/MAX(R:R)*$R$1)</f>
        <v/>
      </c>
      <c r="D288" s="156">
        <f>IFERROR(VLOOKUP(A288,'Injury Report'!A:F,6,0),"")</f>
        <v/>
      </c>
    </row>
    <row r="289" ht="15.6" customHeight="1" s="152">
      <c r="A289" s="167">
        <f>E289&amp;F289</f>
        <v/>
      </c>
      <c r="B289" s="156">
        <f>IF(D289&lt;&gt;"",C289,0)</f>
        <v/>
      </c>
      <c r="C289" s="156">
        <f>(M289/MAX(M:M)*$M$1)+(N289/MAX(N:N)*$N$1)+(O289/MAX(O:O)*$O$1)+(P289/MAX(P:P)*$P$1)+(Q289/MAX(Q:Q)*$Q$1)+(R289/MAX(R:R)*$R$1)</f>
        <v/>
      </c>
      <c r="D289" s="156">
        <f>IFERROR(VLOOKUP(A289,'Injury Report'!A:F,6,0),"")</f>
        <v/>
      </c>
    </row>
    <row r="290" ht="15.6" customHeight="1" s="152">
      <c r="A290" s="167">
        <f>E290&amp;F290</f>
        <v/>
      </c>
      <c r="B290" s="156">
        <f>IF(D290&lt;&gt;"",C290,0)</f>
        <v/>
      </c>
      <c r="C290" s="156">
        <f>(M290/MAX(M:M)*$M$1)+(N290/MAX(N:N)*$N$1)+(O290/MAX(O:O)*$O$1)+(P290/MAX(P:P)*$P$1)+(Q290/MAX(Q:Q)*$Q$1)+(R290/MAX(R:R)*$R$1)</f>
        <v/>
      </c>
      <c r="D290" s="156">
        <f>IFERROR(VLOOKUP(A290,'Injury Report'!A:F,6,0),"")</f>
        <v/>
      </c>
    </row>
    <row r="291" ht="15.6" customHeight="1" s="152">
      <c r="A291" s="167">
        <f>E291&amp;F291</f>
        <v/>
      </c>
      <c r="B291" s="156">
        <f>IF(D291&lt;&gt;"",C291,0)</f>
        <v/>
      </c>
      <c r="C291" s="156">
        <f>(M291/MAX(M:M)*$M$1)+(N291/MAX(N:N)*$N$1)+(O291/MAX(O:O)*$O$1)+(P291/MAX(P:P)*$P$1)+(Q291/MAX(Q:Q)*$Q$1)+(R291/MAX(R:R)*$R$1)</f>
        <v/>
      </c>
      <c r="D291" s="156">
        <f>IFERROR(VLOOKUP(A291,'Injury Report'!A:F,6,0),"")</f>
        <v/>
      </c>
    </row>
    <row r="292" ht="15.6" customHeight="1" s="152">
      <c r="A292" s="167">
        <f>E292&amp;F292</f>
        <v/>
      </c>
      <c r="B292" s="156">
        <f>IF(D292&lt;&gt;"",C292,0)</f>
        <v/>
      </c>
      <c r="C292" s="156">
        <f>(M292/MAX(M:M)*$M$1)+(N292/MAX(N:N)*$N$1)+(O292/MAX(O:O)*$O$1)+(P292/MAX(P:P)*$P$1)+(Q292/MAX(Q:Q)*$Q$1)+(R292/MAX(R:R)*$R$1)</f>
        <v/>
      </c>
      <c r="D292" s="156">
        <f>IFERROR(VLOOKUP(A292,'Injury Report'!A:F,6,0),"")</f>
        <v/>
      </c>
    </row>
    <row r="293" ht="15.6" customHeight="1" s="152">
      <c r="A293" s="167">
        <f>E293&amp;F293</f>
        <v/>
      </c>
      <c r="B293" s="156">
        <f>IF(D293&lt;&gt;"",C293,0)</f>
        <v/>
      </c>
      <c r="C293" s="156">
        <f>(M293/MAX(M:M)*$M$1)+(N293/MAX(N:N)*$N$1)+(O293/MAX(O:O)*$O$1)+(P293/MAX(P:P)*$P$1)+(Q293/MAX(Q:Q)*$Q$1)+(R293/MAX(R:R)*$R$1)</f>
        <v/>
      </c>
      <c r="D293" s="156">
        <f>IFERROR(VLOOKUP(A293,'Injury Report'!A:F,6,0),"")</f>
        <v/>
      </c>
    </row>
    <row r="294" ht="15.6" customHeight="1" s="152">
      <c r="A294" s="167">
        <f>E294&amp;F294</f>
        <v/>
      </c>
      <c r="B294" s="156">
        <f>IF(D294&lt;&gt;"",C294,0)</f>
        <v/>
      </c>
      <c r="C294" s="156">
        <f>(M294/MAX(M:M)*$M$1)+(N294/MAX(N:N)*$N$1)+(O294/MAX(O:O)*$O$1)+(P294/MAX(P:P)*$P$1)+(Q294/MAX(Q:Q)*$Q$1)+(R294/MAX(R:R)*$R$1)</f>
        <v/>
      </c>
      <c r="D294" s="156">
        <f>IFERROR(VLOOKUP(A294,'Injury Report'!A:F,6,0),"")</f>
        <v/>
      </c>
    </row>
    <row r="295" ht="15.6" customHeight="1" s="152">
      <c r="A295" s="167">
        <f>E295&amp;F295</f>
        <v/>
      </c>
      <c r="B295" s="156">
        <f>IF(D295&lt;&gt;"",C295,0)</f>
        <v/>
      </c>
      <c r="C295" s="156">
        <f>(M295/MAX(M:M)*$M$1)+(N295/MAX(N:N)*$N$1)+(O295/MAX(O:O)*$O$1)+(P295/MAX(P:P)*$P$1)+(Q295/MAX(Q:Q)*$Q$1)+(R295/MAX(R:R)*$R$1)</f>
        <v/>
      </c>
      <c r="D295" s="156">
        <f>IFERROR(VLOOKUP(A295,'Injury Report'!A:F,6,0),"")</f>
        <v/>
      </c>
    </row>
    <row r="296" ht="15.6" customHeight="1" s="152">
      <c r="A296" s="167">
        <f>E296&amp;F296</f>
        <v/>
      </c>
      <c r="B296" s="156">
        <f>IF(D296&lt;&gt;"",C296,0)</f>
        <v/>
      </c>
      <c r="C296" s="156">
        <f>(M296/MAX(M:M)*$M$1)+(N296/MAX(N:N)*$N$1)+(O296/MAX(O:O)*$O$1)+(P296/MAX(P:P)*$P$1)+(Q296/MAX(Q:Q)*$Q$1)+(R296/MAX(R:R)*$R$1)</f>
        <v/>
      </c>
      <c r="D296" s="156">
        <f>IFERROR(VLOOKUP(A296,'Injury Report'!A:F,6,0),"")</f>
        <v/>
      </c>
    </row>
    <row r="297" ht="15.6" customHeight="1" s="152">
      <c r="A297" s="167">
        <f>E297&amp;F297</f>
        <v/>
      </c>
      <c r="B297" s="156">
        <f>IF(D297&lt;&gt;"",C297,0)</f>
        <v/>
      </c>
      <c r="C297" s="156">
        <f>(M297/MAX(M:M)*$M$1)+(N297/MAX(N:N)*$N$1)+(O297/MAX(O:O)*$O$1)+(P297/MAX(P:P)*$P$1)+(Q297/MAX(Q:Q)*$Q$1)+(R297/MAX(R:R)*$R$1)</f>
        <v/>
      </c>
      <c r="D297" s="156">
        <f>IFERROR(VLOOKUP(A297,'Injury Report'!A:F,6,0),"")</f>
        <v/>
      </c>
    </row>
    <row r="298" ht="15.6" customHeight="1" s="152">
      <c r="A298" s="167">
        <f>E298&amp;F298</f>
        <v/>
      </c>
      <c r="B298" s="156">
        <f>IF(D298&lt;&gt;"",C298,0)</f>
        <v/>
      </c>
      <c r="C298" s="156">
        <f>(M298/MAX(M:M)*$M$1)+(N298/MAX(N:N)*$N$1)+(O298/MAX(O:O)*$O$1)+(P298/MAX(P:P)*$P$1)+(Q298/MAX(Q:Q)*$Q$1)+(R298/MAX(R:R)*$R$1)</f>
        <v/>
      </c>
      <c r="D298" s="156">
        <f>IFERROR(VLOOKUP(A298,'Injury Report'!A:F,6,0),"")</f>
        <v/>
      </c>
    </row>
    <row r="299" ht="15.6" customHeight="1" s="152">
      <c r="A299" s="167">
        <f>E299&amp;F299</f>
        <v/>
      </c>
      <c r="B299" s="156">
        <f>IF(D299&lt;&gt;"",C299,0)</f>
        <v/>
      </c>
      <c r="C299" s="156">
        <f>(M299/MAX(M:M)*$M$1)+(N299/MAX(N:N)*$N$1)+(O299/MAX(O:O)*$O$1)+(P299/MAX(P:P)*$P$1)+(Q299/MAX(Q:Q)*$Q$1)+(R299/MAX(R:R)*$R$1)</f>
        <v/>
      </c>
      <c r="D299" s="156">
        <f>IFERROR(VLOOKUP(A299,'Injury Report'!A:F,6,0),"")</f>
        <v/>
      </c>
    </row>
    <row r="300" ht="15.6" customHeight="1" s="152">
      <c r="A300" s="167">
        <f>E300&amp;F300</f>
        <v/>
      </c>
      <c r="B300" s="156">
        <f>IF(D300&lt;&gt;"",C300,0)</f>
        <v/>
      </c>
      <c r="C300" s="156">
        <f>(M300/MAX(M:M)*$M$1)+(N300/MAX(N:N)*$N$1)+(O300/MAX(O:O)*$O$1)+(P300/MAX(P:P)*$P$1)+(Q300/MAX(Q:Q)*$Q$1)+(R300/MAX(R:R)*$R$1)</f>
        <v/>
      </c>
      <c r="D300" s="156">
        <f>IFERROR(VLOOKUP(A300,'Injury Report'!A:F,6,0),"")</f>
        <v/>
      </c>
    </row>
    <row r="301" ht="15.6" customHeight="1" s="152">
      <c r="A301" s="167">
        <f>E301&amp;F301</f>
        <v/>
      </c>
      <c r="B301" s="156">
        <f>IF(D301&lt;&gt;"",C301,0)</f>
        <v/>
      </c>
      <c r="C301" s="156">
        <f>(M301/MAX(M:M)*$M$1)+(N301/MAX(N:N)*$N$1)+(O301/MAX(O:O)*$O$1)+(P301/MAX(P:P)*$P$1)+(Q301/MAX(Q:Q)*$Q$1)+(R301/MAX(R:R)*$R$1)</f>
        <v/>
      </c>
      <c r="D301" s="156">
        <f>IFERROR(VLOOKUP(A301,'Injury Report'!A:F,6,0),"")</f>
        <v/>
      </c>
    </row>
    <row r="302" ht="15.6" customHeight="1" s="152">
      <c r="A302" s="167">
        <f>E302&amp;F302</f>
        <v/>
      </c>
      <c r="B302" s="156">
        <f>IF(D302&lt;&gt;"",C302,0)</f>
        <v/>
      </c>
      <c r="C302" s="156">
        <f>(M302/MAX(M:M)*$M$1)+(N302/MAX(N:N)*$N$1)+(O302/MAX(O:O)*$O$1)+(P302/MAX(P:P)*$P$1)+(Q302/MAX(Q:Q)*$Q$1)+(R302/MAX(R:R)*$R$1)</f>
        <v/>
      </c>
      <c r="D302" s="156">
        <f>IFERROR(VLOOKUP(A302,'Injury Report'!A:F,6,0),"")</f>
        <v/>
      </c>
    </row>
    <row r="303" ht="15.6" customHeight="1" s="152">
      <c r="A303" s="167">
        <f>E303&amp;F303</f>
        <v/>
      </c>
      <c r="B303" s="156">
        <f>IF(D303&lt;&gt;"",C303,0)</f>
        <v/>
      </c>
      <c r="C303" s="156">
        <f>(M303/MAX(M:M)*$M$1)+(N303/MAX(N:N)*$N$1)+(O303/MAX(O:O)*$O$1)+(P303/MAX(P:P)*$P$1)+(Q303/MAX(Q:Q)*$Q$1)+(R303/MAX(R:R)*$R$1)</f>
        <v/>
      </c>
      <c r="D303" s="156">
        <f>IFERROR(VLOOKUP(A303,'Injury Report'!A:F,6,0),"")</f>
        <v/>
      </c>
    </row>
    <row r="304" ht="15.6" customHeight="1" s="152">
      <c r="A304" s="167">
        <f>E304&amp;F304</f>
        <v/>
      </c>
      <c r="B304" s="156">
        <f>IF(D304&lt;&gt;"",C304,0)</f>
        <v/>
      </c>
      <c r="C304" s="156">
        <f>(M304/MAX(M:M)*$M$1)+(N304/MAX(N:N)*$N$1)+(O304/MAX(O:O)*$O$1)+(P304/MAX(P:P)*$P$1)+(Q304/MAX(Q:Q)*$Q$1)+(R304/MAX(R:R)*$R$1)</f>
        <v/>
      </c>
      <c r="D304" s="156">
        <f>IFERROR(VLOOKUP(A304,'Injury Report'!A:F,6,0),"")</f>
        <v/>
      </c>
    </row>
    <row r="305" ht="15.6" customHeight="1" s="152">
      <c r="A305" s="167">
        <f>E305&amp;F305</f>
        <v/>
      </c>
      <c r="B305" s="156">
        <f>IF(D305&lt;&gt;"",C305,0)</f>
        <v/>
      </c>
      <c r="C305" s="156">
        <f>(M305/MAX(M:M)*$M$1)+(N305/MAX(N:N)*$N$1)+(O305/MAX(O:O)*$O$1)+(P305/MAX(P:P)*$P$1)+(Q305/MAX(Q:Q)*$Q$1)+(R305/MAX(R:R)*$R$1)</f>
        <v/>
      </c>
      <c r="D305" s="156">
        <f>IFERROR(VLOOKUP(A305,'Injury Report'!A:F,6,0),"")</f>
        <v/>
      </c>
    </row>
    <row r="306" ht="15.6" customHeight="1" s="152">
      <c r="A306" s="167">
        <f>E306&amp;F306</f>
        <v/>
      </c>
      <c r="B306" s="156">
        <f>IF(D306&lt;&gt;"",C306,0)</f>
        <v/>
      </c>
      <c r="C306" s="156">
        <f>(M306/MAX(M:M)*$M$1)+(N306/MAX(N:N)*$N$1)+(O306/MAX(O:O)*$O$1)+(P306/MAX(P:P)*$P$1)+(Q306/MAX(Q:Q)*$Q$1)+(R306/MAX(R:R)*$R$1)</f>
        <v/>
      </c>
      <c r="D306" s="156">
        <f>IFERROR(VLOOKUP(A306,'Injury Report'!A:F,6,0),"")</f>
        <v/>
      </c>
    </row>
    <row r="307" ht="15.6" customHeight="1" s="152">
      <c r="A307" s="167">
        <f>E307&amp;F307</f>
        <v/>
      </c>
      <c r="B307" s="156">
        <f>IF(D307&lt;&gt;"",C307,0)</f>
        <v/>
      </c>
      <c r="C307" s="156">
        <f>(M307/MAX(M:M)*$M$1)+(N307/MAX(N:N)*$N$1)+(O307/MAX(O:O)*$O$1)+(P307/MAX(P:P)*$P$1)+(Q307/MAX(Q:Q)*$Q$1)+(R307/MAX(R:R)*$R$1)</f>
        <v/>
      </c>
      <c r="D307" s="156">
        <f>IFERROR(VLOOKUP(A307,'Injury Report'!A:F,6,0),"")</f>
        <v/>
      </c>
    </row>
    <row r="308" ht="15.6" customHeight="1" s="152">
      <c r="A308" s="167">
        <f>E308&amp;F308</f>
        <v/>
      </c>
      <c r="B308" s="156">
        <f>IF(D308&lt;&gt;"",C308,0)</f>
        <v/>
      </c>
      <c r="C308" s="156">
        <f>(M308/MAX(M:M)*$M$1)+(N308/MAX(N:N)*$N$1)+(O308/MAX(O:O)*$O$1)+(P308/MAX(P:P)*$P$1)+(Q308/MAX(Q:Q)*$Q$1)+(R308/MAX(R:R)*$R$1)</f>
        <v/>
      </c>
      <c r="D308" s="156">
        <f>IFERROR(VLOOKUP(A308,'Injury Report'!A:F,6,0),"")</f>
        <v/>
      </c>
    </row>
    <row r="309" ht="15.6" customHeight="1" s="152">
      <c r="A309" s="167">
        <f>E309&amp;F309</f>
        <v/>
      </c>
      <c r="B309" s="156">
        <f>IF(D309&lt;&gt;"",C309,0)</f>
        <v/>
      </c>
      <c r="C309" s="156">
        <f>(M309/MAX(M:M)*$M$1)+(N309/MAX(N:N)*$N$1)+(O309/MAX(O:O)*$O$1)+(P309/MAX(P:P)*$P$1)+(Q309/MAX(Q:Q)*$Q$1)+(R309/MAX(R:R)*$R$1)</f>
        <v/>
      </c>
      <c r="D309" s="156">
        <f>IFERROR(VLOOKUP(A309,'Injury Report'!A:F,6,0),"")</f>
        <v/>
      </c>
    </row>
    <row r="310" ht="15.6" customHeight="1" s="152">
      <c r="A310" s="167">
        <f>E310&amp;F310</f>
        <v/>
      </c>
      <c r="B310" s="156">
        <f>IF(D310&lt;&gt;"",C310,0)</f>
        <v/>
      </c>
      <c r="C310" s="156">
        <f>(M310/MAX(M:M)*$M$1)+(N310/MAX(N:N)*$N$1)+(O310/MAX(O:O)*$O$1)+(P310/MAX(P:P)*$P$1)+(Q310/MAX(Q:Q)*$Q$1)+(R310/MAX(R:R)*$R$1)</f>
        <v/>
      </c>
      <c r="D310" s="156">
        <f>IFERROR(VLOOKUP(A310,'Injury Report'!A:F,6,0),"")</f>
        <v/>
      </c>
    </row>
    <row r="311" ht="15.6" customHeight="1" s="152">
      <c r="A311" s="167">
        <f>E311&amp;F311</f>
        <v/>
      </c>
      <c r="B311" s="156">
        <f>IF(D311&lt;&gt;"",C311,0)</f>
        <v/>
      </c>
      <c r="C311" s="156">
        <f>(M311/MAX(M:M)*$M$1)+(N311/MAX(N:N)*$N$1)+(O311/MAX(O:O)*$O$1)+(P311/MAX(P:P)*$P$1)+(Q311/MAX(Q:Q)*$Q$1)+(R311/MAX(R:R)*$R$1)</f>
        <v/>
      </c>
      <c r="D311" s="156">
        <f>IFERROR(VLOOKUP(A311,'Injury Report'!A:F,6,0),"")</f>
        <v/>
      </c>
    </row>
    <row r="312" ht="15.6" customHeight="1" s="152">
      <c r="A312" s="167">
        <f>E312&amp;F312</f>
        <v/>
      </c>
      <c r="B312" s="156">
        <f>IF(D312&lt;&gt;"",C312,0)</f>
        <v/>
      </c>
      <c r="C312" s="156">
        <f>(M312/MAX(M:M)*$M$1)+(N312/MAX(N:N)*$N$1)+(O312/MAX(O:O)*$O$1)+(P312/MAX(P:P)*$P$1)+(Q312/MAX(Q:Q)*$Q$1)+(R312/MAX(R:R)*$R$1)</f>
        <v/>
      </c>
      <c r="D312" s="156">
        <f>IFERROR(VLOOKUP(A312,'Injury Report'!A:F,6,0),"")</f>
        <v/>
      </c>
    </row>
    <row r="313" ht="15.6" customHeight="1" s="152">
      <c r="A313" s="167">
        <f>E313&amp;F313</f>
        <v/>
      </c>
      <c r="B313" s="156">
        <f>IF(D313&lt;&gt;"",C313,0)</f>
        <v/>
      </c>
      <c r="C313" s="156">
        <f>(M313/MAX(M:M)*$M$1)+(N313/MAX(N:N)*$N$1)+(O313/MAX(O:O)*$O$1)+(P313/MAX(P:P)*$P$1)+(Q313/MAX(Q:Q)*$Q$1)+(R313/MAX(R:R)*$R$1)</f>
        <v/>
      </c>
      <c r="D313" s="156">
        <f>IFERROR(VLOOKUP(A313,'Injury Report'!A:F,6,0),"")</f>
        <v/>
      </c>
    </row>
    <row r="314" ht="15.6" customHeight="1" s="152">
      <c r="A314" s="167">
        <f>E314&amp;F314</f>
        <v/>
      </c>
      <c r="B314" s="156">
        <f>IF(D314&lt;&gt;"",C314,0)</f>
        <v/>
      </c>
      <c r="C314" s="156">
        <f>(M314/MAX(M:M)*$M$1)+(N314/MAX(N:N)*$N$1)+(O314/MAX(O:O)*$O$1)+(P314/MAX(P:P)*$P$1)+(Q314/MAX(Q:Q)*$Q$1)+(R314/MAX(R:R)*$R$1)</f>
        <v/>
      </c>
      <c r="D314" s="156">
        <f>IFERROR(VLOOKUP(A314,'Injury Report'!A:F,6,0),"")</f>
        <v/>
      </c>
    </row>
    <row r="315" ht="15.6" customHeight="1" s="152">
      <c r="A315" s="167">
        <f>E315&amp;F315</f>
        <v/>
      </c>
      <c r="B315" s="156">
        <f>IF(D315&lt;&gt;"",C315,0)</f>
        <v/>
      </c>
      <c r="C315" s="156">
        <f>(M315/MAX(M:M)*$M$1)+(N315/MAX(N:N)*$N$1)+(O315/MAX(O:O)*$O$1)+(P315/MAX(P:P)*$P$1)+(Q315/MAX(Q:Q)*$Q$1)+(R315/MAX(R:R)*$R$1)</f>
        <v/>
      </c>
      <c r="D315" s="156">
        <f>IFERROR(VLOOKUP(A315,'Injury Report'!A:F,6,0),"")</f>
        <v/>
      </c>
    </row>
    <row r="316" ht="15.6" customHeight="1" s="152">
      <c r="A316" s="167">
        <f>E316&amp;F316</f>
        <v/>
      </c>
      <c r="B316" s="156">
        <f>IF(D316&lt;&gt;"",C316,0)</f>
        <v/>
      </c>
      <c r="C316" s="156">
        <f>(M316/MAX(M:M)*$M$1)+(N316/MAX(N:N)*$N$1)+(O316/MAX(O:O)*$O$1)+(P316/MAX(P:P)*$P$1)+(Q316/MAX(Q:Q)*$Q$1)+(R316/MAX(R:R)*$R$1)</f>
        <v/>
      </c>
      <c r="D316" s="156">
        <f>IFERROR(VLOOKUP(A316,'Injury Report'!A:F,6,0),"")</f>
        <v/>
      </c>
    </row>
    <row r="317" ht="15.6" customHeight="1" s="152">
      <c r="A317" s="167">
        <f>E317&amp;F317</f>
        <v/>
      </c>
      <c r="B317" s="156">
        <f>IF(D317&lt;&gt;"",C317,0)</f>
        <v/>
      </c>
      <c r="C317" s="156">
        <f>(M317/MAX(M:M)*$M$1)+(N317/MAX(N:N)*$N$1)+(O317/MAX(O:O)*$O$1)+(P317/MAX(P:P)*$P$1)+(Q317/MAX(Q:Q)*$Q$1)+(R317/MAX(R:R)*$R$1)</f>
        <v/>
      </c>
      <c r="D317" s="156">
        <f>IFERROR(VLOOKUP(A317,'Injury Report'!A:F,6,0),"")</f>
        <v/>
      </c>
    </row>
    <row r="318" ht="15.6" customHeight="1" s="152">
      <c r="A318" s="167">
        <f>E318&amp;F318</f>
        <v/>
      </c>
      <c r="B318" s="156">
        <f>IF(D318&lt;&gt;"",C318,0)</f>
        <v/>
      </c>
      <c r="C318" s="156">
        <f>(M318/MAX(M:M)*$M$1)+(N318/MAX(N:N)*$N$1)+(O318/MAX(O:O)*$O$1)+(P318/MAX(P:P)*$P$1)+(Q318/MAX(Q:Q)*$Q$1)+(R318/MAX(R:R)*$R$1)</f>
        <v/>
      </c>
      <c r="D318" s="156">
        <f>IFERROR(VLOOKUP(A318,'Injury Report'!A:F,6,0),"")</f>
        <v/>
      </c>
    </row>
    <row r="319" ht="15.6" customHeight="1" s="152">
      <c r="A319" s="167">
        <f>E319&amp;F319</f>
        <v/>
      </c>
      <c r="B319" s="156">
        <f>IF(D319&lt;&gt;"",C319,0)</f>
        <v/>
      </c>
      <c r="C319" s="156">
        <f>(M319/MAX(M:M)*$M$1)+(N319/MAX(N:N)*$N$1)+(O319/MAX(O:O)*$O$1)+(P319/MAX(P:P)*$P$1)+(Q319/MAX(Q:Q)*$Q$1)+(R319/MAX(R:R)*$R$1)</f>
        <v/>
      </c>
      <c r="D319" s="156">
        <f>IFERROR(VLOOKUP(A319,'Injury Report'!A:F,6,0),"")</f>
        <v/>
      </c>
    </row>
    <row r="320" ht="15.6" customHeight="1" s="152">
      <c r="A320" s="167">
        <f>E320&amp;F320</f>
        <v/>
      </c>
      <c r="B320" s="156">
        <f>IF(D320&lt;&gt;"",C320,0)</f>
        <v/>
      </c>
      <c r="C320" s="156">
        <f>(M320/MAX(M:M)*$M$1)+(N320/MAX(N:N)*$N$1)+(O320/MAX(O:O)*$O$1)+(P320/MAX(P:P)*$P$1)+(Q320/MAX(Q:Q)*$Q$1)+(R320/MAX(R:R)*$R$1)</f>
        <v/>
      </c>
      <c r="D320" s="156">
        <f>IFERROR(VLOOKUP(A320,'Injury Report'!A:F,6,0),"")</f>
        <v/>
      </c>
    </row>
    <row r="321" ht="15.6" customHeight="1" s="152">
      <c r="A321" s="167">
        <f>E321&amp;F321</f>
        <v/>
      </c>
      <c r="B321" s="156">
        <f>IF(D321&lt;&gt;"",C321,0)</f>
        <v/>
      </c>
      <c r="C321" s="156">
        <f>(M321/MAX(M:M)*$M$1)+(N321/MAX(N:N)*$N$1)+(O321/MAX(O:O)*$O$1)+(P321/MAX(P:P)*$P$1)+(Q321/MAX(Q:Q)*$Q$1)+(R321/MAX(R:R)*$R$1)</f>
        <v/>
      </c>
      <c r="D321" s="156">
        <f>IFERROR(VLOOKUP(A321,'Injury Report'!A:F,6,0),"")</f>
        <v/>
      </c>
    </row>
    <row r="322" ht="15.6" customHeight="1" s="152">
      <c r="A322" s="167">
        <f>E322&amp;F322</f>
        <v/>
      </c>
      <c r="B322" s="156">
        <f>IF(D322&lt;&gt;"",C322,0)</f>
        <v/>
      </c>
      <c r="C322" s="156">
        <f>(M322/MAX(M:M)*$M$1)+(N322/MAX(N:N)*$N$1)+(O322/MAX(O:O)*$O$1)+(P322/MAX(P:P)*$P$1)+(Q322/MAX(Q:Q)*$Q$1)+(R322/MAX(R:R)*$R$1)</f>
        <v/>
      </c>
      <c r="D322" s="156">
        <f>IFERROR(VLOOKUP(A322,'Injury Report'!A:F,6,0),"")</f>
        <v/>
      </c>
    </row>
    <row r="323" ht="15.6" customHeight="1" s="152">
      <c r="A323" s="167">
        <f>E323&amp;F323</f>
        <v/>
      </c>
      <c r="B323" s="156">
        <f>IF(D323&lt;&gt;"",C323,0)</f>
        <v/>
      </c>
      <c r="C323" s="156">
        <f>(M323/MAX(M:M)*$M$1)+(N323/MAX(N:N)*$N$1)+(O323/MAX(O:O)*$O$1)+(P323/MAX(P:P)*$P$1)+(Q323/MAX(Q:Q)*$Q$1)+(R323/MAX(R:R)*$R$1)</f>
        <v/>
      </c>
      <c r="D323" s="156">
        <f>IFERROR(VLOOKUP(A323,'Injury Report'!A:F,6,0),"")</f>
        <v/>
      </c>
    </row>
    <row r="324" ht="15.6" customHeight="1" s="152">
      <c r="A324" s="167">
        <f>E324&amp;F324</f>
        <v/>
      </c>
      <c r="B324" s="156">
        <f>IF(D324&lt;&gt;"",C324,0)</f>
        <v/>
      </c>
      <c r="C324" s="156">
        <f>(M324/MAX(M:M)*$M$1)+(N324/MAX(N:N)*$N$1)+(O324/MAX(O:O)*$O$1)+(P324/MAX(P:P)*$P$1)+(Q324/MAX(Q:Q)*$Q$1)+(R324/MAX(R:R)*$R$1)</f>
        <v/>
      </c>
      <c r="D324" s="156">
        <f>IFERROR(VLOOKUP(A324,'Injury Report'!A:F,6,0),"")</f>
        <v/>
      </c>
    </row>
    <row r="325" ht="15.6" customHeight="1" s="152">
      <c r="A325" s="167">
        <f>E325&amp;F325</f>
        <v/>
      </c>
      <c r="B325" s="156">
        <f>IF(D325&lt;&gt;"",C325,0)</f>
        <v/>
      </c>
      <c r="C325" s="156">
        <f>(M325/MAX(M:M)*$M$1)+(N325/MAX(N:N)*$N$1)+(O325/MAX(O:O)*$O$1)+(P325/MAX(P:P)*$P$1)+(Q325/MAX(Q:Q)*$Q$1)+(R325/MAX(R:R)*$R$1)</f>
        <v/>
      </c>
      <c r="D325" s="156">
        <f>IFERROR(VLOOKUP(A325,'Injury Report'!A:F,6,0),"")</f>
        <v/>
      </c>
    </row>
    <row r="326" ht="15.6" customHeight="1" s="152">
      <c r="A326" s="167">
        <f>E326&amp;F326</f>
        <v/>
      </c>
      <c r="B326" s="156">
        <f>IF(D326&lt;&gt;"",C326,0)</f>
        <v/>
      </c>
      <c r="C326" s="156">
        <f>(M326/MAX(M:M)*$M$1)+(N326/MAX(N:N)*$N$1)+(O326/MAX(O:O)*$O$1)+(P326/MAX(P:P)*$P$1)+(Q326/MAX(Q:Q)*$Q$1)+(R326/MAX(R:R)*$R$1)</f>
        <v/>
      </c>
      <c r="D326" s="156">
        <f>IFERROR(VLOOKUP(A326,'Injury Report'!A:F,6,0),"")</f>
        <v/>
      </c>
    </row>
    <row r="327" ht="15.6" customHeight="1" s="152">
      <c r="A327" s="167">
        <f>E327&amp;F327</f>
        <v/>
      </c>
      <c r="B327" s="156">
        <f>IF(D327&lt;&gt;"",C327,0)</f>
        <v/>
      </c>
      <c r="C327" s="156">
        <f>(M327/MAX(M:M)*$M$1)+(N327/MAX(N:N)*$N$1)+(O327/MAX(O:O)*$O$1)+(P327/MAX(P:P)*$P$1)+(Q327/MAX(Q:Q)*$Q$1)+(R327/MAX(R:R)*$R$1)</f>
        <v/>
      </c>
      <c r="D327" s="156">
        <f>IFERROR(VLOOKUP(A327,'Injury Report'!A:F,6,0),"")</f>
        <v/>
      </c>
    </row>
    <row r="328" ht="15.6" customHeight="1" s="152">
      <c r="A328" s="167">
        <f>E328&amp;F328</f>
        <v/>
      </c>
      <c r="B328" s="156">
        <f>IF(D328&lt;&gt;"",C328,0)</f>
        <v/>
      </c>
      <c r="C328" s="156">
        <f>(M328/MAX(M:M)*$M$1)+(N328/MAX(N:N)*$N$1)+(O328/MAX(O:O)*$O$1)+(P328/MAX(P:P)*$P$1)+(Q328/MAX(Q:Q)*$Q$1)+(R328/MAX(R:R)*$R$1)</f>
        <v/>
      </c>
      <c r="D328" s="156">
        <f>IFERROR(VLOOKUP(A328,'Injury Report'!A:F,6,0),"")</f>
        <v/>
      </c>
    </row>
    <row r="329" ht="15.6" customHeight="1" s="152">
      <c r="A329" s="167">
        <f>E329&amp;F329</f>
        <v/>
      </c>
      <c r="B329" s="156">
        <f>IF(D329&lt;&gt;"",C329,0)</f>
        <v/>
      </c>
      <c r="C329" s="156">
        <f>(M329/MAX(M:M)*$M$1)+(N329/MAX(N:N)*$N$1)+(O329/MAX(O:O)*$O$1)+(P329/MAX(P:P)*$P$1)+(Q329/MAX(Q:Q)*$Q$1)+(R329/MAX(R:R)*$R$1)</f>
        <v/>
      </c>
      <c r="D329" s="156">
        <f>IFERROR(VLOOKUP(A329,'Injury Report'!A:F,6,0),"")</f>
        <v/>
      </c>
    </row>
    <row r="330" ht="15.6" customHeight="1" s="152">
      <c r="A330" s="167">
        <f>E330&amp;F330</f>
        <v/>
      </c>
      <c r="B330" s="156">
        <f>IF(D330&lt;&gt;"",C330,0)</f>
        <v/>
      </c>
      <c r="C330" s="156">
        <f>(M330/MAX(M:M)*$M$1)+(N330/MAX(N:N)*$N$1)+(O330/MAX(O:O)*$O$1)+(P330/MAX(P:P)*$P$1)+(Q330/MAX(Q:Q)*$Q$1)+(R330/MAX(R:R)*$R$1)</f>
        <v/>
      </c>
      <c r="D330" s="156">
        <f>IFERROR(VLOOKUP(A330,'Injury Report'!A:F,6,0),"")</f>
        <v/>
      </c>
    </row>
    <row r="331" ht="15.6" customHeight="1" s="152">
      <c r="A331" s="167">
        <f>E331&amp;F331</f>
        <v/>
      </c>
      <c r="B331" s="156">
        <f>IF(D331&lt;&gt;"",C331,0)</f>
        <v/>
      </c>
      <c r="C331" s="156">
        <f>(M331/MAX(M:M)*$M$1)+(N331/MAX(N:N)*$N$1)+(O331/MAX(O:O)*$O$1)+(P331/MAX(P:P)*$P$1)+(Q331/MAX(Q:Q)*$Q$1)+(R331/MAX(R:R)*$R$1)</f>
        <v/>
      </c>
      <c r="D331" s="156">
        <f>IFERROR(VLOOKUP(A331,'Injury Report'!A:F,6,0),"")</f>
        <v/>
      </c>
    </row>
    <row r="332" ht="15.6" customHeight="1" s="152">
      <c r="A332" s="167">
        <f>E332&amp;F332</f>
        <v/>
      </c>
      <c r="B332" s="156">
        <f>IF(D332&lt;&gt;"",C332,0)</f>
        <v/>
      </c>
      <c r="C332" s="156">
        <f>(M332/MAX(M:M)*$M$1)+(N332/MAX(N:N)*$N$1)+(O332/MAX(O:O)*$O$1)+(P332/MAX(P:P)*$P$1)+(Q332/MAX(Q:Q)*$Q$1)+(R332/MAX(R:R)*$R$1)</f>
        <v/>
      </c>
      <c r="D332" s="156">
        <f>IFERROR(VLOOKUP(A332,'Injury Report'!A:F,6,0),"")</f>
        <v/>
      </c>
    </row>
    <row r="333" ht="15.6" customHeight="1" s="152">
      <c r="A333" s="167">
        <f>E333&amp;F333</f>
        <v/>
      </c>
      <c r="B333" s="156">
        <f>IF(D333&lt;&gt;"",C333,0)</f>
        <v/>
      </c>
      <c r="C333" s="156">
        <f>(M333/MAX(M:M)*$M$1)+(N333/MAX(N:N)*$N$1)+(O333/MAX(O:O)*$O$1)+(P333/MAX(P:P)*$P$1)+(Q333/MAX(Q:Q)*$Q$1)+(R333/MAX(R:R)*$R$1)</f>
        <v/>
      </c>
      <c r="D333" s="156">
        <f>IFERROR(VLOOKUP(A333,'Injury Report'!A:F,6,0),"")</f>
        <v/>
      </c>
    </row>
    <row r="334" ht="15.6" customHeight="1" s="152">
      <c r="A334" s="167">
        <f>E334&amp;F334</f>
        <v/>
      </c>
      <c r="B334" s="156">
        <f>IF(D334&lt;&gt;"",C334,0)</f>
        <v/>
      </c>
      <c r="C334" s="156">
        <f>(M334/MAX(M:M)*$M$1)+(N334/MAX(N:N)*$N$1)+(O334/MAX(O:O)*$O$1)+(P334/MAX(P:P)*$P$1)+(Q334/MAX(Q:Q)*$Q$1)+(R334/MAX(R:R)*$R$1)</f>
        <v/>
      </c>
      <c r="D334" s="156">
        <f>IFERROR(VLOOKUP(A334,'Injury Report'!A:F,6,0),"")</f>
        <v/>
      </c>
    </row>
    <row r="335" ht="15.6" customHeight="1" s="152">
      <c r="A335" s="167">
        <f>E335&amp;F335</f>
        <v/>
      </c>
      <c r="B335" s="156">
        <f>IF(D335&lt;&gt;"",C335,0)</f>
        <v/>
      </c>
      <c r="C335" s="156">
        <f>(M335/MAX(M:M)*$M$1)+(N335/MAX(N:N)*$N$1)+(O335/MAX(O:O)*$O$1)+(P335/MAX(P:P)*$P$1)+(Q335/MAX(Q:Q)*$Q$1)+(R335/MAX(R:R)*$R$1)</f>
        <v/>
      </c>
      <c r="D335" s="156">
        <f>IFERROR(VLOOKUP(A335,'Injury Report'!A:F,6,0),"")</f>
        <v/>
      </c>
    </row>
    <row r="336" ht="15.6" customHeight="1" s="152">
      <c r="A336" s="167">
        <f>E336&amp;F336</f>
        <v/>
      </c>
      <c r="B336" s="156">
        <f>IF(D336&lt;&gt;"",C336,0)</f>
        <v/>
      </c>
      <c r="C336" s="156">
        <f>(M336/MAX(M:M)*$M$1)+(N336/MAX(N:N)*$N$1)+(O336/MAX(O:O)*$O$1)+(P336/MAX(P:P)*$P$1)+(Q336/MAX(Q:Q)*$Q$1)+(R336/MAX(R:R)*$R$1)</f>
        <v/>
      </c>
      <c r="D336" s="156">
        <f>IFERROR(VLOOKUP(A336,'Injury Report'!A:F,6,0),"")</f>
        <v/>
      </c>
    </row>
    <row r="337" ht="15.6" customHeight="1" s="152">
      <c r="A337" s="167">
        <f>E337&amp;F337</f>
        <v/>
      </c>
      <c r="B337" s="156">
        <f>IF(D337&lt;&gt;"",C337,0)</f>
        <v/>
      </c>
      <c r="C337" s="156">
        <f>(M337/MAX(M:M)*$M$1)+(N337/MAX(N:N)*$N$1)+(O337/MAX(O:O)*$O$1)+(P337/MAX(P:P)*$P$1)+(Q337/MAX(Q:Q)*$Q$1)+(R337/MAX(R:R)*$R$1)</f>
        <v/>
      </c>
      <c r="D337" s="156">
        <f>IFERROR(VLOOKUP(A337,'Injury Report'!A:F,6,0),"")</f>
        <v/>
      </c>
    </row>
    <row r="338" ht="15.6" customHeight="1" s="152">
      <c r="A338" s="167">
        <f>E338&amp;F338</f>
        <v/>
      </c>
      <c r="B338" s="156">
        <f>IF(D338&lt;&gt;"",C338,0)</f>
        <v/>
      </c>
      <c r="C338" s="156">
        <f>(M338/MAX(M:M)*$M$1)+(N338/MAX(N:N)*$N$1)+(O338/MAX(O:O)*$O$1)+(P338/MAX(P:P)*$P$1)+(Q338/MAX(Q:Q)*$Q$1)+(R338/MAX(R:R)*$R$1)</f>
        <v/>
      </c>
      <c r="D338" s="156">
        <f>IFERROR(VLOOKUP(A338,'Injury Report'!A:F,6,0),"")</f>
        <v/>
      </c>
    </row>
    <row r="339" ht="15.6" customHeight="1" s="152">
      <c r="A339" s="167">
        <f>E339&amp;F339</f>
        <v/>
      </c>
      <c r="B339" s="156">
        <f>IF(D339&lt;&gt;"",C339,0)</f>
        <v/>
      </c>
      <c r="C339" s="156">
        <f>(M339/MAX(M:M)*$M$1)+(N339/MAX(N:N)*$N$1)+(O339/MAX(O:O)*$O$1)+(P339/MAX(P:P)*$P$1)+(Q339/MAX(Q:Q)*$Q$1)+(R339/MAX(R:R)*$R$1)</f>
        <v/>
      </c>
      <c r="D339" s="156">
        <f>IFERROR(VLOOKUP(A339,'Injury Report'!A:F,6,0),"")</f>
        <v/>
      </c>
    </row>
    <row r="340" ht="15.6" customHeight="1" s="152">
      <c r="A340" s="167">
        <f>E340&amp;F340</f>
        <v/>
      </c>
      <c r="B340" s="156">
        <f>IF(D340&lt;&gt;"",C340,0)</f>
        <v/>
      </c>
      <c r="C340" s="156">
        <f>(M340/MAX(M:M)*$M$1)+(N340/MAX(N:N)*$N$1)+(O340/MAX(O:O)*$O$1)+(P340/MAX(P:P)*$P$1)+(Q340/MAX(Q:Q)*$Q$1)+(R340/MAX(R:R)*$R$1)</f>
        <v/>
      </c>
      <c r="D340" s="156">
        <f>IFERROR(VLOOKUP(A340,'Injury Report'!A:F,6,0),"")</f>
        <v/>
      </c>
    </row>
    <row r="341" ht="15.6" customHeight="1" s="152">
      <c r="A341" s="167">
        <f>E341&amp;F341</f>
        <v/>
      </c>
      <c r="B341" s="156">
        <f>IF(D341&lt;&gt;"",C341,0)</f>
        <v/>
      </c>
      <c r="C341" s="156">
        <f>(M341/MAX(M:M)*$M$1)+(N341/MAX(N:N)*$N$1)+(O341/MAX(O:O)*$O$1)+(P341/MAX(P:P)*$P$1)+(Q341/MAX(Q:Q)*$Q$1)+(R341/MAX(R:R)*$R$1)</f>
        <v/>
      </c>
      <c r="D341" s="156">
        <f>IFERROR(VLOOKUP(A341,'Injury Report'!A:F,6,0),"")</f>
        <v/>
      </c>
    </row>
    <row r="342" ht="15.6" customHeight="1" s="152">
      <c r="A342" s="167">
        <f>E342&amp;F342</f>
        <v/>
      </c>
      <c r="B342" s="156">
        <f>IF(D342&lt;&gt;"",C342,0)</f>
        <v/>
      </c>
      <c r="C342" s="156">
        <f>(M342/MAX(M:M)*$M$1)+(N342/MAX(N:N)*$N$1)+(O342/MAX(O:O)*$O$1)+(P342/MAX(P:P)*$P$1)+(Q342/MAX(Q:Q)*$Q$1)+(R342/MAX(R:R)*$R$1)</f>
        <v/>
      </c>
      <c r="D342" s="156">
        <f>IFERROR(VLOOKUP(A342,'Injury Report'!A:F,6,0),"")</f>
        <v/>
      </c>
    </row>
    <row r="343" ht="15.6" customHeight="1" s="152">
      <c r="A343" s="167">
        <f>E343&amp;F343</f>
        <v/>
      </c>
      <c r="B343" s="156">
        <f>IF(D343&lt;&gt;"",C343,0)</f>
        <v/>
      </c>
      <c r="C343" s="156">
        <f>(M343/MAX(M:M)*$M$1)+(N343/MAX(N:N)*$N$1)+(O343/MAX(O:O)*$O$1)+(P343/MAX(P:P)*$P$1)+(Q343/MAX(Q:Q)*$Q$1)+(R343/MAX(R:R)*$R$1)</f>
        <v/>
      </c>
      <c r="D343" s="156">
        <f>IFERROR(VLOOKUP(A343,'Injury Report'!A:F,6,0),"")</f>
        <v/>
      </c>
    </row>
    <row r="344" ht="15.6" customHeight="1" s="152">
      <c r="A344" s="167">
        <f>E344&amp;F344</f>
        <v/>
      </c>
      <c r="B344" s="156">
        <f>IF(D344&lt;&gt;"",C344,0)</f>
        <v/>
      </c>
      <c r="C344" s="156">
        <f>(M344/MAX(M:M)*$M$1)+(N344/MAX(N:N)*$N$1)+(O344/MAX(O:O)*$O$1)+(P344/MAX(P:P)*$P$1)+(Q344/MAX(Q:Q)*$Q$1)+(R344/MAX(R:R)*$R$1)</f>
        <v/>
      </c>
      <c r="D344" s="156">
        <f>IFERROR(VLOOKUP(A344,'Injury Report'!A:F,6,0),"")</f>
        <v/>
      </c>
    </row>
    <row r="345" ht="15.6" customHeight="1" s="152">
      <c r="A345" s="167">
        <f>E345&amp;F345</f>
        <v/>
      </c>
      <c r="B345" s="156">
        <f>IF(D345&lt;&gt;"",C345,0)</f>
        <v/>
      </c>
      <c r="C345" s="156">
        <f>(M345/MAX(M:M)*$M$1)+(N345/MAX(N:N)*$N$1)+(O345/MAX(O:O)*$O$1)+(P345/MAX(P:P)*$P$1)+(Q345/MAX(Q:Q)*$Q$1)+(R345/MAX(R:R)*$R$1)</f>
        <v/>
      </c>
      <c r="D345" s="156">
        <f>IFERROR(VLOOKUP(A345,'Injury Report'!A:F,6,0),"")</f>
        <v/>
      </c>
    </row>
    <row r="346" ht="15.6" customHeight="1" s="152">
      <c r="A346" s="167">
        <f>E346&amp;F346</f>
        <v/>
      </c>
      <c r="B346" s="156">
        <f>IF(D346&lt;&gt;"",C346,0)</f>
        <v/>
      </c>
      <c r="C346" s="156">
        <f>(M346/MAX(M:M)*$M$1)+(N346/MAX(N:N)*$N$1)+(O346/MAX(O:O)*$O$1)+(P346/MAX(P:P)*$P$1)+(Q346/MAX(Q:Q)*$Q$1)+(R346/MAX(R:R)*$R$1)</f>
        <v/>
      </c>
      <c r="D346" s="156">
        <f>IFERROR(VLOOKUP(A346,'Injury Report'!A:F,6,0),"")</f>
        <v/>
      </c>
    </row>
    <row r="347" ht="15.6" customHeight="1" s="152">
      <c r="A347" s="167">
        <f>E347&amp;F347</f>
        <v/>
      </c>
      <c r="B347" s="156">
        <f>IF(D347&lt;&gt;"",C347,0)</f>
        <v/>
      </c>
      <c r="C347" s="156">
        <f>(M347/MAX(M:M)*$M$1)+(N347/MAX(N:N)*$N$1)+(O347/MAX(O:O)*$O$1)+(P347/MAX(P:P)*$P$1)+(Q347/MAX(Q:Q)*$Q$1)+(R347/MAX(R:R)*$R$1)</f>
        <v/>
      </c>
      <c r="D347" s="156">
        <f>IFERROR(VLOOKUP(A347,'Injury Report'!A:F,6,0),"")</f>
        <v/>
      </c>
    </row>
    <row r="348" ht="15.6" customHeight="1" s="152">
      <c r="A348" s="167">
        <f>E348&amp;F348</f>
        <v/>
      </c>
      <c r="B348" s="156">
        <f>IF(D348&lt;&gt;"",C348,0)</f>
        <v/>
      </c>
      <c r="C348" s="156">
        <f>(M348/MAX(M:M)*$M$1)+(N348/MAX(N:N)*$N$1)+(O348/MAX(O:O)*$O$1)+(P348/MAX(P:P)*$P$1)+(Q348/MAX(Q:Q)*$Q$1)+(R348/MAX(R:R)*$R$1)</f>
        <v/>
      </c>
      <c r="D348" s="156">
        <f>IFERROR(VLOOKUP(A348,'Injury Report'!A:F,6,0),"")</f>
        <v/>
      </c>
    </row>
    <row r="349" ht="15.6" customHeight="1" s="152">
      <c r="A349" s="167">
        <f>E349&amp;F349</f>
        <v/>
      </c>
      <c r="B349" s="156">
        <f>IF(D349&lt;&gt;"",C349,0)</f>
        <v/>
      </c>
      <c r="C349" s="156">
        <f>(M349/MAX(M:M)*$M$1)+(N349/MAX(N:N)*$N$1)+(O349/MAX(O:O)*$O$1)+(P349/MAX(P:P)*$P$1)+(Q349/MAX(Q:Q)*$Q$1)+(R349/MAX(R:R)*$R$1)</f>
        <v/>
      </c>
      <c r="D349" s="156">
        <f>IFERROR(VLOOKUP(A349,'Injury Report'!A:F,6,0),"")</f>
        <v/>
      </c>
    </row>
    <row r="350" ht="15.6" customHeight="1" s="152">
      <c r="A350" s="167">
        <f>E350&amp;F350</f>
        <v/>
      </c>
      <c r="B350" s="156">
        <f>IF(D350&lt;&gt;"",C350,0)</f>
        <v/>
      </c>
      <c r="C350" s="156">
        <f>(M350/MAX(M:M)*$M$1)+(N350/MAX(N:N)*$N$1)+(O350/MAX(O:O)*$O$1)+(P350/MAX(P:P)*$P$1)+(Q350/MAX(Q:Q)*$Q$1)+(R350/MAX(R:R)*$R$1)</f>
        <v/>
      </c>
      <c r="D350" s="156">
        <f>IFERROR(VLOOKUP(A350,'Injury Report'!A:F,6,0),"")</f>
        <v/>
      </c>
    </row>
    <row r="351" ht="15.6" customHeight="1" s="152">
      <c r="A351" s="167">
        <f>E351&amp;F351</f>
        <v/>
      </c>
      <c r="B351" s="156">
        <f>IF(D351&lt;&gt;"",C351,0)</f>
        <v/>
      </c>
      <c r="C351" s="156">
        <f>(M351/MAX(M:M)*$M$1)+(N351/MAX(N:N)*$N$1)+(O351/MAX(O:O)*$O$1)+(P351/MAX(P:P)*$P$1)+(Q351/MAX(Q:Q)*$Q$1)+(R351/MAX(R:R)*$R$1)</f>
        <v/>
      </c>
      <c r="D351" s="156">
        <f>IFERROR(VLOOKUP(A351,'Injury Report'!A:F,6,0),"")</f>
        <v/>
      </c>
    </row>
    <row r="352" ht="15.6" customHeight="1" s="152">
      <c r="A352" s="167">
        <f>E352&amp;F352</f>
        <v/>
      </c>
      <c r="B352" s="156">
        <f>IF(D352&lt;&gt;"",C352,0)</f>
        <v/>
      </c>
      <c r="C352" s="156">
        <f>(M352/MAX(M:M)*$M$1)+(N352/MAX(N:N)*$N$1)+(O352/MAX(O:O)*$O$1)+(P352/MAX(P:P)*$P$1)+(Q352/MAX(Q:Q)*$Q$1)+(R352/MAX(R:R)*$R$1)</f>
        <v/>
      </c>
      <c r="D352" s="156">
        <f>IFERROR(VLOOKUP(A352,'Injury Report'!A:F,6,0),"")</f>
        <v/>
      </c>
    </row>
    <row r="353" ht="15.6" customHeight="1" s="152">
      <c r="A353" s="167">
        <f>E353&amp;F353</f>
        <v/>
      </c>
      <c r="B353" s="156">
        <f>IF(D353&lt;&gt;"",C353,0)</f>
        <v/>
      </c>
      <c r="C353" s="156">
        <f>(M353/MAX(M:M)*$M$1)+(N353/MAX(N:N)*$N$1)+(O353/MAX(O:O)*$O$1)+(P353/MAX(P:P)*$P$1)+(Q353/MAX(Q:Q)*$Q$1)+(R353/MAX(R:R)*$R$1)</f>
        <v/>
      </c>
      <c r="D353" s="156">
        <f>IFERROR(VLOOKUP(A353,'Injury Report'!A:F,6,0),"")</f>
        <v/>
      </c>
    </row>
    <row r="354" ht="15.6" customHeight="1" s="152">
      <c r="A354" s="167">
        <f>E354&amp;F354</f>
        <v/>
      </c>
      <c r="B354" s="156">
        <f>IF(D354&lt;&gt;"",C354,0)</f>
        <v/>
      </c>
      <c r="C354" s="156">
        <f>(M354/MAX(M:M)*$M$1)+(N354/MAX(N:N)*$N$1)+(O354/MAX(O:O)*$O$1)+(P354/MAX(P:P)*$P$1)+(Q354/MAX(Q:Q)*$Q$1)+(R354/MAX(R:R)*$R$1)</f>
        <v/>
      </c>
      <c r="D354" s="156">
        <f>IFERROR(VLOOKUP(A354,'Injury Report'!A:F,6,0),"")</f>
        <v/>
      </c>
    </row>
    <row r="355" ht="15.6" customHeight="1" s="152">
      <c r="A355" s="167">
        <f>E355&amp;F355</f>
        <v/>
      </c>
      <c r="B355" s="156">
        <f>IF(D355&lt;&gt;"",C355,0)</f>
        <v/>
      </c>
      <c r="C355" s="156">
        <f>(M355/MAX(M:M)*$M$1)+(N355/MAX(N:N)*$N$1)+(O355/MAX(O:O)*$O$1)+(P355/MAX(P:P)*$P$1)+(Q355/MAX(Q:Q)*$Q$1)+(R355/MAX(R:R)*$R$1)</f>
        <v/>
      </c>
      <c r="D355" s="156">
        <f>IFERROR(VLOOKUP(A355,'Injury Report'!A:F,6,0),"")</f>
        <v/>
      </c>
    </row>
    <row r="356" ht="15.6" customHeight="1" s="152">
      <c r="A356" s="167">
        <f>E356&amp;F356</f>
        <v/>
      </c>
      <c r="B356" s="156">
        <f>IF(D356&lt;&gt;"",C356,0)</f>
        <v/>
      </c>
      <c r="C356" s="156">
        <f>(M356/MAX(M:M)*$M$1)+(N356/MAX(N:N)*$N$1)+(O356/MAX(O:O)*$O$1)+(P356/MAX(P:P)*$P$1)+(Q356/MAX(Q:Q)*$Q$1)+(R356/MAX(R:R)*$R$1)</f>
        <v/>
      </c>
      <c r="D356" s="156">
        <f>IFERROR(VLOOKUP(A356,'Injury Report'!A:F,6,0),"")</f>
        <v/>
      </c>
    </row>
    <row r="357" ht="15.6" customHeight="1" s="152">
      <c r="A357" s="167">
        <f>E357&amp;F357</f>
        <v/>
      </c>
      <c r="B357" s="156">
        <f>IF(D357&lt;&gt;"",C357,0)</f>
        <v/>
      </c>
      <c r="C357" s="156">
        <f>(M357/MAX(M:M)*$M$1)+(N357/MAX(N:N)*$N$1)+(O357/MAX(O:O)*$O$1)+(P357/MAX(P:P)*$P$1)+(Q357/MAX(Q:Q)*$Q$1)+(R357/MAX(R:R)*$R$1)</f>
        <v/>
      </c>
      <c r="D357" s="156">
        <f>IFERROR(VLOOKUP(A357,'Injury Report'!A:F,6,0),"")</f>
        <v/>
      </c>
    </row>
    <row r="358" ht="15.6" customHeight="1" s="152">
      <c r="A358" s="167">
        <f>E358&amp;F358</f>
        <v/>
      </c>
      <c r="B358" s="156">
        <f>IF(D358&lt;&gt;"",C358,0)</f>
        <v/>
      </c>
      <c r="C358" s="156">
        <f>(M358/MAX(M:M)*$M$1)+(N358/MAX(N:N)*$N$1)+(O358/MAX(O:O)*$O$1)+(P358/MAX(P:P)*$P$1)+(Q358/MAX(Q:Q)*$Q$1)+(R358/MAX(R:R)*$R$1)</f>
        <v/>
      </c>
      <c r="D358" s="156">
        <f>IFERROR(VLOOKUP(A358,'Injury Report'!A:F,6,0),"")</f>
        <v/>
      </c>
    </row>
    <row r="359" ht="15.6" customHeight="1" s="152">
      <c r="A359" s="167">
        <f>E359&amp;F359</f>
        <v/>
      </c>
      <c r="B359" s="156">
        <f>IF(D359&lt;&gt;"",C359,0)</f>
        <v/>
      </c>
      <c r="C359" s="156">
        <f>(M359/MAX(M:M)*$M$1)+(N359/MAX(N:N)*$N$1)+(O359/MAX(O:O)*$O$1)+(P359/MAX(P:P)*$P$1)+(Q359/MAX(Q:Q)*$Q$1)+(R359/MAX(R:R)*$R$1)</f>
        <v/>
      </c>
      <c r="D359" s="156">
        <f>IFERROR(VLOOKUP(A359,'Injury Report'!A:F,6,0),"")</f>
        <v/>
      </c>
    </row>
    <row r="360" ht="15.6" customHeight="1" s="152">
      <c r="A360" s="167">
        <f>E360&amp;F360</f>
        <v/>
      </c>
      <c r="B360" s="156">
        <f>IF(D360&lt;&gt;"",C360,0)</f>
        <v/>
      </c>
      <c r="C360" s="156">
        <f>(M360/MAX(M:M)*$M$1)+(N360/MAX(N:N)*$N$1)+(O360/MAX(O:O)*$O$1)+(P360/MAX(P:P)*$P$1)+(Q360/MAX(Q:Q)*$Q$1)+(R360/MAX(R:R)*$R$1)</f>
        <v/>
      </c>
      <c r="D360" s="156">
        <f>IFERROR(VLOOKUP(A360,'Injury Report'!A:F,6,0),"")</f>
        <v/>
      </c>
    </row>
    <row r="361" ht="15.6" customHeight="1" s="152">
      <c r="A361" s="167">
        <f>E361&amp;F361</f>
        <v/>
      </c>
      <c r="B361" s="156">
        <f>IF(D361&lt;&gt;"",C361,0)</f>
        <v/>
      </c>
      <c r="C361" s="156">
        <f>(M361/MAX(M:M)*$M$1)+(N361/MAX(N:N)*$N$1)+(O361/MAX(O:O)*$O$1)+(P361/MAX(P:P)*$P$1)+(Q361/MAX(Q:Q)*$Q$1)+(R361/MAX(R:R)*$R$1)</f>
        <v/>
      </c>
      <c r="D361" s="156">
        <f>IFERROR(VLOOKUP(A361,'Injury Report'!A:F,6,0),"")</f>
        <v/>
      </c>
    </row>
    <row r="362" ht="15.6" customHeight="1" s="152">
      <c r="A362" s="167">
        <f>E362&amp;F362</f>
        <v/>
      </c>
      <c r="B362" s="156">
        <f>IF(D362&lt;&gt;"",C362,0)</f>
        <v/>
      </c>
      <c r="C362" s="156">
        <f>(M362/MAX(M:M)*$M$1)+(N362/MAX(N:N)*$N$1)+(O362/MAX(O:O)*$O$1)+(P362/MAX(P:P)*$P$1)+(Q362/MAX(Q:Q)*$Q$1)+(R362/MAX(R:R)*$R$1)</f>
        <v/>
      </c>
      <c r="D362" s="156">
        <f>IFERROR(VLOOKUP(A362,'Injury Report'!A:F,6,0),"")</f>
        <v/>
      </c>
    </row>
    <row r="363" ht="15.6" customHeight="1" s="152">
      <c r="A363" s="167">
        <f>E363&amp;F363</f>
        <v/>
      </c>
      <c r="B363" s="156">
        <f>IF(D363&lt;&gt;"",C363,0)</f>
        <v/>
      </c>
      <c r="C363" s="156">
        <f>(M363/MAX(M:M)*$M$1)+(N363/MAX(N:N)*$N$1)+(O363/MAX(O:O)*$O$1)+(P363/MAX(P:P)*$P$1)+(Q363/MAX(Q:Q)*$Q$1)+(R363/MAX(R:R)*$R$1)</f>
        <v/>
      </c>
      <c r="D363" s="156">
        <f>IFERROR(VLOOKUP(A363,'Injury Report'!A:F,6,0),"")</f>
        <v/>
      </c>
    </row>
    <row r="364" ht="15.6" customHeight="1" s="152">
      <c r="A364" s="167">
        <f>E364&amp;F364</f>
        <v/>
      </c>
      <c r="B364" s="156">
        <f>IF(D364&lt;&gt;"",C364,0)</f>
        <v/>
      </c>
      <c r="C364" s="156">
        <f>(M364/MAX(M:M)*$M$1)+(N364/MAX(N:N)*$N$1)+(O364/MAX(O:O)*$O$1)+(P364/MAX(P:P)*$P$1)+(Q364/MAX(Q:Q)*$Q$1)+(R364/MAX(R:R)*$R$1)</f>
        <v/>
      </c>
      <c r="D364" s="156">
        <f>IFERROR(VLOOKUP(A364,'Injury Report'!A:F,6,0),"")</f>
        <v/>
      </c>
    </row>
    <row r="365" ht="15.6" customHeight="1" s="152">
      <c r="A365" s="167">
        <f>E365&amp;F365</f>
        <v/>
      </c>
      <c r="B365" s="156">
        <f>IF(D365&lt;&gt;"",C365,0)</f>
        <v/>
      </c>
      <c r="C365" s="156">
        <f>(M365/MAX(M:M)*$M$1)+(N365/MAX(N:N)*$N$1)+(O365/MAX(O:O)*$O$1)+(P365/MAX(P:P)*$P$1)+(Q365/MAX(Q:Q)*$Q$1)+(R365/MAX(R:R)*$R$1)</f>
        <v/>
      </c>
      <c r="D365" s="156">
        <f>IFERROR(VLOOKUP(A365,'Injury Report'!A:F,6,0),"")</f>
        <v/>
      </c>
    </row>
    <row r="366" ht="15.6" customHeight="1" s="152">
      <c r="A366" s="167">
        <f>E366&amp;F366</f>
        <v/>
      </c>
      <c r="B366" s="156">
        <f>IF(D366&lt;&gt;"",C366,0)</f>
        <v/>
      </c>
      <c r="C366" s="156">
        <f>(M366/MAX(M:M)*$M$1)+(N366/MAX(N:N)*$N$1)+(O366/MAX(O:O)*$O$1)+(P366/MAX(P:P)*$P$1)+(Q366/MAX(Q:Q)*$Q$1)+(R366/MAX(R:R)*$R$1)</f>
        <v/>
      </c>
      <c r="D366" s="156">
        <f>IFERROR(VLOOKUP(A366,'Injury Report'!A:F,6,0),"")</f>
        <v/>
      </c>
    </row>
    <row r="367" ht="15.6" customHeight="1" s="152">
      <c r="A367" s="167">
        <f>E367&amp;F367</f>
        <v/>
      </c>
      <c r="B367" s="156">
        <f>IF(D367&lt;&gt;"",C367,0)</f>
        <v/>
      </c>
      <c r="C367" s="156">
        <f>(M367/MAX(M:M)*$M$1)+(N367/MAX(N:N)*$N$1)+(O367/MAX(O:O)*$O$1)+(P367/MAX(P:P)*$P$1)+(Q367/MAX(Q:Q)*$Q$1)+(R367/MAX(R:R)*$R$1)</f>
        <v/>
      </c>
      <c r="D367" s="156">
        <f>IFERROR(VLOOKUP(A367,'Injury Report'!A:F,6,0),"")</f>
        <v/>
      </c>
    </row>
    <row r="368" ht="15.6" customHeight="1" s="152">
      <c r="A368" s="167">
        <f>E368&amp;F368</f>
        <v/>
      </c>
      <c r="B368" s="156">
        <f>IF(D368&lt;&gt;"",C368,0)</f>
        <v/>
      </c>
      <c r="C368" s="156">
        <f>(M368/MAX(M:M)*$M$1)+(N368/MAX(N:N)*$N$1)+(O368/MAX(O:O)*$O$1)+(P368/MAX(P:P)*$P$1)+(Q368/MAX(Q:Q)*$Q$1)+(R368/MAX(R:R)*$R$1)</f>
        <v/>
      </c>
      <c r="D368" s="156">
        <f>IFERROR(VLOOKUP(A368,'Injury Report'!A:F,6,0),"")</f>
        <v/>
      </c>
    </row>
    <row r="369" ht="15.6" customHeight="1" s="152">
      <c r="A369" s="167">
        <f>E369&amp;F369</f>
        <v/>
      </c>
      <c r="B369" s="156">
        <f>IF(D369&lt;&gt;"",C369,0)</f>
        <v/>
      </c>
      <c r="C369" s="156">
        <f>(M369/MAX(M:M)*$M$1)+(N369/MAX(N:N)*$N$1)+(O369/MAX(O:O)*$O$1)+(P369/MAX(P:P)*$P$1)+(Q369/MAX(Q:Q)*$Q$1)+(R369/MAX(R:R)*$R$1)</f>
        <v/>
      </c>
      <c r="D369" s="156">
        <f>IFERROR(VLOOKUP(A369,'Injury Report'!A:F,6,0),"")</f>
        <v/>
      </c>
    </row>
    <row r="370" ht="15.6" customHeight="1" s="152">
      <c r="A370" s="167">
        <f>E370&amp;F370</f>
        <v/>
      </c>
      <c r="B370" s="156">
        <f>IF(D370&lt;&gt;"",C370,0)</f>
        <v/>
      </c>
      <c r="C370" s="156">
        <f>(M370/MAX(M:M)*$M$1)+(N370/MAX(N:N)*$N$1)+(O370/MAX(O:O)*$O$1)+(P370/MAX(P:P)*$P$1)+(Q370/MAX(Q:Q)*$Q$1)+(R370/MAX(R:R)*$R$1)</f>
        <v/>
      </c>
      <c r="D370" s="156">
        <f>IFERROR(VLOOKUP(A370,'Injury Report'!A:F,6,0),"")</f>
        <v/>
      </c>
    </row>
    <row r="371" ht="15.6" customHeight="1" s="152">
      <c r="A371" s="167">
        <f>E371&amp;F371</f>
        <v/>
      </c>
      <c r="B371" s="156">
        <f>IF(D371&lt;&gt;"",C371,0)</f>
        <v/>
      </c>
      <c r="C371" s="156">
        <f>(M371/MAX(M:M)*$M$1)+(N371/MAX(N:N)*$N$1)+(O371/MAX(O:O)*$O$1)+(P371/MAX(P:P)*$P$1)+(Q371/MAX(Q:Q)*$Q$1)+(R371/MAX(R:R)*$R$1)</f>
        <v/>
      </c>
      <c r="D371" s="156">
        <f>IFERROR(VLOOKUP(A371,'Injury Report'!A:F,6,0),"")</f>
        <v/>
      </c>
    </row>
    <row r="372" ht="15.6" customHeight="1" s="152">
      <c r="A372" s="167">
        <f>E372&amp;F372</f>
        <v/>
      </c>
      <c r="B372" s="156">
        <f>IF(D372&lt;&gt;"",C372,0)</f>
        <v/>
      </c>
      <c r="C372" s="156">
        <f>(M372/MAX(M:M)*$M$1)+(N372/MAX(N:N)*$N$1)+(O372/MAX(O:O)*$O$1)+(P372/MAX(P:P)*$P$1)+(Q372/MAX(Q:Q)*$Q$1)+(R372/MAX(R:R)*$R$1)</f>
        <v/>
      </c>
      <c r="D372" s="156">
        <f>IFERROR(VLOOKUP(A372,'Injury Report'!A:F,6,0),"")</f>
        <v/>
      </c>
    </row>
    <row r="373" ht="15.6" customHeight="1" s="152">
      <c r="A373" s="167">
        <f>E373&amp;F373</f>
        <v/>
      </c>
      <c r="B373" s="156">
        <f>IF(D373&lt;&gt;"",C373,0)</f>
        <v/>
      </c>
      <c r="C373" s="156">
        <f>(M373/MAX(M:M)*$M$1)+(N373/MAX(N:N)*$N$1)+(O373/MAX(O:O)*$O$1)+(P373/MAX(P:P)*$P$1)+(Q373/MAX(Q:Q)*$Q$1)+(R373/MAX(R:R)*$R$1)</f>
        <v/>
      </c>
      <c r="D373" s="156">
        <f>IFERROR(VLOOKUP(A373,'Injury Report'!A:F,6,0),"")</f>
        <v/>
      </c>
    </row>
    <row r="374" ht="15.6" customHeight="1" s="152">
      <c r="A374" s="167">
        <f>E374&amp;F374</f>
        <v/>
      </c>
      <c r="B374" s="156">
        <f>IF(D374&lt;&gt;"",C374,0)</f>
        <v/>
      </c>
      <c r="C374" s="156">
        <f>(M374/MAX(M:M)*$M$1)+(N374/MAX(N:N)*$N$1)+(O374/MAX(O:O)*$O$1)+(P374/MAX(P:P)*$P$1)+(Q374/MAX(Q:Q)*$Q$1)+(R374/MAX(R:R)*$R$1)</f>
        <v/>
      </c>
      <c r="D374" s="156">
        <f>IFERROR(VLOOKUP(A374,'Injury Report'!A:F,6,0),"")</f>
        <v/>
      </c>
    </row>
    <row r="375" ht="15.6" customHeight="1" s="152">
      <c r="A375" s="167">
        <f>E375&amp;F375</f>
        <v/>
      </c>
      <c r="B375" s="156">
        <f>IF(D375&lt;&gt;"",C375,0)</f>
        <v/>
      </c>
      <c r="C375" s="156">
        <f>(M375/MAX(M:M)*$M$1)+(N375/MAX(N:N)*$N$1)+(O375/MAX(O:O)*$O$1)+(P375/MAX(P:P)*$P$1)+(Q375/MAX(Q:Q)*$Q$1)+(R375/MAX(R:R)*$R$1)</f>
        <v/>
      </c>
      <c r="D375" s="156">
        <f>IFERROR(VLOOKUP(A375,'Injury Report'!A:F,6,0),"")</f>
        <v/>
      </c>
    </row>
    <row r="376" ht="15.6" customHeight="1" s="152">
      <c r="A376" s="167">
        <f>E376&amp;F376</f>
        <v/>
      </c>
      <c r="B376" s="156">
        <f>IF(D376&lt;&gt;"",C376,0)</f>
        <v/>
      </c>
      <c r="C376" s="156">
        <f>(M376/MAX(M:M)*$M$1)+(N376/MAX(N:N)*$N$1)+(O376/MAX(O:O)*$O$1)+(P376/MAX(P:P)*$P$1)+(Q376/MAX(Q:Q)*$Q$1)+(R376/MAX(R:R)*$R$1)</f>
        <v/>
      </c>
      <c r="D376" s="156">
        <f>IFERROR(VLOOKUP(A376,'Injury Report'!A:F,6,0),"")</f>
        <v/>
      </c>
    </row>
    <row r="377" ht="15.6" customHeight="1" s="152">
      <c r="A377" s="167">
        <f>E377&amp;F377</f>
        <v/>
      </c>
      <c r="B377" s="156">
        <f>IF(D377&lt;&gt;"",C377,0)</f>
        <v/>
      </c>
      <c r="C377" s="156">
        <f>(M377/MAX(M:M)*$M$1)+(N377/MAX(N:N)*$N$1)+(O377/MAX(O:O)*$O$1)+(P377/MAX(P:P)*$P$1)+(Q377/MAX(Q:Q)*$Q$1)+(R377/MAX(R:R)*$R$1)</f>
        <v/>
      </c>
      <c r="D377" s="156">
        <f>IFERROR(VLOOKUP(A377,'Injury Report'!A:F,6,0),"")</f>
        <v/>
      </c>
    </row>
    <row r="378" ht="15.6" customHeight="1" s="152">
      <c r="A378" s="167">
        <f>E378&amp;F378</f>
        <v/>
      </c>
      <c r="B378" s="156">
        <f>IF(D378&lt;&gt;"",C378,0)</f>
        <v/>
      </c>
      <c r="C378" s="156">
        <f>(M378/MAX(M:M)*$M$1)+(N378/MAX(N:N)*$N$1)+(O378/MAX(O:O)*$O$1)+(P378/MAX(P:P)*$P$1)+(Q378/MAX(Q:Q)*$Q$1)+(R378/MAX(R:R)*$R$1)</f>
        <v/>
      </c>
      <c r="D378" s="156">
        <f>IFERROR(VLOOKUP(A378,'Injury Report'!A:F,6,0),"")</f>
        <v/>
      </c>
    </row>
    <row r="379" ht="15.6" customHeight="1" s="152">
      <c r="A379" s="167">
        <f>E379&amp;F379</f>
        <v/>
      </c>
      <c r="B379" s="156">
        <f>IF(D379&lt;&gt;"",C379,0)</f>
        <v/>
      </c>
      <c r="C379" s="156">
        <f>(M379/MAX(M:M)*$M$1)+(N379/MAX(N:N)*$N$1)+(O379/MAX(O:O)*$O$1)+(P379/MAX(P:P)*$P$1)+(Q379/MAX(Q:Q)*$Q$1)+(R379/MAX(R:R)*$R$1)</f>
        <v/>
      </c>
      <c r="D379" s="156">
        <f>IFERROR(VLOOKUP(A379,'Injury Report'!A:F,6,0),"")</f>
        <v/>
      </c>
    </row>
    <row r="380" ht="15.6" customHeight="1" s="152">
      <c r="A380" s="167">
        <f>E380&amp;F380</f>
        <v/>
      </c>
      <c r="B380" s="156">
        <f>IF(D380&lt;&gt;"",C380,0)</f>
        <v/>
      </c>
      <c r="C380" s="156">
        <f>(M380/MAX(M:M)*$M$1)+(N380/MAX(N:N)*$N$1)+(O380/MAX(O:O)*$O$1)+(P380/MAX(P:P)*$P$1)+(Q380/MAX(Q:Q)*$Q$1)+(R380/MAX(R:R)*$R$1)</f>
        <v/>
      </c>
      <c r="D380" s="156">
        <f>IFERROR(VLOOKUP(A380,'Injury Report'!A:F,6,0),"")</f>
        <v/>
      </c>
    </row>
    <row r="381" ht="15.6" customHeight="1" s="152">
      <c r="A381" s="167">
        <f>E381&amp;F381</f>
        <v/>
      </c>
      <c r="B381" s="156">
        <f>IF(D381&lt;&gt;"",C381,0)</f>
        <v/>
      </c>
      <c r="C381" s="156">
        <f>(M381/MAX(M:M)*$M$1)+(N381/MAX(N:N)*$N$1)+(O381/MAX(O:O)*$O$1)+(P381/MAX(P:P)*$P$1)+(Q381/MAX(Q:Q)*$Q$1)+(R381/MAX(R:R)*$R$1)</f>
        <v/>
      </c>
      <c r="D381" s="156">
        <f>IFERROR(VLOOKUP(A381,'Injury Report'!A:F,6,0),"")</f>
        <v/>
      </c>
    </row>
    <row r="382" ht="15.6" customHeight="1" s="152">
      <c r="A382" s="167">
        <f>E382&amp;F382</f>
        <v/>
      </c>
      <c r="B382" s="156">
        <f>IF(D382&lt;&gt;"",C382,0)</f>
        <v/>
      </c>
      <c r="C382" s="156">
        <f>(M382/MAX(M:M)*$M$1)+(N382/MAX(N:N)*$N$1)+(O382/MAX(O:O)*$O$1)+(P382/MAX(P:P)*$P$1)+(Q382/MAX(Q:Q)*$Q$1)+(R382/MAX(R:R)*$R$1)</f>
        <v/>
      </c>
      <c r="D382" s="156">
        <f>IFERROR(VLOOKUP(A382,'Injury Report'!A:F,6,0),"")</f>
        <v/>
      </c>
    </row>
    <row r="383" ht="15.6" customHeight="1" s="152">
      <c r="A383" s="167">
        <f>E383&amp;F383</f>
        <v/>
      </c>
      <c r="B383" s="156">
        <f>IF(D383&lt;&gt;"",C383,0)</f>
        <v/>
      </c>
      <c r="C383" s="156">
        <f>(M383/MAX(M:M)*$M$1)+(N383/MAX(N:N)*$N$1)+(O383/MAX(O:O)*$O$1)+(P383/MAX(P:P)*$P$1)+(Q383/MAX(Q:Q)*$Q$1)+(R383/MAX(R:R)*$R$1)</f>
        <v/>
      </c>
      <c r="D383" s="156">
        <f>IFERROR(VLOOKUP(A383,'Injury Report'!A:F,6,0),"")</f>
        <v/>
      </c>
    </row>
    <row r="384" ht="15.6" customHeight="1" s="152">
      <c r="A384" s="167">
        <f>E384&amp;F384</f>
        <v/>
      </c>
      <c r="B384" s="156">
        <f>IF(D384&lt;&gt;"",C384,0)</f>
        <v/>
      </c>
      <c r="C384" s="156">
        <f>(M384/MAX(M:M)*$M$1)+(N384/MAX(N:N)*$N$1)+(O384/MAX(O:O)*$O$1)+(P384/MAX(P:P)*$P$1)+(Q384/MAX(Q:Q)*$Q$1)+(R384/MAX(R:R)*$R$1)</f>
        <v/>
      </c>
      <c r="D384" s="156">
        <f>IFERROR(VLOOKUP(A384,'Injury Report'!A:F,6,0),"")</f>
        <v/>
      </c>
    </row>
    <row r="385" ht="15.6" customHeight="1" s="152">
      <c r="A385" s="167">
        <f>E385&amp;F385</f>
        <v/>
      </c>
      <c r="B385" s="156">
        <f>IF(D385&lt;&gt;"",C385,0)</f>
        <v/>
      </c>
      <c r="C385" s="156">
        <f>(M385/MAX(M:M)*$M$1)+(N385/MAX(N:N)*$N$1)+(O385/MAX(O:O)*$O$1)+(P385/MAX(P:P)*$P$1)+(Q385/MAX(Q:Q)*$Q$1)+(R385/MAX(R:R)*$R$1)</f>
        <v/>
      </c>
      <c r="D385" s="156">
        <f>IFERROR(VLOOKUP(A385,'Injury Report'!A:F,6,0),"")</f>
        <v/>
      </c>
    </row>
    <row r="386" ht="15.6" customHeight="1" s="152">
      <c r="A386" s="167">
        <f>E386&amp;F386</f>
        <v/>
      </c>
      <c r="B386" s="156">
        <f>IF(D386&lt;&gt;"",C386,0)</f>
        <v/>
      </c>
      <c r="C386" s="156">
        <f>(M386/MAX(M:M)*$M$1)+(N386/MAX(N:N)*$N$1)+(O386/MAX(O:O)*$O$1)+(P386/MAX(P:P)*$P$1)+(Q386/MAX(Q:Q)*$Q$1)+(R386/MAX(R:R)*$R$1)</f>
        <v/>
      </c>
      <c r="D386" s="156">
        <f>IFERROR(VLOOKUP(A386,'Injury Report'!A:F,6,0),"")</f>
        <v/>
      </c>
    </row>
    <row r="387" ht="15.6" customHeight="1" s="152">
      <c r="A387" s="167">
        <f>E387&amp;F387</f>
        <v/>
      </c>
      <c r="B387" s="156">
        <f>IF(D387&lt;&gt;"",C387,0)</f>
        <v/>
      </c>
      <c r="C387" s="156">
        <f>(M387/MAX(M:M)*$M$1)+(N387/MAX(N:N)*$N$1)+(O387/MAX(O:O)*$O$1)+(P387/MAX(P:P)*$P$1)+(Q387/MAX(Q:Q)*$Q$1)+(R387/MAX(R:R)*$R$1)</f>
        <v/>
      </c>
      <c r="D387" s="156">
        <f>IFERROR(VLOOKUP(A387,'Injury Report'!A:F,6,0),"")</f>
        <v/>
      </c>
    </row>
    <row r="388" ht="15.6" customHeight="1" s="152">
      <c r="A388" s="167">
        <f>E388&amp;F388</f>
        <v/>
      </c>
      <c r="B388" s="156">
        <f>IF(D388&lt;&gt;"",C388,0)</f>
        <v/>
      </c>
      <c r="C388" s="156">
        <f>(M388/MAX(M:M)*$M$1)+(N388/MAX(N:N)*$N$1)+(O388/MAX(O:O)*$O$1)+(P388/MAX(P:P)*$P$1)+(Q388/MAX(Q:Q)*$Q$1)+(R388/MAX(R:R)*$R$1)</f>
        <v/>
      </c>
      <c r="D388" s="156">
        <f>IFERROR(VLOOKUP(A388,'Injury Report'!A:F,6,0),"")</f>
        <v/>
      </c>
    </row>
    <row r="389" ht="15.6" customHeight="1" s="152">
      <c r="A389" s="167">
        <f>E389&amp;F389</f>
        <v/>
      </c>
      <c r="B389" s="156">
        <f>IF(D389&lt;&gt;"",C389,0)</f>
        <v/>
      </c>
      <c r="C389" s="156">
        <f>(M389/MAX(M:M)*$M$1)+(N389/MAX(N:N)*$N$1)+(O389/MAX(O:O)*$O$1)+(P389/MAX(P:P)*$P$1)+(Q389/MAX(Q:Q)*$Q$1)+(R389/MAX(R:R)*$R$1)</f>
        <v/>
      </c>
      <c r="D389" s="156">
        <f>IFERROR(VLOOKUP(A389,'Injury Report'!A:F,6,0),"")</f>
        <v/>
      </c>
    </row>
    <row r="390" ht="15.6" customHeight="1" s="152">
      <c r="A390" s="167">
        <f>E390&amp;F390</f>
        <v/>
      </c>
      <c r="B390" s="156">
        <f>IF(D390&lt;&gt;"",C390,0)</f>
        <v/>
      </c>
      <c r="C390" s="156">
        <f>(M390/MAX(M:M)*$M$1)+(N390/MAX(N:N)*$N$1)+(O390/MAX(O:O)*$O$1)+(P390/MAX(P:P)*$P$1)+(Q390/MAX(Q:Q)*$Q$1)+(R390/MAX(R:R)*$R$1)</f>
        <v/>
      </c>
      <c r="D390" s="156">
        <f>IFERROR(VLOOKUP(A390,'Injury Report'!A:F,6,0),"")</f>
        <v/>
      </c>
    </row>
    <row r="391" ht="15.6" customHeight="1" s="152">
      <c r="A391" s="167">
        <f>E391&amp;F391</f>
        <v/>
      </c>
      <c r="B391" s="156">
        <f>IF(D391&lt;&gt;"",C391,0)</f>
        <v/>
      </c>
      <c r="C391" s="156">
        <f>(M391/MAX(M:M)*$M$1)+(N391/MAX(N:N)*$N$1)+(O391/MAX(O:O)*$O$1)+(P391/MAX(P:P)*$P$1)+(Q391/MAX(Q:Q)*$Q$1)+(R391/MAX(R:R)*$R$1)</f>
        <v/>
      </c>
      <c r="D391" s="156">
        <f>IFERROR(VLOOKUP(A391,'Injury Report'!A:F,6,0),"")</f>
        <v/>
      </c>
    </row>
    <row r="392" ht="15.6" customHeight="1" s="152">
      <c r="A392" s="167">
        <f>E392&amp;F392</f>
        <v/>
      </c>
      <c r="B392" s="156">
        <f>IF(D392&lt;&gt;"",C392,0)</f>
        <v/>
      </c>
      <c r="C392" s="156">
        <f>(M392/MAX(M:M)*$M$1)+(N392/MAX(N:N)*$N$1)+(O392/MAX(O:O)*$O$1)+(P392/MAX(P:P)*$P$1)+(Q392/MAX(Q:Q)*$Q$1)+(R392/MAX(R:R)*$R$1)</f>
        <v/>
      </c>
      <c r="D392" s="156">
        <f>IFERROR(VLOOKUP(A392,'Injury Report'!A:F,6,0),"")</f>
        <v/>
      </c>
    </row>
    <row r="393" ht="15.6" customHeight="1" s="152">
      <c r="A393" s="167">
        <f>E393&amp;F393</f>
        <v/>
      </c>
      <c r="B393" s="156">
        <f>IF(D393&lt;&gt;"",C393,0)</f>
        <v/>
      </c>
      <c r="C393" s="156">
        <f>(M393/MAX(M:M)*$M$1)+(N393/MAX(N:N)*$N$1)+(O393/MAX(O:O)*$O$1)+(P393/MAX(P:P)*$P$1)+(Q393/MAX(Q:Q)*$Q$1)+(R393/MAX(R:R)*$R$1)</f>
        <v/>
      </c>
      <c r="D393" s="156">
        <f>IFERROR(VLOOKUP(A393,'Injury Report'!A:F,6,0),"")</f>
        <v/>
      </c>
    </row>
    <row r="394" ht="15.6" customHeight="1" s="152">
      <c r="A394" s="167">
        <f>E394&amp;F394</f>
        <v/>
      </c>
      <c r="B394" s="156">
        <f>IF(D394&lt;&gt;"",C394,0)</f>
        <v/>
      </c>
      <c r="C394" s="156">
        <f>(M394/MAX(M:M)*$M$1)+(N394/MAX(N:N)*$N$1)+(O394/MAX(O:O)*$O$1)+(P394/MAX(P:P)*$P$1)+(Q394/MAX(Q:Q)*$Q$1)+(R394/MAX(R:R)*$R$1)</f>
        <v/>
      </c>
      <c r="D394" s="156">
        <f>IFERROR(VLOOKUP(A394,'Injury Report'!A:F,6,0),"")</f>
        <v/>
      </c>
    </row>
    <row r="395" ht="15.6" customHeight="1" s="152">
      <c r="A395" s="167">
        <f>E395&amp;F395</f>
        <v/>
      </c>
      <c r="B395" s="156">
        <f>IF(D395&lt;&gt;"",C395,0)</f>
        <v/>
      </c>
      <c r="C395" s="156">
        <f>(M395/MAX(M:M)*$M$1)+(N395/MAX(N:N)*$N$1)+(O395/MAX(O:O)*$O$1)+(P395/MAX(P:P)*$P$1)+(Q395/MAX(Q:Q)*$Q$1)+(R395/MAX(R:R)*$R$1)</f>
        <v/>
      </c>
      <c r="D395" s="156">
        <f>IFERROR(VLOOKUP(A395,'Injury Report'!A:F,6,0),"")</f>
        <v/>
      </c>
    </row>
    <row r="396" ht="15.6" customHeight="1" s="152">
      <c r="A396" s="167">
        <f>E396&amp;F396</f>
        <v/>
      </c>
      <c r="B396" s="156">
        <f>IF(D396&lt;&gt;"",C396,0)</f>
        <v/>
      </c>
      <c r="C396" s="156">
        <f>(M396/MAX(M:M)*$M$1)+(N396/MAX(N:N)*$N$1)+(O396/MAX(O:O)*$O$1)+(P396/MAX(P:P)*$P$1)+(Q396/MAX(Q:Q)*$Q$1)+(R396/MAX(R:R)*$R$1)</f>
        <v/>
      </c>
      <c r="D396" s="156">
        <f>IFERROR(VLOOKUP(A396,'Injury Report'!A:F,6,0),"")</f>
        <v/>
      </c>
    </row>
    <row r="397" ht="15.6" customHeight="1" s="152">
      <c r="A397" s="167">
        <f>E397&amp;F397</f>
        <v/>
      </c>
      <c r="B397" s="156">
        <f>IF(D397&lt;&gt;"",C397,0)</f>
        <v/>
      </c>
      <c r="C397" s="156">
        <f>(M397/MAX(M:M)*$M$1)+(N397/MAX(N:N)*$N$1)+(O397/MAX(O:O)*$O$1)+(P397/MAX(P:P)*$P$1)+(Q397/MAX(Q:Q)*$Q$1)+(R397/MAX(R:R)*$R$1)</f>
        <v/>
      </c>
      <c r="D397" s="156">
        <f>IFERROR(VLOOKUP(A397,'Injury Report'!A:F,6,0),"")</f>
        <v/>
      </c>
    </row>
    <row r="398" ht="15.6" customHeight="1" s="152">
      <c r="A398" s="167">
        <f>E398&amp;F398</f>
        <v/>
      </c>
      <c r="B398" s="156">
        <f>IF(D398&lt;&gt;"",C398,0)</f>
        <v/>
      </c>
      <c r="C398" s="156">
        <f>(M398/MAX(M:M)*$M$1)+(N398/MAX(N:N)*$N$1)+(O398/MAX(O:O)*$O$1)+(P398/MAX(P:P)*$P$1)+(Q398/MAX(Q:Q)*$Q$1)+(R398/MAX(R:R)*$R$1)</f>
        <v/>
      </c>
      <c r="D398" s="156">
        <f>IFERROR(VLOOKUP(A398,'Injury Report'!A:F,6,0),"")</f>
        <v/>
      </c>
    </row>
    <row r="399" ht="15.6" customHeight="1" s="152">
      <c r="A399" s="167">
        <f>E399&amp;F399</f>
        <v/>
      </c>
      <c r="B399" s="156">
        <f>IF(D399&lt;&gt;"",C399,0)</f>
        <v/>
      </c>
      <c r="C399" s="156">
        <f>(M399/MAX(M:M)*$M$1)+(N399/MAX(N:N)*$N$1)+(O399/MAX(O:O)*$O$1)+(P399/MAX(P:P)*$P$1)+(Q399/MAX(Q:Q)*$Q$1)+(R399/MAX(R:R)*$R$1)</f>
        <v/>
      </c>
      <c r="D399" s="156">
        <f>IFERROR(VLOOKUP(A399,'Injury Report'!A:F,6,0),"")</f>
        <v/>
      </c>
    </row>
    <row r="400" ht="15.6" customHeight="1" s="152">
      <c r="A400" s="167">
        <f>E400&amp;F400</f>
        <v/>
      </c>
      <c r="B400" s="156">
        <f>IF(D400&lt;&gt;"",C400,0)</f>
        <v/>
      </c>
      <c r="C400" s="156">
        <f>(M400/MAX(M:M)*$M$1)+(N400/MAX(N:N)*$N$1)+(O400/MAX(O:O)*$O$1)+(P400/MAX(P:P)*$P$1)+(Q400/MAX(Q:Q)*$Q$1)+(R400/MAX(R:R)*$R$1)</f>
        <v/>
      </c>
      <c r="D400" s="156">
        <f>IFERROR(VLOOKUP(A400,'Injury Report'!A:F,6,0),"")</f>
        <v/>
      </c>
    </row>
    <row r="401" ht="15.6" customHeight="1" s="152">
      <c r="A401" s="167">
        <f>E401&amp;F401</f>
        <v/>
      </c>
      <c r="B401" s="156">
        <f>IF(D401&lt;&gt;"",C401,0)</f>
        <v/>
      </c>
      <c r="C401" s="156">
        <f>(M401/MAX(M:M)*$M$1)+(N401/MAX(N:N)*$N$1)+(O401/MAX(O:O)*$O$1)+(P401/MAX(P:P)*$P$1)+(Q401/MAX(Q:Q)*$Q$1)+(R401/MAX(R:R)*$R$1)</f>
        <v/>
      </c>
      <c r="D401" s="156">
        <f>IFERROR(VLOOKUP(A401,'Injury Report'!A:F,6,0),"")</f>
        <v/>
      </c>
    </row>
    <row r="402" ht="15.6" customHeight="1" s="152">
      <c r="A402" s="167">
        <f>E402&amp;F402</f>
        <v/>
      </c>
      <c r="B402" s="156">
        <f>IF(D402&lt;&gt;"",C402,0)</f>
        <v/>
      </c>
      <c r="C402" s="156">
        <f>(M402/MAX(M:M)*$M$1)+(N402/MAX(N:N)*$N$1)+(O402/MAX(O:O)*$O$1)+(P402/MAX(P:P)*$P$1)+(Q402/MAX(Q:Q)*$Q$1)+(R402/MAX(R:R)*$R$1)</f>
        <v/>
      </c>
      <c r="D402" s="156">
        <f>IFERROR(VLOOKUP(A402,'Injury Report'!A:F,6,0),"")</f>
        <v/>
      </c>
    </row>
    <row r="403" ht="15.6" customHeight="1" s="152">
      <c r="A403" s="167">
        <f>E403&amp;F403</f>
        <v/>
      </c>
      <c r="B403" s="156">
        <f>IF(D403&lt;&gt;"",C403,0)</f>
        <v/>
      </c>
      <c r="C403" s="156">
        <f>(M403/MAX(M:M)*$M$1)+(N403/MAX(N:N)*$N$1)+(O403/MAX(O:O)*$O$1)+(P403/MAX(P:P)*$P$1)+(Q403/MAX(Q:Q)*$Q$1)+(R403/MAX(R:R)*$R$1)</f>
        <v/>
      </c>
      <c r="D403" s="156">
        <f>IFERROR(VLOOKUP(A403,'Injury Report'!A:F,6,0),"")</f>
        <v/>
      </c>
    </row>
    <row r="404" ht="15.6" customHeight="1" s="152">
      <c r="A404" s="167">
        <f>E404&amp;F404</f>
        <v/>
      </c>
      <c r="B404" s="156">
        <f>IF(D404&lt;&gt;"",C404,0)</f>
        <v/>
      </c>
      <c r="C404" s="156">
        <f>(M404/MAX(M:M)*$M$1)+(N404/MAX(N:N)*$N$1)+(O404/MAX(O:O)*$O$1)+(P404/MAX(P:P)*$P$1)+(Q404/MAX(Q:Q)*$Q$1)+(R404/MAX(R:R)*$R$1)</f>
        <v/>
      </c>
      <c r="D404" s="156">
        <f>IFERROR(VLOOKUP(A404,'Injury Report'!A:F,6,0),"")</f>
        <v/>
      </c>
    </row>
    <row r="405" ht="15.6" customHeight="1" s="152">
      <c r="A405" s="167">
        <f>E405&amp;F405</f>
        <v/>
      </c>
      <c r="B405" s="156">
        <f>IF(D405&lt;&gt;"",C405,0)</f>
        <v/>
      </c>
      <c r="C405" s="156">
        <f>(M405/MAX(M:M)*$M$1)+(N405/MAX(N:N)*$N$1)+(O405/MAX(O:O)*$O$1)+(P405/MAX(P:P)*$P$1)+(Q405/MAX(Q:Q)*$Q$1)+(R405/MAX(R:R)*$R$1)</f>
        <v/>
      </c>
      <c r="D405" s="156">
        <f>IFERROR(VLOOKUP(A405,'Injury Report'!A:F,6,0),"")</f>
        <v/>
      </c>
    </row>
    <row r="406" ht="15.6" customHeight="1" s="152">
      <c r="A406" s="167">
        <f>E406&amp;F406</f>
        <v/>
      </c>
      <c r="B406" s="156">
        <f>IF(D406&lt;&gt;"",C406,0)</f>
        <v/>
      </c>
      <c r="C406" s="156">
        <f>(M406/MAX(M:M)*$M$1)+(N406/MAX(N:N)*$N$1)+(O406/MAX(O:O)*$O$1)+(P406/MAX(P:P)*$P$1)+(Q406/MAX(Q:Q)*$Q$1)+(R406/MAX(R:R)*$R$1)</f>
        <v/>
      </c>
      <c r="D406" s="156">
        <f>IFERROR(VLOOKUP(A406,'Injury Report'!A:F,6,0),"")</f>
        <v/>
      </c>
    </row>
    <row r="407" ht="15.6" customHeight="1" s="152">
      <c r="A407" s="167">
        <f>E407&amp;F407</f>
        <v/>
      </c>
      <c r="B407" s="156">
        <f>IF(D407&lt;&gt;"",C407,0)</f>
        <v/>
      </c>
      <c r="C407" s="156">
        <f>(M407/MAX(M:M)*$M$1)+(N407/MAX(N:N)*$N$1)+(O407/MAX(O:O)*$O$1)+(P407/MAX(P:P)*$P$1)+(Q407/MAX(Q:Q)*$Q$1)+(R407/MAX(R:R)*$R$1)</f>
        <v/>
      </c>
      <c r="D407" s="156">
        <f>IFERROR(VLOOKUP(A407,'Injury Report'!A:F,6,0),"")</f>
        <v/>
      </c>
    </row>
    <row r="408" ht="15.6" customHeight="1" s="152">
      <c r="A408" s="167">
        <f>E408&amp;F408</f>
        <v/>
      </c>
      <c r="B408" s="156">
        <f>IF(D408&lt;&gt;"",C408,0)</f>
        <v/>
      </c>
      <c r="C408" s="156">
        <f>(M408/MAX(M:M)*$M$1)+(N408/MAX(N:N)*$N$1)+(O408/MAX(O:O)*$O$1)+(P408/MAX(P:P)*$P$1)+(Q408/MAX(Q:Q)*$Q$1)+(R408/MAX(R:R)*$R$1)</f>
        <v/>
      </c>
      <c r="D408" s="156">
        <f>IFERROR(VLOOKUP(A408,'Injury Report'!A:F,6,0),"")</f>
        <v/>
      </c>
    </row>
    <row r="409" ht="15.6" customHeight="1" s="152">
      <c r="A409" s="167">
        <f>E409&amp;F409</f>
        <v/>
      </c>
      <c r="B409" s="156">
        <f>IF(D409&lt;&gt;"",C409,0)</f>
        <v/>
      </c>
      <c r="C409" s="156">
        <f>(M409/MAX(M:M)*$M$1)+(N409/MAX(N:N)*$N$1)+(O409/MAX(O:O)*$O$1)+(P409/MAX(P:P)*$P$1)+(Q409/MAX(Q:Q)*$Q$1)+(R409/MAX(R:R)*$R$1)</f>
        <v/>
      </c>
      <c r="D409" s="156">
        <f>IFERROR(VLOOKUP(A409,'Injury Report'!A:F,6,0),"")</f>
        <v/>
      </c>
    </row>
    <row r="410" ht="15.6" customHeight="1" s="152">
      <c r="A410" s="167">
        <f>E410&amp;F410</f>
        <v/>
      </c>
      <c r="B410" s="156">
        <f>IF(D410&lt;&gt;"",C410,0)</f>
        <v/>
      </c>
      <c r="C410" s="156">
        <f>(M410/MAX(M:M)*$M$1)+(N410/MAX(N:N)*$N$1)+(O410/MAX(O:O)*$O$1)+(P410/MAX(P:P)*$P$1)+(Q410/MAX(Q:Q)*$Q$1)+(R410/MAX(R:R)*$R$1)</f>
        <v/>
      </c>
      <c r="D410" s="156">
        <f>IFERROR(VLOOKUP(A410,'Injury Report'!A:F,6,0),"")</f>
        <v/>
      </c>
    </row>
    <row r="411" ht="15.6" customHeight="1" s="152">
      <c r="A411" s="167">
        <f>E411&amp;F411</f>
        <v/>
      </c>
      <c r="B411" s="156">
        <f>IF(D411&lt;&gt;"",C411,0)</f>
        <v/>
      </c>
      <c r="C411" s="156">
        <f>(M411/MAX(M:M)*$M$1)+(N411/MAX(N:N)*$N$1)+(O411/MAX(O:O)*$O$1)+(P411/MAX(P:P)*$P$1)+(Q411/MAX(Q:Q)*$Q$1)+(R411/MAX(R:R)*$R$1)</f>
        <v/>
      </c>
      <c r="D411" s="156">
        <f>IFERROR(VLOOKUP(A411,'Injury Report'!A:F,6,0),"")</f>
        <v/>
      </c>
    </row>
    <row r="412" ht="15.6" customHeight="1" s="152">
      <c r="A412" s="167">
        <f>E412&amp;F412</f>
        <v/>
      </c>
      <c r="B412" s="156">
        <f>IF(D412&lt;&gt;"",C412,0)</f>
        <v/>
      </c>
      <c r="C412" s="156">
        <f>(M412/MAX(M:M)*$M$1)+(N412/MAX(N:N)*$N$1)+(O412/MAX(O:O)*$O$1)+(P412/MAX(P:P)*$P$1)+(Q412/MAX(Q:Q)*$Q$1)+(R412/MAX(R:R)*$R$1)</f>
        <v/>
      </c>
      <c r="D412" s="156">
        <f>IFERROR(VLOOKUP(A412,'Injury Report'!A:F,6,0),"")</f>
        <v/>
      </c>
    </row>
    <row r="413" ht="15.6" customHeight="1" s="152">
      <c r="A413" s="167">
        <f>E413&amp;F413</f>
        <v/>
      </c>
      <c r="B413" s="156">
        <f>IF(D413&lt;&gt;"",C413,0)</f>
        <v/>
      </c>
      <c r="C413" s="156">
        <f>(M413/MAX(M:M)*$M$1)+(N413/MAX(N:N)*$N$1)+(O413/MAX(O:O)*$O$1)+(P413/MAX(P:P)*$P$1)+(Q413/MAX(Q:Q)*$Q$1)+(R413/MAX(R:R)*$R$1)</f>
        <v/>
      </c>
      <c r="D413" s="156">
        <f>IFERROR(VLOOKUP(A413,'Injury Report'!A:F,6,0),"")</f>
        <v/>
      </c>
    </row>
    <row r="414" ht="15.6" customHeight="1" s="152">
      <c r="A414" s="167">
        <f>E414&amp;F414</f>
        <v/>
      </c>
      <c r="B414" s="156">
        <f>IF(D414&lt;&gt;"",C414,0)</f>
        <v/>
      </c>
      <c r="C414" s="156">
        <f>(M414/MAX(M:M)*$M$1)+(N414/MAX(N:N)*$N$1)+(O414/MAX(O:O)*$O$1)+(P414/MAX(P:P)*$P$1)+(Q414/MAX(Q:Q)*$Q$1)+(R414/MAX(R:R)*$R$1)</f>
        <v/>
      </c>
      <c r="D414" s="156">
        <f>IFERROR(VLOOKUP(A414,'Injury Report'!A:F,6,0),"")</f>
        <v/>
      </c>
    </row>
    <row r="415" ht="15.6" customHeight="1" s="152">
      <c r="A415" s="167">
        <f>E415&amp;F415</f>
        <v/>
      </c>
      <c r="B415" s="156">
        <f>IF(D415&lt;&gt;"",C415,0)</f>
        <v/>
      </c>
      <c r="C415" s="156">
        <f>(M415/MAX(M:M)*$M$1)+(N415/MAX(N:N)*$N$1)+(O415/MAX(O:O)*$O$1)+(P415/MAX(P:P)*$P$1)+(Q415/MAX(Q:Q)*$Q$1)+(R415/MAX(R:R)*$R$1)</f>
        <v/>
      </c>
      <c r="D415" s="156">
        <f>IFERROR(VLOOKUP(A415,'Injury Report'!A:F,6,0),"")</f>
        <v/>
      </c>
    </row>
    <row r="416" ht="15.6" customHeight="1" s="152">
      <c r="A416" s="167">
        <f>E416&amp;F416</f>
        <v/>
      </c>
      <c r="B416" s="156">
        <f>IF(D416&lt;&gt;"",C416,0)</f>
        <v/>
      </c>
      <c r="C416" s="156">
        <f>(M416/MAX(M:M)*$M$1)+(N416/MAX(N:N)*$N$1)+(O416/MAX(O:O)*$O$1)+(P416/MAX(P:P)*$P$1)+(Q416/MAX(Q:Q)*$Q$1)+(R416/MAX(R:R)*$R$1)</f>
        <v/>
      </c>
      <c r="D416" s="156">
        <f>IFERROR(VLOOKUP(A416,'Injury Report'!A:F,6,0),"")</f>
        <v/>
      </c>
    </row>
    <row r="417" ht="15.6" customHeight="1" s="152">
      <c r="A417" s="167">
        <f>E417&amp;F417</f>
        <v/>
      </c>
      <c r="B417" s="156">
        <f>IF(D417&lt;&gt;"",C417,0)</f>
        <v/>
      </c>
      <c r="C417" s="156">
        <f>(M417/MAX(M:M)*$M$1)+(N417/MAX(N:N)*$N$1)+(O417/MAX(O:O)*$O$1)+(P417/MAX(P:P)*$P$1)+(Q417/MAX(Q:Q)*$Q$1)+(R417/MAX(R:R)*$R$1)</f>
        <v/>
      </c>
      <c r="D417" s="156">
        <f>IFERROR(VLOOKUP(A417,'Injury Report'!A:F,6,0),"")</f>
        <v/>
      </c>
    </row>
    <row r="418" ht="15.6" customHeight="1" s="152">
      <c r="A418" s="167">
        <f>E418&amp;F418</f>
        <v/>
      </c>
      <c r="B418" s="156">
        <f>IF(D418&lt;&gt;"",C418,0)</f>
        <v/>
      </c>
      <c r="C418" s="156">
        <f>(M418/MAX(M:M)*$M$1)+(N418/MAX(N:N)*$N$1)+(O418/MAX(O:O)*$O$1)+(P418/MAX(P:P)*$P$1)+(Q418/MAX(Q:Q)*$Q$1)+(R418/MAX(R:R)*$R$1)</f>
        <v/>
      </c>
      <c r="D418" s="156">
        <f>IFERROR(VLOOKUP(A418,'Injury Report'!A:F,6,0),"")</f>
        <v/>
      </c>
    </row>
    <row r="419" ht="15.6" customHeight="1" s="152">
      <c r="A419" s="167">
        <f>E419&amp;F419</f>
        <v/>
      </c>
      <c r="B419" s="156">
        <f>IF(D419&lt;&gt;"",C419,0)</f>
        <v/>
      </c>
      <c r="C419" s="156">
        <f>(M419/MAX(M:M)*$M$1)+(N419/MAX(N:N)*$N$1)+(O419/MAX(O:O)*$O$1)+(P419/MAX(P:P)*$P$1)+(Q419/MAX(Q:Q)*$Q$1)+(R419/MAX(R:R)*$R$1)</f>
        <v/>
      </c>
      <c r="D419" s="156">
        <f>IFERROR(VLOOKUP(A419,'Injury Report'!A:F,6,0),"")</f>
        <v/>
      </c>
    </row>
    <row r="420" ht="15.6" customHeight="1" s="152">
      <c r="A420" s="167">
        <f>E420&amp;F420</f>
        <v/>
      </c>
      <c r="B420" s="156">
        <f>IF(D420&lt;&gt;"",C420,0)</f>
        <v/>
      </c>
      <c r="C420" s="156">
        <f>(M420/MAX(M:M)*$M$1)+(N420/MAX(N:N)*$N$1)+(O420/MAX(O:O)*$O$1)+(P420/MAX(P:P)*$P$1)+(Q420/MAX(Q:Q)*$Q$1)+(R420/MAX(R:R)*$R$1)</f>
        <v/>
      </c>
      <c r="D420" s="156">
        <f>IFERROR(VLOOKUP(A420,'Injury Report'!A:F,6,0),"")</f>
        <v/>
      </c>
    </row>
    <row r="421" ht="15.6" customHeight="1" s="152">
      <c r="A421" s="167">
        <f>E421&amp;F421</f>
        <v/>
      </c>
      <c r="B421" s="156">
        <f>IF(D421&lt;&gt;"",C421,0)</f>
        <v/>
      </c>
      <c r="C421" s="156">
        <f>(M421/MAX(M:M)*$M$1)+(N421/MAX(N:N)*$N$1)+(O421/MAX(O:O)*$O$1)+(P421/MAX(P:P)*$P$1)+(Q421/MAX(Q:Q)*$Q$1)+(R421/MAX(R:R)*$R$1)</f>
        <v/>
      </c>
      <c r="D421" s="156">
        <f>IFERROR(VLOOKUP(A421,'Injury Report'!A:F,6,0),"")</f>
        <v/>
      </c>
    </row>
    <row r="422" ht="15.6" customHeight="1" s="152">
      <c r="A422" s="167">
        <f>E422&amp;F422</f>
        <v/>
      </c>
      <c r="B422" s="156">
        <f>IF(D422&lt;&gt;"",C422,0)</f>
        <v/>
      </c>
      <c r="C422" s="156">
        <f>(M422/MAX(M:M)*$M$1)+(N422/MAX(N:N)*$N$1)+(O422/MAX(O:O)*$O$1)+(P422/MAX(P:P)*$P$1)+(Q422/MAX(Q:Q)*$Q$1)+(R422/MAX(R:R)*$R$1)</f>
        <v/>
      </c>
      <c r="D422" s="156">
        <f>IFERROR(VLOOKUP(A422,'Injury Report'!A:F,6,0),"")</f>
        <v/>
      </c>
    </row>
    <row r="423" ht="15.6" customHeight="1" s="152">
      <c r="A423" s="167">
        <f>E423&amp;F423</f>
        <v/>
      </c>
      <c r="B423" s="156">
        <f>IF(D423&lt;&gt;"",C423,0)</f>
        <v/>
      </c>
      <c r="C423" s="156">
        <f>(M423/MAX(M:M)*$M$1)+(N423/MAX(N:N)*$N$1)+(O423/MAX(O:O)*$O$1)+(P423/MAX(P:P)*$P$1)+(Q423/MAX(Q:Q)*$Q$1)+(R423/MAX(R:R)*$R$1)</f>
        <v/>
      </c>
      <c r="D423" s="156">
        <f>IFERROR(VLOOKUP(A423,'Injury Report'!A:F,6,0),"")</f>
        <v/>
      </c>
    </row>
    <row r="424" ht="15.6" customHeight="1" s="152">
      <c r="A424" s="167">
        <f>E424&amp;F424</f>
        <v/>
      </c>
      <c r="B424" s="156">
        <f>IF(D424&lt;&gt;"",C424,0)</f>
        <v/>
      </c>
      <c r="C424" s="156">
        <f>(M424/MAX(M:M)*$M$1)+(N424/MAX(N:N)*$N$1)+(O424/MAX(O:O)*$O$1)+(P424/MAX(P:P)*$P$1)+(Q424/MAX(Q:Q)*$Q$1)+(R424/MAX(R:R)*$R$1)</f>
        <v/>
      </c>
      <c r="D424" s="156">
        <f>IFERROR(VLOOKUP(A424,'Injury Report'!A:F,6,0),"")</f>
        <v/>
      </c>
    </row>
    <row r="425" ht="15.6" customHeight="1" s="152">
      <c r="A425" s="167">
        <f>E425&amp;F425</f>
        <v/>
      </c>
      <c r="B425" s="156">
        <f>IF(D425&lt;&gt;"",C425,0)</f>
        <v/>
      </c>
      <c r="C425" s="156">
        <f>(M425/MAX(M:M)*$M$1)+(N425/MAX(N:N)*$N$1)+(O425/MAX(O:O)*$O$1)+(P425/MAX(P:P)*$P$1)+(Q425/MAX(Q:Q)*$Q$1)+(R425/MAX(R:R)*$R$1)</f>
        <v/>
      </c>
      <c r="D425" s="156">
        <f>IFERROR(VLOOKUP(A425,'Injury Report'!A:F,6,0),"")</f>
        <v/>
      </c>
    </row>
    <row r="426" ht="15.6" customHeight="1" s="152">
      <c r="A426" s="167">
        <f>E426&amp;F426</f>
        <v/>
      </c>
      <c r="B426" s="156">
        <f>IF(D426&lt;&gt;"",C426,0)</f>
        <v/>
      </c>
      <c r="C426" s="156">
        <f>(M426/MAX(M:M)*$M$1)+(N426/MAX(N:N)*$N$1)+(O426/MAX(O:O)*$O$1)+(P426/MAX(P:P)*$P$1)+(Q426/MAX(Q:Q)*$Q$1)+(R426/MAX(R:R)*$R$1)</f>
        <v/>
      </c>
      <c r="D426" s="156">
        <f>IFERROR(VLOOKUP(A426,'Injury Report'!A:F,6,0),"")</f>
        <v/>
      </c>
    </row>
    <row r="427" ht="15.6" customHeight="1" s="152">
      <c r="A427" s="167">
        <f>E427&amp;F427</f>
        <v/>
      </c>
      <c r="B427" s="156">
        <f>IF(D427&lt;&gt;"",C427,0)</f>
        <v/>
      </c>
      <c r="C427" s="156">
        <f>(M427/MAX(M:M)*$M$1)+(N427/MAX(N:N)*$N$1)+(O427/MAX(O:O)*$O$1)+(P427/MAX(P:P)*$P$1)+(Q427/MAX(Q:Q)*$Q$1)+(R427/MAX(R:R)*$R$1)</f>
        <v/>
      </c>
      <c r="D427" s="156">
        <f>IFERROR(VLOOKUP(A427,'Injury Report'!A:F,6,0),"")</f>
        <v/>
      </c>
    </row>
    <row r="428" ht="15.6" customHeight="1" s="152">
      <c r="A428" s="167">
        <f>E428&amp;F428</f>
        <v/>
      </c>
      <c r="B428" s="156">
        <f>IF(D428&lt;&gt;"",C428,0)</f>
        <v/>
      </c>
      <c r="C428" s="156">
        <f>(M428/MAX(M:M)*$M$1)+(N428/MAX(N:N)*$N$1)+(O428/MAX(O:O)*$O$1)+(P428/MAX(P:P)*$P$1)+(Q428/MAX(Q:Q)*$Q$1)+(R428/MAX(R:R)*$R$1)</f>
        <v/>
      </c>
      <c r="D428" s="156">
        <f>IFERROR(VLOOKUP(A428,'Injury Report'!A:F,6,0),"")</f>
        <v/>
      </c>
    </row>
    <row r="429" ht="15.6" customHeight="1" s="152">
      <c r="A429" s="167">
        <f>E429&amp;F429</f>
        <v/>
      </c>
      <c r="B429" s="156">
        <f>IF(D429&lt;&gt;"",C429,0)</f>
        <v/>
      </c>
      <c r="C429" s="156">
        <f>(M429/MAX(M:M)*$M$1)+(N429/MAX(N:N)*$N$1)+(O429/MAX(O:O)*$O$1)+(P429/MAX(P:P)*$P$1)+(Q429/MAX(Q:Q)*$Q$1)+(R429/MAX(R:R)*$R$1)</f>
        <v/>
      </c>
      <c r="D429" s="156">
        <f>IFERROR(VLOOKUP(A429,'Injury Report'!A:F,6,0),"")</f>
        <v/>
      </c>
    </row>
    <row r="430" ht="15.6" customHeight="1" s="152">
      <c r="A430" s="167">
        <f>E430&amp;F430</f>
        <v/>
      </c>
      <c r="B430" s="156">
        <f>IF(D430&lt;&gt;"",C430,0)</f>
        <v/>
      </c>
      <c r="C430" s="156">
        <f>(M430/MAX(M:M)*$M$1)+(N430/MAX(N:N)*$N$1)+(O430/MAX(O:O)*$O$1)+(P430/MAX(P:P)*$P$1)+(Q430/MAX(Q:Q)*$Q$1)+(R430/MAX(R:R)*$R$1)</f>
        <v/>
      </c>
      <c r="D430" s="156">
        <f>IFERROR(VLOOKUP(A430,'Injury Report'!A:F,6,0),"")</f>
        <v/>
      </c>
    </row>
    <row r="431" ht="15.6" customHeight="1" s="152">
      <c r="A431" s="167">
        <f>E431&amp;F431</f>
        <v/>
      </c>
      <c r="B431" s="156">
        <f>IF(D431&lt;&gt;"",C431,0)</f>
        <v/>
      </c>
      <c r="C431" s="156">
        <f>(M431/MAX(M:M)*$M$1)+(N431/MAX(N:N)*$N$1)+(O431/MAX(O:O)*$O$1)+(P431/MAX(P:P)*$P$1)+(Q431/MAX(Q:Q)*$Q$1)+(R431/MAX(R:R)*$R$1)</f>
        <v/>
      </c>
      <c r="D431" s="156">
        <f>IFERROR(VLOOKUP(A431,'Injury Report'!A:F,6,0),"")</f>
        <v/>
      </c>
    </row>
    <row r="432" ht="15.6" customHeight="1" s="152">
      <c r="A432" s="167">
        <f>E432&amp;F432</f>
        <v/>
      </c>
      <c r="B432" s="156">
        <f>IF(D432&lt;&gt;"",C432,0)</f>
        <v/>
      </c>
      <c r="C432" s="156">
        <f>(M432/MAX(M:M)*$M$1)+(N432/MAX(N:N)*$N$1)+(O432/MAX(O:O)*$O$1)+(P432/MAX(P:P)*$P$1)+(Q432/MAX(Q:Q)*$Q$1)+(R432/MAX(R:R)*$R$1)</f>
        <v/>
      </c>
      <c r="D432" s="156">
        <f>IFERROR(VLOOKUP(A432,'Injury Report'!A:F,6,0),"")</f>
        <v/>
      </c>
    </row>
    <row r="433" ht="15.6" customHeight="1" s="152">
      <c r="A433" s="167">
        <f>E433&amp;F433</f>
        <v/>
      </c>
      <c r="B433" s="156">
        <f>IF(D433&lt;&gt;"",C433,0)</f>
        <v/>
      </c>
      <c r="C433" s="156">
        <f>(M433/MAX(M:M)*$M$1)+(N433/MAX(N:N)*$N$1)+(O433/MAX(O:O)*$O$1)+(P433/MAX(P:P)*$P$1)+(Q433/MAX(Q:Q)*$Q$1)+(R433/MAX(R:R)*$R$1)</f>
        <v/>
      </c>
      <c r="D433" s="156">
        <f>IFERROR(VLOOKUP(A433,'Injury Report'!A:F,6,0),"")</f>
        <v/>
      </c>
    </row>
    <row r="434" ht="15.6" customHeight="1" s="152">
      <c r="A434" s="167">
        <f>E434&amp;F434</f>
        <v/>
      </c>
      <c r="B434" s="156">
        <f>IF(D434&lt;&gt;"",C434,0)</f>
        <v/>
      </c>
      <c r="C434" s="156">
        <f>(M434/MAX(M:M)*$M$1)+(N434/MAX(N:N)*$N$1)+(O434/MAX(O:O)*$O$1)+(P434/MAX(P:P)*$P$1)+(Q434/MAX(Q:Q)*$Q$1)+(R434/MAX(R:R)*$R$1)</f>
        <v/>
      </c>
      <c r="D434" s="156">
        <f>IFERROR(VLOOKUP(A434,'Injury Report'!A:F,6,0),"")</f>
        <v/>
      </c>
    </row>
    <row r="435" ht="15.6" customHeight="1" s="152">
      <c r="A435" s="167">
        <f>E435&amp;F435</f>
        <v/>
      </c>
      <c r="B435" s="156">
        <f>IF(D435&lt;&gt;"",C435,0)</f>
        <v/>
      </c>
      <c r="C435" s="156">
        <f>(M435/MAX(M:M)*$M$1)+(N435/MAX(N:N)*$N$1)+(O435/MAX(O:O)*$O$1)+(P435/MAX(P:P)*$P$1)+(Q435/MAX(Q:Q)*$Q$1)+(R435/MAX(R:R)*$R$1)</f>
        <v/>
      </c>
      <c r="D435" s="156">
        <f>IFERROR(VLOOKUP(A435,'Injury Report'!A:F,6,0),"")</f>
        <v/>
      </c>
    </row>
    <row r="436" ht="15.6" customHeight="1" s="152">
      <c r="A436" s="167">
        <f>E436&amp;F436</f>
        <v/>
      </c>
      <c r="B436" s="156">
        <f>IF(D436&lt;&gt;"",C436,0)</f>
        <v/>
      </c>
      <c r="C436" s="156">
        <f>(M436/MAX(M:M)*$M$1)+(N436/MAX(N:N)*$N$1)+(O436/MAX(O:O)*$O$1)+(P436/MAX(P:P)*$P$1)+(Q436/MAX(Q:Q)*$Q$1)+(R436/MAX(R:R)*$R$1)</f>
        <v/>
      </c>
      <c r="D436" s="156">
        <f>IFERROR(VLOOKUP(A436,'Injury Report'!A:F,6,0),"")</f>
        <v/>
      </c>
    </row>
    <row r="437" ht="15.6" customHeight="1" s="152">
      <c r="A437" s="167">
        <f>E437&amp;F437</f>
        <v/>
      </c>
      <c r="B437" s="156">
        <f>IF(D437&lt;&gt;"",C437,0)</f>
        <v/>
      </c>
      <c r="C437" s="156">
        <f>(M437/MAX(M:M)*$M$1)+(N437/MAX(N:N)*$N$1)+(O437/MAX(O:O)*$O$1)+(P437/MAX(P:P)*$P$1)+(Q437/MAX(Q:Q)*$Q$1)+(R437/MAX(R:R)*$R$1)</f>
        <v/>
      </c>
      <c r="D437" s="156">
        <f>IFERROR(VLOOKUP(A437,'Injury Report'!A:F,6,0),"")</f>
        <v/>
      </c>
    </row>
    <row r="438" ht="15.6" customHeight="1" s="152">
      <c r="A438" s="167">
        <f>E438&amp;F438</f>
        <v/>
      </c>
      <c r="B438" s="156">
        <f>IF(D438&lt;&gt;"",C438,0)</f>
        <v/>
      </c>
      <c r="C438" s="156">
        <f>(M438/MAX(M:M)*$M$1)+(N438/MAX(N:N)*$N$1)+(O438/MAX(O:O)*$O$1)+(P438/MAX(P:P)*$P$1)+(Q438/MAX(Q:Q)*$Q$1)+(R438/MAX(R:R)*$R$1)</f>
        <v/>
      </c>
      <c r="D438" s="156">
        <f>IFERROR(VLOOKUP(A438,'Injury Report'!A:F,6,0),"")</f>
        <v/>
      </c>
    </row>
    <row r="439" ht="15.6" customHeight="1" s="152">
      <c r="A439" s="167">
        <f>E439&amp;F439</f>
        <v/>
      </c>
      <c r="B439" s="156">
        <f>IF(D439&lt;&gt;"",C439,0)</f>
        <v/>
      </c>
      <c r="C439" s="156">
        <f>(M439/MAX(M:M)*$M$1)+(N439/MAX(N:N)*$N$1)+(O439/MAX(O:O)*$O$1)+(P439/MAX(P:P)*$P$1)+(Q439/MAX(Q:Q)*$Q$1)+(R439/MAX(R:R)*$R$1)</f>
        <v/>
      </c>
      <c r="D439" s="156">
        <f>IFERROR(VLOOKUP(A439,'Injury Report'!A:F,6,0),"")</f>
        <v/>
      </c>
    </row>
    <row r="440" ht="15.6" customHeight="1" s="152">
      <c r="A440" s="167">
        <f>E440&amp;F440</f>
        <v/>
      </c>
      <c r="B440" s="156">
        <f>IF(D440&lt;&gt;"",C440,0)</f>
        <v/>
      </c>
      <c r="C440" s="156">
        <f>(M440/MAX(M:M)*$M$1)+(N440/MAX(N:N)*$N$1)+(O440/MAX(O:O)*$O$1)+(P440/MAX(P:P)*$P$1)+(Q440/MAX(Q:Q)*$Q$1)+(R440/MAX(R:R)*$R$1)</f>
        <v/>
      </c>
      <c r="D440" s="156">
        <f>IFERROR(VLOOKUP(A440,'Injury Report'!A:F,6,0),"")</f>
        <v/>
      </c>
    </row>
    <row r="441" ht="15.6" customHeight="1" s="152">
      <c r="A441" s="167">
        <f>E441&amp;F441</f>
        <v/>
      </c>
      <c r="B441" s="156">
        <f>IF(D441&lt;&gt;"",C441,0)</f>
        <v/>
      </c>
      <c r="C441" s="156">
        <f>(M441/MAX(M:M)*$M$1)+(N441/MAX(N:N)*$N$1)+(O441/MAX(O:O)*$O$1)+(P441/MAX(P:P)*$P$1)+(Q441/MAX(Q:Q)*$Q$1)+(R441/MAX(R:R)*$R$1)</f>
        <v/>
      </c>
      <c r="D441" s="156">
        <f>IFERROR(VLOOKUP(A441,'Injury Report'!A:F,6,0),"")</f>
        <v/>
      </c>
    </row>
    <row r="442" ht="15.6" customHeight="1" s="152">
      <c r="A442" s="167">
        <f>E442&amp;F442</f>
        <v/>
      </c>
      <c r="B442" s="156">
        <f>IF(D442&lt;&gt;"",C442,0)</f>
        <v/>
      </c>
      <c r="C442" s="156">
        <f>(M442/MAX(M:M)*$M$1)+(N442/MAX(N:N)*$N$1)+(O442/MAX(O:O)*$O$1)+(P442/MAX(P:P)*$P$1)+(Q442/MAX(Q:Q)*$Q$1)+(R442/MAX(R:R)*$R$1)</f>
        <v/>
      </c>
      <c r="D442" s="156">
        <f>IFERROR(VLOOKUP(A442,'Injury Report'!A:F,6,0),"")</f>
        <v/>
      </c>
    </row>
    <row r="443" ht="15.6" customHeight="1" s="152">
      <c r="A443" s="167">
        <f>E443&amp;F443</f>
        <v/>
      </c>
      <c r="B443" s="156">
        <f>IF(D443&lt;&gt;"",C443,0)</f>
        <v/>
      </c>
      <c r="C443" s="156">
        <f>(M443/MAX(M:M)*$M$1)+(N443/MAX(N:N)*$N$1)+(O443/MAX(O:O)*$O$1)+(P443/MAX(P:P)*$P$1)+(Q443/MAX(Q:Q)*$Q$1)+(R443/MAX(R:R)*$R$1)</f>
        <v/>
      </c>
      <c r="D443" s="156">
        <f>IFERROR(VLOOKUP(A443,'Injury Report'!A:F,6,0),"")</f>
        <v/>
      </c>
    </row>
    <row r="444" ht="15.6" customHeight="1" s="152">
      <c r="A444" s="167">
        <f>E444&amp;F444</f>
        <v/>
      </c>
      <c r="B444" s="156">
        <f>IF(D444&lt;&gt;"",C444,0)</f>
        <v/>
      </c>
      <c r="C444" s="156">
        <f>(M444/MAX(M:M)*$M$1)+(N444/MAX(N:N)*$N$1)+(O444/MAX(O:O)*$O$1)+(P444/MAX(P:P)*$P$1)+(Q444/MAX(Q:Q)*$Q$1)+(R444/MAX(R:R)*$R$1)</f>
        <v/>
      </c>
      <c r="D444" s="156">
        <f>IFERROR(VLOOKUP(A444,'Injury Report'!A:F,6,0),"")</f>
        <v/>
      </c>
    </row>
    <row r="445" ht="15.6" customHeight="1" s="152">
      <c r="A445" s="167">
        <f>E445&amp;F445</f>
        <v/>
      </c>
      <c r="B445" s="156">
        <f>IF(D445&lt;&gt;"",C445,0)</f>
        <v/>
      </c>
      <c r="C445" s="156">
        <f>(M445/MAX(M:M)*$M$1)+(N445/MAX(N:N)*$N$1)+(O445/MAX(O:O)*$O$1)+(P445/MAX(P:P)*$P$1)+(Q445/MAX(Q:Q)*$Q$1)+(R445/MAX(R:R)*$R$1)</f>
        <v/>
      </c>
      <c r="D445" s="156">
        <f>IFERROR(VLOOKUP(A445,'Injury Report'!A:F,6,0),"")</f>
        <v/>
      </c>
    </row>
    <row r="446" ht="15.6" customHeight="1" s="152">
      <c r="A446" s="167">
        <f>E446&amp;F446</f>
        <v/>
      </c>
      <c r="B446" s="156">
        <f>IF(D446&lt;&gt;"",C446,0)</f>
        <v/>
      </c>
      <c r="C446" s="156">
        <f>(M446/MAX(M:M)*$M$1)+(N446/MAX(N:N)*$N$1)+(O446/MAX(O:O)*$O$1)+(P446/MAX(P:P)*$P$1)+(Q446/MAX(Q:Q)*$Q$1)+(R446/MAX(R:R)*$R$1)</f>
        <v/>
      </c>
      <c r="D446" s="156">
        <f>IFERROR(VLOOKUP(A446,'Injury Report'!A:F,6,0),"")</f>
        <v/>
      </c>
    </row>
    <row r="447" ht="15.6" customHeight="1" s="152">
      <c r="A447" s="167">
        <f>E447&amp;F447</f>
        <v/>
      </c>
      <c r="B447" s="156">
        <f>IF(D447&lt;&gt;"",C447,0)</f>
        <v/>
      </c>
      <c r="C447" s="156">
        <f>(M447/MAX(M:M)*$M$1)+(N447/MAX(N:N)*$N$1)+(O447/MAX(O:O)*$O$1)+(P447/MAX(P:P)*$P$1)+(Q447/MAX(Q:Q)*$Q$1)+(R447/MAX(R:R)*$R$1)</f>
        <v/>
      </c>
      <c r="D447" s="156">
        <f>IFERROR(VLOOKUP(A447,'Injury Report'!A:F,6,0),"")</f>
        <v/>
      </c>
    </row>
    <row r="448" ht="15.6" customHeight="1" s="152">
      <c r="A448" s="167">
        <f>E448&amp;F448</f>
        <v/>
      </c>
      <c r="B448" s="156">
        <f>IF(D448&lt;&gt;"",C448,0)</f>
        <v/>
      </c>
      <c r="C448" s="156">
        <f>(M448/MAX(M:M)*$M$1)+(N448/MAX(N:N)*$N$1)+(O448/MAX(O:O)*$O$1)+(P448/MAX(P:P)*$P$1)+(Q448/MAX(Q:Q)*$Q$1)+(R448/MAX(R:R)*$R$1)</f>
        <v/>
      </c>
      <c r="D448" s="156">
        <f>IFERROR(VLOOKUP(A448,'Injury Report'!A:F,6,0),"")</f>
        <v/>
      </c>
    </row>
    <row r="449" ht="15.6" customHeight="1" s="152">
      <c r="A449" s="167">
        <f>E449&amp;F449</f>
        <v/>
      </c>
      <c r="B449" s="156">
        <f>IF(D449&lt;&gt;"",C449,0)</f>
        <v/>
      </c>
      <c r="C449" s="156">
        <f>(M449/MAX(M:M)*$M$1)+(N449/MAX(N:N)*$N$1)+(O449/MAX(O:O)*$O$1)+(P449/MAX(P:P)*$P$1)+(Q449/MAX(Q:Q)*$Q$1)+(R449/MAX(R:R)*$R$1)</f>
        <v/>
      </c>
      <c r="D449" s="156">
        <f>IFERROR(VLOOKUP(A449,'Injury Report'!A:F,6,0),"")</f>
        <v/>
      </c>
    </row>
    <row r="450" ht="15.6" customHeight="1" s="152">
      <c r="A450" s="167">
        <f>E450&amp;F450</f>
        <v/>
      </c>
      <c r="B450" s="156">
        <f>IF(D450&lt;&gt;"",C450,0)</f>
        <v/>
      </c>
      <c r="C450" s="156">
        <f>(M450/MAX(M:M)*$M$1)+(N450/MAX(N:N)*$N$1)+(O450/MAX(O:O)*$O$1)+(P450/MAX(P:P)*$P$1)+(Q450/MAX(Q:Q)*$Q$1)+(R450/MAX(R:R)*$R$1)</f>
        <v/>
      </c>
      <c r="D450" s="156">
        <f>IFERROR(VLOOKUP(A450,'Injury Report'!A:F,6,0),"")</f>
        <v/>
      </c>
    </row>
    <row r="451" ht="15.6" customHeight="1" s="152">
      <c r="A451" s="167">
        <f>E451&amp;F451</f>
        <v/>
      </c>
      <c r="B451" s="156">
        <f>IF(D451&lt;&gt;"",C451,0)</f>
        <v/>
      </c>
      <c r="C451" s="156">
        <f>(M451/MAX(M:M)*$M$1)+(N451/MAX(N:N)*$N$1)+(O451/MAX(O:O)*$O$1)+(P451/MAX(P:P)*$P$1)+(Q451/MAX(Q:Q)*$Q$1)+(R451/MAX(R:R)*$R$1)</f>
        <v/>
      </c>
      <c r="D451" s="156">
        <f>IFERROR(VLOOKUP(A451,'Injury Report'!A:F,6,0),"")</f>
        <v/>
      </c>
    </row>
    <row r="452" ht="15.6" customHeight="1" s="152">
      <c r="A452" s="167">
        <f>E452&amp;F452</f>
        <v/>
      </c>
      <c r="B452" s="156">
        <f>IF(D452&lt;&gt;"",C452,0)</f>
        <v/>
      </c>
      <c r="C452" s="156">
        <f>(M452/MAX(M:M)*$M$1)+(N452/MAX(N:N)*$N$1)+(O452/MAX(O:O)*$O$1)+(P452/MAX(P:P)*$P$1)+(Q452/MAX(Q:Q)*$Q$1)+(R452/MAX(R:R)*$R$1)</f>
        <v/>
      </c>
      <c r="D452" s="156">
        <f>IFERROR(VLOOKUP(A452,'Injury Report'!A:F,6,0),"")</f>
        <v/>
      </c>
    </row>
    <row r="453" ht="15.6" customHeight="1" s="152">
      <c r="A453" s="167">
        <f>E453&amp;F453</f>
        <v/>
      </c>
      <c r="B453" s="156">
        <f>IF(D453&lt;&gt;"",C453,0)</f>
        <v/>
      </c>
      <c r="C453" s="156">
        <f>(M453/MAX(M:M)*$M$1)+(N453/MAX(N:N)*$N$1)+(O453/MAX(O:O)*$O$1)+(P453/MAX(P:P)*$P$1)+(Q453/MAX(Q:Q)*$Q$1)+(R453/MAX(R:R)*$R$1)</f>
        <v/>
      </c>
      <c r="D453" s="156">
        <f>IFERROR(VLOOKUP(A453,'Injury Report'!A:F,6,0),"")</f>
        <v/>
      </c>
    </row>
    <row r="454" ht="15.6" customHeight="1" s="152">
      <c r="A454" s="167">
        <f>E454&amp;F454</f>
        <v/>
      </c>
      <c r="B454" s="156">
        <f>IF(D454&lt;&gt;"",C454,0)</f>
        <v/>
      </c>
      <c r="C454" s="156">
        <f>(M454/MAX(M:M)*$M$1)+(N454/MAX(N:N)*$N$1)+(O454/MAX(O:O)*$O$1)+(P454/MAX(P:P)*$P$1)+(Q454/MAX(Q:Q)*$Q$1)+(R454/MAX(R:R)*$R$1)</f>
        <v/>
      </c>
      <c r="D454" s="156">
        <f>IFERROR(VLOOKUP(A454,'Injury Report'!A:F,6,0),"")</f>
        <v/>
      </c>
    </row>
    <row r="455" ht="15.6" customHeight="1" s="152">
      <c r="A455" s="167">
        <f>E455&amp;F455</f>
        <v/>
      </c>
      <c r="B455" s="156">
        <f>IF(D455&lt;&gt;"",C455,0)</f>
        <v/>
      </c>
      <c r="C455" s="156">
        <f>(M455/MAX(M:M)*$M$1)+(N455/MAX(N:N)*$N$1)+(O455/MAX(O:O)*$O$1)+(P455/MAX(P:P)*$P$1)+(Q455/MAX(Q:Q)*$Q$1)+(R455/MAX(R:R)*$R$1)</f>
        <v/>
      </c>
      <c r="D455" s="156">
        <f>IFERROR(VLOOKUP(A455,'Injury Report'!A:F,6,0),"")</f>
        <v/>
      </c>
    </row>
    <row r="456" ht="15.6" customHeight="1" s="152">
      <c r="A456" s="167">
        <f>E456&amp;F456</f>
        <v/>
      </c>
      <c r="B456" s="156">
        <f>IF(D456&lt;&gt;"",C456,0)</f>
        <v/>
      </c>
      <c r="C456" s="156">
        <f>(M456/MAX(M:M)*$M$1)+(N456/MAX(N:N)*$N$1)+(O456/MAX(O:O)*$O$1)+(P456/MAX(P:P)*$P$1)+(Q456/MAX(Q:Q)*$Q$1)+(R456/MAX(R:R)*$R$1)</f>
        <v/>
      </c>
      <c r="D456" s="156">
        <f>IFERROR(VLOOKUP(A456,'Injury Report'!A:F,6,0),"")</f>
        <v/>
      </c>
    </row>
    <row r="457" ht="15.6" customHeight="1" s="152">
      <c r="A457" s="167">
        <f>E457&amp;F457</f>
        <v/>
      </c>
      <c r="B457" s="156">
        <f>IF(D457&lt;&gt;"",C457,0)</f>
        <v/>
      </c>
      <c r="C457" s="156">
        <f>(M457/MAX(M:M)*$M$1)+(N457/MAX(N:N)*$N$1)+(O457/MAX(O:O)*$O$1)+(P457/MAX(P:P)*$P$1)+(Q457/MAX(Q:Q)*$Q$1)+(R457/MAX(R:R)*$R$1)</f>
        <v/>
      </c>
      <c r="D457" s="156">
        <f>IFERROR(VLOOKUP(A457,'Injury Report'!A:F,6,0),"")</f>
        <v/>
      </c>
    </row>
    <row r="458" ht="15.6" customHeight="1" s="152">
      <c r="A458" s="167">
        <f>E458&amp;F458</f>
        <v/>
      </c>
      <c r="B458" s="156">
        <f>IF(D458&lt;&gt;"",C458,0)</f>
        <v/>
      </c>
      <c r="C458" s="156">
        <f>(M458/MAX(M:M)*$M$1)+(N458/MAX(N:N)*$N$1)+(O458/MAX(O:O)*$O$1)+(P458/MAX(P:P)*$P$1)+(Q458/MAX(Q:Q)*$Q$1)+(R458/MAX(R:R)*$R$1)</f>
        <v/>
      </c>
      <c r="D458" s="156">
        <f>IFERROR(VLOOKUP(A458,'Injury Report'!A:F,6,0),"")</f>
        <v/>
      </c>
    </row>
    <row r="459" ht="15.6" customHeight="1" s="152">
      <c r="A459" s="167">
        <f>E459&amp;F459</f>
        <v/>
      </c>
      <c r="B459" s="156">
        <f>IF(D459&lt;&gt;"",C459,0)</f>
        <v/>
      </c>
      <c r="C459" s="156">
        <f>(M459/MAX(M:M)*$M$1)+(N459/MAX(N:N)*$N$1)+(O459/MAX(O:O)*$O$1)+(P459/MAX(P:P)*$P$1)+(Q459/MAX(Q:Q)*$Q$1)+(R459/MAX(R:R)*$R$1)</f>
        <v/>
      </c>
      <c r="D459" s="156">
        <f>IFERROR(VLOOKUP(A459,'Injury Report'!A:F,6,0),"")</f>
        <v/>
      </c>
    </row>
    <row r="460" ht="15.6" customHeight="1" s="152">
      <c r="A460" s="167">
        <f>E460&amp;F460</f>
        <v/>
      </c>
      <c r="B460" s="156">
        <f>IF(D460&lt;&gt;"",C460,0)</f>
        <v/>
      </c>
      <c r="C460" s="156">
        <f>(M460/MAX(M:M)*$M$1)+(N460/MAX(N:N)*$N$1)+(O460/MAX(O:O)*$O$1)+(P460/MAX(P:P)*$P$1)+(Q460/MAX(Q:Q)*$Q$1)+(R460/MAX(R:R)*$R$1)</f>
        <v/>
      </c>
      <c r="D460" s="156">
        <f>IFERROR(VLOOKUP(A460,'Injury Report'!A:F,6,0),"")</f>
        <v/>
      </c>
    </row>
    <row r="461" ht="15.6" customHeight="1" s="152">
      <c r="A461" s="167">
        <f>E461&amp;F461</f>
        <v/>
      </c>
      <c r="B461" s="156">
        <f>IF(D461&lt;&gt;"",C461,0)</f>
        <v/>
      </c>
      <c r="C461" s="156">
        <f>(M461/MAX(M:M)*$M$1)+(N461/MAX(N:N)*$N$1)+(O461/MAX(O:O)*$O$1)+(P461/MAX(P:P)*$P$1)+(Q461/MAX(Q:Q)*$Q$1)+(R461/MAX(R:R)*$R$1)</f>
        <v/>
      </c>
      <c r="D461" s="156">
        <f>IFERROR(VLOOKUP(A461,'Injury Report'!A:F,6,0),"")</f>
        <v/>
      </c>
    </row>
    <row r="462" ht="15.6" customHeight="1" s="152">
      <c r="A462" s="167">
        <f>E462&amp;F462</f>
        <v/>
      </c>
      <c r="B462" s="156">
        <f>IF(D462&lt;&gt;"",C462,0)</f>
        <v/>
      </c>
      <c r="C462" s="156">
        <f>(M462/MAX(M:M)*$M$1)+(N462/MAX(N:N)*$N$1)+(O462/MAX(O:O)*$O$1)+(P462/MAX(P:P)*$P$1)+(Q462/MAX(Q:Q)*$Q$1)+(R462/MAX(R:R)*$R$1)</f>
        <v/>
      </c>
      <c r="D462" s="156">
        <f>IFERROR(VLOOKUP(A462,'Injury Report'!A:F,6,0),"")</f>
        <v/>
      </c>
    </row>
    <row r="463" ht="15.6" customHeight="1" s="152">
      <c r="A463" s="167">
        <f>E463&amp;F463</f>
        <v/>
      </c>
      <c r="B463" s="156">
        <f>IF(D463&lt;&gt;"",C463,0)</f>
        <v/>
      </c>
      <c r="C463" s="156">
        <f>(M463/MAX(M:M)*$M$1)+(N463/MAX(N:N)*$N$1)+(O463/MAX(O:O)*$O$1)+(P463/MAX(P:P)*$P$1)+(Q463/MAX(Q:Q)*$Q$1)+(R463/MAX(R:R)*$R$1)</f>
        <v/>
      </c>
      <c r="D463" s="156">
        <f>IFERROR(VLOOKUP(A463,'Injury Report'!A:F,6,0),"")</f>
        <v/>
      </c>
    </row>
    <row r="464" ht="15.6" customHeight="1" s="152">
      <c r="A464" s="167">
        <f>E464&amp;F464</f>
        <v/>
      </c>
      <c r="B464" s="156">
        <f>IF(D464&lt;&gt;"",C464,0)</f>
        <v/>
      </c>
      <c r="C464" s="156">
        <f>(M464/MAX(M:M)*$M$1)+(N464/MAX(N:N)*$N$1)+(O464/MAX(O:O)*$O$1)+(P464/MAX(P:P)*$P$1)+(Q464/MAX(Q:Q)*$Q$1)+(R464/MAX(R:R)*$R$1)</f>
        <v/>
      </c>
      <c r="D464" s="156">
        <f>IFERROR(VLOOKUP(A464,'Injury Report'!A:F,6,0),"")</f>
        <v/>
      </c>
    </row>
    <row r="465" ht="15.6" customHeight="1" s="152">
      <c r="A465" s="167">
        <f>E465&amp;F465</f>
        <v/>
      </c>
      <c r="B465" s="156">
        <f>IF(D465&lt;&gt;"",C465,0)</f>
        <v/>
      </c>
      <c r="C465" s="156">
        <f>(M465/MAX(M:M)*$M$1)+(N465/MAX(N:N)*$N$1)+(O465/MAX(O:O)*$O$1)+(P465/MAX(P:P)*$P$1)+(Q465/MAX(Q:Q)*$Q$1)+(R465/MAX(R:R)*$R$1)</f>
        <v/>
      </c>
      <c r="D465" s="156">
        <f>IFERROR(VLOOKUP(A465,'Injury Report'!A:F,6,0),"")</f>
        <v/>
      </c>
    </row>
    <row r="466" ht="15.6" customHeight="1" s="152">
      <c r="A466" s="167">
        <f>E466&amp;F466</f>
        <v/>
      </c>
      <c r="B466" s="156">
        <f>IF(D466&lt;&gt;"",C466,0)</f>
        <v/>
      </c>
      <c r="C466" s="156">
        <f>(M466/MAX(M:M)*$M$1)+(N466/MAX(N:N)*$N$1)+(O466/MAX(O:O)*$O$1)+(P466/MAX(P:P)*$P$1)+(Q466/MAX(Q:Q)*$Q$1)+(R466/MAX(R:R)*$R$1)</f>
        <v/>
      </c>
      <c r="D466" s="156">
        <f>IFERROR(VLOOKUP(A466,'Injury Report'!A:F,6,0),"")</f>
        <v/>
      </c>
    </row>
    <row r="467" ht="15.6" customHeight="1" s="152">
      <c r="A467" s="167">
        <f>E467&amp;F467</f>
        <v/>
      </c>
      <c r="B467" s="156">
        <f>IF(D467&lt;&gt;"",C467,0)</f>
        <v/>
      </c>
      <c r="C467" s="156">
        <f>(M467/MAX(M:M)*$M$1)+(N467/MAX(N:N)*$N$1)+(O467/MAX(O:O)*$O$1)+(P467/MAX(P:P)*$P$1)+(Q467/MAX(Q:Q)*$Q$1)+(R467/MAX(R:R)*$R$1)</f>
        <v/>
      </c>
      <c r="D467" s="156">
        <f>IFERROR(VLOOKUP(A467,'Injury Report'!A:F,6,0),"")</f>
        <v/>
      </c>
    </row>
    <row r="468" ht="15.6" customHeight="1" s="152">
      <c r="A468" s="167">
        <f>E468&amp;F468</f>
        <v/>
      </c>
      <c r="B468" s="156">
        <f>IF(D468&lt;&gt;"",C468,0)</f>
        <v/>
      </c>
      <c r="C468" s="156">
        <f>(M468/MAX(M:M)*$M$1)+(N468/MAX(N:N)*$N$1)+(O468/MAX(O:O)*$O$1)+(P468/MAX(P:P)*$P$1)+(Q468/MAX(Q:Q)*$Q$1)+(R468/MAX(R:R)*$R$1)</f>
        <v/>
      </c>
      <c r="D468" s="156">
        <f>IFERROR(VLOOKUP(A468,'Injury Report'!A:F,6,0),"")</f>
        <v/>
      </c>
    </row>
    <row r="469" ht="15.6" customHeight="1" s="152">
      <c r="A469" s="167">
        <f>E469&amp;F469</f>
        <v/>
      </c>
      <c r="B469" s="156">
        <f>IF(D469&lt;&gt;"",C469,0)</f>
        <v/>
      </c>
      <c r="C469" s="156">
        <f>(M469/MAX(M:M)*$M$1)+(N469/MAX(N:N)*$N$1)+(O469/MAX(O:O)*$O$1)+(P469/MAX(P:P)*$P$1)+(Q469/MAX(Q:Q)*$Q$1)+(R469/MAX(R:R)*$R$1)</f>
        <v/>
      </c>
      <c r="D469" s="156">
        <f>IFERROR(VLOOKUP(A469,'Injury Report'!A:F,6,0),"")</f>
        <v/>
      </c>
    </row>
    <row r="470" ht="15.6" customHeight="1" s="152">
      <c r="A470" s="167">
        <f>E470&amp;F470</f>
        <v/>
      </c>
      <c r="B470" s="156">
        <f>IF(D470&lt;&gt;"",C470,0)</f>
        <v/>
      </c>
      <c r="C470" s="156">
        <f>(M470/MAX(M:M)*$M$1)+(N470/MAX(N:N)*$N$1)+(O470/MAX(O:O)*$O$1)+(P470/MAX(P:P)*$P$1)+(Q470/MAX(Q:Q)*$Q$1)+(R470/MAX(R:R)*$R$1)</f>
        <v/>
      </c>
      <c r="D470" s="156">
        <f>IFERROR(VLOOKUP(A470,'Injury Report'!A:F,6,0),"")</f>
        <v/>
      </c>
    </row>
    <row r="471" ht="15.6" customHeight="1" s="152">
      <c r="A471" s="167">
        <f>E471&amp;F471</f>
        <v/>
      </c>
      <c r="B471" s="156">
        <f>IF(D471&lt;&gt;"",C471,0)</f>
        <v/>
      </c>
      <c r="C471" s="156">
        <f>(M471/MAX(M:M)*$M$1)+(N471/MAX(N:N)*$N$1)+(O471/MAX(O:O)*$O$1)+(P471/MAX(P:P)*$P$1)+(Q471/MAX(Q:Q)*$Q$1)+(R471/MAX(R:R)*$R$1)</f>
        <v/>
      </c>
      <c r="D471" s="156">
        <f>IFERROR(VLOOKUP(A471,'Injury Report'!A:F,6,0),"")</f>
        <v/>
      </c>
    </row>
    <row r="472" ht="15.6" customHeight="1" s="152">
      <c r="A472" s="167">
        <f>E472&amp;F472</f>
        <v/>
      </c>
      <c r="B472" s="156">
        <f>IF(D472&lt;&gt;"",C472,0)</f>
        <v/>
      </c>
      <c r="C472" s="156">
        <f>(M472/MAX(M:M)*$M$1)+(N472/MAX(N:N)*$N$1)+(O472/MAX(O:O)*$O$1)+(P472/MAX(P:P)*$P$1)+(Q472/MAX(Q:Q)*$Q$1)+(R472/MAX(R:R)*$R$1)</f>
        <v/>
      </c>
      <c r="D472" s="156">
        <f>IFERROR(VLOOKUP(A472,'Injury Report'!A:F,6,0),"")</f>
        <v/>
      </c>
    </row>
    <row r="473" ht="15.6" customHeight="1" s="152">
      <c r="A473" s="167">
        <f>E473&amp;F473</f>
        <v/>
      </c>
      <c r="B473" s="156">
        <f>IF(D473&lt;&gt;"",C473,0)</f>
        <v/>
      </c>
      <c r="C473" s="156">
        <f>(M473/MAX(M:M)*$M$1)+(N473/MAX(N:N)*$N$1)+(O473/MAX(O:O)*$O$1)+(P473/MAX(P:P)*$P$1)+(Q473/MAX(Q:Q)*$Q$1)+(R473/MAX(R:R)*$R$1)</f>
        <v/>
      </c>
      <c r="D473" s="156">
        <f>IFERROR(VLOOKUP(A473,'Injury Report'!A:F,6,0),"")</f>
        <v/>
      </c>
    </row>
    <row r="474" ht="15.6" customHeight="1" s="152">
      <c r="A474" s="167">
        <f>E474&amp;F474</f>
        <v/>
      </c>
      <c r="B474" s="156">
        <f>IF(D474&lt;&gt;"",C474,0)</f>
        <v/>
      </c>
      <c r="C474" s="156">
        <f>(M474/MAX(M:M)*$M$1)+(N474/MAX(N:N)*$N$1)+(O474/MAX(O:O)*$O$1)+(P474/MAX(P:P)*$P$1)+(Q474/MAX(Q:Q)*$Q$1)+(R474/MAX(R:R)*$R$1)</f>
        <v/>
      </c>
      <c r="D474" s="156">
        <f>IFERROR(VLOOKUP(A474,'Injury Report'!A:F,6,0),"")</f>
        <v/>
      </c>
    </row>
    <row r="475" ht="15.6" customHeight="1" s="152">
      <c r="A475" s="167">
        <f>E475&amp;F475</f>
        <v/>
      </c>
      <c r="B475" s="156">
        <f>IF(D475&lt;&gt;"",C475,0)</f>
        <v/>
      </c>
      <c r="C475" s="156">
        <f>(M475/MAX(M:M)*$M$1)+(N475/MAX(N:N)*$N$1)+(O475/MAX(O:O)*$O$1)+(P475/MAX(P:P)*$P$1)+(Q475/MAX(Q:Q)*$Q$1)+(R475/MAX(R:R)*$R$1)</f>
        <v/>
      </c>
      <c r="D475" s="156">
        <f>IFERROR(VLOOKUP(A475,'Injury Report'!A:F,6,0),"")</f>
        <v/>
      </c>
    </row>
    <row r="476" ht="15.6" customHeight="1" s="152">
      <c r="A476" s="167">
        <f>E476&amp;F476</f>
        <v/>
      </c>
      <c r="B476" s="156">
        <f>IF(D476&lt;&gt;"",C476,0)</f>
        <v/>
      </c>
      <c r="C476" s="156">
        <f>(M476/MAX(M:M)*$M$1)+(N476/MAX(N:N)*$N$1)+(O476/MAX(O:O)*$O$1)+(P476/MAX(P:P)*$P$1)+(Q476/MAX(Q:Q)*$Q$1)+(R476/MAX(R:R)*$R$1)</f>
        <v/>
      </c>
      <c r="D476" s="156">
        <f>IFERROR(VLOOKUP(A476,'Injury Report'!A:F,6,0),"")</f>
        <v/>
      </c>
    </row>
    <row r="477" ht="15.6" customHeight="1" s="152">
      <c r="A477" s="167">
        <f>E477&amp;F477</f>
        <v/>
      </c>
      <c r="B477" s="156">
        <f>IF(D477&lt;&gt;"",C477,0)</f>
        <v/>
      </c>
      <c r="C477" s="156">
        <f>(M477/MAX(M:M)*$M$1)+(N477/MAX(N:N)*$N$1)+(O477/MAX(O:O)*$O$1)+(P477/MAX(P:P)*$P$1)+(Q477/MAX(Q:Q)*$Q$1)+(R477/MAX(R:R)*$R$1)</f>
        <v/>
      </c>
      <c r="D477" s="156">
        <f>IFERROR(VLOOKUP(A477,'Injury Report'!A:F,6,0),"")</f>
        <v/>
      </c>
    </row>
    <row r="478" ht="15.6" customHeight="1" s="152">
      <c r="A478" s="167">
        <f>E478&amp;F478</f>
        <v/>
      </c>
      <c r="B478" s="156">
        <f>IF(D478&lt;&gt;"",C478,0)</f>
        <v/>
      </c>
      <c r="C478" s="156">
        <f>(M478/MAX(M:M)*$M$1)+(N478/MAX(N:N)*$N$1)+(O478/MAX(O:O)*$O$1)+(P478/MAX(P:P)*$P$1)+(Q478/MAX(Q:Q)*$Q$1)+(R478/MAX(R:R)*$R$1)</f>
        <v/>
      </c>
      <c r="D478" s="156">
        <f>IFERROR(VLOOKUP(A478,'Injury Report'!A:F,6,0),"")</f>
        <v/>
      </c>
    </row>
    <row r="479" ht="15.6" customHeight="1" s="152">
      <c r="A479" s="167">
        <f>E479&amp;F479</f>
        <v/>
      </c>
      <c r="B479" s="156">
        <f>IF(D479&lt;&gt;"",C479,0)</f>
        <v/>
      </c>
      <c r="C479" s="156">
        <f>(M479/MAX(M:M)*$M$1)+(N479/MAX(N:N)*$N$1)+(O479/MAX(O:O)*$O$1)+(P479/MAX(P:P)*$P$1)+(Q479/MAX(Q:Q)*$Q$1)+(R479/MAX(R:R)*$R$1)</f>
        <v/>
      </c>
      <c r="D479" s="156">
        <f>IFERROR(VLOOKUP(A479,'Injury Report'!A:F,6,0),"")</f>
        <v/>
      </c>
    </row>
    <row r="480" ht="15.6" customHeight="1" s="152">
      <c r="A480" s="167">
        <f>E480&amp;F480</f>
        <v/>
      </c>
      <c r="B480" s="156">
        <f>IF(D480&lt;&gt;"",C480,0)</f>
        <v/>
      </c>
      <c r="C480" s="156">
        <f>(M480/MAX(M:M)*$M$1)+(N480/MAX(N:N)*$N$1)+(O480/MAX(O:O)*$O$1)+(P480/MAX(P:P)*$P$1)+(Q480/MAX(Q:Q)*$Q$1)+(R480/MAX(R:R)*$R$1)</f>
        <v/>
      </c>
      <c r="D480" s="156">
        <f>IFERROR(VLOOKUP(A480,'Injury Report'!A:F,6,0),"")</f>
        <v/>
      </c>
    </row>
    <row r="481" ht="15.6" customHeight="1" s="152">
      <c r="A481" s="167">
        <f>E481&amp;F481</f>
        <v/>
      </c>
      <c r="B481" s="156">
        <f>IF(D481&lt;&gt;"",C481,0)</f>
        <v/>
      </c>
      <c r="C481" s="156">
        <f>(M481/MAX(M:M)*$M$1)+(N481/MAX(N:N)*$N$1)+(O481/MAX(O:O)*$O$1)+(P481/MAX(P:P)*$P$1)+(Q481/MAX(Q:Q)*$Q$1)+(R481/MAX(R:R)*$R$1)</f>
        <v/>
      </c>
      <c r="D481" s="156">
        <f>IFERROR(VLOOKUP(A481,'Injury Report'!A:F,6,0),"")</f>
        <v/>
      </c>
    </row>
    <row r="482" ht="15.6" customHeight="1" s="152">
      <c r="A482" s="167">
        <f>E482&amp;F482</f>
        <v/>
      </c>
      <c r="B482" s="156">
        <f>IF(D482&lt;&gt;"",C482,0)</f>
        <v/>
      </c>
      <c r="C482" s="156">
        <f>(M482/MAX(M:M)*$M$1)+(N482/MAX(N:N)*$N$1)+(O482/MAX(O:O)*$O$1)+(P482/MAX(P:P)*$P$1)+(Q482/MAX(Q:Q)*$Q$1)+(R482/MAX(R:R)*$R$1)</f>
        <v/>
      </c>
      <c r="D482" s="156">
        <f>IFERROR(VLOOKUP(A482,'Injury Report'!A:F,6,0),"")</f>
        <v/>
      </c>
    </row>
    <row r="483" ht="15.6" customHeight="1" s="152">
      <c r="A483" s="167">
        <f>E483&amp;F483</f>
        <v/>
      </c>
      <c r="B483" s="156">
        <f>IF(D483&lt;&gt;"",C483,0)</f>
        <v/>
      </c>
      <c r="C483" s="156">
        <f>(M483/MAX(M:M)*$M$1)+(N483/MAX(N:N)*$N$1)+(O483/MAX(O:O)*$O$1)+(P483/MAX(P:P)*$P$1)+(Q483/MAX(Q:Q)*$Q$1)+(R483/MAX(R:R)*$R$1)</f>
        <v/>
      </c>
      <c r="D483" s="156">
        <f>IFERROR(VLOOKUP(A483,'Injury Report'!A:F,6,0),"")</f>
        <v/>
      </c>
    </row>
    <row r="484" ht="15.6" customHeight="1" s="152">
      <c r="A484" s="167">
        <f>E484&amp;F484</f>
        <v/>
      </c>
      <c r="B484" s="156">
        <f>IF(D484&lt;&gt;"",C484,0)</f>
        <v/>
      </c>
      <c r="C484" s="156">
        <f>(M484/MAX(M:M)*$M$1)+(N484/MAX(N:N)*$N$1)+(O484/MAX(O:O)*$O$1)+(P484/MAX(P:P)*$P$1)+(Q484/MAX(Q:Q)*$Q$1)+(R484/MAX(R:R)*$R$1)</f>
        <v/>
      </c>
      <c r="D484" s="156">
        <f>IFERROR(VLOOKUP(A484,'Injury Report'!A:F,6,0),"")</f>
        <v/>
      </c>
    </row>
    <row r="485" ht="15.6" customHeight="1" s="152">
      <c r="A485" s="167">
        <f>E485&amp;F485</f>
        <v/>
      </c>
      <c r="B485" s="156">
        <f>IF(D485&lt;&gt;"",C485,0)</f>
        <v/>
      </c>
      <c r="C485" s="156">
        <f>(M485/MAX(M:M)*$M$1)+(N485/MAX(N:N)*$N$1)+(O485/MAX(O:O)*$O$1)+(P485/MAX(P:P)*$P$1)+(Q485/MAX(Q:Q)*$Q$1)+(R485/MAX(R:R)*$R$1)</f>
        <v/>
      </c>
      <c r="D485" s="156">
        <f>IFERROR(VLOOKUP(A485,'Injury Report'!A:F,6,0),"")</f>
        <v/>
      </c>
    </row>
    <row r="486" ht="15.6" customHeight="1" s="152">
      <c r="A486" s="167">
        <f>E486&amp;F486</f>
        <v/>
      </c>
      <c r="B486" s="156">
        <f>IF(D486&lt;&gt;"",C486,0)</f>
        <v/>
      </c>
      <c r="C486" s="156">
        <f>(M486/MAX(M:M)*$M$1)+(N486/MAX(N:N)*$N$1)+(O486/MAX(O:O)*$O$1)+(P486/MAX(P:P)*$P$1)+(Q486/MAX(Q:Q)*$Q$1)+(R486/MAX(R:R)*$R$1)</f>
        <v/>
      </c>
      <c r="D486" s="156">
        <f>IFERROR(VLOOKUP(A486,'Injury Report'!A:F,6,0),"")</f>
        <v/>
      </c>
    </row>
    <row r="487" ht="15.6" customHeight="1" s="152">
      <c r="A487" s="167">
        <f>E487&amp;F487</f>
        <v/>
      </c>
      <c r="B487" s="156">
        <f>IF(D487&lt;&gt;"",C487,0)</f>
        <v/>
      </c>
      <c r="C487" s="156">
        <f>(M487/MAX(M:M)*$M$1)+(N487/MAX(N:N)*$N$1)+(O487/MAX(O:O)*$O$1)+(P487/MAX(P:P)*$P$1)+(Q487/MAX(Q:Q)*$Q$1)+(R487/MAX(R:R)*$R$1)</f>
        <v/>
      </c>
      <c r="D487" s="156">
        <f>IFERROR(VLOOKUP(A487,'Injury Report'!A:F,6,0),"")</f>
        <v/>
      </c>
    </row>
    <row r="488" ht="15.6" customHeight="1" s="152">
      <c r="A488" s="167">
        <f>E488&amp;F488</f>
        <v/>
      </c>
      <c r="B488" s="156">
        <f>IF(D488&lt;&gt;"",C488,0)</f>
        <v/>
      </c>
      <c r="C488" s="156">
        <f>(M488/MAX(M:M)*$M$1)+(N488/MAX(N:N)*$N$1)+(O488/MAX(O:O)*$O$1)+(P488/MAX(P:P)*$P$1)+(Q488/MAX(Q:Q)*$Q$1)+(R488/MAX(R:R)*$R$1)</f>
        <v/>
      </c>
      <c r="D488" s="156">
        <f>IFERROR(VLOOKUP(A488,'Injury Report'!A:F,6,0),"")</f>
        <v/>
      </c>
    </row>
    <row r="489" ht="15.6" customHeight="1" s="152">
      <c r="A489" s="167">
        <f>E489&amp;F489</f>
        <v/>
      </c>
      <c r="B489" s="156">
        <f>IF(D489&lt;&gt;"",C489,0)</f>
        <v/>
      </c>
      <c r="C489" s="156">
        <f>(M489/MAX(M:M)*$M$1)+(N489/MAX(N:N)*$N$1)+(O489/MAX(O:O)*$O$1)+(P489/MAX(P:P)*$P$1)+(Q489/MAX(Q:Q)*$Q$1)+(R489/MAX(R:R)*$R$1)</f>
        <v/>
      </c>
      <c r="D489" s="156">
        <f>IFERROR(VLOOKUP(A489,'Injury Report'!A:F,6,0),"")</f>
        <v/>
      </c>
    </row>
    <row r="490" ht="15.6" customHeight="1" s="152">
      <c r="A490" s="167">
        <f>E490&amp;F490</f>
        <v/>
      </c>
      <c r="B490" s="156">
        <f>IF(D490&lt;&gt;"",C490,0)</f>
        <v/>
      </c>
      <c r="C490" s="156">
        <f>(M490/MAX(M:M)*$M$1)+(N490/MAX(N:N)*$N$1)+(O490/MAX(O:O)*$O$1)+(P490/MAX(P:P)*$P$1)+(Q490/MAX(Q:Q)*$Q$1)+(R490/MAX(R:R)*$R$1)</f>
        <v/>
      </c>
      <c r="D490" s="156">
        <f>IFERROR(VLOOKUP(A490,'Injury Report'!A:F,6,0),"")</f>
        <v/>
      </c>
    </row>
    <row r="491" ht="15.6" customHeight="1" s="152">
      <c r="A491" s="167">
        <f>E491&amp;F491</f>
        <v/>
      </c>
      <c r="B491" s="156">
        <f>IF(D491&lt;&gt;"",C491,0)</f>
        <v/>
      </c>
      <c r="C491" s="156">
        <f>(M491/MAX(M:M)*$M$1)+(N491/MAX(N:N)*$N$1)+(O491/MAX(O:O)*$O$1)+(P491/MAX(P:P)*$P$1)+(Q491/MAX(Q:Q)*$Q$1)+(R491/MAX(R:R)*$R$1)</f>
        <v/>
      </c>
      <c r="D491" s="156">
        <f>IFERROR(VLOOKUP(A491,'Injury Report'!A:F,6,0),"")</f>
        <v/>
      </c>
    </row>
    <row r="492" ht="15.6" customHeight="1" s="152">
      <c r="A492" s="167">
        <f>E492&amp;F492</f>
        <v/>
      </c>
      <c r="B492" s="156">
        <f>IF(D492&lt;&gt;"",C492,0)</f>
        <v/>
      </c>
      <c r="C492" s="156">
        <f>(M492/MAX(M:M)*$M$1)+(N492/MAX(N:N)*$N$1)+(O492/MAX(O:O)*$O$1)+(P492/MAX(P:P)*$P$1)+(Q492/MAX(Q:Q)*$Q$1)+(R492/MAX(R:R)*$R$1)</f>
        <v/>
      </c>
      <c r="D492" s="156">
        <f>IFERROR(VLOOKUP(A492,'Injury Report'!A:F,6,0),"")</f>
        <v/>
      </c>
    </row>
    <row r="493" ht="15.6" customHeight="1" s="152">
      <c r="A493" s="167">
        <f>E493&amp;F493</f>
        <v/>
      </c>
      <c r="B493" s="156">
        <f>IF(D493&lt;&gt;"",C493,0)</f>
        <v/>
      </c>
      <c r="C493" s="156">
        <f>(M493/MAX(M:M)*$M$1)+(N493/MAX(N:N)*$N$1)+(O493/MAX(O:O)*$O$1)+(P493/MAX(P:P)*$P$1)+(Q493/MAX(Q:Q)*$Q$1)+(R493/MAX(R:R)*$R$1)</f>
        <v/>
      </c>
      <c r="D493" s="156">
        <f>IFERROR(VLOOKUP(A493,'Injury Report'!A:F,6,0),"")</f>
        <v/>
      </c>
    </row>
    <row r="494" ht="15.6" customHeight="1" s="152">
      <c r="A494" s="167">
        <f>E494&amp;F494</f>
        <v/>
      </c>
      <c r="B494" s="156">
        <f>IF(D494&lt;&gt;"",C494,0)</f>
        <v/>
      </c>
      <c r="C494" s="156">
        <f>(M494/MAX(M:M)*$M$1)+(N494/MAX(N:N)*$N$1)+(O494/MAX(O:O)*$O$1)+(P494/MAX(P:P)*$P$1)+(Q494/MAX(Q:Q)*$Q$1)+(R494/MAX(R:R)*$R$1)</f>
        <v/>
      </c>
      <c r="D494" s="156">
        <f>IFERROR(VLOOKUP(A494,'Injury Report'!A:F,6,0),"")</f>
        <v/>
      </c>
    </row>
    <row r="495" ht="15.6" customHeight="1" s="152">
      <c r="A495" s="167">
        <f>E495&amp;F495</f>
        <v/>
      </c>
      <c r="B495" s="156">
        <f>IF(D495&lt;&gt;"",C495,0)</f>
        <v/>
      </c>
      <c r="C495" s="156">
        <f>(M495/MAX(M:M)*$M$1)+(N495/MAX(N:N)*$N$1)+(O495/MAX(O:O)*$O$1)+(P495/MAX(P:P)*$P$1)+(Q495/MAX(Q:Q)*$Q$1)+(R495/MAX(R:R)*$R$1)</f>
        <v/>
      </c>
      <c r="D495" s="156">
        <f>IFERROR(VLOOKUP(A495,'Injury Report'!A:F,6,0),"")</f>
        <v/>
      </c>
    </row>
    <row r="496" ht="15.6" customHeight="1" s="152">
      <c r="A496" s="167">
        <f>E496&amp;F496</f>
        <v/>
      </c>
      <c r="B496" s="156">
        <f>IF(D496&lt;&gt;"",C496,0)</f>
        <v/>
      </c>
      <c r="C496" s="156">
        <f>(M496/MAX(M:M)*$M$1)+(N496/MAX(N:N)*$N$1)+(O496/MAX(O:O)*$O$1)+(P496/MAX(P:P)*$P$1)+(Q496/MAX(Q:Q)*$Q$1)+(R496/MAX(R:R)*$R$1)</f>
        <v/>
      </c>
      <c r="D496" s="156">
        <f>IFERROR(VLOOKUP(A496,'Injury Report'!A:F,6,0),"")</f>
        <v/>
      </c>
    </row>
    <row r="497" ht="15.6" customHeight="1" s="152">
      <c r="A497" s="167">
        <f>E497&amp;F497</f>
        <v/>
      </c>
      <c r="B497" s="156">
        <f>IF(D497&lt;&gt;"",C497,0)</f>
        <v/>
      </c>
      <c r="C497" s="156">
        <f>(M497/MAX(M:M)*$M$1)+(N497/MAX(N:N)*$N$1)+(O497/MAX(O:O)*$O$1)+(P497/MAX(P:P)*$P$1)+(Q497/MAX(Q:Q)*$Q$1)+(R497/MAX(R:R)*$R$1)</f>
        <v/>
      </c>
      <c r="D497" s="156">
        <f>IFERROR(VLOOKUP(A497,'Injury Report'!A:F,6,0),"")</f>
        <v/>
      </c>
    </row>
    <row r="498" ht="15.6" customHeight="1" s="152">
      <c r="A498" s="167">
        <f>E498&amp;F498</f>
        <v/>
      </c>
      <c r="B498" s="156">
        <f>IF(D498&lt;&gt;"",C498,0)</f>
        <v/>
      </c>
      <c r="C498" s="156">
        <f>(M498/MAX(M:M)*$M$1)+(N498/MAX(N:N)*$N$1)+(O498/MAX(O:O)*$O$1)+(P498/MAX(P:P)*$P$1)+(Q498/MAX(Q:Q)*$Q$1)+(R498/MAX(R:R)*$R$1)</f>
        <v/>
      </c>
      <c r="D498" s="156">
        <f>IFERROR(VLOOKUP(A498,'Injury Report'!A:F,6,0),"")</f>
        <v/>
      </c>
    </row>
    <row r="499" ht="15.6" customHeight="1" s="152">
      <c r="A499" s="167">
        <f>E499&amp;F499</f>
        <v/>
      </c>
      <c r="B499" s="156">
        <f>IF(D499&lt;&gt;"",C499,0)</f>
        <v/>
      </c>
      <c r="C499" s="156">
        <f>(M499/MAX(M:M)*$M$1)+(N499/MAX(N:N)*$N$1)+(O499/MAX(O:O)*$O$1)+(P499/MAX(P:P)*$P$1)+(Q499/MAX(Q:Q)*$Q$1)+(R499/MAX(R:R)*$R$1)</f>
        <v/>
      </c>
      <c r="D499" s="156">
        <f>IFERROR(VLOOKUP(A499,'Injury Report'!A:F,6,0),"")</f>
        <v/>
      </c>
    </row>
    <row r="500" ht="15.6" customHeight="1" s="152">
      <c r="A500" s="167">
        <f>E500&amp;F500</f>
        <v/>
      </c>
      <c r="B500" s="156">
        <f>IF(D500&lt;&gt;"",C500,0)</f>
        <v/>
      </c>
      <c r="C500" s="156">
        <f>(M500/MAX(M:M)*$M$1)+(N500/MAX(N:N)*$N$1)+(O500/MAX(O:O)*$O$1)+(P500/MAX(P:P)*$P$1)+(Q500/MAX(Q:Q)*$Q$1)+(R500/MAX(R:R)*$R$1)</f>
        <v/>
      </c>
      <c r="D500" s="156">
        <f>IFERROR(VLOOKUP(A500,'Injury Report'!A:F,6,0),"")</f>
        <v/>
      </c>
    </row>
    <row r="501" ht="15.6" customHeight="1" s="152">
      <c r="A501" s="167">
        <f>E501&amp;F501</f>
        <v/>
      </c>
      <c r="B501" s="156">
        <f>IF(D501&lt;&gt;"",C501,0)</f>
        <v/>
      </c>
      <c r="C501" s="156">
        <f>(M501/MAX(M:M)*$M$1)+(N501/MAX(N:N)*$N$1)+(O501/MAX(O:O)*$O$1)+(P501/MAX(P:P)*$P$1)+(Q501/MAX(Q:Q)*$Q$1)+(R501/MAX(R:R)*$R$1)</f>
        <v/>
      </c>
      <c r="D501" s="156">
        <f>IFERROR(VLOOKUP(A501,'Injury Report'!A:F,6,0),"")</f>
        <v/>
      </c>
    </row>
    <row r="502" ht="15.6" customHeight="1" s="152">
      <c r="A502" s="167">
        <f>E502&amp;F502</f>
        <v/>
      </c>
      <c r="B502" s="156">
        <f>IF(D502&lt;&gt;"",C502,0)</f>
        <v/>
      </c>
      <c r="C502" s="156">
        <f>(M502/MAX(M:M)*$M$1)+(N502/MAX(N:N)*$N$1)+(O502/MAX(O:O)*$O$1)+(P502/MAX(P:P)*$P$1)+(Q502/MAX(Q:Q)*$Q$1)+(R502/MAX(R:R)*$R$1)</f>
        <v/>
      </c>
      <c r="D502" s="156">
        <f>IFERROR(VLOOKUP(A502,'Injury Report'!A:F,6,0),"")</f>
        <v/>
      </c>
    </row>
    <row r="503" ht="15.6" customHeight="1" s="152">
      <c r="A503" s="167">
        <f>E503&amp;F503</f>
        <v/>
      </c>
      <c r="B503" s="156">
        <f>IF(D503&lt;&gt;"",C503,0)</f>
        <v/>
      </c>
      <c r="C503" s="156">
        <f>(M503/MAX(M:M)*$M$1)+(N503/MAX(N:N)*$N$1)+(O503/MAX(O:O)*$O$1)+(P503/MAX(P:P)*$P$1)+(Q503/MAX(Q:Q)*$Q$1)+(R503/MAX(R:R)*$R$1)</f>
        <v/>
      </c>
      <c r="D503" s="156">
        <f>IFERROR(VLOOKUP(A503,'Injury Report'!A:F,6,0),"")</f>
        <v/>
      </c>
    </row>
    <row r="504" ht="15.6" customHeight="1" s="152">
      <c r="A504" s="167">
        <f>E504&amp;F504</f>
        <v/>
      </c>
      <c r="B504" s="156">
        <f>IF(D504&lt;&gt;"",C504,0)</f>
        <v/>
      </c>
      <c r="C504" s="156">
        <f>(M504/MAX(M:M)*$M$1)+(N504/MAX(N:N)*$N$1)+(O504/MAX(O:O)*$O$1)+(P504/MAX(P:P)*$P$1)+(Q504/MAX(Q:Q)*$Q$1)+(R504/MAX(R:R)*$R$1)</f>
        <v/>
      </c>
      <c r="D504" s="156">
        <f>IFERROR(VLOOKUP(A504,'Injury Report'!A:F,6,0),"")</f>
        <v/>
      </c>
    </row>
    <row r="505" ht="15.6" customHeight="1" s="152">
      <c r="A505" s="167">
        <f>E505&amp;F505</f>
        <v/>
      </c>
      <c r="B505" s="156">
        <f>IF(D505&lt;&gt;"",C505,0)</f>
        <v/>
      </c>
      <c r="C505" s="156">
        <f>(M505/MAX(M:M)*$M$1)+(N505/MAX(N:N)*$N$1)+(O505/MAX(O:O)*$O$1)+(P505/MAX(P:P)*$P$1)+(Q505/MAX(Q:Q)*$Q$1)+(R505/MAX(R:R)*$R$1)</f>
        <v/>
      </c>
      <c r="D505" s="156">
        <f>IFERROR(VLOOKUP(A505,'Injury Report'!A:F,6,0),"")</f>
        <v/>
      </c>
    </row>
    <row r="506" ht="15.6" customHeight="1" s="152">
      <c r="A506" s="167">
        <f>E506&amp;F506</f>
        <v/>
      </c>
      <c r="B506" s="156">
        <f>IF(D506&lt;&gt;"",C506,0)</f>
        <v/>
      </c>
      <c r="C506" s="156">
        <f>(M506/MAX(M:M)*$M$1)+(N506/MAX(N:N)*$N$1)+(O506/MAX(O:O)*$O$1)+(P506/MAX(P:P)*$P$1)+(Q506/MAX(Q:Q)*$Q$1)+(R506/MAX(R:R)*$R$1)</f>
        <v/>
      </c>
      <c r="D506" s="156">
        <f>IFERROR(VLOOKUP(A506,'Injury Report'!A:F,6,0),"")</f>
        <v/>
      </c>
    </row>
    <row r="507" ht="15.6" customHeight="1" s="152">
      <c r="A507" s="167">
        <f>E507&amp;F507</f>
        <v/>
      </c>
      <c r="B507" s="156">
        <f>IF(D507&lt;&gt;"",C507,0)</f>
        <v/>
      </c>
      <c r="C507" s="156">
        <f>(M507/MAX(M:M)*$M$1)+(N507/MAX(N:N)*$N$1)+(O507/MAX(O:O)*$O$1)+(P507/MAX(P:P)*$P$1)+(Q507/MAX(Q:Q)*$Q$1)+(R507/MAX(R:R)*$R$1)</f>
        <v/>
      </c>
      <c r="D507" s="156">
        <f>IFERROR(VLOOKUP(A507,'Injury Report'!A:F,6,0),"")</f>
        <v/>
      </c>
    </row>
    <row r="508" ht="15.6" customHeight="1" s="152">
      <c r="A508" s="167">
        <f>E508&amp;F508</f>
        <v/>
      </c>
      <c r="B508" s="156">
        <f>IF(D508&lt;&gt;"",C508,0)</f>
        <v/>
      </c>
      <c r="C508" s="156">
        <f>(M508/MAX(M:M)*$M$1)+(N508/MAX(N:N)*$N$1)+(O508/MAX(O:O)*$O$1)+(P508/MAX(P:P)*$P$1)+(Q508/MAX(Q:Q)*$Q$1)+(R508/MAX(R:R)*$R$1)</f>
        <v/>
      </c>
      <c r="D508" s="156">
        <f>IFERROR(VLOOKUP(A508,'Injury Report'!A:F,6,0),"")</f>
        <v/>
      </c>
    </row>
    <row r="509" ht="15.6" customHeight="1" s="152">
      <c r="A509" s="167">
        <f>E509&amp;F509</f>
        <v/>
      </c>
      <c r="B509" s="156">
        <f>IF(D509&lt;&gt;"",C509,0)</f>
        <v/>
      </c>
      <c r="C509" s="156">
        <f>(M509/MAX(M:M)*$M$1)+(N509/MAX(N:N)*$N$1)+(O509/MAX(O:O)*$O$1)+(P509/MAX(P:P)*$P$1)+(Q509/MAX(Q:Q)*$Q$1)+(R509/MAX(R:R)*$R$1)</f>
        <v/>
      </c>
      <c r="D509" s="156">
        <f>IFERROR(VLOOKUP(A509,'Injury Report'!A:F,6,0),"")</f>
        <v/>
      </c>
    </row>
    <row r="510" ht="15.6" customHeight="1" s="152">
      <c r="A510" s="167">
        <f>E510&amp;F510</f>
        <v/>
      </c>
      <c r="B510" s="156">
        <f>IF(D510&lt;&gt;"",C510,0)</f>
        <v/>
      </c>
      <c r="C510" s="156">
        <f>(M510/MAX(M:M)*$M$1)+(N510/MAX(N:N)*$N$1)+(O510/MAX(O:O)*$O$1)+(P510/MAX(P:P)*$P$1)+(Q510/MAX(Q:Q)*$Q$1)+(R510/MAX(R:R)*$R$1)</f>
        <v/>
      </c>
      <c r="D510" s="156">
        <f>IFERROR(VLOOKUP(A510,'Injury Report'!A:F,6,0),"")</f>
        <v/>
      </c>
    </row>
    <row r="511" ht="15.6" customHeight="1" s="152">
      <c r="A511" s="167">
        <f>E511&amp;F511</f>
        <v/>
      </c>
      <c r="B511" s="156">
        <f>IF(D511&lt;&gt;"",C511,0)</f>
        <v/>
      </c>
      <c r="C511" s="156">
        <f>(M511/MAX(M:M)*$M$1)+(N511/MAX(N:N)*$N$1)+(O511/MAX(O:O)*$O$1)+(P511/MAX(P:P)*$P$1)+(Q511/MAX(Q:Q)*$Q$1)+(R511/MAX(R:R)*$R$1)</f>
        <v/>
      </c>
      <c r="D511" s="156">
        <f>IFERROR(VLOOKUP(A511,'Injury Report'!A:F,6,0),"")</f>
        <v/>
      </c>
    </row>
    <row r="512" ht="15.6" customHeight="1" s="152">
      <c r="A512" s="167">
        <f>E512&amp;F512</f>
        <v/>
      </c>
      <c r="B512" s="156">
        <f>IF(D512&lt;&gt;"",C512,0)</f>
        <v/>
      </c>
      <c r="C512" s="156">
        <f>(M512/MAX(M:M)*$M$1)+(N512/MAX(N:N)*$N$1)+(O512/MAX(O:O)*$O$1)+(P512/MAX(P:P)*$P$1)+(Q512/MAX(Q:Q)*$Q$1)+(R512/MAX(R:R)*$R$1)</f>
        <v/>
      </c>
      <c r="D512" s="156">
        <f>IFERROR(VLOOKUP(A512,'Injury Report'!A:F,6,0),"")</f>
        <v/>
      </c>
    </row>
    <row r="513" ht="15.6" customHeight="1" s="152">
      <c r="A513" s="167">
        <f>E513&amp;F513</f>
        <v/>
      </c>
      <c r="B513" s="156">
        <f>IF(D513&lt;&gt;"",C513,0)</f>
        <v/>
      </c>
      <c r="C513" s="156">
        <f>(M513/MAX(M:M)*$M$1)+(N513/MAX(N:N)*$N$1)+(O513/MAX(O:O)*$O$1)+(P513/MAX(P:P)*$P$1)+(Q513/MAX(Q:Q)*$Q$1)+(R513/MAX(R:R)*$R$1)</f>
        <v/>
      </c>
      <c r="D513" s="156">
        <f>IFERROR(VLOOKUP(A513,'Injury Report'!A:F,6,0),"")</f>
        <v/>
      </c>
    </row>
    <row r="514" ht="15.6" customHeight="1" s="152">
      <c r="A514" s="167">
        <f>E514&amp;F514</f>
        <v/>
      </c>
      <c r="B514" s="156">
        <f>IF(D514&lt;&gt;"",C514,0)</f>
        <v/>
      </c>
      <c r="C514" s="156">
        <f>(M514/MAX(M:M)*$M$1)+(N514/MAX(N:N)*$N$1)+(O514/MAX(O:O)*$O$1)+(P514/MAX(P:P)*$P$1)+(Q514/MAX(Q:Q)*$Q$1)+(R514/MAX(R:R)*$R$1)</f>
        <v/>
      </c>
      <c r="D514" s="156">
        <f>IFERROR(VLOOKUP(A514,'Injury Report'!A:F,6,0),"")</f>
        <v/>
      </c>
    </row>
    <row r="515" ht="15.6" customHeight="1" s="152">
      <c r="A515" s="167">
        <f>E515&amp;F515</f>
        <v/>
      </c>
      <c r="B515" s="156">
        <f>IF(D515&lt;&gt;"",C515,0)</f>
        <v/>
      </c>
      <c r="C515" s="156">
        <f>(M515/MAX(M:M)*$M$1)+(N515/MAX(N:N)*$N$1)+(O515/MAX(O:O)*$O$1)+(P515/MAX(P:P)*$P$1)+(Q515/MAX(Q:Q)*$Q$1)+(R515/MAX(R:R)*$R$1)</f>
        <v/>
      </c>
      <c r="D515" s="156">
        <f>IFERROR(VLOOKUP(A515,'Injury Report'!A:F,6,0),"")</f>
        <v/>
      </c>
    </row>
    <row r="516" ht="15.6" customHeight="1" s="152">
      <c r="A516" s="167">
        <f>E516&amp;F516</f>
        <v/>
      </c>
      <c r="B516" s="156">
        <f>IF(D516&lt;&gt;"",C516,0)</f>
        <v/>
      </c>
      <c r="C516" s="156">
        <f>(M516/MAX(M:M)*$M$1)+(N516/MAX(N:N)*$N$1)+(O516/MAX(O:O)*$O$1)+(P516/MAX(P:P)*$P$1)+(Q516/MAX(Q:Q)*$Q$1)+(R516/MAX(R:R)*$R$1)</f>
        <v/>
      </c>
      <c r="D516" s="156">
        <f>IFERROR(VLOOKUP(A516,'Injury Report'!A:F,6,0),"")</f>
        <v/>
      </c>
    </row>
    <row r="517" ht="15.6" customHeight="1" s="152">
      <c r="A517" s="167">
        <f>E517&amp;F517</f>
        <v/>
      </c>
      <c r="B517" s="156">
        <f>IF(D517&lt;&gt;"",C517,0)</f>
        <v/>
      </c>
      <c r="C517" s="156">
        <f>(M517/MAX(M:M)*$M$1)+(N517/MAX(N:N)*$N$1)+(O517/MAX(O:O)*$O$1)+(P517/MAX(P:P)*$P$1)+(Q517/MAX(Q:Q)*$Q$1)+(R517/MAX(R:R)*$R$1)</f>
        <v/>
      </c>
      <c r="D517" s="156">
        <f>IFERROR(VLOOKUP(A517,'Injury Report'!A:F,6,0),"")</f>
        <v/>
      </c>
    </row>
    <row r="518" ht="15.6" customHeight="1" s="152">
      <c r="A518" s="167">
        <f>E518&amp;F518</f>
        <v/>
      </c>
      <c r="B518" s="156">
        <f>IF(D518&lt;&gt;"",C518,0)</f>
        <v/>
      </c>
      <c r="C518" s="156">
        <f>(M518/MAX(M:M)*$M$1)+(N518/MAX(N:N)*$N$1)+(O518/MAX(O:O)*$O$1)+(P518/MAX(P:P)*$P$1)+(Q518/MAX(Q:Q)*$Q$1)+(R518/MAX(R:R)*$R$1)</f>
        <v/>
      </c>
      <c r="D518" s="156">
        <f>IFERROR(VLOOKUP(A518,'Injury Report'!A:F,6,0),"")</f>
        <v/>
      </c>
    </row>
    <row r="519" ht="15.6" customHeight="1" s="152">
      <c r="A519" s="167">
        <f>E519&amp;F519</f>
        <v/>
      </c>
      <c r="B519" s="156">
        <f>IF(D519&lt;&gt;"",C519,0)</f>
        <v/>
      </c>
      <c r="C519" s="156">
        <f>(M519/MAX(M:M)*$M$1)+(N519/MAX(N:N)*$N$1)+(O519/MAX(O:O)*$O$1)+(P519/MAX(P:P)*$P$1)+(Q519/MAX(Q:Q)*$Q$1)+(R519/MAX(R:R)*$R$1)</f>
        <v/>
      </c>
      <c r="D519" s="156">
        <f>IFERROR(VLOOKUP(A519,'Injury Report'!A:F,6,0),"")</f>
        <v/>
      </c>
    </row>
    <row r="520" ht="15.6" customHeight="1" s="152">
      <c r="A520" s="167">
        <f>E520&amp;F520</f>
        <v/>
      </c>
      <c r="B520" s="156">
        <f>IF(D520&lt;&gt;"",C520,0)</f>
        <v/>
      </c>
      <c r="C520" s="156">
        <f>(M520/MAX(M:M)*$M$1)+(N520/MAX(N:N)*$N$1)+(O520/MAX(O:O)*$O$1)+(P520/MAX(P:P)*$P$1)+(Q520/MAX(Q:Q)*$Q$1)+(R520/MAX(R:R)*$R$1)</f>
        <v/>
      </c>
      <c r="D520" s="156">
        <f>IFERROR(VLOOKUP(A520,'Injury Report'!A:F,6,0),"")</f>
        <v/>
      </c>
    </row>
    <row r="521" ht="15.6" customHeight="1" s="152">
      <c r="A521" s="167">
        <f>E521&amp;F521</f>
        <v/>
      </c>
      <c r="B521" s="156">
        <f>IF(D521&lt;&gt;"",C521,0)</f>
        <v/>
      </c>
      <c r="C521" s="156">
        <f>(M521/MAX(M:M)*$M$1)+(N521/MAX(N:N)*$N$1)+(O521/MAX(O:O)*$O$1)+(P521/MAX(P:P)*$P$1)+(Q521/MAX(Q:Q)*$Q$1)+(R521/MAX(R:R)*$R$1)</f>
        <v/>
      </c>
      <c r="D521" s="156">
        <f>IFERROR(VLOOKUP(A521,'Injury Report'!A:F,6,0),"")</f>
        <v/>
      </c>
    </row>
    <row r="522" ht="15.6" customHeight="1" s="152">
      <c r="A522" s="167">
        <f>E522&amp;F522</f>
        <v/>
      </c>
      <c r="B522" s="156">
        <f>IF(D522&lt;&gt;"",C522,0)</f>
        <v/>
      </c>
      <c r="C522" s="156">
        <f>(M522/MAX(M:M)*$M$1)+(N522/MAX(N:N)*$N$1)+(O522/MAX(O:O)*$O$1)+(P522/MAX(P:P)*$P$1)+(Q522/MAX(Q:Q)*$Q$1)+(R522/MAX(R:R)*$R$1)</f>
        <v/>
      </c>
      <c r="D522" s="156">
        <f>IFERROR(VLOOKUP(A522,'Injury Report'!A:F,6,0),"")</f>
        <v/>
      </c>
    </row>
    <row r="523" ht="15.6" customHeight="1" s="152">
      <c r="A523" s="167">
        <f>E523&amp;F523</f>
        <v/>
      </c>
      <c r="B523" s="156">
        <f>IF(D523&lt;&gt;"",C523,0)</f>
        <v/>
      </c>
      <c r="C523" s="156">
        <f>(M523/MAX(M:M)*$M$1)+(N523/MAX(N:N)*$N$1)+(O523/MAX(O:O)*$O$1)+(P523/MAX(P:P)*$P$1)+(Q523/MAX(Q:Q)*$Q$1)+(R523/MAX(R:R)*$R$1)</f>
        <v/>
      </c>
      <c r="D523" s="156">
        <f>IFERROR(VLOOKUP(A523,'Injury Report'!A:F,6,0),"")</f>
        <v/>
      </c>
    </row>
    <row r="524" ht="15.6" customHeight="1" s="152">
      <c r="A524" s="167">
        <f>E524&amp;F524</f>
        <v/>
      </c>
      <c r="B524" s="156">
        <f>IF(D524&lt;&gt;"",C524,0)</f>
        <v/>
      </c>
      <c r="C524" s="156">
        <f>(M524/MAX(M:M)*$M$1)+(N524/MAX(N:N)*$N$1)+(O524/MAX(O:O)*$O$1)+(P524/MAX(P:P)*$P$1)+(Q524/MAX(Q:Q)*$Q$1)+(R524/MAX(R:R)*$R$1)</f>
        <v/>
      </c>
      <c r="D524" s="156">
        <f>IFERROR(VLOOKUP(A524,'Injury Report'!A:F,6,0),"")</f>
        <v/>
      </c>
    </row>
    <row r="525" ht="15.6" customHeight="1" s="152">
      <c r="A525" s="167">
        <f>E525&amp;F525</f>
        <v/>
      </c>
      <c r="B525" s="156">
        <f>IF(D525&lt;&gt;"",C525,0)</f>
        <v/>
      </c>
      <c r="C525" s="156">
        <f>(M525/MAX(M:M)*$M$1)+(N525/MAX(N:N)*$N$1)+(O525/MAX(O:O)*$O$1)+(P525/MAX(P:P)*$P$1)+(Q525/MAX(Q:Q)*$Q$1)+(R525/MAX(R:R)*$R$1)</f>
        <v/>
      </c>
      <c r="D525" s="156">
        <f>IFERROR(VLOOKUP(A525,'Injury Report'!A:F,6,0),"")</f>
        <v/>
      </c>
    </row>
    <row r="526" ht="15.6" customHeight="1" s="152">
      <c r="A526" s="167">
        <f>E526&amp;F526</f>
        <v/>
      </c>
      <c r="B526" s="156">
        <f>IF(D526&lt;&gt;"",C526,0)</f>
        <v/>
      </c>
      <c r="C526" s="156">
        <f>(M526/MAX(M:M)*$M$1)+(N526/MAX(N:N)*$N$1)+(O526/MAX(O:O)*$O$1)+(P526/MAX(P:P)*$P$1)+(Q526/MAX(Q:Q)*$Q$1)+(R526/MAX(R:R)*$R$1)</f>
        <v/>
      </c>
      <c r="D526" s="156">
        <f>IFERROR(VLOOKUP(A526,'Injury Report'!A:F,6,0),"")</f>
        <v/>
      </c>
    </row>
    <row r="527" ht="15.6" customHeight="1" s="152">
      <c r="A527" s="167">
        <f>E527&amp;F527</f>
        <v/>
      </c>
      <c r="B527" s="156">
        <f>IF(D527&lt;&gt;"",C527,0)</f>
        <v/>
      </c>
      <c r="C527" s="156">
        <f>(M527/MAX(M:M)*$M$1)+(N527/MAX(N:N)*$N$1)+(O527/MAX(O:O)*$O$1)+(P527/MAX(P:P)*$P$1)+(Q527/MAX(Q:Q)*$Q$1)+(R527/MAX(R:R)*$R$1)</f>
        <v/>
      </c>
      <c r="D527" s="156">
        <f>IFERROR(VLOOKUP(A527,'Injury Report'!A:F,6,0),"")</f>
        <v/>
      </c>
    </row>
    <row r="528" ht="15.6" customHeight="1" s="152">
      <c r="A528" s="167">
        <f>E528&amp;F528</f>
        <v/>
      </c>
      <c r="B528" s="156">
        <f>IF(D528&lt;&gt;"",C528,0)</f>
        <v/>
      </c>
      <c r="C528" s="156">
        <f>(M528/MAX(M:M)*$M$1)+(N528/MAX(N:N)*$N$1)+(O528/MAX(O:O)*$O$1)+(P528/MAX(P:P)*$P$1)+(Q528/MAX(Q:Q)*$Q$1)+(R528/MAX(R:R)*$R$1)</f>
        <v/>
      </c>
      <c r="D528" s="156">
        <f>IFERROR(VLOOKUP(A528,'Injury Report'!A:F,6,0),"")</f>
        <v/>
      </c>
    </row>
    <row r="529" ht="15.6" customHeight="1" s="152">
      <c r="A529" s="167">
        <f>E529&amp;F529</f>
        <v/>
      </c>
      <c r="B529" s="156">
        <f>IF(D529&lt;&gt;"",C529,0)</f>
        <v/>
      </c>
      <c r="C529" s="156">
        <f>(M529/MAX(M:M)*$M$1)+(N529/MAX(N:N)*$N$1)+(O529/MAX(O:O)*$O$1)+(P529/MAX(P:P)*$P$1)+(Q529/MAX(Q:Q)*$Q$1)+(R529/MAX(R:R)*$R$1)</f>
        <v/>
      </c>
      <c r="D529" s="156">
        <f>IFERROR(VLOOKUP(A529,'Injury Report'!A:F,6,0),"")</f>
        <v/>
      </c>
    </row>
    <row r="530" ht="15.6" customHeight="1" s="152">
      <c r="A530" s="167">
        <f>E530&amp;F530</f>
        <v/>
      </c>
      <c r="B530" s="156">
        <f>IF(D530&lt;&gt;"",C530,0)</f>
        <v/>
      </c>
      <c r="C530" s="156">
        <f>(M530/MAX(M:M)*$M$1)+(N530/MAX(N:N)*$N$1)+(O530/MAX(O:O)*$O$1)+(P530/MAX(P:P)*$P$1)+(Q530/MAX(Q:Q)*$Q$1)+(R530/MAX(R:R)*$R$1)</f>
        <v/>
      </c>
      <c r="D530" s="156">
        <f>IFERROR(VLOOKUP(A530,'Injury Report'!A:F,6,0),"")</f>
        <v/>
      </c>
    </row>
    <row r="531" ht="15.6" customHeight="1" s="152">
      <c r="A531" s="167">
        <f>E531&amp;F531</f>
        <v/>
      </c>
      <c r="B531" s="156">
        <f>IF(D531&lt;&gt;"",C531,0)</f>
        <v/>
      </c>
      <c r="C531" s="156">
        <f>(M531/MAX(M:M)*$M$1)+(N531/MAX(N:N)*$N$1)+(O531/MAX(O:O)*$O$1)+(P531/MAX(P:P)*$P$1)+(Q531/MAX(Q:Q)*$Q$1)+(R531/MAX(R:R)*$R$1)</f>
        <v/>
      </c>
      <c r="D531" s="156">
        <f>IFERROR(VLOOKUP(A531,'Injury Report'!A:F,6,0),"")</f>
        <v/>
      </c>
    </row>
    <row r="532" ht="15.6" customHeight="1" s="152">
      <c r="A532" s="167">
        <f>E532&amp;F532</f>
        <v/>
      </c>
      <c r="B532" s="156">
        <f>IF(D532&lt;&gt;"",C532,0)</f>
        <v/>
      </c>
      <c r="C532" s="156">
        <f>(M532/MAX(M:M)*$M$1)+(N532/MAX(N:N)*$N$1)+(O532/MAX(O:O)*$O$1)+(P532/MAX(P:P)*$P$1)+(Q532/MAX(Q:Q)*$Q$1)+(R532/MAX(R:R)*$R$1)</f>
        <v/>
      </c>
      <c r="D532" s="156">
        <f>IFERROR(VLOOKUP(A532,'Injury Report'!A:F,6,0),"")</f>
        <v/>
      </c>
    </row>
    <row r="533" ht="15.6" customHeight="1" s="152">
      <c r="A533" s="167">
        <f>E533&amp;F533</f>
        <v/>
      </c>
      <c r="B533" s="156">
        <f>IF(D533&lt;&gt;"",C533,0)</f>
        <v/>
      </c>
      <c r="C533" s="156">
        <f>(M533/MAX(M:M)*$M$1)+(N533/MAX(N:N)*$N$1)+(O533/MAX(O:O)*$O$1)+(P533/MAX(P:P)*$P$1)+(Q533/MAX(Q:Q)*$Q$1)+(R533/MAX(R:R)*$R$1)</f>
        <v/>
      </c>
      <c r="D533" s="156">
        <f>IFERROR(VLOOKUP(A533,'Injury Report'!A:F,6,0),"")</f>
        <v/>
      </c>
    </row>
    <row r="534" ht="15.6" customHeight="1" s="152">
      <c r="A534" s="167">
        <f>E534&amp;F534</f>
        <v/>
      </c>
      <c r="B534" s="156">
        <f>IF(D534&lt;&gt;"",C534,0)</f>
        <v/>
      </c>
      <c r="C534" s="156">
        <f>(M534/MAX(M:M)*$M$1)+(N534/MAX(N:N)*$N$1)+(O534/MAX(O:O)*$O$1)+(P534/MAX(P:P)*$P$1)+(Q534/MAX(Q:Q)*$Q$1)+(R534/MAX(R:R)*$R$1)</f>
        <v/>
      </c>
      <c r="D534" s="156">
        <f>IFERROR(VLOOKUP(A534,'Injury Report'!A:F,6,0),"")</f>
        <v/>
      </c>
    </row>
    <row r="535" ht="15.6" customHeight="1" s="152">
      <c r="A535" s="167">
        <f>E535&amp;F535</f>
        <v/>
      </c>
      <c r="B535" s="156">
        <f>IF(D535&lt;&gt;"",C535,0)</f>
        <v/>
      </c>
      <c r="C535" s="156">
        <f>(M535/MAX(M:M)*$M$1)+(N535/MAX(N:N)*$N$1)+(O535/MAX(O:O)*$O$1)+(P535/MAX(P:P)*$P$1)+(Q535/MAX(Q:Q)*$Q$1)+(R535/MAX(R:R)*$R$1)</f>
        <v/>
      </c>
      <c r="D535" s="156">
        <f>IFERROR(VLOOKUP(A535,'Injury Report'!A:F,6,0),"")</f>
        <v/>
      </c>
    </row>
    <row r="536" ht="15.6" customHeight="1" s="152">
      <c r="A536" s="167">
        <f>E536&amp;F536</f>
        <v/>
      </c>
      <c r="B536" s="156">
        <f>IF(D536&lt;&gt;"",C536,0)</f>
        <v/>
      </c>
      <c r="C536" s="156">
        <f>(M536/MAX(M:M)*$M$1)+(N536/MAX(N:N)*$N$1)+(O536/MAX(O:O)*$O$1)+(P536/MAX(P:P)*$P$1)+(Q536/MAX(Q:Q)*$Q$1)+(R536/MAX(R:R)*$R$1)</f>
        <v/>
      </c>
      <c r="D536" s="156">
        <f>IFERROR(VLOOKUP(A536,'Injury Report'!A:F,6,0),"")</f>
        <v/>
      </c>
    </row>
    <row r="537" ht="15.6" customHeight="1" s="152">
      <c r="A537" s="167">
        <f>E537&amp;F537</f>
        <v/>
      </c>
      <c r="B537" s="156">
        <f>IF(D537&lt;&gt;"",C537,0)</f>
        <v/>
      </c>
      <c r="C537" s="156">
        <f>(M537/MAX(M:M)*$M$1)+(N537/MAX(N:N)*$N$1)+(O537/MAX(O:O)*$O$1)+(P537/MAX(P:P)*$P$1)+(Q537/MAX(Q:Q)*$Q$1)+(R537/MAX(R:R)*$R$1)</f>
        <v/>
      </c>
      <c r="D537" s="156">
        <f>IFERROR(VLOOKUP(A537,'Injury Report'!A:F,6,0),"")</f>
        <v/>
      </c>
    </row>
    <row r="538" ht="15.6" customHeight="1" s="152">
      <c r="A538" s="167">
        <f>E538&amp;F538</f>
        <v/>
      </c>
      <c r="B538" s="156">
        <f>IF(D538&lt;&gt;"",C538,0)</f>
        <v/>
      </c>
      <c r="C538" s="156">
        <f>(M538/MAX(M:M)*$M$1)+(N538/MAX(N:N)*$N$1)+(O538/MAX(O:O)*$O$1)+(P538/MAX(P:P)*$P$1)+(Q538/MAX(Q:Q)*$Q$1)+(R538/MAX(R:R)*$R$1)</f>
        <v/>
      </c>
      <c r="D538" s="156">
        <f>IFERROR(VLOOKUP(A538,'Injury Report'!A:F,6,0),"")</f>
        <v/>
      </c>
    </row>
    <row r="539" ht="15.6" customHeight="1" s="152">
      <c r="A539" s="167">
        <f>E539&amp;F539</f>
        <v/>
      </c>
      <c r="B539" s="156">
        <f>IF(D539&lt;&gt;"",C539,0)</f>
        <v/>
      </c>
      <c r="C539" s="156">
        <f>(M539/MAX(M:M)*$M$1)+(N539/MAX(N:N)*$N$1)+(O539/MAX(O:O)*$O$1)+(P539/MAX(P:P)*$P$1)+(Q539/MAX(Q:Q)*$Q$1)+(R539/MAX(R:R)*$R$1)</f>
        <v/>
      </c>
      <c r="D539" s="156">
        <f>IFERROR(VLOOKUP(A539,'Injury Report'!A:F,6,0),"")</f>
        <v/>
      </c>
    </row>
    <row r="540" ht="15.6" customHeight="1" s="152">
      <c r="A540" s="167">
        <f>E540&amp;F540</f>
        <v/>
      </c>
      <c r="B540" s="156">
        <f>IF(D540&lt;&gt;"",C540,0)</f>
        <v/>
      </c>
      <c r="C540" s="156">
        <f>(M540/MAX(M:M)*$M$1)+(N540/MAX(N:N)*$N$1)+(O540/MAX(O:O)*$O$1)+(P540/MAX(P:P)*$P$1)+(Q540/MAX(Q:Q)*$Q$1)+(R540/MAX(R:R)*$R$1)</f>
        <v/>
      </c>
      <c r="D540" s="156">
        <f>IFERROR(VLOOKUP(A540,'Injury Report'!A:F,6,0),"")</f>
        <v/>
      </c>
    </row>
    <row r="541" ht="15.6" customHeight="1" s="152">
      <c r="A541" s="167">
        <f>E541&amp;F541</f>
        <v/>
      </c>
      <c r="B541" s="156">
        <f>IF(D541&lt;&gt;"",C541,0)</f>
        <v/>
      </c>
      <c r="C541" s="156">
        <f>(M541/MAX(M:M)*$M$1)+(N541/MAX(N:N)*$N$1)+(O541/MAX(O:O)*$O$1)+(P541/MAX(P:P)*$P$1)+(Q541/MAX(Q:Q)*$Q$1)+(R541/MAX(R:R)*$R$1)</f>
        <v/>
      </c>
      <c r="D541" s="156">
        <f>IFERROR(VLOOKUP(A541,'Injury Report'!A:F,6,0),"")</f>
        <v/>
      </c>
    </row>
    <row r="542" ht="15.6" customHeight="1" s="152">
      <c r="A542" s="167">
        <f>E542&amp;F542</f>
        <v/>
      </c>
      <c r="B542" s="156">
        <f>IF(D542&lt;&gt;"",C542,0)</f>
        <v/>
      </c>
      <c r="C542" s="156">
        <f>(M542/MAX(M:M)*$M$1)+(N542/MAX(N:N)*$N$1)+(O542/MAX(O:O)*$O$1)+(P542/MAX(P:P)*$P$1)+(Q542/MAX(Q:Q)*$Q$1)+(R542/MAX(R:R)*$R$1)</f>
        <v/>
      </c>
      <c r="D542" s="156">
        <f>IFERROR(VLOOKUP(A542,'Injury Report'!A:F,6,0),"")</f>
        <v/>
      </c>
    </row>
    <row r="543" ht="15.6" customHeight="1" s="152">
      <c r="A543" s="167">
        <f>E543&amp;F543</f>
        <v/>
      </c>
      <c r="B543" s="156">
        <f>IF(D543&lt;&gt;"",C543,0)</f>
        <v/>
      </c>
      <c r="C543" s="156">
        <f>(M543/MAX(M:M)*$M$1)+(N543/MAX(N:N)*$N$1)+(O543/MAX(O:O)*$O$1)+(P543/MAX(P:P)*$P$1)+(Q543/MAX(Q:Q)*$Q$1)+(R543/MAX(R:R)*$R$1)</f>
        <v/>
      </c>
      <c r="D543" s="156">
        <f>IFERROR(VLOOKUP(A543,'Injury Report'!A:F,6,0),"")</f>
        <v/>
      </c>
    </row>
    <row r="544" ht="15.6" customHeight="1" s="152">
      <c r="A544" s="167">
        <f>E544&amp;F544</f>
        <v/>
      </c>
      <c r="B544" s="156">
        <f>IF(D544&lt;&gt;"",C544,0)</f>
        <v/>
      </c>
      <c r="C544" s="156">
        <f>(M544/MAX(M:M)*$M$1)+(N544/MAX(N:N)*$N$1)+(O544/MAX(O:O)*$O$1)+(P544/MAX(P:P)*$P$1)+(Q544/MAX(Q:Q)*$Q$1)+(R544/MAX(R:R)*$R$1)</f>
        <v/>
      </c>
      <c r="D544" s="156">
        <f>IFERROR(VLOOKUP(A544,'Injury Report'!A:F,6,0),"")</f>
        <v/>
      </c>
    </row>
    <row r="545" ht="15.6" customHeight="1" s="152">
      <c r="A545" s="167">
        <f>E545&amp;F545</f>
        <v/>
      </c>
      <c r="B545" s="156">
        <f>IF(D545&lt;&gt;"",C545,0)</f>
        <v/>
      </c>
      <c r="C545" s="156">
        <f>(M545/MAX(M:M)*$M$1)+(N545/MAX(N:N)*$N$1)+(O545/MAX(O:O)*$O$1)+(P545/MAX(P:P)*$P$1)+(Q545/MAX(Q:Q)*$Q$1)+(R545/MAX(R:R)*$R$1)</f>
        <v/>
      </c>
      <c r="D545" s="156">
        <f>IFERROR(VLOOKUP(A545,'Injury Report'!A:F,6,0),"")</f>
        <v/>
      </c>
    </row>
    <row r="546" ht="15.6" customHeight="1" s="152">
      <c r="A546" s="167">
        <f>E546&amp;F546</f>
        <v/>
      </c>
      <c r="B546" s="156">
        <f>IF(D546&lt;&gt;"",C546,0)</f>
        <v/>
      </c>
      <c r="C546" s="156">
        <f>(M546/MAX(M:M)*$M$1)+(N546/MAX(N:N)*$N$1)+(O546/MAX(O:O)*$O$1)+(P546/MAX(P:P)*$P$1)+(Q546/MAX(Q:Q)*$Q$1)+(R546/MAX(R:R)*$R$1)</f>
        <v/>
      </c>
      <c r="D546" s="156">
        <f>IFERROR(VLOOKUP(A546,'Injury Report'!A:F,6,0),"")</f>
        <v/>
      </c>
    </row>
    <row r="547" ht="15.6" customHeight="1" s="152">
      <c r="A547" s="167">
        <f>E547&amp;F547</f>
        <v/>
      </c>
      <c r="B547" s="156">
        <f>IF(D547&lt;&gt;"",C547,0)</f>
        <v/>
      </c>
      <c r="C547" s="156">
        <f>(M547/MAX(M:M)*$M$1)+(N547/MAX(N:N)*$N$1)+(O547/MAX(O:O)*$O$1)+(P547/MAX(P:P)*$P$1)+(Q547/MAX(Q:Q)*$Q$1)+(R547/MAX(R:R)*$R$1)</f>
        <v/>
      </c>
      <c r="D547" s="156">
        <f>IFERROR(VLOOKUP(A547,'Injury Report'!A:F,6,0),"")</f>
        <v/>
      </c>
    </row>
    <row r="548" ht="15.6" customHeight="1" s="152">
      <c r="A548" s="167">
        <f>E548&amp;F548</f>
        <v/>
      </c>
      <c r="B548" s="156">
        <f>IF(D548&lt;&gt;"",C548,0)</f>
        <v/>
      </c>
      <c r="C548" s="156">
        <f>(M548/MAX(M:M)*$M$1)+(N548/MAX(N:N)*$N$1)+(O548/MAX(O:O)*$O$1)+(P548/MAX(P:P)*$P$1)+(Q548/MAX(Q:Q)*$Q$1)+(R548/MAX(R:R)*$R$1)</f>
        <v/>
      </c>
      <c r="D548" s="156">
        <f>IFERROR(VLOOKUP(A548,'Injury Report'!A:F,6,0),"")</f>
        <v/>
      </c>
    </row>
    <row r="549" ht="15.6" customHeight="1" s="152">
      <c r="A549" s="167">
        <f>E549&amp;F549</f>
        <v/>
      </c>
      <c r="B549" s="156">
        <f>IF(D549&lt;&gt;"",C549,0)</f>
        <v/>
      </c>
      <c r="C549" s="156">
        <f>(M549/MAX(M:M)*$M$1)+(N549/MAX(N:N)*$N$1)+(O549/MAX(O:O)*$O$1)+(P549/MAX(P:P)*$P$1)+(Q549/MAX(Q:Q)*$Q$1)+(R549/MAX(R:R)*$R$1)</f>
        <v/>
      </c>
      <c r="D549" s="156">
        <f>IFERROR(VLOOKUP(A549,'Injury Report'!A:F,6,0),"")</f>
        <v/>
      </c>
    </row>
    <row r="550" ht="15.6" customHeight="1" s="152">
      <c r="A550" s="167">
        <f>E550&amp;F550</f>
        <v/>
      </c>
      <c r="B550" s="156">
        <f>IF(D550&lt;&gt;"",C550,0)</f>
        <v/>
      </c>
      <c r="C550" s="156">
        <f>(M550/MAX(M:M)*$M$1)+(N550/MAX(N:N)*$N$1)+(O550/MAX(O:O)*$O$1)+(P550/MAX(P:P)*$P$1)+(Q550/MAX(Q:Q)*$Q$1)+(R550/MAX(R:R)*$R$1)</f>
        <v/>
      </c>
      <c r="D550" s="156">
        <f>IFERROR(VLOOKUP(A550,'Injury Report'!A:F,6,0),"")</f>
        <v/>
      </c>
    </row>
    <row r="551" ht="15.6" customHeight="1" s="152">
      <c r="A551" s="167">
        <f>E551&amp;F551</f>
        <v/>
      </c>
      <c r="B551" s="156">
        <f>IF(D551&lt;&gt;"",C551,0)</f>
        <v/>
      </c>
      <c r="C551" s="156">
        <f>(M551/MAX(M:M)*$M$1)+(N551/MAX(N:N)*$N$1)+(O551/MAX(O:O)*$O$1)+(P551/MAX(P:P)*$P$1)+(Q551/MAX(Q:Q)*$Q$1)+(R551/MAX(R:R)*$R$1)</f>
        <v/>
      </c>
      <c r="D551" s="156">
        <f>IFERROR(VLOOKUP(A551,'Injury Report'!A:F,6,0),"")</f>
        <v/>
      </c>
    </row>
    <row r="552" ht="15.6" customHeight="1" s="152">
      <c r="A552" s="167">
        <f>E552&amp;F552</f>
        <v/>
      </c>
      <c r="B552" s="156">
        <f>IF(D552&lt;&gt;"",C552,0)</f>
        <v/>
      </c>
      <c r="C552" s="156">
        <f>(M552/MAX(M:M)*$M$1)+(N552/MAX(N:N)*$N$1)+(O552/MAX(O:O)*$O$1)+(P552/MAX(P:P)*$P$1)+(Q552/MAX(Q:Q)*$Q$1)+(R552/MAX(R:R)*$R$1)</f>
        <v/>
      </c>
      <c r="D552" s="156">
        <f>IFERROR(VLOOKUP(A552,'Injury Report'!A:F,6,0),"")</f>
        <v/>
      </c>
    </row>
    <row r="553" ht="15.6" customHeight="1" s="152">
      <c r="A553" s="167">
        <f>E553&amp;F553</f>
        <v/>
      </c>
      <c r="B553" s="156">
        <f>IF(D553&lt;&gt;"",C553,0)</f>
        <v/>
      </c>
      <c r="C553" s="156">
        <f>(M553/MAX(M:M)*$M$1)+(N553/MAX(N:N)*$N$1)+(O553/MAX(O:O)*$O$1)+(P553/MAX(P:P)*$P$1)+(Q553/MAX(Q:Q)*$Q$1)+(R553/MAX(R:R)*$R$1)</f>
        <v/>
      </c>
      <c r="D553" s="156">
        <f>IFERROR(VLOOKUP(A553,'Injury Report'!A:F,6,0),"")</f>
        <v/>
      </c>
    </row>
    <row r="554" ht="15.6" customHeight="1" s="152">
      <c r="A554" s="167">
        <f>E554&amp;F554</f>
        <v/>
      </c>
      <c r="B554" s="156">
        <f>IF(D554&lt;&gt;"",C554,0)</f>
        <v/>
      </c>
      <c r="C554" s="156">
        <f>(M554/MAX(M:M)*$M$1)+(N554/MAX(N:N)*$N$1)+(O554/MAX(O:O)*$O$1)+(P554/MAX(P:P)*$P$1)+(Q554/MAX(Q:Q)*$Q$1)+(R554/MAX(R:R)*$R$1)</f>
        <v/>
      </c>
      <c r="D554" s="156">
        <f>IFERROR(VLOOKUP(A554,'Injury Report'!A:F,6,0),"")</f>
        <v/>
      </c>
    </row>
    <row r="555" ht="15.6" customHeight="1" s="152">
      <c r="A555" s="167">
        <f>E555&amp;F555</f>
        <v/>
      </c>
      <c r="B555" s="156">
        <f>IF(D555&lt;&gt;"",C555,0)</f>
        <v/>
      </c>
      <c r="C555" s="156">
        <f>(M555/MAX(M:M)*$M$1)+(N555/MAX(N:N)*$N$1)+(O555/MAX(O:O)*$O$1)+(P555/MAX(P:P)*$P$1)+(Q555/MAX(Q:Q)*$Q$1)+(R555/MAX(R:R)*$R$1)</f>
        <v/>
      </c>
      <c r="D555" s="156">
        <f>IFERROR(VLOOKUP(A555,'Injury Report'!A:F,6,0),"")</f>
        <v/>
      </c>
    </row>
    <row r="556" ht="15.6" customHeight="1" s="152">
      <c r="A556" s="167">
        <f>E556&amp;F556</f>
        <v/>
      </c>
      <c r="B556" s="156">
        <f>IF(D556&lt;&gt;"",C556,0)</f>
        <v/>
      </c>
      <c r="C556" s="156">
        <f>(M556/MAX(M:M)*$M$1)+(N556/MAX(N:N)*$N$1)+(O556/MAX(O:O)*$O$1)+(P556/MAX(P:P)*$P$1)+(Q556/MAX(Q:Q)*$Q$1)+(R556/MAX(R:R)*$R$1)</f>
        <v/>
      </c>
      <c r="D556" s="156">
        <f>IFERROR(VLOOKUP(A556,'Injury Report'!A:F,6,0),"")</f>
        <v/>
      </c>
    </row>
    <row r="557" ht="15.6" customHeight="1" s="152">
      <c r="A557" s="167">
        <f>E557&amp;F557</f>
        <v/>
      </c>
      <c r="B557" s="156">
        <f>IF(D557&lt;&gt;"",C557,0)</f>
        <v/>
      </c>
      <c r="C557" s="156">
        <f>(M557/MAX(M:M)*$M$1)+(N557/MAX(N:N)*$N$1)+(O557/MAX(O:O)*$O$1)+(P557/MAX(P:P)*$P$1)+(Q557/MAX(Q:Q)*$Q$1)+(R557/MAX(R:R)*$R$1)</f>
        <v/>
      </c>
      <c r="D557" s="156">
        <f>IFERROR(VLOOKUP(A557,'Injury Report'!A:F,6,0),"")</f>
        <v/>
      </c>
    </row>
    <row r="558" ht="15.6" customHeight="1" s="152">
      <c r="A558" s="167">
        <f>E558&amp;F558</f>
        <v/>
      </c>
      <c r="B558" s="156">
        <f>IF(D558&lt;&gt;"",C558,0)</f>
        <v/>
      </c>
      <c r="C558" s="156">
        <f>(M558/MAX(M:M)*$M$1)+(N558/MAX(N:N)*$N$1)+(O558/MAX(O:O)*$O$1)+(P558/MAX(P:P)*$P$1)+(Q558/MAX(Q:Q)*$Q$1)+(R558/MAX(R:R)*$R$1)</f>
        <v/>
      </c>
      <c r="D558" s="156">
        <f>IFERROR(VLOOKUP(A558,'Injury Report'!A:F,6,0),"")</f>
        <v/>
      </c>
    </row>
    <row r="559" ht="15.6" customHeight="1" s="152">
      <c r="A559" s="167">
        <f>E559&amp;F559</f>
        <v/>
      </c>
      <c r="B559" s="156">
        <f>IF(D559&lt;&gt;"",C559,0)</f>
        <v/>
      </c>
      <c r="C559" s="156">
        <f>(M559/MAX(M:M)*$M$1)+(N559/MAX(N:N)*$N$1)+(O559/MAX(O:O)*$O$1)+(P559/MAX(P:P)*$P$1)+(Q559/MAX(Q:Q)*$Q$1)+(R559/MAX(R:R)*$R$1)</f>
        <v/>
      </c>
      <c r="D559" s="156">
        <f>IFERROR(VLOOKUP(A559,'Injury Report'!A:F,6,0),"")</f>
        <v/>
      </c>
    </row>
    <row r="560" ht="15.6" customHeight="1" s="152">
      <c r="A560" s="167">
        <f>E560&amp;F560</f>
        <v/>
      </c>
      <c r="B560" s="156">
        <f>IF(D560&lt;&gt;"",C560,0)</f>
        <v/>
      </c>
      <c r="C560" s="156">
        <f>(M560/MAX(M:M)*$M$1)+(N560/MAX(N:N)*$N$1)+(O560/MAX(O:O)*$O$1)+(P560/MAX(P:P)*$P$1)+(Q560/MAX(Q:Q)*$Q$1)+(R560/MAX(R:R)*$R$1)</f>
        <v/>
      </c>
      <c r="D560" s="156">
        <f>IFERROR(VLOOKUP(A560,'Injury Report'!A:F,6,0),"")</f>
        <v/>
      </c>
    </row>
    <row r="561" ht="15.6" customHeight="1" s="152">
      <c r="A561" s="167">
        <f>E561&amp;F561</f>
        <v/>
      </c>
      <c r="B561" s="156">
        <f>IF(D561&lt;&gt;"",C561,0)</f>
        <v/>
      </c>
      <c r="C561" s="156">
        <f>(M561/MAX(M:M)*$M$1)+(N561/MAX(N:N)*$N$1)+(O561/MAX(O:O)*$O$1)+(P561/MAX(P:P)*$P$1)+(Q561/MAX(Q:Q)*$Q$1)+(R561/MAX(R:R)*$R$1)</f>
        <v/>
      </c>
      <c r="D561" s="156">
        <f>IFERROR(VLOOKUP(A561,'Injury Report'!A:F,6,0),"")</f>
        <v/>
      </c>
    </row>
    <row r="562" ht="15.6" customHeight="1" s="152">
      <c r="A562" s="167">
        <f>E562&amp;F562</f>
        <v/>
      </c>
      <c r="B562" s="156">
        <f>IF(D562&lt;&gt;"",C562,0)</f>
        <v/>
      </c>
      <c r="C562" s="156">
        <f>(M562/MAX(M:M)*$M$1)+(N562/MAX(N:N)*$N$1)+(O562/MAX(O:O)*$O$1)+(P562/MAX(P:P)*$P$1)+(Q562/MAX(Q:Q)*$Q$1)+(R562/MAX(R:R)*$R$1)</f>
        <v/>
      </c>
      <c r="D562" s="156">
        <f>IFERROR(VLOOKUP(A562,'Injury Report'!A:F,6,0),"")</f>
        <v/>
      </c>
    </row>
    <row r="563" ht="15.6" customHeight="1" s="152">
      <c r="A563" s="167">
        <f>E563&amp;F563</f>
        <v/>
      </c>
      <c r="B563" s="156">
        <f>IF(D563&lt;&gt;"",C563,0)</f>
        <v/>
      </c>
      <c r="C563" s="156">
        <f>(M563/MAX(M:M)*$M$1)+(N563/MAX(N:N)*$N$1)+(O563/MAX(O:O)*$O$1)+(P563/MAX(P:P)*$P$1)+(Q563/MAX(Q:Q)*$Q$1)+(R563/MAX(R:R)*$R$1)</f>
        <v/>
      </c>
      <c r="D563" s="156">
        <f>IFERROR(VLOOKUP(A563,'Injury Report'!A:F,6,0),"")</f>
        <v/>
      </c>
    </row>
    <row r="564" ht="15.6" customHeight="1" s="152">
      <c r="A564" s="167">
        <f>E564&amp;F564</f>
        <v/>
      </c>
      <c r="B564" s="156">
        <f>IF(D564&lt;&gt;"",C564,0)</f>
        <v/>
      </c>
      <c r="C564" s="156">
        <f>(M564/MAX(M:M)*$M$1)+(N564/MAX(N:N)*$N$1)+(O564/MAX(O:O)*$O$1)+(P564/MAX(P:P)*$P$1)+(Q564/MAX(Q:Q)*$Q$1)+(R564/MAX(R:R)*$R$1)</f>
        <v/>
      </c>
      <c r="D564" s="156">
        <f>IFERROR(VLOOKUP(A564,'Injury Report'!A:F,6,0),"")</f>
        <v/>
      </c>
    </row>
    <row r="565" ht="15.6" customHeight="1" s="152">
      <c r="A565" s="167">
        <f>E565&amp;F565</f>
        <v/>
      </c>
      <c r="B565" s="156">
        <f>IF(D565&lt;&gt;"",C565,0)</f>
        <v/>
      </c>
      <c r="C565" s="156">
        <f>(M565/MAX(M:M)*$M$1)+(N565/MAX(N:N)*$N$1)+(O565/MAX(O:O)*$O$1)+(P565/MAX(P:P)*$P$1)+(Q565/MAX(Q:Q)*$Q$1)+(R565/MAX(R:R)*$R$1)</f>
        <v/>
      </c>
      <c r="D565" s="156">
        <f>IFERROR(VLOOKUP(A565,'Injury Report'!A:F,6,0),"")</f>
        <v/>
      </c>
    </row>
    <row r="566" ht="15.6" customHeight="1" s="152">
      <c r="A566" s="167">
        <f>E566&amp;F566</f>
        <v/>
      </c>
      <c r="B566" s="156">
        <f>IF(D566&lt;&gt;"",C566,0)</f>
        <v/>
      </c>
      <c r="C566" s="156">
        <f>(M566/MAX(M:M)*$M$1)+(N566/MAX(N:N)*$N$1)+(O566/MAX(O:O)*$O$1)+(P566/MAX(P:P)*$P$1)+(Q566/MAX(Q:Q)*$Q$1)+(R566/MAX(R:R)*$R$1)</f>
        <v/>
      </c>
      <c r="D566" s="156">
        <f>IFERROR(VLOOKUP(A566,'Injury Report'!A:F,6,0),"")</f>
        <v/>
      </c>
    </row>
    <row r="567" ht="15.6" customHeight="1" s="152">
      <c r="A567" s="167">
        <f>E567&amp;F567</f>
        <v/>
      </c>
      <c r="B567" s="156">
        <f>IF(D567&lt;&gt;"",C567,0)</f>
        <v/>
      </c>
      <c r="C567" s="156">
        <f>(M567/MAX(M:M)*$M$1)+(N567/MAX(N:N)*$N$1)+(O567/MAX(O:O)*$O$1)+(P567/MAX(P:P)*$P$1)+(Q567/MAX(Q:Q)*$Q$1)+(R567/MAX(R:R)*$R$1)</f>
        <v/>
      </c>
      <c r="D567" s="156">
        <f>IFERROR(VLOOKUP(A567,'Injury Report'!A:F,6,0),"")</f>
        <v/>
      </c>
    </row>
    <row r="568" ht="15.6" customHeight="1" s="152">
      <c r="A568" s="167">
        <f>E568&amp;F568</f>
        <v/>
      </c>
      <c r="B568" s="156">
        <f>IF(D568&lt;&gt;"",C568,0)</f>
        <v/>
      </c>
      <c r="C568" s="156">
        <f>(M568/MAX(M:M)*$M$1)+(N568/MAX(N:N)*$N$1)+(O568/MAX(O:O)*$O$1)+(P568/MAX(P:P)*$P$1)+(Q568/MAX(Q:Q)*$Q$1)+(R568/MAX(R:R)*$R$1)</f>
        <v/>
      </c>
      <c r="D568" s="156">
        <f>IFERROR(VLOOKUP(A568,'Injury Report'!A:F,6,0),"")</f>
        <v/>
      </c>
    </row>
    <row r="569" ht="15.6" customHeight="1" s="152">
      <c r="A569" s="167">
        <f>E569&amp;F569</f>
        <v/>
      </c>
      <c r="B569" s="156">
        <f>IF(D569&lt;&gt;"",C569,0)</f>
        <v/>
      </c>
      <c r="C569" s="156">
        <f>(M569/MAX(M:M)*$M$1)+(N569/MAX(N:N)*$N$1)+(O569/MAX(O:O)*$O$1)+(P569/MAX(P:P)*$P$1)+(Q569/MAX(Q:Q)*$Q$1)+(R569/MAX(R:R)*$R$1)</f>
        <v/>
      </c>
      <c r="D569" s="156">
        <f>IFERROR(VLOOKUP(A569,'Injury Report'!A:F,6,0),"")</f>
        <v/>
      </c>
    </row>
    <row r="570" ht="15.6" customHeight="1" s="152">
      <c r="A570" s="167">
        <f>E570&amp;F570</f>
        <v/>
      </c>
      <c r="B570" s="156">
        <f>IF(D570&lt;&gt;"",C570,0)</f>
        <v/>
      </c>
      <c r="C570" s="156">
        <f>(M570/MAX(M:M)*$M$1)+(N570/MAX(N:N)*$N$1)+(O570/MAX(O:O)*$O$1)+(P570/MAX(P:P)*$P$1)+(Q570/MAX(Q:Q)*$Q$1)+(R570/MAX(R:R)*$R$1)</f>
        <v/>
      </c>
      <c r="D570" s="156">
        <f>IFERROR(VLOOKUP(A570,'Injury Report'!A:F,6,0),"")</f>
        <v/>
      </c>
    </row>
    <row r="571" ht="15.6" customHeight="1" s="152">
      <c r="A571" s="167">
        <f>E571&amp;F571</f>
        <v/>
      </c>
      <c r="B571" s="156">
        <f>IF(D571&lt;&gt;"",C571,0)</f>
        <v/>
      </c>
      <c r="C571" s="156">
        <f>(M571/MAX(M:M)*$M$1)+(N571/MAX(N:N)*$N$1)+(O571/MAX(O:O)*$O$1)+(P571/MAX(P:P)*$P$1)+(Q571/MAX(Q:Q)*$Q$1)+(R571/MAX(R:R)*$R$1)</f>
        <v/>
      </c>
      <c r="D571" s="156">
        <f>IFERROR(VLOOKUP(A571,'Injury Report'!A:F,6,0),"")</f>
        <v/>
      </c>
    </row>
    <row r="572" ht="15.6" customHeight="1" s="152">
      <c r="A572" s="167">
        <f>E572&amp;F572</f>
        <v/>
      </c>
      <c r="B572" s="156">
        <f>IF(D572&lt;&gt;"",C572,0)</f>
        <v/>
      </c>
      <c r="C572" s="156">
        <f>(M572/MAX(M:M)*$M$1)+(N572/MAX(N:N)*$N$1)+(O572/MAX(O:O)*$O$1)+(P572/MAX(P:P)*$P$1)+(Q572/MAX(Q:Q)*$Q$1)+(R572/MAX(R:R)*$R$1)</f>
        <v/>
      </c>
      <c r="D572" s="156">
        <f>IFERROR(VLOOKUP(A572,'Injury Report'!A:F,6,0),"")</f>
        <v/>
      </c>
    </row>
    <row r="573" ht="15.6" customHeight="1" s="152">
      <c r="A573" s="167">
        <f>E573&amp;F573</f>
        <v/>
      </c>
      <c r="B573" s="156">
        <f>IF(D573&lt;&gt;"",C573,0)</f>
        <v/>
      </c>
      <c r="C573" s="156">
        <f>(M573/MAX(M:M)*$M$1)+(N573/MAX(N:N)*$N$1)+(O573/MAX(O:O)*$O$1)+(P573/MAX(P:P)*$P$1)+(Q573/MAX(Q:Q)*$Q$1)+(R573/MAX(R:R)*$R$1)</f>
        <v/>
      </c>
      <c r="D573" s="156">
        <f>IFERROR(VLOOKUP(A573,'Injury Report'!A:F,6,0),"")</f>
        <v/>
      </c>
    </row>
    <row r="574" ht="15.6" customHeight="1" s="152">
      <c r="A574" s="167">
        <f>E574&amp;F574</f>
        <v/>
      </c>
      <c r="B574" s="156">
        <f>IF(D574&lt;&gt;"",C574,0)</f>
        <v/>
      </c>
      <c r="C574" s="156">
        <f>(M574/MAX(M:M)*$M$1)+(N574/MAX(N:N)*$N$1)+(O574/MAX(O:O)*$O$1)+(P574/MAX(P:P)*$P$1)+(Q574/MAX(Q:Q)*$Q$1)+(R574/MAX(R:R)*$R$1)</f>
        <v/>
      </c>
      <c r="D574" s="156">
        <f>IFERROR(VLOOKUP(A574,'Injury Report'!A:F,6,0),"")</f>
        <v/>
      </c>
    </row>
    <row r="575" ht="15.6" customHeight="1" s="152">
      <c r="A575" s="167">
        <f>E575&amp;F575</f>
        <v/>
      </c>
      <c r="B575" s="156">
        <f>IF(D575&lt;&gt;"",C575,0)</f>
        <v/>
      </c>
      <c r="C575" s="156">
        <f>(M575/MAX(M:M)*$M$1)+(N575/MAX(N:N)*$N$1)+(O575/MAX(O:O)*$O$1)+(P575/MAX(P:P)*$P$1)+(Q575/MAX(Q:Q)*$Q$1)+(R575/MAX(R:R)*$R$1)</f>
        <v/>
      </c>
      <c r="D575" s="156">
        <f>IFERROR(VLOOKUP(A575,'Injury Report'!A:F,6,0),"")</f>
        <v/>
      </c>
    </row>
    <row r="576" ht="15.6" customHeight="1" s="152">
      <c r="A576" s="167">
        <f>E576&amp;F576</f>
        <v/>
      </c>
      <c r="B576" s="156">
        <f>IF(D576&lt;&gt;"",C576,0)</f>
        <v/>
      </c>
      <c r="C576" s="156">
        <f>(M576/MAX(M:M)*$M$1)+(N576/MAX(N:N)*$N$1)+(O576/MAX(O:O)*$O$1)+(P576/MAX(P:P)*$P$1)+(Q576/MAX(Q:Q)*$Q$1)+(R576/MAX(R:R)*$R$1)</f>
        <v/>
      </c>
      <c r="D576" s="156">
        <f>IFERROR(VLOOKUP(A576,'Injury Report'!A:F,6,0),"")</f>
        <v/>
      </c>
    </row>
    <row r="577" ht="15.6" customHeight="1" s="152">
      <c r="A577" s="167">
        <f>E577&amp;F577</f>
        <v/>
      </c>
      <c r="B577" s="156">
        <f>IF(D577&lt;&gt;"",C577,0)</f>
        <v/>
      </c>
      <c r="C577" s="156">
        <f>(M577/MAX(M:M)*$M$1)+(N577/MAX(N:N)*$N$1)+(O577/MAX(O:O)*$O$1)+(P577/MAX(P:P)*$P$1)+(Q577/MAX(Q:Q)*$Q$1)+(R577/MAX(R:R)*$R$1)</f>
        <v/>
      </c>
      <c r="D577" s="156">
        <f>IFERROR(VLOOKUP(A577,'Injury Report'!A:F,6,0),"")</f>
        <v/>
      </c>
    </row>
    <row r="578" ht="15.6" customHeight="1" s="152">
      <c r="A578" s="167">
        <f>E578&amp;F578</f>
        <v/>
      </c>
      <c r="B578" s="156">
        <f>IF(D578&lt;&gt;"",C578,0)</f>
        <v/>
      </c>
      <c r="C578" s="156">
        <f>(M578/MAX(M:M)*$M$1)+(N578/MAX(N:N)*$N$1)+(O578/MAX(O:O)*$O$1)+(P578/MAX(P:P)*$P$1)+(Q578/MAX(Q:Q)*$Q$1)+(R578/MAX(R:R)*$R$1)</f>
        <v/>
      </c>
      <c r="D578" s="156">
        <f>IFERROR(VLOOKUP(A578,'Injury Report'!A:F,6,0),"")</f>
        <v/>
      </c>
    </row>
    <row r="579" ht="15.6" customHeight="1" s="152">
      <c r="A579" s="167">
        <f>E579&amp;F579</f>
        <v/>
      </c>
      <c r="B579" s="156">
        <f>IF(D579&lt;&gt;"",C579,0)</f>
        <v/>
      </c>
      <c r="C579" s="156">
        <f>(M579/MAX(M:M)*$M$1)+(N579/MAX(N:N)*$N$1)+(O579/MAX(O:O)*$O$1)+(P579/MAX(P:P)*$P$1)+(Q579/MAX(Q:Q)*$Q$1)+(R579/MAX(R:R)*$R$1)</f>
        <v/>
      </c>
      <c r="D579" s="156">
        <f>IFERROR(VLOOKUP(A579,'Injury Report'!A:F,6,0),"")</f>
        <v/>
      </c>
    </row>
    <row r="580" ht="15.6" customHeight="1" s="152">
      <c r="A580" s="167">
        <f>E580&amp;F580</f>
        <v/>
      </c>
      <c r="B580" s="156">
        <f>IF(D580&lt;&gt;"",C580,0)</f>
        <v/>
      </c>
      <c r="C580" s="156">
        <f>(M580/MAX(M:M)*$M$1)+(N580/MAX(N:N)*$N$1)+(O580/MAX(O:O)*$O$1)+(P580/MAX(P:P)*$P$1)+(Q580/MAX(Q:Q)*$Q$1)+(R580/MAX(R:R)*$R$1)</f>
        <v/>
      </c>
      <c r="D580" s="156">
        <f>IFERROR(VLOOKUP(A580,'Injury Report'!A:F,6,0),"")</f>
        <v/>
      </c>
    </row>
    <row r="581" ht="15.6" customHeight="1" s="152">
      <c r="A581" s="167">
        <f>E581&amp;F581</f>
        <v/>
      </c>
      <c r="B581" s="156">
        <f>IF(D581&lt;&gt;"",C581,0)</f>
        <v/>
      </c>
      <c r="C581" s="156">
        <f>(M581/MAX(M:M)*$M$1)+(N581/MAX(N:N)*$N$1)+(O581/MAX(O:O)*$O$1)+(P581/MAX(P:P)*$P$1)+(Q581/MAX(Q:Q)*$Q$1)+(R581/MAX(R:R)*$R$1)</f>
        <v/>
      </c>
      <c r="D581" s="156">
        <f>IFERROR(VLOOKUP(A581,'Injury Report'!A:F,6,0),"")</f>
        <v/>
      </c>
    </row>
    <row r="582" ht="15.6" customHeight="1" s="152">
      <c r="A582" s="167">
        <f>E582&amp;F582</f>
        <v/>
      </c>
      <c r="B582" s="156">
        <f>IF(D582&lt;&gt;"",C582,0)</f>
        <v/>
      </c>
      <c r="C582" s="156">
        <f>(M582/MAX(M:M)*$M$1)+(N582/MAX(N:N)*$N$1)+(O582/MAX(O:O)*$O$1)+(P582/MAX(P:P)*$P$1)+(Q582/MAX(Q:Q)*$Q$1)+(R582/MAX(R:R)*$R$1)</f>
        <v/>
      </c>
      <c r="D582" s="156">
        <f>IFERROR(VLOOKUP(A582,'Injury Report'!A:F,6,0),"")</f>
        <v/>
      </c>
    </row>
    <row r="583" ht="15.6" customHeight="1" s="152">
      <c r="A583" s="167">
        <f>E583&amp;F583</f>
        <v/>
      </c>
      <c r="B583" s="156">
        <f>IF(D583&lt;&gt;"",C583,0)</f>
        <v/>
      </c>
      <c r="C583" s="156">
        <f>(M583/MAX(M:M)*$M$1)+(N583/MAX(N:N)*$N$1)+(O583/MAX(O:O)*$O$1)+(P583/MAX(P:P)*$P$1)+(Q583/MAX(Q:Q)*$Q$1)+(R583/MAX(R:R)*$R$1)</f>
        <v/>
      </c>
      <c r="D583" s="156">
        <f>IFERROR(VLOOKUP(A583,'Injury Report'!A:F,6,0),"")</f>
        <v/>
      </c>
    </row>
    <row r="584" ht="15.6" customHeight="1" s="152">
      <c r="A584" s="167">
        <f>E584&amp;F584</f>
        <v/>
      </c>
      <c r="B584" s="156">
        <f>IF(D584&lt;&gt;"",C584,0)</f>
        <v/>
      </c>
      <c r="C584" s="156">
        <f>(M584/MAX(M:M)*$M$1)+(N584/MAX(N:N)*$N$1)+(O584/MAX(O:O)*$O$1)+(P584/MAX(P:P)*$P$1)+(Q584/MAX(Q:Q)*$Q$1)+(R584/MAX(R:R)*$R$1)</f>
        <v/>
      </c>
      <c r="D584" s="156">
        <f>IFERROR(VLOOKUP(A584,'Injury Report'!A:F,6,0),"")</f>
        <v/>
      </c>
    </row>
    <row r="585" ht="15.6" customHeight="1" s="152">
      <c r="A585" s="167">
        <f>E585&amp;F585</f>
        <v/>
      </c>
      <c r="B585" s="156">
        <f>IF(D585&lt;&gt;"",C585,0)</f>
        <v/>
      </c>
      <c r="C585" s="156">
        <f>(M585/MAX(M:M)*$M$1)+(N585/MAX(N:N)*$N$1)+(O585/MAX(O:O)*$O$1)+(P585/MAX(P:P)*$P$1)+(Q585/MAX(Q:Q)*$Q$1)+(R585/MAX(R:R)*$R$1)</f>
        <v/>
      </c>
      <c r="D585" s="156">
        <f>IFERROR(VLOOKUP(A585,'Injury Report'!A:F,6,0),"")</f>
        <v/>
      </c>
    </row>
    <row r="586" ht="15.6" customHeight="1" s="152">
      <c r="A586" s="167">
        <f>E586&amp;F586</f>
        <v/>
      </c>
      <c r="B586" s="156">
        <f>IF(D586&lt;&gt;"",C586,0)</f>
        <v/>
      </c>
      <c r="C586" s="156">
        <f>(M586/MAX(M:M)*$M$1)+(N586/MAX(N:N)*$N$1)+(O586/MAX(O:O)*$O$1)+(P586/MAX(P:P)*$P$1)+(Q586/MAX(Q:Q)*$Q$1)+(R586/MAX(R:R)*$R$1)</f>
        <v/>
      </c>
      <c r="D586" s="156">
        <f>IFERROR(VLOOKUP(A586,'Injury Report'!A:F,6,0),"")</f>
        <v/>
      </c>
    </row>
    <row r="587" ht="15.6" customHeight="1" s="152">
      <c r="A587" s="167">
        <f>E587&amp;F587</f>
        <v/>
      </c>
      <c r="B587" s="156">
        <f>IF(D587&lt;&gt;"",C587,0)</f>
        <v/>
      </c>
      <c r="C587" s="156">
        <f>(M587/MAX(M:M)*$M$1)+(N587/MAX(N:N)*$N$1)+(O587/MAX(O:O)*$O$1)+(P587/MAX(P:P)*$P$1)+(Q587/MAX(Q:Q)*$Q$1)+(R587/MAX(R:R)*$R$1)</f>
        <v/>
      </c>
      <c r="D587" s="156">
        <f>IFERROR(VLOOKUP(A587,'Injury Report'!A:F,6,0),"")</f>
        <v/>
      </c>
    </row>
    <row r="588" ht="15.6" customHeight="1" s="152">
      <c r="A588" s="167">
        <f>E588&amp;F588</f>
        <v/>
      </c>
      <c r="B588" s="156">
        <f>IF(D588&lt;&gt;"",C588,0)</f>
        <v/>
      </c>
      <c r="C588" s="156">
        <f>(M588/MAX(M:M)*$M$1)+(N588/MAX(N:N)*$N$1)+(O588/MAX(O:O)*$O$1)+(P588/MAX(P:P)*$P$1)+(Q588/MAX(Q:Q)*$Q$1)+(R588/MAX(R:R)*$R$1)</f>
        <v/>
      </c>
      <c r="D588" s="156">
        <f>IFERROR(VLOOKUP(A588,'Injury Report'!A:F,6,0),"")</f>
        <v/>
      </c>
    </row>
    <row r="589" ht="15.6" customHeight="1" s="152">
      <c r="A589" s="167">
        <f>E589&amp;F589</f>
        <v/>
      </c>
      <c r="B589" s="156">
        <f>IF(D589&lt;&gt;"",C589,0)</f>
        <v/>
      </c>
      <c r="C589" s="156">
        <f>(M589/MAX(M:M)*$M$1)+(N589/MAX(N:N)*$N$1)+(O589/MAX(O:O)*$O$1)+(P589/MAX(P:P)*$P$1)+(Q589/MAX(Q:Q)*$Q$1)+(R589/MAX(R:R)*$R$1)</f>
        <v/>
      </c>
      <c r="D589" s="156">
        <f>IFERROR(VLOOKUP(A589,'Injury Report'!A:F,6,0),"")</f>
        <v/>
      </c>
    </row>
    <row r="590" ht="15.6" customHeight="1" s="152">
      <c r="A590" s="167">
        <f>E590&amp;F590</f>
        <v/>
      </c>
      <c r="B590" s="156">
        <f>IF(D590&lt;&gt;"",C590,0)</f>
        <v/>
      </c>
      <c r="C590" s="156">
        <f>(M590/MAX(M:M)*$M$1)+(N590/MAX(N:N)*$N$1)+(O590/MAX(O:O)*$O$1)+(P590/MAX(P:P)*$P$1)+(Q590/MAX(Q:Q)*$Q$1)+(R590/MAX(R:R)*$R$1)</f>
        <v/>
      </c>
      <c r="D590" s="156">
        <f>IFERROR(VLOOKUP(A590,'Injury Report'!A:F,6,0),"")</f>
        <v/>
      </c>
    </row>
    <row r="591" ht="15.6" customHeight="1" s="152">
      <c r="A591" s="167">
        <f>E591&amp;F591</f>
        <v/>
      </c>
      <c r="B591" s="156">
        <f>IF(D591&lt;&gt;"",C591,0)</f>
        <v/>
      </c>
      <c r="C591" s="156">
        <f>(M591/MAX(M:M)*$M$1)+(N591/MAX(N:N)*$N$1)+(O591/MAX(O:O)*$O$1)+(P591/MAX(P:P)*$P$1)+(Q591/MAX(Q:Q)*$Q$1)+(R591/MAX(R:R)*$R$1)</f>
        <v/>
      </c>
      <c r="D591" s="156">
        <f>IFERROR(VLOOKUP(A591,'Injury Report'!A:F,6,0),"")</f>
        <v/>
      </c>
    </row>
    <row r="592" ht="15.6" customHeight="1" s="152">
      <c r="A592" s="167">
        <f>E592&amp;F592</f>
        <v/>
      </c>
      <c r="B592" s="156">
        <f>IF(D592&lt;&gt;"",C592,0)</f>
        <v/>
      </c>
      <c r="C592" s="156">
        <f>(M592/MAX(M:M)*$M$1)+(N592/MAX(N:N)*$N$1)+(O592/MAX(O:O)*$O$1)+(P592/MAX(P:P)*$P$1)+(Q592/MAX(Q:Q)*$Q$1)+(R592/MAX(R:R)*$R$1)</f>
        <v/>
      </c>
      <c r="D592" s="156">
        <f>IFERROR(VLOOKUP(A592,'Injury Report'!A:F,6,0),"")</f>
        <v/>
      </c>
    </row>
    <row r="593" ht="15.6" customHeight="1" s="152">
      <c r="A593" s="167">
        <f>E593&amp;F593</f>
        <v/>
      </c>
      <c r="B593" s="156">
        <f>IF(D593&lt;&gt;"",C593,0)</f>
        <v/>
      </c>
      <c r="C593" s="156">
        <f>(M593/MAX(M:M)*$M$1)+(N593/MAX(N:N)*$N$1)+(O593/MAX(O:O)*$O$1)+(P593/MAX(P:P)*$P$1)+(Q593/MAX(Q:Q)*$Q$1)+(R593/MAX(R:R)*$R$1)</f>
        <v/>
      </c>
      <c r="D593" s="156">
        <f>IFERROR(VLOOKUP(A593,'Injury Report'!A:F,6,0),"")</f>
        <v/>
      </c>
    </row>
    <row r="594" ht="15.6" customHeight="1" s="152">
      <c r="A594" s="167">
        <f>E594&amp;F594</f>
        <v/>
      </c>
      <c r="B594" s="156">
        <f>IF(D594&lt;&gt;"",C594,0)</f>
        <v/>
      </c>
      <c r="C594" s="156">
        <f>(M594/MAX(M:M)*$M$1)+(N594/MAX(N:N)*$N$1)+(O594/MAX(O:O)*$O$1)+(P594/MAX(P:P)*$P$1)+(Q594/MAX(Q:Q)*$Q$1)+(R594/MAX(R:R)*$R$1)</f>
        <v/>
      </c>
      <c r="D594" s="156">
        <f>IFERROR(VLOOKUP(A594,'Injury Report'!A:F,6,0),"")</f>
        <v/>
      </c>
    </row>
    <row r="595" ht="15.6" customHeight="1" s="152">
      <c r="A595" s="167">
        <f>E595&amp;F595</f>
        <v/>
      </c>
      <c r="B595" s="156">
        <f>IF(D595&lt;&gt;"",C595,0)</f>
        <v/>
      </c>
      <c r="C595" s="156">
        <f>(M595/MAX(M:M)*$M$1)+(N595/MAX(N:N)*$N$1)+(O595/MAX(O:O)*$O$1)+(P595/MAX(P:P)*$P$1)+(Q595/MAX(Q:Q)*$Q$1)+(R595/MAX(R:R)*$R$1)</f>
        <v/>
      </c>
      <c r="D595" s="156">
        <f>IFERROR(VLOOKUP(A595,'Injury Report'!A:F,6,0),"")</f>
        <v/>
      </c>
    </row>
    <row r="596" ht="15.6" customHeight="1" s="152">
      <c r="A596" s="167">
        <f>E596&amp;F596</f>
        <v/>
      </c>
      <c r="B596" s="156">
        <f>IF(D596&lt;&gt;"",C596,0)</f>
        <v/>
      </c>
      <c r="C596" s="156">
        <f>(M596/MAX(M:M)*$M$1)+(N596/MAX(N:N)*$N$1)+(O596/MAX(O:O)*$O$1)+(P596/MAX(P:P)*$P$1)+(Q596/MAX(Q:Q)*$Q$1)+(R596/MAX(R:R)*$R$1)</f>
        <v/>
      </c>
      <c r="D596" s="156">
        <f>IFERROR(VLOOKUP(A596,'Injury Report'!A:F,6,0),"")</f>
        <v/>
      </c>
    </row>
    <row r="597" ht="15.6" customHeight="1" s="152">
      <c r="A597" s="167">
        <f>E597&amp;F597</f>
        <v/>
      </c>
      <c r="B597" s="156">
        <f>IF(D597&lt;&gt;"",C597,0)</f>
        <v/>
      </c>
      <c r="C597" s="156">
        <f>(M597/MAX(M:M)*$M$1)+(N597/MAX(N:N)*$N$1)+(O597/MAX(O:O)*$O$1)+(P597/MAX(P:P)*$P$1)+(Q597/MAX(Q:Q)*$Q$1)+(R597/MAX(R:R)*$R$1)</f>
        <v/>
      </c>
      <c r="D597" s="156">
        <f>IFERROR(VLOOKUP(A597,'Injury Report'!A:F,6,0),"")</f>
        <v/>
      </c>
    </row>
    <row r="598" ht="15.6" customHeight="1" s="152">
      <c r="A598" s="167">
        <f>E598&amp;F598</f>
        <v/>
      </c>
      <c r="B598" s="156">
        <f>IF(D598&lt;&gt;"",C598,0)</f>
        <v/>
      </c>
      <c r="C598" s="156">
        <f>(M598/MAX(M:M)*$M$1)+(N598/MAX(N:N)*$N$1)+(O598/MAX(O:O)*$O$1)+(P598/MAX(P:P)*$P$1)+(Q598/MAX(Q:Q)*$Q$1)+(R598/MAX(R:R)*$R$1)</f>
        <v/>
      </c>
      <c r="D598" s="156">
        <f>IFERROR(VLOOKUP(A598,'Injury Report'!A:F,6,0),"")</f>
        <v/>
      </c>
    </row>
    <row r="599" ht="15.6" customHeight="1" s="152">
      <c r="A599" s="167">
        <f>E599&amp;F599</f>
        <v/>
      </c>
      <c r="B599" s="156">
        <f>IF(D599&lt;&gt;"",C599,0)</f>
        <v/>
      </c>
      <c r="C599" s="156">
        <f>(M599/MAX(M:M)*$M$1)+(N599/MAX(N:N)*$N$1)+(O599/MAX(O:O)*$O$1)+(P599/MAX(P:P)*$P$1)+(Q599/MAX(Q:Q)*$Q$1)+(R599/MAX(R:R)*$R$1)</f>
        <v/>
      </c>
      <c r="D599" s="156">
        <f>IFERROR(VLOOKUP(A599,'Injury Report'!A:F,6,0),"")</f>
        <v/>
      </c>
    </row>
    <row r="600" ht="15.6" customHeight="1" s="152">
      <c r="A600" s="167">
        <f>E600&amp;F600</f>
        <v/>
      </c>
      <c r="B600" s="156">
        <f>IF(D600&lt;&gt;"",C600,0)</f>
        <v/>
      </c>
      <c r="C600" s="156">
        <f>(M600/MAX(M:M)*$M$1)+(N600/MAX(N:N)*$N$1)+(O600/MAX(O:O)*$O$1)+(P600/MAX(P:P)*$P$1)+(Q600/MAX(Q:Q)*$Q$1)+(R600/MAX(R:R)*$R$1)</f>
        <v/>
      </c>
      <c r="D600" s="156">
        <f>IFERROR(VLOOKUP(A600,'Injury Report'!A:F,6,0),"")</f>
        <v/>
      </c>
    </row>
    <row r="601" ht="15.6" customHeight="1" s="152">
      <c r="A601" s="167">
        <f>E601&amp;F601</f>
        <v/>
      </c>
      <c r="B601" s="156">
        <f>IF(D601&lt;&gt;"",C601,0)</f>
        <v/>
      </c>
      <c r="C601" s="156">
        <f>(M601/MAX(M:M)*$M$1)+(N601/MAX(N:N)*$N$1)+(O601/MAX(O:O)*$O$1)+(P601/MAX(P:P)*$P$1)+(Q601/MAX(Q:Q)*$Q$1)+(R601/MAX(R:R)*$R$1)</f>
        <v/>
      </c>
      <c r="D601" s="156">
        <f>IFERROR(VLOOKUP(A601,'Injury Report'!A:F,6,0),"")</f>
        <v/>
      </c>
    </row>
    <row r="602" ht="15.6" customHeight="1" s="152">
      <c r="A602" s="167">
        <f>E602&amp;F602</f>
        <v/>
      </c>
      <c r="B602" s="156">
        <f>IF(D602&lt;&gt;"",C602,0)</f>
        <v/>
      </c>
      <c r="C602" s="156">
        <f>(M602/MAX(M:M)*$M$1)+(N602/MAX(N:N)*$N$1)+(O602/MAX(O:O)*$O$1)+(P602/MAX(P:P)*$P$1)+(Q602/MAX(Q:Q)*$Q$1)+(R602/MAX(R:R)*$R$1)</f>
        <v/>
      </c>
      <c r="D602" s="156">
        <f>IFERROR(VLOOKUP(A602,'Injury Report'!A:F,6,0),"")</f>
        <v/>
      </c>
    </row>
    <row r="603" ht="15.6" customHeight="1" s="152">
      <c r="A603" s="167">
        <f>E603&amp;F603</f>
        <v/>
      </c>
      <c r="B603" s="156">
        <f>IF(D603&lt;&gt;"",C603,0)</f>
        <v/>
      </c>
      <c r="C603" s="156">
        <f>(M603/MAX(M:M)*$M$1)+(N603/MAX(N:N)*$N$1)+(O603/MAX(O:O)*$O$1)+(P603/MAX(P:P)*$P$1)+(Q603/MAX(Q:Q)*$Q$1)+(R603/MAX(R:R)*$R$1)</f>
        <v/>
      </c>
      <c r="D603" s="156">
        <f>IFERROR(VLOOKUP(A603,'Injury Report'!A:F,6,0),"")</f>
        <v/>
      </c>
    </row>
    <row r="604" ht="15.6" customHeight="1" s="152">
      <c r="A604" s="167">
        <f>E604&amp;F604</f>
        <v/>
      </c>
      <c r="B604" s="156">
        <f>IF(D604&lt;&gt;"",C604,0)</f>
        <v/>
      </c>
      <c r="C604" s="156">
        <f>(M604/MAX(M:M)*$M$1)+(N604/MAX(N:N)*$N$1)+(O604/MAX(O:O)*$O$1)+(P604/MAX(P:P)*$P$1)+(Q604/MAX(Q:Q)*$Q$1)+(R604/MAX(R:R)*$R$1)</f>
        <v/>
      </c>
      <c r="D604" s="156">
        <f>IFERROR(VLOOKUP(A604,'Injury Report'!A:F,6,0),"")</f>
        <v/>
      </c>
    </row>
    <row r="605" ht="15.6" customHeight="1" s="152">
      <c r="A605" s="167">
        <f>E605&amp;F605</f>
        <v/>
      </c>
      <c r="B605" s="156">
        <f>IF(D605&lt;&gt;"",C605,0)</f>
        <v/>
      </c>
      <c r="C605" s="156">
        <f>(M605/MAX(M:M)*$M$1)+(N605/MAX(N:N)*$N$1)+(O605/MAX(O:O)*$O$1)+(P605/MAX(P:P)*$P$1)+(Q605/MAX(Q:Q)*$Q$1)+(R605/MAX(R:R)*$R$1)</f>
        <v/>
      </c>
      <c r="D605" s="156">
        <f>IFERROR(VLOOKUP(A605,'Injury Report'!A:F,6,0),"")</f>
        <v/>
      </c>
    </row>
    <row r="606" ht="15.6" customHeight="1" s="152">
      <c r="A606" s="167">
        <f>E606&amp;F606</f>
        <v/>
      </c>
      <c r="B606" s="156">
        <f>IF(D606&lt;&gt;"",C606,0)</f>
        <v/>
      </c>
      <c r="C606" s="156">
        <f>(M606/MAX(M:M)*$M$1)+(N606/MAX(N:N)*$N$1)+(O606/MAX(O:O)*$O$1)+(P606/MAX(P:P)*$P$1)+(Q606/MAX(Q:Q)*$Q$1)+(R606/MAX(R:R)*$R$1)</f>
        <v/>
      </c>
      <c r="D606" s="156">
        <f>IFERROR(VLOOKUP(A606,'Injury Report'!A:F,6,0),"")</f>
        <v/>
      </c>
    </row>
    <row r="607" ht="15.6" customHeight="1" s="152">
      <c r="A607" s="167">
        <f>E607&amp;F607</f>
        <v/>
      </c>
      <c r="B607" s="156">
        <f>IF(D607&lt;&gt;"",C607,0)</f>
        <v/>
      </c>
      <c r="C607" s="156">
        <f>(M607/MAX(M:M)*$M$1)+(N607/MAX(N:N)*$N$1)+(O607/MAX(O:O)*$O$1)+(P607/MAX(P:P)*$P$1)+(Q607/MAX(Q:Q)*$Q$1)+(R607/MAX(R:R)*$R$1)</f>
        <v/>
      </c>
      <c r="D607" s="156">
        <f>IFERROR(VLOOKUP(A607,'Injury Report'!A:F,6,0),"")</f>
        <v/>
      </c>
    </row>
    <row r="608" ht="15.6" customHeight="1" s="152">
      <c r="A608" s="167">
        <f>E608&amp;F608</f>
        <v/>
      </c>
      <c r="B608" s="156">
        <f>IF(D608&lt;&gt;"",C608,0)</f>
        <v/>
      </c>
      <c r="C608" s="156">
        <f>(M608/MAX(M:M)*$M$1)+(N608/MAX(N:N)*$N$1)+(O608/MAX(O:O)*$O$1)+(P608/MAX(P:P)*$P$1)+(Q608/MAX(Q:Q)*$Q$1)+(R608/MAX(R:R)*$R$1)</f>
        <v/>
      </c>
      <c r="D608" s="156">
        <f>IFERROR(VLOOKUP(A608,'Injury Report'!A:F,6,0),"")</f>
        <v/>
      </c>
    </row>
    <row r="609" ht="15.6" customHeight="1" s="152">
      <c r="A609" s="167">
        <f>E609&amp;F609</f>
        <v/>
      </c>
      <c r="B609" s="156">
        <f>IF(D609&lt;&gt;"",C609,0)</f>
        <v/>
      </c>
      <c r="C609" s="156">
        <f>(M609/MAX(M:M)*$M$1)+(N609/MAX(N:N)*$N$1)+(O609/MAX(O:O)*$O$1)+(P609/MAX(P:P)*$P$1)+(Q609/MAX(Q:Q)*$Q$1)+(R609/MAX(R:R)*$R$1)</f>
        <v/>
      </c>
      <c r="D609" s="156">
        <f>IFERROR(VLOOKUP(A609,'Injury Report'!A:F,6,0),"")</f>
        <v/>
      </c>
    </row>
    <row r="610" ht="15.6" customHeight="1" s="152">
      <c r="A610" s="167">
        <f>E610&amp;F610</f>
        <v/>
      </c>
      <c r="B610" s="156">
        <f>IF(D610&lt;&gt;"",C610,0)</f>
        <v/>
      </c>
      <c r="C610" s="156">
        <f>(M610/MAX(M:M)*$M$1)+(N610/MAX(N:N)*$N$1)+(O610/MAX(O:O)*$O$1)+(P610/MAX(P:P)*$P$1)+(Q610/MAX(Q:Q)*$Q$1)+(R610/MAX(R:R)*$R$1)</f>
        <v/>
      </c>
      <c r="D610" s="156">
        <f>IFERROR(VLOOKUP(A610,'Injury Report'!A:F,6,0),"")</f>
        <v/>
      </c>
    </row>
    <row r="611" ht="15.6" customHeight="1" s="152">
      <c r="A611" s="167">
        <f>E611&amp;F611</f>
        <v/>
      </c>
      <c r="B611" s="156">
        <f>IF(D611&lt;&gt;"",C611,0)</f>
        <v/>
      </c>
      <c r="C611" s="156">
        <f>(M611/MAX(M:M)*$M$1)+(N611/MAX(N:N)*$N$1)+(O611/MAX(O:O)*$O$1)+(P611/MAX(P:P)*$P$1)+(Q611/MAX(Q:Q)*$Q$1)+(R611/MAX(R:R)*$R$1)</f>
        <v/>
      </c>
      <c r="D611" s="156">
        <f>IFERROR(VLOOKUP(A611,'Injury Report'!A:F,6,0),"")</f>
        <v/>
      </c>
    </row>
    <row r="612" ht="15.6" customHeight="1" s="152">
      <c r="A612" s="167">
        <f>E612&amp;F612</f>
        <v/>
      </c>
      <c r="B612" s="156">
        <f>IF(D612&lt;&gt;"",C612,0)</f>
        <v/>
      </c>
      <c r="C612" s="156">
        <f>(M612/MAX(M:M)*$M$1)+(N612/MAX(N:N)*$N$1)+(O612/MAX(O:O)*$O$1)+(P612/MAX(P:P)*$P$1)+(Q612/MAX(Q:Q)*$Q$1)+(R612/MAX(R:R)*$R$1)</f>
        <v/>
      </c>
      <c r="D612" s="156">
        <f>IFERROR(VLOOKUP(A612,'Injury Report'!A:F,6,0),"")</f>
        <v/>
      </c>
    </row>
    <row r="613" ht="15.6" customHeight="1" s="152">
      <c r="A613" s="167">
        <f>E613&amp;F613</f>
        <v/>
      </c>
      <c r="B613" s="156">
        <f>IF(D613&lt;&gt;"",C613,0)</f>
        <v/>
      </c>
      <c r="C613" s="156">
        <f>(M613/MAX(M:M)*$M$1)+(N613/MAX(N:N)*$N$1)+(O613/MAX(O:O)*$O$1)+(P613/MAX(P:P)*$P$1)+(Q613/MAX(Q:Q)*$Q$1)+(R613/MAX(R:R)*$R$1)</f>
        <v/>
      </c>
      <c r="D613" s="156">
        <f>IFERROR(VLOOKUP(A613,'Injury Report'!A:F,6,0),"")</f>
        <v/>
      </c>
    </row>
    <row r="614" ht="15.6" customHeight="1" s="152">
      <c r="A614" s="167">
        <f>E614&amp;F614</f>
        <v/>
      </c>
      <c r="B614" s="156">
        <f>IF(D614&lt;&gt;"",C614,0)</f>
        <v/>
      </c>
      <c r="C614" s="156">
        <f>(M614/MAX(M:M)*$M$1)+(N614/MAX(N:N)*$N$1)+(O614/MAX(O:O)*$O$1)+(P614/MAX(P:P)*$P$1)+(Q614/MAX(Q:Q)*$Q$1)+(R614/MAX(R:R)*$R$1)</f>
        <v/>
      </c>
      <c r="D614" s="156">
        <f>IFERROR(VLOOKUP(A614,'Injury Report'!A:F,6,0),"")</f>
        <v/>
      </c>
    </row>
    <row r="615" ht="15.6" customHeight="1" s="152">
      <c r="A615" s="167">
        <f>E615&amp;F615</f>
        <v/>
      </c>
      <c r="B615" s="156">
        <f>IF(D615&lt;&gt;"",C615,0)</f>
        <v/>
      </c>
      <c r="C615" s="156">
        <f>(M615/MAX(M:M)*$M$1)+(N615/MAX(N:N)*$N$1)+(O615/MAX(O:O)*$O$1)+(P615/MAX(P:P)*$P$1)+(Q615/MAX(Q:Q)*$Q$1)+(R615/MAX(R:R)*$R$1)</f>
        <v/>
      </c>
      <c r="D615" s="156">
        <f>IFERROR(VLOOKUP(A615,'Injury Report'!A:F,6,0),"")</f>
        <v/>
      </c>
    </row>
    <row r="616" ht="15.6" customHeight="1" s="152">
      <c r="A616" s="167">
        <f>E616&amp;F616</f>
        <v/>
      </c>
      <c r="B616" s="156">
        <f>IF(D616&lt;&gt;"",C616,0)</f>
        <v/>
      </c>
      <c r="C616" s="156">
        <f>(M616/MAX(M:M)*$M$1)+(N616/MAX(N:N)*$N$1)+(O616/MAX(O:O)*$O$1)+(P616/MAX(P:P)*$P$1)+(Q616/MAX(Q:Q)*$Q$1)+(R616/MAX(R:R)*$R$1)</f>
        <v/>
      </c>
      <c r="D616" s="156">
        <f>IFERROR(VLOOKUP(A616,'Injury Report'!A:F,6,0),"")</f>
        <v/>
      </c>
    </row>
    <row r="617" ht="15.6" customHeight="1" s="152">
      <c r="A617" s="167">
        <f>E617&amp;F617</f>
        <v/>
      </c>
      <c r="B617" s="156">
        <f>IF(D617&lt;&gt;"",C617,0)</f>
        <v/>
      </c>
      <c r="C617" s="156">
        <f>(M617/MAX(M:M)*$M$1)+(N617/MAX(N:N)*$N$1)+(O617/MAX(O:O)*$O$1)+(P617/MAX(P:P)*$P$1)+(Q617/MAX(Q:Q)*$Q$1)+(R617/MAX(R:R)*$R$1)</f>
        <v/>
      </c>
      <c r="D617" s="156">
        <f>IFERROR(VLOOKUP(A617,'Injury Report'!A:F,6,0),"")</f>
        <v/>
      </c>
    </row>
    <row r="618" ht="15.6" customHeight="1" s="152">
      <c r="A618" s="167">
        <f>E618&amp;F618</f>
        <v/>
      </c>
      <c r="B618" s="156">
        <f>IF(D618&lt;&gt;"",C618,0)</f>
        <v/>
      </c>
      <c r="C618" s="156">
        <f>(M618/MAX(M:M)*$M$1)+(N618/MAX(N:N)*$N$1)+(O618/MAX(O:O)*$O$1)+(P618/MAX(P:P)*$P$1)+(Q618/MAX(Q:Q)*$Q$1)+(R618/MAX(R:R)*$R$1)</f>
        <v/>
      </c>
      <c r="D618" s="156">
        <f>IFERROR(VLOOKUP(A618,'Injury Report'!A:F,6,0),"")</f>
        <v/>
      </c>
    </row>
    <row r="619" ht="15.6" customHeight="1" s="152">
      <c r="A619" s="167">
        <f>E619&amp;F619</f>
        <v/>
      </c>
      <c r="B619" s="156">
        <f>IF(D619&lt;&gt;"",C619,0)</f>
        <v/>
      </c>
      <c r="C619" s="156">
        <f>(M619/MAX(M:M)*$M$1)+(N619/MAX(N:N)*$N$1)+(O619/MAX(O:O)*$O$1)+(P619/MAX(P:P)*$P$1)+(Q619/MAX(Q:Q)*$Q$1)+(R619/MAX(R:R)*$R$1)</f>
        <v/>
      </c>
      <c r="D619" s="156">
        <f>IFERROR(VLOOKUP(A619,'Injury Report'!A:F,6,0),"")</f>
        <v/>
      </c>
    </row>
    <row r="620" ht="15.6" customHeight="1" s="152">
      <c r="A620" s="167">
        <f>E620&amp;F620</f>
        <v/>
      </c>
      <c r="B620" s="156">
        <f>IF(D620&lt;&gt;"",C620,0)</f>
        <v/>
      </c>
      <c r="C620" s="156">
        <f>(M620/MAX(M:M)*$M$1)+(N620/MAX(N:N)*$N$1)+(O620/MAX(O:O)*$O$1)+(P620/MAX(P:P)*$P$1)+(Q620/MAX(Q:Q)*$Q$1)+(R620/MAX(R:R)*$R$1)</f>
        <v/>
      </c>
      <c r="D620" s="156">
        <f>IFERROR(VLOOKUP(A620,'Injury Report'!A:F,6,0),"")</f>
        <v/>
      </c>
    </row>
    <row r="621" ht="15.6" customHeight="1" s="152">
      <c r="A621" s="167">
        <f>E621&amp;F621</f>
        <v/>
      </c>
      <c r="B621" s="156">
        <f>IF(D621&lt;&gt;"",C621,0)</f>
        <v/>
      </c>
      <c r="C621" s="156">
        <f>(M621/MAX(M:M)*$M$1)+(N621/MAX(N:N)*$N$1)+(O621/MAX(O:O)*$O$1)+(P621/MAX(P:P)*$P$1)+(Q621/MAX(Q:Q)*$Q$1)+(R621/MAX(R:R)*$R$1)</f>
        <v/>
      </c>
      <c r="D621" s="156">
        <f>IFERROR(VLOOKUP(A621,'Injury Report'!A:F,6,0),"")</f>
        <v/>
      </c>
    </row>
    <row r="622" ht="15.6" customHeight="1" s="152">
      <c r="A622" s="167">
        <f>E622&amp;F622</f>
        <v/>
      </c>
      <c r="B622" s="156">
        <f>IF(D622&lt;&gt;"",C622,0)</f>
        <v/>
      </c>
      <c r="C622" s="156">
        <f>(M622/MAX(M:M)*$M$1)+(N622/MAX(N:N)*$N$1)+(O622/MAX(O:O)*$O$1)+(P622/MAX(P:P)*$P$1)+(Q622/MAX(Q:Q)*$Q$1)+(R622/MAX(R:R)*$R$1)</f>
        <v/>
      </c>
      <c r="D622" s="156">
        <f>IFERROR(VLOOKUP(A622,'Injury Report'!A:F,6,0),"")</f>
        <v/>
      </c>
    </row>
    <row r="623" ht="15.6" customHeight="1" s="152">
      <c r="A623" s="167">
        <f>E623&amp;F623</f>
        <v/>
      </c>
      <c r="B623" s="156">
        <f>IF(D623&lt;&gt;"",C623,0)</f>
        <v/>
      </c>
      <c r="C623" s="156">
        <f>(M623/MAX(M:M)*$M$1)+(N623/MAX(N:N)*$N$1)+(O623/MAX(O:O)*$O$1)+(P623/MAX(P:P)*$P$1)+(Q623/MAX(Q:Q)*$Q$1)+(R623/MAX(R:R)*$R$1)</f>
        <v/>
      </c>
      <c r="D623" s="156">
        <f>IFERROR(VLOOKUP(A623,'Injury Report'!A:F,6,0),"")</f>
        <v/>
      </c>
    </row>
    <row r="624" ht="15.6" customHeight="1" s="152">
      <c r="A624" s="167">
        <f>E624&amp;F624</f>
        <v/>
      </c>
      <c r="B624" s="156">
        <f>IF(D624&lt;&gt;"",C624,0)</f>
        <v/>
      </c>
      <c r="C624" s="156">
        <f>(M624/MAX(M:M)*$M$1)+(N624/MAX(N:N)*$N$1)+(O624/MAX(O:O)*$O$1)+(P624/MAX(P:P)*$P$1)+(Q624/MAX(Q:Q)*$Q$1)+(R624/MAX(R:R)*$R$1)</f>
        <v/>
      </c>
      <c r="D624" s="156">
        <f>IFERROR(VLOOKUP(A624,'Injury Report'!A:F,6,0),"")</f>
        <v/>
      </c>
    </row>
    <row r="625" ht="15.6" customHeight="1" s="152">
      <c r="A625" s="167">
        <f>E625&amp;F625</f>
        <v/>
      </c>
      <c r="B625" s="156">
        <f>IF(D625&lt;&gt;"",C625,0)</f>
        <v/>
      </c>
      <c r="C625" s="156">
        <f>(M625/MAX(M:M)*$M$1)+(N625/MAX(N:N)*$N$1)+(O625/MAX(O:O)*$O$1)+(P625/MAX(P:P)*$P$1)+(Q625/MAX(Q:Q)*$Q$1)+(R625/MAX(R:R)*$R$1)</f>
        <v/>
      </c>
      <c r="D625" s="156">
        <f>IFERROR(VLOOKUP(A625,'Injury Report'!A:F,6,0),"")</f>
        <v/>
      </c>
    </row>
    <row r="626" ht="15.6" customHeight="1" s="152">
      <c r="A626" s="167">
        <f>E626&amp;F626</f>
        <v/>
      </c>
      <c r="B626" s="156">
        <f>IF(D626&lt;&gt;"",C626,0)</f>
        <v/>
      </c>
      <c r="C626" s="156">
        <f>(M626/MAX(M:M)*$M$1)+(N626/MAX(N:N)*$N$1)+(O626/MAX(O:O)*$O$1)+(P626/MAX(P:P)*$P$1)+(Q626/MAX(Q:Q)*$Q$1)+(R626/MAX(R:R)*$R$1)</f>
        <v/>
      </c>
      <c r="D626" s="156">
        <f>IFERROR(VLOOKUP(A626,'Injury Report'!A:F,6,0),"")</f>
        <v/>
      </c>
    </row>
    <row r="627" ht="15.6" customHeight="1" s="152">
      <c r="A627" s="167">
        <f>E627&amp;F627</f>
        <v/>
      </c>
      <c r="B627" s="156">
        <f>IF(D627&lt;&gt;"",C627,0)</f>
        <v/>
      </c>
      <c r="C627" s="156">
        <f>(M627/MAX(M:M)*$M$1)+(N627/MAX(N:N)*$N$1)+(O627/MAX(O:O)*$O$1)+(P627/MAX(P:P)*$P$1)+(Q627/MAX(Q:Q)*$Q$1)+(R627/MAX(R:R)*$R$1)</f>
        <v/>
      </c>
      <c r="D627" s="156">
        <f>IFERROR(VLOOKUP(A627,'Injury Report'!A:F,6,0),"")</f>
        <v/>
      </c>
    </row>
    <row r="628" ht="15.6" customHeight="1" s="152">
      <c r="A628" s="167">
        <f>E628&amp;F628</f>
        <v/>
      </c>
      <c r="B628" s="156">
        <f>IF(D628&lt;&gt;"",C628,0)</f>
        <v/>
      </c>
      <c r="C628" s="156">
        <f>(M628/MAX(M:M)*$M$1)+(N628/MAX(N:N)*$N$1)+(O628/MAX(O:O)*$O$1)+(P628/MAX(P:P)*$P$1)+(Q628/MAX(Q:Q)*$Q$1)+(R628/MAX(R:R)*$R$1)</f>
        <v/>
      </c>
      <c r="D628" s="156">
        <f>IFERROR(VLOOKUP(A628,'Injury Report'!A:F,6,0),"")</f>
        <v/>
      </c>
    </row>
    <row r="629" ht="15.6" customHeight="1" s="152">
      <c r="A629" s="167">
        <f>E629&amp;F629</f>
        <v/>
      </c>
      <c r="B629" s="156">
        <f>IF(D629&lt;&gt;"",C629,0)</f>
        <v/>
      </c>
      <c r="C629" s="156">
        <f>(M629/MAX(M:M)*$M$1)+(N629/MAX(N:N)*$N$1)+(O629/MAX(O:O)*$O$1)+(P629/MAX(P:P)*$P$1)+(Q629/MAX(Q:Q)*$Q$1)+(R629/MAX(R:R)*$R$1)</f>
        <v/>
      </c>
      <c r="D629" s="156">
        <f>IFERROR(VLOOKUP(A629,'Injury Report'!A:F,6,0),"")</f>
        <v/>
      </c>
    </row>
    <row r="630" ht="15.6" customHeight="1" s="152">
      <c r="A630" s="167">
        <f>E630&amp;F630</f>
        <v/>
      </c>
      <c r="B630" s="156">
        <f>IF(D630&lt;&gt;"",C630,0)</f>
        <v/>
      </c>
      <c r="C630" s="156">
        <f>(M630/MAX(M:M)*$M$1)+(N630/MAX(N:N)*$N$1)+(O630/MAX(O:O)*$O$1)+(P630/MAX(P:P)*$P$1)+(Q630/MAX(Q:Q)*$Q$1)+(R630/MAX(R:R)*$R$1)</f>
        <v/>
      </c>
      <c r="D630" s="156">
        <f>IFERROR(VLOOKUP(A630,'Injury Report'!A:F,6,0),"")</f>
        <v/>
      </c>
    </row>
    <row r="631" ht="15.6" customHeight="1" s="152">
      <c r="A631" s="167">
        <f>E631&amp;F631</f>
        <v/>
      </c>
      <c r="B631" s="156">
        <f>IF(D631&lt;&gt;"",C631,0)</f>
        <v/>
      </c>
      <c r="C631" s="156">
        <f>(M631/MAX(M:M)*$M$1)+(N631/MAX(N:N)*$N$1)+(O631/MAX(O:O)*$O$1)+(P631/MAX(P:P)*$P$1)+(Q631/MAX(Q:Q)*$Q$1)+(R631/MAX(R:R)*$R$1)</f>
        <v/>
      </c>
      <c r="D631" s="156">
        <f>IFERROR(VLOOKUP(A631,'Injury Report'!A:F,6,0),"")</f>
        <v/>
      </c>
    </row>
    <row r="632" ht="15.6" customHeight="1" s="152">
      <c r="A632" s="167">
        <f>E632&amp;F632</f>
        <v/>
      </c>
      <c r="B632" s="156">
        <f>IF(D632&lt;&gt;"",C632,0)</f>
        <v/>
      </c>
      <c r="C632" s="156">
        <f>(M632/MAX(M:M)*$M$1)+(N632/MAX(N:N)*$N$1)+(O632/MAX(O:O)*$O$1)+(P632/MAX(P:P)*$P$1)+(Q632/MAX(Q:Q)*$Q$1)+(R632/MAX(R:R)*$R$1)</f>
        <v/>
      </c>
      <c r="D632" s="156">
        <f>IFERROR(VLOOKUP(A632,'Injury Report'!A:F,6,0),"")</f>
        <v/>
      </c>
    </row>
    <row r="633" ht="15.6" customHeight="1" s="152">
      <c r="A633" s="167">
        <f>E633&amp;F633</f>
        <v/>
      </c>
      <c r="B633" s="156">
        <f>IF(D633&lt;&gt;"",C633,0)</f>
        <v/>
      </c>
      <c r="C633" s="156">
        <f>(M633/MAX(M:M)*$M$1)+(N633/MAX(N:N)*$N$1)+(O633/MAX(O:O)*$O$1)+(P633/MAX(P:P)*$P$1)+(Q633/MAX(Q:Q)*$Q$1)+(R633/MAX(R:R)*$R$1)</f>
        <v/>
      </c>
      <c r="D633" s="156">
        <f>IFERROR(VLOOKUP(A633,'Injury Report'!A:F,6,0),"")</f>
        <v/>
      </c>
    </row>
    <row r="634" ht="15.6" customHeight="1" s="152">
      <c r="A634" s="167">
        <f>E634&amp;F634</f>
        <v/>
      </c>
      <c r="B634" s="156">
        <f>IF(D634&lt;&gt;"",C634,0)</f>
        <v/>
      </c>
      <c r="C634" s="156">
        <f>(M634/MAX(M:M)*$M$1)+(N634/MAX(N:N)*$N$1)+(O634/MAX(O:O)*$O$1)+(P634/MAX(P:P)*$P$1)+(Q634/MAX(Q:Q)*$Q$1)+(R634/MAX(R:R)*$R$1)</f>
        <v/>
      </c>
      <c r="D634" s="156">
        <f>IFERROR(VLOOKUP(A634,'Injury Report'!A:F,6,0),"")</f>
        <v/>
      </c>
    </row>
    <row r="635" ht="15.6" customHeight="1" s="152">
      <c r="A635" s="167">
        <f>E635&amp;F635</f>
        <v/>
      </c>
      <c r="B635" s="156">
        <f>IF(D635&lt;&gt;"",C635,0)</f>
        <v/>
      </c>
      <c r="C635" s="156">
        <f>(M635/MAX(M:M)*$M$1)+(N635/MAX(N:N)*$N$1)+(O635/MAX(O:O)*$O$1)+(P635/MAX(P:P)*$P$1)+(Q635/MAX(Q:Q)*$Q$1)+(R635/MAX(R:R)*$R$1)</f>
        <v/>
      </c>
      <c r="D635" s="156">
        <f>IFERROR(VLOOKUP(A635,'Injury Report'!A:F,6,0),"")</f>
        <v/>
      </c>
    </row>
    <row r="636" ht="15.6" customHeight="1" s="152">
      <c r="A636" s="167">
        <f>E636&amp;F636</f>
        <v/>
      </c>
      <c r="B636" s="156">
        <f>IF(D636&lt;&gt;"",C636,0)</f>
        <v/>
      </c>
      <c r="C636" s="156">
        <f>(M636/MAX(M:M)*$M$1)+(N636/MAX(N:N)*$N$1)+(O636/MAX(O:O)*$O$1)+(P636/MAX(P:P)*$P$1)+(Q636/MAX(Q:Q)*$Q$1)+(R636/MAX(R:R)*$R$1)</f>
        <v/>
      </c>
      <c r="D636" s="156">
        <f>IFERROR(VLOOKUP(A636,'Injury Report'!A:F,6,0),"")</f>
        <v/>
      </c>
    </row>
    <row r="637" ht="15.6" customHeight="1" s="152">
      <c r="A637" s="167">
        <f>E637&amp;F637</f>
        <v/>
      </c>
      <c r="B637" s="156">
        <f>IF(D637&lt;&gt;"",C637,0)</f>
        <v/>
      </c>
      <c r="C637" s="156">
        <f>(M637/MAX(M:M)*$M$1)+(N637/MAX(N:N)*$N$1)+(O637/MAX(O:O)*$O$1)+(P637/MAX(P:P)*$P$1)+(Q637/MAX(Q:Q)*$Q$1)+(R637/MAX(R:R)*$R$1)</f>
        <v/>
      </c>
      <c r="D637" s="156">
        <f>IFERROR(VLOOKUP(A637,'Injury Report'!A:F,6,0),"")</f>
        <v/>
      </c>
    </row>
    <row r="638" ht="15.6" customHeight="1" s="152">
      <c r="A638" s="167">
        <f>E638&amp;F638</f>
        <v/>
      </c>
      <c r="B638" s="156">
        <f>IF(D638&lt;&gt;"",C638,0)</f>
        <v/>
      </c>
      <c r="C638" s="156">
        <f>(M638/MAX(M:M)*$M$1)+(N638/MAX(N:N)*$N$1)+(O638/MAX(O:O)*$O$1)+(P638/MAX(P:P)*$P$1)+(Q638/MAX(Q:Q)*$Q$1)+(R638/MAX(R:R)*$R$1)</f>
        <v/>
      </c>
      <c r="D638" s="156">
        <f>IFERROR(VLOOKUP(A638,'Injury Report'!A:F,6,0),"")</f>
        <v/>
      </c>
    </row>
    <row r="639" ht="15.6" customHeight="1" s="152">
      <c r="A639" s="167">
        <f>E639&amp;F639</f>
        <v/>
      </c>
      <c r="B639" s="156">
        <f>IF(D639&lt;&gt;"",C639,0)</f>
        <v/>
      </c>
      <c r="C639" s="156">
        <f>(M639/MAX(M:M)*$M$1)+(N639/MAX(N:N)*$N$1)+(O639/MAX(O:O)*$O$1)+(P639/MAX(P:P)*$P$1)+(Q639/MAX(Q:Q)*$Q$1)+(R639/MAX(R:R)*$R$1)</f>
        <v/>
      </c>
      <c r="D639" s="156">
        <f>IFERROR(VLOOKUP(A639,'Injury Report'!A:F,6,0),"")</f>
        <v/>
      </c>
    </row>
    <row r="640" ht="15.6" customHeight="1" s="152">
      <c r="A640" s="167">
        <f>E640&amp;F640</f>
        <v/>
      </c>
      <c r="B640" s="156">
        <f>IF(D640&lt;&gt;"",C640,0)</f>
        <v/>
      </c>
      <c r="C640" s="156">
        <f>(M640/MAX(M:M)*$M$1)+(N640/MAX(N:N)*$N$1)+(O640/MAX(O:O)*$O$1)+(P640/MAX(P:P)*$P$1)+(Q640/MAX(Q:Q)*$Q$1)+(R640/MAX(R:R)*$R$1)</f>
        <v/>
      </c>
      <c r="D640" s="156">
        <f>IFERROR(VLOOKUP(A640,'Injury Report'!A:F,6,0),"")</f>
        <v/>
      </c>
    </row>
    <row r="641" ht="15.6" customHeight="1" s="152">
      <c r="A641" s="167">
        <f>E641&amp;F641</f>
        <v/>
      </c>
      <c r="B641" s="156">
        <f>IF(D641&lt;&gt;"",C641,0)</f>
        <v/>
      </c>
      <c r="C641" s="156">
        <f>(M641/MAX(M:M)*$M$1)+(N641/MAX(N:N)*$N$1)+(O641/MAX(O:O)*$O$1)+(P641/MAX(P:P)*$P$1)+(Q641/MAX(Q:Q)*$Q$1)+(R641/MAX(R:R)*$R$1)</f>
        <v/>
      </c>
      <c r="D641" s="156">
        <f>IFERROR(VLOOKUP(A641,'Injury Report'!A:F,6,0),"")</f>
        <v/>
      </c>
    </row>
    <row r="642" ht="15.6" customHeight="1" s="152">
      <c r="A642" s="167">
        <f>E642&amp;F642</f>
        <v/>
      </c>
      <c r="B642" s="156">
        <f>IF(D642&lt;&gt;"",C642,0)</f>
        <v/>
      </c>
      <c r="C642" s="156">
        <f>(M642/MAX(M:M)*$M$1)+(N642/MAX(N:N)*$N$1)+(O642/MAX(O:O)*$O$1)+(P642/MAX(P:P)*$P$1)+(Q642/MAX(Q:Q)*$Q$1)+(R642/MAX(R:R)*$R$1)</f>
        <v/>
      </c>
      <c r="D642" s="156">
        <f>IFERROR(VLOOKUP(A642,'Injury Report'!A:F,6,0),"")</f>
        <v/>
      </c>
    </row>
    <row r="643" ht="15.6" customHeight="1" s="152">
      <c r="A643" s="167">
        <f>E643&amp;F643</f>
        <v/>
      </c>
      <c r="B643" s="156">
        <f>IF(D643&lt;&gt;"",C643,0)</f>
        <v/>
      </c>
      <c r="C643" s="156">
        <f>(M643/MAX(M:M)*$M$1)+(N643/MAX(N:N)*$N$1)+(O643/MAX(O:O)*$O$1)+(P643/MAX(P:P)*$P$1)+(Q643/MAX(Q:Q)*$Q$1)+(R643/MAX(R:R)*$R$1)</f>
        <v/>
      </c>
      <c r="D643" s="156">
        <f>IFERROR(VLOOKUP(A643,'Injury Report'!A:F,6,0),"")</f>
        <v/>
      </c>
    </row>
    <row r="644" ht="15.6" customHeight="1" s="152">
      <c r="A644" s="167">
        <f>E644&amp;F644</f>
        <v/>
      </c>
      <c r="B644" s="156">
        <f>IF(D644&lt;&gt;"",C644,0)</f>
        <v/>
      </c>
      <c r="C644" s="156">
        <f>(M644/MAX(M:M)*$M$1)+(N644/MAX(N:N)*$N$1)+(O644/MAX(O:O)*$O$1)+(P644/MAX(P:P)*$P$1)+(Q644/MAX(Q:Q)*$Q$1)+(R644/MAX(R:R)*$R$1)</f>
        <v/>
      </c>
      <c r="D644" s="156">
        <f>IFERROR(VLOOKUP(A644,'Injury Report'!A:F,6,0),"")</f>
        <v/>
      </c>
    </row>
    <row r="645" ht="15.6" customHeight="1" s="152">
      <c r="A645" s="167">
        <f>E645&amp;F645</f>
        <v/>
      </c>
      <c r="B645" s="156">
        <f>IF(D645&lt;&gt;"",C645,0)</f>
        <v/>
      </c>
      <c r="C645" s="156">
        <f>(M645/MAX(M:M)*$M$1)+(N645/MAX(N:N)*$N$1)+(O645/MAX(O:O)*$O$1)+(P645/MAX(P:P)*$P$1)+(Q645/MAX(Q:Q)*$Q$1)+(R645/MAX(R:R)*$R$1)</f>
        <v/>
      </c>
      <c r="D645" s="156">
        <f>IFERROR(VLOOKUP(A645,'Injury Report'!A:F,6,0),"")</f>
        <v/>
      </c>
    </row>
    <row r="646" ht="15.6" customHeight="1" s="152">
      <c r="A646" s="167">
        <f>E646&amp;F646</f>
        <v/>
      </c>
      <c r="B646" s="156">
        <f>IF(D646&lt;&gt;"",C646,0)</f>
        <v/>
      </c>
      <c r="C646" s="156">
        <f>(M646/MAX(M:M)*$M$1)+(N646/MAX(N:N)*$N$1)+(O646/MAX(O:O)*$O$1)+(P646/MAX(P:P)*$P$1)+(Q646/MAX(Q:Q)*$Q$1)+(R646/MAX(R:R)*$R$1)</f>
        <v/>
      </c>
      <c r="D646" s="156">
        <f>IFERROR(VLOOKUP(A646,'Injury Report'!A:F,6,0),"")</f>
        <v/>
      </c>
    </row>
    <row r="647" ht="15.6" customHeight="1" s="152">
      <c r="A647" s="167">
        <f>E647&amp;F647</f>
        <v/>
      </c>
      <c r="B647" s="156">
        <f>IF(D647&lt;&gt;"",C647,0)</f>
        <v/>
      </c>
      <c r="C647" s="156">
        <f>(M647/MAX(M:M)*$M$1)+(N647/MAX(N:N)*$N$1)+(O647/MAX(O:O)*$O$1)+(P647/MAX(P:P)*$P$1)+(Q647/MAX(Q:Q)*$Q$1)+(R647/MAX(R:R)*$R$1)</f>
        <v/>
      </c>
      <c r="D647" s="156">
        <f>IFERROR(VLOOKUP(A647,'Injury Report'!A:F,6,0),"")</f>
        <v/>
      </c>
    </row>
    <row r="648" ht="15.6" customHeight="1" s="152">
      <c r="A648" s="167">
        <f>E648&amp;F648</f>
        <v/>
      </c>
      <c r="B648" s="156">
        <f>IF(D648&lt;&gt;"",C648,0)</f>
        <v/>
      </c>
      <c r="C648" s="156">
        <f>(M648/MAX(M:M)*$M$1)+(N648/MAX(N:N)*$N$1)+(O648/MAX(O:O)*$O$1)+(P648/MAX(P:P)*$P$1)+(Q648/MAX(Q:Q)*$Q$1)+(R648/MAX(R:R)*$R$1)</f>
        <v/>
      </c>
      <c r="D648" s="156">
        <f>IFERROR(VLOOKUP(A648,'Injury Report'!A:F,6,0),"")</f>
        <v/>
      </c>
    </row>
    <row r="649" ht="15.6" customHeight="1" s="152">
      <c r="A649" s="167">
        <f>E649&amp;F649</f>
        <v/>
      </c>
      <c r="B649" s="156">
        <f>IF(D649&lt;&gt;"",C649,0)</f>
        <v/>
      </c>
      <c r="C649" s="156">
        <f>(M649/MAX(M:M)*$M$1)+(N649/MAX(N:N)*$N$1)+(O649/MAX(O:O)*$O$1)+(P649/MAX(P:P)*$P$1)+(Q649/MAX(Q:Q)*$Q$1)+(R649/MAX(R:R)*$R$1)</f>
        <v/>
      </c>
      <c r="D649" s="156">
        <f>IFERROR(VLOOKUP(A649,'Injury Report'!A:F,6,0),"")</f>
        <v/>
      </c>
    </row>
    <row r="650" ht="15.6" customHeight="1" s="152">
      <c r="A650" s="167">
        <f>E650&amp;F650</f>
        <v/>
      </c>
      <c r="B650" s="156">
        <f>IF(D650&lt;&gt;"",C650,0)</f>
        <v/>
      </c>
      <c r="C650" s="156">
        <f>(M650/MAX(M:M)*$M$1)+(N650/MAX(N:N)*$N$1)+(O650/MAX(O:O)*$O$1)+(P650/MAX(P:P)*$P$1)+(Q650/MAX(Q:Q)*$Q$1)+(R650/MAX(R:R)*$R$1)</f>
        <v/>
      </c>
      <c r="D650" s="156">
        <f>IFERROR(VLOOKUP(A650,'Injury Report'!A:F,6,0),"")</f>
        <v/>
      </c>
    </row>
    <row r="651" ht="15.6" customHeight="1" s="152">
      <c r="A651" s="167">
        <f>E651&amp;F651</f>
        <v/>
      </c>
      <c r="B651" s="156">
        <f>IF(D651&lt;&gt;"",C651,0)</f>
        <v/>
      </c>
      <c r="C651" s="156">
        <f>(M651/MAX(M:M)*$M$1)+(N651/MAX(N:N)*$N$1)+(O651/MAX(O:O)*$O$1)+(P651/MAX(P:P)*$P$1)+(Q651/MAX(Q:Q)*$Q$1)+(R651/MAX(R:R)*$R$1)</f>
        <v/>
      </c>
      <c r="D651" s="156">
        <f>IFERROR(VLOOKUP(A651,'Injury Report'!A:F,6,0),"")</f>
        <v/>
      </c>
    </row>
    <row r="652" ht="15.6" customHeight="1" s="152">
      <c r="A652" s="167">
        <f>E652&amp;F652</f>
        <v/>
      </c>
      <c r="B652" s="156">
        <f>IF(D652&lt;&gt;"",C652,0)</f>
        <v/>
      </c>
      <c r="C652" s="156">
        <f>(M652/MAX(M:M)*$M$1)+(N652/MAX(N:N)*$N$1)+(O652/MAX(O:O)*$O$1)+(P652/MAX(P:P)*$P$1)+(Q652/MAX(Q:Q)*$Q$1)+(R652/MAX(R:R)*$R$1)</f>
        <v/>
      </c>
      <c r="D652" s="156">
        <f>IFERROR(VLOOKUP(A652,'Injury Report'!A:F,6,0),"")</f>
        <v/>
      </c>
    </row>
    <row r="653" ht="15.6" customHeight="1" s="152">
      <c r="A653" s="167">
        <f>E653&amp;F653</f>
        <v/>
      </c>
      <c r="B653" s="156">
        <f>IF(D653&lt;&gt;"",C653,0)</f>
        <v/>
      </c>
      <c r="C653" s="156">
        <f>(M653/MAX(M:M)*$M$1)+(N653/MAX(N:N)*$N$1)+(O653/MAX(O:O)*$O$1)+(P653/MAX(P:P)*$P$1)+(Q653/MAX(Q:Q)*$Q$1)+(R653/MAX(R:R)*$R$1)</f>
        <v/>
      </c>
      <c r="D653" s="156">
        <f>IFERROR(VLOOKUP(A653,'Injury Report'!A:F,6,0),"")</f>
        <v/>
      </c>
    </row>
    <row r="654" ht="15.6" customHeight="1" s="152">
      <c r="A654" s="167">
        <f>E654&amp;F654</f>
        <v/>
      </c>
      <c r="B654" s="156">
        <f>IF(D654&lt;&gt;"",C654,0)</f>
        <v/>
      </c>
      <c r="C654" s="156">
        <f>(M654/MAX(M:M)*$M$1)+(N654/MAX(N:N)*$N$1)+(O654/MAX(O:O)*$O$1)+(P654/MAX(P:P)*$P$1)+(Q654/MAX(Q:Q)*$Q$1)+(R654/MAX(R:R)*$R$1)</f>
        <v/>
      </c>
      <c r="D654" s="156">
        <f>IFERROR(VLOOKUP(A654,'Injury Report'!A:F,6,0),"")</f>
        <v/>
      </c>
    </row>
    <row r="655" ht="15.6" customHeight="1" s="152">
      <c r="A655" s="167">
        <f>E655&amp;F655</f>
        <v/>
      </c>
      <c r="B655" s="156">
        <f>IF(D655&lt;&gt;"",C655,0)</f>
        <v/>
      </c>
      <c r="C655" s="156">
        <f>(M655/MAX(M:M)*$M$1)+(N655/MAX(N:N)*$N$1)+(O655/MAX(O:O)*$O$1)+(P655/MAX(P:P)*$P$1)+(Q655/MAX(Q:Q)*$Q$1)+(R655/MAX(R:R)*$R$1)</f>
        <v/>
      </c>
      <c r="D655" s="156">
        <f>IFERROR(VLOOKUP(A655,'Injury Report'!A:F,6,0),"")</f>
        <v/>
      </c>
    </row>
    <row r="656" ht="15.6" customHeight="1" s="152">
      <c r="A656" s="167">
        <f>E656&amp;F656</f>
        <v/>
      </c>
      <c r="B656" s="156">
        <f>IF(D656&lt;&gt;"",C656,0)</f>
        <v/>
      </c>
      <c r="C656" s="156">
        <f>(M656/MAX(M:M)*$M$1)+(N656/MAX(N:N)*$N$1)+(O656/MAX(O:O)*$O$1)+(P656/MAX(P:P)*$P$1)+(Q656/MAX(Q:Q)*$Q$1)+(R656/MAX(R:R)*$R$1)</f>
        <v/>
      </c>
      <c r="D656" s="156">
        <f>IFERROR(VLOOKUP(A656,'Injury Report'!A:F,6,0),"")</f>
        <v/>
      </c>
    </row>
    <row r="657" ht="15.6" customHeight="1" s="152">
      <c r="A657" s="167">
        <f>E657&amp;F657</f>
        <v/>
      </c>
      <c r="B657" s="156">
        <f>IF(D657&lt;&gt;"",C657,0)</f>
        <v/>
      </c>
      <c r="C657" s="156">
        <f>(M657/MAX(M:M)*$M$1)+(N657/MAX(N:N)*$N$1)+(O657/MAX(O:O)*$O$1)+(P657/MAX(P:P)*$P$1)+(Q657/MAX(Q:Q)*$Q$1)+(R657/MAX(R:R)*$R$1)</f>
        <v/>
      </c>
      <c r="D657" s="156">
        <f>IFERROR(VLOOKUP(A657,'Injury Report'!A:F,6,0),"")</f>
        <v/>
      </c>
    </row>
    <row r="658" ht="15.6" customHeight="1" s="152">
      <c r="A658" s="167">
        <f>E658&amp;F658</f>
        <v/>
      </c>
      <c r="B658" s="156">
        <f>IF(D658&lt;&gt;"",C658,0)</f>
        <v/>
      </c>
      <c r="C658" s="156">
        <f>(M658/MAX(M:M)*$M$1)+(N658/MAX(N:N)*$N$1)+(O658/MAX(O:O)*$O$1)+(P658/MAX(P:P)*$P$1)+(Q658/MAX(Q:Q)*$Q$1)+(R658/MAX(R:R)*$R$1)</f>
        <v/>
      </c>
      <c r="D658" s="156">
        <f>IFERROR(VLOOKUP(A658,'Injury Report'!A:F,6,0),"")</f>
        <v/>
      </c>
    </row>
    <row r="659" ht="15.6" customHeight="1" s="152">
      <c r="A659" s="167">
        <f>E659&amp;F659</f>
        <v/>
      </c>
      <c r="B659" s="156">
        <f>IF(D659&lt;&gt;"",C659,0)</f>
        <v/>
      </c>
      <c r="C659" s="156">
        <f>(M659/MAX(M:M)*$M$1)+(N659/MAX(N:N)*$N$1)+(O659/MAX(O:O)*$O$1)+(P659/MAX(P:P)*$P$1)+(Q659/MAX(Q:Q)*$Q$1)+(R659/MAX(R:R)*$R$1)</f>
        <v/>
      </c>
      <c r="D659" s="156">
        <f>IFERROR(VLOOKUP(A659,'Injury Report'!A:F,6,0),"")</f>
        <v/>
      </c>
    </row>
    <row r="660" ht="15.6" customHeight="1" s="152">
      <c r="A660" s="167">
        <f>E660&amp;F660</f>
        <v/>
      </c>
      <c r="B660" s="156">
        <f>IF(D660&lt;&gt;"",C660,0)</f>
        <v/>
      </c>
      <c r="C660" s="156">
        <f>(M660/MAX(M:M)*$M$1)+(N660/MAX(N:N)*$N$1)+(O660/MAX(O:O)*$O$1)+(P660/MAX(P:P)*$P$1)+(Q660/MAX(Q:Q)*$Q$1)+(R660/MAX(R:R)*$R$1)</f>
        <v/>
      </c>
      <c r="D660" s="156">
        <f>IFERROR(VLOOKUP(A660,'Injury Report'!A:F,6,0),"")</f>
        <v/>
      </c>
    </row>
    <row r="661" ht="15.6" customHeight="1" s="152">
      <c r="A661" s="167">
        <f>E661&amp;F661</f>
        <v/>
      </c>
      <c r="B661" s="156">
        <f>IF(D661&lt;&gt;"",C661,0)</f>
        <v/>
      </c>
      <c r="C661" s="156">
        <f>(M661/MAX(M:M)*$M$1)+(N661/MAX(N:N)*$N$1)+(O661/MAX(O:O)*$O$1)+(P661/MAX(P:P)*$P$1)+(Q661/MAX(Q:Q)*$Q$1)+(R661/MAX(R:R)*$R$1)</f>
        <v/>
      </c>
      <c r="D661" s="156">
        <f>IFERROR(VLOOKUP(A661,'Injury Report'!A:F,6,0),"")</f>
        <v/>
      </c>
    </row>
    <row r="662" ht="15.6" customHeight="1" s="152">
      <c r="A662" s="167">
        <f>E662&amp;F662</f>
        <v/>
      </c>
      <c r="B662" s="156">
        <f>IF(D662&lt;&gt;"",C662,0)</f>
        <v/>
      </c>
      <c r="C662" s="156">
        <f>(M662/MAX(M:M)*$M$1)+(N662/MAX(N:N)*$N$1)+(O662/MAX(O:O)*$O$1)+(P662/MAX(P:P)*$P$1)+(Q662/MAX(Q:Q)*$Q$1)+(R662/MAX(R:R)*$R$1)</f>
        <v/>
      </c>
      <c r="D662" s="156">
        <f>IFERROR(VLOOKUP(A662,'Injury Report'!A:F,6,0),"")</f>
        <v/>
      </c>
    </row>
    <row r="663" ht="15.6" customHeight="1" s="152">
      <c r="A663" s="167">
        <f>E663&amp;F663</f>
        <v/>
      </c>
      <c r="B663" s="156">
        <f>IF(D663&lt;&gt;"",C663,0)</f>
        <v/>
      </c>
      <c r="C663" s="156">
        <f>(M663/MAX(M:M)*$M$1)+(N663/MAX(N:N)*$N$1)+(O663/MAX(O:O)*$O$1)+(P663/MAX(P:P)*$P$1)+(Q663/MAX(Q:Q)*$Q$1)+(R663/MAX(R:R)*$R$1)</f>
        <v/>
      </c>
      <c r="D663" s="156">
        <f>IFERROR(VLOOKUP(A663,'Injury Report'!A:F,6,0),"")</f>
        <v/>
      </c>
    </row>
    <row r="664" ht="15.6" customHeight="1" s="152">
      <c r="A664" s="167">
        <f>E664&amp;F664</f>
        <v/>
      </c>
      <c r="B664" s="156">
        <f>IF(D664&lt;&gt;"",C664,0)</f>
        <v/>
      </c>
      <c r="C664" s="156">
        <f>(M664/MAX(M:M)*$M$1)+(N664/MAX(N:N)*$N$1)+(O664/MAX(O:O)*$O$1)+(P664/MAX(P:P)*$P$1)+(Q664/MAX(Q:Q)*$Q$1)+(R664/MAX(R:R)*$R$1)</f>
        <v/>
      </c>
      <c r="D664" s="156">
        <f>IFERROR(VLOOKUP(A664,'Injury Report'!A:F,6,0),"")</f>
        <v/>
      </c>
    </row>
    <row r="665" ht="15.6" customHeight="1" s="152">
      <c r="A665" s="167">
        <f>E665&amp;F665</f>
        <v/>
      </c>
      <c r="B665" s="156">
        <f>IF(D665&lt;&gt;"",C665,0)</f>
        <v/>
      </c>
      <c r="C665" s="156">
        <f>(M665/MAX(M:M)*$M$1)+(N665/MAX(N:N)*$N$1)+(O665/MAX(O:O)*$O$1)+(P665/MAX(P:P)*$P$1)+(Q665/MAX(Q:Q)*$Q$1)+(R665/MAX(R:R)*$R$1)</f>
        <v/>
      </c>
      <c r="D665" s="156">
        <f>IFERROR(VLOOKUP(A665,'Injury Report'!A:F,6,0),"")</f>
        <v/>
      </c>
    </row>
    <row r="666" ht="15.6" customHeight="1" s="152">
      <c r="A666" s="167">
        <f>E666&amp;F666</f>
        <v/>
      </c>
      <c r="B666" s="156">
        <f>IF(D666&lt;&gt;"",C666,0)</f>
        <v/>
      </c>
      <c r="C666" s="156">
        <f>(M666/MAX(M:M)*$M$1)+(N666/MAX(N:N)*$N$1)+(O666/MAX(O:O)*$O$1)+(P666/MAX(P:P)*$P$1)+(Q666/MAX(Q:Q)*$Q$1)+(R666/MAX(R:R)*$R$1)</f>
        <v/>
      </c>
      <c r="D666" s="156">
        <f>IFERROR(VLOOKUP(A666,'Injury Report'!A:F,6,0),"")</f>
        <v/>
      </c>
    </row>
    <row r="667" ht="15.6" customHeight="1" s="152">
      <c r="A667" s="167">
        <f>E667&amp;F667</f>
        <v/>
      </c>
      <c r="B667" s="156">
        <f>IF(D667&lt;&gt;"",C667,0)</f>
        <v/>
      </c>
      <c r="C667" s="156">
        <f>(M667/MAX(M:M)*$M$1)+(N667/MAX(N:N)*$N$1)+(O667/MAX(O:O)*$O$1)+(P667/MAX(P:P)*$P$1)+(Q667/MAX(Q:Q)*$Q$1)+(R667/MAX(R:R)*$R$1)</f>
        <v/>
      </c>
      <c r="D667" s="156">
        <f>IFERROR(VLOOKUP(A667,'Injury Report'!A:F,6,0),"")</f>
        <v/>
      </c>
    </row>
    <row r="668" ht="15.6" customHeight="1" s="152">
      <c r="A668" s="167">
        <f>E668&amp;F668</f>
        <v/>
      </c>
      <c r="B668" s="156">
        <f>IF(D668&lt;&gt;"",C668,0)</f>
        <v/>
      </c>
      <c r="C668" s="156">
        <f>(M668/MAX(M:M)*$M$1)+(N668/MAX(N:N)*$N$1)+(O668/MAX(O:O)*$O$1)+(P668/MAX(P:P)*$P$1)+(Q668/MAX(Q:Q)*$Q$1)+(R668/MAX(R:R)*$R$1)</f>
        <v/>
      </c>
      <c r="D668" s="156">
        <f>IFERROR(VLOOKUP(A668,'Injury Report'!A:F,6,0),"")</f>
        <v/>
      </c>
    </row>
    <row r="669" ht="15.6" customHeight="1" s="152">
      <c r="A669" s="167">
        <f>E669&amp;F669</f>
        <v/>
      </c>
      <c r="B669" s="156">
        <f>IF(D669&lt;&gt;"",C669,0)</f>
        <v/>
      </c>
      <c r="C669" s="156">
        <f>(M669/MAX(M:M)*$M$1)+(N669/MAX(N:N)*$N$1)+(O669/MAX(O:O)*$O$1)+(P669/MAX(P:P)*$P$1)+(Q669/MAX(Q:Q)*$Q$1)+(R669/MAX(R:R)*$R$1)</f>
        <v/>
      </c>
      <c r="D669" s="156">
        <f>IFERROR(VLOOKUP(A669,'Injury Report'!A:F,6,0),"")</f>
        <v/>
      </c>
    </row>
    <row r="670" ht="15.6" customHeight="1" s="152">
      <c r="A670" s="167">
        <f>E670&amp;F670</f>
        <v/>
      </c>
      <c r="B670" s="156">
        <f>IF(D670&lt;&gt;"",C670,0)</f>
        <v/>
      </c>
      <c r="C670" s="156">
        <f>(M670/MAX(M:M)*$M$1)+(N670/MAX(N:N)*$N$1)+(O670/MAX(O:O)*$O$1)+(P670/MAX(P:P)*$P$1)+(Q670/MAX(Q:Q)*$Q$1)+(R670/MAX(R:R)*$R$1)</f>
        <v/>
      </c>
      <c r="D670" s="156">
        <f>IFERROR(VLOOKUP(A670,'Injury Report'!A:F,6,0),"")</f>
        <v/>
      </c>
    </row>
    <row r="671" ht="15.6" customHeight="1" s="152">
      <c r="A671" s="167">
        <f>E671&amp;F671</f>
        <v/>
      </c>
      <c r="B671" s="156">
        <f>IF(D671&lt;&gt;"",C671,0)</f>
        <v/>
      </c>
      <c r="C671" s="156">
        <f>(M671/MAX(M:M)*$M$1)+(N671/MAX(N:N)*$N$1)+(O671/MAX(O:O)*$O$1)+(P671/MAX(P:P)*$P$1)+(Q671/MAX(Q:Q)*$Q$1)+(R671/MAX(R:R)*$R$1)</f>
        <v/>
      </c>
      <c r="D671" s="156">
        <f>IFERROR(VLOOKUP(A671,'Injury Report'!A:F,6,0),"")</f>
        <v/>
      </c>
    </row>
    <row r="672" ht="15.6" customHeight="1" s="152">
      <c r="A672" s="167">
        <f>E672&amp;F672</f>
        <v/>
      </c>
      <c r="B672" s="156">
        <f>IF(D672&lt;&gt;"",C672,0)</f>
        <v/>
      </c>
      <c r="C672" s="156">
        <f>(M672/MAX(M:M)*$M$1)+(N672/MAX(N:N)*$N$1)+(O672/MAX(O:O)*$O$1)+(P672/MAX(P:P)*$P$1)+(Q672/MAX(Q:Q)*$Q$1)+(R672/MAX(R:R)*$R$1)</f>
        <v/>
      </c>
      <c r="D672" s="156">
        <f>IFERROR(VLOOKUP(A672,'Injury Report'!A:F,6,0),"")</f>
        <v/>
      </c>
    </row>
    <row r="673" ht="15.6" customHeight="1" s="152">
      <c r="A673" s="167">
        <f>E673&amp;F673</f>
        <v/>
      </c>
      <c r="B673" s="156">
        <f>IF(D673&lt;&gt;"",C673,0)</f>
        <v/>
      </c>
      <c r="C673" s="156">
        <f>(M673/MAX(M:M)*$M$1)+(N673/MAX(N:N)*$N$1)+(O673/MAX(O:O)*$O$1)+(P673/MAX(P:P)*$P$1)+(Q673/MAX(Q:Q)*$Q$1)+(R673/MAX(R:R)*$R$1)</f>
        <v/>
      </c>
      <c r="D673" s="156">
        <f>IFERROR(VLOOKUP(A673,'Injury Report'!A:F,6,0),"")</f>
        <v/>
      </c>
    </row>
    <row r="674" ht="15.6" customHeight="1" s="152">
      <c r="A674" s="167">
        <f>E674&amp;F674</f>
        <v/>
      </c>
      <c r="B674" s="156">
        <f>IF(D674&lt;&gt;"",C674,0)</f>
        <v/>
      </c>
      <c r="C674" s="156">
        <f>(M674/MAX(M:M)*$M$1)+(N674/MAX(N:N)*$N$1)+(O674/MAX(O:O)*$O$1)+(P674/MAX(P:P)*$P$1)+(Q674/MAX(Q:Q)*$Q$1)+(R674/MAX(R:R)*$R$1)</f>
        <v/>
      </c>
      <c r="D674" s="156">
        <f>IFERROR(VLOOKUP(A674,'Injury Report'!A:F,6,0),"")</f>
        <v/>
      </c>
    </row>
    <row r="675" ht="15.6" customHeight="1" s="152">
      <c r="A675" s="167">
        <f>E675&amp;F675</f>
        <v/>
      </c>
      <c r="B675" s="156">
        <f>IF(D675&lt;&gt;"",C675,0)</f>
        <v/>
      </c>
      <c r="C675" s="156">
        <f>(M675/MAX(M:M)*$M$1)+(N675/MAX(N:N)*$N$1)+(O675/MAX(O:O)*$O$1)+(P675/MAX(P:P)*$P$1)+(Q675/MAX(Q:Q)*$Q$1)+(R675/MAX(R:R)*$R$1)</f>
        <v/>
      </c>
      <c r="D675" s="156">
        <f>IFERROR(VLOOKUP(A675,'Injury Report'!A:F,6,0),"")</f>
        <v/>
      </c>
    </row>
    <row r="676" ht="15.6" customHeight="1" s="152">
      <c r="A676" s="167">
        <f>E676&amp;F676</f>
        <v/>
      </c>
      <c r="B676" s="156">
        <f>IF(D676&lt;&gt;"",C676,0)</f>
        <v/>
      </c>
      <c r="C676" s="156">
        <f>(M676/MAX(M:M)*$M$1)+(N676/MAX(N:N)*$N$1)+(O676/MAX(O:O)*$O$1)+(P676/MAX(P:P)*$P$1)+(Q676/MAX(Q:Q)*$Q$1)+(R676/MAX(R:R)*$R$1)</f>
        <v/>
      </c>
      <c r="D676" s="156">
        <f>IFERROR(VLOOKUP(A676,'Injury Report'!A:F,6,0),"")</f>
        <v/>
      </c>
    </row>
    <row r="677" ht="15.6" customHeight="1" s="152">
      <c r="A677" s="167">
        <f>E677&amp;F677</f>
        <v/>
      </c>
      <c r="B677" s="156">
        <f>IF(D677&lt;&gt;"",C677,0)</f>
        <v/>
      </c>
      <c r="C677" s="156">
        <f>(M677/MAX(M:M)*$M$1)+(N677/MAX(N:N)*$N$1)+(O677/MAX(O:O)*$O$1)+(P677/MAX(P:P)*$P$1)+(Q677/MAX(Q:Q)*$Q$1)+(R677/MAX(R:R)*$R$1)</f>
        <v/>
      </c>
      <c r="D677" s="156">
        <f>IFERROR(VLOOKUP(A677,'Injury Report'!A:F,6,0),"")</f>
        <v/>
      </c>
    </row>
    <row r="678" ht="15.6" customHeight="1" s="152">
      <c r="A678" s="167">
        <f>E678&amp;F678</f>
        <v/>
      </c>
      <c r="B678" s="156">
        <f>IF(D678&lt;&gt;"",C678,0)</f>
        <v/>
      </c>
      <c r="C678" s="156">
        <f>(M678/MAX(M:M)*$M$1)+(N678/MAX(N:N)*$N$1)+(O678/MAX(O:O)*$O$1)+(P678/MAX(P:P)*$P$1)+(Q678/MAX(Q:Q)*$Q$1)+(R678/MAX(R:R)*$R$1)</f>
        <v/>
      </c>
      <c r="D678" s="156">
        <f>IFERROR(VLOOKUP(A678,'Injury Report'!A:F,6,0),"")</f>
        <v/>
      </c>
    </row>
    <row r="679" ht="15.6" customHeight="1" s="152">
      <c r="A679" s="167">
        <f>E679&amp;F679</f>
        <v/>
      </c>
      <c r="B679" s="156">
        <f>IF(D679&lt;&gt;"",C679,0)</f>
        <v/>
      </c>
      <c r="C679" s="156">
        <f>(M679/MAX(M:M)*$M$1)+(N679/MAX(N:N)*$N$1)+(O679/MAX(O:O)*$O$1)+(P679/MAX(P:P)*$P$1)+(Q679/MAX(Q:Q)*$Q$1)+(R679/MAX(R:R)*$R$1)</f>
        <v/>
      </c>
      <c r="D679" s="156">
        <f>IFERROR(VLOOKUP(A679,'Injury Report'!A:F,6,0),"")</f>
        <v/>
      </c>
    </row>
    <row r="680" ht="15.6" customHeight="1" s="152">
      <c r="A680" s="167">
        <f>E680&amp;F680</f>
        <v/>
      </c>
      <c r="B680" s="156">
        <f>IF(D680&lt;&gt;"",C680,0)</f>
        <v/>
      </c>
      <c r="C680" s="156">
        <f>(M680/MAX(M:M)*$M$1)+(N680/MAX(N:N)*$N$1)+(O680/MAX(O:O)*$O$1)+(P680/MAX(P:P)*$P$1)+(Q680/MAX(Q:Q)*$Q$1)+(R680/MAX(R:R)*$R$1)</f>
        <v/>
      </c>
      <c r="D680" s="156">
        <f>IFERROR(VLOOKUP(A680,'Injury Report'!A:F,6,0),"")</f>
        <v/>
      </c>
    </row>
    <row r="681" ht="15.6" customHeight="1" s="152">
      <c r="A681" s="167">
        <f>E681&amp;F681</f>
        <v/>
      </c>
      <c r="B681" s="156">
        <f>IF(D681&lt;&gt;"",C681,0)</f>
        <v/>
      </c>
      <c r="C681" s="156">
        <f>(M681/MAX(M:M)*$M$1)+(N681/MAX(N:N)*$N$1)+(O681/MAX(O:O)*$O$1)+(P681/MAX(P:P)*$P$1)+(Q681/MAX(Q:Q)*$Q$1)+(R681/MAX(R:R)*$R$1)</f>
        <v/>
      </c>
      <c r="D681" s="156">
        <f>IFERROR(VLOOKUP(A681,'Injury Report'!A:F,6,0),"")</f>
        <v/>
      </c>
    </row>
    <row r="682" ht="15.6" customHeight="1" s="152">
      <c r="A682" s="167">
        <f>E682&amp;F682</f>
        <v/>
      </c>
      <c r="B682" s="156">
        <f>IF(D682&lt;&gt;"",C682,0)</f>
        <v/>
      </c>
      <c r="C682" s="156">
        <f>(M682/MAX(M:M)*$M$1)+(N682/MAX(N:N)*$N$1)+(O682/MAX(O:O)*$O$1)+(P682/MAX(P:P)*$P$1)+(Q682/MAX(Q:Q)*$Q$1)+(R682/MAX(R:R)*$R$1)</f>
        <v/>
      </c>
      <c r="D682" s="156">
        <f>IFERROR(VLOOKUP(A682,'Injury Report'!A:F,6,0),"")</f>
        <v/>
      </c>
    </row>
    <row r="683" ht="15.6" customHeight="1" s="152">
      <c r="A683" s="167">
        <f>E683&amp;F683</f>
        <v/>
      </c>
      <c r="B683" s="156">
        <f>IF(D683&lt;&gt;"",C683,0)</f>
        <v/>
      </c>
      <c r="C683" s="156">
        <f>(M683/MAX(M:M)*$M$1)+(N683/MAX(N:N)*$N$1)+(O683/MAX(O:O)*$O$1)+(P683/MAX(P:P)*$P$1)+(Q683/MAX(Q:Q)*$Q$1)+(R683/MAX(R:R)*$R$1)</f>
        <v/>
      </c>
      <c r="D683" s="156">
        <f>IFERROR(VLOOKUP(A683,'Injury Report'!A:F,6,0),"")</f>
        <v/>
      </c>
    </row>
    <row r="684" ht="15.6" customHeight="1" s="152">
      <c r="A684" s="167">
        <f>E684&amp;F684</f>
        <v/>
      </c>
      <c r="B684" s="156">
        <f>IF(D684&lt;&gt;"",C684,0)</f>
        <v/>
      </c>
      <c r="C684" s="156">
        <f>(M684/MAX(M:M)*$M$1)+(N684/MAX(N:N)*$N$1)+(O684/MAX(O:O)*$O$1)+(P684/MAX(P:P)*$P$1)+(Q684/MAX(Q:Q)*$Q$1)+(R684/MAX(R:R)*$R$1)</f>
        <v/>
      </c>
      <c r="D684" s="156">
        <f>IFERROR(VLOOKUP(A684,'Injury Report'!A:F,6,0),"")</f>
        <v/>
      </c>
    </row>
    <row r="685" ht="15.6" customHeight="1" s="152">
      <c r="A685" s="167">
        <f>E685&amp;F685</f>
        <v/>
      </c>
      <c r="B685" s="156">
        <f>IF(D685&lt;&gt;"",C685,0)</f>
        <v/>
      </c>
      <c r="C685" s="156">
        <f>(M685/MAX(M:M)*$M$1)+(N685/MAX(N:N)*$N$1)+(O685/MAX(O:O)*$O$1)+(P685/MAX(P:P)*$P$1)+(Q685/MAX(Q:Q)*$Q$1)+(R685/MAX(R:R)*$R$1)</f>
        <v/>
      </c>
      <c r="D685" s="156">
        <f>IFERROR(VLOOKUP(A685,'Injury Report'!A:F,6,0),"")</f>
        <v/>
      </c>
    </row>
    <row r="686" ht="15.6" customHeight="1" s="152">
      <c r="A686" s="167">
        <f>E686&amp;F686</f>
        <v/>
      </c>
      <c r="B686" s="156">
        <f>IF(D686&lt;&gt;"",C686,0)</f>
        <v/>
      </c>
      <c r="C686" s="156">
        <f>(M686/MAX(M:M)*$M$1)+(N686/MAX(N:N)*$N$1)+(O686/MAX(O:O)*$O$1)+(P686/MAX(P:P)*$P$1)+(Q686/MAX(Q:Q)*$Q$1)+(R686/MAX(R:R)*$R$1)</f>
        <v/>
      </c>
      <c r="D686" s="156">
        <f>IFERROR(VLOOKUP(A686,'Injury Report'!A:F,6,0),"")</f>
        <v/>
      </c>
    </row>
    <row r="687" ht="15.6" customHeight="1" s="152">
      <c r="A687" s="167">
        <f>E687&amp;F687</f>
        <v/>
      </c>
      <c r="B687" s="156">
        <f>IF(D687&lt;&gt;"",C687,0)</f>
        <v/>
      </c>
      <c r="C687" s="156">
        <f>(M687/MAX(M:M)*$M$1)+(N687/MAX(N:N)*$N$1)+(O687/MAX(O:O)*$O$1)+(P687/MAX(P:P)*$P$1)+(Q687/MAX(Q:Q)*$Q$1)+(R687/MAX(R:R)*$R$1)</f>
        <v/>
      </c>
      <c r="D687" s="156">
        <f>IFERROR(VLOOKUP(A687,'Injury Report'!A:F,6,0),"")</f>
        <v/>
      </c>
    </row>
    <row r="688" ht="15.6" customHeight="1" s="152">
      <c r="A688" s="167">
        <f>E688&amp;F688</f>
        <v/>
      </c>
      <c r="B688" s="156">
        <f>IF(D688&lt;&gt;"",C688,0)</f>
        <v/>
      </c>
      <c r="C688" s="156">
        <f>(M688/MAX(M:M)*$M$1)+(N688/MAX(N:N)*$N$1)+(O688/MAX(O:O)*$O$1)+(P688/MAX(P:P)*$P$1)+(Q688/MAX(Q:Q)*$Q$1)+(R688/MAX(R:R)*$R$1)</f>
        <v/>
      </c>
      <c r="D688" s="156">
        <f>IFERROR(VLOOKUP(A688,'Injury Report'!A:F,6,0),"")</f>
        <v/>
      </c>
    </row>
    <row r="689" ht="15.6" customHeight="1" s="152">
      <c r="A689" s="167">
        <f>E689&amp;F689</f>
        <v/>
      </c>
      <c r="B689" s="156">
        <f>IF(D689&lt;&gt;"",C689,0)</f>
        <v/>
      </c>
      <c r="C689" s="156">
        <f>(M689/MAX(M:M)*$M$1)+(N689/MAX(N:N)*$N$1)+(O689/MAX(O:O)*$O$1)+(P689/MAX(P:P)*$P$1)+(Q689/MAX(Q:Q)*$Q$1)+(R689/MAX(R:R)*$R$1)</f>
        <v/>
      </c>
      <c r="D689" s="156">
        <f>IFERROR(VLOOKUP(A689,'Injury Report'!A:F,6,0),"")</f>
        <v/>
      </c>
    </row>
    <row r="690" ht="15.6" customHeight="1" s="152">
      <c r="A690" s="167">
        <f>E690&amp;F690</f>
        <v/>
      </c>
      <c r="B690" s="156">
        <f>IF(D690&lt;&gt;"",C690,0)</f>
        <v/>
      </c>
      <c r="C690" s="156">
        <f>(M690/MAX(M:M)*$M$1)+(N690/MAX(N:N)*$N$1)+(O690/MAX(O:O)*$O$1)+(P690/MAX(P:P)*$P$1)+(Q690/MAX(Q:Q)*$Q$1)+(R690/MAX(R:R)*$R$1)</f>
        <v/>
      </c>
      <c r="D690" s="156">
        <f>IFERROR(VLOOKUP(A690,'Injury Report'!A:F,6,0),"")</f>
        <v/>
      </c>
    </row>
    <row r="691" ht="15.6" customHeight="1" s="152">
      <c r="A691" s="167">
        <f>E691&amp;F691</f>
        <v/>
      </c>
      <c r="B691" s="156">
        <f>IF(D691&lt;&gt;"",C691,0)</f>
        <v/>
      </c>
      <c r="C691" s="156">
        <f>(M691/MAX(M:M)*$M$1)+(N691/MAX(N:N)*$N$1)+(O691/MAX(O:O)*$O$1)+(P691/MAX(P:P)*$P$1)+(Q691/MAX(Q:Q)*$Q$1)+(R691/MAX(R:R)*$R$1)</f>
        <v/>
      </c>
      <c r="D691" s="156">
        <f>IFERROR(VLOOKUP(A691,'Injury Report'!A:F,6,0),"")</f>
        <v/>
      </c>
    </row>
    <row r="692" ht="15.6" customHeight="1" s="152">
      <c r="A692" s="167">
        <f>E692&amp;F692</f>
        <v/>
      </c>
      <c r="B692" s="156">
        <f>IF(D692&lt;&gt;"",C692,0)</f>
        <v/>
      </c>
      <c r="C692" s="156">
        <f>(M692/MAX(M:M)*$M$1)+(N692/MAX(N:N)*$N$1)+(O692/MAX(O:O)*$O$1)+(P692/MAX(P:P)*$P$1)+(Q692/MAX(Q:Q)*$Q$1)+(R692/MAX(R:R)*$R$1)</f>
        <v/>
      </c>
      <c r="D692" s="156">
        <f>IFERROR(VLOOKUP(A692,'Injury Report'!A:F,6,0),"")</f>
        <v/>
      </c>
    </row>
    <row r="693" ht="15.6" customHeight="1" s="152">
      <c r="A693" s="167">
        <f>E693&amp;F693</f>
        <v/>
      </c>
      <c r="B693" s="156">
        <f>IF(D693&lt;&gt;"",C693,0)</f>
        <v/>
      </c>
      <c r="C693" s="156">
        <f>(M693/MAX(M:M)*$M$1)+(N693/MAX(N:N)*$N$1)+(O693/MAX(O:O)*$O$1)+(P693/MAX(P:P)*$P$1)+(Q693/MAX(Q:Q)*$Q$1)+(R693/MAX(R:R)*$R$1)</f>
        <v/>
      </c>
      <c r="D693" s="156">
        <f>IFERROR(VLOOKUP(A693,'Injury Report'!A:F,6,0),"")</f>
        <v/>
      </c>
    </row>
    <row r="694" ht="15.6" customHeight="1" s="152">
      <c r="A694" s="167">
        <f>E694&amp;F694</f>
        <v/>
      </c>
      <c r="B694" s="156">
        <f>IF(D694&lt;&gt;"",C694,0)</f>
        <v/>
      </c>
      <c r="C694" s="156">
        <f>(M694/MAX(M:M)*$M$1)+(N694/MAX(N:N)*$N$1)+(O694/MAX(O:O)*$O$1)+(P694/MAX(P:P)*$P$1)+(Q694/MAX(Q:Q)*$Q$1)+(R694/MAX(R:R)*$R$1)</f>
        <v/>
      </c>
      <c r="D694" s="156">
        <f>IFERROR(VLOOKUP(A694,'Injury Report'!A:F,6,0),"")</f>
        <v/>
      </c>
    </row>
    <row r="695" ht="15.6" customHeight="1" s="152">
      <c r="A695" s="167">
        <f>E695&amp;F695</f>
        <v/>
      </c>
      <c r="B695" s="156">
        <f>IF(D695&lt;&gt;"",C695,0)</f>
        <v/>
      </c>
      <c r="C695" s="156">
        <f>(M695/MAX(M:M)*$M$1)+(N695/MAX(N:N)*$N$1)+(O695/MAX(O:O)*$O$1)+(P695/MAX(P:P)*$P$1)+(Q695/MAX(Q:Q)*$Q$1)+(R695/MAX(R:R)*$R$1)</f>
        <v/>
      </c>
      <c r="D695" s="156">
        <f>IFERROR(VLOOKUP(A695,'Injury Report'!A:F,6,0),"")</f>
        <v/>
      </c>
    </row>
    <row r="696" ht="15.6" customHeight="1" s="152">
      <c r="A696" s="167">
        <f>E696&amp;F696</f>
        <v/>
      </c>
      <c r="B696" s="156">
        <f>IF(D696&lt;&gt;"",C696,0)</f>
        <v/>
      </c>
      <c r="C696" s="156">
        <f>(M696/MAX(M:M)*$M$1)+(N696/MAX(N:N)*$N$1)+(O696/MAX(O:O)*$O$1)+(P696/MAX(P:P)*$P$1)+(Q696/MAX(Q:Q)*$Q$1)+(R696/MAX(R:R)*$R$1)</f>
        <v/>
      </c>
      <c r="D696" s="156">
        <f>IFERROR(VLOOKUP(A696,'Injury Report'!A:F,6,0),"")</f>
        <v/>
      </c>
    </row>
    <row r="697" ht="15.6" customHeight="1" s="152">
      <c r="A697" s="167">
        <f>E697&amp;F697</f>
        <v/>
      </c>
      <c r="B697" s="156">
        <f>IF(D697&lt;&gt;"",C697,0)</f>
        <v/>
      </c>
      <c r="C697" s="156">
        <f>(M697/MAX(M:M)*$M$1)+(N697/MAX(N:N)*$N$1)+(O697/MAX(O:O)*$O$1)+(P697/MAX(P:P)*$P$1)+(Q697/MAX(Q:Q)*$Q$1)+(R697/MAX(R:R)*$R$1)</f>
        <v/>
      </c>
      <c r="D697" s="156">
        <f>IFERROR(VLOOKUP(A697,'Injury Report'!A:F,6,0),"")</f>
        <v/>
      </c>
    </row>
    <row r="698" ht="15.6" customHeight="1" s="152">
      <c r="A698" s="167">
        <f>E698&amp;F698</f>
        <v/>
      </c>
      <c r="B698" s="156">
        <f>IF(D698&lt;&gt;"",C698,0)</f>
        <v/>
      </c>
      <c r="C698" s="156">
        <f>(M698/MAX(M:M)*$M$1)+(N698/MAX(N:N)*$N$1)+(O698/MAX(O:O)*$O$1)+(P698/MAX(P:P)*$P$1)+(Q698/MAX(Q:Q)*$Q$1)+(R698/MAX(R:R)*$R$1)</f>
        <v/>
      </c>
      <c r="D698" s="156">
        <f>IFERROR(VLOOKUP(A698,'Injury Report'!A:F,6,0),"")</f>
        <v/>
      </c>
    </row>
    <row r="699" ht="15.6" customHeight="1" s="152">
      <c r="A699" s="167">
        <f>E699&amp;F699</f>
        <v/>
      </c>
      <c r="B699" s="156">
        <f>IF(D699&lt;&gt;"",C699,0)</f>
        <v/>
      </c>
      <c r="C699" s="156">
        <f>(M699/MAX(M:M)*$M$1)+(N699/MAX(N:N)*$N$1)+(O699/MAX(O:O)*$O$1)+(P699/MAX(P:P)*$P$1)+(Q699/MAX(Q:Q)*$Q$1)+(R699/MAX(R:R)*$R$1)</f>
        <v/>
      </c>
      <c r="D699" s="156">
        <f>IFERROR(VLOOKUP(A699,'Injury Report'!A:F,6,0),"")</f>
        <v/>
      </c>
    </row>
    <row r="700" ht="15.6" customHeight="1" s="152">
      <c r="A700" s="167">
        <f>E700&amp;F700</f>
        <v/>
      </c>
      <c r="B700" s="156">
        <f>IF(D700&lt;&gt;"",C700,0)</f>
        <v/>
      </c>
      <c r="C700" s="156">
        <f>(M700/MAX(M:M)*$M$1)+(N700/MAX(N:N)*$N$1)+(O700/MAX(O:O)*$O$1)+(P700/MAX(P:P)*$P$1)+(Q700/MAX(Q:Q)*$Q$1)+(R700/MAX(R:R)*$R$1)</f>
        <v/>
      </c>
      <c r="D700" s="156">
        <f>IFERROR(VLOOKUP(A700,'Injury Report'!A:F,6,0),"")</f>
        <v/>
      </c>
    </row>
    <row r="701" ht="15.6" customHeight="1" s="152">
      <c r="A701" s="167">
        <f>E701&amp;F701</f>
        <v/>
      </c>
      <c r="B701" s="156">
        <f>IF(D701&lt;&gt;"",C701,0)</f>
        <v/>
      </c>
      <c r="C701" s="156">
        <f>(M701/MAX(M:M)*$M$1)+(N701/MAX(N:N)*$N$1)+(O701/MAX(O:O)*$O$1)+(P701/MAX(P:P)*$P$1)+(Q701/MAX(Q:Q)*$Q$1)+(R701/MAX(R:R)*$R$1)</f>
        <v/>
      </c>
      <c r="D701" s="156">
        <f>IFERROR(VLOOKUP(A701,'Injury Report'!A:F,6,0),"")</f>
        <v/>
      </c>
    </row>
    <row r="702" ht="15.6" customHeight="1" s="152">
      <c r="A702" s="167">
        <f>E702&amp;F702</f>
        <v/>
      </c>
      <c r="B702" s="156">
        <f>IF(D702&lt;&gt;"",C702,0)</f>
        <v/>
      </c>
      <c r="C702" s="156">
        <f>(M702/MAX(M:M)*$M$1)+(N702/MAX(N:N)*$N$1)+(O702/MAX(O:O)*$O$1)+(P702/MAX(P:P)*$P$1)+(Q702/MAX(Q:Q)*$Q$1)+(R702/MAX(R:R)*$R$1)</f>
        <v/>
      </c>
      <c r="D702" s="156">
        <f>IFERROR(VLOOKUP(A702,'Injury Report'!A:F,6,0),"")</f>
        <v/>
      </c>
    </row>
    <row r="703" ht="15.6" customHeight="1" s="152">
      <c r="A703" s="167">
        <f>E703&amp;F703</f>
        <v/>
      </c>
      <c r="B703" s="156">
        <f>IF(D703&lt;&gt;"",C703,0)</f>
        <v/>
      </c>
      <c r="C703" s="156">
        <f>(M703/MAX(M:M)*$M$1)+(N703/MAX(N:N)*$N$1)+(O703/MAX(O:O)*$O$1)+(P703/MAX(P:P)*$P$1)+(Q703/MAX(Q:Q)*$Q$1)+(R703/MAX(R:R)*$R$1)</f>
        <v/>
      </c>
      <c r="D703" s="156">
        <f>IFERROR(VLOOKUP(A703,'Injury Report'!A:F,6,0),"")</f>
        <v/>
      </c>
    </row>
    <row r="704" ht="15.6" customHeight="1" s="152">
      <c r="A704" s="167">
        <f>E704&amp;F704</f>
        <v/>
      </c>
      <c r="B704" s="156">
        <f>IF(D704&lt;&gt;"",C704,0)</f>
        <v/>
      </c>
      <c r="C704" s="156">
        <f>(M704/MAX(M:M)*$M$1)+(N704/MAX(N:N)*$N$1)+(O704/MAX(O:O)*$O$1)+(P704/MAX(P:P)*$P$1)+(Q704/MAX(Q:Q)*$Q$1)+(R704/MAX(R:R)*$R$1)</f>
        <v/>
      </c>
      <c r="D704" s="156">
        <f>IFERROR(VLOOKUP(A704,'Injury Report'!A:F,6,0),"")</f>
        <v/>
      </c>
    </row>
    <row r="705" ht="15.6" customHeight="1" s="152">
      <c r="A705" s="167">
        <f>E705&amp;F705</f>
        <v/>
      </c>
      <c r="B705" s="156">
        <f>IF(D705&lt;&gt;"",C705,0)</f>
        <v/>
      </c>
      <c r="C705" s="156">
        <f>(M705/MAX(M:M)*$M$1)+(N705/MAX(N:N)*$N$1)+(O705/MAX(O:O)*$O$1)+(P705/MAX(P:P)*$P$1)+(Q705/MAX(Q:Q)*$Q$1)+(R705/MAX(R:R)*$R$1)</f>
        <v/>
      </c>
      <c r="D705" s="156">
        <f>IFERROR(VLOOKUP(A705,'Injury Report'!A:F,6,0),"")</f>
        <v/>
      </c>
    </row>
    <row r="706" ht="15.6" customHeight="1" s="152">
      <c r="A706" s="167">
        <f>E706&amp;F706</f>
        <v/>
      </c>
      <c r="B706" s="156">
        <f>IF(D706&lt;&gt;"",C706,0)</f>
        <v/>
      </c>
      <c r="C706" s="156">
        <f>(M706/MAX(M:M)*$M$1)+(N706/MAX(N:N)*$N$1)+(O706/MAX(O:O)*$O$1)+(P706/MAX(P:P)*$P$1)+(Q706/MAX(Q:Q)*$Q$1)+(R706/MAX(R:R)*$R$1)</f>
        <v/>
      </c>
      <c r="D706" s="156">
        <f>IFERROR(VLOOKUP(A706,'Injury Report'!A:F,6,0),"")</f>
        <v/>
      </c>
    </row>
    <row r="707" ht="15.6" customHeight="1" s="152">
      <c r="A707" s="167">
        <f>E707&amp;F707</f>
        <v/>
      </c>
      <c r="B707" s="156">
        <f>IF(D707&lt;&gt;"",C707,0)</f>
        <v/>
      </c>
      <c r="C707" s="156">
        <f>(M707/MAX(M:M)*$M$1)+(N707/MAX(N:N)*$N$1)+(O707/MAX(O:O)*$O$1)+(P707/MAX(P:P)*$P$1)+(Q707/MAX(Q:Q)*$Q$1)+(R707/MAX(R:R)*$R$1)</f>
        <v/>
      </c>
      <c r="D707" s="156">
        <f>IFERROR(VLOOKUP(A707,'Injury Report'!A:F,6,0),"")</f>
        <v/>
      </c>
    </row>
    <row r="708" ht="15.6" customHeight="1" s="152">
      <c r="A708" s="167">
        <f>E708&amp;F708</f>
        <v/>
      </c>
      <c r="B708" s="156">
        <f>IF(D708&lt;&gt;"",C708,0)</f>
        <v/>
      </c>
      <c r="C708" s="156">
        <f>(M708/MAX(M:M)*$M$1)+(N708/MAX(N:N)*$N$1)+(O708/MAX(O:O)*$O$1)+(P708/MAX(P:P)*$P$1)+(Q708/MAX(Q:Q)*$Q$1)+(R708/MAX(R:R)*$R$1)</f>
        <v/>
      </c>
      <c r="D708" s="156">
        <f>IFERROR(VLOOKUP(A708,'Injury Report'!A:F,6,0),"")</f>
        <v/>
      </c>
    </row>
    <row r="709" ht="15.6" customHeight="1" s="152">
      <c r="A709" s="167">
        <f>E709&amp;F709</f>
        <v/>
      </c>
      <c r="B709" s="156">
        <f>IF(D709&lt;&gt;"",C709,0)</f>
        <v/>
      </c>
      <c r="C709" s="156">
        <f>(M709/MAX(M:M)*$M$1)+(N709/MAX(N:N)*$N$1)+(O709/MAX(O:O)*$O$1)+(P709/MAX(P:P)*$P$1)+(Q709/MAX(Q:Q)*$Q$1)+(R709/MAX(R:R)*$R$1)</f>
        <v/>
      </c>
      <c r="D709" s="156">
        <f>IFERROR(VLOOKUP(A709,'Injury Report'!A:F,6,0),"")</f>
        <v/>
      </c>
    </row>
    <row r="710" ht="15.6" customHeight="1" s="152">
      <c r="A710" s="167">
        <f>E710&amp;F710</f>
        <v/>
      </c>
      <c r="B710" s="156">
        <f>IF(D710&lt;&gt;"",C710,0)</f>
        <v/>
      </c>
      <c r="C710" s="156">
        <f>(M710/MAX(M:M)*$M$1)+(N710/MAX(N:N)*$N$1)+(O710/MAX(O:O)*$O$1)+(P710/MAX(P:P)*$P$1)+(Q710/MAX(Q:Q)*$Q$1)+(R710/MAX(R:R)*$R$1)</f>
        <v/>
      </c>
      <c r="D710" s="156">
        <f>IFERROR(VLOOKUP(A710,'Injury Report'!A:F,6,0),"")</f>
        <v/>
      </c>
    </row>
    <row r="711" ht="15.6" customHeight="1" s="152">
      <c r="A711" s="167">
        <f>E711&amp;F711</f>
        <v/>
      </c>
      <c r="B711" s="156">
        <f>IF(D711&lt;&gt;"",C711,0)</f>
        <v/>
      </c>
      <c r="C711" s="156">
        <f>(M711/MAX(M:M)*$M$1)+(N711/MAX(N:N)*$N$1)+(O711/MAX(O:O)*$O$1)+(P711/MAX(P:P)*$P$1)+(Q711/MAX(Q:Q)*$Q$1)+(R711/MAX(R:R)*$R$1)</f>
        <v/>
      </c>
      <c r="D711" s="156">
        <f>IFERROR(VLOOKUP(A711,'Injury Report'!A:F,6,0),"")</f>
        <v/>
      </c>
    </row>
    <row r="712" ht="15.6" customHeight="1" s="152">
      <c r="A712" s="167">
        <f>E712&amp;F712</f>
        <v/>
      </c>
      <c r="B712" s="156">
        <f>IF(D712&lt;&gt;"",C712,0)</f>
        <v/>
      </c>
      <c r="C712" s="156">
        <f>(M712/MAX(M:M)*$M$1)+(N712/MAX(N:N)*$N$1)+(O712/MAX(O:O)*$O$1)+(P712/MAX(P:P)*$P$1)+(Q712/MAX(Q:Q)*$Q$1)+(R712/MAX(R:R)*$R$1)</f>
        <v/>
      </c>
      <c r="D712" s="156">
        <f>IFERROR(VLOOKUP(A712,'Injury Report'!A:F,6,0),"")</f>
        <v/>
      </c>
    </row>
    <row r="713" ht="15.6" customHeight="1" s="152">
      <c r="A713" s="167">
        <f>E713&amp;F713</f>
        <v/>
      </c>
      <c r="B713" s="156">
        <f>IF(D713&lt;&gt;"",C713,0)</f>
        <v/>
      </c>
      <c r="C713" s="156">
        <f>(M713/MAX(M:M)*$M$1)+(N713/MAX(N:N)*$N$1)+(O713/MAX(O:O)*$O$1)+(P713/MAX(P:P)*$P$1)+(Q713/MAX(Q:Q)*$Q$1)+(R713/MAX(R:R)*$R$1)</f>
        <v/>
      </c>
      <c r="D713" s="156">
        <f>IFERROR(VLOOKUP(A713,'Injury Report'!A:F,6,0),"")</f>
        <v/>
      </c>
    </row>
    <row r="714" ht="15.6" customHeight="1" s="152">
      <c r="A714" s="167">
        <f>E714&amp;F714</f>
        <v/>
      </c>
      <c r="B714" s="156">
        <f>IF(D714&lt;&gt;"",C714,0)</f>
        <v/>
      </c>
      <c r="C714" s="156">
        <f>(M714/MAX(M:M)*$M$1)+(N714/MAX(N:N)*$N$1)+(O714/MAX(O:O)*$O$1)+(P714/MAX(P:P)*$P$1)+(Q714/MAX(Q:Q)*$Q$1)+(R714/MAX(R:R)*$R$1)</f>
        <v/>
      </c>
      <c r="D714" s="156">
        <f>IFERROR(VLOOKUP(A714,'Injury Report'!A:F,6,0),"")</f>
        <v/>
      </c>
    </row>
    <row r="715" ht="15.6" customHeight="1" s="152">
      <c r="A715" s="167">
        <f>E715&amp;F715</f>
        <v/>
      </c>
      <c r="B715" s="156">
        <f>IF(D715&lt;&gt;"",C715,0)</f>
        <v/>
      </c>
      <c r="C715" s="156">
        <f>(M715/MAX(M:M)*$M$1)+(N715/MAX(N:N)*$N$1)+(O715/MAX(O:O)*$O$1)+(P715/MAX(P:P)*$P$1)+(Q715/MAX(Q:Q)*$Q$1)+(R715/MAX(R:R)*$R$1)</f>
        <v/>
      </c>
      <c r="D715" s="156">
        <f>IFERROR(VLOOKUP(A715,'Injury Report'!A:F,6,0),"")</f>
        <v/>
      </c>
    </row>
    <row r="716" ht="15.6" customHeight="1" s="152">
      <c r="A716" s="167">
        <f>E716&amp;F716</f>
        <v/>
      </c>
      <c r="B716" s="156">
        <f>IF(D716&lt;&gt;"",C716,0)</f>
        <v/>
      </c>
      <c r="C716" s="156">
        <f>(M716/MAX(M:M)*$M$1)+(N716/MAX(N:N)*$N$1)+(O716/MAX(O:O)*$O$1)+(P716/MAX(P:P)*$P$1)+(Q716/MAX(Q:Q)*$Q$1)+(R716/MAX(R:R)*$R$1)</f>
        <v/>
      </c>
      <c r="D716" s="156">
        <f>IFERROR(VLOOKUP(A716,'Injury Report'!A:F,6,0),"")</f>
        <v/>
      </c>
    </row>
    <row r="717" ht="15.6" customHeight="1" s="152">
      <c r="A717" s="167">
        <f>E717&amp;F717</f>
        <v/>
      </c>
      <c r="B717" s="156">
        <f>IF(D717&lt;&gt;"",C717,0)</f>
        <v/>
      </c>
      <c r="C717" s="156">
        <f>(M717/MAX(M:M)*$M$1)+(N717/MAX(N:N)*$N$1)+(O717/MAX(O:O)*$O$1)+(P717/MAX(P:P)*$P$1)+(Q717/MAX(Q:Q)*$Q$1)+(R717/MAX(R:R)*$R$1)</f>
        <v/>
      </c>
      <c r="D717" s="156">
        <f>IFERROR(VLOOKUP(A717,'Injury Report'!A:F,6,0),"")</f>
        <v/>
      </c>
    </row>
    <row r="718" ht="15.6" customHeight="1" s="152">
      <c r="A718" s="167">
        <f>E718&amp;F718</f>
        <v/>
      </c>
      <c r="B718" s="156">
        <f>IF(D718&lt;&gt;"",C718,0)</f>
        <v/>
      </c>
      <c r="C718" s="156">
        <f>(M718/MAX(M:M)*$M$1)+(N718/MAX(N:N)*$N$1)+(O718/MAX(O:O)*$O$1)+(P718/MAX(P:P)*$P$1)+(Q718/MAX(Q:Q)*$Q$1)+(R718/MAX(R:R)*$R$1)</f>
        <v/>
      </c>
      <c r="D718" s="156">
        <f>IFERROR(VLOOKUP(A718,'Injury Report'!A:F,6,0),"")</f>
        <v/>
      </c>
    </row>
    <row r="719" ht="15.6" customHeight="1" s="152">
      <c r="A719" s="167">
        <f>E719&amp;F719</f>
        <v/>
      </c>
      <c r="B719" s="156">
        <f>IF(D719&lt;&gt;"",C719,0)</f>
        <v/>
      </c>
      <c r="C719" s="156">
        <f>(M719/MAX(M:M)*$M$1)+(N719/MAX(N:N)*$N$1)+(O719/MAX(O:O)*$O$1)+(P719/MAX(P:P)*$P$1)+(Q719/MAX(Q:Q)*$Q$1)+(R719/MAX(R:R)*$R$1)</f>
        <v/>
      </c>
      <c r="D719" s="156">
        <f>IFERROR(VLOOKUP(A719,'Injury Report'!A:F,6,0),"")</f>
        <v/>
      </c>
    </row>
    <row r="720" ht="15.6" customHeight="1" s="152">
      <c r="A720" s="167">
        <f>E720&amp;F720</f>
        <v/>
      </c>
      <c r="B720" s="156">
        <f>IF(D720&lt;&gt;"",C720,0)</f>
        <v/>
      </c>
      <c r="C720" s="156">
        <f>(M720/MAX(M:M)*$M$1)+(N720/MAX(N:N)*$N$1)+(O720/MAX(O:O)*$O$1)+(P720/MAX(P:P)*$P$1)+(Q720/MAX(Q:Q)*$Q$1)+(R720/MAX(R:R)*$R$1)</f>
        <v/>
      </c>
      <c r="D720" s="156">
        <f>IFERROR(VLOOKUP(A720,'Injury Report'!A:F,6,0),"")</f>
        <v/>
      </c>
    </row>
    <row r="721" ht="15.6" customHeight="1" s="152">
      <c r="A721" s="167">
        <f>E721&amp;F721</f>
        <v/>
      </c>
      <c r="B721" s="156">
        <f>IF(D721&lt;&gt;"",C721,0)</f>
        <v/>
      </c>
      <c r="C721" s="156">
        <f>(M721/MAX(M:M)*$M$1)+(N721/MAX(N:N)*$N$1)+(O721/MAX(O:O)*$O$1)+(P721/MAX(P:P)*$P$1)+(Q721/MAX(Q:Q)*$Q$1)+(R721/MAX(R:R)*$R$1)</f>
        <v/>
      </c>
      <c r="D721" s="156">
        <f>IFERROR(VLOOKUP(A721,'Injury Report'!A:F,6,0),"")</f>
        <v/>
      </c>
    </row>
    <row r="722" ht="15.6" customHeight="1" s="152">
      <c r="A722" s="167">
        <f>E722&amp;F722</f>
        <v/>
      </c>
      <c r="B722" s="156">
        <f>IF(D722&lt;&gt;"",C722,0)</f>
        <v/>
      </c>
      <c r="C722" s="156">
        <f>(M722/MAX(M:M)*$M$1)+(N722/MAX(N:N)*$N$1)+(O722/MAX(O:O)*$O$1)+(P722/MAX(P:P)*$P$1)+(Q722/MAX(Q:Q)*$Q$1)+(R722/MAX(R:R)*$R$1)</f>
        <v/>
      </c>
      <c r="D722" s="156">
        <f>IFERROR(VLOOKUP(A722,'Injury Report'!A:F,6,0),"")</f>
        <v/>
      </c>
    </row>
    <row r="723" ht="15.6" customHeight="1" s="152">
      <c r="A723" s="167">
        <f>E723&amp;F723</f>
        <v/>
      </c>
      <c r="B723" s="156">
        <f>IF(D723&lt;&gt;"",C723,0)</f>
        <v/>
      </c>
      <c r="C723" s="156">
        <f>(M723/MAX(M:M)*$M$1)+(N723/MAX(N:N)*$N$1)+(O723/MAX(O:O)*$O$1)+(P723/MAX(P:P)*$P$1)+(Q723/MAX(Q:Q)*$Q$1)+(R723/MAX(R:R)*$R$1)</f>
        <v/>
      </c>
      <c r="D723" s="156">
        <f>IFERROR(VLOOKUP(A723,'Injury Report'!A:F,6,0),"")</f>
        <v/>
      </c>
    </row>
    <row r="724" ht="15.6" customHeight="1" s="152">
      <c r="A724" s="167">
        <f>E724&amp;F724</f>
        <v/>
      </c>
      <c r="B724" s="156">
        <f>IF(D724&lt;&gt;"",C724,0)</f>
        <v/>
      </c>
      <c r="C724" s="156">
        <f>(M724/MAX(M:M)*$M$1)+(N724/MAX(N:N)*$N$1)+(O724/MAX(O:O)*$O$1)+(P724/MAX(P:P)*$P$1)+(Q724/MAX(Q:Q)*$Q$1)+(R724/MAX(R:R)*$R$1)</f>
        <v/>
      </c>
      <c r="D724" s="156">
        <f>IFERROR(VLOOKUP(A724,'Injury Report'!A:F,6,0),"")</f>
        <v/>
      </c>
    </row>
    <row r="725" ht="15.6" customHeight="1" s="152">
      <c r="A725" s="167">
        <f>E725&amp;F725</f>
        <v/>
      </c>
      <c r="B725" s="156">
        <f>IF(D725&lt;&gt;"",C725,0)</f>
        <v/>
      </c>
      <c r="C725" s="156">
        <f>(M725/MAX(M:M)*$M$1)+(N725/MAX(N:N)*$N$1)+(O725/MAX(O:O)*$O$1)+(P725/MAX(P:P)*$P$1)+(Q725/MAX(Q:Q)*$Q$1)+(R725/MAX(R:R)*$R$1)</f>
        <v/>
      </c>
      <c r="D725" s="156">
        <f>IFERROR(VLOOKUP(A725,'Injury Report'!A:F,6,0),"")</f>
        <v/>
      </c>
    </row>
    <row r="726" ht="15.6" customHeight="1" s="152">
      <c r="A726" s="167">
        <f>E726&amp;F726</f>
        <v/>
      </c>
      <c r="B726" s="156">
        <f>IF(D726&lt;&gt;"",C726,0)</f>
        <v/>
      </c>
      <c r="C726" s="156">
        <f>(M726/MAX(M:M)*$M$1)+(N726/MAX(N:N)*$N$1)+(O726/MAX(O:O)*$O$1)+(P726/MAX(P:P)*$P$1)+(Q726/MAX(Q:Q)*$Q$1)+(R726/MAX(R:R)*$R$1)</f>
        <v/>
      </c>
      <c r="D726" s="156">
        <f>IFERROR(VLOOKUP(A726,'Injury Report'!A:F,6,0),"")</f>
        <v/>
      </c>
    </row>
    <row r="727" ht="15.6" customHeight="1" s="152">
      <c r="A727" s="167">
        <f>E727&amp;F727</f>
        <v/>
      </c>
      <c r="B727" s="156">
        <f>IF(D727&lt;&gt;"",C727,0)</f>
        <v/>
      </c>
      <c r="C727" s="156">
        <f>(M727/MAX(M:M)*$M$1)+(N727/MAX(N:N)*$N$1)+(O727/MAX(O:O)*$O$1)+(P727/MAX(P:P)*$P$1)+(Q727/MAX(Q:Q)*$Q$1)+(R727/MAX(R:R)*$R$1)</f>
        <v/>
      </c>
      <c r="D727" s="156">
        <f>IFERROR(VLOOKUP(A727,'Injury Report'!A:F,6,0),"")</f>
        <v/>
      </c>
    </row>
    <row r="728" ht="15.6" customHeight="1" s="152">
      <c r="A728" s="167">
        <f>E728&amp;F728</f>
        <v/>
      </c>
      <c r="B728" s="156">
        <f>IF(D728&lt;&gt;"",C728,0)</f>
        <v/>
      </c>
      <c r="C728" s="156">
        <f>(M728/MAX(M:M)*$M$1)+(N728/MAX(N:N)*$N$1)+(O728/MAX(O:O)*$O$1)+(P728/MAX(P:P)*$P$1)+(Q728/MAX(Q:Q)*$Q$1)+(R728/MAX(R:R)*$R$1)</f>
        <v/>
      </c>
      <c r="D728" s="156">
        <f>IFERROR(VLOOKUP(A728,'Injury Report'!A:F,6,0),"")</f>
        <v/>
      </c>
    </row>
    <row r="729" ht="15.6" customHeight="1" s="152">
      <c r="A729" s="167">
        <f>E729&amp;F729</f>
        <v/>
      </c>
      <c r="B729" s="156">
        <f>IF(D729&lt;&gt;"",C729,0)</f>
        <v/>
      </c>
      <c r="C729" s="156">
        <f>(M729/MAX(M:M)*$M$1)+(N729/MAX(N:N)*$N$1)+(O729/MAX(O:O)*$O$1)+(P729/MAX(P:P)*$P$1)+(Q729/MAX(Q:Q)*$Q$1)+(R729/MAX(R:R)*$R$1)</f>
        <v/>
      </c>
      <c r="D729" s="156">
        <f>IFERROR(VLOOKUP(A729,'Injury Report'!A:F,6,0),"")</f>
        <v/>
      </c>
    </row>
    <row r="730" ht="15.6" customHeight="1" s="152">
      <c r="A730" s="167">
        <f>E730&amp;F730</f>
        <v/>
      </c>
      <c r="B730" s="156">
        <f>IF(D730&lt;&gt;"",C730,0)</f>
        <v/>
      </c>
      <c r="C730" s="156">
        <f>(M730/MAX(M:M)*$M$1)+(N730/MAX(N:N)*$N$1)+(O730/MAX(O:O)*$O$1)+(P730/MAX(P:P)*$P$1)+(Q730/MAX(Q:Q)*$Q$1)+(R730/MAX(R:R)*$R$1)</f>
        <v/>
      </c>
      <c r="D730" s="156">
        <f>IFERROR(VLOOKUP(A730,'Injury Report'!A:F,6,0),"")</f>
        <v/>
      </c>
    </row>
    <row r="731" ht="15.6" customHeight="1" s="152">
      <c r="A731" s="167">
        <f>E731&amp;F731</f>
        <v/>
      </c>
      <c r="B731" s="156">
        <f>IF(D731&lt;&gt;"",C731,0)</f>
        <v/>
      </c>
      <c r="C731" s="156">
        <f>(M731/MAX(M:M)*$M$1)+(N731/MAX(N:N)*$N$1)+(O731/MAX(O:O)*$O$1)+(P731/MAX(P:P)*$P$1)+(Q731/MAX(Q:Q)*$Q$1)+(R731/MAX(R:R)*$R$1)</f>
        <v/>
      </c>
      <c r="D731" s="156">
        <f>IFERROR(VLOOKUP(A731,'Injury Report'!A:F,6,0),"")</f>
        <v/>
      </c>
    </row>
    <row r="732" ht="15.6" customHeight="1" s="152">
      <c r="A732" s="167">
        <f>E732&amp;F732</f>
        <v/>
      </c>
      <c r="B732" s="156">
        <f>IF(D732&lt;&gt;"",C732,0)</f>
        <v/>
      </c>
      <c r="C732" s="156">
        <f>(M732/MAX(M:M)*$M$1)+(N732/MAX(N:N)*$N$1)+(O732/MAX(O:O)*$O$1)+(P732/MAX(P:P)*$P$1)+(Q732/MAX(Q:Q)*$Q$1)+(R732/MAX(R:R)*$R$1)</f>
        <v/>
      </c>
      <c r="D732" s="156">
        <f>IFERROR(VLOOKUP(A732,'Injury Report'!A:F,6,0),"")</f>
        <v/>
      </c>
    </row>
    <row r="733" ht="15.6" customHeight="1" s="152">
      <c r="A733" s="167">
        <f>E733&amp;F733</f>
        <v/>
      </c>
      <c r="B733" s="156">
        <f>IF(D733&lt;&gt;"",C733,0)</f>
        <v/>
      </c>
      <c r="C733" s="156">
        <f>(M733/MAX(M:M)*$M$1)+(N733/MAX(N:N)*$N$1)+(O733/MAX(O:O)*$O$1)+(P733/MAX(P:P)*$P$1)+(Q733/MAX(Q:Q)*$Q$1)+(R733/MAX(R:R)*$R$1)</f>
        <v/>
      </c>
      <c r="D733" s="156">
        <f>IFERROR(VLOOKUP(A733,'Injury Report'!A:F,6,0),"")</f>
        <v/>
      </c>
    </row>
    <row r="734" ht="15.6" customHeight="1" s="152">
      <c r="A734" s="167">
        <f>E734&amp;F734</f>
        <v/>
      </c>
      <c r="B734" s="156">
        <f>IF(D734&lt;&gt;"",C734,0)</f>
        <v/>
      </c>
      <c r="C734" s="156">
        <f>(M734/MAX(M:M)*$M$1)+(N734/MAX(N:N)*$N$1)+(O734/MAX(O:O)*$O$1)+(P734/MAX(P:P)*$P$1)+(Q734/MAX(Q:Q)*$Q$1)+(R734/MAX(R:R)*$R$1)</f>
        <v/>
      </c>
      <c r="D734" s="156">
        <f>IFERROR(VLOOKUP(A734,'Injury Report'!A:F,6,0),"")</f>
        <v/>
      </c>
    </row>
    <row r="735" ht="15.6" customHeight="1" s="152">
      <c r="A735" s="167">
        <f>E735&amp;F735</f>
        <v/>
      </c>
      <c r="B735" s="156">
        <f>IF(D735&lt;&gt;"",C735,0)</f>
        <v/>
      </c>
      <c r="C735" s="156">
        <f>(M735/MAX(M:M)*$M$1)+(N735/MAX(N:N)*$N$1)+(O735/MAX(O:O)*$O$1)+(P735/MAX(P:P)*$P$1)+(Q735/MAX(Q:Q)*$Q$1)+(R735/MAX(R:R)*$R$1)</f>
        <v/>
      </c>
      <c r="D735" s="156">
        <f>IFERROR(VLOOKUP(A735,'Injury Report'!A:F,6,0),"")</f>
        <v/>
      </c>
    </row>
    <row r="736" ht="15.6" customHeight="1" s="152">
      <c r="A736" s="167">
        <f>E736&amp;F736</f>
        <v/>
      </c>
      <c r="B736" s="156">
        <f>IF(D736&lt;&gt;"",C736,0)</f>
        <v/>
      </c>
      <c r="C736" s="156">
        <f>(M736/MAX(M:M)*$M$1)+(N736/MAX(N:N)*$N$1)+(O736/MAX(O:O)*$O$1)+(P736/MAX(P:P)*$P$1)+(Q736/MAX(Q:Q)*$Q$1)+(R736/MAX(R:R)*$R$1)</f>
        <v/>
      </c>
      <c r="D736" s="156">
        <f>IFERROR(VLOOKUP(A736,'Injury Report'!A:F,6,0),"")</f>
        <v/>
      </c>
    </row>
    <row r="737" ht="15.6" customHeight="1" s="152">
      <c r="A737" s="167">
        <f>E737&amp;F737</f>
        <v/>
      </c>
      <c r="B737" s="156">
        <f>IF(D737&lt;&gt;"",C737,0)</f>
        <v/>
      </c>
      <c r="C737" s="156">
        <f>(M737/MAX(M:M)*$M$1)+(N737/MAX(N:N)*$N$1)+(O737/MAX(O:O)*$O$1)+(P737/MAX(P:P)*$P$1)+(Q737/MAX(Q:Q)*$Q$1)+(R737/MAX(R:R)*$R$1)</f>
        <v/>
      </c>
      <c r="D737" s="156">
        <f>IFERROR(VLOOKUP(A737,'Injury Report'!A:F,6,0),"")</f>
        <v/>
      </c>
    </row>
    <row r="738" ht="15.6" customHeight="1" s="152">
      <c r="A738" s="167">
        <f>E738&amp;F738</f>
        <v/>
      </c>
      <c r="B738" s="156">
        <f>IF(D738&lt;&gt;"",C738,0)</f>
        <v/>
      </c>
      <c r="C738" s="156">
        <f>(M738/MAX(M:M)*$M$1)+(N738/MAX(N:N)*$N$1)+(O738/MAX(O:O)*$O$1)+(P738/MAX(P:P)*$P$1)+(Q738/MAX(Q:Q)*$Q$1)+(R738/MAX(R:R)*$R$1)</f>
        <v/>
      </c>
      <c r="D738" s="156">
        <f>IFERROR(VLOOKUP(A738,'Injury Report'!A:F,6,0),"")</f>
        <v/>
      </c>
    </row>
    <row r="739" ht="15.6" customHeight="1" s="152">
      <c r="A739" s="167">
        <f>E739&amp;F739</f>
        <v/>
      </c>
      <c r="B739" s="156">
        <f>IF(D739&lt;&gt;"",C739,0)</f>
        <v/>
      </c>
      <c r="C739" s="156">
        <f>(M739/MAX(M:M)*$M$1)+(N739/MAX(N:N)*$N$1)+(O739/MAX(O:O)*$O$1)+(P739/MAX(P:P)*$P$1)+(Q739/MAX(Q:Q)*$Q$1)+(R739/MAX(R:R)*$R$1)</f>
        <v/>
      </c>
      <c r="D739" s="156">
        <f>IFERROR(VLOOKUP(A739,'Injury Report'!A:F,6,0),"")</f>
        <v/>
      </c>
    </row>
    <row r="740" ht="15.6" customHeight="1" s="152">
      <c r="A740" s="167">
        <f>E740&amp;F740</f>
        <v/>
      </c>
      <c r="B740" s="156">
        <f>IF(D740&lt;&gt;"",C740,0)</f>
        <v/>
      </c>
      <c r="C740" s="156">
        <f>(M740/MAX(M:M)*$M$1)+(N740/MAX(N:N)*$N$1)+(O740/MAX(O:O)*$O$1)+(P740/MAX(P:P)*$P$1)+(Q740/MAX(Q:Q)*$Q$1)+(R740/MAX(R:R)*$R$1)</f>
        <v/>
      </c>
      <c r="D740" s="156">
        <f>IFERROR(VLOOKUP(A740,'Injury Report'!A:F,6,0),"")</f>
        <v/>
      </c>
    </row>
    <row r="741" ht="15.6" customHeight="1" s="152">
      <c r="A741" s="167">
        <f>E741&amp;F741</f>
        <v/>
      </c>
      <c r="B741" s="156">
        <f>IF(D741&lt;&gt;"",C741,0)</f>
        <v/>
      </c>
      <c r="C741" s="156">
        <f>(M741/MAX(M:M)*$M$1)+(N741/MAX(N:N)*$N$1)+(O741/MAX(O:O)*$O$1)+(P741/MAX(P:P)*$P$1)+(Q741/MAX(Q:Q)*$Q$1)+(R741/MAX(R:R)*$R$1)</f>
        <v/>
      </c>
      <c r="D741" s="156">
        <f>IFERROR(VLOOKUP(A741,'Injury Report'!A:F,6,0),"")</f>
        <v/>
      </c>
    </row>
    <row r="742" ht="15.6" customHeight="1" s="152">
      <c r="A742" s="167">
        <f>E742&amp;F742</f>
        <v/>
      </c>
      <c r="B742" s="156">
        <f>IF(D742&lt;&gt;"",C742,0)</f>
        <v/>
      </c>
      <c r="C742" s="156">
        <f>(M742/MAX(M:M)*$M$1)+(N742/MAX(N:N)*$N$1)+(O742/MAX(O:O)*$O$1)+(P742/MAX(P:P)*$P$1)+(Q742/MAX(Q:Q)*$Q$1)+(R742/MAX(R:R)*$R$1)</f>
        <v/>
      </c>
      <c r="D742" s="156">
        <f>IFERROR(VLOOKUP(A742,'Injury Report'!A:F,6,0),"")</f>
        <v/>
      </c>
    </row>
    <row r="743" ht="15.6" customHeight="1" s="152">
      <c r="A743" s="167">
        <f>E743&amp;F743</f>
        <v/>
      </c>
      <c r="B743" s="156">
        <f>IF(D743&lt;&gt;"",C743,0)</f>
        <v/>
      </c>
      <c r="C743" s="156">
        <f>(M743/MAX(M:M)*$M$1)+(N743/MAX(N:N)*$N$1)+(O743/MAX(O:O)*$O$1)+(P743/MAX(P:P)*$P$1)+(Q743/MAX(Q:Q)*$Q$1)+(R743/MAX(R:R)*$R$1)</f>
        <v/>
      </c>
      <c r="D743" s="156">
        <f>IFERROR(VLOOKUP(A743,'Injury Report'!A:F,6,0),"")</f>
        <v/>
      </c>
    </row>
    <row r="744" ht="15.6" customHeight="1" s="152">
      <c r="A744" s="167">
        <f>E744&amp;F744</f>
        <v/>
      </c>
      <c r="B744" s="156">
        <f>IF(D744&lt;&gt;"",C744,0)</f>
        <v/>
      </c>
      <c r="C744" s="156">
        <f>(M744/MAX(M:M)*$M$1)+(N744/MAX(N:N)*$N$1)+(O744/MAX(O:O)*$O$1)+(P744/MAX(P:P)*$P$1)+(Q744/MAX(Q:Q)*$Q$1)+(R744/MAX(R:R)*$R$1)</f>
        <v/>
      </c>
      <c r="D744" s="156">
        <f>IFERROR(VLOOKUP(A744,'Injury Report'!A:F,6,0),"")</f>
        <v/>
      </c>
    </row>
    <row r="745" ht="15.6" customHeight="1" s="152">
      <c r="A745" s="167">
        <f>E745&amp;F745</f>
        <v/>
      </c>
      <c r="B745" s="156">
        <f>IF(D745&lt;&gt;"",C745,0)</f>
        <v/>
      </c>
      <c r="C745" s="156">
        <f>(M745/MAX(M:M)*$M$1)+(N745/MAX(N:N)*$N$1)+(O745/MAX(O:O)*$O$1)+(P745/MAX(P:P)*$P$1)+(Q745/MAX(Q:Q)*$Q$1)+(R745/MAX(R:R)*$R$1)</f>
        <v/>
      </c>
      <c r="D745" s="156">
        <f>IFERROR(VLOOKUP(A745,'Injury Report'!A:F,6,0),"")</f>
        <v/>
      </c>
    </row>
    <row r="746" ht="15.6" customHeight="1" s="152">
      <c r="A746" s="167">
        <f>E746&amp;F746</f>
        <v/>
      </c>
      <c r="B746" s="156">
        <f>IF(D746&lt;&gt;"",C746,0)</f>
        <v/>
      </c>
      <c r="C746" s="156">
        <f>(M746/MAX(M:M)*$M$1)+(N746/MAX(N:N)*$N$1)+(O746/MAX(O:O)*$O$1)+(P746/MAX(P:P)*$P$1)+(Q746/MAX(Q:Q)*$Q$1)+(R746/MAX(R:R)*$R$1)</f>
        <v/>
      </c>
      <c r="D746" s="156">
        <f>IFERROR(VLOOKUP(A746,'Injury Report'!A:F,6,0),"")</f>
        <v/>
      </c>
    </row>
    <row r="747" ht="15.6" customHeight="1" s="152">
      <c r="A747" s="167">
        <f>E747&amp;F747</f>
        <v/>
      </c>
      <c r="B747" s="156">
        <f>IF(D747&lt;&gt;"",C747,0)</f>
        <v/>
      </c>
      <c r="C747" s="156">
        <f>(M747/MAX(M:M)*$M$1)+(N747/MAX(N:N)*$N$1)+(O747/MAX(O:O)*$O$1)+(P747/MAX(P:P)*$P$1)+(Q747/MAX(Q:Q)*$Q$1)+(R747/MAX(R:R)*$R$1)</f>
        <v/>
      </c>
      <c r="D747" s="156">
        <f>IFERROR(VLOOKUP(A747,'Injury Report'!A:F,6,0),"")</f>
        <v/>
      </c>
    </row>
    <row r="748" ht="15.6" customHeight="1" s="152">
      <c r="A748" s="167">
        <f>E748&amp;F748</f>
        <v/>
      </c>
      <c r="B748" s="156">
        <f>IF(D748&lt;&gt;"",C748,0)</f>
        <v/>
      </c>
      <c r="C748" s="156">
        <f>(M748/MAX(M:M)*$M$1)+(N748/MAX(N:N)*$N$1)+(O748/MAX(O:O)*$O$1)+(P748/MAX(P:P)*$P$1)+(Q748/MAX(Q:Q)*$Q$1)+(R748/MAX(R:R)*$R$1)</f>
        <v/>
      </c>
      <c r="D748" s="156">
        <f>IFERROR(VLOOKUP(A748,'Injury Report'!A:F,6,0),"")</f>
        <v/>
      </c>
    </row>
    <row r="749" ht="15.6" customHeight="1" s="152">
      <c r="A749" s="167">
        <f>E749&amp;F749</f>
        <v/>
      </c>
      <c r="B749" s="156">
        <f>IF(D749&lt;&gt;"",C749,0)</f>
        <v/>
      </c>
      <c r="C749" s="156">
        <f>(M749/MAX(M:M)*$M$1)+(N749/MAX(N:N)*$N$1)+(O749/MAX(O:O)*$O$1)+(P749/MAX(P:P)*$P$1)+(Q749/MAX(Q:Q)*$Q$1)+(R749/MAX(R:R)*$R$1)</f>
        <v/>
      </c>
      <c r="D749" s="156">
        <f>IFERROR(VLOOKUP(A749,'Injury Report'!A:F,6,0),"")</f>
        <v/>
      </c>
    </row>
    <row r="750" ht="15.6" customHeight="1" s="152">
      <c r="A750" s="167">
        <f>E750&amp;F750</f>
        <v/>
      </c>
      <c r="B750" s="156">
        <f>IF(D750&lt;&gt;"",C750,0)</f>
        <v/>
      </c>
      <c r="C750" s="156">
        <f>(M750/MAX(M:M)*$M$1)+(N750/MAX(N:N)*$N$1)+(O750/MAX(O:O)*$O$1)+(P750/MAX(P:P)*$P$1)+(Q750/MAX(Q:Q)*$Q$1)+(R750/MAX(R:R)*$R$1)</f>
        <v/>
      </c>
      <c r="D750" s="156">
        <f>IFERROR(VLOOKUP(A750,'Injury Report'!A:F,6,0),"")</f>
        <v/>
      </c>
    </row>
    <row r="751" ht="15.6" customHeight="1" s="152">
      <c r="A751" s="167">
        <f>E751&amp;F751</f>
        <v/>
      </c>
      <c r="B751" s="156">
        <f>IF(D751&lt;&gt;"",C751,0)</f>
        <v/>
      </c>
      <c r="C751" s="156">
        <f>(M751/MAX(M:M)*$M$1)+(N751/MAX(N:N)*$N$1)+(O751/MAX(O:O)*$O$1)+(P751/MAX(P:P)*$P$1)+(Q751/MAX(Q:Q)*$Q$1)+(R751/MAX(R:R)*$R$1)</f>
        <v/>
      </c>
      <c r="D751" s="156">
        <f>IFERROR(VLOOKUP(A751,'Injury Report'!A:F,6,0),"")</f>
        <v/>
      </c>
    </row>
    <row r="752" ht="15.6" customHeight="1" s="152">
      <c r="A752" s="167">
        <f>E752&amp;F752</f>
        <v/>
      </c>
      <c r="B752" s="156">
        <f>IF(D752&lt;&gt;"",C752,0)</f>
        <v/>
      </c>
      <c r="C752" s="156">
        <f>(M752/MAX(M:M)*$M$1)+(N752/MAX(N:N)*$N$1)+(O752/MAX(O:O)*$O$1)+(P752/MAX(P:P)*$P$1)+(Q752/MAX(Q:Q)*$Q$1)+(R752/MAX(R:R)*$R$1)</f>
        <v/>
      </c>
      <c r="D752" s="156">
        <f>IFERROR(VLOOKUP(A752,'Injury Report'!A:F,6,0),"")</f>
        <v/>
      </c>
    </row>
    <row r="753" ht="15.6" customHeight="1" s="152">
      <c r="A753" s="167">
        <f>E753&amp;F753</f>
        <v/>
      </c>
      <c r="B753" s="156">
        <f>IF(D753&lt;&gt;"",C753,0)</f>
        <v/>
      </c>
      <c r="C753" s="156">
        <f>(M753/MAX(M:M)*$M$1)+(N753/MAX(N:N)*$N$1)+(O753/MAX(O:O)*$O$1)+(P753/MAX(P:P)*$P$1)+(Q753/MAX(Q:Q)*$Q$1)+(R753/MAX(R:R)*$R$1)</f>
        <v/>
      </c>
      <c r="D753" s="156">
        <f>IFERROR(VLOOKUP(A753,'Injury Report'!A:F,6,0),"")</f>
        <v/>
      </c>
    </row>
    <row r="754" ht="15.6" customHeight="1" s="152">
      <c r="A754" s="167">
        <f>E754&amp;F754</f>
        <v/>
      </c>
      <c r="B754" s="156">
        <f>IF(D754&lt;&gt;"",C754,0)</f>
        <v/>
      </c>
      <c r="C754" s="156">
        <f>(M754/MAX(M:M)*$M$1)+(N754/MAX(N:N)*$N$1)+(O754/MAX(O:O)*$O$1)+(P754/MAX(P:P)*$P$1)+(Q754/MAX(Q:Q)*$Q$1)+(R754/MAX(R:R)*$R$1)</f>
        <v/>
      </c>
      <c r="D754" s="156">
        <f>IFERROR(VLOOKUP(A754,'Injury Report'!A:F,6,0),"")</f>
        <v/>
      </c>
    </row>
    <row r="755" ht="15.6" customHeight="1" s="152">
      <c r="A755" s="167">
        <f>E755&amp;F755</f>
        <v/>
      </c>
      <c r="B755" s="156">
        <f>IF(D755&lt;&gt;"",C755,0)</f>
        <v/>
      </c>
      <c r="C755" s="156">
        <f>(M755/MAX(M:M)*$M$1)+(N755/MAX(N:N)*$N$1)+(O755/MAX(O:O)*$O$1)+(P755/MAX(P:P)*$P$1)+(Q755/MAX(Q:Q)*$Q$1)+(R755/MAX(R:R)*$R$1)</f>
        <v/>
      </c>
      <c r="D755" s="156">
        <f>IFERROR(VLOOKUP(A755,'Injury Report'!A:F,6,0),"")</f>
        <v/>
      </c>
    </row>
    <row r="756" ht="15.6" customHeight="1" s="152">
      <c r="A756" s="167">
        <f>E756&amp;F756</f>
        <v/>
      </c>
      <c r="B756" s="156">
        <f>IF(D756&lt;&gt;"",C756,0)</f>
        <v/>
      </c>
      <c r="C756" s="156">
        <f>(M756/MAX(M:M)*$M$1)+(N756/MAX(N:N)*$N$1)+(O756/MAX(O:O)*$O$1)+(P756/MAX(P:P)*$P$1)+(Q756/MAX(Q:Q)*$Q$1)+(R756/MAX(R:R)*$R$1)</f>
        <v/>
      </c>
      <c r="D756" s="156">
        <f>IFERROR(VLOOKUP(A756,'Injury Report'!A:F,6,0),"")</f>
        <v/>
      </c>
    </row>
    <row r="757" ht="15.6" customHeight="1" s="152">
      <c r="A757" s="167">
        <f>E757&amp;F757</f>
        <v/>
      </c>
      <c r="B757" s="156">
        <f>IF(D757&lt;&gt;"",C757,0)</f>
        <v/>
      </c>
      <c r="C757" s="156">
        <f>(M757/MAX(M:M)*$M$1)+(N757/MAX(N:N)*$N$1)+(O757/MAX(O:O)*$O$1)+(P757/MAX(P:P)*$P$1)+(Q757/MAX(Q:Q)*$Q$1)+(R757/MAX(R:R)*$R$1)</f>
        <v/>
      </c>
      <c r="D757" s="156">
        <f>IFERROR(VLOOKUP(A757,'Injury Report'!A:F,6,0),"")</f>
        <v/>
      </c>
    </row>
    <row r="758" ht="15.6" customHeight="1" s="152">
      <c r="A758" s="167">
        <f>E758&amp;F758</f>
        <v/>
      </c>
      <c r="B758" s="156">
        <f>IF(D758&lt;&gt;"",C758,0)</f>
        <v/>
      </c>
      <c r="C758" s="156">
        <f>(M758/MAX(M:M)*$M$1)+(N758/MAX(N:N)*$N$1)+(O758/MAX(O:O)*$O$1)+(P758/MAX(P:P)*$P$1)+(Q758/MAX(Q:Q)*$Q$1)+(R758/MAX(R:R)*$R$1)</f>
        <v/>
      </c>
      <c r="D758" s="156">
        <f>IFERROR(VLOOKUP(A758,'Injury Report'!A:F,6,0),"")</f>
        <v/>
      </c>
    </row>
    <row r="759" ht="15.6" customHeight="1" s="152">
      <c r="A759" s="167">
        <f>E759&amp;F759</f>
        <v/>
      </c>
      <c r="B759" s="156">
        <f>IF(D759&lt;&gt;"",C759,0)</f>
        <v/>
      </c>
      <c r="C759" s="156">
        <f>(M759/MAX(M:M)*$M$1)+(N759/MAX(N:N)*$N$1)+(O759/MAX(O:O)*$O$1)+(P759/MAX(P:P)*$P$1)+(Q759/MAX(Q:Q)*$Q$1)+(R759/MAX(R:R)*$R$1)</f>
        <v/>
      </c>
      <c r="D759" s="156">
        <f>IFERROR(VLOOKUP(A759,'Injury Report'!A:F,6,0),"")</f>
        <v/>
      </c>
    </row>
    <row r="760" ht="15.6" customHeight="1" s="152">
      <c r="A760" s="167">
        <f>E760&amp;F760</f>
        <v/>
      </c>
      <c r="B760" s="156">
        <f>IF(D760&lt;&gt;"",C760,0)</f>
        <v/>
      </c>
      <c r="C760" s="156">
        <f>(M760/MAX(M:M)*$M$1)+(N760/MAX(N:N)*$N$1)+(O760/MAX(O:O)*$O$1)+(P760/MAX(P:P)*$P$1)+(Q760/MAX(Q:Q)*$Q$1)+(R760/MAX(R:R)*$R$1)</f>
        <v/>
      </c>
      <c r="D760" s="156">
        <f>IFERROR(VLOOKUP(A760,'Injury Report'!A:F,6,0),"")</f>
        <v/>
      </c>
    </row>
    <row r="761" ht="15.6" customHeight="1" s="152">
      <c r="A761" s="167">
        <f>E761&amp;F761</f>
        <v/>
      </c>
      <c r="B761" s="156">
        <f>IF(D761&lt;&gt;"",C761,0)</f>
        <v/>
      </c>
      <c r="C761" s="156">
        <f>(M761/MAX(M:M)*$M$1)+(N761/MAX(N:N)*$N$1)+(O761/MAX(O:O)*$O$1)+(P761/MAX(P:P)*$P$1)+(Q761/MAX(Q:Q)*$Q$1)+(R761/MAX(R:R)*$R$1)</f>
        <v/>
      </c>
      <c r="D761" s="156">
        <f>IFERROR(VLOOKUP(A761,'Injury Report'!A:F,6,0),"")</f>
        <v/>
      </c>
    </row>
    <row r="762" ht="15.6" customHeight="1" s="152">
      <c r="A762" s="167">
        <f>E762&amp;F762</f>
        <v/>
      </c>
      <c r="B762" s="156">
        <f>IF(D762&lt;&gt;"",C762,0)</f>
        <v/>
      </c>
      <c r="C762" s="156">
        <f>(M762/MAX(M:M)*$M$1)+(N762/MAX(N:N)*$N$1)+(O762/MAX(O:O)*$O$1)+(P762/MAX(P:P)*$P$1)+(Q762/MAX(Q:Q)*$Q$1)+(R762/MAX(R:R)*$R$1)</f>
        <v/>
      </c>
      <c r="D762" s="156">
        <f>IFERROR(VLOOKUP(A762,'Injury Report'!A:F,6,0),"")</f>
        <v/>
      </c>
    </row>
    <row r="763" ht="15.6" customHeight="1" s="152">
      <c r="A763" s="167">
        <f>E763&amp;F763</f>
        <v/>
      </c>
      <c r="B763" s="156">
        <f>IF(D763&lt;&gt;"",C763,0)</f>
        <v/>
      </c>
      <c r="C763" s="156">
        <f>(M763/MAX(M:M)*$M$1)+(N763/MAX(N:N)*$N$1)+(O763/MAX(O:O)*$O$1)+(P763/MAX(P:P)*$P$1)+(Q763/MAX(Q:Q)*$Q$1)+(R763/MAX(R:R)*$R$1)</f>
        <v/>
      </c>
      <c r="D763" s="156">
        <f>IFERROR(VLOOKUP(A763,'Injury Report'!A:F,6,0),"")</f>
        <v/>
      </c>
    </row>
    <row r="764" ht="15.6" customHeight="1" s="152">
      <c r="A764" s="167">
        <f>E764&amp;F764</f>
        <v/>
      </c>
      <c r="B764" s="156">
        <f>IF(D764&lt;&gt;"",C764,0)</f>
        <v/>
      </c>
      <c r="C764" s="156">
        <f>(M764/MAX(M:M)*$M$1)+(N764/MAX(N:N)*$N$1)+(O764/MAX(O:O)*$O$1)+(P764/MAX(P:P)*$P$1)+(Q764/MAX(Q:Q)*$Q$1)+(R764/MAX(R:R)*$R$1)</f>
        <v/>
      </c>
      <c r="D764" s="156">
        <f>IFERROR(VLOOKUP(A764,'Injury Report'!A:F,6,0),"")</f>
        <v/>
      </c>
    </row>
    <row r="765" ht="15.6" customHeight="1" s="152">
      <c r="A765" s="167">
        <f>E765&amp;F765</f>
        <v/>
      </c>
      <c r="B765" s="156">
        <f>IF(D765&lt;&gt;"",C765,0)</f>
        <v/>
      </c>
      <c r="C765" s="156">
        <f>(M765/MAX(M:M)*$M$1)+(N765/MAX(N:N)*$N$1)+(O765/MAX(O:O)*$O$1)+(P765/MAX(P:P)*$P$1)+(Q765/MAX(Q:Q)*$Q$1)+(R765/MAX(R:R)*$R$1)</f>
        <v/>
      </c>
      <c r="D765" s="156">
        <f>IFERROR(VLOOKUP(A765,'Injury Report'!A:F,6,0),"")</f>
        <v/>
      </c>
    </row>
    <row r="766" ht="15.6" customHeight="1" s="152">
      <c r="A766" s="167">
        <f>E766&amp;F766</f>
        <v/>
      </c>
      <c r="B766" s="156">
        <f>IF(D766&lt;&gt;"",C766,0)</f>
        <v/>
      </c>
      <c r="C766" s="156">
        <f>(M766/MAX(M:M)*$M$1)+(N766/MAX(N:N)*$N$1)+(O766/MAX(O:O)*$O$1)+(P766/MAX(P:P)*$P$1)+(Q766/MAX(Q:Q)*$Q$1)+(R766/MAX(R:R)*$R$1)</f>
        <v/>
      </c>
      <c r="D766" s="156">
        <f>IFERROR(VLOOKUP(A766,'Injury Report'!A:F,6,0),"")</f>
        <v/>
      </c>
    </row>
    <row r="767" ht="15.6" customHeight="1" s="152">
      <c r="A767" s="167">
        <f>E767&amp;F767</f>
        <v/>
      </c>
      <c r="B767" s="156">
        <f>IF(D767&lt;&gt;"",C767,0)</f>
        <v/>
      </c>
      <c r="C767" s="156">
        <f>(M767/MAX(M:M)*$M$1)+(N767/MAX(N:N)*$N$1)+(O767/MAX(O:O)*$O$1)+(P767/MAX(P:P)*$P$1)+(Q767/MAX(Q:Q)*$Q$1)+(R767/MAX(R:R)*$R$1)</f>
        <v/>
      </c>
      <c r="D767" s="156">
        <f>IFERROR(VLOOKUP(A767,'Injury Report'!A:F,6,0),"")</f>
        <v/>
      </c>
    </row>
    <row r="768" ht="15.6" customHeight="1" s="152">
      <c r="A768" s="167">
        <f>E768&amp;F768</f>
        <v/>
      </c>
      <c r="B768" s="156">
        <f>IF(D768&lt;&gt;"",C768,0)</f>
        <v/>
      </c>
      <c r="C768" s="156">
        <f>(M768/MAX(M:M)*$M$1)+(N768/MAX(N:N)*$N$1)+(O768/MAX(O:O)*$O$1)+(P768/MAX(P:P)*$P$1)+(Q768/MAX(Q:Q)*$Q$1)+(R768/MAX(R:R)*$R$1)</f>
        <v/>
      </c>
      <c r="D768" s="156">
        <f>IFERROR(VLOOKUP(A768,'Injury Report'!A:F,6,0),"")</f>
        <v/>
      </c>
    </row>
    <row r="769" ht="15.6" customHeight="1" s="152">
      <c r="A769" s="167">
        <f>E769&amp;F769</f>
        <v/>
      </c>
      <c r="B769" s="156">
        <f>IF(D769&lt;&gt;"",C769,0)</f>
        <v/>
      </c>
      <c r="C769" s="156">
        <f>(M769/MAX(M:M)*$M$1)+(N769/MAX(N:N)*$N$1)+(O769/MAX(O:O)*$O$1)+(P769/MAX(P:P)*$P$1)+(Q769/MAX(Q:Q)*$Q$1)+(R769/MAX(R:R)*$R$1)</f>
        <v/>
      </c>
      <c r="D769" s="156">
        <f>IFERROR(VLOOKUP(A769,'Injury Report'!A:F,6,0),"")</f>
        <v/>
      </c>
    </row>
    <row r="770" ht="15.6" customHeight="1" s="152">
      <c r="A770" s="167">
        <f>E770&amp;F770</f>
        <v/>
      </c>
      <c r="B770" s="156">
        <f>IF(D770&lt;&gt;"",C770,0)</f>
        <v/>
      </c>
      <c r="C770" s="156">
        <f>(M770/MAX(M:M)*$M$1)+(N770/MAX(N:N)*$N$1)+(O770/MAX(O:O)*$O$1)+(P770/MAX(P:P)*$P$1)+(Q770/MAX(Q:Q)*$Q$1)+(R770/MAX(R:R)*$R$1)</f>
        <v/>
      </c>
      <c r="D770" s="156">
        <f>IFERROR(VLOOKUP(A770,'Injury Report'!A:F,6,0),"")</f>
        <v/>
      </c>
    </row>
    <row r="771" ht="15.6" customHeight="1" s="152">
      <c r="A771" s="167">
        <f>E771&amp;F771</f>
        <v/>
      </c>
      <c r="B771" s="156">
        <f>IF(D771&lt;&gt;"",C771,0)</f>
        <v/>
      </c>
      <c r="C771" s="156">
        <f>(M771/MAX(M:M)*$M$1)+(N771/MAX(N:N)*$N$1)+(O771/MAX(O:O)*$O$1)+(P771/MAX(P:P)*$P$1)+(Q771/MAX(Q:Q)*$Q$1)+(R771/MAX(R:R)*$R$1)</f>
        <v/>
      </c>
      <c r="D771" s="156">
        <f>IFERROR(VLOOKUP(A771,'Injury Report'!A:F,6,0),"")</f>
        <v/>
      </c>
    </row>
    <row r="772" ht="15.6" customHeight="1" s="152">
      <c r="A772" s="167">
        <f>E772&amp;F772</f>
        <v/>
      </c>
      <c r="B772" s="156">
        <f>IF(D772&lt;&gt;"",C772,0)</f>
        <v/>
      </c>
      <c r="C772" s="156">
        <f>(M772/MAX(M:M)*$M$1)+(N772/MAX(N:N)*$N$1)+(O772/MAX(O:O)*$O$1)+(P772/MAX(P:P)*$P$1)+(Q772/MAX(Q:Q)*$Q$1)+(R772/MAX(R:R)*$R$1)</f>
        <v/>
      </c>
      <c r="D772" s="156">
        <f>IFERROR(VLOOKUP(A772,'Injury Report'!A:F,6,0),"")</f>
        <v/>
      </c>
    </row>
    <row r="773" ht="15.6" customHeight="1" s="152">
      <c r="A773" s="167">
        <f>E773&amp;F773</f>
        <v/>
      </c>
      <c r="B773" s="156">
        <f>IF(D773&lt;&gt;"",C773,0)</f>
        <v/>
      </c>
      <c r="C773" s="156">
        <f>(M773/MAX(M:M)*$M$1)+(N773/MAX(N:N)*$N$1)+(O773/MAX(O:O)*$O$1)+(P773/MAX(P:P)*$P$1)+(Q773/MAX(Q:Q)*$Q$1)+(R773/MAX(R:R)*$R$1)</f>
        <v/>
      </c>
      <c r="D773" s="156">
        <f>IFERROR(VLOOKUP(A773,'Injury Report'!A:F,6,0),"")</f>
        <v/>
      </c>
    </row>
    <row r="774" ht="15.6" customHeight="1" s="152">
      <c r="A774" s="167">
        <f>E774&amp;F774</f>
        <v/>
      </c>
      <c r="B774" s="156">
        <f>IF(D774&lt;&gt;"",C774,0)</f>
        <v/>
      </c>
      <c r="C774" s="156">
        <f>(M774/MAX(M:M)*$M$1)+(N774/MAX(N:N)*$N$1)+(O774/MAX(O:O)*$O$1)+(P774/MAX(P:P)*$P$1)+(Q774/MAX(Q:Q)*$Q$1)+(R774/MAX(R:R)*$R$1)</f>
        <v/>
      </c>
      <c r="D774" s="156">
        <f>IFERROR(VLOOKUP(A774,'Injury Report'!A:F,6,0),"")</f>
        <v/>
      </c>
    </row>
    <row r="775" ht="15.6" customHeight="1" s="152">
      <c r="A775" s="167">
        <f>E775&amp;F775</f>
        <v/>
      </c>
      <c r="B775" s="156">
        <f>IF(D775&lt;&gt;"",C775,0)</f>
        <v/>
      </c>
      <c r="C775" s="156">
        <f>(M775/MAX(M:M)*$M$1)+(N775/MAX(N:N)*$N$1)+(O775/MAX(O:O)*$O$1)+(P775/MAX(P:P)*$P$1)+(Q775/MAX(Q:Q)*$Q$1)+(R775/MAX(R:R)*$R$1)</f>
        <v/>
      </c>
      <c r="D775" s="156">
        <f>IFERROR(VLOOKUP(A775,'Injury Report'!A:F,6,0),"")</f>
        <v/>
      </c>
    </row>
    <row r="776" ht="15.6" customHeight="1" s="152">
      <c r="A776" s="167">
        <f>E776&amp;F776</f>
        <v/>
      </c>
      <c r="B776" s="156">
        <f>IF(D776&lt;&gt;"",C776,0)</f>
        <v/>
      </c>
      <c r="C776" s="156">
        <f>(M776/MAX(M:M)*$M$1)+(N776/MAX(N:N)*$N$1)+(O776/MAX(O:O)*$O$1)+(P776/MAX(P:P)*$P$1)+(Q776/MAX(Q:Q)*$Q$1)+(R776/MAX(R:R)*$R$1)</f>
        <v/>
      </c>
      <c r="D776" s="156">
        <f>IFERROR(VLOOKUP(A776,'Injury Report'!A:F,6,0),"")</f>
        <v/>
      </c>
    </row>
    <row r="777" ht="15.6" customHeight="1" s="152">
      <c r="A777" s="167">
        <f>E777&amp;F777</f>
        <v/>
      </c>
      <c r="B777" s="156">
        <f>IF(D777&lt;&gt;"",C777,0)</f>
        <v/>
      </c>
      <c r="C777" s="156">
        <f>(M777/MAX(M:M)*$M$1)+(N777/MAX(N:N)*$N$1)+(O777/MAX(O:O)*$O$1)+(P777/MAX(P:P)*$P$1)+(Q777/MAX(Q:Q)*$Q$1)+(R777/MAX(R:R)*$R$1)</f>
        <v/>
      </c>
      <c r="D777" s="156">
        <f>IFERROR(VLOOKUP(A777,'Injury Report'!A:F,6,0),"")</f>
        <v/>
      </c>
    </row>
    <row r="778" ht="15.6" customHeight="1" s="152">
      <c r="A778" s="167">
        <f>E778&amp;F778</f>
        <v/>
      </c>
      <c r="B778" s="156">
        <f>IF(D778&lt;&gt;"",C778,0)</f>
        <v/>
      </c>
      <c r="C778" s="156">
        <f>(M778/MAX(M:M)*$M$1)+(N778/MAX(N:N)*$N$1)+(O778/MAX(O:O)*$O$1)+(P778/MAX(P:P)*$P$1)+(Q778/MAX(Q:Q)*$Q$1)+(R778/MAX(R:R)*$R$1)</f>
        <v/>
      </c>
      <c r="D778" s="156">
        <f>IFERROR(VLOOKUP(A778,'Injury Report'!A:F,6,0),"")</f>
        <v/>
      </c>
    </row>
    <row r="779" ht="15.6" customHeight="1" s="152">
      <c r="A779" s="167">
        <f>E779&amp;F779</f>
        <v/>
      </c>
      <c r="B779" s="156">
        <f>IF(D779&lt;&gt;"",C779,0)</f>
        <v/>
      </c>
      <c r="C779" s="156">
        <f>(M779/MAX(M:M)*$M$1)+(N779/MAX(N:N)*$N$1)+(O779/MAX(O:O)*$O$1)+(P779/MAX(P:P)*$P$1)+(Q779/MAX(Q:Q)*$Q$1)+(R779/MAX(R:R)*$R$1)</f>
        <v/>
      </c>
      <c r="D779" s="156">
        <f>IFERROR(VLOOKUP(A779,'Injury Report'!A:F,6,0),"")</f>
        <v/>
      </c>
    </row>
    <row r="780" ht="15.6" customHeight="1" s="152">
      <c r="A780" s="167">
        <f>E780&amp;F780</f>
        <v/>
      </c>
      <c r="B780" s="156">
        <f>IF(D780&lt;&gt;"",C780,0)</f>
        <v/>
      </c>
      <c r="C780" s="156">
        <f>(M780/MAX(M:M)*$M$1)+(N780/MAX(N:N)*$N$1)+(O780/MAX(O:O)*$O$1)+(P780/MAX(P:P)*$P$1)+(Q780/MAX(Q:Q)*$Q$1)+(R780/MAX(R:R)*$R$1)</f>
        <v/>
      </c>
      <c r="D780" s="156">
        <f>IFERROR(VLOOKUP(A780,'Injury Report'!A:F,6,0),"")</f>
        <v/>
      </c>
    </row>
    <row r="781" ht="15.6" customHeight="1" s="152">
      <c r="A781" s="167">
        <f>E781&amp;F781</f>
        <v/>
      </c>
      <c r="B781" s="156">
        <f>IF(D781&lt;&gt;"",C781,0)</f>
        <v/>
      </c>
      <c r="C781" s="156">
        <f>(M781/MAX(M:M)*$M$1)+(N781/MAX(N:N)*$N$1)+(O781/MAX(O:O)*$O$1)+(P781/MAX(P:P)*$P$1)+(Q781/MAX(Q:Q)*$Q$1)+(R781/MAX(R:R)*$R$1)</f>
        <v/>
      </c>
      <c r="D781" s="156">
        <f>IFERROR(VLOOKUP(A781,'Injury Report'!A:F,6,0),"")</f>
        <v/>
      </c>
    </row>
    <row r="782" ht="15.6" customHeight="1" s="152">
      <c r="A782" s="167">
        <f>E782&amp;F782</f>
        <v/>
      </c>
      <c r="B782" s="156">
        <f>IF(D782&lt;&gt;"",C782,0)</f>
        <v/>
      </c>
      <c r="C782" s="156">
        <f>(M782/MAX(M:M)*$M$1)+(N782/MAX(N:N)*$N$1)+(O782/MAX(O:O)*$O$1)+(P782/MAX(P:P)*$P$1)+(Q782/MAX(Q:Q)*$Q$1)+(R782/MAX(R:R)*$R$1)</f>
        <v/>
      </c>
      <c r="D782" s="156">
        <f>IFERROR(VLOOKUP(A782,'Injury Report'!A:F,6,0),"")</f>
        <v/>
      </c>
    </row>
    <row r="783" ht="15.6" customHeight="1" s="152">
      <c r="A783" s="167">
        <f>E783&amp;F783</f>
        <v/>
      </c>
      <c r="B783" s="156">
        <f>IF(D783&lt;&gt;"",C783,0)</f>
        <v/>
      </c>
      <c r="C783" s="156">
        <f>(M783/MAX(M:M)*$M$1)+(N783/MAX(N:N)*$N$1)+(O783/MAX(O:O)*$O$1)+(P783/MAX(P:P)*$P$1)+(Q783/MAX(Q:Q)*$Q$1)+(R783/MAX(R:R)*$R$1)</f>
        <v/>
      </c>
      <c r="D783" s="156">
        <f>IFERROR(VLOOKUP(A783,'Injury Report'!A:F,6,0),"")</f>
        <v/>
      </c>
    </row>
    <row r="784" ht="15.6" customHeight="1" s="152">
      <c r="A784" s="167">
        <f>E784&amp;F784</f>
        <v/>
      </c>
      <c r="B784" s="156">
        <f>IF(D784&lt;&gt;"",C784,0)</f>
        <v/>
      </c>
      <c r="C784" s="156">
        <f>(M784/MAX(M:M)*$M$1)+(N784/MAX(N:N)*$N$1)+(O784/MAX(O:O)*$O$1)+(P784/MAX(P:P)*$P$1)+(Q784/MAX(Q:Q)*$Q$1)+(R784/MAX(R:R)*$R$1)</f>
        <v/>
      </c>
      <c r="D784" s="156">
        <f>IFERROR(VLOOKUP(A784,'Injury Report'!A:F,6,0),"")</f>
        <v/>
      </c>
    </row>
    <row r="785" ht="15.6" customHeight="1" s="152">
      <c r="A785" s="167">
        <f>E785&amp;F785</f>
        <v/>
      </c>
      <c r="B785" s="156">
        <f>IF(D785&lt;&gt;"",C785,0)</f>
        <v/>
      </c>
      <c r="C785" s="156">
        <f>(M785/MAX(M:M)*$M$1)+(N785/MAX(N:N)*$N$1)+(O785/MAX(O:O)*$O$1)+(P785/MAX(P:P)*$P$1)+(Q785/MAX(Q:Q)*$Q$1)+(R785/MAX(R:R)*$R$1)</f>
        <v/>
      </c>
      <c r="D785" s="156">
        <f>IFERROR(VLOOKUP(A785,'Injury Report'!A:F,6,0),"")</f>
        <v/>
      </c>
    </row>
    <row r="786" ht="15.6" customHeight="1" s="152">
      <c r="A786" s="167">
        <f>E786&amp;F786</f>
        <v/>
      </c>
      <c r="B786" s="156">
        <f>IF(D786&lt;&gt;"",C786,0)</f>
        <v/>
      </c>
      <c r="C786" s="156">
        <f>(M786/MAX(M:M)*$M$1)+(N786/MAX(N:N)*$N$1)+(O786/MAX(O:O)*$O$1)+(P786/MAX(P:P)*$P$1)+(Q786/MAX(Q:Q)*$Q$1)+(R786/MAX(R:R)*$R$1)</f>
        <v/>
      </c>
      <c r="D786" s="156">
        <f>IFERROR(VLOOKUP(A786,'Injury Report'!A:F,6,0),"")</f>
        <v/>
      </c>
    </row>
    <row r="787" ht="15.6" customHeight="1" s="152">
      <c r="A787" s="167">
        <f>E787&amp;F787</f>
        <v/>
      </c>
      <c r="B787" s="156">
        <f>IF(D787&lt;&gt;"",C787,0)</f>
        <v/>
      </c>
      <c r="C787" s="156">
        <f>(M787/MAX(M:M)*$M$1)+(N787/MAX(N:N)*$N$1)+(O787/MAX(O:O)*$O$1)+(P787/MAX(P:P)*$P$1)+(Q787/MAX(Q:Q)*$Q$1)+(R787/MAX(R:R)*$R$1)</f>
        <v/>
      </c>
      <c r="D787" s="156">
        <f>IFERROR(VLOOKUP(A787,'Injury Report'!A:F,6,0),"")</f>
        <v/>
      </c>
    </row>
    <row r="788" ht="15.6" customHeight="1" s="152">
      <c r="A788" s="167">
        <f>E788&amp;F788</f>
        <v/>
      </c>
      <c r="B788" s="156">
        <f>IF(D788&lt;&gt;"",C788,0)</f>
        <v/>
      </c>
      <c r="C788" s="156">
        <f>(M788/MAX(M:M)*$M$1)+(N788/MAX(N:N)*$N$1)+(O788/MAX(O:O)*$O$1)+(P788/MAX(P:P)*$P$1)+(Q788/MAX(Q:Q)*$Q$1)+(R788/MAX(R:R)*$R$1)</f>
        <v/>
      </c>
      <c r="D788" s="156">
        <f>IFERROR(VLOOKUP(A788,'Injury Report'!A:F,6,0),"")</f>
        <v/>
      </c>
    </row>
    <row r="789" ht="15.6" customHeight="1" s="152">
      <c r="A789" s="167">
        <f>E789&amp;F789</f>
        <v/>
      </c>
      <c r="B789" s="156">
        <f>IF(D789&lt;&gt;"",C789,0)</f>
        <v/>
      </c>
      <c r="C789" s="156">
        <f>(M789/MAX(M:M)*$M$1)+(N789/MAX(N:N)*$N$1)+(O789/MAX(O:O)*$O$1)+(P789/MAX(P:P)*$P$1)+(Q789/MAX(Q:Q)*$Q$1)+(R789/MAX(R:R)*$R$1)</f>
        <v/>
      </c>
      <c r="D789" s="156">
        <f>IFERROR(VLOOKUP(A789,'Injury Report'!A:F,6,0),"")</f>
        <v/>
      </c>
    </row>
    <row r="790" ht="15.6" customHeight="1" s="152">
      <c r="A790" s="167">
        <f>E790&amp;F790</f>
        <v/>
      </c>
      <c r="B790" s="156">
        <f>IF(D790&lt;&gt;"",C790,0)</f>
        <v/>
      </c>
      <c r="C790" s="156">
        <f>(M790/MAX(M:M)*$M$1)+(N790/MAX(N:N)*$N$1)+(O790/MAX(O:O)*$O$1)+(P790/MAX(P:P)*$P$1)+(Q790/MAX(Q:Q)*$Q$1)+(R790/MAX(R:R)*$R$1)</f>
        <v/>
      </c>
      <c r="D790" s="156">
        <f>IFERROR(VLOOKUP(A790,'Injury Report'!A:F,6,0),"")</f>
        <v/>
      </c>
    </row>
    <row r="791" ht="15.6" customHeight="1" s="152">
      <c r="A791" s="167">
        <f>E791&amp;F791</f>
        <v/>
      </c>
      <c r="B791" s="156">
        <f>IF(D791&lt;&gt;"",C791,0)</f>
        <v/>
      </c>
      <c r="C791" s="156">
        <f>(M791/MAX(M:M)*$M$1)+(N791/MAX(N:N)*$N$1)+(O791/MAX(O:O)*$O$1)+(P791/MAX(P:P)*$P$1)+(Q791/MAX(Q:Q)*$Q$1)+(R791/MAX(R:R)*$R$1)</f>
        <v/>
      </c>
      <c r="D791" s="156">
        <f>IFERROR(VLOOKUP(A791,'Injury Report'!A:F,6,0),"")</f>
        <v/>
      </c>
    </row>
    <row r="792" ht="15.6" customHeight="1" s="152">
      <c r="A792" s="167">
        <f>E792&amp;F792</f>
        <v/>
      </c>
      <c r="B792" s="156">
        <f>IF(D792&lt;&gt;"",C792,0)</f>
        <v/>
      </c>
      <c r="C792" s="156">
        <f>(M792/MAX(M:M)*$M$1)+(N792/MAX(N:N)*$N$1)+(O792/MAX(O:O)*$O$1)+(P792/MAX(P:P)*$P$1)+(Q792/MAX(Q:Q)*$Q$1)+(R792/MAX(R:R)*$R$1)</f>
        <v/>
      </c>
      <c r="D792" s="156">
        <f>IFERROR(VLOOKUP(A792,'Injury Report'!A:F,6,0),"")</f>
        <v/>
      </c>
    </row>
    <row r="793" ht="15.6" customHeight="1" s="152">
      <c r="A793" s="167">
        <f>E793&amp;F793</f>
        <v/>
      </c>
      <c r="B793" s="156">
        <f>IF(D793&lt;&gt;"",C793,0)</f>
        <v/>
      </c>
      <c r="C793" s="156">
        <f>(M793/MAX(M:M)*$M$1)+(N793/MAX(N:N)*$N$1)+(O793/MAX(O:O)*$O$1)+(P793/MAX(P:P)*$P$1)+(Q793/MAX(Q:Q)*$Q$1)+(R793/MAX(R:R)*$R$1)</f>
        <v/>
      </c>
      <c r="D793" s="156">
        <f>IFERROR(VLOOKUP(A793,'Injury Report'!A:F,6,0),"")</f>
        <v/>
      </c>
    </row>
    <row r="794" ht="15.6" customHeight="1" s="152">
      <c r="A794" s="167">
        <f>E794&amp;F794</f>
        <v/>
      </c>
      <c r="B794" s="156">
        <f>IF(D794&lt;&gt;"",C794,0)</f>
        <v/>
      </c>
      <c r="C794" s="156">
        <f>(M794/MAX(M:M)*$M$1)+(N794/MAX(N:N)*$N$1)+(O794/MAX(O:O)*$O$1)+(P794/MAX(P:P)*$P$1)+(Q794/MAX(Q:Q)*$Q$1)+(R794/MAX(R:R)*$R$1)</f>
        <v/>
      </c>
      <c r="D794" s="156">
        <f>IFERROR(VLOOKUP(A794,'Injury Report'!A:F,6,0),"")</f>
        <v/>
      </c>
    </row>
    <row r="795" ht="15.6" customHeight="1" s="152">
      <c r="A795" s="167">
        <f>E795&amp;F795</f>
        <v/>
      </c>
      <c r="B795" s="156">
        <f>IF(D795&lt;&gt;"",C795,0)</f>
        <v/>
      </c>
      <c r="C795" s="156">
        <f>(M795/MAX(M:M)*$M$1)+(N795/MAX(N:N)*$N$1)+(O795/MAX(O:O)*$O$1)+(P795/MAX(P:P)*$P$1)+(Q795/MAX(Q:Q)*$Q$1)+(R795/MAX(R:R)*$R$1)</f>
        <v/>
      </c>
      <c r="D795" s="156">
        <f>IFERROR(VLOOKUP(A795,'Injury Report'!A:F,6,0),"")</f>
        <v/>
      </c>
    </row>
    <row r="796" ht="15.6" customHeight="1" s="152">
      <c r="A796" s="167">
        <f>E796&amp;F796</f>
        <v/>
      </c>
      <c r="B796" s="156">
        <f>IF(D796&lt;&gt;"",C796,0)</f>
        <v/>
      </c>
      <c r="C796" s="156">
        <f>(M796/MAX(M:M)*$M$1)+(N796/MAX(N:N)*$N$1)+(O796/MAX(O:O)*$O$1)+(P796/MAX(P:P)*$P$1)+(Q796/MAX(Q:Q)*$Q$1)+(R796/MAX(R:R)*$R$1)</f>
        <v/>
      </c>
      <c r="D796" s="156">
        <f>IFERROR(VLOOKUP(A796,'Injury Report'!A:F,6,0),"")</f>
        <v/>
      </c>
    </row>
    <row r="797" ht="15.6" customHeight="1" s="152">
      <c r="A797" s="167">
        <f>E797&amp;F797</f>
        <v/>
      </c>
      <c r="B797" s="156">
        <f>IF(D797&lt;&gt;"",C797,0)</f>
        <v/>
      </c>
      <c r="C797" s="156">
        <f>(M797/MAX(M:M)*$M$1)+(N797/MAX(N:N)*$N$1)+(O797/MAX(O:O)*$O$1)+(P797/MAX(P:P)*$P$1)+(Q797/MAX(Q:Q)*$Q$1)+(R797/MAX(R:R)*$R$1)</f>
        <v/>
      </c>
      <c r="D797" s="156">
        <f>IFERROR(VLOOKUP(A797,'Injury Report'!A:F,6,0),"")</f>
        <v/>
      </c>
    </row>
    <row r="798" ht="15.6" customHeight="1" s="152">
      <c r="A798" s="167">
        <f>E798&amp;F798</f>
        <v/>
      </c>
      <c r="B798" s="156">
        <f>IF(D798&lt;&gt;"",C798,0)</f>
        <v/>
      </c>
      <c r="C798" s="156">
        <f>(M798/MAX(M:M)*$M$1)+(N798/MAX(N:N)*$N$1)+(O798/MAX(O:O)*$O$1)+(P798/MAX(P:P)*$P$1)+(Q798/MAX(Q:Q)*$Q$1)+(R798/MAX(R:R)*$R$1)</f>
        <v/>
      </c>
      <c r="D798" s="156">
        <f>IFERROR(VLOOKUP(A798,'Injury Report'!A:F,6,0),"")</f>
        <v/>
      </c>
    </row>
    <row r="799" ht="15.6" customHeight="1" s="152">
      <c r="A799" s="167">
        <f>E799&amp;F799</f>
        <v/>
      </c>
      <c r="B799" s="156">
        <f>IF(D799&lt;&gt;"",C799,0)</f>
        <v/>
      </c>
      <c r="C799" s="156">
        <f>(M799/MAX(M:M)*$M$1)+(N799/MAX(N:N)*$N$1)+(O799/MAX(O:O)*$O$1)+(P799/MAX(P:P)*$P$1)+(Q799/MAX(Q:Q)*$Q$1)+(R799/MAX(R:R)*$R$1)</f>
        <v/>
      </c>
      <c r="D799" s="156">
        <f>IFERROR(VLOOKUP(A799,'Injury Report'!A:F,6,0),"")</f>
        <v/>
      </c>
    </row>
    <row r="800" ht="15.6" customHeight="1" s="152">
      <c r="A800" s="167">
        <f>E800&amp;F800</f>
        <v/>
      </c>
      <c r="B800" s="156">
        <f>IF(D800&lt;&gt;"",C800,0)</f>
        <v/>
      </c>
      <c r="C800" s="156">
        <f>(M800/MAX(M:M)*$M$1)+(N800/MAX(N:N)*$N$1)+(O800/MAX(O:O)*$O$1)+(P800/MAX(P:P)*$P$1)+(Q800/MAX(Q:Q)*$Q$1)+(R800/MAX(R:R)*$R$1)</f>
        <v/>
      </c>
      <c r="D800" s="156">
        <f>IFERROR(VLOOKUP(A800,'Injury Report'!A:F,6,0),"")</f>
        <v/>
      </c>
    </row>
    <row r="801" ht="15.6" customHeight="1" s="152">
      <c r="A801" s="167">
        <f>E801&amp;F801</f>
        <v/>
      </c>
      <c r="B801" s="156">
        <f>IF(D801&lt;&gt;"",C801,0)</f>
        <v/>
      </c>
      <c r="C801" s="156">
        <f>(M801/MAX(M:M)*$M$1)+(N801/MAX(N:N)*$N$1)+(O801/MAX(O:O)*$O$1)+(P801/MAX(P:P)*$P$1)+(Q801/MAX(Q:Q)*$Q$1)+(R801/MAX(R:R)*$R$1)</f>
        <v/>
      </c>
      <c r="D801" s="156">
        <f>IFERROR(VLOOKUP(A801,'Injury Report'!A:F,6,0),"")</f>
        <v/>
      </c>
    </row>
    <row r="802" ht="15.6" customHeight="1" s="152">
      <c r="A802" s="167">
        <f>E802&amp;F802</f>
        <v/>
      </c>
      <c r="B802" s="156">
        <f>IF(D802&lt;&gt;"",C802,0)</f>
        <v/>
      </c>
      <c r="C802" s="156">
        <f>(M802/MAX(M:M)*$M$1)+(N802/MAX(N:N)*$N$1)+(O802/MAX(O:O)*$O$1)+(P802/MAX(P:P)*$P$1)+(Q802/MAX(Q:Q)*$Q$1)+(R802/MAX(R:R)*$R$1)</f>
        <v/>
      </c>
      <c r="D802" s="156">
        <f>IFERROR(VLOOKUP(A802,'Injury Report'!A:F,6,0),"")</f>
        <v/>
      </c>
    </row>
    <row r="803" ht="15.6" customHeight="1" s="152">
      <c r="A803" s="167">
        <f>E803&amp;F803</f>
        <v/>
      </c>
      <c r="B803" s="156">
        <f>IF(D803&lt;&gt;"",C803,0)</f>
        <v/>
      </c>
      <c r="C803" s="156">
        <f>(M803/MAX(M:M)*$M$1)+(N803/MAX(N:N)*$N$1)+(O803/MAX(O:O)*$O$1)+(P803/MAX(P:P)*$P$1)+(Q803/MAX(Q:Q)*$Q$1)+(R803/MAX(R:R)*$R$1)</f>
        <v/>
      </c>
      <c r="D803" s="156">
        <f>IFERROR(VLOOKUP(A803,'Injury Report'!A:F,6,0),"")</f>
        <v/>
      </c>
    </row>
    <row r="804" ht="15.6" customHeight="1" s="152">
      <c r="A804" s="167">
        <f>E804&amp;F804</f>
        <v/>
      </c>
      <c r="B804" s="156">
        <f>IF(D804&lt;&gt;"",C804,0)</f>
        <v/>
      </c>
      <c r="C804" s="156">
        <f>(M804/MAX(M:M)*$M$1)+(N804/MAX(N:N)*$N$1)+(O804/MAX(O:O)*$O$1)+(P804/MAX(P:P)*$P$1)+(Q804/MAX(Q:Q)*$Q$1)+(R804/MAX(R:R)*$R$1)</f>
        <v/>
      </c>
      <c r="D804" s="156">
        <f>IFERROR(VLOOKUP(A804,'Injury Report'!A:F,6,0),"")</f>
        <v/>
      </c>
    </row>
    <row r="805" ht="15.6" customHeight="1" s="152">
      <c r="A805" s="167">
        <f>E805&amp;F805</f>
        <v/>
      </c>
      <c r="B805" s="156">
        <f>IF(D805&lt;&gt;"",C805,0)</f>
        <v/>
      </c>
      <c r="C805" s="156">
        <f>(M805/MAX(M:M)*$M$1)+(N805/MAX(N:N)*$N$1)+(O805/MAX(O:O)*$O$1)+(P805/MAX(P:P)*$P$1)+(Q805/MAX(Q:Q)*$Q$1)+(R805/MAX(R:R)*$R$1)</f>
        <v/>
      </c>
      <c r="D805" s="156">
        <f>IFERROR(VLOOKUP(A805,'Injury Report'!A:F,6,0),"")</f>
        <v/>
      </c>
    </row>
    <row r="806" ht="15.6" customHeight="1" s="152">
      <c r="A806" s="167">
        <f>E806&amp;F806</f>
        <v/>
      </c>
      <c r="B806" s="156">
        <f>IF(D806&lt;&gt;"",C806,0)</f>
        <v/>
      </c>
      <c r="C806" s="156">
        <f>(M806/MAX(M:M)*$M$1)+(N806/MAX(N:N)*$N$1)+(O806/MAX(O:O)*$O$1)+(P806/MAX(P:P)*$P$1)+(Q806/MAX(Q:Q)*$Q$1)+(R806/MAX(R:R)*$R$1)</f>
        <v/>
      </c>
      <c r="D806" s="156">
        <f>IFERROR(VLOOKUP(A806,'Injury Report'!A:F,6,0),"")</f>
        <v/>
      </c>
    </row>
    <row r="807" ht="15.6" customHeight="1" s="152">
      <c r="A807" s="167">
        <f>E807&amp;F807</f>
        <v/>
      </c>
      <c r="B807" s="156">
        <f>IF(D807&lt;&gt;"",C807,0)</f>
        <v/>
      </c>
      <c r="C807" s="156">
        <f>(M807/MAX(M:M)*$M$1)+(N807/MAX(N:N)*$N$1)+(O807/MAX(O:O)*$O$1)+(P807/MAX(P:P)*$P$1)+(Q807/MAX(Q:Q)*$Q$1)+(R807/MAX(R:R)*$R$1)</f>
        <v/>
      </c>
      <c r="D807" s="156">
        <f>IFERROR(VLOOKUP(A807,'Injury Report'!A:F,6,0),"")</f>
        <v/>
      </c>
    </row>
    <row r="808" ht="15.6" customHeight="1" s="152">
      <c r="A808" s="167">
        <f>E808&amp;F808</f>
        <v/>
      </c>
      <c r="B808" s="156">
        <f>IF(D808&lt;&gt;"",C808,0)</f>
        <v/>
      </c>
      <c r="C808" s="156">
        <f>(M808/MAX(M:M)*$M$1)+(N808/MAX(N:N)*$N$1)+(O808/MAX(O:O)*$O$1)+(P808/MAX(P:P)*$P$1)+(Q808/MAX(Q:Q)*$Q$1)+(R808/MAX(R:R)*$R$1)</f>
        <v/>
      </c>
      <c r="D808" s="156">
        <f>IFERROR(VLOOKUP(A808,'Injury Report'!A:F,6,0),"")</f>
        <v/>
      </c>
    </row>
    <row r="809" ht="15.6" customHeight="1" s="152">
      <c r="A809" s="167">
        <f>E809&amp;F809</f>
        <v/>
      </c>
      <c r="B809" s="156">
        <f>IF(D809&lt;&gt;"",C809,0)</f>
        <v/>
      </c>
      <c r="C809" s="156">
        <f>(M809/MAX(M:M)*$M$1)+(N809/MAX(N:N)*$N$1)+(O809/MAX(O:O)*$O$1)+(P809/MAX(P:P)*$P$1)+(Q809/MAX(Q:Q)*$Q$1)+(R809/MAX(R:R)*$R$1)</f>
        <v/>
      </c>
      <c r="D809" s="156">
        <f>IFERROR(VLOOKUP(A809,'Injury Report'!A:F,6,0),"")</f>
        <v/>
      </c>
    </row>
    <row r="810" ht="15.6" customHeight="1" s="152">
      <c r="A810" s="167">
        <f>E810&amp;F810</f>
        <v/>
      </c>
      <c r="B810" s="156">
        <f>IF(D810&lt;&gt;"",C810,0)</f>
        <v/>
      </c>
      <c r="C810" s="156">
        <f>(M810/MAX(M:M)*$M$1)+(N810/MAX(N:N)*$N$1)+(O810/MAX(O:O)*$O$1)+(P810/MAX(P:P)*$P$1)+(Q810/MAX(Q:Q)*$Q$1)+(R810/MAX(R:R)*$R$1)</f>
        <v/>
      </c>
      <c r="D810" s="156">
        <f>IFERROR(VLOOKUP(A810,'Injury Report'!A:F,6,0),"")</f>
        <v/>
      </c>
    </row>
    <row r="811" ht="15.6" customHeight="1" s="152">
      <c r="A811" s="167">
        <f>E811&amp;F811</f>
        <v/>
      </c>
      <c r="B811" s="156">
        <f>IF(D811&lt;&gt;"",C811,0)</f>
        <v/>
      </c>
      <c r="C811" s="156">
        <f>(M811/MAX(M:M)*$M$1)+(N811/MAX(N:N)*$N$1)+(O811/MAX(O:O)*$O$1)+(P811/MAX(P:P)*$P$1)+(Q811/MAX(Q:Q)*$Q$1)+(R811/MAX(R:R)*$R$1)</f>
        <v/>
      </c>
      <c r="D811" s="156">
        <f>IFERROR(VLOOKUP(A811,'Injury Report'!A:F,6,0),"")</f>
        <v/>
      </c>
    </row>
    <row r="812" ht="15.6" customHeight="1" s="152">
      <c r="A812" s="167">
        <f>E812&amp;F812</f>
        <v/>
      </c>
      <c r="B812" s="156">
        <f>IF(D812&lt;&gt;"",C812,0)</f>
        <v/>
      </c>
      <c r="C812" s="156">
        <f>(M812/MAX(M:M)*$M$1)+(N812/MAX(N:N)*$N$1)+(O812/MAX(O:O)*$O$1)+(P812/MAX(P:P)*$P$1)+(Q812/MAX(Q:Q)*$Q$1)+(R812/MAX(R:R)*$R$1)</f>
        <v/>
      </c>
      <c r="D812" s="156">
        <f>IFERROR(VLOOKUP(A812,'Injury Report'!A:F,6,0),"")</f>
        <v/>
      </c>
    </row>
    <row r="813" ht="15.6" customHeight="1" s="152">
      <c r="A813" s="167">
        <f>E813&amp;F813</f>
        <v/>
      </c>
      <c r="B813" s="156">
        <f>IF(D813&lt;&gt;"",C813,0)</f>
        <v/>
      </c>
      <c r="C813" s="156">
        <f>(M813/MAX(M:M)*$M$1)+(N813/MAX(N:N)*$N$1)+(O813/MAX(O:O)*$O$1)+(P813/MAX(P:P)*$P$1)+(Q813/MAX(Q:Q)*$Q$1)+(R813/MAX(R:R)*$R$1)</f>
        <v/>
      </c>
      <c r="D813" s="156">
        <f>IFERROR(VLOOKUP(A813,'Injury Report'!A:F,6,0),"")</f>
        <v/>
      </c>
    </row>
    <row r="814" ht="15.6" customHeight="1" s="152">
      <c r="A814" s="167">
        <f>E814&amp;F814</f>
        <v/>
      </c>
      <c r="B814" s="156">
        <f>IF(D814&lt;&gt;"",C814,0)</f>
        <v/>
      </c>
      <c r="C814" s="156">
        <f>(M814/MAX(M:M)*$M$1)+(N814/MAX(N:N)*$N$1)+(O814/MAX(O:O)*$O$1)+(P814/MAX(P:P)*$P$1)+(Q814/MAX(Q:Q)*$Q$1)+(R814/MAX(R:R)*$R$1)</f>
        <v/>
      </c>
      <c r="D814" s="156">
        <f>IFERROR(VLOOKUP(A814,'Injury Report'!A:F,6,0),"")</f>
        <v/>
      </c>
    </row>
    <row r="815" ht="15.6" customHeight="1" s="152">
      <c r="A815" s="167">
        <f>E815&amp;F815</f>
        <v/>
      </c>
      <c r="B815" s="156">
        <f>IF(D815&lt;&gt;"",C815,0)</f>
        <v/>
      </c>
      <c r="C815" s="156">
        <f>(M815/MAX(M:M)*$M$1)+(N815/MAX(N:N)*$N$1)+(O815/MAX(O:O)*$O$1)+(P815/MAX(P:P)*$P$1)+(Q815/MAX(Q:Q)*$Q$1)+(R815/MAX(R:R)*$R$1)</f>
        <v/>
      </c>
      <c r="D815" s="156">
        <f>IFERROR(VLOOKUP(A815,'Injury Report'!A:F,6,0),"")</f>
        <v/>
      </c>
    </row>
    <row r="816" ht="15.6" customHeight="1" s="152">
      <c r="A816" s="167">
        <f>E816&amp;F816</f>
        <v/>
      </c>
      <c r="B816" s="156">
        <f>IF(D816&lt;&gt;"",C816,0)</f>
        <v/>
      </c>
      <c r="C816" s="156">
        <f>(M816/MAX(M:M)*$M$1)+(N816/MAX(N:N)*$N$1)+(O816/MAX(O:O)*$O$1)+(P816/MAX(P:P)*$P$1)+(Q816/MAX(Q:Q)*$Q$1)+(R816/MAX(R:R)*$R$1)</f>
        <v/>
      </c>
      <c r="D816" s="156">
        <f>IFERROR(VLOOKUP(A816,'Injury Report'!A:F,6,0),"")</f>
        <v/>
      </c>
    </row>
    <row r="817" ht="15.6" customHeight="1" s="152">
      <c r="A817" s="167">
        <f>E817&amp;F817</f>
        <v/>
      </c>
      <c r="B817" s="156">
        <f>IF(D817&lt;&gt;"",C817,0)</f>
        <v/>
      </c>
      <c r="C817" s="156">
        <f>(M817/MAX(M:M)*$M$1)+(N817/MAX(N:N)*$N$1)+(O817/MAX(O:O)*$O$1)+(P817/MAX(P:P)*$P$1)+(Q817/MAX(Q:Q)*$Q$1)+(R817/MAX(R:R)*$R$1)</f>
        <v/>
      </c>
      <c r="D817" s="156">
        <f>IFERROR(VLOOKUP(A817,'Injury Report'!A:F,6,0),"")</f>
        <v/>
      </c>
    </row>
    <row r="818" ht="15.6" customHeight="1" s="152">
      <c r="A818" s="167">
        <f>E818&amp;F818</f>
        <v/>
      </c>
      <c r="B818" s="156">
        <f>IF(D818&lt;&gt;"",C818,0)</f>
        <v/>
      </c>
      <c r="C818" s="156">
        <f>(M818/MAX(M:M)*$M$1)+(N818/MAX(N:N)*$N$1)+(O818/MAX(O:O)*$O$1)+(P818/MAX(P:P)*$P$1)+(Q818/MAX(Q:Q)*$Q$1)+(R818/MAX(R:R)*$R$1)</f>
        <v/>
      </c>
      <c r="D818" s="156">
        <f>IFERROR(VLOOKUP(A818,'Injury Report'!A:F,6,0),"")</f>
        <v/>
      </c>
    </row>
    <row r="819" ht="15.6" customHeight="1" s="152">
      <c r="A819" s="167">
        <f>E819&amp;F819</f>
        <v/>
      </c>
      <c r="B819" s="156">
        <f>IF(D819&lt;&gt;"",C819,0)</f>
        <v/>
      </c>
      <c r="C819" s="156">
        <f>(M819/MAX(M:M)*$M$1)+(N819/MAX(N:N)*$N$1)+(O819/MAX(O:O)*$O$1)+(P819/MAX(P:P)*$P$1)+(Q819/MAX(Q:Q)*$Q$1)+(R819/MAX(R:R)*$R$1)</f>
        <v/>
      </c>
      <c r="D819" s="156">
        <f>IFERROR(VLOOKUP(A819,'Injury Report'!A:F,6,0),"")</f>
        <v/>
      </c>
    </row>
    <row r="820" ht="15.6" customHeight="1" s="152">
      <c r="A820" s="167">
        <f>E820&amp;F820</f>
        <v/>
      </c>
      <c r="B820" s="156">
        <f>IF(D820&lt;&gt;"",C820,0)</f>
        <v/>
      </c>
      <c r="C820" s="156">
        <f>(M820/MAX(M:M)*$M$1)+(N820/MAX(N:N)*$N$1)+(O820/MAX(O:O)*$O$1)+(P820/MAX(P:P)*$P$1)+(Q820/MAX(Q:Q)*$Q$1)+(R820/MAX(R:R)*$R$1)</f>
        <v/>
      </c>
      <c r="D820" s="156">
        <f>IFERROR(VLOOKUP(A820,'Injury Report'!A:F,6,0),"")</f>
        <v/>
      </c>
    </row>
    <row r="821" ht="15.6" customHeight="1" s="152">
      <c r="A821" s="167">
        <f>E821&amp;F821</f>
        <v/>
      </c>
      <c r="B821" s="156">
        <f>IF(D821&lt;&gt;"",C821,0)</f>
        <v/>
      </c>
      <c r="C821" s="156">
        <f>(M821/MAX(M:M)*$M$1)+(N821/MAX(N:N)*$N$1)+(O821/MAX(O:O)*$O$1)+(P821/MAX(P:P)*$P$1)+(Q821/MAX(Q:Q)*$Q$1)+(R821/MAX(R:R)*$R$1)</f>
        <v/>
      </c>
      <c r="D821" s="156">
        <f>IFERROR(VLOOKUP(A821,'Injury Report'!A:F,6,0),"")</f>
        <v/>
      </c>
    </row>
    <row r="822" ht="15.6" customHeight="1" s="152">
      <c r="A822" s="167">
        <f>E822&amp;F822</f>
        <v/>
      </c>
      <c r="B822" s="156">
        <f>IF(D822&lt;&gt;"",C822,0)</f>
        <v/>
      </c>
      <c r="C822" s="156">
        <f>(M822/MAX(M:M)*$M$1)+(N822/MAX(N:N)*$N$1)+(O822/MAX(O:O)*$O$1)+(P822/MAX(P:P)*$P$1)+(Q822/MAX(Q:Q)*$Q$1)+(R822/MAX(R:R)*$R$1)</f>
        <v/>
      </c>
      <c r="D822" s="156">
        <f>IFERROR(VLOOKUP(A822,'Injury Report'!A:F,6,0),"")</f>
        <v/>
      </c>
    </row>
    <row r="823" ht="15.6" customHeight="1" s="152">
      <c r="A823" s="167">
        <f>E823&amp;F823</f>
        <v/>
      </c>
      <c r="B823" s="156">
        <f>IF(D823&lt;&gt;"",C823,0)</f>
        <v/>
      </c>
      <c r="C823" s="156">
        <f>(M823/MAX(M:M)*$M$1)+(N823/MAX(N:N)*$N$1)+(O823/MAX(O:O)*$O$1)+(P823/MAX(P:P)*$P$1)+(Q823/MAX(Q:Q)*$Q$1)+(R823/MAX(R:R)*$R$1)</f>
        <v/>
      </c>
      <c r="D823" s="156">
        <f>IFERROR(VLOOKUP(A823,'Injury Report'!A:F,6,0),"")</f>
        <v/>
      </c>
    </row>
    <row r="824" ht="15.6" customHeight="1" s="152">
      <c r="A824" s="167">
        <f>E824&amp;F824</f>
        <v/>
      </c>
      <c r="B824" s="156">
        <f>IF(D824&lt;&gt;"",C824,0)</f>
        <v/>
      </c>
      <c r="C824" s="156">
        <f>(M824/MAX(M:M)*$M$1)+(N824/MAX(N:N)*$N$1)+(O824/MAX(O:O)*$O$1)+(P824/MAX(P:P)*$P$1)+(Q824/MAX(Q:Q)*$Q$1)+(R824/MAX(R:R)*$R$1)</f>
        <v/>
      </c>
      <c r="D824" s="156">
        <f>IFERROR(VLOOKUP(A824,'Injury Report'!A:F,6,0),"")</f>
        <v/>
      </c>
    </row>
    <row r="825" ht="15.6" customHeight="1" s="152">
      <c r="A825" s="167">
        <f>E825&amp;F825</f>
        <v/>
      </c>
      <c r="B825" s="156">
        <f>IF(D825&lt;&gt;"",C825,0)</f>
        <v/>
      </c>
      <c r="C825" s="156">
        <f>(M825/MAX(M:M)*$M$1)+(N825/MAX(N:N)*$N$1)+(O825/MAX(O:O)*$O$1)+(P825/MAX(P:P)*$P$1)+(Q825/MAX(Q:Q)*$Q$1)+(R825/MAX(R:R)*$R$1)</f>
        <v/>
      </c>
      <c r="D825" s="156">
        <f>IFERROR(VLOOKUP(A825,'Injury Report'!A:F,6,0),"")</f>
        <v/>
      </c>
    </row>
    <row r="826" ht="15.6" customHeight="1" s="152">
      <c r="A826" s="167">
        <f>E826&amp;F826</f>
        <v/>
      </c>
      <c r="B826" s="156">
        <f>IF(D826&lt;&gt;"",C826,0)</f>
        <v/>
      </c>
      <c r="C826" s="156">
        <f>(M826/MAX(M:M)*$M$1)+(N826/MAX(N:N)*$N$1)+(O826/MAX(O:O)*$O$1)+(P826/MAX(P:P)*$P$1)+(Q826/MAX(Q:Q)*$Q$1)+(R826/MAX(R:R)*$R$1)</f>
        <v/>
      </c>
      <c r="D826" s="156">
        <f>IFERROR(VLOOKUP(A826,'Injury Report'!A:F,6,0),"")</f>
        <v/>
      </c>
    </row>
    <row r="827" ht="15.6" customHeight="1" s="152">
      <c r="A827" s="167">
        <f>E827&amp;F827</f>
        <v/>
      </c>
      <c r="B827" s="156">
        <f>IF(D827&lt;&gt;"",C827,0)</f>
        <v/>
      </c>
      <c r="C827" s="156">
        <f>(M827/MAX(M:M)*$M$1)+(N827/MAX(N:N)*$N$1)+(O827/MAX(O:O)*$O$1)+(P827/MAX(P:P)*$P$1)+(Q827/MAX(Q:Q)*$Q$1)+(R827/MAX(R:R)*$R$1)</f>
        <v/>
      </c>
      <c r="D827" s="156">
        <f>IFERROR(VLOOKUP(A827,'Injury Report'!A:F,6,0),"")</f>
        <v/>
      </c>
    </row>
    <row r="828" ht="15.6" customHeight="1" s="152">
      <c r="A828" s="167">
        <f>E828&amp;F828</f>
        <v/>
      </c>
      <c r="B828" s="156">
        <f>IF(D828&lt;&gt;"",C828,0)</f>
        <v/>
      </c>
      <c r="C828" s="156">
        <f>(M828/MAX(M:M)*$M$1)+(N828/MAX(N:N)*$N$1)+(O828/MAX(O:O)*$O$1)+(P828/MAX(P:P)*$P$1)+(Q828/MAX(Q:Q)*$Q$1)+(R828/MAX(R:R)*$R$1)</f>
        <v/>
      </c>
      <c r="D828" s="156">
        <f>IFERROR(VLOOKUP(A828,'Injury Report'!A:F,6,0),"")</f>
        <v/>
      </c>
    </row>
    <row r="829" ht="15.6" customHeight="1" s="152">
      <c r="A829" s="167">
        <f>E829&amp;F829</f>
        <v/>
      </c>
      <c r="B829" s="156">
        <f>IF(D829&lt;&gt;"",C829,0)</f>
        <v/>
      </c>
      <c r="C829" s="156">
        <f>(M829/MAX(M:M)*$M$1)+(N829/MAX(N:N)*$N$1)+(O829/MAX(O:O)*$O$1)+(P829/MAX(P:P)*$P$1)+(Q829/MAX(Q:Q)*$Q$1)+(R829/MAX(R:R)*$R$1)</f>
        <v/>
      </c>
      <c r="D829" s="156">
        <f>IFERROR(VLOOKUP(A829,'Injury Report'!A:F,6,0),"")</f>
        <v/>
      </c>
    </row>
    <row r="830" ht="15.6" customHeight="1" s="152">
      <c r="A830" s="167">
        <f>E830&amp;F830</f>
        <v/>
      </c>
      <c r="B830" s="156">
        <f>IF(D830&lt;&gt;"",C830,0)</f>
        <v/>
      </c>
      <c r="C830" s="156">
        <f>(M830/MAX(M:M)*$M$1)+(N830/MAX(N:N)*$N$1)+(O830/MAX(O:O)*$O$1)+(P830/MAX(P:P)*$P$1)+(Q830/MAX(Q:Q)*$Q$1)+(R830/MAX(R:R)*$R$1)</f>
        <v/>
      </c>
      <c r="D830" s="156">
        <f>IFERROR(VLOOKUP(A830,'Injury Report'!A:F,6,0),"")</f>
        <v/>
      </c>
    </row>
    <row r="831" ht="15.6" customHeight="1" s="152">
      <c r="A831" s="167">
        <f>E831&amp;F831</f>
        <v/>
      </c>
      <c r="B831" s="156">
        <f>IF(D831&lt;&gt;"",C831,0)</f>
        <v/>
      </c>
      <c r="C831" s="156">
        <f>(M831/MAX(M:M)*$M$1)+(N831/MAX(N:N)*$N$1)+(O831/MAX(O:O)*$O$1)+(P831/MAX(P:P)*$P$1)+(Q831/MAX(Q:Q)*$Q$1)+(R831/MAX(R:R)*$R$1)</f>
        <v/>
      </c>
      <c r="D831" s="156">
        <f>IFERROR(VLOOKUP(A831,'Injury Report'!A:F,6,0),"")</f>
        <v/>
      </c>
    </row>
    <row r="832" ht="15.6" customHeight="1" s="152">
      <c r="A832" s="167">
        <f>E832&amp;F832</f>
        <v/>
      </c>
      <c r="B832" s="156">
        <f>IF(D832&lt;&gt;"",C832,0)</f>
        <v/>
      </c>
      <c r="C832" s="156">
        <f>(M832/MAX(M:M)*$M$1)+(N832/MAX(N:N)*$N$1)+(O832/MAX(O:O)*$O$1)+(P832/MAX(P:P)*$P$1)+(Q832/MAX(Q:Q)*$Q$1)+(R832/MAX(R:R)*$R$1)</f>
        <v/>
      </c>
      <c r="D832" s="156">
        <f>IFERROR(VLOOKUP(A832,'Injury Report'!A:F,6,0),"")</f>
        <v/>
      </c>
    </row>
    <row r="833" ht="15.6" customHeight="1" s="152">
      <c r="A833" s="167">
        <f>E833&amp;F833</f>
        <v/>
      </c>
      <c r="B833" s="156">
        <f>IF(D833&lt;&gt;"",C833,0)</f>
        <v/>
      </c>
      <c r="C833" s="156">
        <f>(M833/MAX(M:M)*$M$1)+(N833/MAX(N:N)*$N$1)+(O833/MAX(O:O)*$O$1)+(P833/MAX(P:P)*$P$1)+(Q833/MAX(Q:Q)*$Q$1)+(R833/MAX(R:R)*$R$1)</f>
        <v/>
      </c>
      <c r="D833" s="156">
        <f>IFERROR(VLOOKUP(A833,'Injury Report'!A:F,6,0),"")</f>
        <v/>
      </c>
    </row>
    <row r="834" ht="15.6" customHeight="1" s="152">
      <c r="A834" s="167">
        <f>E834&amp;F834</f>
        <v/>
      </c>
      <c r="B834" s="156">
        <f>IF(D834&lt;&gt;"",C834,0)</f>
        <v/>
      </c>
      <c r="C834" s="156">
        <f>(M834/MAX(M:M)*$M$1)+(N834/MAX(N:N)*$N$1)+(O834/MAX(O:O)*$O$1)+(P834/MAX(P:P)*$P$1)+(Q834/MAX(Q:Q)*$Q$1)+(R834/MAX(R:R)*$R$1)</f>
        <v/>
      </c>
      <c r="D834" s="156">
        <f>IFERROR(VLOOKUP(A834,'Injury Report'!A:F,6,0),"")</f>
        <v/>
      </c>
    </row>
    <row r="835" ht="15.6" customHeight="1" s="152">
      <c r="A835" s="167">
        <f>E835&amp;F835</f>
        <v/>
      </c>
      <c r="B835" s="156">
        <f>IF(D835&lt;&gt;"",C835,0)</f>
        <v/>
      </c>
      <c r="C835" s="156">
        <f>(M835/MAX(M:M)*$M$1)+(N835/MAX(N:N)*$N$1)+(O835/MAX(O:O)*$O$1)+(P835/MAX(P:P)*$P$1)+(Q835/MAX(Q:Q)*$Q$1)+(R835/MAX(R:R)*$R$1)</f>
        <v/>
      </c>
      <c r="D835" s="156">
        <f>IFERROR(VLOOKUP(A835,'Injury Report'!A:F,6,0),"")</f>
        <v/>
      </c>
    </row>
    <row r="836" ht="15.6" customHeight="1" s="152">
      <c r="A836" s="167">
        <f>E836&amp;F836</f>
        <v/>
      </c>
      <c r="B836" s="156">
        <f>IF(D836&lt;&gt;"",C836,0)</f>
        <v/>
      </c>
      <c r="C836" s="156">
        <f>(M836/MAX(M:M)*$M$1)+(N836/MAX(N:N)*$N$1)+(O836/MAX(O:O)*$O$1)+(P836/MAX(P:P)*$P$1)+(Q836/MAX(Q:Q)*$Q$1)+(R836/MAX(R:R)*$R$1)</f>
        <v/>
      </c>
      <c r="D836" s="156">
        <f>IFERROR(VLOOKUP(A836,'Injury Report'!A:F,6,0),"")</f>
        <v/>
      </c>
    </row>
    <row r="837" ht="15.6" customHeight="1" s="152">
      <c r="A837" s="167">
        <f>E837&amp;F837</f>
        <v/>
      </c>
      <c r="B837" s="156">
        <f>IF(D837&lt;&gt;"",C837,0)</f>
        <v/>
      </c>
      <c r="C837" s="156">
        <f>(M837/MAX(M:M)*$M$1)+(N837/MAX(N:N)*$N$1)+(O837/MAX(O:O)*$O$1)+(P837/MAX(P:P)*$P$1)+(Q837/MAX(Q:Q)*$Q$1)+(R837/MAX(R:R)*$R$1)</f>
        <v/>
      </c>
      <c r="D837" s="156">
        <f>IFERROR(VLOOKUP(A837,'Injury Report'!A:F,6,0),"")</f>
        <v/>
      </c>
    </row>
    <row r="838" ht="15.6" customHeight="1" s="152">
      <c r="A838" s="167">
        <f>E838&amp;F838</f>
        <v/>
      </c>
      <c r="B838" s="156">
        <f>IF(D838&lt;&gt;"",C838,0)</f>
        <v/>
      </c>
      <c r="C838" s="156">
        <f>(M838/MAX(M:M)*$M$1)+(N838/MAX(N:N)*$N$1)+(O838/MAX(O:O)*$O$1)+(P838/MAX(P:P)*$P$1)+(Q838/MAX(Q:Q)*$Q$1)+(R838/MAX(R:R)*$R$1)</f>
        <v/>
      </c>
      <c r="D838" s="156">
        <f>IFERROR(VLOOKUP(A838,'Injury Report'!A:F,6,0),"")</f>
        <v/>
      </c>
    </row>
    <row r="839" ht="15.6" customHeight="1" s="152">
      <c r="A839" s="167">
        <f>E839&amp;F839</f>
        <v/>
      </c>
      <c r="B839" s="156">
        <f>IF(D839&lt;&gt;"",C839,0)</f>
        <v/>
      </c>
      <c r="C839" s="156">
        <f>(M839/MAX(M:M)*$M$1)+(N839/MAX(N:N)*$N$1)+(O839/MAX(O:O)*$O$1)+(P839/MAX(P:P)*$P$1)+(Q839/MAX(Q:Q)*$Q$1)+(R839/MAX(R:R)*$R$1)</f>
        <v/>
      </c>
      <c r="D839" s="156">
        <f>IFERROR(VLOOKUP(A839,'Injury Report'!A:F,6,0),"")</f>
        <v/>
      </c>
    </row>
    <row r="840" ht="15.6" customHeight="1" s="152">
      <c r="A840" s="167">
        <f>E840&amp;F840</f>
        <v/>
      </c>
      <c r="B840" s="156">
        <f>IF(D840&lt;&gt;"",C840,0)</f>
        <v/>
      </c>
      <c r="C840" s="156">
        <f>(M840/MAX(M:M)*$M$1)+(N840/MAX(N:N)*$N$1)+(O840/MAX(O:O)*$O$1)+(P840/MAX(P:P)*$P$1)+(Q840/MAX(Q:Q)*$Q$1)+(R840/MAX(R:R)*$R$1)</f>
        <v/>
      </c>
      <c r="D840" s="156">
        <f>IFERROR(VLOOKUP(A840,'Injury Report'!A:F,6,0),"")</f>
        <v/>
      </c>
    </row>
    <row r="841" ht="15.6" customHeight="1" s="152">
      <c r="A841" s="167">
        <f>E841&amp;F841</f>
        <v/>
      </c>
      <c r="B841" s="156">
        <f>IF(D841&lt;&gt;"",C841,0)</f>
        <v/>
      </c>
      <c r="C841" s="156">
        <f>(M841/MAX(M:M)*$M$1)+(N841/MAX(N:N)*$N$1)+(O841/MAX(O:O)*$O$1)+(P841/MAX(P:P)*$P$1)+(Q841/MAX(Q:Q)*$Q$1)+(R841/MAX(R:R)*$R$1)</f>
        <v/>
      </c>
      <c r="D841" s="156">
        <f>IFERROR(VLOOKUP(A841,'Injury Report'!A:F,6,0),"")</f>
        <v/>
      </c>
    </row>
    <row r="842" ht="15.6" customHeight="1" s="152">
      <c r="A842" s="167">
        <f>E842&amp;F842</f>
        <v/>
      </c>
      <c r="B842" s="156">
        <f>IF(D842&lt;&gt;"",C842,0)</f>
        <v/>
      </c>
      <c r="C842" s="156">
        <f>(M842/MAX(M:M)*$M$1)+(N842/MAX(N:N)*$N$1)+(O842/MAX(O:O)*$O$1)+(P842/MAX(P:P)*$P$1)+(Q842/MAX(Q:Q)*$Q$1)+(R842/MAX(R:R)*$R$1)</f>
        <v/>
      </c>
      <c r="D842" s="156">
        <f>IFERROR(VLOOKUP(A842,'Injury Report'!A:F,6,0),"")</f>
        <v/>
      </c>
    </row>
    <row r="843" ht="15.6" customHeight="1" s="152">
      <c r="A843" s="167">
        <f>E843&amp;F843</f>
        <v/>
      </c>
      <c r="B843" s="156">
        <f>IF(D843&lt;&gt;"",C843,0)</f>
        <v/>
      </c>
      <c r="C843" s="156">
        <f>(M843/MAX(M:M)*$M$1)+(N843/MAX(N:N)*$N$1)+(O843/MAX(O:O)*$O$1)+(P843/MAX(P:P)*$P$1)+(Q843/MAX(Q:Q)*$Q$1)+(R843/MAX(R:R)*$R$1)</f>
        <v/>
      </c>
      <c r="D843" s="156">
        <f>IFERROR(VLOOKUP(A843,'Injury Report'!A:F,6,0),"")</f>
        <v/>
      </c>
    </row>
    <row r="844" ht="15.6" customHeight="1" s="152">
      <c r="A844" s="167">
        <f>E844&amp;F844</f>
        <v/>
      </c>
      <c r="B844" s="156">
        <f>IF(D844&lt;&gt;"",C844,0)</f>
        <v/>
      </c>
      <c r="C844" s="156">
        <f>(M844/MAX(M:M)*$M$1)+(N844/MAX(N:N)*$N$1)+(O844/MAX(O:O)*$O$1)+(P844/MAX(P:P)*$P$1)+(Q844/MAX(Q:Q)*$Q$1)+(R844/MAX(R:R)*$R$1)</f>
        <v/>
      </c>
      <c r="D844" s="156">
        <f>IFERROR(VLOOKUP(A844,'Injury Report'!A:F,6,0),"")</f>
        <v/>
      </c>
    </row>
    <row r="845" ht="15.6" customHeight="1" s="152">
      <c r="A845" s="167">
        <f>E845&amp;F845</f>
        <v/>
      </c>
      <c r="B845" s="156">
        <f>IF(D845&lt;&gt;"",C845,0)</f>
        <v/>
      </c>
      <c r="C845" s="156">
        <f>(M845/MAX(M:M)*$M$1)+(N845/MAX(N:N)*$N$1)+(O845/MAX(O:O)*$O$1)+(P845/MAX(P:P)*$P$1)+(Q845/MAX(Q:Q)*$Q$1)+(R845/MAX(R:R)*$R$1)</f>
        <v/>
      </c>
      <c r="D845" s="156">
        <f>IFERROR(VLOOKUP(A845,'Injury Report'!A:F,6,0),"")</f>
        <v/>
      </c>
    </row>
    <row r="846" ht="15.6" customHeight="1" s="152">
      <c r="A846" s="167">
        <f>E846&amp;F846</f>
        <v/>
      </c>
      <c r="B846" s="156">
        <f>IF(D846&lt;&gt;"",C846,0)</f>
        <v/>
      </c>
      <c r="C846" s="156">
        <f>(M846/MAX(M:M)*$M$1)+(N846/MAX(N:N)*$N$1)+(O846/MAX(O:O)*$O$1)+(P846/MAX(P:P)*$P$1)+(Q846/MAX(Q:Q)*$Q$1)+(R846/MAX(R:R)*$R$1)</f>
        <v/>
      </c>
      <c r="D846" s="156">
        <f>IFERROR(VLOOKUP(A846,'Injury Report'!A:F,6,0),"")</f>
        <v/>
      </c>
    </row>
    <row r="847" ht="15.6" customHeight="1" s="152">
      <c r="A847" s="167">
        <f>E847&amp;F847</f>
        <v/>
      </c>
      <c r="B847" s="156">
        <f>IF(D847&lt;&gt;"",C847,0)</f>
        <v/>
      </c>
      <c r="C847" s="156">
        <f>(M847/MAX(M:M)*$M$1)+(N847/MAX(N:N)*$N$1)+(O847/MAX(O:O)*$O$1)+(P847/MAX(P:P)*$P$1)+(Q847/MAX(Q:Q)*$Q$1)+(R847/MAX(R:R)*$R$1)</f>
        <v/>
      </c>
      <c r="D847" s="156">
        <f>IFERROR(VLOOKUP(A847,'Injury Report'!A:F,6,0),"")</f>
        <v/>
      </c>
    </row>
    <row r="848" ht="15.6" customHeight="1" s="152">
      <c r="A848" s="167">
        <f>E848&amp;F848</f>
        <v/>
      </c>
      <c r="B848" s="156">
        <f>IF(D848&lt;&gt;"",C848,0)</f>
        <v/>
      </c>
      <c r="C848" s="156">
        <f>(M848/MAX(M:M)*$M$1)+(N848/MAX(N:N)*$N$1)+(O848/MAX(O:O)*$O$1)+(P848/MAX(P:P)*$P$1)+(Q848/MAX(Q:Q)*$Q$1)+(R848/MAX(R:R)*$R$1)</f>
        <v/>
      </c>
      <c r="D848" s="156">
        <f>IFERROR(VLOOKUP(A848,'Injury Report'!A:F,6,0),"")</f>
        <v/>
      </c>
    </row>
    <row r="849" ht="15.6" customHeight="1" s="152">
      <c r="A849" s="167">
        <f>E849&amp;F849</f>
        <v/>
      </c>
      <c r="B849" s="156">
        <f>IF(D849&lt;&gt;"",C849,0)</f>
        <v/>
      </c>
      <c r="C849" s="156">
        <f>(M849/MAX(M:M)*$M$1)+(N849/MAX(N:N)*$N$1)+(O849/MAX(O:O)*$O$1)+(P849/MAX(P:P)*$P$1)+(Q849/MAX(Q:Q)*$Q$1)+(R849/MAX(R:R)*$R$1)</f>
        <v/>
      </c>
      <c r="D849" s="156">
        <f>IFERROR(VLOOKUP(A849,'Injury Report'!A:F,6,0),"")</f>
        <v/>
      </c>
    </row>
    <row r="850" ht="15.6" customHeight="1" s="152">
      <c r="A850" s="167">
        <f>E850&amp;F850</f>
        <v/>
      </c>
      <c r="B850" s="156">
        <f>IF(D850&lt;&gt;"",C850,0)</f>
        <v/>
      </c>
      <c r="C850" s="156">
        <f>(M850/MAX(M:M)*$M$1)+(N850/MAX(N:N)*$N$1)+(O850/MAX(O:O)*$O$1)+(P850/MAX(P:P)*$P$1)+(Q850/MAX(Q:Q)*$Q$1)+(R850/MAX(R:R)*$R$1)</f>
        <v/>
      </c>
      <c r="D850" s="156">
        <f>IFERROR(VLOOKUP(A850,'Injury Report'!A:F,6,0),"")</f>
        <v/>
      </c>
    </row>
    <row r="851" ht="15.6" customHeight="1" s="152">
      <c r="A851" s="167">
        <f>E851&amp;F851</f>
        <v/>
      </c>
      <c r="B851" s="156">
        <f>IF(D851&lt;&gt;"",C851,0)</f>
        <v/>
      </c>
      <c r="C851" s="156">
        <f>(M851/MAX(M:M)*$M$1)+(N851/MAX(N:N)*$N$1)+(O851/MAX(O:O)*$O$1)+(P851/MAX(P:P)*$P$1)+(Q851/MAX(Q:Q)*$Q$1)+(R851/MAX(R:R)*$R$1)</f>
        <v/>
      </c>
      <c r="D851" s="156">
        <f>IFERROR(VLOOKUP(A851,'Injury Report'!A:F,6,0),"")</f>
        <v/>
      </c>
    </row>
    <row r="852" ht="15.6" customHeight="1" s="152">
      <c r="A852" s="167">
        <f>E852&amp;F852</f>
        <v/>
      </c>
      <c r="B852" s="156">
        <f>IF(D852&lt;&gt;"",C852,0)</f>
        <v/>
      </c>
      <c r="C852" s="156">
        <f>(M852/MAX(M:M)*$M$1)+(N852/MAX(N:N)*$N$1)+(O852/MAX(O:O)*$O$1)+(P852/MAX(P:P)*$P$1)+(Q852/MAX(Q:Q)*$Q$1)+(R852/MAX(R:R)*$R$1)</f>
        <v/>
      </c>
      <c r="D852" s="156">
        <f>IFERROR(VLOOKUP(A852,'Injury Report'!A:F,6,0),"")</f>
        <v/>
      </c>
    </row>
    <row r="853" ht="15.6" customHeight="1" s="152">
      <c r="A853" s="167">
        <f>E853&amp;F853</f>
        <v/>
      </c>
      <c r="B853" s="156">
        <f>IF(D853&lt;&gt;"",C853,0)</f>
        <v/>
      </c>
      <c r="C853" s="156">
        <f>(M853/MAX(M:M)*$M$1)+(N853/MAX(N:N)*$N$1)+(O853/MAX(O:O)*$O$1)+(P853/MAX(P:P)*$P$1)+(Q853/MAX(Q:Q)*$Q$1)+(R853/MAX(R:R)*$R$1)</f>
        <v/>
      </c>
      <c r="D853" s="156">
        <f>IFERROR(VLOOKUP(A853,'Injury Report'!A:F,6,0),"")</f>
        <v/>
      </c>
    </row>
    <row r="854" ht="15.6" customHeight="1" s="152">
      <c r="A854" s="167">
        <f>E854&amp;F854</f>
        <v/>
      </c>
      <c r="B854" s="156">
        <f>IF(D854&lt;&gt;"",C854,0)</f>
        <v/>
      </c>
      <c r="C854" s="156">
        <f>(M854/MAX(M:M)*$M$1)+(N854/MAX(N:N)*$N$1)+(O854/MAX(O:O)*$O$1)+(P854/MAX(P:P)*$P$1)+(Q854/MAX(Q:Q)*$Q$1)+(R854/MAX(R:R)*$R$1)</f>
        <v/>
      </c>
      <c r="D854" s="156">
        <f>IFERROR(VLOOKUP(A854,'Injury Report'!A:F,6,0),"")</f>
        <v/>
      </c>
    </row>
    <row r="855" ht="15.6" customHeight="1" s="152">
      <c r="A855" s="167">
        <f>E855&amp;F855</f>
        <v/>
      </c>
      <c r="B855" s="156">
        <f>IF(D855&lt;&gt;"",C855,0)</f>
        <v/>
      </c>
      <c r="C855" s="156">
        <f>(M855/MAX(M:M)*$M$1)+(N855/MAX(N:N)*$N$1)+(O855/MAX(O:O)*$O$1)+(P855/MAX(P:P)*$P$1)+(Q855/MAX(Q:Q)*$Q$1)+(R855/MAX(R:R)*$R$1)</f>
        <v/>
      </c>
      <c r="D855" s="156">
        <f>IFERROR(VLOOKUP(A855,'Injury Report'!A:F,6,0),"")</f>
        <v/>
      </c>
    </row>
    <row r="856" ht="15.6" customHeight="1" s="152">
      <c r="A856" s="167">
        <f>E856&amp;F856</f>
        <v/>
      </c>
      <c r="B856" s="156">
        <f>IF(D856&lt;&gt;"",C856,0)</f>
        <v/>
      </c>
      <c r="C856" s="156">
        <f>(M856/MAX(M:M)*$M$1)+(N856/MAX(N:N)*$N$1)+(O856/MAX(O:O)*$O$1)+(P856/MAX(P:P)*$P$1)+(Q856/MAX(Q:Q)*$Q$1)+(R856/MAX(R:R)*$R$1)</f>
        <v/>
      </c>
      <c r="D856" s="156">
        <f>IFERROR(VLOOKUP(A856,'Injury Report'!A:F,6,0),"")</f>
        <v/>
      </c>
    </row>
    <row r="857" ht="15.6" customHeight="1" s="152">
      <c r="A857" s="167">
        <f>E857&amp;F857</f>
        <v/>
      </c>
      <c r="B857" s="156">
        <f>IF(D857&lt;&gt;"",C857,0)</f>
        <v/>
      </c>
      <c r="C857" s="156">
        <f>(M857/MAX(M:M)*$M$1)+(N857/MAX(N:N)*$N$1)+(O857/MAX(O:O)*$O$1)+(P857/MAX(P:P)*$P$1)+(Q857/MAX(Q:Q)*$Q$1)+(R857/MAX(R:R)*$R$1)</f>
        <v/>
      </c>
      <c r="D857" s="156">
        <f>IFERROR(VLOOKUP(A857,'Injury Report'!A:F,6,0),"")</f>
        <v/>
      </c>
    </row>
    <row r="858" ht="15.6" customHeight="1" s="152">
      <c r="A858" s="167">
        <f>E858&amp;F858</f>
        <v/>
      </c>
      <c r="B858" s="156">
        <f>IF(D858&lt;&gt;"",C858,0)</f>
        <v/>
      </c>
      <c r="C858" s="156">
        <f>(M858/MAX(M:M)*$M$1)+(N858/MAX(N:N)*$N$1)+(O858/MAX(O:O)*$O$1)+(P858/MAX(P:P)*$P$1)+(Q858/MAX(Q:Q)*$Q$1)+(R858/MAX(R:R)*$R$1)</f>
        <v/>
      </c>
      <c r="D858" s="156">
        <f>IFERROR(VLOOKUP(A858,'Injury Report'!A:F,6,0),"")</f>
        <v/>
      </c>
    </row>
    <row r="859" ht="15.6" customHeight="1" s="152">
      <c r="A859" s="167">
        <f>E859&amp;F859</f>
        <v/>
      </c>
      <c r="B859" s="156">
        <f>IF(D859&lt;&gt;"",C859,0)</f>
        <v/>
      </c>
      <c r="C859" s="156">
        <f>(M859/MAX(M:M)*$M$1)+(N859/MAX(N:N)*$N$1)+(O859/MAX(O:O)*$O$1)+(P859/MAX(P:P)*$P$1)+(Q859/MAX(Q:Q)*$Q$1)+(R859/MAX(R:R)*$R$1)</f>
        <v/>
      </c>
      <c r="D859" s="156">
        <f>IFERROR(VLOOKUP(A859,'Injury Report'!A:F,6,0),"")</f>
        <v/>
      </c>
    </row>
    <row r="860" ht="15.6" customHeight="1" s="152">
      <c r="A860" s="167">
        <f>E860&amp;F860</f>
        <v/>
      </c>
      <c r="B860" s="156">
        <f>IF(D860&lt;&gt;"",C860,0)</f>
        <v/>
      </c>
      <c r="C860" s="156">
        <f>(M860/MAX(M:M)*$M$1)+(N860/MAX(N:N)*$N$1)+(O860/MAX(O:O)*$O$1)+(P860/MAX(P:P)*$P$1)+(Q860/MAX(Q:Q)*$Q$1)+(R860/MAX(R:R)*$R$1)</f>
        <v/>
      </c>
      <c r="D860" s="156">
        <f>IFERROR(VLOOKUP(A860,'Injury Report'!A:F,6,0),"")</f>
        <v/>
      </c>
    </row>
    <row r="861" ht="15.6" customHeight="1" s="152">
      <c r="A861" s="167">
        <f>E861&amp;F861</f>
        <v/>
      </c>
      <c r="B861" s="156">
        <f>IF(D861&lt;&gt;"",C861,0)</f>
        <v/>
      </c>
      <c r="C861" s="156">
        <f>(M861/MAX(M:M)*$M$1)+(N861/MAX(N:N)*$N$1)+(O861/MAX(O:O)*$O$1)+(P861/MAX(P:P)*$P$1)+(Q861/MAX(Q:Q)*$Q$1)+(R861/MAX(R:R)*$R$1)</f>
        <v/>
      </c>
      <c r="D861" s="156">
        <f>IFERROR(VLOOKUP(A861,'Injury Report'!A:F,6,0),"")</f>
        <v/>
      </c>
    </row>
    <row r="862" ht="15.6" customHeight="1" s="152">
      <c r="A862" s="167">
        <f>E862&amp;F862</f>
        <v/>
      </c>
      <c r="B862" s="156">
        <f>IF(D862&lt;&gt;"",C862,0)</f>
        <v/>
      </c>
      <c r="C862" s="156">
        <f>(M862/MAX(M:M)*$M$1)+(N862/MAX(N:N)*$N$1)+(O862/MAX(O:O)*$O$1)+(P862/MAX(P:P)*$P$1)+(Q862/MAX(Q:Q)*$Q$1)+(R862/MAX(R:R)*$R$1)</f>
        <v/>
      </c>
      <c r="D862" s="156">
        <f>IFERROR(VLOOKUP(A862,'Injury Report'!A:F,6,0),"")</f>
        <v/>
      </c>
    </row>
    <row r="863" ht="15.6" customHeight="1" s="152">
      <c r="A863" s="167">
        <f>E863&amp;F863</f>
        <v/>
      </c>
      <c r="B863" s="156">
        <f>IF(D863&lt;&gt;"",C863,0)</f>
        <v/>
      </c>
      <c r="C863" s="156">
        <f>(M863/MAX(M:M)*$M$1)+(N863/MAX(N:N)*$N$1)+(O863/MAX(O:O)*$O$1)+(P863/MAX(P:P)*$P$1)+(Q863/MAX(Q:Q)*$Q$1)+(R863/MAX(R:R)*$R$1)</f>
        <v/>
      </c>
      <c r="D863" s="156">
        <f>IFERROR(VLOOKUP(A863,'Injury Report'!A:F,6,0),"")</f>
        <v/>
      </c>
    </row>
    <row r="864" ht="15.6" customHeight="1" s="152">
      <c r="A864" s="167">
        <f>E864&amp;F864</f>
        <v/>
      </c>
      <c r="B864" s="156">
        <f>IF(D864&lt;&gt;"",C864,0)</f>
        <v/>
      </c>
      <c r="C864" s="156">
        <f>(M864/MAX(M:M)*$M$1)+(N864/MAX(N:N)*$N$1)+(O864/MAX(O:O)*$O$1)+(P864/MAX(P:P)*$P$1)+(Q864/MAX(Q:Q)*$Q$1)+(R864/MAX(R:R)*$R$1)</f>
        <v/>
      </c>
      <c r="D864" s="156">
        <f>IFERROR(VLOOKUP(A864,'Injury Report'!A:F,6,0),"")</f>
        <v/>
      </c>
    </row>
    <row r="865" ht="15.6" customHeight="1" s="152">
      <c r="A865" s="167">
        <f>E865&amp;F865</f>
        <v/>
      </c>
      <c r="B865" s="156">
        <f>IF(D865&lt;&gt;"",C865,0)</f>
        <v/>
      </c>
      <c r="C865" s="156">
        <f>(M865/MAX(M:M)*$M$1)+(N865/MAX(N:N)*$N$1)+(O865/MAX(O:O)*$O$1)+(P865/MAX(P:P)*$P$1)+(Q865/MAX(Q:Q)*$Q$1)+(R865/MAX(R:R)*$R$1)</f>
        <v/>
      </c>
      <c r="D865" s="156">
        <f>IFERROR(VLOOKUP(A865,'Injury Report'!A:F,6,0),"")</f>
        <v/>
      </c>
    </row>
    <row r="866" ht="15.6" customHeight="1" s="152">
      <c r="A866" s="167">
        <f>E866&amp;F866</f>
        <v/>
      </c>
      <c r="B866" s="156">
        <f>IF(D866&lt;&gt;"",C866,0)</f>
        <v/>
      </c>
      <c r="C866" s="156">
        <f>(M866/MAX(M:M)*$M$1)+(N866/MAX(N:N)*$N$1)+(O866/MAX(O:O)*$O$1)+(P866/MAX(P:P)*$P$1)+(Q866/MAX(Q:Q)*$Q$1)+(R866/MAX(R:R)*$R$1)</f>
        <v/>
      </c>
      <c r="D866" s="156">
        <f>IFERROR(VLOOKUP(A866,'Injury Report'!A:F,6,0),"")</f>
        <v/>
      </c>
    </row>
    <row r="867" ht="15.6" customHeight="1" s="152">
      <c r="A867" s="167">
        <f>E867&amp;F867</f>
        <v/>
      </c>
      <c r="B867" s="156">
        <f>IF(D867&lt;&gt;"",C867,0)</f>
        <v/>
      </c>
      <c r="C867" s="156">
        <f>(M867/MAX(M:M)*$M$1)+(N867/MAX(N:N)*$N$1)+(O867/MAX(O:O)*$O$1)+(P867/MAX(P:P)*$P$1)+(Q867/MAX(Q:Q)*$Q$1)+(R867/MAX(R:R)*$R$1)</f>
        <v/>
      </c>
      <c r="D867" s="156">
        <f>IFERROR(VLOOKUP(A867,'Injury Report'!A:F,6,0),"")</f>
        <v/>
      </c>
    </row>
    <row r="868" ht="15.6" customHeight="1" s="152">
      <c r="A868" s="167">
        <f>E868&amp;F868</f>
        <v/>
      </c>
      <c r="B868" s="156">
        <f>IF(D868&lt;&gt;"",C868,0)</f>
        <v/>
      </c>
      <c r="C868" s="156">
        <f>(M868/MAX(M:M)*$M$1)+(N868/MAX(N:N)*$N$1)+(O868/MAX(O:O)*$O$1)+(P868/MAX(P:P)*$P$1)+(Q868/MAX(Q:Q)*$Q$1)+(R868/MAX(R:R)*$R$1)</f>
        <v/>
      </c>
      <c r="D868" s="156">
        <f>IFERROR(VLOOKUP(A868,'Injury Report'!A:F,6,0),"")</f>
        <v/>
      </c>
    </row>
    <row r="869" ht="15.6" customHeight="1" s="152">
      <c r="A869" s="167">
        <f>E869&amp;F869</f>
        <v/>
      </c>
      <c r="B869" s="156">
        <f>IF(D869&lt;&gt;"",C869,0)</f>
        <v/>
      </c>
      <c r="C869" s="156">
        <f>(M869/MAX(M:M)*$M$1)+(N869/MAX(N:N)*$N$1)+(O869/MAX(O:O)*$O$1)+(P869/MAX(P:P)*$P$1)+(Q869/MAX(Q:Q)*$Q$1)+(R869/MAX(R:R)*$R$1)</f>
        <v/>
      </c>
      <c r="D869" s="156">
        <f>IFERROR(VLOOKUP(A869,'Injury Report'!A:F,6,0),"")</f>
        <v/>
      </c>
    </row>
    <row r="870" ht="15.6" customHeight="1" s="152">
      <c r="A870" s="167">
        <f>E870&amp;F870</f>
        <v/>
      </c>
      <c r="B870" s="156">
        <f>IF(D870&lt;&gt;"",C870,0)</f>
        <v/>
      </c>
      <c r="C870" s="156">
        <f>(M870/MAX(M:M)*$M$1)+(N870/MAX(N:N)*$N$1)+(O870/MAX(O:O)*$O$1)+(P870/MAX(P:P)*$P$1)+(Q870/MAX(Q:Q)*$Q$1)+(R870/MAX(R:R)*$R$1)</f>
        <v/>
      </c>
      <c r="D870" s="156">
        <f>IFERROR(VLOOKUP(A870,'Injury Report'!A:F,6,0),"")</f>
        <v/>
      </c>
    </row>
    <row r="871" ht="15.6" customHeight="1" s="152">
      <c r="A871" s="167">
        <f>E871&amp;F871</f>
        <v/>
      </c>
      <c r="B871" s="156">
        <f>IF(D871&lt;&gt;"",C871,0)</f>
        <v/>
      </c>
      <c r="C871" s="156">
        <f>(M871/MAX(M:M)*$M$1)+(N871/MAX(N:N)*$N$1)+(O871/MAX(O:O)*$O$1)+(P871/MAX(P:P)*$P$1)+(Q871/MAX(Q:Q)*$Q$1)+(R871/MAX(R:R)*$R$1)</f>
        <v/>
      </c>
      <c r="D871" s="156">
        <f>IFERROR(VLOOKUP(A871,'Injury Report'!A:F,6,0),"")</f>
        <v/>
      </c>
    </row>
    <row r="872" ht="15.6" customHeight="1" s="152">
      <c r="A872" s="167">
        <f>E872&amp;F872</f>
        <v/>
      </c>
      <c r="B872" s="156">
        <f>IF(D872&lt;&gt;"",C872,0)</f>
        <v/>
      </c>
      <c r="C872" s="156">
        <f>(M872/MAX(M:M)*$M$1)+(N872/MAX(N:N)*$N$1)+(O872/MAX(O:O)*$O$1)+(P872/MAX(P:P)*$P$1)+(Q872/MAX(Q:Q)*$Q$1)+(R872/MAX(R:R)*$R$1)</f>
        <v/>
      </c>
      <c r="D872" s="156">
        <f>IFERROR(VLOOKUP(A872,'Injury Report'!A:F,6,0),"")</f>
        <v/>
      </c>
    </row>
    <row r="873" ht="15.6" customHeight="1" s="152">
      <c r="A873" s="167">
        <f>E873&amp;F873</f>
        <v/>
      </c>
      <c r="B873" s="156">
        <f>IF(D873&lt;&gt;"",C873,0)</f>
        <v/>
      </c>
      <c r="C873" s="156">
        <f>(M873/MAX(M:M)*$M$1)+(N873/MAX(N:N)*$N$1)+(O873/MAX(O:O)*$O$1)+(P873/MAX(P:P)*$P$1)+(Q873/MAX(Q:Q)*$Q$1)+(R873/MAX(R:R)*$R$1)</f>
        <v/>
      </c>
      <c r="D873" s="156">
        <f>IFERROR(VLOOKUP(A873,'Injury Report'!A:F,6,0),"")</f>
        <v/>
      </c>
    </row>
    <row r="874" ht="15.6" customHeight="1" s="152">
      <c r="A874" s="167">
        <f>E874&amp;F874</f>
        <v/>
      </c>
      <c r="B874" s="156">
        <f>IF(D874&lt;&gt;"",C874,0)</f>
        <v/>
      </c>
      <c r="C874" s="156">
        <f>(M874/MAX(M:M)*$M$1)+(N874/MAX(N:N)*$N$1)+(O874/MAX(O:O)*$O$1)+(P874/MAX(P:P)*$P$1)+(Q874/MAX(Q:Q)*$Q$1)+(R874/MAX(R:R)*$R$1)</f>
        <v/>
      </c>
      <c r="D874" s="156">
        <f>IFERROR(VLOOKUP(A874,'Injury Report'!A:F,6,0),"")</f>
        <v/>
      </c>
    </row>
    <row r="875" ht="15.6" customHeight="1" s="152">
      <c r="A875" s="167">
        <f>E875&amp;F875</f>
        <v/>
      </c>
      <c r="B875" s="156">
        <f>IF(D875&lt;&gt;"",C875,0)</f>
        <v/>
      </c>
      <c r="C875" s="156">
        <f>(M875/MAX(M:M)*$M$1)+(N875/MAX(N:N)*$N$1)+(O875/MAX(O:O)*$O$1)+(P875/MAX(P:P)*$P$1)+(Q875/MAX(Q:Q)*$Q$1)+(R875/MAX(R:R)*$R$1)</f>
        <v/>
      </c>
      <c r="D875" s="156">
        <f>IFERROR(VLOOKUP(A875,'Injury Report'!A:F,6,0),"")</f>
        <v/>
      </c>
    </row>
    <row r="876" ht="15.6" customHeight="1" s="152">
      <c r="A876" s="167">
        <f>E876&amp;F876</f>
        <v/>
      </c>
      <c r="B876" s="156">
        <f>IF(D876&lt;&gt;"",C876,0)</f>
        <v/>
      </c>
      <c r="C876" s="156">
        <f>(M876/MAX(M:M)*$M$1)+(N876/MAX(N:N)*$N$1)+(O876/MAX(O:O)*$O$1)+(P876/MAX(P:P)*$P$1)+(Q876/MAX(Q:Q)*$Q$1)+(R876/MAX(R:R)*$R$1)</f>
        <v/>
      </c>
      <c r="D876" s="156">
        <f>IFERROR(VLOOKUP(A876,'Injury Report'!A:F,6,0),"")</f>
        <v/>
      </c>
    </row>
    <row r="877" ht="15.6" customHeight="1" s="152">
      <c r="A877" s="167">
        <f>E877&amp;F877</f>
        <v/>
      </c>
      <c r="B877" s="156">
        <f>IF(D877&lt;&gt;"",C877,0)</f>
        <v/>
      </c>
      <c r="C877" s="156">
        <f>(M877/MAX(M:M)*$M$1)+(N877/MAX(N:N)*$N$1)+(O877/MAX(O:O)*$O$1)+(P877/MAX(P:P)*$P$1)+(Q877/MAX(Q:Q)*$Q$1)+(R877/MAX(R:R)*$R$1)</f>
        <v/>
      </c>
      <c r="D877" s="156">
        <f>IFERROR(VLOOKUP(A877,'Injury Report'!A:F,6,0),"")</f>
        <v/>
      </c>
    </row>
    <row r="878" ht="15.6" customHeight="1" s="152">
      <c r="A878" s="167">
        <f>E878&amp;F878</f>
        <v/>
      </c>
      <c r="B878" s="156">
        <f>IF(D878&lt;&gt;"",C878,0)</f>
        <v/>
      </c>
      <c r="C878" s="156">
        <f>(M878/MAX(M:M)*$M$1)+(N878/MAX(N:N)*$N$1)+(O878/MAX(O:O)*$O$1)+(P878/MAX(P:P)*$P$1)+(Q878/MAX(Q:Q)*$Q$1)+(R878/MAX(R:R)*$R$1)</f>
        <v/>
      </c>
      <c r="D878" s="156">
        <f>IFERROR(VLOOKUP(A878,'Injury Report'!A:F,6,0),"")</f>
        <v/>
      </c>
    </row>
    <row r="879" ht="15.6" customHeight="1" s="152">
      <c r="A879" s="167">
        <f>E879&amp;F879</f>
        <v/>
      </c>
      <c r="B879" s="156">
        <f>IF(D879&lt;&gt;"",C879,0)</f>
        <v/>
      </c>
      <c r="C879" s="156">
        <f>(M879/MAX(M:M)*$M$1)+(N879/MAX(N:N)*$N$1)+(O879/MAX(O:O)*$O$1)+(P879/MAX(P:P)*$P$1)+(Q879/MAX(Q:Q)*$Q$1)+(R879/MAX(R:R)*$R$1)</f>
        <v/>
      </c>
      <c r="D879" s="156">
        <f>IFERROR(VLOOKUP(A879,'Injury Report'!A:F,6,0),"")</f>
        <v/>
      </c>
    </row>
    <row r="880" ht="15.6" customHeight="1" s="152">
      <c r="A880" s="167">
        <f>E880&amp;F880</f>
        <v/>
      </c>
      <c r="B880" s="156">
        <f>IF(D880&lt;&gt;"",C880,0)</f>
        <v/>
      </c>
      <c r="C880" s="156">
        <f>(M880/MAX(M:M)*$M$1)+(N880/MAX(N:N)*$N$1)+(O880/MAX(O:O)*$O$1)+(P880/MAX(P:P)*$P$1)+(Q880/MAX(Q:Q)*$Q$1)+(R880/MAX(R:R)*$R$1)</f>
        <v/>
      </c>
      <c r="D880" s="156">
        <f>IFERROR(VLOOKUP(A880,'Injury Report'!A:F,6,0),"")</f>
        <v/>
      </c>
    </row>
    <row r="881" ht="15.6" customHeight="1" s="152">
      <c r="A881" s="167">
        <f>E881&amp;F881</f>
        <v/>
      </c>
      <c r="B881" s="156">
        <f>IF(D881&lt;&gt;"",C881,0)</f>
        <v/>
      </c>
      <c r="C881" s="156">
        <f>(M881/MAX(M:M)*$M$1)+(N881/MAX(N:N)*$N$1)+(O881/MAX(O:O)*$O$1)+(P881/MAX(P:P)*$P$1)+(Q881/MAX(Q:Q)*$Q$1)+(R881/MAX(R:R)*$R$1)</f>
        <v/>
      </c>
      <c r="D881" s="156">
        <f>IFERROR(VLOOKUP(A881,'Injury Report'!A:F,6,0),"")</f>
        <v/>
      </c>
    </row>
    <row r="882" ht="15.6" customHeight="1" s="152">
      <c r="A882" s="167">
        <f>E882&amp;F882</f>
        <v/>
      </c>
      <c r="B882" s="156">
        <f>IF(D882&lt;&gt;"",C882,0)</f>
        <v/>
      </c>
      <c r="C882" s="156">
        <f>(M882/MAX(M:M)*$M$1)+(N882/MAX(N:N)*$N$1)+(O882/MAX(O:O)*$O$1)+(P882/MAX(P:P)*$P$1)+(Q882/MAX(Q:Q)*$Q$1)+(R882/MAX(R:R)*$R$1)</f>
        <v/>
      </c>
      <c r="D882" s="156">
        <f>IFERROR(VLOOKUP(A882,'Injury Report'!A:F,6,0),"")</f>
        <v/>
      </c>
    </row>
    <row r="883" ht="15.6" customHeight="1" s="152">
      <c r="A883" s="167">
        <f>E883&amp;F883</f>
        <v/>
      </c>
      <c r="B883" s="156">
        <f>IF(D883&lt;&gt;"",C883,0)</f>
        <v/>
      </c>
      <c r="C883" s="156">
        <f>(M883/MAX(M:M)*$M$1)+(N883/MAX(N:N)*$N$1)+(O883/MAX(O:O)*$O$1)+(P883/MAX(P:P)*$P$1)+(Q883/MAX(Q:Q)*$Q$1)+(R883/MAX(R:R)*$R$1)</f>
        <v/>
      </c>
      <c r="D883" s="156">
        <f>IFERROR(VLOOKUP(A883,'Injury Report'!A:F,6,0),"")</f>
        <v/>
      </c>
    </row>
    <row r="884" ht="15.6" customHeight="1" s="152">
      <c r="A884" s="167">
        <f>E884&amp;F884</f>
        <v/>
      </c>
      <c r="B884" s="156">
        <f>IF(D884&lt;&gt;"",C884,0)</f>
        <v/>
      </c>
      <c r="C884" s="156">
        <f>(M884/MAX(M:M)*$M$1)+(N884/MAX(N:N)*$N$1)+(O884/MAX(O:O)*$O$1)+(P884/MAX(P:P)*$P$1)+(Q884/MAX(Q:Q)*$Q$1)+(R884/MAX(R:R)*$R$1)</f>
        <v/>
      </c>
      <c r="D884" s="156">
        <f>IFERROR(VLOOKUP(A884,'Injury Report'!A:F,6,0),"")</f>
        <v/>
      </c>
    </row>
    <row r="885" ht="15.6" customHeight="1" s="152">
      <c r="A885" s="167">
        <f>E885&amp;F885</f>
        <v/>
      </c>
      <c r="B885" s="156">
        <f>IF(D885&lt;&gt;"",C885,0)</f>
        <v/>
      </c>
      <c r="C885" s="156">
        <f>(M885/MAX(M:M)*$M$1)+(N885/MAX(N:N)*$N$1)+(O885/MAX(O:O)*$O$1)+(P885/MAX(P:P)*$P$1)+(Q885/MAX(Q:Q)*$Q$1)+(R885/MAX(R:R)*$R$1)</f>
        <v/>
      </c>
      <c r="D885" s="156">
        <f>IFERROR(VLOOKUP(A885,'Injury Report'!A:F,6,0),"")</f>
        <v/>
      </c>
    </row>
    <row r="886" ht="15.6" customHeight="1" s="152">
      <c r="A886" s="167">
        <f>E886&amp;F886</f>
        <v/>
      </c>
      <c r="B886" s="156">
        <f>IF(D886&lt;&gt;"",C886,0)</f>
        <v/>
      </c>
      <c r="C886" s="156">
        <f>(M886/MAX(M:M)*$M$1)+(N886/MAX(N:N)*$N$1)+(O886/MAX(O:O)*$O$1)+(P886/MAX(P:P)*$P$1)+(Q886/MAX(Q:Q)*$Q$1)+(R886/MAX(R:R)*$R$1)</f>
        <v/>
      </c>
      <c r="D886" s="156">
        <f>IFERROR(VLOOKUP(A886,'Injury Report'!A:F,6,0),"")</f>
        <v/>
      </c>
    </row>
    <row r="887" ht="15.6" customHeight="1" s="152">
      <c r="A887" s="167">
        <f>E887&amp;F887</f>
        <v/>
      </c>
      <c r="B887" s="156">
        <f>IF(D887&lt;&gt;"",C887,0)</f>
        <v/>
      </c>
      <c r="C887" s="156">
        <f>(M887/MAX(M:M)*$M$1)+(N887/MAX(N:N)*$N$1)+(O887/MAX(O:O)*$O$1)+(P887/MAX(P:P)*$P$1)+(Q887/MAX(Q:Q)*$Q$1)+(R887/MAX(R:R)*$R$1)</f>
        <v/>
      </c>
      <c r="D887" s="156">
        <f>IFERROR(VLOOKUP(A887,'Injury Report'!A:F,6,0),"")</f>
        <v/>
      </c>
    </row>
    <row r="888" ht="15.6" customHeight="1" s="152">
      <c r="A888" s="167">
        <f>E888&amp;F888</f>
        <v/>
      </c>
      <c r="B888" s="156">
        <f>IF(D888&lt;&gt;"",C888,0)</f>
        <v/>
      </c>
      <c r="C888" s="156">
        <f>(M888/MAX(M:M)*$M$1)+(N888/MAX(N:N)*$N$1)+(O888/MAX(O:O)*$O$1)+(P888/MAX(P:P)*$P$1)+(Q888/MAX(Q:Q)*$Q$1)+(R888/MAX(R:R)*$R$1)</f>
        <v/>
      </c>
      <c r="D888" s="156">
        <f>IFERROR(VLOOKUP(A888,'Injury Report'!A:F,6,0),"")</f>
        <v/>
      </c>
    </row>
    <row r="889" ht="15.6" customHeight="1" s="152">
      <c r="A889" s="167">
        <f>E889&amp;F889</f>
        <v/>
      </c>
      <c r="B889" s="156">
        <f>IF(D889&lt;&gt;"",C889,0)</f>
        <v/>
      </c>
      <c r="C889" s="156">
        <f>(M889/MAX(M:M)*$M$1)+(N889/MAX(N:N)*$N$1)+(O889/MAX(O:O)*$O$1)+(P889/MAX(P:P)*$P$1)+(Q889/MAX(Q:Q)*$Q$1)+(R889/MAX(R:R)*$R$1)</f>
        <v/>
      </c>
      <c r="D889" s="156">
        <f>IFERROR(VLOOKUP(A889,'Injury Report'!A:F,6,0),"")</f>
        <v/>
      </c>
    </row>
    <row r="890" ht="15.6" customHeight="1" s="152">
      <c r="A890" s="167">
        <f>E890&amp;F890</f>
        <v/>
      </c>
      <c r="B890" s="156">
        <f>IF(D890&lt;&gt;"",C890,0)</f>
        <v/>
      </c>
      <c r="C890" s="156">
        <f>(M890/MAX(M:M)*$M$1)+(N890/MAX(N:N)*$N$1)+(O890/MAX(O:O)*$O$1)+(P890/MAX(P:P)*$P$1)+(Q890/MAX(Q:Q)*$Q$1)+(R890/MAX(R:R)*$R$1)</f>
        <v/>
      </c>
      <c r="D890" s="156">
        <f>IFERROR(VLOOKUP(A890,'Injury Report'!A:F,6,0),"")</f>
        <v/>
      </c>
    </row>
    <row r="891" ht="15.6" customHeight="1" s="152">
      <c r="A891" s="167">
        <f>E891&amp;F891</f>
        <v/>
      </c>
      <c r="B891" s="156">
        <f>IF(D891&lt;&gt;"",C891,0)</f>
        <v/>
      </c>
      <c r="C891" s="156">
        <f>(M891/MAX(M:M)*$M$1)+(N891/MAX(N:N)*$N$1)+(O891/MAX(O:O)*$O$1)+(P891/MAX(P:P)*$P$1)+(Q891/MAX(Q:Q)*$Q$1)+(R891/MAX(R:R)*$R$1)</f>
        <v/>
      </c>
      <c r="D891" s="156">
        <f>IFERROR(VLOOKUP(A891,'Injury Report'!A:F,6,0),"")</f>
        <v/>
      </c>
    </row>
    <row r="892" ht="15.6" customHeight="1" s="152">
      <c r="A892" s="167">
        <f>E892&amp;F892</f>
        <v/>
      </c>
      <c r="B892" s="156">
        <f>IF(D892&lt;&gt;"",C892,0)</f>
        <v/>
      </c>
      <c r="C892" s="156">
        <f>(M892/MAX(M:M)*$M$1)+(N892/MAX(N:N)*$N$1)+(O892/MAX(O:O)*$O$1)+(P892/MAX(P:P)*$P$1)+(Q892/MAX(Q:Q)*$Q$1)+(R892/MAX(R:R)*$R$1)</f>
        <v/>
      </c>
      <c r="D892" s="156">
        <f>IFERROR(VLOOKUP(A892,'Injury Report'!A:F,6,0),"")</f>
        <v/>
      </c>
    </row>
    <row r="893" ht="15.6" customHeight="1" s="152">
      <c r="A893" s="167">
        <f>E893&amp;F893</f>
        <v/>
      </c>
      <c r="B893" s="156">
        <f>IF(D893&lt;&gt;"",C893,0)</f>
        <v/>
      </c>
      <c r="C893" s="156">
        <f>(M893/MAX(M:M)*$M$1)+(N893/MAX(N:N)*$N$1)+(O893/MAX(O:O)*$O$1)+(P893/MAX(P:P)*$P$1)+(Q893/MAX(Q:Q)*$Q$1)+(R893/MAX(R:R)*$R$1)</f>
        <v/>
      </c>
      <c r="D893" s="156">
        <f>IFERROR(VLOOKUP(A893,'Injury Report'!A:F,6,0),"")</f>
        <v/>
      </c>
    </row>
    <row r="894" ht="15.6" customHeight="1" s="152">
      <c r="A894" s="167">
        <f>E894&amp;F894</f>
        <v/>
      </c>
      <c r="B894" s="156">
        <f>IF(D894&lt;&gt;"",C894,0)</f>
        <v/>
      </c>
      <c r="C894" s="156">
        <f>(M894/MAX(M:M)*$M$1)+(N894/MAX(N:N)*$N$1)+(O894/MAX(O:O)*$O$1)+(P894/MAX(P:P)*$P$1)+(Q894/MAX(Q:Q)*$Q$1)+(R894/MAX(R:R)*$R$1)</f>
        <v/>
      </c>
      <c r="D894" s="156">
        <f>IFERROR(VLOOKUP(A894,'Injury Report'!A:F,6,0),"")</f>
        <v/>
      </c>
    </row>
    <row r="895" ht="15.6" customHeight="1" s="152">
      <c r="A895" s="167">
        <f>E895&amp;F895</f>
        <v/>
      </c>
      <c r="B895" s="156">
        <f>IF(D895&lt;&gt;"",C895,0)</f>
        <v/>
      </c>
      <c r="C895" s="156">
        <f>(M895/MAX(M:M)*$M$1)+(N895/MAX(N:N)*$N$1)+(O895/MAX(O:O)*$O$1)+(P895/MAX(P:P)*$P$1)+(Q895/MAX(Q:Q)*$Q$1)+(R895/MAX(R:R)*$R$1)</f>
        <v/>
      </c>
      <c r="D895" s="156">
        <f>IFERROR(VLOOKUP(A895,'Injury Report'!A:F,6,0),"")</f>
        <v/>
      </c>
    </row>
    <row r="896" ht="15.6" customHeight="1" s="152">
      <c r="A896" s="167">
        <f>E896&amp;F896</f>
        <v/>
      </c>
      <c r="B896" s="156">
        <f>IF(D896&lt;&gt;"",C896,0)</f>
        <v/>
      </c>
      <c r="C896" s="156">
        <f>(M896/MAX(M:M)*$M$1)+(N896/MAX(N:N)*$N$1)+(O896/MAX(O:O)*$O$1)+(P896/MAX(P:P)*$P$1)+(Q896/MAX(Q:Q)*$Q$1)+(R896/MAX(R:R)*$R$1)</f>
        <v/>
      </c>
      <c r="D896" s="156">
        <f>IFERROR(VLOOKUP(A896,'Injury Report'!A:F,6,0),"")</f>
        <v/>
      </c>
    </row>
    <row r="897" ht="15.6" customHeight="1" s="152">
      <c r="A897" s="167">
        <f>E897&amp;F897</f>
        <v/>
      </c>
      <c r="B897" s="156">
        <f>IF(D897&lt;&gt;"",C897,0)</f>
        <v/>
      </c>
      <c r="C897" s="156">
        <f>(M897/MAX(M:M)*$M$1)+(N897/MAX(N:N)*$N$1)+(O897/MAX(O:O)*$O$1)+(P897/MAX(P:P)*$P$1)+(Q897/MAX(Q:Q)*$Q$1)+(R897/MAX(R:R)*$R$1)</f>
        <v/>
      </c>
      <c r="D897" s="156">
        <f>IFERROR(VLOOKUP(A897,'Injury Report'!A:F,6,0),"")</f>
        <v/>
      </c>
    </row>
    <row r="898" ht="15.6" customHeight="1" s="152">
      <c r="A898" s="167">
        <f>E898&amp;F898</f>
        <v/>
      </c>
      <c r="B898" s="156">
        <f>IF(D898&lt;&gt;"",C898,0)</f>
        <v/>
      </c>
      <c r="C898" s="156">
        <f>(M898/MAX(M:M)*$M$1)+(N898/MAX(N:N)*$N$1)+(O898/MAX(O:O)*$O$1)+(P898/MAX(P:P)*$P$1)+(Q898/MAX(Q:Q)*$Q$1)+(R898/MAX(R:R)*$R$1)</f>
        <v/>
      </c>
      <c r="D898" s="156">
        <f>IFERROR(VLOOKUP(A898,'Injury Report'!A:F,6,0),"")</f>
        <v/>
      </c>
    </row>
    <row r="899" ht="15.6" customHeight="1" s="152">
      <c r="A899" s="167">
        <f>E899&amp;F899</f>
        <v/>
      </c>
      <c r="B899" s="156">
        <f>IF(D899&lt;&gt;"",C899,0)</f>
        <v/>
      </c>
      <c r="C899" s="156">
        <f>(M899/MAX(M:M)*$M$1)+(N899/MAX(N:N)*$N$1)+(O899/MAX(O:O)*$O$1)+(P899/MAX(P:P)*$P$1)+(Q899/MAX(Q:Q)*$Q$1)+(R899/MAX(R:R)*$R$1)</f>
        <v/>
      </c>
      <c r="D899" s="156">
        <f>IFERROR(VLOOKUP(A899,'Injury Report'!A:F,6,0),"")</f>
        <v/>
      </c>
    </row>
    <row r="900" ht="15.6" customHeight="1" s="152">
      <c r="A900" s="167">
        <f>E900&amp;F900</f>
        <v/>
      </c>
      <c r="B900" s="156">
        <f>IF(D900&lt;&gt;"",C900,0)</f>
        <v/>
      </c>
      <c r="C900" s="156">
        <f>(M900/MAX(M:M)*$M$1)+(N900/MAX(N:N)*$N$1)+(O900/MAX(O:O)*$O$1)+(P900/MAX(P:P)*$P$1)+(Q900/MAX(Q:Q)*$Q$1)+(R900/MAX(R:R)*$R$1)</f>
        <v/>
      </c>
      <c r="D900" s="156">
        <f>IFERROR(VLOOKUP(A900,'Injury Report'!A:F,6,0),"")</f>
        <v/>
      </c>
    </row>
    <row r="901" ht="15.6" customHeight="1" s="152">
      <c r="A901" s="167">
        <f>E901&amp;F901</f>
        <v/>
      </c>
      <c r="B901" s="156">
        <f>IF(D901&lt;&gt;"",C901,0)</f>
        <v/>
      </c>
      <c r="C901" s="156">
        <f>(M901/MAX(M:M)*$M$1)+(N901/MAX(N:N)*$N$1)+(O901/MAX(O:O)*$O$1)+(P901/MAX(P:P)*$P$1)+(Q901/MAX(Q:Q)*$Q$1)+(R901/MAX(R:R)*$R$1)</f>
        <v/>
      </c>
      <c r="D901" s="156">
        <f>IFERROR(VLOOKUP(A901,'Injury Report'!A:F,6,0),"")</f>
        <v/>
      </c>
    </row>
    <row r="902" ht="15.6" customHeight="1" s="152">
      <c r="A902" s="167">
        <f>E902&amp;F902</f>
        <v/>
      </c>
      <c r="B902" s="156">
        <f>IF(D902&lt;&gt;"",C902,0)</f>
        <v/>
      </c>
      <c r="C902" s="156">
        <f>(M902/MAX(M:M)*$M$1)+(N902/MAX(N:N)*$N$1)+(O902/MAX(O:O)*$O$1)+(P902/MAX(P:P)*$P$1)+(Q902/MAX(Q:Q)*$Q$1)+(R902/MAX(R:R)*$R$1)</f>
        <v/>
      </c>
      <c r="D902" s="156">
        <f>IFERROR(VLOOKUP(A902,'Injury Report'!A:F,6,0),"")</f>
        <v/>
      </c>
    </row>
    <row r="903" ht="15.6" customHeight="1" s="152">
      <c r="A903" s="167">
        <f>E903&amp;F903</f>
        <v/>
      </c>
      <c r="B903" s="156">
        <f>IF(D903&lt;&gt;"",C903,0)</f>
        <v/>
      </c>
      <c r="C903" s="156">
        <f>(M903/MAX(M:M)*$M$1)+(N903/MAX(N:N)*$N$1)+(O903/MAX(O:O)*$O$1)+(P903/MAX(P:P)*$P$1)+(Q903/MAX(Q:Q)*$Q$1)+(R903/MAX(R:R)*$R$1)</f>
        <v/>
      </c>
      <c r="D903" s="156">
        <f>IFERROR(VLOOKUP(A903,'Injury Report'!A:F,6,0),"")</f>
        <v/>
      </c>
    </row>
    <row r="904" ht="15.6" customHeight="1" s="152">
      <c r="A904" s="167">
        <f>E904&amp;F904</f>
        <v/>
      </c>
      <c r="B904" s="156">
        <f>IF(D904&lt;&gt;"",C904,0)</f>
        <v/>
      </c>
      <c r="C904" s="156">
        <f>(M904/MAX(M:M)*$M$1)+(N904/MAX(N:N)*$N$1)+(O904/MAX(O:O)*$O$1)+(P904/MAX(P:P)*$P$1)+(Q904/MAX(Q:Q)*$Q$1)+(R904/MAX(R:R)*$R$1)</f>
        <v/>
      </c>
      <c r="D904" s="156">
        <f>IFERROR(VLOOKUP(A904,'Injury Report'!A:F,6,0),"")</f>
        <v/>
      </c>
    </row>
    <row r="905" ht="15.6" customHeight="1" s="152">
      <c r="A905" s="167">
        <f>E905&amp;F905</f>
        <v/>
      </c>
      <c r="B905" s="156">
        <f>IF(D905&lt;&gt;"",C905,0)</f>
        <v/>
      </c>
      <c r="C905" s="156">
        <f>(M905/MAX(M:M)*$M$1)+(N905/MAX(N:N)*$N$1)+(O905/MAX(O:O)*$O$1)+(P905/MAX(P:P)*$P$1)+(Q905/MAX(Q:Q)*$Q$1)+(R905/MAX(R:R)*$R$1)</f>
        <v/>
      </c>
      <c r="D905" s="156">
        <f>IFERROR(VLOOKUP(A905,'Injury Report'!A:F,6,0),"")</f>
        <v/>
      </c>
    </row>
    <row r="906" ht="15.6" customHeight="1" s="152">
      <c r="A906" s="167">
        <f>E906&amp;F906</f>
        <v/>
      </c>
      <c r="B906" s="156">
        <f>IF(D906&lt;&gt;"",C906,0)</f>
        <v/>
      </c>
      <c r="C906" s="156">
        <f>(M906/MAX(M:M)*$M$1)+(N906/MAX(N:N)*$N$1)+(O906/MAX(O:O)*$O$1)+(P906/MAX(P:P)*$P$1)+(Q906/MAX(Q:Q)*$Q$1)+(R906/MAX(R:R)*$R$1)</f>
        <v/>
      </c>
      <c r="D906" s="156">
        <f>IFERROR(VLOOKUP(A906,'Injury Report'!A:F,6,0),"")</f>
        <v/>
      </c>
    </row>
    <row r="907" ht="15.6" customHeight="1" s="152">
      <c r="A907" s="167">
        <f>E907&amp;F907</f>
        <v/>
      </c>
      <c r="B907" s="156">
        <f>IF(D907&lt;&gt;"",C907,0)</f>
        <v/>
      </c>
      <c r="C907" s="156">
        <f>(M907/MAX(M:M)*$M$1)+(N907/MAX(N:N)*$N$1)+(O907/MAX(O:O)*$O$1)+(P907/MAX(P:P)*$P$1)+(Q907/MAX(Q:Q)*$Q$1)+(R907/MAX(R:R)*$R$1)</f>
        <v/>
      </c>
      <c r="D907" s="156">
        <f>IFERROR(VLOOKUP(A907,'Injury Report'!A:F,6,0),"")</f>
        <v/>
      </c>
    </row>
    <row r="908" ht="15.6" customHeight="1" s="152">
      <c r="A908" s="167">
        <f>E908&amp;F908</f>
        <v/>
      </c>
      <c r="B908" s="156">
        <f>IF(D908&lt;&gt;"",C908,0)</f>
        <v/>
      </c>
      <c r="C908" s="156">
        <f>(M908/MAX(M:M)*$M$1)+(N908/MAX(N:N)*$N$1)+(O908/MAX(O:O)*$O$1)+(P908/MAX(P:P)*$P$1)+(Q908/MAX(Q:Q)*$Q$1)+(R908/MAX(R:R)*$R$1)</f>
        <v/>
      </c>
      <c r="D908" s="156">
        <f>IFERROR(VLOOKUP(A908,'Injury Report'!A:F,6,0),"")</f>
        <v/>
      </c>
    </row>
    <row r="909" ht="15.6" customHeight="1" s="152">
      <c r="A909" s="167">
        <f>E909&amp;F909</f>
        <v/>
      </c>
      <c r="B909" s="156">
        <f>IF(D909&lt;&gt;"",C909,0)</f>
        <v/>
      </c>
      <c r="C909" s="156">
        <f>(M909/MAX(M:M)*$M$1)+(N909/MAX(N:N)*$N$1)+(O909/MAX(O:O)*$O$1)+(P909/MAX(P:P)*$P$1)+(Q909/MAX(Q:Q)*$Q$1)+(R909/MAX(R:R)*$R$1)</f>
        <v/>
      </c>
      <c r="D909" s="156">
        <f>IFERROR(VLOOKUP(A909,'Injury Report'!A:F,6,0),"")</f>
        <v/>
      </c>
    </row>
    <row r="910" ht="15.6" customHeight="1" s="152">
      <c r="A910" s="167">
        <f>E910&amp;F910</f>
        <v/>
      </c>
      <c r="B910" s="156">
        <f>IF(D910&lt;&gt;"",C910,0)</f>
        <v/>
      </c>
      <c r="C910" s="156">
        <f>(M910/MAX(M:M)*$M$1)+(N910/MAX(N:N)*$N$1)+(O910/MAX(O:O)*$O$1)+(P910/MAX(P:P)*$P$1)+(Q910/MAX(Q:Q)*$Q$1)+(R910/MAX(R:R)*$R$1)</f>
        <v/>
      </c>
      <c r="D910" s="156">
        <f>IFERROR(VLOOKUP(A910,'Injury Report'!A:F,6,0),"")</f>
        <v/>
      </c>
    </row>
    <row r="911" ht="15.6" customHeight="1" s="152">
      <c r="A911" s="167">
        <f>E911&amp;F911</f>
        <v/>
      </c>
      <c r="B911" s="156">
        <f>IF(D911&lt;&gt;"",C911,0)</f>
        <v/>
      </c>
      <c r="C911" s="156">
        <f>(M911/MAX(M:M)*$M$1)+(N911/MAX(N:N)*$N$1)+(O911/MAX(O:O)*$O$1)+(P911/MAX(P:P)*$P$1)+(Q911/MAX(Q:Q)*$Q$1)+(R911/MAX(R:R)*$R$1)</f>
        <v/>
      </c>
      <c r="D911" s="156">
        <f>IFERROR(VLOOKUP(A911,'Injury Report'!A:F,6,0),"")</f>
        <v/>
      </c>
    </row>
    <row r="912" ht="15.6" customHeight="1" s="152">
      <c r="A912" s="167">
        <f>E912&amp;F912</f>
        <v/>
      </c>
      <c r="B912" s="156">
        <f>IF(D912&lt;&gt;"",C912,0)</f>
        <v/>
      </c>
      <c r="C912" s="156">
        <f>(M912/MAX(M:M)*$M$1)+(N912/MAX(N:N)*$N$1)+(O912/MAX(O:O)*$O$1)+(P912/MAX(P:P)*$P$1)+(Q912/MAX(Q:Q)*$Q$1)+(R912/MAX(R:R)*$R$1)</f>
        <v/>
      </c>
      <c r="D912" s="156">
        <f>IFERROR(VLOOKUP(A912,'Injury Report'!A:F,6,0),"")</f>
        <v/>
      </c>
    </row>
    <row r="913" ht="15.6" customHeight="1" s="152">
      <c r="A913" s="167">
        <f>E913&amp;F913</f>
        <v/>
      </c>
      <c r="B913" s="156">
        <f>IF(D913&lt;&gt;"",C913,0)</f>
        <v/>
      </c>
      <c r="C913" s="156">
        <f>(M913/MAX(M:M)*$M$1)+(N913/MAX(N:N)*$N$1)+(O913/MAX(O:O)*$O$1)+(P913/MAX(P:P)*$P$1)+(Q913/MAX(Q:Q)*$Q$1)+(R913/MAX(R:R)*$R$1)</f>
        <v/>
      </c>
      <c r="D913" s="156">
        <f>IFERROR(VLOOKUP(A913,'Injury Report'!A:F,6,0),"")</f>
        <v/>
      </c>
    </row>
    <row r="914" ht="15.6" customHeight="1" s="152">
      <c r="A914" s="167">
        <f>E914&amp;F914</f>
        <v/>
      </c>
      <c r="B914" s="156">
        <f>IF(D914&lt;&gt;"",C914,0)</f>
        <v/>
      </c>
      <c r="C914" s="156">
        <f>(M914/MAX(M:M)*$M$1)+(N914/MAX(N:N)*$N$1)+(O914/MAX(O:O)*$O$1)+(P914/MAX(P:P)*$P$1)+(Q914/MAX(Q:Q)*$Q$1)+(R914/MAX(R:R)*$R$1)</f>
        <v/>
      </c>
      <c r="D914" s="156">
        <f>IFERROR(VLOOKUP(A914,'Injury Report'!A:F,6,0),"")</f>
        <v/>
      </c>
    </row>
    <row r="915" ht="15.6" customHeight="1" s="152">
      <c r="A915" s="167">
        <f>E915&amp;F915</f>
        <v/>
      </c>
      <c r="B915" s="156">
        <f>IF(D915&lt;&gt;"",C915,0)</f>
        <v/>
      </c>
      <c r="C915" s="156">
        <f>(M915/MAX(M:M)*$M$1)+(N915/MAX(N:N)*$N$1)+(O915/MAX(O:O)*$O$1)+(P915/MAX(P:P)*$P$1)+(Q915/MAX(Q:Q)*$Q$1)+(R915/MAX(R:R)*$R$1)</f>
        <v/>
      </c>
      <c r="D915" s="156">
        <f>IFERROR(VLOOKUP(A915,'Injury Report'!A:F,6,0),"")</f>
        <v/>
      </c>
    </row>
    <row r="916" ht="15.6" customHeight="1" s="152">
      <c r="A916" s="167">
        <f>E916&amp;F916</f>
        <v/>
      </c>
      <c r="B916" s="156">
        <f>IF(D916&lt;&gt;"",C916,0)</f>
        <v/>
      </c>
      <c r="C916" s="156">
        <f>(M916/MAX(M:M)*$M$1)+(N916/MAX(N:N)*$N$1)+(O916/MAX(O:O)*$O$1)+(P916/MAX(P:P)*$P$1)+(Q916/MAX(Q:Q)*$Q$1)+(R916/MAX(R:R)*$R$1)</f>
        <v/>
      </c>
      <c r="D916" s="156">
        <f>IFERROR(VLOOKUP(A916,'Injury Report'!A:F,6,0),"")</f>
        <v/>
      </c>
    </row>
    <row r="917" ht="15.6" customHeight="1" s="152">
      <c r="A917" s="167">
        <f>E917&amp;F917</f>
        <v/>
      </c>
      <c r="B917" s="156">
        <f>IF(D917&lt;&gt;"",C917,0)</f>
        <v/>
      </c>
      <c r="C917" s="156">
        <f>(M917/MAX(M:M)*$M$1)+(N917/MAX(N:N)*$N$1)+(O917/MAX(O:O)*$O$1)+(P917/MAX(P:P)*$P$1)+(Q917/MAX(Q:Q)*$Q$1)+(R917/MAX(R:R)*$R$1)</f>
        <v/>
      </c>
      <c r="D917" s="156">
        <f>IFERROR(VLOOKUP(A917,'Injury Report'!A:F,6,0),"")</f>
        <v/>
      </c>
    </row>
    <row r="918" ht="15.6" customHeight="1" s="152">
      <c r="A918" s="167">
        <f>E918&amp;F918</f>
        <v/>
      </c>
      <c r="B918" s="156">
        <f>IF(D918&lt;&gt;"",C918,0)</f>
        <v/>
      </c>
      <c r="C918" s="156">
        <f>(M918/MAX(M:M)*$M$1)+(N918/MAX(N:N)*$N$1)+(O918/MAX(O:O)*$O$1)+(P918/MAX(P:P)*$P$1)+(Q918/MAX(Q:Q)*$Q$1)+(R918/MAX(R:R)*$R$1)</f>
        <v/>
      </c>
      <c r="D918" s="156">
        <f>IFERROR(VLOOKUP(A918,'Injury Report'!A:F,6,0),"")</f>
        <v/>
      </c>
    </row>
    <row r="919" ht="15.6" customHeight="1" s="152">
      <c r="A919" s="167">
        <f>E919&amp;F919</f>
        <v/>
      </c>
      <c r="B919" s="156">
        <f>IF(D919&lt;&gt;"",C919,0)</f>
        <v/>
      </c>
      <c r="C919" s="156">
        <f>(M919/MAX(M:M)*$M$1)+(N919/MAX(N:N)*$N$1)+(O919/MAX(O:O)*$O$1)+(P919/MAX(P:P)*$P$1)+(Q919/MAX(Q:Q)*$Q$1)+(R919/MAX(R:R)*$R$1)</f>
        <v/>
      </c>
      <c r="D919" s="156">
        <f>IFERROR(VLOOKUP(A919,'Injury Report'!A:F,6,0),"")</f>
        <v/>
      </c>
    </row>
    <row r="920" ht="15.6" customHeight="1" s="152">
      <c r="A920" s="167">
        <f>E920&amp;F920</f>
        <v/>
      </c>
      <c r="B920" s="156">
        <f>IF(D920&lt;&gt;"",C920,0)</f>
        <v/>
      </c>
      <c r="C920" s="156">
        <f>(M920/MAX(M:M)*$M$1)+(N920/MAX(N:N)*$N$1)+(O920/MAX(O:O)*$O$1)+(P920/MAX(P:P)*$P$1)+(Q920/MAX(Q:Q)*$Q$1)+(R920/MAX(R:R)*$R$1)</f>
        <v/>
      </c>
      <c r="D920" s="156">
        <f>IFERROR(VLOOKUP(A920,'Injury Report'!A:F,6,0),"")</f>
        <v/>
      </c>
    </row>
    <row r="921" ht="15.6" customHeight="1" s="152">
      <c r="A921" s="167">
        <f>E921&amp;F921</f>
        <v/>
      </c>
      <c r="B921" s="156">
        <f>IF(D921&lt;&gt;"",C921,0)</f>
        <v/>
      </c>
      <c r="C921" s="156">
        <f>(M921/MAX(M:M)*$M$1)+(N921/MAX(N:N)*$N$1)+(O921/MAX(O:O)*$O$1)+(P921/MAX(P:P)*$P$1)+(Q921/MAX(Q:Q)*$Q$1)+(R921/MAX(R:R)*$R$1)</f>
        <v/>
      </c>
      <c r="D921" s="156">
        <f>IFERROR(VLOOKUP(A921,'Injury Report'!A:F,6,0),"")</f>
        <v/>
      </c>
    </row>
    <row r="922" ht="15.6" customHeight="1" s="152">
      <c r="A922" s="167">
        <f>E922&amp;F922</f>
        <v/>
      </c>
      <c r="B922" s="156">
        <f>IF(D922&lt;&gt;"",C922,0)</f>
        <v/>
      </c>
      <c r="C922" s="156">
        <f>(M922/MAX(M:M)*$M$1)+(N922/MAX(N:N)*$N$1)+(O922/MAX(O:O)*$O$1)+(P922/MAX(P:P)*$P$1)+(Q922/MAX(Q:Q)*$Q$1)+(R922/MAX(R:R)*$R$1)</f>
        <v/>
      </c>
      <c r="D922" s="156">
        <f>IFERROR(VLOOKUP(A922,'Injury Report'!A:F,6,0),"")</f>
        <v/>
      </c>
    </row>
    <row r="923" ht="15.6" customHeight="1" s="152">
      <c r="A923" s="167">
        <f>E923&amp;F923</f>
        <v/>
      </c>
      <c r="B923" s="156">
        <f>IF(D923&lt;&gt;"",C923,0)</f>
        <v/>
      </c>
      <c r="C923" s="156">
        <f>(M923/MAX(M:M)*$M$1)+(N923/MAX(N:N)*$N$1)+(O923/MAX(O:O)*$O$1)+(P923/MAX(P:P)*$P$1)+(Q923/MAX(Q:Q)*$Q$1)+(R923/MAX(R:R)*$R$1)</f>
        <v/>
      </c>
      <c r="D923" s="156">
        <f>IFERROR(VLOOKUP(A923,'Injury Report'!A:F,6,0),"")</f>
        <v/>
      </c>
    </row>
    <row r="924" ht="15.6" customHeight="1" s="152">
      <c r="A924" s="167">
        <f>E924&amp;F924</f>
        <v/>
      </c>
      <c r="B924" s="156">
        <f>IF(D924&lt;&gt;"",C924,0)</f>
        <v/>
      </c>
      <c r="C924" s="156">
        <f>(M924/MAX(M:M)*$M$1)+(N924/MAX(N:N)*$N$1)+(O924/MAX(O:O)*$O$1)+(P924/MAX(P:P)*$P$1)+(Q924/MAX(Q:Q)*$Q$1)+(R924/MAX(R:R)*$R$1)</f>
        <v/>
      </c>
      <c r="D924" s="156">
        <f>IFERROR(VLOOKUP(A924,'Injury Report'!A:F,6,0),"")</f>
        <v/>
      </c>
    </row>
    <row r="925" ht="15.6" customHeight="1" s="152">
      <c r="A925" s="167">
        <f>E925&amp;F925</f>
        <v/>
      </c>
      <c r="B925" s="156">
        <f>IF(D925&lt;&gt;"",C925,0)</f>
        <v/>
      </c>
      <c r="C925" s="156">
        <f>(M925/MAX(M:M)*$M$1)+(N925/MAX(N:N)*$N$1)+(O925/MAX(O:O)*$O$1)+(P925/MAX(P:P)*$P$1)+(Q925/MAX(Q:Q)*$Q$1)+(R925/MAX(R:R)*$R$1)</f>
        <v/>
      </c>
      <c r="D925" s="156">
        <f>IFERROR(VLOOKUP(A925,'Injury Report'!A:F,6,0),"")</f>
        <v/>
      </c>
    </row>
    <row r="926" ht="15.6" customHeight="1" s="152">
      <c r="A926" s="167">
        <f>E926&amp;F926</f>
        <v/>
      </c>
      <c r="B926" s="156">
        <f>IF(D926&lt;&gt;"",C926,0)</f>
        <v/>
      </c>
      <c r="C926" s="156">
        <f>(M926/MAX(M:M)*$M$1)+(N926/MAX(N:N)*$N$1)+(O926/MAX(O:O)*$O$1)+(P926/MAX(P:P)*$P$1)+(Q926/MAX(Q:Q)*$Q$1)+(R926/MAX(R:R)*$R$1)</f>
        <v/>
      </c>
      <c r="D926" s="156">
        <f>IFERROR(VLOOKUP(A926,'Injury Report'!A:F,6,0),"")</f>
        <v/>
      </c>
    </row>
    <row r="927" ht="15.6" customHeight="1" s="152">
      <c r="A927" s="167">
        <f>E927&amp;F927</f>
        <v/>
      </c>
      <c r="B927" s="156">
        <f>IF(D927&lt;&gt;"",C927,0)</f>
        <v/>
      </c>
      <c r="C927" s="156">
        <f>(M927/MAX(M:M)*$M$1)+(N927/MAX(N:N)*$N$1)+(O927/MAX(O:O)*$O$1)+(P927/MAX(P:P)*$P$1)+(Q927/MAX(Q:Q)*$Q$1)+(R927/MAX(R:R)*$R$1)</f>
        <v/>
      </c>
      <c r="D927" s="156">
        <f>IFERROR(VLOOKUP(A927,'Injury Report'!A:F,6,0),"")</f>
        <v/>
      </c>
    </row>
    <row r="928" ht="15.6" customHeight="1" s="152">
      <c r="A928" s="167">
        <f>E928&amp;F928</f>
        <v/>
      </c>
      <c r="B928" s="156">
        <f>IF(D928&lt;&gt;"",C928,0)</f>
        <v/>
      </c>
      <c r="C928" s="156">
        <f>(M928/MAX(M:M)*$M$1)+(N928/MAX(N:N)*$N$1)+(O928/MAX(O:O)*$O$1)+(P928/MAX(P:P)*$P$1)+(Q928/MAX(Q:Q)*$Q$1)+(R928/MAX(R:R)*$R$1)</f>
        <v/>
      </c>
      <c r="D928" s="156">
        <f>IFERROR(VLOOKUP(A928,'Injury Report'!A:F,6,0),"")</f>
        <v/>
      </c>
    </row>
    <row r="929" ht="15.6" customHeight="1" s="152">
      <c r="A929" s="167">
        <f>E929&amp;F929</f>
        <v/>
      </c>
      <c r="B929" s="156">
        <f>IF(D929&lt;&gt;"",C929,0)</f>
        <v/>
      </c>
      <c r="C929" s="156">
        <f>(M929/MAX(M:M)*$M$1)+(N929/MAX(N:N)*$N$1)+(O929/MAX(O:O)*$O$1)+(P929/MAX(P:P)*$P$1)+(Q929/MAX(Q:Q)*$Q$1)+(R929/MAX(R:R)*$R$1)</f>
        <v/>
      </c>
      <c r="D929" s="156">
        <f>IFERROR(VLOOKUP(A929,'Injury Report'!A:F,6,0),"")</f>
        <v/>
      </c>
    </row>
    <row r="930" ht="15.6" customHeight="1" s="152">
      <c r="A930" s="167">
        <f>E930&amp;F930</f>
        <v/>
      </c>
      <c r="B930" s="156">
        <f>IF(D930&lt;&gt;"",C930,0)</f>
        <v/>
      </c>
      <c r="C930" s="156">
        <f>(M930/MAX(M:M)*$M$1)+(N930/MAX(N:N)*$N$1)+(O930/MAX(O:O)*$O$1)+(P930/MAX(P:P)*$P$1)+(Q930/MAX(Q:Q)*$Q$1)+(R930/MAX(R:R)*$R$1)</f>
        <v/>
      </c>
      <c r="D930" s="156">
        <f>IFERROR(VLOOKUP(A930,'Injury Report'!A:F,6,0),"")</f>
        <v/>
      </c>
    </row>
    <row r="931" ht="15.6" customHeight="1" s="152">
      <c r="A931" s="167">
        <f>E931&amp;F931</f>
        <v/>
      </c>
      <c r="B931" s="156">
        <f>IF(D931&lt;&gt;"",C931,0)</f>
        <v/>
      </c>
      <c r="C931" s="156">
        <f>(M931/MAX(M:M)*$M$1)+(N931/MAX(N:N)*$N$1)+(O931/MAX(O:O)*$O$1)+(P931/MAX(P:P)*$P$1)+(Q931/MAX(Q:Q)*$Q$1)+(R931/MAX(R:R)*$R$1)</f>
        <v/>
      </c>
      <c r="D931" s="156">
        <f>IFERROR(VLOOKUP(A931,'Injury Report'!A:F,6,0),"")</f>
        <v/>
      </c>
    </row>
    <row r="932" ht="15.6" customHeight="1" s="152">
      <c r="A932" s="167">
        <f>E932&amp;F932</f>
        <v/>
      </c>
      <c r="B932" s="156">
        <f>IF(D932&lt;&gt;"",C932,0)</f>
        <v/>
      </c>
      <c r="C932" s="156">
        <f>(M932/MAX(M:M)*$M$1)+(N932/MAX(N:N)*$N$1)+(O932/MAX(O:O)*$O$1)+(P932/MAX(P:P)*$P$1)+(Q932/MAX(Q:Q)*$Q$1)+(R932/MAX(R:R)*$R$1)</f>
        <v/>
      </c>
      <c r="D932" s="156">
        <f>IFERROR(VLOOKUP(A932,'Injury Report'!A:F,6,0),"")</f>
        <v/>
      </c>
    </row>
    <row r="933" ht="15.6" customHeight="1" s="152">
      <c r="A933" s="167">
        <f>E933&amp;F933</f>
        <v/>
      </c>
      <c r="B933" s="156">
        <f>IF(D933&lt;&gt;"",C933,0)</f>
        <v/>
      </c>
      <c r="C933" s="156">
        <f>(M933/MAX(M:M)*$M$1)+(N933/MAX(N:N)*$N$1)+(O933/MAX(O:O)*$O$1)+(P933/MAX(P:P)*$P$1)+(Q933/MAX(Q:Q)*$Q$1)+(R933/MAX(R:R)*$R$1)</f>
        <v/>
      </c>
      <c r="D933" s="156">
        <f>IFERROR(VLOOKUP(A933,'Injury Report'!A:F,6,0),"")</f>
        <v/>
      </c>
    </row>
    <row r="934" ht="15.6" customHeight="1" s="152">
      <c r="A934" s="167">
        <f>E934&amp;F934</f>
        <v/>
      </c>
      <c r="B934" s="156">
        <f>IF(D934&lt;&gt;"",C934,0)</f>
        <v/>
      </c>
      <c r="C934" s="156">
        <f>(M934/MAX(M:M)*$M$1)+(N934/MAX(N:N)*$N$1)+(O934/MAX(O:O)*$O$1)+(P934/MAX(P:P)*$P$1)+(Q934/MAX(Q:Q)*$Q$1)+(R934/MAX(R:R)*$R$1)</f>
        <v/>
      </c>
      <c r="D934" s="156">
        <f>IFERROR(VLOOKUP(A934,'Injury Report'!A:F,6,0),"")</f>
        <v/>
      </c>
    </row>
    <row r="935" ht="15.6" customHeight="1" s="152">
      <c r="A935" s="167">
        <f>E935&amp;F935</f>
        <v/>
      </c>
      <c r="B935" s="156">
        <f>IF(D935&lt;&gt;"",C935,0)</f>
        <v/>
      </c>
      <c r="C935" s="156">
        <f>(M935/MAX(M:M)*$M$1)+(N935/MAX(N:N)*$N$1)+(O935/MAX(O:O)*$O$1)+(P935/MAX(P:P)*$P$1)+(Q935/MAX(Q:Q)*$Q$1)+(R935/MAX(R:R)*$R$1)</f>
        <v/>
      </c>
      <c r="D935" s="156">
        <f>IFERROR(VLOOKUP(A935,'Injury Report'!A:F,6,0),"")</f>
        <v/>
      </c>
    </row>
    <row r="936" ht="15.6" customHeight="1" s="152">
      <c r="A936" s="167">
        <f>E936&amp;F936</f>
        <v/>
      </c>
      <c r="B936" s="156">
        <f>IF(D936&lt;&gt;"",C936,0)</f>
        <v/>
      </c>
      <c r="C936" s="156">
        <f>(M936/MAX(M:M)*$M$1)+(N936/MAX(N:N)*$N$1)+(O936/MAX(O:O)*$O$1)+(P936/MAX(P:P)*$P$1)+(Q936/MAX(Q:Q)*$Q$1)+(R936/MAX(R:R)*$R$1)</f>
        <v/>
      </c>
      <c r="D936" s="156">
        <f>IFERROR(VLOOKUP(A936,'Injury Report'!A:F,6,0),"")</f>
        <v/>
      </c>
    </row>
    <row r="937" ht="15.6" customHeight="1" s="152">
      <c r="A937" s="167">
        <f>E937&amp;F937</f>
        <v/>
      </c>
      <c r="B937" s="156">
        <f>IF(D937&lt;&gt;"",C937,0)</f>
        <v/>
      </c>
      <c r="C937" s="156">
        <f>(M937/MAX(M:M)*$M$1)+(N937/MAX(N:N)*$N$1)+(O937/MAX(O:O)*$O$1)+(P937/MAX(P:P)*$P$1)+(Q937/MAX(Q:Q)*$Q$1)+(R937/MAX(R:R)*$R$1)</f>
        <v/>
      </c>
      <c r="D937" s="156">
        <f>IFERROR(VLOOKUP(A937,'Injury Report'!A:F,6,0),"")</f>
        <v/>
      </c>
    </row>
    <row r="938" ht="15.6" customHeight="1" s="152">
      <c r="A938" s="167">
        <f>E938&amp;F938</f>
        <v/>
      </c>
      <c r="B938" s="156">
        <f>IF(D938&lt;&gt;"",C938,0)</f>
        <v/>
      </c>
      <c r="C938" s="156">
        <f>(M938/MAX(M:M)*$M$1)+(N938/MAX(N:N)*$N$1)+(O938/MAX(O:O)*$O$1)+(P938/MAX(P:P)*$P$1)+(Q938/MAX(Q:Q)*$Q$1)+(R938/MAX(R:R)*$R$1)</f>
        <v/>
      </c>
      <c r="D938" s="156">
        <f>IFERROR(VLOOKUP(A938,'Injury Report'!A:F,6,0),"")</f>
        <v/>
      </c>
    </row>
    <row r="939" ht="15.6" customHeight="1" s="152">
      <c r="A939" s="167">
        <f>E939&amp;F939</f>
        <v/>
      </c>
      <c r="B939" s="156">
        <f>IF(D939&lt;&gt;"",C939,0)</f>
        <v/>
      </c>
      <c r="C939" s="156">
        <f>(M939/MAX(M:M)*$M$1)+(N939/MAX(N:N)*$N$1)+(O939/MAX(O:O)*$O$1)+(P939/MAX(P:P)*$P$1)+(Q939/MAX(Q:Q)*$Q$1)+(R939/MAX(R:R)*$R$1)</f>
        <v/>
      </c>
      <c r="D939" s="156">
        <f>IFERROR(VLOOKUP(A939,'Injury Report'!A:F,6,0),"")</f>
        <v/>
      </c>
    </row>
    <row r="940" ht="15.6" customHeight="1" s="152">
      <c r="A940" s="167">
        <f>E940&amp;F940</f>
        <v/>
      </c>
      <c r="B940" s="156">
        <f>IF(D940&lt;&gt;"",C940,0)</f>
        <v/>
      </c>
      <c r="C940" s="156">
        <f>(M940/MAX(M:M)*$M$1)+(N940/MAX(N:N)*$N$1)+(O940/MAX(O:O)*$O$1)+(P940/MAX(P:P)*$P$1)+(Q940/MAX(Q:Q)*$Q$1)+(R940/MAX(R:R)*$R$1)</f>
        <v/>
      </c>
      <c r="D940" s="156">
        <f>IFERROR(VLOOKUP(A940,'Injury Report'!A:F,6,0),"")</f>
        <v/>
      </c>
    </row>
    <row r="941" ht="15.6" customHeight="1" s="152">
      <c r="A941" s="167">
        <f>E941&amp;F941</f>
        <v/>
      </c>
      <c r="B941" s="156">
        <f>IF(D941&lt;&gt;"",C941,0)</f>
        <v/>
      </c>
      <c r="C941" s="156">
        <f>(M941/MAX(M:M)*$M$1)+(N941/MAX(N:N)*$N$1)+(O941/MAX(O:O)*$O$1)+(P941/MAX(P:P)*$P$1)+(Q941/MAX(Q:Q)*$Q$1)+(R941/MAX(R:R)*$R$1)</f>
        <v/>
      </c>
      <c r="D941" s="156">
        <f>IFERROR(VLOOKUP(A941,'Injury Report'!A:F,6,0),"")</f>
        <v/>
      </c>
    </row>
    <row r="942" ht="15.6" customHeight="1" s="152">
      <c r="A942" s="167">
        <f>E942&amp;F942</f>
        <v/>
      </c>
      <c r="B942" s="156">
        <f>IF(D942&lt;&gt;"",C942,0)</f>
        <v/>
      </c>
      <c r="C942" s="156">
        <f>(M942/MAX(M:M)*$M$1)+(N942/MAX(N:N)*$N$1)+(O942/MAX(O:O)*$O$1)+(P942/MAX(P:P)*$P$1)+(Q942/MAX(Q:Q)*$Q$1)+(R942/MAX(R:R)*$R$1)</f>
        <v/>
      </c>
      <c r="D942" s="156">
        <f>IFERROR(VLOOKUP(A942,'Injury Report'!A:F,6,0),"")</f>
        <v/>
      </c>
    </row>
    <row r="943" ht="15.6" customHeight="1" s="152">
      <c r="A943" s="167">
        <f>E943&amp;F943</f>
        <v/>
      </c>
      <c r="B943" s="156">
        <f>IF(D943&lt;&gt;"",C943,0)</f>
        <v/>
      </c>
      <c r="C943" s="156">
        <f>(M943/MAX(M:M)*$M$1)+(N943/MAX(N:N)*$N$1)+(O943/MAX(O:O)*$O$1)+(P943/MAX(P:P)*$P$1)+(Q943/MAX(Q:Q)*$Q$1)+(R943/MAX(R:R)*$R$1)</f>
        <v/>
      </c>
      <c r="D943" s="156">
        <f>IFERROR(VLOOKUP(A943,'Injury Report'!A:F,6,0),"")</f>
        <v/>
      </c>
    </row>
    <row r="944" ht="15.6" customHeight="1" s="152">
      <c r="A944" s="167">
        <f>E944&amp;F944</f>
        <v/>
      </c>
      <c r="B944" s="156">
        <f>IF(D944&lt;&gt;"",C944,0)</f>
        <v/>
      </c>
      <c r="C944" s="156">
        <f>(M944/MAX(M:M)*$M$1)+(N944/MAX(N:N)*$N$1)+(O944/MAX(O:O)*$O$1)+(P944/MAX(P:P)*$P$1)+(Q944/MAX(Q:Q)*$Q$1)+(R944/MAX(R:R)*$R$1)</f>
        <v/>
      </c>
      <c r="D944" s="156">
        <f>IFERROR(VLOOKUP(A944,'Injury Report'!A:F,6,0),"")</f>
        <v/>
      </c>
    </row>
    <row r="945" ht="15.6" customHeight="1" s="152">
      <c r="A945" s="167">
        <f>E945&amp;F945</f>
        <v/>
      </c>
      <c r="B945" s="156">
        <f>IF(D945&lt;&gt;"",C945,0)</f>
        <v/>
      </c>
      <c r="C945" s="156">
        <f>(M945/MAX(M:M)*$M$1)+(N945/MAX(N:N)*$N$1)+(O945/MAX(O:O)*$O$1)+(P945/MAX(P:P)*$P$1)+(Q945/MAX(Q:Q)*$Q$1)+(R945/MAX(R:R)*$R$1)</f>
        <v/>
      </c>
      <c r="D945" s="156">
        <f>IFERROR(VLOOKUP(A945,'Injury Report'!A:F,6,0),"")</f>
        <v/>
      </c>
    </row>
    <row r="946" ht="15.6" customHeight="1" s="152">
      <c r="A946" s="167">
        <f>E946&amp;F946</f>
        <v/>
      </c>
      <c r="B946" s="156">
        <f>IF(D946&lt;&gt;"",C946,0)</f>
        <v/>
      </c>
      <c r="C946" s="156">
        <f>(M946/MAX(M:M)*$M$1)+(N946/MAX(N:N)*$N$1)+(O946/MAX(O:O)*$O$1)+(P946/MAX(P:P)*$P$1)+(Q946/MAX(Q:Q)*$Q$1)+(R946/MAX(R:R)*$R$1)</f>
        <v/>
      </c>
      <c r="D946" s="156">
        <f>IFERROR(VLOOKUP(A946,'Injury Report'!A:F,6,0),"")</f>
        <v/>
      </c>
    </row>
    <row r="947" ht="15.6" customHeight="1" s="152">
      <c r="A947" s="167">
        <f>E947&amp;F947</f>
        <v/>
      </c>
      <c r="B947" s="156">
        <f>IF(D947&lt;&gt;"",C947,0)</f>
        <v/>
      </c>
      <c r="C947" s="156">
        <f>(M947/MAX(M:M)*$M$1)+(N947/MAX(N:N)*$N$1)+(O947/MAX(O:O)*$O$1)+(P947/MAX(P:P)*$P$1)+(Q947/MAX(Q:Q)*$Q$1)+(R947/MAX(R:R)*$R$1)</f>
        <v/>
      </c>
      <c r="D947" s="156">
        <f>IFERROR(VLOOKUP(A947,'Injury Report'!A:F,6,0),"")</f>
        <v/>
      </c>
    </row>
    <row r="948" ht="15.6" customHeight="1" s="152">
      <c r="A948" s="167">
        <f>E948&amp;F948</f>
        <v/>
      </c>
      <c r="B948" s="156">
        <f>IF(D948&lt;&gt;"",C948,0)</f>
        <v/>
      </c>
      <c r="C948" s="156">
        <f>(M948/MAX(M:M)*$M$1)+(N948/MAX(N:N)*$N$1)+(O948/MAX(O:O)*$O$1)+(P948/MAX(P:P)*$P$1)+(Q948/MAX(Q:Q)*$Q$1)+(R948/MAX(R:R)*$R$1)</f>
        <v/>
      </c>
      <c r="D948" s="156">
        <f>IFERROR(VLOOKUP(A948,'Injury Report'!A:F,6,0),"")</f>
        <v/>
      </c>
    </row>
    <row r="949" ht="15.6" customHeight="1" s="152">
      <c r="A949" s="167">
        <f>E949&amp;F949</f>
        <v/>
      </c>
      <c r="B949" s="156">
        <f>IF(D949&lt;&gt;"",C949,0)</f>
        <v/>
      </c>
      <c r="C949" s="156">
        <f>(M949/MAX(M:M)*$M$1)+(N949/MAX(N:N)*$N$1)+(O949/MAX(O:O)*$O$1)+(P949/MAX(P:P)*$P$1)+(Q949/MAX(Q:Q)*$Q$1)+(R949/MAX(R:R)*$R$1)</f>
        <v/>
      </c>
      <c r="D949" s="156">
        <f>IFERROR(VLOOKUP(A949,'Injury Report'!A:F,6,0),"")</f>
        <v/>
      </c>
    </row>
    <row r="950" ht="15.6" customHeight="1" s="152">
      <c r="A950" s="167">
        <f>E950&amp;F950</f>
        <v/>
      </c>
      <c r="B950" s="156">
        <f>IF(D950&lt;&gt;"",C950,0)</f>
        <v/>
      </c>
      <c r="C950" s="156">
        <f>(M950/MAX(M:M)*$M$1)+(N950/MAX(N:N)*$N$1)+(O950/MAX(O:O)*$O$1)+(P950/MAX(P:P)*$P$1)+(Q950/MAX(Q:Q)*$Q$1)+(R950/MAX(R:R)*$R$1)</f>
        <v/>
      </c>
      <c r="D950" s="156">
        <f>IFERROR(VLOOKUP(A950,'Injury Report'!A:F,6,0),"")</f>
        <v/>
      </c>
    </row>
    <row r="951" ht="15.6" customHeight="1" s="152">
      <c r="A951" s="167">
        <f>E951&amp;F951</f>
        <v/>
      </c>
      <c r="B951" s="156">
        <f>IF(D951&lt;&gt;"",C951,0)</f>
        <v/>
      </c>
      <c r="C951" s="156">
        <f>(M951/MAX(M:M)*$M$1)+(N951/MAX(N:N)*$N$1)+(O951/MAX(O:O)*$O$1)+(P951/MAX(P:P)*$P$1)+(Q951/MAX(Q:Q)*$Q$1)+(R951/MAX(R:R)*$R$1)</f>
        <v/>
      </c>
      <c r="D951" s="156">
        <f>IFERROR(VLOOKUP(A951,'Injury Report'!A:F,6,0),"")</f>
        <v/>
      </c>
    </row>
    <row r="952" ht="15.6" customHeight="1" s="152">
      <c r="A952" s="167">
        <f>E952&amp;F952</f>
        <v/>
      </c>
      <c r="B952" s="156">
        <f>IF(D952&lt;&gt;"",C952,0)</f>
        <v/>
      </c>
      <c r="C952" s="156">
        <f>(M952/MAX(M:M)*$M$1)+(N952/MAX(N:N)*$N$1)+(O952/MAX(O:O)*$O$1)+(P952/MAX(P:P)*$P$1)+(Q952/MAX(Q:Q)*$Q$1)+(R952/MAX(R:R)*$R$1)</f>
        <v/>
      </c>
      <c r="D952" s="156">
        <f>IFERROR(VLOOKUP(A952,'Injury Report'!A:F,6,0),"")</f>
        <v/>
      </c>
    </row>
    <row r="953" ht="15.6" customHeight="1" s="152">
      <c r="A953" s="167">
        <f>E953&amp;F953</f>
        <v/>
      </c>
      <c r="B953" s="156">
        <f>IF(D953&lt;&gt;"",C953,0)</f>
        <v/>
      </c>
      <c r="C953" s="156">
        <f>(M953/MAX(M:M)*$M$1)+(N953/MAX(N:N)*$N$1)+(O953/MAX(O:O)*$O$1)+(P953/MAX(P:P)*$P$1)+(Q953/MAX(Q:Q)*$Q$1)+(R953/MAX(R:R)*$R$1)</f>
        <v/>
      </c>
      <c r="D953" s="156">
        <f>IFERROR(VLOOKUP(A953,'Injury Report'!A:F,6,0),"")</f>
        <v/>
      </c>
    </row>
    <row r="954" ht="15.6" customHeight="1" s="152">
      <c r="A954" s="167">
        <f>E954&amp;F954</f>
        <v/>
      </c>
      <c r="B954" s="156">
        <f>IF(D954&lt;&gt;"",C954,0)</f>
        <v/>
      </c>
      <c r="C954" s="156">
        <f>(M954/MAX(M:M)*$M$1)+(N954/MAX(N:N)*$N$1)+(O954/MAX(O:O)*$O$1)+(P954/MAX(P:P)*$P$1)+(Q954/MAX(Q:Q)*$Q$1)+(R954/MAX(R:R)*$R$1)</f>
        <v/>
      </c>
      <c r="D954" s="156">
        <f>IFERROR(VLOOKUP(A954,'Injury Report'!A:F,6,0),"")</f>
        <v/>
      </c>
    </row>
    <row r="955" ht="15.6" customHeight="1" s="152">
      <c r="A955" s="167">
        <f>E955&amp;F955</f>
        <v/>
      </c>
      <c r="B955" s="156">
        <f>IF(D955&lt;&gt;"",C955,0)</f>
        <v/>
      </c>
      <c r="C955" s="156">
        <f>(M955/MAX(M:M)*$M$1)+(N955/MAX(N:N)*$N$1)+(O955/MAX(O:O)*$O$1)+(P955/MAX(P:P)*$P$1)+(Q955/MAX(Q:Q)*$Q$1)+(R955/MAX(R:R)*$R$1)</f>
        <v/>
      </c>
      <c r="D955" s="156">
        <f>IFERROR(VLOOKUP(A955,'Injury Report'!A:F,6,0),"")</f>
        <v/>
      </c>
    </row>
    <row r="956" ht="15.6" customHeight="1" s="152">
      <c r="A956" s="167">
        <f>E956&amp;F956</f>
        <v/>
      </c>
      <c r="B956" s="156">
        <f>IF(D956&lt;&gt;"",C956,0)</f>
        <v/>
      </c>
      <c r="C956" s="156">
        <f>(M956/MAX(M:M)*$M$1)+(N956/MAX(N:N)*$N$1)+(O956/MAX(O:O)*$O$1)+(P956/MAX(P:P)*$P$1)+(Q956/MAX(Q:Q)*$Q$1)+(R956/MAX(R:R)*$R$1)</f>
        <v/>
      </c>
      <c r="D956" s="156">
        <f>IFERROR(VLOOKUP(A956,'Injury Report'!A:F,6,0),"")</f>
        <v/>
      </c>
    </row>
    <row r="957" ht="15.6" customHeight="1" s="152">
      <c r="A957" s="167">
        <f>E957&amp;F957</f>
        <v/>
      </c>
      <c r="B957" s="156">
        <f>IF(D957&lt;&gt;"",C957,0)</f>
        <v/>
      </c>
      <c r="C957" s="156">
        <f>(M957/MAX(M:M)*$M$1)+(N957/MAX(N:N)*$N$1)+(O957/MAX(O:O)*$O$1)+(P957/MAX(P:P)*$P$1)+(Q957/MAX(Q:Q)*$Q$1)+(R957/MAX(R:R)*$R$1)</f>
        <v/>
      </c>
      <c r="D957" s="156">
        <f>IFERROR(VLOOKUP(A957,'Injury Report'!A:F,6,0),"")</f>
        <v/>
      </c>
    </row>
    <row r="958" ht="15.6" customHeight="1" s="152">
      <c r="A958" s="167">
        <f>E958&amp;F958</f>
        <v/>
      </c>
      <c r="B958" s="156">
        <f>IF(D958&lt;&gt;"",C958,0)</f>
        <v/>
      </c>
      <c r="C958" s="156">
        <f>(M958/MAX(M:M)*$M$1)+(N958/MAX(N:N)*$N$1)+(O958/MAX(O:O)*$O$1)+(P958/MAX(P:P)*$P$1)+(Q958/MAX(Q:Q)*$Q$1)+(R958/MAX(R:R)*$R$1)</f>
        <v/>
      </c>
      <c r="D958" s="156">
        <f>IFERROR(VLOOKUP(A958,'Injury Report'!A:F,6,0),"")</f>
        <v/>
      </c>
    </row>
    <row r="959" ht="15.6" customHeight="1" s="152">
      <c r="A959" s="167">
        <f>E959&amp;F959</f>
        <v/>
      </c>
      <c r="B959" s="156">
        <f>IF(D959&lt;&gt;"",C959,0)</f>
        <v/>
      </c>
      <c r="C959" s="156">
        <f>(M959/MAX(M:M)*$M$1)+(N959/MAX(N:N)*$N$1)+(O959/MAX(O:O)*$O$1)+(P959/MAX(P:P)*$P$1)+(Q959/MAX(Q:Q)*$Q$1)+(R959/MAX(R:R)*$R$1)</f>
        <v/>
      </c>
      <c r="D959" s="156">
        <f>IFERROR(VLOOKUP(A959,'Injury Report'!A:F,6,0),"")</f>
        <v/>
      </c>
    </row>
    <row r="960" ht="15.6" customHeight="1" s="152">
      <c r="A960" s="167">
        <f>E960&amp;F960</f>
        <v/>
      </c>
      <c r="B960" s="156">
        <f>IF(D960&lt;&gt;"",C960,0)</f>
        <v/>
      </c>
      <c r="C960" s="156">
        <f>(M960/MAX(M:M)*$M$1)+(N960/MAX(N:N)*$N$1)+(O960/MAX(O:O)*$O$1)+(P960/MAX(P:P)*$P$1)+(Q960/MAX(Q:Q)*$Q$1)+(R960/MAX(R:R)*$R$1)</f>
        <v/>
      </c>
      <c r="D960" s="156">
        <f>IFERROR(VLOOKUP(A960,'Injury Report'!A:F,6,0),"")</f>
        <v/>
      </c>
    </row>
    <row r="961" ht="15.6" customHeight="1" s="152">
      <c r="A961" s="167">
        <f>E961&amp;F961</f>
        <v/>
      </c>
      <c r="B961" s="156">
        <f>IF(D961&lt;&gt;"",C961,0)</f>
        <v/>
      </c>
      <c r="C961" s="156">
        <f>(M961/MAX(M:M)*$M$1)+(N961/MAX(N:N)*$N$1)+(O961/MAX(O:O)*$O$1)+(P961/MAX(P:P)*$P$1)+(Q961/MAX(Q:Q)*$Q$1)+(R961/MAX(R:R)*$R$1)</f>
        <v/>
      </c>
      <c r="D961" s="156">
        <f>IFERROR(VLOOKUP(A961,'Injury Report'!A:F,6,0),"")</f>
        <v/>
      </c>
    </row>
    <row r="962" ht="15.6" customHeight="1" s="152">
      <c r="A962" s="167">
        <f>E962&amp;F962</f>
        <v/>
      </c>
      <c r="B962" s="156">
        <f>IF(D962&lt;&gt;"",C962,0)</f>
        <v/>
      </c>
      <c r="C962" s="156">
        <f>(M962/MAX(M:M)*$M$1)+(N962/MAX(N:N)*$N$1)+(O962/MAX(O:O)*$O$1)+(P962/MAX(P:P)*$P$1)+(Q962/MAX(Q:Q)*$Q$1)+(R962/MAX(R:R)*$R$1)</f>
        <v/>
      </c>
      <c r="D962" s="156">
        <f>IFERROR(VLOOKUP(A962,'Injury Report'!A:F,6,0),"")</f>
        <v/>
      </c>
    </row>
    <row r="963" ht="15.6" customHeight="1" s="152">
      <c r="A963" s="167">
        <f>E963&amp;F963</f>
        <v/>
      </c>
      <c r="B963" s="156">
        <f>IF(D963&lt;&gt;"",C963,0)</f>
        <v/>
      </c>
      <c r="C963" s="156">
        <f>(M963/MAX(M:M)*$M$1)+(N963/MAX(N:N)*$N$1)+(O963/MAX(O:O)*$O$1)+(P963/MAX(P:P)*$P$1)+(Q963/MAX(Q:Q)*$Q$1)+(R963/MAX(R:R)*$R$1)</f>
        <v/>
      </c>
      <c r="D963" s="156">
        <f>IFERROR(VLOOKUP(A963,'Injury Report'!A:F,6,0),"")</f>
        <v/>
      </c>
    </row>
    <row r="964" ht="15.6" customHeight="1" s="152">
      <c r="A964" s="167">
        <f>E964&amp;F964</f>
        <v/>
      </c>
      <c r="B964" s="156">
        <f>IF(D964&lt;&gt;"",C964,0)</f>
        <v/>
      </c>
      <c r="C964" s="156">
        <f>(M964/MAX(M:M)*$M$1)+(N964/MAX(N:N)*$N$1)+(O964/MAX(O:O)*$O$1)+(P964/MAX(P:P)*$P$1)+(Q964/MAX(Q:Q)*$Q$1)+(R964/MAX(R:R)*$R$1)</f>
        <v/>
      </c>
      <c r="D964" s="156">
        <f>IFERROR(VLOOKUP(A964,'Injury Report'!A:F,6,0),"")</f>
        <v/>
      </c>
    </row>
    <row r="965" ht="15.6" customHeight="1" s="152">
      <c r="A965" s="167">
        <f>E965&amp;F965</f>
        <v/>
      </c>
      <c r="B965" s="156">
        <f>IF(D965&lt;&gt;"",C965,0)</f>
        <v/>
      </c>
      <c r="C965" s="156">
        <f>(M965/MAX(M:M)*$M$1)+(N965/MAX(N:N)*$N$1)+(O965/MAX(O:O)*$O$1)+(P965/MAX(P:P)*$P$1)+(Q965/MAX(Q:Q)*$Q$1)+(R965/MAX(R:R)*$R$1)</f>
        <v/>
      </c>
      <c r="D965" s="156">
        <f>IFERROR(VLOOKUP(A965,'Injury Report'!A:F,6,0),"")</f>
        <v/>
      </c>
    </row>
    <row r="966" ht="15.6" customHeight="1" s="152">
      <c r="A966" s="167">
        <f>E966&amp;F966</f>
        <v/>
      </c>
      <c r="B966" s="156">
        <f>IF(D966&lt;&gt;"",C966,0)</f>
        <v/>
      </c>
      <c r="C966" s="156">
        <f>(M966/MAX(M:M)*$M$1)+(N966/MAX(N:N)*$N$1)+(O966/MAX(O:O)*$O$1)+(P966/MAX(P:P)*$P$1)+(Q966/MAX(Q:Q)*$Q$1)+(R966/MAX(R:R)*$R$1)</f>
        <v/>
      </c>
      <c r="D966" s="156">
        <f>IFERROR(VLOOKUP(A966,'Injury Report'!A:F,6,0),"")</f>
        <v/>
      </c>
    </row>
    <row r="967" ht="15.6" customHeight="1" s="152">
      <c r="A967" s="167">
        <f>E967&amp;F967</f>
        <v/>
      </c>
      <c r="B967" s="156">
        <f>IF(D967&lt;&gt;"",C967,0)</f>
        <v/>
      </c>
      <c r="C967" s="156">
        <f>(M967/MAX(M:M)*$M$1)+(N967/MAX(N:N)*$N$1)+(O967/MAX(O:O)*$O$1)+(P967/MAX(P:P)*$P$1)+(Q967/MAX(Q:Q)*$Q$1)+(R967/MAX(R:R)*$R$1)</f>
        <v/>
      </c>
      <c r="D967" s="156">
        <f>IFERROR(VLOOKUP(A967,'Injury Report'!A:F,6,0),"")</f>
        <v/>
      </c>
    </row>
    <row r="968" ht="15.6" customHeight="1" s="152">
      <c r="A968" s="167">
        <f>E968&amp;F968</f>
        <v/>
      </c>
      <c r="B968" s="156">
        <f>IF(D968&lt;&gt;"",C968,0)</f>
        <v/>
      </c>
      <c r="C968" s="156">
        <f>(M968/MAX(M:M)*$M$1)+(N968/MAX(N:N)*$N$1)+(O968/MAX(O:O)*$O$1)+(P968/MAX(P:P)*$P$1)+(Q968/MAX(Q:Q)*$Q$1)+(R968/MAX(R:R)*$R$1)</f>
        <v/>
      </c>
      <c r="D968" s="156">
        <f>IFERROR(VLOOKUP(A968,'Injury Report'!A:F,6,0),"")</f>
        <v/>
      </c>
    </row>
    <row r="969" ht="15.6" customHeight="1" s="152">
      <c r="A969" s="167">
        <f>E969&amp;F969</f>
        <v/>
      </c>
      <c r="B969" s="156">
        <f>IF(D969&lt;&gt;"",C969,0)</f>
        <v/>
      </c>
      <c r="C969" s="156">
        <f>(M969/MAX(M:M)*$M$1)+(N969/MAX(N:N)*$N$1)+(O969/MAX(O:O)*$O$1)+(P969/MAX(P:P)*$P$1)+(Q969/MAX(Q:Q)*$Q$1)+(R969/MAX(R:R)*$R$1)</f>
        <v/>
      </c>
      <c r="D969" s="156">
        <f>IFERROR(VLOOKUP(A969,'Injury Report'!A:F,6,0),"")</f>
        <v/>
      </c>
    </row>
    <row r="970" ht="15.6" customHeight="1" s="152">
      <c r="A970" s="167">
        <f>E970&amp;F970</f>
        <v/>
      </c>
      <c r="B970" s="156">
        <f>IF(D970&lt;&gt;"",C970,0)</f>
        <v/>
      </c>
      <c r="C970" s="156">
        <f>(M970/MAX(M:M)*$M$1)+(N970/MAX(N:N)*$N$1)+(O970/MAX(O:O)*$O$1)+(P970/MAX(P:P)*$P$1)+(Q970/MAX(Q:Q)*$Q$1)+(R970/MAX(R:R)*$R$1)</f>
        <v/>
      </c>
      <c r="D970" s="156">
        <f>IFERROR(VLOOKUP(A970,'Injury Report'!A:F,6,0),"")</f>
        <v/>
      </c>
    </row>
    <row r="971" ht="15.6" customHeight="1" s="152">
      <c r="A971" s="167">
        <f>E971&amp;F971</f>
        <v/>
      </c>
      <c r="B971" s="156">
        <f>IF(D971&lt;&gt;"",C971,0)</f>
        <v/>
      </c>
      <c r="C971" s="156">
        <f>(M971/MAX(M:M)*$M$1)+(N971/MAX(N:N)*$N$1)+(O971/MAX(O:O)*$O$1)+(P971/MAX(P:P)*$P$1)+(Q971/MAX(Q:Q)*$Q$1)+(R971/MAX(R:R)*$R$1)</f>
        <v/>
      </c>
      <c r="D971" s="156">
        <f>IFERROR(VLOOKUP(A971,'Injury Report'!A:F,6,0),"")</f>
        <v/>
      </c>
    </row>
    <row r="972" ht="15.6" customHeight="1" s="152">
      <c r="A972" s="167">
        <f>E972&amp;F972</f>
        <v/>
      </c>
      <c r="B972" s="156">
        <f>IF(D972&lt;&gt;"",C972,0)</f>
        <v/>
      </c>
      <c r="C972" s="156">
        <f>(M972/MAX(M:M)*$M$1)+(N972/MAX(N:N)*$N$1)+(O972/MAX(O:O)*$O$1)+(P972/MAX(P:P)*$P$1)+(Q972/MAX(Q:Q)*$Q$1)+(R972/MAX(R:R)*$R$1)</f>
        <v/>
      </c>
      <c r="D972" s="156">
        <f>IFERROR(VLOOKUP(A972,'Injury Report'!A:F,6,0),"")</f>
        <v/>
      </c>
    </row>
    <row r="973" ht="15.6" customHeight="1" s="152">
      <c r="A973" s="167">
        <f>E973&amp;F973</f>
        <v/>
      </c>
      <c r="B973" s="156">
        <f>IF(D973&lt;&gt;"",C973,0)</f>
        <v/>
      </c>
      <c r="C973" s="156">
        <f>(M973/MAX(M:M)*$M$1)+(N973/MAX(N:N)*$N$1)+(O973/MAX(O:O)*$O$1)+(P973/MAX(P:P)*$P$1)+(Q973/MAX(Q:Q)*$Q$1)+(R973/MAX(R:R)*$R$1)</f>
        <v/>
      </c>
      <c r="D973" s="156">
        <f>IFERROR(VLOOKUP(A973,'Injury Report'!A:F,6,0),"")</f>
        <v/>
      </c>
    </row>
    <row r="974" ht="15.6" customHeight="1" s="152">
      <c r="A974" s="167">
        <f>E974&amp;F974</f>
        <v/>
      </c>
      <c r="B974" s="156">
        <f>IF(D974&lt;&gt;"",C974,0)</f>
        <v/>
      </c>
      <c r="C974" s="156">
        <f>(M974/MAX(M:M)*$M$1)+(N974/MAX(N:N)*$N$1)+(O974/MAX(O:O)*$O$1)+(P974/MAX(P:P)*$P$1)+(Q974/MAX(Q:Q)*$Q$1)+(R974/MAX(R:R)*$R$1)</f>
        <v/>
      </c>
      <c r="D974" s="156">
        <f>IFERROR(VLOOKUP(A974,'Injury Report'!A:F,6,0),"")</f>
        <v/>
      </c>
    </row>
    <row r="975" ht="15.6" customHeight="1" s="152">
      <c r="A975" s="167">
        <f>E975&amp;F975</f>
        <v/>
      </c>
      <c r="B975" s="156">
        <f>IF(D975&lt;&gt;"",C975,0)</f>
        <v/>
      </c>
      <c r="C975" s="156">
        <f>(M975/MAX(M:M)*$M$1)+(N975/MAX(N:N)*$N$1)+(O975/MAX(O:O)*$O$1)+(P975/MAX(P:P)*$P$1)+(Q975/MAX(Q:Q)*$Q$1)+(R975/MAX(R:R)*$R$1)</f>
        <v/>
      </c>
      <c r="D975" s="156">
        <f>IFERROR(VLOOKUP(A975,'Injury Report'!A:F,6,0),"")</f>
        <v/>
      </c>
    </row>
    <row r="976" ht="15.6" customHeight="1" s="152">
      <c r="A976" s="167">
        <f>E976&amp;F976</f>
        <v/>
      </c>
      <c r="B976" s="156">
        <f>IF(D976&lt;&gt;"",C976,0)</f>
        <v/>
      </c>
      <c r="C976" s="156">
        <f>(M976/MAX(M:M)*$M$1)+(N976/MAX(N:N)*$N$1)+(O976/MAX(O:O)*$O$1)+(P976/MAX(P:P)*$P$1)+(Q976/MAX(Q:Q)*$Q$1)+(R976/MAX(R:R)*$R$1)</f>
        <v/>
      </c>
      <c r="D976" s="156">
        <f>IFERROR(VLOOKUP(A976,'Injury Report'!A:F,6,0),"")</f>
        <v/>
      </c>
    </row>
    <row r="977" ht="15.6" customHeight="1" s="152">
      <c r="A977" s="167">
        <f>E977&amp;F977</f>
        <v/>
      </c>
      <c r="B977" s="156">
        <f>IF(D977&lt;&gt;"",C977,0)</f>
        <v/>
      </c>
      <c r="C977" s="156">
        <f>(M977/MAX(M:M)*$M$1)+(N977/MAX(N:N)*$N$1)+(O977/MAX(O:O)*$O$1)+(P977/MAX(P:P)*$P$1)+(Q977/MAX(Q:Q)*$Q$1)+(R977/MAX(R:R)*$R$1)</f>
        <v/>
      </c>
      <c r="D977" s="156">
        <f>IFERROR(VLOOKUP(A977,'Injury Report'!A:F,6,0),"")</f>
        <v/>
      </c>
    </row>
    <row r="978" ht="15.6" customHeight="1" s="152">
      <c r="A978" s="167">
        <f>E978&amp;F978</f>
        <v/>
      </c>
      <c r="B978" s="156">
        <f>IF(D978&lt;&gt;"",C978,0)</f>
        <v/>
      </c>
      <c r="C978" s="156">
        <f>(M978/MAX(M:M)*$M$1)+(N978/MAX(N:N)*$N$1)+(O978/MAX(O:O)*$O$1)+(P978/MAX(P:P)*$P$1)+(Q978/MAX(Q:Q)*$Q$1)+(R978/MAX(R:R)*$R$1)</f>
        <v/>
      </c>
      <c r="D978" s="156">
        <f>IFERROR(VLOOKUP(A978,'Injury Report'!A:F,6,0),"")</f>
        <v/>
      </c>
    </row>
    <row r="979" ht="15.6" customHeight="1" s="152">
      <c r="A979" s="167">
        <f>E979&amp;F979</f>
        <v/>
      </c>
      <c r="B979" s="156">
        <f>IF(D979&lt;&gt;"",C979,0)</f>
        <v/>
      </c>
      <c r="C979" s="156">
        <f>(M979/MAX(M:M)*$M$1)+(N979/MAX(N:N)*$N$1)+(O979/MAX(O:O)*$O$1)+(P979/MAX(P:P)*$P$1)+(Q979/MAX(Q:Q)*$Q$1)+(R979/MAX(R:R)*$R$1)</f>
        <v/>
      </c>
      <c r="D979" s="156">
        <f>IFERROR(VLOOKUP(A979,'Injury Report'!A:F,6,0),"")</f>
        <v/>
      </c>
    </row>
    <row r="980" ht="15.6" customHeight="1" s="152">
      <c r="A980" s="167">
        <f>E980&amp;F980</f>
        <v/>
      </c>
      <c r="B980" s="156">
        <f>IF(D980&lt;&gt;"",C980,0)</f>
        <v/>
      </c>
      <c r="C980" s="156">
        <f>(M980/MAX(M:M)*$M$1)+(N980/MAX(N:N)*$N$1)+(O980/MAX(O:O)*$O$1)+(P980/MAX(P:P)*$P$1)+(Q980/MAX(Q:Q)*$Q$1)+(R980/MAX(R:R)*$R$1)</f>
        <v/>
      </c>
      <c r="D980" s="156">
        <f>IFERROR(VLOOKUP(A980,'Injury Report'!A:F,6,0),"")</f>
        <v/>
      </c>
    </row>
    <row r="981" ht="15.6" customHeight="1" s="152">
      <c r="A981" s="167">
        <f>E981&amp;F981</f>
        <v/>
      </c>
      <c r="B981" s="156">
        <f>IF(D981&lt;&gt;"",C981,0)</f>
        <v/>
      </c>
      <c r="C981" s="156">
        <f>(M981/MAX(M:M)*$M$1)+(N981/MAX(N:N)*$N$1)+(O981/MAX(O:O)*$O$1)+(P981/MAX(P:P)*$P$1)+(Q981/MAX(Q:Q)*$Q$1)+(R981/MAX(R:R)*$R$1)</f>
        <v/>
      </c>
      <c r="D981" s="156">
        <f>IFERROR(VLOOKUP(A981,'Injury Report'!A:F,6,0),"")</f>
        <v/>
      </c>
    </row>
    <row r="982" ht="15.6" customHeight="1" s="152">
      <c r="A982" s="167">
        <f>E982&amp;F982</f>
        <v/>
      </c>
      <c r="B982" s="156">
        <f>IF(D982&lt;&gt;"",C982,0)</f>
        <v/>
      </c>
      <c r="C982" s="156">
        <f>(M982/MAX(M:M)*$M$1)+(N982/MAX(N:N)*$N$1)+(O982/MAX(O:O)*$O$1)+(P982/MAX(P:P)*$P$1)+(Q982/MAX(Q:Q)*$Q$1)+(R982/MAX(R:R)*$R$1)</f>
        <v/>
      </c>
      <c r="D982" s="156">
        <f>IFERROR(VLOOKUP(A982,'Injury Report'!A:F,6,0),"")</f>
        <v/>
      </c>
    </row>
    <row r="983" ht="15.6" customHeight="1" s="152">
      <c r="A983" s="167">
        <f>E983&amp;F983</f>
        <v/>
      </c>
      <c r="B983" s="156">
        <f>IF(D983&lt;&gt;"",C983,0)</f>
        <v/>
      </c>
      <c r="C983" s="156">
        <f>(M983/MAX(M:M)*$M$1)+(N983/MAX(N:N)*$N$1)+(O983/MAX(O:O)*$O$1)+(P983/MAX(P:P)*$P$1)+(Q983/MAX(Q:Q)*$Q$1)+(R983/MAX(R:R)*$R$1)</f>
        <v/>
      </c>
      <c r="D983" s="156">
        <f>IFERROR(VLOOKUP(A983,'Injury Report'!A:F,6,0),"")</f>
        <v/>
      </c>
    </row>
    <row r="984" ht="15.6" customHeight="1" s="152">
      <c r="A984" s="167">
        <f>E984&amp;F984</f>
        <v/>
      </c>
      <c r="B984" s="156">
        <f>IF(D984&lt;&gt;"",C984,0)</f>
        <v/>
      </c>
      <c r="C984" s="156">
        <f>(M984/MAX(M:M)*$M$1)+(N984/MAX(N:N)*$N$1)+(O984/MAX(O:O)*$O$1)+(P984/MAX(P:P)*$P$1)+(Q984/MAX(Q:Q)*$Q$1)+(R984/MAX(R:R)*$R$1)</f>
        <v/>
      </c>
      <c r="D984" s="156">
        <f>IFERROR(VLOOKUP(A984,'Injury Report'!A:F,6,0),"")</f>
        <v/>
      </c>
    </row>
    <row r="985" ht="15.6" customHeight="1" s="152">
      <c r="A985" s="167">
        <f>E985&amp;F985</f>
        <v/>
      </c>
      <c r="B985" s="156">
        <f>IF(D985&lt;&gt;"",C985,0)</f>
        <v/>
      </c>
      <c r="C985" s="156">
        <f>(M985/MAX(M:M)*$M$1)+(N985/MAX(N:N)*$N$1)+(O985/MAX(O:O)*$O$1)+(P985/MAX(P:P)*$P$1)+(Q985/MAX(Q:Q)*$Q$1)+(R985/MAX(R:R)*$R$1)</f>
        <v/>
      </c>
      <c r="D985" s="156">
        <f>IFERROR(VLOOKUP(A985,'Injury Report'!A:F,6,0),"")</f>
        <v/>
      </c>
    </row>
    <row r="986" ht="15.6" customHeight="1" s="152">
      <c r="A986" s="167">
        <f>E986&amp;F986</f>
        <v/>
      </c>
      <c r="B986" s="156">
        <f>IF(D986&lt;&gt;"",C986,0)</f>
        <v/>
      </c>
      <c r="C986" s="156">
        <f>(M986/MAX(M:M)*$M$1)+(N986/MAX(N:N)*$N$1)+(O986/MAX(O:O)*$O$1)+(P986/MAX(P:P)*$P$1)+(Q986/MAX(Q:Q)*$Q$1)+(R986/MAX(R:R)*$R$1)</f>
        <v/>
      </c>
      <c r="D986" s="156">
        <f>IFERROR(VLOOKUP(A986,'Injury Report'!A:F,6,0),"")</f>
        <v/>
      </c>
    </row>
    <row r="987" ht="15.6" customHeight="1" s="152">
      <c r="A987" s="167">
        <f>E987&amp;F987</f>
        <v/>
      </c>
      <c r="B987" s="156">
        <f>IF(D987&lt;&gt;"",C987,0)</f>
        <v/>
      </c>
      <c r="C987" s="156">
        <f>(M987/MAX(M:M)*$M$1)+(N987/MAX(N:N)*$N$1)+(O987/MAX(O:O)*$O$1)+(P987/MAX(P:P)*$P$1)+(Q987/MAX(Q:Q)*$Q$1)+(R987/MAX(R:R)*$R$1)</f>
        <v/>
      </c>
      <c r="D987" s="156">
        <f>IFERROR(VLOOKUP(A987,'Injury Report'!A:F,6,0),"")</f>
        <v/>
      </c>
    </row>
    <row r="988" ht="15.6" customHeight="1" s="152">
      <c r="A988" s="167">
        <f>E988&amp;F988</f>
        <v/>
      </c>
      <c r="B988" s="156">
        <f>IF(D988&lt;&gt;"",C988,0)</f>
        <v/>
      </c>
      <c r="C988" s="156">
        <f>(M988/MAX(M:M)*$M$1)+(N988/MAX(N:N)*$N$1)+(O988/MAX(O:O)*$O$1)+(P988/MAX(P:P)*$P$1)+(Q988/MAX(Q:Q)*$Q$1)+(R988/MAX(R:R)*$R$1)</f>
        <v/>
      </c>
      <c r="D988" s="156">
        <f>IFERROR(VLOOKUP(A988,'Injury Report'!A:F,6,0),"")</f>
        <v/>
      </c>
    </row>
    <row r="989" ht="15.6" customHeight="1" s="152">
      <c r="A989" s="167">
        <f>E989&amp;F989</f>
        <v/>
      </c>
      <c r="B989" s="156">
        <f>IF(D989&lt;&gt;"",C989,0)</f>
        <v/>
      </c>
      <c r="C989" s="156">
        <f>(M989/MAX(M:M)*$M$1)+(N989/MAX(N:N)*$N$1)+(O989/MAX(O:O)*$O$1)+(P989/MAX(P:P)*$P$1)+(Q989/MAX(Q:Q)*$Q$1)+(R989/MAX(R:R)*$R$1)</f>
        <v/>
      </c>
      <c r="D989" s="156">
        <f>IFERROR(VLOOKUP(A989,'Injury Report'!A:F,6,0),"")</f>
        <v/>
      </c>
    </row>
    <row r="990" ht="15.6" customHeight="1" s="152">
      <c r="A990" s="167">
        <f>E990&amp;F990</f>
        <v/>
      </c>
      <c r="B990" s="156">
        <f>IF(D990&lt;&gt;"",C990,0)</f>
        <v/>
      </c>
      <c r="C990" s="156">
        <f>(M990/MAX(M:M)*$M$1)+(N990/MAX(N:N)*$N$1)+(O990/MAX(O:O)*$O$1)+(P990/MAX(P:P)*$P$1)+(Q990/MAX(Q:Q)*$Q$1)+(R990/MAX(R:R)*$R$1)</f>
        <v/>
      </c>
      <c r="D990" s="156">
        <f>IFERROR(VLOOKUP(A990,'Injury Report'!A:F,6,0),"")</f>
        <v/>
      </c>
    </row>
    <row r="991" ht="15.6" customHeight="1" s="152">
      <c r="A991" s="167">
        <f>E991&amp;F991</f>
        <v/>
      </c>
      <c r="B991" s="156">
        <f>IF(D991&lt;&gt;"",C991,0)</f>
        <v/>
      </c>
      <c r="C991" s="156">
        <f>(M991/MAX(M:M)*$M$1)+(N991/MAX(N:N)*$N$1)+(O991/MAX(O:O)*$O$1)+(P991/MAX(P:P)*$P$1)+(Q991/MAX(Q:Q)*$Q$1)+(R991/MAX(R:R)*$R$1)</f>
        <v/>
      </c>
      <c r="D991" s="156">
        <f>IFERROR(VLOOKUP(A991,'Injury Report'!A:F,6,0),"")</f>
        <v/>
      </c>
    </row>
    <row r="992" ht="15.6" customHeight="1" s="152">
      <c r="A992" s="167">
        <f>E992&amp;F992</f>
        <v/>
      </c>
      <c r="B992" s="156">
        <f>IF(D992&lt;&gt;"",C992,0)</f>
        <v/>
      </c>
      <c r="C992" s="156">
        <f>(M992/MAX(M:M)*$M$1)+(N992/MAX(N:N)*$N$1)+(O992/MAX(O:O)*$O$1)+(P992/MAX(P:P)*$P$1)+(Q992/MAX(Q:Q)*$Q$1)+(R992/MAX(R:R)*$R$1)</f>
        <v/>
      </c>
      <c r="D992" s="156">
        <f>IFERROR(VLOOKUP(A992,'Injury Report'!A:F,6,0),"")</f>
        <v/>
      </c>
    </row>
    <row r="993" ht="15.6" customHeight="1" s="152">
      <c r="A993" s="167">
        <f>E993&amp;F993</f>
        <v/>
      </c>
      <c r="B993" s="156">
        <f>IF(D993&lt;&gt;"",C993,0)</f>
        <v/>
      </c>
      <c r="C993" s="156">
        <f>(M993/MAX(M:M)*$M$1)+(N993/MAX(N:N)*$N$1)+(O993/MAX(O:O)*$O$1)+(P993/MAX(P:P)*$P$1)+(Q993/MAX(Q:Q)*$Q$1)+(R993/MAX(R:R)*$R$1)</f>
        <v/>
      </c>
      <c r="D993" s="156">
        <f>IFERROR(VLOOKUP(A993,'Injury Report'!A:F,6,0),"")</f>
        <v/>
      </c>
    </row>
    <row r="994" ht="15.6" customHeight="1" s="152">
      <c r="A994" s="167">
        <f>E994&amp;F994</f>
        <v/>
      </c>
      <c r="B994" s="156">
        <f>IF(D994&lt;&gt;"",C994,0)</f>
        <v/>
      </c>
      <c r="C994" s="156">
        <f>(M994/MAX(M:M)*$M$1)+(N994/MAX(N:N)*$N$1)+(O994/MAX(O:O)*$O$1)+(P994/MAX(P:P)*$P$1)+(Q994/MAX(Q:Q)*$Q$1)+(R994/MAX(R:R)*$R$1)</f>
        <v/>
      </c>
      <c r="D994" s="156">
        <f>IFERROR(VLOOKUP(A994,'Injury Report'!A:F,6,0),"")</f>
        <v/>
      </c>
    </row>
    <row r="995" ht="15.6" customHeight="1" s="152">
      <c r="A995" s="167">
        <f>E995&amp;F995</f>
        <v/>
      </c>
      <c r="B995" s="156">
        <f>IF(D995&lt;&gt;"",C995,0)</f>
        <v/>
      </c>
      <c r="C995" s="156">
        <f>(M995/MAX(M:M)*$M$1)+(N995/MAX(N:N)*$N$1)+(O995/MAX(O:O)*$O$1)+(P995/MAX(P:P)*$P$1)+(Q995/MAX(Q:Q)*$Q$1)+(R995/MAX(R:R)*$R$1)</f>
        <v/>
      </c>
      <c r="D995" s="156">
        <f>IFERROR(VLOOKUP(A995,'Injury Report'!A:F,6,0),"")</f>
        <v/>
      </c>
    </row>
    <row r="996" ht="15.6" customHeight="1" s="152">
      <c r="A996" s="167">
        <f>E996&amp;F996</f>
        <v/>
      </c>
      <c r="B996" s="156">
        <f>IF(D996&lt;&gt;"",C996,0)</f>
        <v/>
      </c>
      <c r="C996" s="156">
        <f>(M996/MAX(M:M)*$M$1)+(N996/MAX(N:N)*$N$1)+(O996/MAX(O:O)*$O$1)+(P996/MAX(P:P)*$P$1)+(Q996/MAX(Q:Q)*$Q$1)+(R996/MAX(R:R)*$R$1)</f>
        <v/>
      </c>
      <c r="D996" s="156">
        <f>IFERROR(VLOOKUP(A996,'Injury Report'!A:F,6,0),"")</f>
        <v/>
      </c>
    </row>
    <row r="997" ht="15.6" customHeight="1" s="152">
      <c r="A997" s="167">
        <f>E997&amp;F997</f>
        <v/>
      </c>
      <c r="B997" s="156">
        <f>IF(D997&lt;&gt;"",C997,0)</f>
        <v/>
      </c>
      <c r="C997" s="156">
        <f>(M997/MAX(M:M)*$M$1)+(N997/MAX(N:N)*$N$1)+(O997/MAX(O:O)*$O$1)+(P997/MAX(P:P)*$P$1)+(Q997/MAX(Q:Q)*$Q$1)+(R997/MAX(R:R)*$R$1)</f>
        <v/>
      </c>
      <c r="D997" s="156">
        <f>IFERROR(VLOOKUP(A997,'Injury Report'!A:F,6,0),"")</f>
        <v/>
      </c>
    </row>
    <row r="998" ht="15.6" customHeight="1" s="152">
      <c r="A998" s="167">
        <f>E998&amp;F998</f>
        <v/>
      </c>
      <c r="B998" s="156">
        <f>IF(D998&lt;&gt;"",C998,0)</f>
        <v/>
      </c>
      <c r="C998" s="156">
        <f>(M998/MAX(M:M)*$M$1)+(N998/MAX(N:N)*$N$1)+(O998/MAX(O:O)*$O$1)+(P998/MAX(P:P)*$P$1)+(Q998/MAX(Q:Q)*$Q$1)+(R998/MAX(R:R)*$R$1)</f>
        <v/>
      </c>
      <c r="D998" s="156">
        <f>IFERROR(VLOOKUP(A998,'Injury Report'!A:F,6,0),"")</f>
        <v/>
      </c>
    </row>
    <row r="999" ht="15.6" customHeight="1" s="152">
      <c r="A999" s="167">
        <f>E999&amp;F999</f>
        <v/>
      </c>
      <c r="B999" s="156">
        <f>IF(D999&lt;&gt;"",C999,0)</f>
        <v/>
      </c>
      <c r="C999" s="156">
        <f>(M999/MAX(M:M)*$M$1)+(N999/MAX(N:N)*$N$1)+(O999/MAX(O:O)*$O$1)+(P999/MAX(P:P)*$P$1)+(Q999/MAX(Q:Q)*$Q$1)+(R999/MAX(R:R)*$R$1)</f>
        <v/>
      </c>
      <c r="D999" s="156">
        <f>IFERROR(VLOOKUP(A999,'Injury Report'!A:F,6,0),"")</f>
        <v/>
      </c>
    </row>
    <row r="1000" ht="15.6" customHeight="1" s="152">
      <c r="A1000" s="167">
        <f>E1000&amp;F1000</f>
        <v/>
      </c>
      <c r="B1000" s="156">
        <f>IF(D1000&lt;&gt;"",C1000,0)</f>
        <v/>
      </c>
      <c r="C1000" s="156">
        <f>(M1000/MAX(M:M)*$M$1)+(N1000/MAX(N:N)*$N$1)+(O1000/MAX(O:O)*$O$1)+(P1000/MAX(P:P)*$P$1)+(Q1000/MAX(Q:Q)*$Q$1)+(R1000/MAX(R:R)*$R$1)</f>
        <v/>
      </c>
      <c r="D1000" s="156">
        <f>IFERROR(VLOOKUP(A1000,'Injury Report'!A:F,6,0),"")</f>
        <v/>
      </c>
    </row>
    <row r="1001" ht="15.6" customHeight="1" s="152">
      <c r="A1001" s="167">
        <f>E1001&amp;F1001</f>
        <v/>
      </c>
      <c r="B1001" s="156">
        <f>IF(D1001&lt;&gt;"",C1001,0)</f>
        <v/>
      </c>
      <c r="C1001" s="156">
        <f>(M1001/MAX(M:M)*$M$1)+(N1001/MAX(N:N)*$N$1)+(O1001/MAX(O:O)*$O$1)+(P1001/MAX(P:P)*$P$1)+(Q1001/MAX(Q:Q)*$Q$1)+(R1001/MAX(R:R)*$R$1)</f>
        <v/>
      </c>
      <c r="D1001" s="156">
        <f>IFERROR(VLOOKUP(A1001,'Injury Report'!A:F,6,0),"")</f>
        <v/>
      </c>
    </row>
    <row r="1002" ht="15.6" customHeight="1" s="152">
      <c r="A1002" s="167">
        <f>E1002&amp;F1002</f>
        <v/>
      </c>
      <c r="B1002" s="156">
        <f>IF(D1002&lt;&gt;"",C1002,0)</f>
        <v/>
      </c>
      <c r="C1002" s="156">
        <f>(M1002/MAX(M:M)*$M$1)+(N1002/MAX(N:N)*$N$1)+(O1002/MAX(O:O)*$O$1)+(P1002/MAX(P:P)*$P$1)+(Q1002/MAX(Q:Q)*$Q$1)+(R1002/MAX(R:R)*$R$1)</f>
        <v/>
      </c>
      <c r="D1002" s="156">
        <f>IFERROR(VLOOKUP(A1002,'Injury Report'!A:F,6,0),"")</f>
        <v/>
      </c>
    </row>
    <row r="1003" ht="15.6" customHeight="1" s="152">
      <c r="A1003" s="167">
        <f>E1003&amp;F1003</f>
        <v/>
      </c>
      <c r="B1003" s="156">
        <f>IF(D1003&lt;&gt;"",C1003,0)</f>
        <v/>
      </c>
      <c r="C1003" s="156">
        <f>(M1003/MAX(M:M)*$M$1)+(N1003/MAX(N:N)*$N$1)+(O1003/MAX(O:O)*$O$1)+(P1003/MAX(P:P)*$P$1)+(Q1003/MAX(Q:Q)*$Q$1)+(R1003/MAX(R:R)*$R$1)</f>
        <v/>
      </c>
      <c r="D1003" s="156">
        <f>IFERROR(VLOOKUP(A1003,'Injury Report'!A:F,6,0),"")</f>
        <v/>
      </c>
    </row>
    <row r="1004" ht="15.6" customHeight="1" s="152">
      <c r="A1004" s="167">
        <f>E1004&amp;F1004</f>
        <v/>
      </c>
      <c r="B1004" s="156">
        <f>IF(D1004&lt;&gt;"",C1004,0)</f>
        <v/>
      </c>
      <c r="C1004" s="156">
        <f>(M1004/MAX(M:M)*$M$1)+(N1004/MAX(N:N)*$N$1)+(O1004/MAX(O:O)*$O$1)+(P1004/MAX(P:P)*$P$1)+(Q1004/MAX(Q:Q)*$Q$1)+(R1004/MAX(R:R)*$R$1)</f>
        <v/>
      </c>
      <c r="D1004" s="156">
        <f>IFERROR(VLOOKUP(A1004,'Injury Report'!A:F,6,0),"")</f>
        <v/>
      </c>
    </row>
    <row r="1005" ht="15.6" customHeight="1" s="152">
      <c r="A1005" s="167">
        <f>E1005&amp;F1005</f>
        <v/>
      </c>
      <c r="B1005" s="156">
        <f>IF(D1005&lt;&gt;"",C1005,0)</f>
        <v/>
      </c>
      <c r="C1005" s="156">
        <f>(M1005/MAX(M:M)*$M$1)+(N1005/MAX(N:N)*$N$1)+(O1005/MAX(O:O)*$O$1)+(P1005/MAX(P:P)*$P$1)+(Q1005/MAX(Q:Q)*$Q$1)+(R1005/MAX(R:R)*$R$1)</f>
        <v/>
      </c>
      <c r="D1005" s="156">
        <f>IFERROR(VLOOKUP(A1005,'Injury Report'!A:F,6,0),"")</f>
        <v/>
      </c>
    </row>
    <row r="1006" ht="15.6" customHeight="1" s="152">
      <c r="A1006" s="167">
        <f>E1006&amp;F1006</f>
        <v/>
      </c>
      <c r="B1006" s="156">
        <f>IF(D1006&lt;&gt;"",C1006,0)</f>
        <v/>
      </c>
      <c r="C1006" s="156">
        <f>(M1006/MAX(M:M)*$M$1)+(N1006/MAX(N:N)*$N$1)+(O1006/MAX(O:O)*$O$1)+(P1006/MAX(P:P)*$P$1)+(Q1006/MAX(Q:Q)*$Q$1)+(R1006/MAX(R:R)*$R$1)</f>
        <v/>
      </c>
      <c r="D1006" s="156">
        <f>IFERROR(VLOOKUP(A1006,'Injury Report'!A:F,6,0),"")</f>
        <v/>
      </c>
    </row>
    <row r="1007" ht="15.6" customHeight="1" s="152">
      <c r="A1007" s="167">
        <f>E1007&amp;F1007</f>
        <v/>
      </c>
      <c r="B1007" s="156">
        <f>IF(D1007&lt;&gt;"",C1007,0)</f>
        <v/>
      </c>
      <c r="C1007" s="156">
        <f>(M1007/MAX(M:M)*$M$1)+(N1007/MAX(N:N)*$N$1)+(O1007/MAX(O:O)*$O$1)+(P1007/MAX(P:P)*$P$1)+(Q1007/MAX(Q:Q)*$Q$1)+(R1007/MAX(R:R)*$R$1)</f>
        <v/>
      </c>
      <c r="D1007" s="156">
        <f>IFERROR(VLOOKUP(A1007,'Injury Report'!A:F,6,0),"")</f>
        <v/>
      </c>
    </row>
    <row r="1008" ht="15.6" customHeight="1" s="152">
      <c r="A1008" s="167">
        <f>E1008&amp;F1008</f>
        <v/>
      </c>
      <c r="B1008" s="156">
        <f>IF(D1008&lt;&gt;"",C1008,0)</f>
        <v/>
      </c>
      <c r="C1008" s="156">
        <f>(M1008/MAX(M:M)*$M$1)+(N1008/MAX(N:N)*$N$1)+(O1008/MAX(O:O)*$O$1)+(P1008/MAX(P:P)*$P$1)+(Q1008/MAX(Q:Q)*$Q$1)+(R1008/MAX(R:R)*$R$1)</f>
        <v/>
      </c>
      <c r="D1008" s="156">
        <f>IFERROR(VLOOKUP(A1008,'Injury Report'!A:F,6,0),"")</f>
        <v/>
      </c>
    </row>
    <row r="1009" ht="15.6" customHeight="1" s="152">
      <c r="A1009" s="167">
        <f>E1009&amp;F1009</f>
        <v/>
      </c>
      <c r="B1009" s="156">
        <f>IF(D1009&lt;&gt;"",C1009,0)</f>
        <v/>
      </c>
      <c r="C1009" s="156">
        <f>(M1009/MAX(M:M)*$M$1)+(N1009/MAX(N:N)*$N$1)+(O1009/MAX(O:O)*$O$1)+(P1009/MAX(P:P)*$P$1)+(Q1009/MAX(Q:Q)*$Q$1)+(R1009/MAX(R:R)*$R$1)</f>
        <v/>
      </c>
      <c r="D1009" s="156">
        <f>IFERROR(VLOOKUP(A1009,'Injury Report'!A:F,6,0),"")</f>
        <v/>
      </c>
    </row>
    <row r="1010" ht="15.6" customHeight="1" s="152">
      <c r="A1010" s="167">
        <f>E1010&amp;F1010</f>
        <v/>
      </c>
      <c r="B1010" s="156">
        <f>IF(D1010&lt;&gt;"",C1010,0)</f>
        <v/>
      </c>
      <c r="C1010" s="156">
        <f>(M1010/MAX(M:M)*$M$1)+(N1010/MAX(N:N)*$N$1)+(O1010/MAX(O:O)*$O$1)+(P1010/MAX(P:P)*$P$1)+(Q1010/MAX(Q:Q)*$Q$1)+(R1010/MAX(R:R)*$R$1)</f>
        <v/>
      </c>
      <c r="D1010" s="156">
        <f>IFERROR(VLOOKUP(A1010,'Injury Report'!A:F,6,0),"")</f>
        <v/>
      </c>
    </row>
    <row r="1011" ht="15.6" customHeight="1" s="152">
      <c r="A1011" s="167">
        <f>E1011&amp;F1011</f>
        <v/>
      </c>
      <c r="B1011" s="156">
        <f>IF(D1011&lt;&gt;"",C1011,0)</f>
        <v/>
      </c>
      <c r="C1011" s="156">
        <f>(M1011/MAX(M:M)*$M$1)+(N1011/MAX(N:N)*$N$1)+(O1011/MAX(O:O)*$O$1)+(P1011/MAX(P:P)*$P$1)+(Q1011/MAX(Q:Q)*$Q$1)+(R1011/MAX(R:R)*$R$1)</f>
        <v/>
      </c>
      <c r="D1011" s="156">
        <f>IFERROR(VLOOKUP(A1011,'Injury Report'!A:F,6,0),"")</f>
        <v/>
      </c>
    </row>
    <row r="1012" ht="15.6" customHeight="1" s="152">
      <c r="A1012" s="167">
        <f>E1012&amp;F1012</f>
        <v/>
      </c>
      <c r="B1012" s="156">
        <f>IF(D1012&lt;&gt;"",C1012,0)</f>
        <v/>
      </c>
      <c r="C1012" s="156">
        <f>(M1012/MAX(M:M)*$M$1)+(N1012/MAX(N:N)*$N$1)+(O1012/MAX(O:O)*$O$1)+(P1012/MAX(P:P)*$P$1)+(Q1012/MAX(Q:Q)*$Q$1)+(R1012/MAX(R:R)*$R$1)</f>
        <v/>
      </c>
      <c r="D1012" s="156">
        <f>IFERROR(VLOOKUP(A1012,'Injury Report'!A:F,6,0),"")</f>
        <v/>
      </c>
    </row>
    <row r="1013" ht="15.6" customHeight="1" s="152">
      <c r="A1013" s="167">
        <f>E1013&amp;F1013</f>
        <v/>
      </c>
      <c r="B1013" s="156">
        <f>IF(D1013&lt;&gt;"",C1013,0)</f>
        <v/>
      </c>
      <c r="C1013" s="156">
        <f>(M1013/MAX(M:M)*$M$1)+(N1013/MAX(N:N)*$N$1)+(O1013/MAX(O:O)*$O$1)+(P1013/MAX(P:P)*$P$1)+(Q1013/MAX(Q:Q)*$Q$1)+(R1013/MAX(R:R)*$R$1)</f>
        <v/>
      </c>
      <c r="D1013" s="156">
        <f>IFERROR(VLOOKUP(A1013,'Injury Report'!A:F,6,0),"")</f>
        <v/>
      </c>
    </row>
    <row r="1014" ht="15.6" customHeight="1" s="152">
      <c r="A1014" s="167">
        <f>E1014&amp;F1014</f>
        <v/>
      </c>
      <c r="B1014" s="156">
        <f>IF(D1014&lt;&gt;"",C1014,0)</f>
        <v/>
      </c>
      <c r="C1014" s="156">
        <f>(M1014/MAX(M:M)*$M$1)+(N1014/MAX(N:N)*$N$1)+(O1014/MAX(O:O)*$O$1)+(P1014/MAX(P:P)*$P$1)+(Q1014/MAX(Q:Q)*$Q$1)+(R1014/MAX(R:R)*$R$1)</f>
        <v/>
      </c>
      <c r="D1014" s="156">
        <f>IFERROR(VLOOKUP(A1014,'Injury Report'!A:F,6,0),"")</f>
        <v/>
      </c>
    </row>
    <row r="1015" ht="15.6" customHeight="1" s="152">
      <c r="A1015" s="167">
        <f>E1015&amp;F1015</f>
        <v/>
      </c>
      <c r="B1015" s="156">
        <f>IF(D1015&lt;&gt;"",C1015,0)</f>
        <v/>
      </c>
      <c r="C1015" s="156">
        <f>(M1015/MAX(M:M)*$M$1)+(N1015/MAX(N:N)*$N$1)+(O1015/MAX(O:O)*$O$1)+(P1015/MAX(P:P)*$P$1)+(Q1015/MAX(Q:Q)*$Q$1)+(R1015/MAX(R:R)*$R$1)</f>
        <v/>
      </c>
      <c r="D1015" s="156">
        <f>IFERROR(VLOOKUP(A1015,'Injury Report'!A:F,6,0),"")</f>
        <v/>
      </c>
    </row>
    <row r="1016" ht="15.6" customHeight="1" s="152">
      <c r="A1016" s="167">
        <f>E1016&amp;F1016</f>
        <v/>
      </c>
      <c r="B1016" s="156">
        <f>IF(D1016&lt;&gt;"",C1016,0)</f>
        <v/>
      </c>
      <c r="C1016" s="156">
        <f>(M1016/MAX(M:M)*$M$1)+(N1016/MAX(N:N)*$N$1)+(O1016/MAX(O:O)*$O$1)+(P1016/MAX(P:P)*$P$1)+(Q1016/MAX(Q:Q)*$Q$1)+(R1016/MAX(R:R)*$R$1)</f>
        <v/>
      </c>
      <c r="D1016" s="156">
        <f>IFERROR(VLOOKUP(A1016,'Injury Report'!A:F,6,0),"")</f>
        <v/>
      </c>
    </row>
    <row r="1017" ht="15.6" customHeight="1" s="152">
      <c r="A1017" s="167">
        <f>E1017&amp;F1017</f>
        <v/>
      </c>
      <c r="B1017" s="156">
        <f>IF(D1017&lt;&gt;"",C1017,0)</f>
        <v/>
      </c>
      <c r="C1017" s="156">
        <f>(M1017/MAX(M:M)*$M$1)+(N1017/MAX(N:N)*$N$1)+(O1017/MAX(O:O)*$O$1)+(P1017/MAX(P:P)*$P$1)+(Q1017/MAX(Q:Q)*$Q$1)+(R1017/MAX(R:R)*$R$1)</f>
        <v/>
      </c>
      <c r="D1017" s="156">
        <f>IFERROR(VLOOKUP(A1017,'Injury Report'!A:F,6,0),"")</f>
        <v/>
      </c>
    </row>
    <row r="1018" ht="15.6" customHeight="1" s="152">
      <c r="A1018" s="167">
        <f>E1018&amp;F1018</f>
        <v/>
      </c>
      <c r="B1018" s="156">
        <f>IF(D1018&lt;&gt;"",C1018,0)</f>
        <v/>
      </c>
      <c r="C1018" s="156">
        <f>(M1018/MAX(M:M)*$M$1)+(N1018/MAX(N:N)*$N$1)+(O1018/MAX(O:O)*$O$1)+(P1018/MAX(P:P)*$P$1)+(Q1018/MAX(Q:Q)*$Q$1)+(R1018/MAX(R:R)*$R$1)</f>
        <v/>
      </c>
      <c r="D1018" s="156">
        <f>IFERROR(VLOOKUP(A1018,'Injury Report'!A:F,6,0),"")</f>
        <v/>
      </c>
    </row>
    <row r="1019" ht="15.6" customHeight="1" s="152">
      <c r="A1019" s="167">
        <f>E1019&amp;F1019</f>
        <v/>
      </c>
      <c r="B1019" s="156">
        <f>IF(D1019&lt;&gt;"",C1019,0)</f>
        <v/>
      </c>
      <c r="C1019" s="156">
        <f>(M1019/MAX(M:M)*$M$1)+(N1019/MAX(N:N)*$N$1)+(O1019/MAX(O:O)*$O$1)+(P1019/MAX(P:P)*$P$1)+(Q1019/MAX(Q:Q)*$Q$1)+(R1019/MAX(R:R)*$R$1)</f>
        <v/>
      </c>
      <c r="D1019" s="156">
        <f>IFERROR(VLOOKUP(A1019,'Injury Report'!A:F,6,0),"")</f>
        <v/>
      </c>
    </row>
    <row r="1020" ht="15.6" customHeight="1" s="152">
      <c r="A1020" s="167">
        <f>E1020&amp;F1020</f>
        <v/>
      </c>
      <c r="B1020" s="156">
        <f>IF(D1020&lt;&gt;"",C1020,0)</f>
        <v/>
      </c>
      <c r="C1020" s="156">
        <f>(M1020/MAX(M:M)*$M$1)+(N1020/MAX(N:N)*$N$1)+(O1020/MAX(O:O)*$O$1)+(P1020/MAX(P:P)*$P$1)+(Q1020/MAX(Q:Q)*$Q$1)+(R1020/MAX(R:R)*$R$1)</f>
        <v/>
      </c>
      <c r="D1020" s="156">
        <f>IFERROR(VLOOKUP(A1020,'Injury Report'!A:F,6,0),"")</f>
        <v/>
      </c>
    </row>
    <row r="1021" ht="15.6" customHeight="1" s="152">
      <c r="A1021" s="167">
        <f>E1021&amp;F1021</f>
        <v/>
      </c>
      <c r="B1021" s="156">
        <f>IF(D1021&lt;&gt;"",C1021,0)</f>
        <v/>
      </c>
      <c r="C1021" s="156">
        <f>(M1021/MAX(M:M)*$M$1)+(N1021/MAX(N:N)*$N$1)+(O1021/MAX(O:O)*$O$1)+(P1021/MAX(P:P)*$P$1)+(Q1021/MAX(Q:Q)*$Q$1)+(R1021/MAX(R:R)*$R$1)</f>
        <v/>
      </c>
      <c r="D1021" s="156">
        <f>IFERROR(VLOOKUP(A1021,'Injury Report'!A:F,6,0),"")</f>
        <v/>
      </c>
    </row>
    <row r="1022" ht="15.6" customHeight="1" s="152">
      <c r="A1022" s="167">
        <f>E1022&amp;F1022</f>
        <v/>
      </c>
      <c r="B1022" s="156">
        <f>IF(D1022&lt;&gt;"",C1022,0)</f>
        <v/>
      </c>
      <c r="C1022" s="156">
        <f>(M1022/MAX(M:M)*$M$1)+(N1022/MAX(N:N)*$N$1)+(O1022/MAX(O:O)*$O$1)+(P1022/MAX(P:P)*$P$1)+(Q1022/MAX(Q:Q)*$Q$1)+(R1022/MAX(R:R)*$R$1)</f>
        <v/>
      </c>
      <c r="D1022" s="156">
        <f>IFERROR(VLOOKUP(A1022,'Injury Report'!A:F,6,0),"")</f>
        <v/>
      </c>
    </row>
    <row r="1023" ht="15.6" customHeight="1" s="152">
      <c r="A1023" s="167">
        <f>E1023&amp;F1023</f>
        <v/>
      </c>
      <c r="B1023" s="156">
        <f>IF(D1023&lt;&gt;"",C1023,0)</f>
        <v/>
      </c>
      <c r="C1023" s="156">
        <f>(M1023/MAX(M:M)*$M$1)+(N1023/MAX(N:N)*$N$1)+(O1023/MAX(O:O)*$O$1)+(P1023/MAX(P:P)*$P$1)+(Q1023/MAX(Q:Q)*$Q$1)+(R1023/MAX(R:R)*$R$1)</f>
        <v/>
      </c>
      <c r="D1023" s="156">
        <f>IFERROR(VLOOKUP(A1023,'Injury Report'!A:F,6,0),"")</f>
        <v/>
      </c>
    </row>
    <row r="1024" ht="15.6" customHeight="1" s="152">
      <c r="A1024" s="167">
        <f>E1024&amp;F1024</f>
        <v/>
      </c>
      <c r="B1024" s="156">
        <f>IF(D1024&lt;&gt;"",C1024,0)</f>
        <v/>
      </c>
      <c r="C1024" s="156">
        <f>(M1024/MAX(M:M)*$M$1)+(N1024/MAX(N:N)*$N$1)+(O1024/MAX(O:O)*$O$1)+(P1024/MAX(P:P)*$P$1)+(Q1024/MAX(Q:Q)*$Q$1)+(R1024/MAX(R:R)*$R$1)</f>
        <v/>
      </c>
      <c r="D1024" s="156">
        <f>IFERROR(VLOOKUP(A1024,'Injury Report'!A:F,6,0),"")</f>
        <v/>
      </c>
    </row>
    <row r="1025" ht="15.6" customHeight="1" s="152">
      <c r="A1025" s="167">
        <f>E1025&amp;F1025</f>
        <v/>
      </c>
      <c r="B1025" s="156">
        <f>IF(D1025&lt;&gt;"",C1025,0)</f>
        <v/>
      </c>
      <c r="C1025" s="156">
        <f>(M1025/MAX(M:M)*$M$1)+(N1025/MAX(N:N)*$N$1)+(O1025/MAX(O:O)*$O$1)+(P1025/MAX(P:P)*$P$1)+(Q1025/MAX(Q:Q)*$Q$1)+(R1025/MAX(R:R)*$R$1)</f>
        <v/>
      </c>
      <c r="D1025" s="156">
        <f>IFERROR(VLOOKUP(A1025,'Injury Report'!A:F,6,0),"")</f>
        <v/>
      </c>
    </row>
    <row r="1026" ht="15.6" customHeight="1" s="152">
      <c r="A1026" s="167">
        <f>E1026&amp;F1026</f>
        <v/>
      </c>
      <c r="B1026" s="156">
        <f>IF(D1026&lt;&gt;"",C1026,0)</f>
        <v/>
      </c>
      <c r="C1026" s="156">
        <f>(M1026/MAX(M:M)*$M$1)+(N1026/MAX(N:N)*$N$1)+(O1026/MAX(O:O)*$O$1)+(P1026/MAX(P:P)*$P$1)+(Q1026/MAX(Q:Q)*$Q$1)+(R1026/MAX(R:R)*$R$1)</f>
        <v/>
      </c>
      <c r="D1026" s="156">
        <f>IFERROR(VLOOKUP(A1026,'Injury Report'!A:F,6,0),"")</f>
        <v/>
      </c>
    </row>
    <row r="1027" ht="15.6" customHeight="1" s="152">
      <c r="A1027" s="167">
        <f>E1027&amp;F1027</f>
        <v/>
      </c>
      <c r="B1027" s="156">
        <f>IF(D1027&lt;&gt;"",C1027,0)</f>
        <v/>
      </c>
      <c r="C1027" s="156">
        <f>(M1027/MAX(M:M)*$M$1)+(N1027/MAX(N:N)*$N$1)+(O1027/MAX(O:O)*$O$1)+(P1027/MAX(P:P)*$P$1)+(Q1027/MAX(Q:Q)*$Q$1)+(R1027/MAX(R:R)*$R$1)</f>
        <v/>
      </c>
      <c r="D1027" s="156">
        <f>IFERROR(VLOOKUP(A1027,'Injury Report'!A:F,6,0),"")</f>
        <v/>
      </c>
    </row>
    <row r="1028" ht="15.6" customHeight="1" s="152">
      <c r="A1028" s="167">
        <f>E1028&amp;F1028</f>
        <v/>
      </c>
      <c r="B1028" s="156">
        <f>IF(D1028&lt;&gt;"",C1028,0)</f>
        <v/>
      </c>
      <c r="C1028" s="156">
        <f>(M1028/MAX(M:M)*$M$1)+(N1028/MAX(N:N)*$N$1)+(O1028/MAX(O:O)*$O$1)+(P1028/MAX(P:P)*$P$1)+(Q1028/MAX(Q:Q)*$Q$1)+(R1028/MAX(R:R)*$R$1)</f>
        <v/>
      </c>
      <c r="D1028" s="156">
        <f>IFERROR(VLOOKUP(A1028,'Injury Report'!A:F,6,0),"")</f>
        <v/>
      </c>
    </row>
    <row r="1029" ht="15.6" customHeight="1" s="152">
      <c r="A1029" s="167">
        <f>E1029&amp;F1029</f>
        <v/>
      </c>
      <c r="B1029" s="156">
        <f>IF(D1029&lt;&gt;"",C1029,0)</f>
        <v/>
      </c>
      <c r="C1029" s="156">
        <f>(M1029/MAX(M:M)*$M$1)+(N1029/MAX(N:N)*$N$1)+(O1029/MAX(O:O)*$O$1)+(P1029/MAX(P:P)*$P$1)+(Q1029/MAX(Q:Q)*$Q$1)+(R1029/MAX(R:R)*$R$1)</f>
        <v/>
      </c>
      <c r="D1029" s="156">
        <f>IFERROR(VLOOKUP(A1029,'Injury Report'!A:F,6,0),"")</f>
        <v/>
      </c>
    </row>
    <row r="1030" ht="15.6" customHeight="1" s="152">
      <c r="A1030" s="167">
        <f>E1030&amp;F1030</f>
        <v/>
      </c>
      <c r="B1030" s="156">
        <f>IF(D1030&lt;&gt;"",C1030,0)</f>
        <v/>
      </c>
      <c r="C1030" s="156">
        <f>(M1030/MAX(M:M)*$M$1)+(N1030/MAX(N:N)*$N$1)+(O1030/MAX(O:O)*$O$1)+(P1030/MAX(P:P)*$P$1)+(Q1030/MAX(Q:Q)*$Q$1)+(R1030/MAX(R:R)*$R$1)</f>
        <v/>
      </c>
      <c r="D1030" s="156">
        <f>IFERROR(VLOOKUP(A1030,'Injury Report'!A:F,6,0),"")</f>
        <v/>
      </c>
    </row>
    <row r="1031" ht="15.6" customHeight="1" s="152">
      <c r="A1031" s="167">
        <f>E1031&amp;F1031</f>
        <v/>
      </c>
      <c r="B1031" s="156">
        <f>IF(D1031&lt;&gt;"",C1031,0)</f>
        <v/>
      </c>
      <c r="C1031" s="156">
        <f>(M1031/MAX(M:M)*$M$1)+(N1031/MAX(N:N)*$N$1)+(O1031/MAX(O:O)*$O$1)+(P1031/MAX(P:P)*$P$1)+(Q1031/MAX(Q:Q)*$Q$1)+(R1031/MAX(R:R)*$R$1)</f>
        <v/>
      </c>
      <c r="D1031" s="156">
        <f>IFERROR(VLOOKUP(A1031,'Injury Report'!A:F,6,0),"")</f>
        <v/>
      </c>
    </row>
    <row r="1032" ht="15.6" customHeight="1" s="152">
      <c r="A1032" s="167">
        <f>E1032&amp;F1032</f>
        <v/>
      </c>
      <c r="B1032" s="156">
        <f>IF(D1032&lt;&gt;"",C1032,0)</f>
        <v/>
      </c>
      <c r="C1032" s="156">
        <f>(M1032/MAX(M:M)*$M$1)+(N1032/MAX(N:N)*$N$1)+(O1032/MAX(O:O)*$O$1)+(P1032/MAX(P:P)*$P$1)+(Q1032/MAX(Q:Q)*$Q$1)+(R1032/MAX(R:R)*$R$1)</f>
        <v/>
      </c>
      <c r="D1032" s="156">
        <f>IFERROR(VLOOKUP(A1032,'Injury Report'!A:F,6,0),"")</f>
        <v/>
      </c>
    </row>
    <row r="1033" ht="15.6" customHeight="1" s="152">
      <c r="A1033" s="167">
        <f>E1033&amp;F1033</f>
        <v/>
      </c>
      <c r="B1033" s="156">
        <f>IF(D1033&lt;&gt;"",C1033,0)</f>
        <v/>
      </c>
      <c r="C1033" s="156">
        <f>(M1033/MAX(M:M)*$M$1)+(N1033/MAX(N:N)*$N$1)+(O1033/MAX(O:O)*$O$1)+(P1033/MAX(P:P)*$P$1)+(Q1033/MAX(Q:Q)*$Q$1)+(R1033/MAX(R:R)*$R$1)</f>
        <v/>
      </c>
      <c r="D1033" s="156">
        <f>IFERROR(VLOOKUP(A1033,'Injury Report'!A:F,6,0),"")</f>
        <v/>
      </c>
    </row>
    <row r="1034" ht="15.6" customHeight="1" s="152">
      <c r="A1034" s="167">
        <f>E1034&amp;F1034</f>
        <v/>
      </c>
      <c r="B1034" s="156">
        <f>IF(D1034&lt;&gt;"",C1034,0)</f>
        <v/>
      </c>
      <c r="C1034" s="156">
        <f>(M1034/MAX(M:M)*$M$1)+(N1034/MAX(N:N)*$N$1)+(O1034/MAX(O:O)*$O$1)+(P1034/MAX(P:P)*$P$1)+(Q1034/MAX(Q:Q)*$Q$1)+(R1034/MAX(R:R)*$R$1)</f>
        <v/>
      </c>
      <c r="D1034" s="156">
        <f>IFERROR(VLOOKUP(A1034,'Injury Report'!A:F,6,0),"")</f>
        <v/>
      </c>
    </row>
    <row r="1035" ht="15.6" customHeight="1" s="152">
      <c r="A1035" s="167">
        <f>E1035&amp;F1035</f>
        <v/>
      </c>
      <c r="B1035" s="156">
        <f>IF(D1035&lt;&gt;"",C1035,0)</f>
        <v/>
      </c>
      <c r="C1035" s="156">
        <f>(M1035/MAX(M:M)*$M$1)+(N1035/MAX(N:N)*$N$1)+(O1035/MAX(O:O)*$O$1)+(P1035/MAX(P:P)*$P$1)+(Q1035/MAX(Q:Q)*$Q$1)+(R1035/MAX(R:R)*$R$1)</f>
        <v/>
      </c>
      <c r="D1035" s="156">
        <f>IFERROR(VLOOKUP(A1035,'Injury Report'!A:F,6,0),"")</f>
        <v/>
      </c>
    </row>
    <row r="1036" ht="15.6" customHeight="1" s="152">
      <c r="A1036" s="167">
        <f>E1036&amp;F1036</f>
        <v/>
      </c>
      <c r="B1036" s="156">
        <f>IF(D1036&lt;&gt;"",C1036,0)</f>
        <v/>
      </c>
      <c r="C1036" s="156">
        <f>(M1036/MAX(M:M)*$M$1)+(N1036/MAX(N:N)*$N$1)+(O1036/MAX(O:O)*$O$1)+(P1036/MAX(P:P)*$P$1)+(Q1036/MAX(Q:Q)*$Q$1)+(R1036/MAX(R:R)*$R$1)</f>
        <v/>
      </c>
      <c r="D1036" s="156">
        <f>IFERROR(VLOOKUP(A1036,'Injury Report'!A:F,6,0),"")</f>
        <v/>
      </c>
    </row>
    <row r="1037" ht="15.6" customHeight="1" s="152">
      <c r="A1037" s="167">
        <f>E1037&amp;F1037</f>
        <v/>
      </c>
      <c r="B1037" s="156">
        <f>IF(D1037&lt;&gt;"",C1037,0)</f>
        <v/>
      </c>
      <c r="C1037" s="156">
        <f>(M1037/MAX(M:M)*$M$1)+(N1037/MAX(N:N)*$N$1)+(O1037/MAX(O:O)*$O$1)+(P1037/MAX(P:P)*$P$1)+(Q1037/MAX(Q:Q)*$Q$1)+(R1037/MAX(R:R)*$R$1)</f>
        <v/>
      </c>
      <c r="D1037" s="156">
        <f>IFERROR(VLOOKUP(A1037,'Injury Report'!A:F,6,0),"")</f>
        <v/>
      </c>
    </row>
    <row r="1038" ht="15.6" customHeight="1" s="152">
      <c r="A1038" s="167">
        <f>E1038&amp;F1038</f>
        <v/>
      </c>
      <c r="B1038" s="156">
        <f>IF(D1038&lt;&gt;"",C1038,0)</f>
        <v/>
      </c>
      <c r="C1038" s="156">
        <f>(M1038/MAX(M:M)*$M$1)+(N1038/MAX(N:N)*$N$1)+(O1038/MAX(O:O)*$O$1)+(P1038/MAX(P:P)*$P$1)+(Q1038/MAX(Q:Q)*$Q$1)+(R1038/MAX(R:R)*$R$1)</f>
        <v/>
      </c>
      <c r="D1038" s="156">
        <f>IFERROR(VLOOKUP(A1038,'Injury Report'!A:F,6,0),"")</f>
        <v/>
      </c>
    </row>
    <row r="1039" ht="15.6" customHeight="1" s="152">
      <c r="A1039" s="167">
        <f>E1039&amp;F1039</f>
        <v/>
      </c>
      <c r="B1039" s="156">
        <f>IF(D1039&lt;&gt;"",C1039,0)</f>
        <v/>
      </c>
      <c r="C1039" s="156">
        <f>(M1039/MAX(M:M)*$M$1)+(N1039/MAX(N:N)*$N$1)+(O1039/MAX(O:O)*$O$1)+(P1039/MAX(P:P)*$P$1)+(Q1039/MAX(Q:Q)*$Q$1)+(R1039/MAX(R:R)*$R$1)</f>
        <v/>
      </c>
      <c r="D1039" s="156">
        <f>IFERROR(VLOOKUP(A1039,'Injury Report'!A:F,6,0),"")</f>
        <v/>
      </c>
    </row>
    <row r="1040" ht="15.6" customHeight="1" s="152">
      <c r="A1040" s="167">
        <f>E1040&amp;F1040</f>
        <v/>
      </c>
      <c r="B1040" s="156">
        <f>IF(D1040&lt;&gt;"",C1040,0)</f>
        <v/>
      </c>
      <c r="C1040" s="156">
        <f>(M1040/MAX(M:M)*$M$1)+(N1040/MAX(N:N)*$N$1)+(O1040/MAX(O:O)*$O$1)+(P1040/MAX(P:P)*$P$1)+(Q1040/MAX(Q:Q)*$Q$1)+(R1040/MAX(R:R)*$R$1)</f>
        <v/>
      </c>
      <c r="D1040" s="156">
        <f>IFERROR(VLOOKUP(A1040,'Injury Report'!A:F,6,0),"")</f>
        <v/>
      </c>
    </row>
    <row r="1041" ht="15.6" customHeight="1" s="152">
      <c r="A1041" s="167">
        <f>E1041&amp;F1041</f>
        <v/>
      </c>
      <c r="B1041" s="156">
        <f>IF(D1041&lt;&gt;"",C1041,0)</f>
        <v/>
      </c>
      <c r="C1041" s="156">
        <f>(M1041/MAX(M:M)*$M$1)+(N1041/MAX(N:N)*$N$1)+(O1041/MAX(O:O)*$O$1)+(P1041/MAX(P:P)*$P$1)+(Q1041/MAX(Q:Q)*$Q$1)+(R1041/MAX(R:R)*$R$1)</f>
        <v/>
      </c>
      <c r="D1041" s="156">
        <f>IFERROR(VLOOKUP(A1041,'Injury Report'!A:F,6,0),"")</f>
        <v/>
      </c>
    </row>
    <row r="1042" ht="15.6" customHeight="1" s="152">
      <c r="A1042" s="167">
        <f>E1042&amp;F1042</f>
        <v/>
      </c>
      <c r="B1042" s="156">
        <f>IF(D1042&lt;&gt;"",C1042,0)</f>
        <v/>
      </c>
      <c r="C1042" s="156">
        <f>(M1042/MAX(M:M)*$M$1)+(N1042/MAX(N:N)*$N$1)+(O1042/MAX(O:O)*$O$1)+(P1042/MAX(P:P)*$P$1)+(Q1042/MAX(Q:Q)*$Q$1)+(R1042/MAX(R:R)*$R$1)</f>
        <v/>
      </c>
      <c r="D1042" s="156">
        <f>IFERROR(VLOOKUP(A1042,'Injury Report'!A:F,6,0),"")</f>
        <v/>
      </c>
    </row>
    <row r="1043" ht="15.6" customHeight="1" s="152">
      <c r="A1043" s="167">
        <f>E1043&amp;F1043</f>
        <v/>
      </c>
      <c r="B1043" s="156">
        <f>IF(D1043&lt;&gt;"",C1043,0)</f>
        <v/>
      </c>
      <c r="C1043" s="156">
        <f>(M1043/MAX(M:M)*$M$1)+(N1043/MAX(N:N)*$N$1)+(O1043/MAX(O:O)*$O$1)+(P1043/MAX(P:P)*$P$1)+(Q1043/MAX(Q:Q)*$Q$1)+(R1043/MAX(R:R)*$R$1)</f>
        <v/>
      </c>
      <c r="D1043" s="156">
        <f>IFERROR(VLOOKUP(A1043,'Injury Report'!A:F,6,0),"")</f>
        <v/>
      </c>
    </row>
    <row r="1044" ht="15.6" customHeight="1" s="152">
      <c r="A1044" s="167">
        <f>E1044&amp;F1044</f>
        <v/>
      </c>
      <c r="B1044" s="156">
        <f>IF(D1044&lt;&gt;"",C1044,0)</f>
        <v/>
      </c>
      <c r="C1044" s="156">
        <f>(M1044/MAX(M:M)*$M$1)+(N1044/MAX(N:N)*$N$1)+(O1044/MAX(O:O)*$O$1)+(P1044/MAX(P:P)*$P$1)+(Q1044/MAX(Q:Q)*$Q$1)+(R1044/MAX(R:R)*$R$1)</f>
        <v/>
      </c>
      <c r="D1044" s="156">
        <f>IFERROR(VLOOKUP(A1044,'Injury Report'!A:F,6,0),"")</f>
        <v/>
      </c>
    </row>
    <row r="1045" ht="15.6" customHeight="1" s="152">
      <c r="A1045" s="167">
        <f>E1045&amp;F1045</f>
        <v/>
      </c>
      <c r="B1045" s="156">
        <f>IF(D1045&lt;&gt;"",C1045,0)</f>
        <v/>
      </c>
      <c r="C1045" s="156">
        <f>(M1045/MAX(M:M)*$M$1)+(N1045/MAX(N:N)*$N$1)+(O1045/MAX(O:O)*$O$1)+(P1045/MAX(P:P)*$P$1)+(Q1045/MAX(Q:Q)*$Q$1)+(R1045/MAX(R:R)*$R$1)</f>
        <v/>
      </c>
      <c r="D1045" s="156">
        <f>IFERROR(VLOOKUP(A1045,'Injury Report'!A:F,6,0),"")</f>
        <v/>
      </c>
    </row>
    <row r="1046" ht="15.6" customHeight="1" s="152">
      <c r="A1046" s="167">
        <f>E1046&amp;F1046</f>
        <v/>
      </c>
      <c r="B1046" s="156">
        <f>IF(D1046&lt;&gt;"",C1046,0)</f>
        <v/>
      </c>
      <c r="C1046" s="156">
        <f>(M1046/MAX(M:M)*$M$1)+(N1046/MAX(N:N)*$N$1)+(O1046/MAX(O:O)*$O$1)+(P1046/MAX(P:P)*$P$1)+(Q1046/MAX(Q:Q)*$Q$1)+(R1046/MAX(R:R)*$R$1)</f>
        <v/>
      </c>
      <c r="D1046" s="156">
        <f>IFERROR(VLOOKUP(A1046,'Injury Report'!A:F,6,0),"")</f>
        <v/>
      </c>
    </row>
    <row r="1047" ht="15.6" customHeight="1" s="152">
      <c r="A1047" s="167">
        <f>E1047&amp;F1047</f>
        <v/>
      </c>
      <c r="B1047" s="156">
        <f>IF(D1047&lt;&gt;"",C1047,0)</f>
        <v/>
      </c>
      <c r="C1047" s="156">
        <f>(M1047/MAX(M:M)*$M$1)+(N1047/MAX(N:N)*$N$1)+(O1047/MAX(O:O)*$O$1)+(P1047/MAX(P:P)*$P$1)+(Q1047/MAX(Q:Q)*$Q$1)+(R1047/MAX(R:R)*$R$1)</f>
        <v/>
      </c>
      <c r="D1047" s="156">
        <f>IFERROR(VLOOKUP(A1047,'Injury Report'!A:F,6,0),"")</f>
        <v/>
      </c>
    </row>
    <row r="1048" ht="15.6" customHeight="1" s="152">
      <c r="A1048" s="167">
        <f>E1048&amp;F1048</f>
        <v/>
      </c>
      <c r="B1048" s="156">
        <f>IF(D1048&lt;&gt;"",C1048,0)</f>
        <v/>
      </c>
      <c r="C1048" s="156">
        <f>(M1048/MAX(M:M)*$M$1)+(N1048/MAX(N:N)*$N$1)+(O1048/MAX(O:O)*$O$1)+(P1048/MAX(P:P)*$P$1)+(Q1048/MAX(Q:Q)*$Q$1)+(R1048/MAX(R:R)*$R$1)</f>
        <v/>
      </c>
      <c r="D1048" s="156">
        <f>IFERROR(VLOOKUP(A1048,'Injury Report'!A:F,6,0),"")</f>
        <v/>
      </c>
    </row>
    <row r="1049" ht="15.6" customHeight="1" s="152">
      <c r="A1049" s="167">
        <f>E1049&amp;F1049</f>
        <v/>
      </c>
      <c r="B1049" s="156">
        <f>IF(D1049&lt;&gt;"",C1049,0)</f>
        <v/>
      </c>
      <c r="C1049" s="156">
        <f>(M1049/MAX(M:M)*$M$1)+(N1049/MAX(N:N)*$N$1)+(O1049/MAX(O:O)*$O$1)+(P1049/MAX(P:P)*$P$1)+(Q1049/MAX(Q:Q)*$Q$1)+(R1049/MAX(R:R)*$R$1)</f>
        <v/>
      </c>
      <c r="D1049" s="156">
        <f>IFERROR(VLOOKUP(A1049,'Injury Report'!A:F,6,0),"")</f>
        <v/>
      </c>
    </row>
    <row r="1050" ht="15.6" customHeight="1" s="152">
      <c r="A1050" s="167">
        <f>E1050&amp;F1050</f>
        <v/>
      </c>
      <c r="B1050" s="156">
        <f>IF(D1050&lt;&gt;"",C1050,0)</f>
        <v/>
      </c>
      <c r="C1050" s="156">
        <f>(M1050/MAX(M:M)*$M$1)+(N1050/MAX(N:N)*$N$1)+(O1050/MAX(O:O)*$O$1)+(P1050/MAX(P:P)*$P$1)+(Q1050/MAX(Q:Q)*$Q$1)+(R1050/MAX(R:R)*$R$1)</f>
        <v/>
      </c>
      <c r="D1050" s="156">
        <f>IFERROR(VLOOKUP(A1050,'Injury Report'!A:F,6,0),"")</f>
        <v/>
      </c>
    </row>
    <row r="1051" ht="15.6" customHeight="1" s="152">
      <c r="A1051" s="167">
        <f>E1051&amp;F1051</f>
        <v/>
      </c>
      <c r="B1051" s="156">
        <f>IF(D1051&lt;&gt;"",C1051,0)</f>
        <v/>
      </c>
      <c r="C1051" s="156">
        <f>(M1051/MAX(M:M)*$M$1)+(N1051/MAX(N:N)*$N$1)+(O1051/MAX(O:O)*$O$1)+(P1051/MAX(P:P)*$P$1)+(Q1051/MAX(Q:Q)*$Q$1)+(R1051/MAX(R:R)*$R$1)</f>
        <v/>
      </c>
      <c r="D1051" s="156">
        <f>IFERROR(VLOOKUP(A1051,'Injury Report'!A:F,6,0),"")</f>
        <v/>
      </c>
    </row>
    <row r="1052" ht="15.6" customHeight="1" s="152">
      <c r="A1052" s="167">
        <f>E1052&amp;F1052</f>
        <v/>
      </c>
      <c r="B1052" s="156">
        <f>IF(D1052&lt;&gt;"",C1052,0)</f>
        <v/>
      </c>
      <c r="C1052" s="156">
        <f>(M1052/MAX(M:M)*$M$1)+(N1052/MAX(N:N)*$N$1)+(O1052/MAX(O:O)*$O$1)+(P1052/MAX(P:P)*$P$1)+(Q1052/MAX(Q:Q)*$Q$1)+(R1052/MAX(R:R)*$R$1)</f>
        <v/>
      </c>
      <c r="D1052" s="156">
        <f>IFERROR(VLOOKUP(A1052,'Injury Report'!A:F,6,0),"")</f>
        <v/>
      </c>
    </row>
    <row r="1053" ht="15.6" customHeight="1" s="152">
      <c r="A1053" s="167">
        <f>E1053&amp;F1053</f>
        <v/>
      </c>
      <c r="B1053" s="156">
        <f>IF(D1053&lt;&gt;"",C1053,0)</f>
        <v/>
      </c>
      <c r="C1053" s="156">
        <f>(M1053/MAX(M:M)*$M$1)+(N1053/MAX(N:N)*$N$1)+(O1053/MAX(O:O)*$O$1)+(P1053/MAX(P:P)*$P$1)+(Q1053/MAX(Q:Q)*$Q$1)+(R1053/MAX(R:R)*$R$1)</f>
        <v/>
      </c>
      <c r="D1053" s="156">
        <f>IFERROR(VLOOKUP(A1053,'Injury Report'!A:F,6,0),"")</f>
        <v/>
      </c>
    </row>
    <row r="1054" ht="15.6" customHeight="1" s="152">
      <c r="A1054" s="167">
        <f>E1054&amp;F1054</f>
        <v/>
      </c>
      <c r="B1054" s="156">
        <f>IF(D1054&lt;&gt;"",C1054,0)</f>
        <v/>
      </c>
      <c r="C1054" s="156">
        <f>(M1054/MAX(M:M)*$M$1)+(N1054/MAX(N:N)*$N$1)+(O1054/MAX(O:O)*$O$1)+(P1054/MAX(P:P)*$P$1)+(Q1054/MAX(Q:Q)*$Q$1)+(R1054/MAX(R:R)*$R$1)</f>
        <v/>
      </c>
      <c r="D1054" s="156">
        <f>IFERROR(VLOOKUP(A1054,'Injury Report'!A:F,6,0),"")</f>
        <v/>
      </c>
    </row>
    <row r="1055" ht="15.6" customHeight="1" s="152">
      <c r="A1055" s="167">
        <f>E1055&amp;F1055</f>
        <v/>
      </c>
      <c r="B1055" s="156">
        <f>IF(D1055&lt;&gt;"",C1055,0)</f>
        <v/>
      </c>
      <c r="C1055" s="156">
        <f>(M1055/MAX(M:M)*$M$1)+(N1055/MAX(N:N)*$N$1)+(O1055/MAX(O:O)*$O$1)+(P1055/MAX(P:P)*$P$1)+(Q1055/MAX(Q:Q)*$Q$1)+(R1055/MAX(R:R)*$R$1)</f>
        <v/>
      </c>
      <c r="D1055" s="156">
        <f>IFERROR(VLOOKUP(A1055,'Injury Report'!A:F,6,0),"")</f>
        <v/>
      </c>
    </row>
    <row r="1056" ht="14.4" customHeight="1" s="152">
      <c r="A1056" s="167">
        <f>E1056&amp;F1056</f>
        <v/>
      </c>
      <c r="B1056" s="156">
        <f>IF(D1056&lt;&gt;"",C1056,0)</f>
        <v/>
      </c>
      <c r="C1056" s="156">
        <f>(M1056/MAX(M:M)*$M$1)+(N1056/MAX(N:N)*$N$1)+(O1056/MAX(O:O)*$O$1)+(P1056/MAX(P:P)*$P$1)+(Q1056/MAX(Q:Q)*$Q$1)+(R1056/MAX(R:R)*$R$1)</f>
        <v/>
      </c>
      <c r="D1056" s="156">
        <f>IFERROR(VLOOKUP(A1056,'Injury Report'!A:F,6,0),"")</f>
        <v/>
      </c>
    </row>
    <row r="1057" ht="14.4" customHeight="1" s="152">
      <c r="A1057" s="167">
        <f>E1057&amp;F1057</f>
        <v/>
      </c>
      <c r="B1057" s="156">
        <f>IF(D1057&lt;&gt;"",C1057,0)</f>
        <v/>
      </c>
      <c r="C1057" s="156">
        <f>(M1057/MAX(M:M)*$M$1)+(N1057/MAX(N:N)*$N$1)+(O1057/MAX(O:O)*$O$1)+(P1057/MAX(P:P)*$P$1)+(Q1057/MAX(Q:Q)*$Q$1)+(R1057/MAX(R:R)*$R$1)</f>
        <v/>
      </c>
      <c r="D1057" s="156">
        <f>IFERROR(VLOOKUP(A1057,'Injury Report'!A:F,6,0),"")</f>
        <v/>
      </c>
    </row>
    <row r="1058" ht="14.4" customHeight="1" s="152">
      <c r="A1058" s="167">
        <f>E1058&amp;F1058</f>
        <v/>
      </c>
      <c r="B1058" s="156">
        <f>IF(D1058&lt;&gt;"",C1058,0)</f>
        <v/>
      </c>
      <c r="C1058" s="156">
        <f>(M1058/MAX(M:M)*$M$1)+(N1058/MAX(N:N)*$N$1)+(O1058/MAX(O:O)*$O$1)+(P1058/MAX(P:P)*$P$1)+(Q1058/MAX(Q:Q)*$Q$1)+(R1058/MAX(R:R)*$R$1)</f>
        <v/>
      </c>
      <c r="D1058" s="156">
        <f>IFERROR(VLOOKUP(A1058,'Injury Report'!A:F,6,0),"")</f>
        <v/>
      </c>
    </row>
    <row r="1059" ht="14.4" customHeight="1" s="152">
      <c r="A1059" s="167">
        <f>E1059&amp;F1059</f>
        <v/>
      </c>
      <c r="B1059" s="156">
        <f>IF(D1059&lt;&gt;"",C1059,0)</f>
        <v/>
      </c>
      <c r="C1059" s="156">
        <f>(M1059/MAX(M:M)*$M$1)+(N1059/MAX(N:N)*$N$1)+(O1059/MAX(O:O)*$O$1)+(P1059/MAX(P:P)*$P$1)+(Q1059/MAX(Q:Q)*$Q$1)+(R1059/MAX(R:R)*$R$1)</f>
        <v/>
      </c>
      <c r="D1059" s="156">
        <f>IFERROR(VLOOKUP(A1059,'Injury Report'!A:F,6,0),"")</f>
        <v/>
      </c>
    </row>
    <row r="1060" ht="14.4" customHeight="1" s="152">
      <c r="A1060" s="167">
        <f>E1060&amp;F1060</f>
        <v/>
      </c>
      <c r="B1060" s="156">
        <f>IF(D1060&lt;&gt;"",C1060,0)</f>
        <v/>
      </c>
      <c r="C1060" s="156">
        <f>(M1060/MAX(M:M)*$M$1)+(N1060/MAX(N:N)*$N$1)+(O1060/MAX(O:O)*$O$1)+(P1060/MAX(P:P)*$P$1)+(Q1060/MAX(Q:Q)*$Q$1)+(R1060/MAX(R:R)*$R$1)</f>
        <v/>
      </c>
      <c r="D1060" s="156">
        <f>IFERROR(VLOOKUP(A1060,'Injury Report'!A:F,6,0),"")</f>
        <v/>
      </c>
    </row>
    <row r="1061" ht="14.4" customHeight="1" s="152">
      <c r="A1061" s="167">
        <f>E1061&amp;F1061</f>
        <v/>
      </c>
      <c r="B1061" s="156">
        <f>IF(D1061&lt;&gt;"",C1061,0)</f>
        <v/>
      </c>
      <c r="C1061" s="156">
        <f>(M1061/MAX(M:M)*$M$1)+(N1061/MAX(N:N)*$N$1)+(O1061/MAX(O:O)*$O$1)+(P1061/MAX(P:P)*$P$1)+(Q1061/MAX(Q:Q)*$Q$1)+(R1061/MAX(R:R)*$R$1)</f>
        <v/>
      </c>
      <c r="D1061" s="156">
        <f>IFERROR(VLOOKUP(A1061,'Injury Report'!A:F,6,0),"")</f>
        <v/>
      </c>
    </row>
    <row r="1062" ht="14.4" customHeight="1" s="152">
      <c r="A1062" s="167">
        <f>E1062&amp;F1062</f>
        <v/>
      </c>
      <c r="B1062" s="156">
        <f>IF(D1062&lt;&gt;"",C1062,0)</f>
        <v/>
      </c>
      <c r="C1062" s="156">
        <f>(M1062/MAX(M:M)*$M$1)+(N1062/MAX(N:N)*$N$1)+(O1062/MAX(O:O)*$O$1)+(P1062/MAX(P:P)*$P$1)+(Q1062/MAX(Q:Q)*$Q$1)+(R1062/MAX(R:R)*$R$1)</f>
        <v/>
      </c>
      <c r="D1062" s="156">
        <f>IFERROR(VLOOKUP(A1062,'Injury Report'!A:F,6,0),"")</f>
        <v/>
      </c>
    </row>
    <row r="1063" ht="14.4" customHeight="1" s="152">
      <c r="A1063" s="167">
        <f>E1063&amp;F1063</f>
        <v/>
      </c>
      <c r="B1063" s="156">
        <f>IF(D1063&lt;&gt;"",C1063,0)</f>
        <v/>
      </c>
      <c r="C1063" s="156">
        <f>(M1063/MAX(M:M)*$M$1)+(N1063/MAX(N:N)*$N$1)+(O1063/MAX(O:O)*$O$1)+(P1063/MAX(P:P)*$P$1)+(Q1063/MAX(Q:Q)*$Q$1)+(R1063/MAX(R:R)*$R$1)</f>
        <v/>
      </c>
      <c r="D1063" s="156">
        <f>IFERROR(VLOOKUP(A1063,'Injury Report'!A:F,6,0),"")</f>
        <v/>
      </c>
    </row>
    <row r="1064" ht="14.4" customHeight="1" s="152">
      <c r="A1064" s="167">
        <f>E1064&amp;F1064</f>
        <v/>
      </c>
      <c r="B1064" s="156">
        <f>IF(D1064&lt;&gt;"",C1064,0)</f>
        <v/>
      </c>
      <c r="C1064" s="156">
        <f>(M1064/MAX(M:M)*$M$1)+(N1064/MAX(N:N)*$N$1)+(O1064/MAX(O:O)*$O$1)+(P1064/MAX(P:P)*$P$1)+(Q1064/MAX(Q:Q)*$Q$1)+(R1064/MAX(R:R)*$R$1)</f>
        <v/>
      </c>
      <c r="D1064" s="156">
        <f>IFERROR(VLOOKUP(A1064,'Injury Report'!A:F,6,0),"")</f>
        <v/>
      </c>
    </row>
    <row r="1065" ht="14.4" customHeight="1" s="152">
      <c r="A1065" s="167">
        <f>E1065&amp;F1065</f>
        <v/>
      </c>
      <c r="B1065" s="156">
        <f>IF(D1065&lt;&gt;"",C1065,0)</f>
        <v/>
      </c>
      <c r="C1065" s="156">
        <f>(M1065/MAX(M:M)*$M$1)+(N1065/MAX(N:N)*$N$1)+(O1065/MAX(O:O)*$O$1)+(P1065/MAX(P:P)*$P$1)+(Q1065/MAX(Q:Q)*$Q$1)+(R1065/MAX(R:R)*$R$1)</f>
        <v/>
      </c>
      <c r="D1065" s="156">
        <f>IFERROR(VLOOKUP(A1065,'Injury Report'!A:F,6,0),"")</f>
        <v/>
      </c>
    </row>
    <row r="1066" ht="14.4" customHeight="1" s="152">
      <c r="A1066" s="167">
        <f>E1066&amp;F1066</f>
        <v/>
      </c>
      <c r="B1066" s="156">
        <f>IF(D1066&lt;&gt;"",C1066,0)</f>
        <v/>
      </c>
      <c r="C1066" s="156">
        <f>(M1066/MAX(M:M)*$M$1)+(N1066/MAX(N:N)*$N$1)+(O1066/MAX(O:O)*$O$1)+(P1066/MAX(P:P)*$P$1)+(Q1066/MAX(Q:Q)*$Q$1)+(R1066/MAX(R:R)*$R$1)</f>
        <v/>
      </c>
      <c r="D1066" s="156">
        <f>IFERROR(VLOOKUP(A1066,'Injury Report'!A:F,6,0),"")</f>
        <v/>
      </c>
    </row>
    <row r="1067" ht="14.4" customHeight="1" s="152">
      <c r="A1067" s="167">
        <f>E1067&amp;F1067</f>
        <v/>
      </c>
      <c r="B1067" s="156">
        <f>IF(D1067&lt;&gt;"",C1067,0)</f>
        <v/>
      </c>
      <c r="C1067" s="156">
        <f>(M1067/MAX(M:M)*$M$1)+(N1067/MAX(N:N)*$N$1)+(O1067/MAX(O:O)*$O$1)+(P1067/MAX(P:P)*$P$1)+(Q1067/MAX(Q:Q)*$Q$1)+(R1067/MAX(R:R)*$R$1)</f>
        <v/>
      </c>
      <c r="D1067" s="156">
        <f>IFERROR(VLOOKUP(A1067,'Injury Report'!A:F,6,0),"")</f>
        <v/>
      </c>
    </row>
    <row r="1068" ht="14.4" customHeight="1" s="152">
      <c r="A1068" s="167">
        <f>E1068&amp;F1068</f>
        <v/>
      </c>
      <c r="B1068" s="156">
        <f>IF(D1068&lt;&gt;"",C1068,0)</f>
        <v/>
      </c>
      <c r="C1068" s="156">
        <f>(M1068/MAX(M:M)*$M$1)+(N1068/MAX(N:N)*$N$1)+(O1068/MAX(O:O)*$O$1)+(P1068/MAX(P:P)*$P$1)+(Q1068/MAX(Q:Q)*$Q$1)+(R1068/MAX(R:R)*$R$1)</f>
        <v/>
      </c>
      <c r="D1068" s="156">
        <f>IFERROR(VLOOKUP(A1068,'Injury Report'!A:F,6,0),"")</f>
        <v/>
      </c>
    </row>
    <row r="1069" ht="14.4" customHeight="1" s="152">
      <c r="A1069" s="167">
        <f>E1069&amp;F1069</f>
        <v/>
      </c>
      <c r="B1069" s="156">
        <f>IF(D1069&lt;&gt;"",C1069,0)</f>
        <v/>
      </c>
      <c r="C1069" s="156">
        <f>(M1069/MAX(M:M)*$M$1)+(N1069/MAX(N:N)*$N$1)+(O1069/MAX(O:O)*$O$1)+(P1069/MAX(P:P)*$P$1)+(Q1069/MAX(Q:Q)*$Q$1)+(R1069/MAX(R:R)*$R$1)</f>
        <v/>
      </c>
      <c r="D1069" s="156">
        <f>IFERROR(VLOOKUP(A1069,'Injury Report'!A:F,6,0),"")</f>
        <v/>
      </c>
    </row>
    <row r="1070" ht="14.4" customHeight="1" s="152">
      <c r="A1070" s="167">
        <f>E1070&amp;F1070</f>
        <v/>
      </c>
      <c r="B1070" s="156">
        <f>IF(D1070&lt;&gt;"",C1070,0)</f>
        <v/>
      </c>
      <c r="C1070" s="156">
        <f>(M1070/MAX(M:M)*$M$1)+(N1070/MAX(N:N)*$N$1)+(O1070/MAX(O:O)*$O$1)+(P1070/MAX(P:P)*$P$1)+(Q1070/MAX(Q:Q)*$Q$1)+(R1070/MAX(R:R)*$R$1)</f>
        <v/>
      </c>
      <c r="D1070" s="156">
        <f>IFERROR(VLOOKUP(A1070,'Injury Report'!A:F,6,0),"")</f>
        <v/>
      </c>
    </row>
    <row r="1071" ht="14.4" customHeight="1" s="152">
      <c r="A1071" s="167">
        <f>E1071&amp;F1071</f>
        <v/>
      </c>
      <c r="B1071" s="156">
        <f>IF(D1071&lt;&gt;"",C1071,0)</f>
        <v/>
      </c>
      <c r="C1071" s="156">
        <f>(M1071/MAX(M:M)*$M$1)+(N1071/MAX(N:N)*$N$1)+(O1071/MAX(O:O)*$O$1)+(P1071/MAX(P:P)*$P$1)+(Q1071/MAX(Q:Q)*$Q$1)+(R1071/MAX(R:R)*$R$1)</f>
        <v/>
      </c>
      <c r="D1071" s="156">
        <f>IFERROR(VLOOKUP(A1071,'Injury Report'!A:F,6,0),"")</f>
        <v/>
      </c>
    </row>
    <row r="1072" ht="14.4" customHeight="1" s="152">
      <c r="A1072" s="167">
        <f>E1072&amp;F1072</f>
        <v/>
      </c>
      <c r="B1072" s="156">
        <f>IF(D1072&lt;&gt;"",C1072,0)</f>
        <v/>
      </c>
      <c r="C1072" s="156">
        <f>(M1072/MAX(M:M)*$M$1)+(N1072/MAX(N:N)*$N$1)+(O1072/MAX(O:O)*$O$1)+(P1072/MAX(P:P)*$P$1)+(Q1072/MAX(Q:Q)*$Q$1)+(R1072/MAX(R:R)*$R$1)</f>
        <v/>
      </c>
      <c r="D1072" s="156">
        <f>IFERROR(VLOOKUP(A1072,'Injury Report'!A:F,6,0),"")</f>
        <v/>
      </c>
    </row>
    <row r="1073" ht="14.4" customHeight="1" s="152">
      <c r="A1073" s="167">
        <f>E1073&amp;F1073</f>
        <v/>
      </c>
      <c r="B1073" s="156">
        <f>IF(D1073&lt;&gt;"",C1073,0)</f>
        <v/>
      </c>
      <c r="C1073" s="156">
        <f>(M1073/MAX(M:M)*$M$1)+(N1073/MAX(N:N)*$N$1)+(O1073/MAX(O:O)*$O$1)+(P1073/MAX(P:P)*$P$1)+(Q1073/MAX(Q:Q)*$Q$1)+(R1073/MAX(R:R)*$R$1)</f>
        <v/>
      </c>
      <c r="D1073" s="156">
        <f>IFERROR(VLOOKUP(A1073,'Injury Report'!A:F,6,0),"")</f>
        <v/>
      </c>
    </row>
    <row r="1074" ht="14.4" customHeight="1" s="152">
      <c r="A1074" s="167">
        <f>E1074&amp;F1074</f>
        <v/>
      </c>
      <c r="B1074" s="156">
        <f>IF(D1074&lt;&gt;"",C1074,0)</f>
        <v/>
      </c>
      <c r="C1074" s="156">
        <f>(M1074/MAX(M:M)*$M$1)+(N1074/MAX(N:N)*$N$1)+(O1074/MAX(O:O)*$O$1)+(P1074/MAX(P:P)*$P$1)+(Q1074/MAX(Q:Q)*$Q$1)+(R1074/MAX(R:R)*$R$1)</f>
        <v/>
      </c>
      <c r="D1074" s="156">
        <f>IFERROR(VLOOKUP(A1074,'Injury Report'!A:F,6,0),"")</f>
        <v/>
      </c>
    </row>
    <row r="1075" ht="14.4" customHeight="1" s="152">
      <c r="A1075" s="167">
        <f>E1075&amp;F1075</f>
        <v/>
      </c>
      <c r="B1075" s="156">
        <f>IF(D1075&lt;&gt;"",C1075,0)</f>
        <v/>
      </c>
      <c r="C1075" s="156">
        <f>(M1075/MAX(M:M)*$M$1)+(N1075/MAX(N:N)*$N$1)+(O1075/MAX(O:O)*$O$1)+(P1075/MAX(P:P)*$P$1)+(Q1075/MAX(Q:Q)*$Q$1)+(R1075/MAX(R:R)*$R$1)</f>
        <v/>
      </c>
      <c r="D1075" s="156">
        <f>IFERROR(VLOOKUP(A1075,'Injury Report'!A:F,6,0),"")</f>
        <v/>
      </c>
    </row>
    <row r="1076" ht="14.4" customHeight="1" s="152">
      <c r="A1076" s="167">
        <f>E1076&amp;F1076</f>
        <v/>
      </c>
      <c r="B1076" s="156">
        <f>IF(D1076&lt;&gt;"",C1076,0)</f>
        <v/>
      </c>
      <c r="C1076" s="156">
        <f>(M1076/MAX(M:M)*$M$1)+(N1076/MAX(N:N)*$N$1)+(O1076/MAX(O:O)*$O$1)+(P1076/MAX(P:P)*$P$1)+(Q1076/MAX(Q:Q)*$Q$1)+(R1076/MAX(R:R)*$R$1)</f>
        <v/>
      </c>
      <c r="D1076" s="156">
        <f>IFERROR(VLOOKUP(A1076,'Injury Report'!A:F,6,0),"")</f>
        <v/>
      </c>
    </row>
    <row r="1077" ht="14.4" customHeight="1" s="152">
      <c r="A1077" s="167">
        <f>E1077&amp;F1077</f>
        <v/>
      </c>
      <c r="B1077" s="156">
        <f>IF(D1077&lt;&gt;"",C1077,0)</f>
        <v/>
      </c>
      <c r="C1077" s="156">
        <f>(M1077/MAX(M:M)*$M$1)+(N1077/MAX(N:N)*$N$1)+(O1077/MAX(O:O)*$O$1)+(P1077/MAX(P:P)*$P$1)+(Q1077/MAX(Q:Q)*$Q$1)+(R1077/MAX(R:R)*$R$1)</f>
        <v/>
      </c>
      <c r="D1077" s="156">
        <f>IFERROR(VLOOKUP(A1077,'Injury Report'!A:F,6,0),"")</f>
        <v/>
      </c>
    </row>
    <row r="1078" ht="14.4" customHeight="1" s="152">
      <c r="A1078" s="167">
        <f>E1078&amp;F1078</f>
        <v/>
      </c>
      <c r="B1078" s="156">
        <f>IF(D1078&lt;&gt;"",C1078,0)</f>
        <v/>
      </c>
      <c r="C1078" s="156">
        <f>(M1078/MAX(M:M)*$M$1)+(N1078/MAX(N:N)*$N$1)+(O1078/MAX(O:O)*$O$1)+(P1078/MAX(P:P)*$P$1)+(Q1078/MAX(Q:Q)*$Q$1)+(R1078/MAX(R:R)*$R$1)</f>
        <v/>
      </c>
      <c r="D1078" s="156">
        <f>IFERROR(VLOOKUP(A1078,'Injury Report'!A:F,6,0),"")</f>
        <v/>
      </c>
    </row>
    <row r="1079" ht="14.4" customHeight="1" s="152">
      <c r="A1079" s="167">
        <f>E1079&amp;F1079</f>
        <v/>
      </c>
      <c r="B1079" s="156">
        <f>IF(D1079&lt;&gt;"",C1079,0)</f>
        <v/>
      </c>
      <c r="C1079" s="156">
        <f>(M1079/MAX(M:M)*$M$1)+(N1079/MAX(N:N)*$N$1)+(O1079/MAX(O:O)*$O$1)+(P1079/MAX(P:P)*$P$1)+(Q1079/MAX(Q:Q)*$Q$1)+(R1079/MAX(R:R)*$R$1)</f>
        <v/>
      </c>
      <c r="D1079" s="156">
        <f>IFERROR(VLOOKUP(A1079,'Injury Report'!A:F,6,0),"")</f>
        <v/>
      </c>
    </row>
    <row r="1080" ht="14.4" customHeight="1" s="152">
      <c r="A1080" s="167">
        <f>E1080&amp;F1080</f>
        <v/>
      </c>
      <c r="B1080" s="156">
        <f>IF(D1080&lt;&gt;"",C1080,0)</f>
        <v/>
      </c>
      <c r="C1080" s="156">
        <f>(M1080/MAX(M:M)*$M$1)+(N1080/MAX(N:N)*$N$1)+(O1080/MAX(O:O)*$O$1)+(P1080/MAX(P:P)*$P$1)+(Q1080/MAX(Q:Q)*$Q$1)+(R1080/MAX(R:R)*$R$1)</f>
        <v/>
      </c>
      <c r="D1080" s="156">
        <f>IFERROR(VLOOKUP(A1080,'Injury Report'!A:F,6,0),"")</f>
        <v/>
      </c>
    </row>
    <row r="1081" ht="14.4" customHeight="1" s="152">
      <c r="A1081" s="167">
        <f>E1081&amp;F1081</f>
        <v/>
      </c>
      <c r="B1081" s="156">
        <f>IF(D1081&lt;&gt;"",C1081,0)</f>
        <v/>
      </c>
      <c r="C1081" s="156">
        <f>(M1081/MAX(M:M)*$M$1)+(N1081/MAX(N:N)*$N$1)+(O1081/MAX(O:O)*$O$1)+(P1081/MAX(P:P)*$P$1)+(Q1081/MAX(Q:Q)*$Q$1)+(R1081/MAX(R:R)*$R$1)</f>
        <v/>
      </c>
      <c r="D1081" s="156">
        <f>IFERROR(VLOOKUP(A1081,'Injury Report'!A:F,6,0),"")</f>
        <v/>
      </c>
    </row>
    <row r="1082" ht="14.4" customHeight="1" s="152">
      <c r="A1082" s="167">
        <f>E1082&amp;F1082</f>
        <v/>
      </c>
      <c r="B1082" s="156">
        <f>IF(D1082&lt;&gt;"",C1082,0)</f>
        <v/>
      </c>
      <c r="C1082" s="156">
        <f>(M1082/MAX(M:M)*$M$1)+(N1082/MAX(N:N)*$N$1)+(O1082/MAX(O:O)*$O$1)+(P1082/MAX(P:P)*$P$1)+(Q1082/MAX(Q:Q)*$Q$1)+(R1082/MAX(R:R)*$R$1)</f>
        <v/>
      </c>
      <c r="D1082" s="156">
        <f>IFERROR(VLOOKUP(A1082,'Injury Report'!A:F,6,0),"")</f>
        <v/>
      </c>
    </row>
    <row r="1083" ht="14.4" customHeight="1" s="152">
      <c r="A1083" s="167">
        <f>E1083&amp;F1083</f>
        <v/>
      </c>
      <c r="B1083" s="156">
        <f>IF(D1083&lt;&gt;"",C1083,0)</f>
        <v/>
      </c>
      <c r="C1083" s="156">
        <f>(M1083/MAX(M:M)*$M$1)+(N1083/MAX(N:N)*$N$1)+(O1083/MAX(O:O)*$O$1)+(P1083/MAX(P:P)*$P$1)+(Q1083/MAX(Q:Q)*$Q$1)+(R1083/MAX(R:R)*$R$1)</f>
        <v/>
      </c>
      <c r="D1083" s="156">
        <f>IFERROR(VLOOKUP(A1083,'Injury Report'!A:F,6,0),"")</f>
        <v/>
      </c>
    </row>
    <row r="1084" ht="14.4" customHeight="1" s="152">
      <c r="A1084" s="167">
        <f>E1084&amp;F1084</f>
        <v/>
      </c>
      <c r="B1084" s="156">
        <f>IF(D1084&lt;&gt;"",C1084,0)</f>
        <v/>
      </c>
      <c r="C1084" s="156">
        <f>(M1084/MAX(M:M)*$M$1)+(N1084/MAX(N:N)*$N$1)+(O1084/MAX(O:O)*$O$1)+(P1084/MAX(P:P)*$P$1)+(Q1084/MAX(Q:Q)*$Q$1)+(R1084/MAX(R:R)*$R$1)</f>
        <v/>
      </c>
      <c r="D1084" s="156">
        <f>IFERROR(VLOOKUP(A1084,'Injury Report'!A:F,6,0),"")</f>
        <v/>
      </c>
    </row>
    <row r="1085" ht="14.4" customHeight="1" s="152">
      <c r="A1085" s="167">
        <f>E1085&amp;F1085</f>
        <v/>
      </c>
      <c r="B1085" s="156">
        <f>IF(D1085&lt;&gt;"",C1085,0)</f>
        <v/>
      </c>
      <c r="C1085" s="156">
        <f>(M1085/MAX(M:M)*$M$1)+(N1085/MAX(N:N)*$N$1)+(O1085/MAX(O:O)*$O$1)+(P1085/MAX(P:P)*$P$1)+(Q1085/MAX(Q:Q)*$Q$1)+(R1085/MAX(R:R)*$R$1)</f>
        <v/>
      </c>
      <c r="D1085" s="156">
        <f>IFERROR(VLOOKUP(A1085,'Injury Report'!A:F,6,0),"")</f>
        <v/>
      </c>
    </row>
    <row r="1086" ht="14.4" customHeight="1" s="152">
      <c r="A1086" s="167">
        <f>E1086&amp;F1086</f>
        <v/>
      </c>
      <c r="B1086" s="156">
        <f>IF(D1086&lt;&gt;"",C1086,0)</f>
        <v/>
      </c>
      <c r="C1086" s="156">
        <f>(M1086/MAX(M:M)*$M$1)+(N1086/MAX(N:N)*$N$1)+(O1086/MAX(O:O)*$O$1)+(P1086/MAX(P:P)*$P$1)+(Q1086/MAX(Q:Q)*$Q$1)+(R1086/MAX(R:R)*$R$1)</f>
        <v/>
      </c>
      <c r="D1086" s="156">
        <f>IFERROR(VLOOKUP(A1086,'Injury Report'!A:F,6,0),"")</f>
        <v/>
      </c>
    </row>
    <row r="1087" ht="14.4" customHeight="1" s="152">
      <c r="A1087" s="167">
        <f>E1087&amp;F1087</f>
        <v/>
      </c>
      <c r="B1087" s="156">
        <f>IF(D1087&lt;&gt;"",C1087,0)</f>
        <v/>
      </c>
      <c r="C1087" s="156">
        <f>(M1087/MAX(M:M)*$M$1)+(N1087/MAX(N:N)*$N$1)+(O1087/MAX(O:O)*$O$1)+(P1087/MAX(P:P)*$P$1)+(Q1087/MAX(Q:Q)*$Q$1)+(R1087/MAX(R:R)*$R$1)</f>
        <v/>
      </c>
      <c r="D1087" s="156">
        <f>IFERROR(VLOOKUP(A1087,'Injury Report'!A:F,6,0),"")</f>
        <v/>
      </c>
    </row>
    <row r="1088" ht="14.4" customHeight="1" s="152">
      <c r="A1088" s="167">
        <f>E1088&amp;F1088</f>
        <v/>
      </c>
      <c r="B1088" s="156">
        <f>IF(D1088&lt;&gt;"",C1088,0)</f>
        <v/>
      </c>
      <c r="C1088" s="156">
        <f>(M1088/MAX(M:M)*$M$1)+(N1088/MAX(N:N)*$N$1)+(O1088/MAX(O:O)*$O$1)+(P1088/MAX(P:P)*$P$1)+(Q1088/MAX(Q:Q)*$Q$1)+(R1088/MAX(R:R)*$R$1)</f>
        <v/>
      </c>
      <c r="D1088" s="156">
        <f>IFERROR(VLOOKUP(A1088,'Injury Report'!A:F,6,0),"")</f>
        <v/>
      </c>
    </row>
  </sheetData>
  <autoFilter ref="A2:R1088">
    <sortState ref="A3:R1088">
      <sortCondition ref="A3:A1088" customList=""/>
    </sortState>
  </autoFilter>
  <conditionalFormatting sqref="C3:C1088">
    <cfRule type="dataBar" priority="2">
      <dataBar minLength="10" maxLength="90" showValue="1">
        <cfvo type="min" val="0"/>
        <cfvo type="max" val="0"/>
        <color rgb="FF843C0B"/>
      </dataBar>
    </cfRule>
  </conditionalFormatting>
  <conditionalFormatting sqref="D3:D1088">
    <cfRule type="dataBar" priority="3">
      <dataBar minLength="10" maxLength="90" showValue="1">
        <cfvo type="min" val="0"/>
        <cfvo type="max" val="0"/>
        <color rgb="FF63C384"/>
      </dataBar>
    </cfRule>
  </conditionalFormatting>
  <conditionalFormatting sqref="I1:R1">
    <cfRule type="colorScale" priority="4">
      <colorScale>
        <cfvo type="min" val="0"/>
        <cfvo type="percentile" val="50"/>
        <cfvo type="max" val="0"/>
        <color rgb="FFF8696B"/>
        <color rgb="FFFFEB84"/>
        <color rgb="FF63BE7B"/>
      </colorScale>
    </cfRule>
  </conditionalFormatting>
  <hyperlinks>
    <hyperlink xmlns:r="http://schemas.openxmlformats.org/officeDocument/2006/relationships" ref="W1" display="https://www.rotowire.com/football/player-stats.php?view=defense"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0"/>
  </sheetPr>
  <dimension ref="A1:O188"/>
  <sheetViews>
    <sheetView showFormulas="0" showGridLines="1" showRowColHeaders="1" showZeros="1" rightToLeft="0" tabSelected="0" showOutlineSymbols="1" defaultGridColor="1" view="normal" topLeftCell="A1" colorId="64" zoomScale="95" zoomScaleNormal="95" zoomScalePageLayoutView="100" workbookViewId="0">
      <pane xSplit="0" ySplit="3" topLeftCell="A4" activePane="bottomLeft" state="frozen"/>
      <selection pane="topLeft" activeCell="A1" activeCellId="0" sqref="A1"/>
      <selection pane="bottomLeft" activeCell="O1" activeCellId="0" sqref="O1"/>
    </sheetView>
  </sheetViews>
  <sheetFormatPr baseColWidth="8" defaultColWidth="8.796875" defaultRowHeight="14.4" zeroHeight="0" outlineLevelRow="0"/>
  <cols>
    <col width="18.66" customWidth="1" style="156" min="1" max="3"/>
    <col width="23.35" customWidth="1" style="156" min="4" max="4"/>
  </cols>
  <sheetData>
    <row r="1" ht="14.4" customHeight="1" s="152">
      <c r="F1" s="157" t="n"/>
      <c r="G1" s="157" t="n"/>
      <c r="H1" s="157" t="n">
        <v>0.05</v>
      </c>
      <c r="I1" s="157" t="n">
        <v>0.07000000000000001</v>
      </c>
      <c r="J1" s="157" t="n">
        <v>0.1</v>
      </c>
      <c r="K1" s="157" t="n"/>
      <c r="L1" s="157" t="n">
        <v>0.05</v>
      </c>
      <c r="M1" s="157" t="n">
        <v>0.07000000000000001</v>
      </c>
      <c r="N1" s="157" t="n">
        <v>0.1</v>
      </c>
      <c r="O1" s="156" t="inlineStr">
        <is>
          <t>https://www.rotowire.com/football/player-stats.php?view=returns</t>
        </is>
      </c>
    </row>
    <row r="2" ht="15.6" customHeight="1" s="152">
      <c r="A2" s="167" t="n"/>
      <c r="B2" s="167" t="n"/>
      <c r="C2" s="167" t="n"/>
      <c r="E2" s="156" t="n"/>
      <c r="F2" s="156" t="n"/>
      <c r="G2" s="156" t="inlineStr">
        <is>
          <t>Kick Returns</t>
        </is>
      </c>
      <c r="H2" s="156" t="n"/>
      <c r="I2" s="156" t="n"/>
      <c r="J2" s="156" t="n"/>
      <c r="K2" s="156" t="inlineStr">
        <is>
          <t>Punt Returns</t>
        </is>
      </c>
      <c r="L2" s="156" t="n"/>
      <c r="M2" s="156" t="n"/>
      <c r="N2" s="156" t="n"/>
    </row>
    <row r="3" ht="15.6" customHeight="1" s="152">
      <c r="A3" s="167" t="inlineStr">
        <is>
          <t>Combo</t>
        </is>
      </c>
      <c r="B3" s="167" t="inlineStr">
        <is>
          <t>C-Score</t>
        </is>
      </c>
      <c r="C3" s="167" t="inlineStr">
        <is>
          <t>ALP exist</t>
        </is>
      </c>
      <c r="D3" s="156" t="inlineStr">
        <is>
          <t>Name</t>
        </is>
      </c>
      <c r="E3" s="156" t="inlineStr">
        <is>
          <t>Team</t>
        </is>
      </c>
      <c r="F3" s="156" t="inlineStr">
        <is>
          <t>G</t>
        </is>
      </c>
      <c r="G3" s="156" t="inlineStr">
        <is>
          <t>ATT</t>
        </is>
      </c>
      <c r="H3" s="156" t="inlineStr">
        <is>
          <t>YDS</t>
        </is>
      </c>
      <c r="I3" s="156" t="inlineStr">
        <is>
          <t>LONG</t>
        </is>
      </c>
      <c r="J3" s="156" t="inlineStr">
        <is>
          <t>TD</t>
        </is>
      </c>
      <c r="K3" s="156" t="inlineStr">
        <is>
          <t>ATT</t>
        </is>
      </c>
      <c r="L3" s="156" t="inlineStr">
        <is>
          <t>YDS</t>
        </is>
      </c>
      <c r="M3" s="156" t="inlineStr">
        <is>
          <t>LONG</t>
        </is>
      </c>
      <c r="N3" s="156" t="inlineStr">
        <is>
          <t>TD</t>
        </is>
      </c>
    </row>
    <row r="4" ht="15.6" customHeight="1" s="152">
      <c r="A4" s="167">
        <f>D4&amp;E4</f>
        <v/>
      </c>
      <c r="B4" s="156">
        <f>(G4/MAX(I:I)*HI$1)+(H4/MAX(H:H)*$H$1)+(J4/MAX(J:J)*$J$1)+(K4/MAX(K:K)*$K$1)+(I4/MAX(I:I)*$I$1)++(L4/MAX(L:L)*$L$1)++(M4/MAX(M:M)*$M$1)+(N4/MAX(N:N)*$N$1)</f>
        <v/>
      </c>
      <c r="C4" s="156">
        <f>IFERROR(VLOOKUP(D4,AllPlayers!F:F,1,0),"------------")</f>
        <v/>
      </c>
      <c r="D4" s="156" t="inlineStr">
        <is>
          <t>KaVontae Turpin</t>
        </is>
      </c>
      <c r="E4" s="156">
        <f>VLOOKUP(D4,AllPlayers!Q:R,2,0)</f>
        <v/>
      </c>
      <c r="F4" s="156" t="n">
        <v>15</v>
      </c>
      <c r="G4" s="156" t="n">
        <v>27</v>
      </c>
      <c r="H4" s="156" t="n">
        <v>904</v>
      </c>
      <c r="I4" s="156" t="n">
        <v>99</v>
      </c>
      <c r="J4" s="156" t="n">
        <v>1</v>
      </c>
      <c r="K4" s="156" t="n">
        <v>18</v>
      </c>
      <c r="L4" s="156" t="n">
        <v>188</v>
      </c>
      <c r="M4" s="156" t="n">
        <v>96</v>
      </c>
      <c r="N4" s="156" t="n">
        <v>1</v>
      </c>
    </row>
    <row r="5" ht="15.6" customHeight="1" s="152">
      <c r="A5" s="167">
        <f>D5&amp;E5</f>
        <v/>
      </c>
      <c r="B5" s="156">
        <f>(G5/MAX(I:I)*HI$1)+(H5/MAX(H:H)*$H$1)+(J5/MAX(J:J)*$J$1)+(K5/MAX(K:K)*$K$1)+(I5/MAX(I:I)*$I$1)++(L5/MAX(L:L)*$L$1)++(M5/MAX(M:M)*$M$1)+(N5/MAX(N:N)*$N$1)</f>
        <v/>
      </c>
      <c r="C5" s="156">
        <f>IFERROR(VLOOKUP(D5,AllPlayers!F:F,1,0),"------------")</f>
        <v/>
      </c>
      <c r="D5" s="156" t="inlineStr">
        <is>
          <t>Raheem Blackshear</t>
        </is>
      </c>
      <c r="E5" s="156">
        <f>VLOOKUP(D5,AllPlayers!Q:R,2,0)</f>
        <v/>
      </c>
      <c r="F5" s="156" t="n">
        <v>13</v>
      </c>
      <c r="G5" s="156" t="n">
        <v>31</v>
      </c>
      <c r="H5" s="156" t="n">
        <v>791</v>
      </c>
      <c r="I5" s="156" t="n">
        <v>43</v>
      </c>
      <c r="J5" s="156" t="n">
        <v>0</v>
      </c>
      <c r="K5" s="156" t="n">
        <v>17</v>
      </c>
      <c r="L5" s="156" t="n">
        <v>145</v>
      </c>
      <c r="M5" s="156" t="n">
        <v>33</v>
      </c>
      <c r="N5" s="156" t="n">
        <v>0</v>
      </c>
    </row>
    <row r="6" ht="15.6" customHeight="1" s="152">
      <c r="A6" s="167">
        <f>D6&amp;E6</f>
        <v/>
      </c>
      <c r="B6" s="156">
        <f>(G6/MAX(I:I)*HI$1)+(H6/MAX(H:H)*$H$1)+(J6/MAX(J:J)*$J$1)+(K6/MAX(K:K)*$K$1)+(I6/MAX(I:I)*$I$1)++(L6/MAX(L:L)*$L$1)++(M6/MAX(M:M)*$M$1)+(N6/MAX(N:N)*$N$1)</f>
        <v/>
      </c>
      <c r="C6" s="156">
        <f>IFERROR(VLOOKUP(D6,AllPlayers!F:F,1,0),"------------")</f>
        <v/>
      </c>
      <c r="D6" s="156" t="inlineStr">
        <is>
          <t>Austin Ekeler</t>
        </is>
      </c>
      <c r="E6" s="156">
        <f>VLOOKUP(D6,AllPlayers!Q:R,2,0)</f>
        <v/>
      </c>
      <c r="F6" s="156" t="n">
        <v>11</v>
      </c>
      <c r="G6" s="156" t="n">
        <v>19</v>
      </c>
      <c r="H6" s="156" t="n">
        <v>594</v>
      </c>
      <c r="I6" s="156" t="n">
        <v>62</v>
      </c>
      <c r="J6" s="156" t="n">
        <v>0</v>
      </c>
      <c r="K6" s="156" t="n">
        <v>0</v>
      </c>
      <c r="L6" s="156" t="n">
        <v>0</v>
      </c>
      <c r="M6" s="156" t="n">
        <v>0</v>
      </c>
      <c r="N6" s="156" t="n">
        <v>0</v>
      </c>
    </row>
    <row r="7" ht="15.6" customHeight="1" s="152">
      <c r="A7" s="167">
        <f>D7&amp;E7</f>
        <v/>
      </c>
      <c r="B7" s="156">
        <f>(G7/MAX(I:I)*HI$1)+(H7/MAX(H:H)*$H$1)+(J7/MAX(J:J)*$J$1)+(K7/MAX(K:K)*$K$1)+(I7/MAX(I:I)*$I$1)++(L7/MAX(L:L)*$L$1)++(M7/MAX(M:M)*$M$1)+(N7/MAX(N:N)*$N$1)</f>
        <v/>
      </c>
      <c r="C7" s="156">
        <f>IFERROR(VLOOKUP(D7,AllPlayers!F:F,1,0),"------------")</f>
        <v/>
      </c>
      <c r="D7" s="156" t="inlineStr">
        <is>
          <t>Eric Gray</t>
        </is>
      </c>
      <c r="E7" s="156">
        <f>VLOOKUP(D7,AllPlayers!Q:R,2,0)</f>
        <v/>
      </c>
      <c r="F7" s="156" t="n">
        <v>9</v>
      </c>
      <c r="G7" s="156" t="n">
        <v>21</v>
      </c>
      <c r="H7" s="156" t="n">
        <v>554</v>
      </c>
      <c r="I7" s="156" t="n">
        <v>37</v>
      </c>
      <c r="J7" s="156" t="n">
        <v>0</v>
      </c>
      <c r="K7" s="156" t="n">
        <v>0</v>
      </c>
      <c r="L7" s="156" t="n">
        <v>0</v>
      </c>
      <c r="M7" s="156" t="n">
        <v>0</v>
      </c>
      <c r="N7" s="156" t="n">
        <v>0</v>
      </c>
    </row>
    <row r="8" ht="15.6" customHeight="1" s="152">
      <c r="A8" s="167">
        <f>D8&amp;E8</f>
        <v/>
      </c>
      <c r="B8" s="156">
        <f>(G8/MAX(I:I)*HI$1)+(H8/MAX(H:H)*$H$1)+(J8/MAX(J:J)*$J$1)+(K8/MAX(K:K)*$K$1)+(I8/MAX(I:I)*$I$1)++(L8/MAX(L:L)*$L$1)++(M8/MAX(M:M)*$M$1)+(N8/MAX(N:N)*$N$1)</f>
        <v/>
      </c>
      <c r="C8" s="156">
        <f>IFERROR(VLOOKUP(D8,AllPlayers!F:F,1,0),"------------")</f>
        <v/>
      </c>
      <c r="D8" s="156" t="inlineStr">
        <is>
          <t>Deebo Samuel</t>
        </is>
      </c>
      <c r="E8" s="156">
        <f>VLOOKUP(D8,AllPlayers!Q:R,2,0)</f>
        <v/>
      </c>
      <c r="F8" s="156" t="n">
        <v>6</v>
      </c>
      <c r="G8" s="156" t="n">
        <v>17</v>
      </c>
      <c r="H8" s="156" t="n">
        <v>533</v>
      </c>
      <c r="I8" s="156" t="n">
        <v>60</v>
      </c>
      <c r="J8" s="156" t="n">
        <v>0</v>
      </c>
      <c r="K8" s="156" t="n">
        <v>0</v>
      </c>
      <c r="L8" s="156" t="n">
        <v>0</v>
      </c>
      <c r="M8" s="156" t="n">
        <v>0</v>
      </c>
      <c r="N8" s="156" t="n">
        <v>0</v>
      </c>
    </row>
    <row r="9" ht="15.6" customHeight="1" s="152">
      <c r="A9" s="167">
        <f>D9&amp;E9</f>
        <v/>
      </c>
      <c r="B9" s="156">
        <f>(G9/MAX(I:I)*HI$1)+(H9/MAX(H:H)*$H$1)+(J9/MAX(J:J)*$J$1)+(K9/MAX(K:K)*$K$1)+(I9/MAX(I:I)*$I$1)++(L9/MAX(L:L)*$L$1)++(M9/MAX(M:M)*$M$1)+(N9/MAX(N:N)*$N$1)</f>
        <v/>
      </c>
      <c r="C9" s="156">
        <f>IFERROR(VLOOKUP(D9,AllPlayers!F:F,1,0),"------------")</f>
        <v/>
      </c>
      <c r="D9" s="156" t="inlineStr">
        <is>
          <t>Keisean Nixon</t>
        </is>
      </c>
      <c r="E9" s="156">
        <f>VLOOKUP(D9,AllPlayers!Q:R,2,0)</f>
        <v/>
      </c>
      <c r="F9" s="156" t="n">
        <v>10</v>
      </c>
      <c r="G9" s="156" t="n">
        <v>18</v>
      </c>
      <c r="H9" s="156" t="n">
        <v>528</v>
      </c>
      <c r="I9" s="156" t="n">
        <v>43</v>
      </c>
      <c r="J9" s="156" t="n">
        <v>0</v>
      </c>
      <c r="K9" s="156" t="n">
        <v>4</v>
      </c>
      <c r="L9" s="156" t="n">
        <v>48</v>
      </c>
      <c r="M9" s="156" t="n">
        <v>39</v>
      </c>
      <c r="N9" s="156" t="n">
        <v>0</v>
      </c>
    </row>
    <row r="10" ht="15.6" customHeight="1" s="152">
      <c r="A10" s="167">
        <f>D10&amp;E10</f>
        <v/>
      </c>
      <c r="B10" s="156">
        <f>(G10/MAX(I:I)*HI$1)+(H10/MAX(H:H)*$H$1)+(J10/MAX(J:J)*$J$1)+(K10/MAX(K:K)*$K$1)+(I10/MAX(I:I)*$I$1)++(L10/MAX(L:L)*$L$1)++(M10/MAX(M:M)*$M$1)+(N10/MAX(N:N)*$N$1)</f>
        <v/>
      </c>
      <c r="C10" s="156">
        <f>IFERROR(VLOOKUP(D10,AllPlayers!F:F,1,0),"------------")</f>
        <v/>
      </c>
      <c r="D10" s="156" t="inlineStr">
        <is>
          <t>Derius Davis</t>
        </is>
      </c>
      <c r="E10" s="156">
        <f>VLOOKUP(D10,AllPlayers!Q:R,2,0)</f>
        <v/>
      </c>
      <c r="F10" s="156" t="n">
        <v>13</v>
      </c>
      <c r="G10" s="156" t="n">
        <v>19</v>
      </c>
      <c r="H10" s="156" t="n">
        <v>524</v>
      </c>
      <c r="I10" s="156" t="n">
        <v>56</v>
      </c>
      <c r="J10" s="156" t="n">
        <v>0</v>
      </c>
      <c r="K10" s="156" t="n">
        <v>19</v>
      </c>
      <c r="L10" s="156" t="n">
        <v>235</v>
      </c>
      <c r="M10" s="156" t="n">
        <v>64</v>
      </c>
      <c r="N10" s="156" t="n">
        <v>0</v>
      </c>
    </row>
    <row r="11" ht="15.6" customHeight="1" s="152">
      <c r="A11" s="167">
        <f>D11&amp;E11</f>
        <v/>
      </c>
      <c r="B11" s="156">
        <f>(G11/MAX(I:I)*HI$1)+(H11/MAX(H:H)*$H$1)+(J11/MAX(J:J)*$J$1)+(K11/MAX(K:K)*$K$1)+(I11/MAX(I:I)*$I$1)++(L11/MAX(L:L)*$L$1)++(M11/MAX(M:M)*$M$1)+(N11/MAX(N:N)*$N$1)</f>
        <v/>
      </c>
      <c r="C11" s="156">
        <f>IFERROR(VLOOKUP(D11,AllPlayers!F:F,1,0),"------------")</f>
        <v/>
      </c>
      <c r="D11" s="156" t="inlineStr">
        <is>
          <t>Xavier Gipson</t>
        </is>
      </c>
      <c r="E11" s="156">
        <f>VLOOKUP(D11,AllPlayers!Q:R,2,0)</f>
        <v/>
      </c>
      <c r="F11" s="156" t="n">
        <v>14</v>
      </c>
      <c r="G11" s="156" t="n">
        <v>17</v>
      </c>
      <c r="H11" s="156" t="n">
        <v>489</v>
      </c>
      <c r="I11" s="156" t="n">
        <v>45</v>
      </c>
      <c r="J11" s="156" t="n">
        <v>0</v>
      </c>
      <c r="K11" s="156" t="n">
        <v>33</v>
      </c>
      <c r="L11" s="156" t="n">
        <v>266</v>
      </c>
      <c r="M11" s="156" t="n">
        <v>71</v>
      </c>
      <c r="N11" s="156" t="n">
        <v>0</v>
      </c>
    </row>
    <row r="12" ht="15.6" customHeight="1" s="152">
      <c r="A12" s="167">
        <f>D12&amp;E12</f>
        <v/>
      </c>
      <c r="B12" s="156">
        <f>(G12/MAX(I:I)*HI$1)+(H12/MAX(H:H)*$H$1)+(J12/MAX(J:J)*$J$1)+(K12/MAX(K:K)*$K$1)+(I12/MAX(I:I)*$I$1)++(L12/MAX(L:L)*$L$1)++(M12/MAX(M:M)*$M$1)+(N12/MAX(N:N)*$N$1)</f>
        <v/>
      </c>
      <c r="C12" s="156">
        <f>IFERROR(VLOOKUP(D12,AllPlayers!F:F,1,0),"------------")</f>
        <v/>
      </c>
      <c r="D12" s="156" t="inlineStr">
        <is>
          <t>DeAndre Carter</t>
        </is>
      </c>
      <c r="E12" s="156">
        <f>VLOOKUP(D12,AllPlayers!Q:R,2,0)</f>
        <v/>
      </c>
      <c r="F12" s="156" t="n">
        <v>12</v>
      </c>
      <c r="G12" s="156" t="n">
        <v>15</v>
      </c>
      <c r="H12" s="156" t="n">
        <v>479</v>
      </c>
      <c r="I12" s="156" t="n">
        <v>67</v>
      </c>
      <c r="J12" s="156" t="n">
        <v>0</v>
      </c>
      <c r="K12" s="156" t="n">
        <v>17</v>
      </c>
      <c r="L12" s="156" t="n">
        <v>158</v>
      </c>
      <c r="M12" s="156" t="n">
        <v>64</v>
      </c>
      <c r="N12" s="156" t="n">
        <v>0</v>
      </c>
    </row>
    <row r="13" ht="15.6" customHeight="1" s="152">
      <c r="A13" s="167">
        <f>D13&amp;E13</f>
        <v/>
      </c>
      <c r="B13" s="156">
        <f>(G13/MAX(I:I)*HI$1)+(H13/MAX(H:H)*$H$1)+(J13/MAX(J:J)*$J$1)+(K13/MAX(K:K)*$K$1)+(I13/MAX(I:I)*$I$1)++(L13/MAX(L:L)*$L$1)++(M13/MAX(M:M)*$M$1)+(N13/MAX(N:N)*$N$1)</f>
        <v/>
      </c>
      <c r="C13" s="156">
        <f>IFERROR(VLOOKUP(D13,AllPlayers!F:F,1,0),"------------")</f>
        <v/>
      </c>
      <c r="D13" s="156" t="inlineStr">
        <is>
          <t>DeeJay Dallas</t>
        </is>
      </c>
      <c r="E13" s="156">
        <f>VLOOKUP(D13,AllPlayers!Q:R,2,0)</f>
        <v/>
      </c>
      <c r="F13" s="156" t="n">
        <v>7</v>
      </c>
      <c r="G13" s="156" t="n">
        <v>15</v>
      </c>
      <c r="H13" s="156" t="n">
        <v>459</v>
      </c>
      <c r="I13" s="156" t="n">
        <v>96</v>
      </c>
      <c r="J13" s="156" t="n">
        <v>1</v>
      </c>
      <c r="K13" s="156" t="n">
        <v>0</v>
      </c>
      <c r="L13" s="156" t="n">
        <v>0</v>
      </c>
      <c r="M13" s="156" t="n">
        <v>0</v>
      </c>
      <c r="N13" s="156" t="n">
        <v>0</v>
      </c>
    </row>
    <row r="14" ht="15.6" customHeight="1" s="152">
      <c r="A14" s="167">
        <f>D14&amp;E14</f>
        <v/>
      </c>
      <c r="B14" s="156">
        <f>(G14/MAX(I:I)*HI$1)+(H14/MAX(H:H)*$H$1)+(J14/MAX(J:J)*$J$1)+(K14/MAX(K:K)*$K$1)+(I14/MAX(I:I)*$I$1)++(L14/MAX(L:L)*$L$1)++(M14/MAX(M:M)*$M$1)+(N14/MAX(N:N)*$N$1)</f>
        <v/>
      </c>
      <c r="C14" s="156">
        <f>IFERROR(VLOOKUP(D14,AllPlayers!F:F,1,0),"------------")</f>
        <v/>
      </c>
      <c r="D14" s="156" t="inlineStr">
        <is>
          <t>Laviska Shenault</t>
        </is>
      </c>
      <c r="E14" s="156">
        <f>VLOOKUP(D14,AllPlayers!Q:R,2,0)</f>
        <v/>
      </c>
      <c r="F14" s="156" t="n">
        <v>9</v>
      </c>
      <c r="G14" s="156" t="n">
        <v>16</v>
      </c>
      <c r="H14" s="156" t="n">
        <v>459</v>
      </c>
      <c r="I14" s="156" t="n">
        <v>97</v>
      </c>
      <c r="J14" s="156" t="n">
        <v>1</v>
      </c>
      <c r="K14" s="156" t="n">
        <v>0</v>
      </c>
      <c r="L14" s="156" t="n">
        <v>0</v>
      </c>
      <c r="M14" s="156" t="n">
        <v>0</v>
      </c>
      <c r="N14" s="156" t="n">
        <v>0</v>
      </c>
    </row>
    <row r="15" ht="15.6" customHeight="1" s="152">
      <c r="A15" s="167">
        <f>D15&amp;E15</f>
        <v/>
      </c>
      <c r="B15" s="156">
        <f>(G15/MAX(I:I)*HI$1)+(H15/MAX(H:H)*$H$1)+(J15/MAX(J:J)*$J$1)+(K15/MAX(K:K)*$K$1)+(I15/MAX(I:I)*$I$1)++(L15/MAX(L:L)*$L$1)++(M15/MAX(M:M)*$M$1)+(N15/MAX(N:N)*$N$1)</f>
        <v/>
      </c>
      <c r="C15" s="156">
        <f>IFERROR(VLOOKUP(D15,AllPlayers!F:F,1,0),"------------")</f>
        <v/>
      </c>
      <c r="D15" s="156" t="inlineStr">
        <is>
          <t>Kenneth Gainwell</t>
        </is>
      </c>
      <c r="E15" s="156">
        <f>VLOOKUP(D15,AllPlayers!Q:R,2,0)</f>
        <v/>
      </c>
      <c r="F15" s="156" t="n">
        <v>10</v>
      </c>
      <c r="G15" s="156" t="n">
        <v>18</v>
      </c>
      <c r="H15" s="156" t="n">
        <v>456</v>
      </c>
      <c r="I15" s="156" t="n">
        <v>36</v>
      </c>
      <c r="J15" s="156" t="n">
        <v>0</v>
      </c>
      <c r="K15" s="156" t="n">
        <v>0</v>
      </c>
      <c r="L15" s="156" t="n">
        <v>0</v>
      </c>
      <c r="M15" s="156" t="n">
        <v>0</v>
      </c>
      <c r="N15" s="156" t="n">
        <v>0</v>
      </c>
    </row>
    <row r="16" ht="15.6" customHeight="1" s="152">
      <c r="A16" s="167">
        <f>D16&amp;E16</f>
        <v/>
      </c>
      <c r="B16" s="156">
        <f>(G16/MAX(I:I)*HI$1)+(H16/MAX(H:H)*$H$1)+(J16/MAX(J:J)*$J$1)+(K16/MAX(K:K)*$K$1)+(I16/MAX(I:I)*$I$1)++(L16/MAX(L:L)*$L$1)++(M16/MAX(M:M)*$M$1)+(N16/MAX(N:N)*$N$1)</f>
        <v/>
      </c>
      <c r="C16" s="156">
        <f>IFERROR(VLOOKUP(D16,AllPlayers!F:F,1,0),"------------")</f>
        <v/>
      </c>
      <c r="D16" s="156" t="inlineStr">
        <is>
          <t>Jordan Whittington</t>
        </is>
      </c>
      <c r="E16" s="156">
        <f>VLOOKUP(D16,AllPlayers!Q:R,2,0)</f>
        <v/>
      </c>
      <c r="F16" s="156" t="n">
        <v>9</v>
      </c>
      <c r="G16" s="156" t="n">
        <v>16</v>
      </c>
      <c r="H16" s="156" t="n">
        <v>453</v>
      </c>
      <c r="I16" s="156" t="n">
        <v>43</v>
      </c>
      <c r="J16" s="156" t="n">
        <v>0</v>
      </c>
      <c r="K16" s="156" t="n">
        <v>0</v>
      </c>
      <c r="L16" s="156" t="n">
        <v>0</v>
      </c>
      <c r="M16" s="156" t="n">
        <v>0</v>
      </c>
      <c r="N16" s="156" t="n">
        <v>0</v>
      </c>
    </row>
    <row r="17" ht="15.6" customHeight="1" s="152">
      <c r="A17" s="167">
        <f>D17&amp;E17</f>
        <v/>
      </c>
      <c r="B17" s="156">
        <f>(G17/MAX(I:I)*HI$1)+(H17/MAX(H:H)*$H$1)+(J17/MAX(J:J)*$J$1)+(K17/MAX(K:K)*$K$1)+(I17/MAX(I:I)*$I$1)++(L17/MAX(L:L)*$L$1)++(M17/MAX(M:M)*$M$1)+(N17/MAX(N:N)*$N$1)</f>
        <v/>
      </c>
      <c r="C17" s="156">
        <f>IFERROR(VLOOKUP(D17,AllPlayers!F:F,1,0),"------------")</f>
        <v/>
      </c>
      <c r="D17" s="156" t="inlineStr">
        <is>
          <t>Malik Washington</t>
        </is>
      </c>
      <c r="E17" s="156">
        <f>VLOOKUP(D17,AllPlayers!Q:R,2,0)</f>
        <v/>
      </c>
      <c r="F17" s="156" t="n">
        <v>11</v>
      </c>
      <c r="G17" s="156" t="n">
        <v>14</v>
      </c>
      <c r="H17" s="156" t="n">
        <v>430</v>
      </c>
      <c r="I17" s="156" t="n">
        <v>67</v>
      </c>
      <c r="J17" s="156" t="n">
        <v>0</v>
      </c>
      <c r="K17" s="156" t="n">
        <v>18</v>
      </c>
      <c r="L17" s="156" t="n">
        <v>134</v>
      </c>
      <c r="M17" s="156" t="n">
        <v>25</v>
      </c>
      <c r="N17" s="156" t="n">
        <v>0</v>
      </c>
    </row>
    <row r="18" ht="15.6" customHeight="1" s="152">
      <c r="A18" s="167">
        <f>D18&amp;E18</f>
        <v/>
      </c>
      <c r="B18" s="156">
        <f>(G18/MAX(I:I)*HI$1)+(H18/MAX(H:H)*$H$1)+(J18/MAX(J:J)*$J$1)+(K18/MAX(K:K)*$K$1)+(I18/MAX(I:I)*$I$1)++(L18/MAX(L:L)*$L$1)++(M18/MAX(M:M)*$M$1)+(N18/MAX(N:N)*$N$1)</f>
        <v/>
      </c>
      <c r="C18" s="156">
        <f>IFERROR(VLOOKUP(D18,AllPlayers!F:F,1,0),"------------")</f>
        <v/>
      </c>
      <c r="D18" s="156" t="inlineStr">
        <is>
          <t>Jha'Quan Jackson</t>
        </is>
      </c>
      <c r="E18" s="156">
        <f>VLOOKUP(D18,AllPlayers!Q:R,2,0)</f>
        <v/>
      </c>
      <c r="F18" s="156" t="n">
        <v>12</v>
      </c>
      <c r="G18" s="156" t="n">
        <v>16</v>
      </c>
      <c r="H18" s="156" t="n">
        <v>412</v>
      </c>
      <c r="I18" s="156" t="n">
        <v>34</v>
      </c>
      <c r="J18" s="156" t="n">
        <v>0</v>
      </c>
      <c r="K18" s="156" t="n">
        <v>28</v>
      </c>
      <c r="L18" s="156" t="n">
        <v>215</v>
      </c>
      <c r="M18" s="156" t="n">
        <v>40</v>
      </c>
      <c r="N18" s="156" t="n">
        <v>0</v>
      </c>
    </row>
    <row r="19" ht="15.6" customHeight="1" s="152">
      <c r="A19" s="167">
        <f>D19&amp;E19</f>
        <v/>
      </c>
      <c r="B19" s="156">
        <f>(G19/MAX(I:I)*HI$1)+(H19/MAX(H:H)*$H$1)+(J19/MAX(J:J)*$J$1)+(K19/MAX(K:K)*$K$1)+(I19/MAX(I:I)*$I$1)++(L19/MAX(L:L)*$L$1)++(M19/MAX(M:M)*$M$1)+(N19/MAX(N:N)*$N$1)</f>
        <v/>
      </c>
      <c r="C19" s="156">
        <f>IFERROR(VLOOKUP(D19,AllPlayers!F:F,1,0),"------------")</f>
        <v/>
      </c>
      <c r="D19" s="156" t="inlineStr">
        <is>
          <t>Sean Tucker</t>
        </is>
      </c>
      <c r="E19" s="156">
        <f>VLOOKUP(D19,AllPlayers!Q:R,2,0)</f>
        <v/>
      </c>
      <c r="F19" s="156" t="n">
        <v>10</v>
      </c>
      <c r="G19" s="156" t="n">
        <v>15</v>
      </c>
      <c r="H19" s="156" t="n">
        <v>410</v>
      </c>
      <c r="I19" s="156" t="n">
        <v>53</v>
      </c>
      <c r="J19" s="156" t="n">
        <v>0</v>
      </c>
      <c r="K19" s="156" t="n">
        <v>0</v>
      </c>
      <c r="L19" s="156" t="n">
        <v>0</v>
      </c>
      <c r="M19" s="156" t="n">
        <v>0</v>
      </c>
      <c r="N19" s="156" t="n">
        <v>0</v>
      </c>
    </row>
    <row r="20" ht="15.6" customHeight="1" s="152">
      <c r="A20" s="167">
        <f>D20&amp;E20</f>
        <v/>
      </c>
      <c r="B20" s="156">
        <f>(G20/MAX(I:I)*HI$1)+(H20/MAX(H:H)*$H$1)+(J20/MAX(J:J)*$J$1)+(K20/MAX(K:K)*$K$1)+(I20/MAX(I:I)*$I$1)++(L20/MAX(L:L)*$L$1)++(M20/MAX(M:M)*$M$1)+(N20/MAX(N:N)*$N$1)</f>
        <v/>
      </c>
      <c r="C20" s="156">
        <f>IFERROR(VLOOKUP(D20,AllPlayers!F:F,1,0),"------------")</f>
        <v/>
      </c>
      <c r="D20" s="156" t="inlineStr">
        <is>
          <t>Avery Williams</t>
        </is>
      </c>
      <c r="E20" s="156">
        <f>VLOOKUP(D20,AllPlayers!Q:R,2,0)</f>
        <v/>
      </c>
      <c r="F20" s="156" t="n">
        <v>15</v>
      </c>
      <c r="G20" s="156" t="n">
        <v>15</v>
      </c>
      <c r="H20" s="156" t="n">
        <v>408</v>
      </c>
      <c r="I20" s="156" t="n">
        <v>38</v>
      </c>
      <c r="J20" s="156" t="n">
        <v>0</v>
      </c>
      <c r="K20" s="156" t="n">
        <v>20</v>
      </c>
      <c r="L20" s="156" t="n">
        <v>185</v>
      </c>
      <c r="M20" s="156" t="n">
        <v>28</v>
      </c>
      <c r="N20" s="156" t="n">
        <v>0</v>
      </c>
    </row>
    <row r="21" ht="15.6" customHeight="1" s="152">
      <c r="A21" s="167">
        <f>D21&amp;E21</f>
        <v/>
      </c>
      <c r="B21" s="156">
        <f>(G21/MAX(I:I)*HI$1)+(H21/MAX(H:H)*$H$1)+(J21/MAX(J:J)*$J$1)+(K21/MAX(K:K)*$K$1)+(I21/MAX(I:I)*$I$1)++(L21/MAX(L:L)*$L$1)++(M21/MAX(M:M)*$M$1)+(N21/MAX(N:N)*$N$1)</f>
        <v/>
      </c>
      <c r="C21" s="156">
        <f>IFERROR(VLOOKUP(D21,AllPlayers!F:F,1,0),"------------")</f>
        <v/>
      </c>
      <c r="D21" s="156" t="inlineStr">
        <is>
          <t>Jerome Ford</t>
        </is>
      </c>
      <c r="E21" s="156">
        <f>VLOOKUP(D21,AllPlayers!Q:R,2,0)</f>
        <v/>
      </c>
      <c r="F21" s="156" t="n">
        <v>7</v>
      </c>
      <c r="G21" s="156" t="n">
        <v>15</v>
      </c>
      <c r="H21" s="156" t="n">
        <v>388</v>
      </c>
      <c r="I21" s="156" t="n">
        <v>56</v>
      </c>
      <c r="J21" s="156" t="n">
        <v>0</v>
      </c>
      <c r="K21" s="156" t="n">
        <v>0</v>
      </c>
      <c r="L21" s="156" t="n">
        <v>0</v>
      </c>
      <c r="M21" s="156" t="n">
        <v>0</v>
      </c>
      <c r="N21" s="156" t="n">
        <v>0</v>
      </c>
    </row>
    <row r="22" ht="15.6" customHeight="1" s="152">
      <c r="A22" s="167">
        <f>D22&amp;E22</f>
        <v/>
      </c>
      <c r="B22" s="156">
        <f>(G22/MAX(I:I)*HI$1)+(H22/MAX(H:H)*$H$1)+(J22/MAX(J:J)*$J$1)+(K22/MAX(K:K)*$K$1)+(I22/MAX(I:I)*$I$1)++(L22/MAX(L:L)*$L$1)++(M22/MAX(M:M)*$M$1)+(N22/MAX(N:N)*$N$1)</f>
        <v/>
      </c>
      <c r="C22" s="156">
        <f>IFERROR(VLOOKUP(D22,AllPlayers!F:F,1,0),"------------")</f>
        <v/>
      </c>
      <c r="D22" s="156" t="inlineStr">
        <is>
          <t>Ihmir Smith-Marsette</t>
        </is>
      </c>
      <c r="E22" s="156">
        <f>VLOOKUP(D22,AllPlayers!Q:R,2,0)</f>
        <v/>
      </c>
      <c r="F22" s="156" t="n">
        <v>15</v>
      </c>
      <c r="G22" s="156" t="n">
        <v>11</v>
      </c>
      <c r="H22" s="156" t="n">
        <v>381</v>
      </c>
      <c r="I22" s="156" t="n">
        <v>100</v>
      </c>
      <c r="J22" s="156" t="n">
        <v>1</v>
      </c>
      <c r="K22" s="156" t="n">
        <v>29</v>
      </c>
      <c r="L22" s="156" t="n">
        <v>228</v>
      </c>
      <c r="M22" s="156" t="n">
        <v>46</v>
      </c>
      <c r="N22" s="156" t="n">
        <v>0</v>
      </c>
    </row>
    <row r="23" ht="15.6" customHeight="1" s="152">
      <c r="A23" s="167">
        <f>D23&amp;E23</f>
        <v/>
      </c>
      <c r="B23" s="156">
        <f>(G23/MAX(I:I)*HI$1)+(H23/MAX(H:H)*$H$1)+(J23/MAX(J:J)*$J$1)+(K23/MAX(K:K)*$K$1)+(I23/MAX(I:I)*$I$1)++(L23/MAX(L:L)*$L$1)++(M23/MAX(M:M)*$M$1)+(N23/MAX(N:N)*$N$1)</f>
        <v/>
      </c>
      <c r="C23" s="156">
        <f>IFERROR(VLOOKUP(D23,AllPlayers!F:F,1,0),"------------")</f>
        <v/>
      </c>
      <c r="D23" s="156" t="inlineStr">
        <is>
          <t>Jermaine Burton</t>
        </is>
      </c>
      <c r="E23" s="156">
        <f>VLOOKUP(D23,AllPlayers!Q:R,2,0)</f>
        <v/>
      </c>
      <c r="F23" s="156" t="n">
        <v>6</v>
      </c>
      <c r="G23" s="156" t="n">
        <v>13</v>
      </c>
      <c r="H23" s="156" t="n">
        <v>378</v>
      </c>
      <c r="I23" s="156" t="n">
        <v>38</v>
      </c>
      <c r="J23" s="156" t="n">
        <v>0</v>
      </c>
      <c r="K23" s="156" t="n">
        <v>0</v>
      </c>
      <c r="L23" s="156" t="n">
        <v>0</v>
      </c>
      <c r="M23" s="156" t="n">
        <v>0</v>
      </c>
      <c r="N23" s="156" t="n">
        <v>0</v>
      </c>
    </row>
    <row r="24" ht="15.6" customHeight="1" s="152">
      <c r="A24" s="167">
        <f>D24&amp;E24</f>
        <v/>
      </c>
      <c r="B24" s="156">
        <f>(G24/MAX(I:I)*HI$1)+(H24/MAX(H:H)*$H$1)+(J24/MAX(J:J)*$J$1)+(K24/MAX(K:K)*$K$1)+(I24/MAX(I:I)*$I$1)++(L24/MAX(L:L)*$L$1)++(M24/MAX(M:M)*$M$1)+(N24/MAX(N:N)*$N$1)</f>
        <v/>
      </c>
      <c r="C24" s="156">
        <f>IFERROR(VLOOKUP(D24,AllPlayers!F:F,1,0),"------------")</f>
        <v/>
      </c>
      <c r="D24" s="156" t="inlineStr">
        <is>
          <t>Ray-Ray McCloud</t>
        </is>
      </c>
      <c r="E24" s="156">
        <f>VLOOKUP(D24,AllPlayers!Q:R,2,0)</f>
        <v/>
      </c>
      <c r="F24" s="156" t="n">
        <v>9</v>
      </c>
      <c r="G24" s="156" t="n">
        <v>14</v>
      </c>
      <c r="H24" s="156" t="n">
        <v>361</v>
      </c>
      <c r="I24" s="156" t="n">
        <v>33</v>
      </c>
      <c r="J24" s="156" t="n">
        <v>0</v>
      </c>
      <c r="K24" s="156" t="n">
        <v>0</v>
      </c>
      <c r="L24" s="156" t="n">
        <v>0</v>
      </c>
      <c r="M24" s="156" t="n">
        <v>0</v>
      </c>
      <c r="N24" s="156" t="n">
        <v>0</v>
      </c>
    </row>
    <row r="25" ht="15.6" customHeight="1" s="152">
      <c r="A25" s="167">
        <f>D25&amp;E25</f>
        <v/>
      </c>
      <c r="B25" s="156">
        <f>(G25/MAX(I:I)*HI$1)+(H25/MAX(H:H)*$H$1)+(J25/MAX(J:J)*$J$1)+(K25/MAX(K:K)*$K$1)+(I25/MAX(I:I)*$I$1)++(L25/MAX(L:L)*$L$1)++(M25/MAX(M:M)*$M$1)+(N25/MAX(N:N)*$N$1)</f>
        <v/>
      </c>
      <c r="C25" s="156">
        <f>IFERROR(VLOOKUP(D25,AllPlayers!F:F,1,0),"------------")</f>
        <v/>
      </c>
      <c r="D25" s="156" t="inlineStr">
        <is>
          <t>Devin Duvernay</t>
        </is>
      </c>
      <c r="E25" s="156">
        <f>VLOOKUP(D25,AllPlayers!Q:R,2,0)</f>
        <v/>
      </c>
      <c r="F25" s="156" t="n">
        <v>12</v>
      </c>
      <c r="G25" s="156" t="n">
        <v>14</v>
      </c>
      <c r="H25" s="156" t="n">
        <v>351</v>
      </c>
      <c r="I25" s="156" t="n">
        <v>34</v>
      </c>
      <c r="J25" s="156" t="n">
        <v>0</v>
      </c>
      <c r="K25" s="156" t="n">
        <v>19</v>
      </c>
      <c r="L25" s="156" t="n">
        <v>167</v>
      </c>
      <c r="M25" s="156" t="n">
        <v>68</v>
      </c>
      <c r="N25" s="156" t="n">
        <v>0</v>
      </c>
    </row>
    <row r="26" ht="15.6" customHeight="1" s="152">
      <c r="A26" s="167">
        <f>D26&amp;E26</f>
        <v/>
      </c>
      <c r="B26" s="156">
        <f>(G26/MAX(I:I)*HI$1)+(H26/MAX(H:H)*$H$1)+(J26/MAX(J:J)*$J$1)+(K26/MAX(K:K)*$K$1)+(I26/MAX(I:I)*$I$1)++(L26/MAX(L:L)*$L$1)++(M26/MAX(M:M)*$M$1)+(N26/MAX(N:N)*$N$1)</f>
        <v/>
      </c>
      <c r="C26" s="156">
        <f>IFERROR(VLOOKUP(D26,AllPlayers!F:F,1,0),"------------")</f>
        <v/>
      </c>
      <c r="D26" s="156" t="inlineStr">
        <is>
          <t>Dameon Pierce</t>
        </is>
      </c>
      <c r="E26" s="156">
        <f>VLOOKUP(D26,AllPlayers!Q:R,2,0)</f>
        <v/>
      </c>
      <c r="F26" s="156" t="n">
        <v>6</v>
      </c>
      <c r="G26" s="156" t="n">
        <v>9</v>
      </c>
      <c r="H26" s="156" t="n">
        <v>339</v>
      </c>
      <c r="I26" s="156" t="n">
        <v>80</v>
      </c>
      <c r="J26" s="156" t="n">
        <v>0</v>
      </c>
      <c r="K26" s="156" t="n">
        <v>0</v>
      </c>
      <c r="L26" s="156" t="n">
        <v>0</v>
      </c>
      <c r="M26" s="156" t="n">
        <v>0</v>
      </c>
      <c r="N26" s="156" t="n">
        <v>0</v>
      </c>
    </row>
    <row r="27" ht="15.6" customHeight="1" s="152">
      <c r="A27" s="167">
        <f>D27&amp;E27</f>
        <v/>
      </c>
      <c r="B27" s="156">
        <f>(G27/MAX(I:I)*HI$1)+(H27/MAX(H:H)*$H$1)+(J27/MAX(J:J)*$J$1)+(K27/MAX(K:K)*$K$1)+(I27/MAX(I:I)*$I$1)++(L27/MAX(L:L)*$L$1)++(M27/MAX(M:M)*$M$1)+(N27/MAX(N:N)*$N$1)</f>
        <v/>
      </c>
      <c r="C27" s="156">
        <f>IFERROR(VLOOKUP(D27,AllPlayers!F:F,1,0),"------------")</f>
        <v/>
      </c>
      <c r="D27" s="156" t="inlineStr">
        <is>
          <t>Julius Chestnut</t>
        </is>
      </c>
      <c r="E27" s="156">
        <f>VLOOKUP(D27,AllPlayers!Q:R,2,0)</f>
        <v/>
      </c>
      <c r="F27" s="156" t="n">
        <v>5</v>
      </c>
      <c r="G27" s="156" t="n">
        <v>13</v>
      </c>
      <c r="H27" s="156" t="n">
        <v>337</v>
      </c>
      <c r="I27" s="156" t="n">
        <v>39</v>
      </c>
      <c r="J27" s="156" t="n">
        <v>0</v>
      </c>
      <c r="K27" s="156" t="n">
        <v>0</v>
      </c>
      <c r="L27" s="156" t="n">
        <v>0</v>
      </c>
      <c r="M27" s="156" t="n">
        <v>0</v>
      </c>
      <c r="N27" s="156" t="n">
        <v>0</v>
      </c>
    </row>
    <row r="28" ht="15.6" customHeight="1" s="152">
      <c r="A28" s="167">
        <f>D28&amp;E28</f>
        <v/>
      </c>
      <c r="B28" s="156">
        <f>(G28/MAX(I:I)*HI$1)+(H28/MAX(H:H)*$H$1)+(J28/MAX(J:J)*$J$1)+(K28/MAX(K:K)*$K$1)+(I28/MAX(I:I)*$I$1)++(L28/MAX(L:L)*$L$1)++(M28/MAX(M:M)*$M$1)+(N28/MAX(N:N)*$N$1)</f>
        <v/>
      </c>
      <c r="C28" s="156">
        <f>IFERROR(VLOOKUP(D28,AllPlayers!F:F,1,0),"------------")</f>
        <v/>
      </c>
      <c r="D28" s="156" t="inlineStr">
        <is>
          <t>Brandon Codrington</t>
        </is>
      </c>
      <c r="E28" s="156">
        <f>VLOOKUP(D28,AllPlayers!Q:R,2,0)</f>
        <v/>
      </c>
      <c r="F28" s="156" t="n">
        <v>16</v>
      </c>
      <c r="G28" s="156" t="n">
        <v>11</v>
      </c>
      <c r="H28" s="156" t="n">
        <v>306</v>
      </c>
      <c r="I28" s="156" t="n">
        <v>53</v>
      </c>
      <c r="J28" s="156" t="n">
        <v>0</v>
      </c>
      <c r="K28" s="156" t="n">
        <v>27</v>
      </c>
      <c r="L28" s="156" t="n">
        <v>313</v>
      </c>
      <c r="M28" s="156" t="n">
        <v>56</v>
      </c>
      <c r="N28" s="156" t="n">
        <v>0</v>
      </c>
    </row>
    <row r="29" ht="15.6" customHeight="1" s="152">
      <c r="A29" s="167">
        <f>D29&amp;E29</f>
        <v/>
      </c>
      <c r="B29" s="156">
        <f>(G29/MAX(I:I)*HI$1)+(H29/MAX(H:H)*$H$1)+(J29/MAX(J:J)*$J$1)+(K29/MAX(K:K)*$K$1)+(I29/MAX(I:I)*$I$1)++(L29/MAX(L:L)*$L$1)++(M29/MAX(M:M)*$M$1)+(N29/MAX(N:N)*$N$1)</f>
        <v/>
      </c>
      <c r="C29" s="156">
        <f>IFERROR(VLOOKUP(D29,AllPlayers!F:F,1,0),"------------")</f>
        <v/>
      </c>
      <c r="D29" s="156" t="inlineStr">
        <is>
          <t>Luke McCaffrey</t>
        </is>
      </c>
      <c r="E29" s="156">
        <f>VLOOKUP(D29,AllPlayers!Q:R,2,0)</f>
        <v/>
      </c>
      <c r="F29" s="156" t="n">
        <v>3</v>
      </c>
      <c r="G29" s="156" t="n">
        <v>10</v>
      </c>
      <c r="H29" s="156" t="n">
        <v>299</v>
      </c>
      <c r="I29" s="156" t="n">
        <v>47</v>
      </c>
      <c r="J29" s="156" t="n">
        <v>0</v>
      </c>
      <c r="K29" s="156" t="n">
        <v>0</v>
      </c>
      <c r="L29" s="156" t="n">
        <v>0</v>
      </c>
      <c r="M29" s="156" t="n">
        <v>0</v>
      </c>
      <c r="N29" s="156" t="n">
        <v>0</v>
      </c>
    </row>
    <row r="30" ht="15.6" customHeight="1" s="152">
      <c r="A30" s="167">
        <f>D30&amp;E30</f>
        <v/>
      </c>
      <c r="B30" s="156">
        <f>(G30/MAX(I:I)*HI$1)+(H30/MAX(H:H)*$H$1)+(J30/MAX(J:J)*$J$1)+(K30/MAX(K:K)*$K$1)+(I30/MAX(I:I)*$I$1)++(L30/MAX(L:L)*$L$1)++(M30/MAX(M:M)*$M$1)+(N30/MAX(N:N)*$N$1)</f>
        <v/>
      </c>
      <c r="C30" s="156">
        <f>IFERROR(VLOOKUP(D30,AllPlayers!F:F,1,0),"------------")</f>
        <v/>
      </c>
      <c r="D30" s="156" t="inlineStr">
        <is>
          <t>Ameer Abdullah</t>
        </is>
      </c>
      <c r="E30" s="156">
        <f>VLOOKUP(D30,AllPlayers!Q:R,2,0)</f>
        <v/>
      </c>
      <c r="F30" s="156" t="n">
        <v>9</v>
      </c>
      <c r="G30" s="156" t="n">
        <v>9</v>
      </c>
      <c r="H30" s="156" t="n">
        <v>296</v>
      </c>
      <c r="I30" s="156" t="n">
        <v>68</v>
      </c>
      <c r="J30" s="156" t="n">
        <v>0</v>
      </c>
      <c r="K30" s="156" t="n">
        <v>10</v>
      </c>
      <c r="L30" s="156" t="n">
        <v>91</v>
      </c>
      <c r="M30" s="156" t="n">
        <v>30</v>
      </c>
      <c r="N30" s="156" t="n">
        <v>0</v>
      </c>
    </row>
    <row r="31" ht="15.6" customHeight="1" s="152">
      <c r="A31" s="167">
        <f>D31&amp;E31</f>
        <v/>
      </c>
      <c r="B31" s="156">
        <f>(G31/MAX(I:I)*HI$1)+(H31/MAX(H:H)*$H$1)+(J31/MAX(J:J)*$J$1)+(K31/MAX(K:K)*$K$1)+(I31/MAX(I:I)*$I$1)++(L31/MAX(L:L)*$L$1)++(M31/MAX(M:M)*$M$1)+(N31/MAX(N:N)*$N$1)</f>
        <v/>
      </c>
      <c r="C31" s="156">
        <f>IFERROR(VLOOKUP(D31,AllPlayers!F:F,1,0),"------------")</f>
        <v/>
      </c>
      <c r="D31" s="156" t="inlineStr">
        <is>
          <t>Nikko Remigio</t>
        </is>
      </c>
      <c r="E31" s="156">
        <f>VLOOKUP(D31,AllPlayers!Q:R,2,0)</f>
        <v/>
      </c>
      <c r="F31" s="156" t="n">
        <v>5</v>
      </c>
      <c r="G31" s="156" t="n">
        <v>11</v>
      </c>
      <c r="H31" s="156" t="n">
        <v>295</v>
      </c>
      <c r="I31" s="156" t="n">
        <v>36</v>
      </c>
      <c r="J31" s="156" t="n">
        <v>0</v>
      </c>
      <c r="K31" s="156" t="n">
        <v>11</v>
      </c>
      <c r="L31" s="156" t="n">
        <v>104</v>
      </c>
      <c r="M31" s="156" t="n">
        <v>34</v>
      </c>
      <c r="N31" s="156" t="n">
        <v>0</v>
      </c>
    </row>
    <row r="32" ht="15.6" customHeight="1" s="152">
      <c r="A32" s="167">
        <f>D32&amp;E32</f>
        <v/>
      </c>
      <c r="B32" s="156">
        <f>(G32/MAX(I:I)*HI$1)+(H32/MAX(H:H)*$H$1)+(J32/MAX(J:J)*$J$1)+(K32/MAX(K:K)*$K$1)+(I32/MAX(I:I)*$I$1)++(L32/MAX(L:L)*$L$1)++(M32/MAX(M:M)*$M$1)+(N32/MAX(N:N)*$N$1)</f>
        <v/>
      </c>
      <c r="C32" s="156">
        <f>IFERROR(VLOOKUP(D32,AllPlayers!F:F,1,0),"------------")</f>
        <v/>
      </c>
      <c r="D32" s="156" t="inlineStr">
        <is>
          <t>Jamaal Williams</t>
        </is>
      </c>
      <c r="E32" s="156">
        <f>VLOOKUP(D32,AllPlayers!Q:R,2,0)</f>
        <v/>
      </c>
      <c r="F32" s="156" t="n">
        <v>6</v>
      </c>
      <c r="G32" s="156" t="n">
        <v>11</v>
      </c>
      <c r="H32" s="156" t="n">
        <v>288</v>
      </c>
      <c r="I32" s="156" t="n">
        <v>32</v>
      </c>
      <c r="J32" s="156" t="n">
        <v>0</v>
      </c>
      <c r="K32" s="156" t="n">
        <v>0</v>
      </c>
      <c r="L32" s="156" t="n">
        <v>0</v>
      </c>
      <c r="M32" s="156" t="n">
        <v>0</v>
      </c>
      <c r="N32" s="156" t="n">
        <v>0</v>
      </c>
    </row>
    <row r="33" ht="15.6" customHeight="1" s="152">
      <c r="A33" s="167">
        <f>D33&amp;E33</f>
        <v/>
      </c>
      <c r="B33" s="156">
        <f>(G33/MAX(I:I)*HI$1)+(H33/MAX(H:H)*$H$1)+(J33/MAX(J:J)*$J$1)+(K33/MAX(K:K)*$K$1)+(I33/MAX(I:I)*$I$1)++(L33/MAX(L:L)*$L$1)++(M33/MAX(M:M)*$M$1)+(N33/MAX(N:N)*$N$1)</f>
        <v/>
      </c>
      <c r="C33" s="156">
        <f>IFERROR(VLOOKUP(D33,AllPlayers!F:F,1,0),"------------")</f>
        <v/>
      </c>
      <c r="D33" s="156" t="inlineStr">
        <is>
          <t>Pierre Strong</t>
        </is>
      </c>
      <c r="E33" s="156">
        <f>VLOOKUP(D33,AllPlayers!Q:R,2,0)</f>
        <v/>
      </c>
      <c r="F33" s="156" t="n">
        <v>4</v>
      </c>
      <c r="G33" s="156" t="n">
        <v>11</v>
      </c>
      <c r="H33" s="156" t="n">
        <v>255</v>
      </c>
      <c r="I33" s="156" t="n">
        <v>27</v>
      </c>
      <c r="J33" s="156" t="n">
        <v>0</v>
      </c>
      <c r="K33" s="156" t="n">
        <v>0</v>
      </c>
      <c r="L33" s="156" t="n">
        <v>0</v>
      </c>
      <c r="M33" s="156" t="n">
        <v>0</v>
      </c>
      <c r="N33" s="156" t="n">
        <v>0</v>
      </c>
    </row>
    <row r="34" ht="15.6" customHeight="1" s="152">
      <c r="A34" s="167">
        <f>D34&amp;E34</f>
        <v/>
      </c>
      <c r="B34" s="156">
        <f>(G34/MAX(I:I)*HI$1)+(H34/MAX(H:H)*$H$1)+(J34/MAX(J:J)*$J$1)+(K34/MAX(K:K)*$K$1)+(I34/MAX(I:I)*$I$1)++(L34/MAX(L:L)*$L$1)++(M34/MAX(M:M)*$M$1)+(N34/MAX(N:N)*$N$1)</f>
        <v/>
      </c>
      <c r="C34" s="156">
        <f>IFERROR(VLOOKUP(D34,AllPlayers!F:F,1,0),"------------")</f>
        <v/>
      </c>
      <c r="D34" s="156" t="inlineStr">
        <is>
          <t>Dee Williams</t>
        </is>
      </c>
      <c r="E34" s="156">
        <f>VLOOKUP(D34,AllPlayers!Q:R,2,0)</f>
        <v/>
      </c>
      <c r="F34" s="156" t="n">
        <v>11</v>
      </c>
      <c r="G34" s="156" t="n">
        <v>9</v>
      </c>
      <c r="H34" s="156" t="n">
        <v>254</v>
      </c>
      <c r="I34" s="156" t="n">
        <v>39</v>
      </c>
      <c r="J34" s="156" t="n">
        <v>0</v>
      </c>
      <c r="K34" s="156" t="n">
        <v>15</v>
      </c>
      <c r="L34" s="156" t="n">
        <v>111</v>
      </c>
      <c r="M34" s="156" t="n">
        <v>38</v>
      </c>
      <c r="N34" s="156" t="n">
        <v>0</v>
      </c>
    </row>
    <row r="35" ht="15.6" customHeight="1" s="152">
      <c r="A35" s="167">
        <f>D35&amp;E35</f>
        <v/>
      </c>
      <c r="B35" s="156">
        <f>(G35/MAX(I:I)*HI$1)+(H35/MAX(H:H)*$H$1)+(J35/MAX(J:J)*$J$1)+(K35/MAX(K:K)*$K$1)+(I35/MAX(I:I)*$I$1)++(L35/MAX(L:L)*$L$1)++(M35/MAX(M:M)*$M$1)+(N35/MAX(N:N)*$N$1)</f>
        <v/>
      </c>
      <c r="C35" s="156">
        <f>IFERROR(VLOOKUP(D35,AllPlayers!F:F,1,0),"------------")</f>
        <v/>
      </c>
      <c r="D35" s="156" t="inlineStr">
        <is>
          <t>Cordarrelle Patterson</t>
        </is>
      </c>
      <c r="E35" s="156">
        <f>VLOOKUP(D35,AllPlayers!Q:R,2,0)</f>
        <v/>
      </c>
      <c r="F35" s="156" t="n">
        <v>6</v>
      </c>
      <c r="G35" s="156" t="n">
        <v>11</v>
      </c>
      <c r="H35" s="156" t="n">
        <v>240</v>
      </c>
      <c r="I35" s="156" t="n">
        <v>33</v>
      </c>
      <c r="J35" s="156" t="n">
        <v>0</v>
      </c>
      <c r="K35" s="156" t="n">
        <v>0</v>
      </c>
      <c r="L35" s="156" t="n">
        <v>0</v>
      </c>
      <c r="M35" s="156" t="n">
        <v>0</v>
      </c>
      <c r="N35" s="156" t="n">
        <v>0</v>
      </c>
    </row>
    <row r="36" ht="15.6" customHeight="1" s="152">
      <c r="A36" s="167">
        <f>D36&amp;E36</f>
        <v/>
      </c>
      <c r="B36" s="156">
        <f>(G36/MAX(I:I)*HI$1)+(H36/MAX(H:H)*$H$1)+(J36/MAX(J:J)*$J$1)+(K36/MAX(K:K)*$K$1)+(I36/MAX(I:I)*$I$1)++(L36/MAX(L:L)*$L$1)++(M36/MAX(M:M)*$M$1)+(N36/MAX(N:N)*$N$1)</f>
        <v/>
      </c>
      <c r="C36" s="156">
        <f>IFERROR(VLOOKUP(D36,AllPlayers!F:F,1,0),"------------")</f>
        <v/>
      </c>
      <c r="D36" s="156" t="inlineStr">
        <is>
          <t>Antonio Gibson</t>
        </is>
      </c>
      <c r="E36" s="156">
        <f>VLOOKUP(D36,AllPlayers!Q:R,2,0)</f>
        <v/>
      </c>
      <c r="F36" s="156" t="n">
        <v>6</v>
      </c>
      <c r="G36" s="156" t="n">
        <v>9</v>
      </c>
      <c r="H36" s="156" t="n">
        <v>239</v>
      </c>
      <c r="I36" s="156" t="n">
        <v>42</v>
      </c>
      <c r="J36" s="156" t="n">
        <v>0</v>
      </c>
      <c r="K36" s="156" t="n">
        <v>0</v>
      </c>
      <c r="L36" s="156" t="n">
        <v>0</v>
      </c>
      <c r="M36" s="156" t="n">
        <v>0</v>
      </c>
      <c r="N36" s="156" t="n">
        <v>0</v>
      </c>
    </row>
    <row r="37" ht="15.6" customHeight="1" s="152">
      <c r="A37" s="167">
        <f>D37&amp;E37</f>
        <v/>
      </c>
      <c r="B37" s="156">
        <f>(G37/MAX(I:I)*HI$1)+(H37/MAX(H:H)*$H$1)+(J37/MAX(J:J)*$J$1)+(K37/MAX(K:K)*$K$1)+(I37/MAX(I:I)*$I$1)++(L37/MAX(L:L)*$L$1)++(M37/MAX(M:M)*$M$1)+(N37/MAX(N:N)*$N$1)</f>
        <v/>
      </c>
      <c r="C37" s="156">
        <f>IFERROR(VLOOKUP(D37,AllPlayers!F:F,1,0),"------------")</f>
        <v/>
      </c>
      <c r="D37" s="156" t="inlineStr">
        <is>
          <t>JaMycal Hasty</t>
        </is>
      </c>
      <c r="E37" s="156">
        <f>VLOOKUP(D37,AllPlayers!Q:R,2,0)</f>
        <v/>
      </c>
      <c r="F37" s="156" t="n">
        <v>5</v>
      </c>
      <c r="G37" s="156" t="n">
        <v>10</v>
      </c>
      <c r="H37" s="156" t="n">
        <v>238</v>
      </c>
      <c r="I37" s="156" t="n">
        <v>30</v>
      </c>
      <c r="J37" s="156" t="n">
        <v>0</v>
      </c>
      <c r="K37" s="156" t="n">
        <v>0</v>
      </c>
      <c r="L37" s="156" t="n">
        <v>0</v>
      </c>
      <c r="M37" s="156" t="n">
        <v>0</v>
      </c>
      <c r="N37" s="156" t="n">
        <v>0</v>
      </c>
    </row>
    <row r="38" ht="15.6" customHeight="1" s="152">
      <c r="A38" s="167">
        <f>D38&amp;E38</f>
        <v/>
      </c>
      <c r="B38" s="156">
        <f>(G38/MAX(I:I)*HI$1)+(H38/MAX(H:H)*$H$1)+(J38/MAX(J:J)*$J$1)+(K38/MAX(K:K)*$K$1)+(I38/MAX(I:I)*$I$1)++(L38/MAX(L:L)*$L$1)++(M38/MAX(M:M)*$M$1)+(N38/MAX(N:N)*$N$1)</f>
        <v/>
      </c>
      <c r="C38" s="156">
        <f>IFERROR(VLOOKUP(D38,AllPlayers!F:F,1,0),"------------")</f>
        <v/>
      </c>
      <c r="D38" s="156" t="inlineStr">
        <is>
          <t>Tyler Goodson</t>
        </is>
      </c>
      <c r="E38" s="156">
        <f>VLOOKUP(D38,AllPlayers!Q:R,2,0)</f>
        <v/>
      </c>
      <c r="F38" s="156" t="n">
        <v>6</v>
      </c>
      <c r="G38" s="156" t="n">
        <v>9</v>
      </c>
      <c r="H38" s="156" t="n">
        <v>237</v>
      </c>
      <c r="I38" s="156" t="n">
        <v>36</v>
      </c>
      <c r="J38" s="156" t="n">
        <v>0</v>
      </c>
      <c r="K38" s="156" t="n">
        <v>0</v>
      </c>
      <c r="L38" s="156" t="n">
        <v>0</v>
      </c>
      <c r="M38" s="156" t="n">
        <v>0</v>
      </c>
      <c r="N38" s="156" t="n">
        <v>0</v>
      </c>
    </row>
    <row r="39" ht="15.6" customHeight="1" s="152">
      <c r="A39" s="167">
        <f>D39&amp;E39</f>
        <v/>
      </c>
      <c r="B39" s="156">
        <f>(G39/MAX(I:I)*HI$1)+(H39/MAX(H:H)*$H$1)+(J39/MAX(J:J)*$J$1)+(K39/MAX(K:K)*$K$1)+(I39/MAX(I:I)*$I$1)++(L39/MAX(L:L)*$L$1)++(M39/MAX(M:M)*$M$1)+(N39/MAX(N:N)*$N$1)</f>
        <v/>
      </c>
      <c r="C39" s="156">
        <f>IFERROR(VLOOKUP(D39,AllPlayers!F:F,1,0),"------------")</f>
        <v/>
      </c>
      <c r="D39" s="156" t="inlineStr">
        <is>
          <t>Isaiah Davis</t>
        </is>
      </c>
      <c r="E39" s="156">
        <f>VLOOKUP(D39,AllPlayers!Q:R,2,0)</f>
        <v/>
      </c>
      <c r="F39" s="156" t="n">
        <v>6</v>
      </c>
      <c r="G39" s="156" t="n">
        <v>9</v>
      </c>
      <c r="H39" s="156" t="n">
        <v>232</v>
      </c>
      <c r="I39" s="156" t="n">
        <v>33</v>
      </c>
      <c r="J39" s="156" t="n">
        <v>0</v>
      </c>
      <c r="K39" s="156" t="n">
        <v>0</v>
      </c>
      <c r="L39" s="156" t="n">
        <v>0</v>
      </c>
      <c r="M39" s="156" t="n">
        <v>0</v>
      </c>
      <c r="N39" s="156" t="n">
        <v>0</v>
      </c>
    </row>
    <row r="40" ht="15.6" customHeight="1" s="152">
      <c r="A40" s="167">
        <f>D40&amp;E40</f>
        <v/>
      </c>
      <c r="B40" s="156">
        <f>(G40/MAX(I:I)*HI$1)+(H40/MAX(H:H)*$H$1)+(J40/MAX(J:J)*$J$1)+(K40/MAX(K:K)*$K$1)+(I40/MAX(I:I)*$I$1)++(L40/MAX(L:L)*$L$1)++(M40/MAX(M:M)*$M$1)+(N40/MAX(N:N)*$N$1)</f>
        <v/>
      </c>
      <c r="C40" s="156">
        <f>IFERROR(VLOOKUP(D40,AllPlayers!F:F,1,0),"------------")</f>
        <v/>
      </c>
      <c r="D40" s="156" t="inlineStr">
        <is>
          <t>Jaylen Warren</t>
        </is>
      </c>
      <c r="E40" s="156">
        <f>VLOOKUP(D40,AllPlayers!Q:R,2,0)</f>
        <v/>
      </c>
      <c r="F40" s="156" t="n">
        <v>7</v>
      </c>
      <c r="G40" s="156" t="n">
        <v>9</v>
      </c>
      <c r="H40" s="156" t="n">
        <v>227</v>
      </c>
      <c r="I40" s="156" t="n">
        <v>35</v>
      </c>
      <c r="J40" s="156" t="n">
        <v>0</v>
      </c>
      <c r="K40" s="156" t="n">
        <v>0</v>
      </c>
      <c r="L40" s="156" t="n">
        <v>0</v>
      </c>
      <c r="M40" s="156" t="n">
        <v>0</v>
      </c>
      <c r="N40" s="156" t="n">
        <v>0</v>
      </c>
    </row>
    <row r="41" ht="15.6" customHeight="1" s="152">
      <c r="A41" s="167">
        <f>D41&amp;E41</f>
        <v/>
      </c>
      <c r="B41" s="156">
        <f>(G41/MAX(I:I)*HI$1)+(H41/MAX(H:H)*$H$1)+(J41/MAX(J:J)*$J$1)+(K41/MAX(K:K)*$K$1)+(I41/MAX(I:I)*$I$1)++(L41/MAX(L:L)*$L$1)++(M41/MAX(M:M)*$M$1)+(N41/MAX(N:N)*$N$1)</f>
        <v/>
      </c>
      <c r="C41" s="156">
        <f>IFERROR(VLOOKUP(D41,AllPlayers!F:F,1,0),"------------")</f>
        <v/>
      </c>
      <c r="D41" s="156" t="inlineStr">
        <is>
          <t>Isaiah Rodgers</t>
        </is>
      </c>
      <c r="E41" s="156">
        <f>VLOOKUP(D41,AllPlayers!Q:R,2,0)</f>
        <v/>
      </c>
      <c r="F41" s="156" t="n">
        <v>4</v>
      </c>
      <c r="G41" s="156" t="n">
        <v>8</v>
      </c>
      <c r="H41" s="156" t="n">
        <v>225</v>
      </c>
      <c r="I41" s="156" t="n">
        <v>51</v>
      </c>
      <c r="J41" s="156" t="n">
        <v>0</v>
      </c>
      <c r="K41" s="156" t="n">
        <v>0</v>
      </c>
      <c r="L41" s="156" t="n">
        <v>0</v>
      </c>
      <c r="M41" s="156" t="n">
        <v>0</v>
      </c>
      <c r="N41" s="156" t="n">
        <v>0</v>
      </c>
    </row>
    <row r="42" ht="15.6" customHeight="1" s="152">
      <c r="A42" s="167">
        <f>D42&amp;E42</f>
        <v/>
      </c>
      <c r="B42" s="156">
        <f>(G42/MAX(I:I)*HI$1)+(H42/MAX(H:H)*$H$1)+(J42/MAX(J:J)*$J$1)+(K42/MAX(K:K)*$K$1)+(I42/MAX(I:I)*$I$1)++(L42/MAX(L:L)*$L$1)++(M42/MAX(M:M)*$M$1)+(N42/MAX(N:N)*$N$1)</f>
        <v/>
      </c>
      <c r="C42" s="156">
        <f>IFERROR(VLOOKUP(D42,AllPlayers!F:F,1,0),"------------")</f>
        <v/>
      </c>
      <c r="D42" s="156" t="inlineStr">
        <is>
          <t>Chris Collier</t>
        </is>
      </c>
      <c r="E42" s="156">
        <f>VLOOKUP(D42,AllPlayers!Q:R,2,0)</f>
        <v/>
      </c>
      <c r="F42" s="156" t="n">
        <v>4</v>
      </c>
      <c r="G42" s="156" t="n">
        <v>10</v>
      </c>
      <c r="H42" s="156" t="n">
        <v>221</v>
      </c>
      <c r="I42" s="156" t="n">
        <v>35</v>
      </c>
      <c r="J42" s="156" t="n">
        <v>0</v>
      </c>
      <c r="K42" s="156" t="n">
        <v>0</v>
      </c>
      <c r="L42" s="156" t="n">
        <v>0</v>
      </c>
      <c r="M42" s="156" t="n">
        <v>0</v>
      </c>
      <c r="N42" s="156" t="n">
        <v>0</v>
      </c>
    </row>
    <row r="43" ht="15.6" customHeight="1" s="152">
      <c r="A43" s="167">
        <f>D43&amp;E43</f>
        <v/>
      </c>
      <c r="B43" s="156">
        <f>(G43/MAX(I:I)*HI$1)+(H43/MAX(H:H)*$H$1)+(J43/MAX(J:J)*$J$1)+(K43/MAX(K:K)*$K$1)+(I43/MAX(I:I)*$I$1)++(L43/MAX(L:L)*$L$1)++(M43/MAX(M:M)*$M$1)+(N43/MAX(N:N)*$N$1)</f>
        <v/>
      </c>
      <c r="C43" s="156">
        <f>IFERROR(VLOOKUP(D43,AllPlayers!F:F,1,0),"------------")</f>
        <v/>
      </c>
      <c r="D43" s="156" t="inlineStr">
        <is>
          <t>Tyler Scott</t>
        </is>
      </c>
      <c r="E43" s="156">
        <f>VLOOKUP(D43,AllPlayers!Q:R,2,0)</f>
        <v/>
      </c>
      <c r="F43" s="156" t="n">
        <v>3</v>
      </c>
      <c r="G43" s="156" t="n">
        <v>8</v>
      </c>
      <c r="H43" s="156" t="n">
        <v>207</v>
      </c>
      <c r="I43" s="156" t="n">
        <v>36</v>
      </c>
      <c r="J43" s="156" t="n">
        <v>0</v>
      </c>
      <c r="K43" s="156" t="n">
        <v>0</v>
      </c>
      <c r="L43" s="156" t="n">
        <v>0</v>
      </c>
      <c r="M43" s="156" t="n">
        <v>0</v>
      </c>
      <c r="N43" s="156" t="n">
        <v>0</v>
      </c>
    </row>
    <row r="44" ht="15.6" customHeight="1" s="152">
      <c r="A44" s="167">
        <f>D44&amp;E44</f>
        <v/>
      </c>
      <c r="B44" s="156">
        <f>(G44/MAX(I:I)*HI$1)+(H44/MAX(H:H)*$H$1)+(J44/MAX(J:J)*$J$1)+(K44/MAX(K:K)*$K$1)+(I44/MAX(I:I)*$I$1)++(L44/MAX(L:L)*$L$1)++(M44/MAX(M:M)*$M$1)+(N44/MAX(N:N)*$N$1)</f>
        <v/>
      </c>
      <c r="C44" s="156">
        <f>IFERROR(VLOOKUP(D44,AllPlayers!F:F,1,0),"------------")</f>
        <v/>
      </c>
      <c r="D44" s="156" t="inlineStr">
        <is>
          <t>Anthony Gould</t>
        </is>
      </c>
      <c r="E44" s="156">
        <f>VLOOKUP(D44,AllPlayers!Q:R,2,0)</f>
        <v/>
      </c>
      <c r="F44" s="156" t="n">
        <v>7</v>
      </c>
      <c r="G44" s="156" t="n">
        <v>7</v>
      </c>
      <c r="H44" s="156" t="n">
        <v>206</v>
      </c>
      <c r="I44" s="156" t="n">
        <v>40</v>
      </c>
      <c r="J44" s="156" t="n">
        <v>0</v>
      </c>
      <c r="K44" s="156" t="n">
        <v>10</v>
      </c>
      <c r="L44" s="156" t="n">
        <v>95</v>
      </c>
      <c r="M44" s="156" t="n">
        <v>36</v>
      </c>
      <c r="N44" s="156" t="n">
        <v>0</v>
      </c>
    </row>
    <row r="45" ht="15.6" customHeight="1" s="152">
      <c r="A45" s="167">
        <f>D45&amp;E45</f>
        <v/>
      </c>
      <c r="B45" s="156">
        <f>(G45/MAX(I:I)*HI$1)+(H45/MAX(H:H)*$H$1)+(J45/MAX(J:J)*$J$1)+(K45/MAX(K:K)*$K$1)+(I45/MAX(I:I)*$I$1)++(L45/MAX(L:L)*$L$1)++(M45/MAX(M:M)*$M$1)+(N45/MAX(N:N)*$N$1)</f>
        <v/>
      </c>
      <c r="C45" s="156">
        <f>IFERROR(VLOOKUP(D45,AllPlayers!F:F,1,0),"------------")</f>
        <v/>
      </c>
      <c r="D45" s="156" t="inlineStr">
        <is>
          <t>Ty Chandler</t>
        </is>
      </c>
      <c r="E45" s="156">
        <f>VLOOKUP(D45,AllPlayers!Q:R,2,0)</f>
        <v/>
      </c>
      <c r="F45" s="156" t="n">
        <v>6</v>
      </c>
      <c r="G45" s="156" t="n">
        <v>8</v>
      </c>
      <c r="H45" s="156" t="n">
        <v>205</v>
      </c>
      <c r="I45" s="156" t="n">
        <v>35</v>
      </c>
      <c r="J45" s="156" t="n">
        <v>0</v>
      </c>
      <c r="K45" s="156" t="n">
        <v>0</v>
      </c>
      <c r="L45" s="156" t="n">
        <v>0</v>
      </c>
      <c r="M45" s="156" t="n">
        <v>0</v>
      </c>
      <c r="N45" s="156" t="n">
        <v>0</v>
      </c>
    </row>
    <row r="46" ht="15.6" customHeight="1" s="152">
      <c r="A46" s="167">
        <f>D46&amp;E46</f>
        <v/>
      </c>
      <c r="B46" s="156">
        <f>(G46/MAX(I:I)*HI$1)+(H46/MAX(H:H)*$H$1)+(J46/MAX(J:J)*$J$1)+(K46/MAX(K:K)*$K$1)+(I46/MAX(I:I)*$I$1)++(L46/MAX(L:L)*$L$1)++(M46/MAX(M:M)*$M$1)+(N46/MAX(N:N)*$N$1)</f>
        <v/>
      </c>
      <c r="C46" s="156">
        <f>IFERROR(VLOOKUP(D46,AllPlayers!F:F,1,0),"------------")</f>
        <v/>
      </c>
      <c r="D46" s="156" t="inlineStr">
        <is>
          <t>Charlie Jones</t>
        </is>
      </c>
      <c r="E46" s="156">
        <f>VLOOKUP(D46,AllPlayers!Q:R,2,0)</f>
        <v/>
      </c>
      <c r="F46" s="156" t="n">
        <v>7</v>
      </c>
      <c r="G46" s="156" t="n">
        <v>5</v>
      </c>
      <c r="H46" s="156" t="n">
        <v>200</v>
      </c>
      <c r="I46" s="156" t="n">
        <v>100</v>
      </c>
      <c r="J46" s="156" t="n">
        <v>1</v>
      </c>
      <c r="K46" s="156" t="n">
        <v>14</v>
      </c>
      <c r="L46" s="156" t="n">
        <v>99</v>
      </c>
      <c r="M46" s="156" t="n">
        <v>39</v>
      </c>
      <c r="N46" s="156" t="n">
        <v>0</v>
      </c>
    </row>
    <row r="47" ht="15.6" customHeight="1" s="152">
      <c r="A47" s="167">
        <f>D47&amp;E47</f>
        <v/>
      </c>
      <c r="B47" s="156">
        <f>(G47/MAX(I:I)*HI$1)+(H47/MAX(H:H)*$H$1)+(J47/MAX(J:J)*$J$1)+(K47/MAX(K:K)*$K$1)+(I47/MAX(I:I)*$I$1)++(L47/MAX(L:L)*$L$1)++(M47/MAX(M:M)*$M$1)+(N47/MAX(N:N)*$N$1)</f>
        <v/>
      </c>
      <c r="C47" s="156">
        <f>IFERROR(VLOOKUP(D47,AllPlayers!F:F,1,0),"------------")</f>
        <v/>
      </c>
      <c r="D47" s="156" t="inlineStr">
        <is>
          <t>Jaelon Darden</t>
        </is>
      </c>
      <c r="E47" s="156">
        <f>VLOOKUP(D47,AllPlayers!Q:R,2,0)</f>
        <v/>
      </c>
      <c r="F47" s="156" t="n">
        <v>5</v>
      </c>
      <c r="G47" s="156" t="n">
        <v>7</v>
      </c>
      <c r="H47" s="156" t="n">
        <v>199</v>
      </c>
      <c r="I47" s="156" t="n">
        <v>37</v>
      </c>
      <c r="J47" s="156" t="n">
        <v>0</v>
      </c>
      <c r="K47" s="156" t="n">
        <v>10</v>
      </c>
      <c r="L47" s="156" t="n">
        <v>75</v>
      </c>
      <c r="M47" s="156" t="n">
        <v>32</v>
      </c>
      <c r="N47" s="156" t="n">
        <v>0</v>
      </c>
    </row>
    <row r="48" ht="15.6" customHeight="1" s="152">
      <c r="A48" s="167">
        <f>D48&amp;E48</f>
        <v/>
      </c>
      <c r="B48" s="156">
        <f>(G48/MAX(I:I)*HI$1)+(H48/MAX(H:H)*$H$1)+(J48/MAX(J:J)*$J$1)+(K48/MAX(K:K)*$K$1)+(I48/MAX(I:I)*$I$1)++(L48/MAX(L:L)*$L$1)++(M48/MAX(M:M)*$M$1)+(N48/MAX(N:N)*$N$1)</f>
        <v/>
      </c>
      <c r="C48" s="156">
        <f>IFERROR(VLOOKUP(D48,AllPlayers!F:F,1,0),"------------")</f>
        <v/>
      </c>
      <c r="D48" s="156" t="inlineStr">
        <is>
          <t>Tyjae Spears</t>
        </is>
      </c>
      <c r="E48" s="156">
        <f>VLOOKUP(D48,AllPlayers!Q:R,2,0)</f>
        <v/>
      </c>
      <c r="F48" s="156" t="n">
        <v>5</v>
      </c>
      <c r="G48" s="156" t="n">
        <v>7</v>
      </c>
      <c r="H48" s="156" t="n">
        <v>198</v>
      </c>
      <c r="I48" s="156" t="n">
        <v>42</v>
      </c>
      <c r="J48" s="156" t="n">
        <v>0</v>
      </c>
      <c r="K48" s="156" t="n">
        <v>0</v>
      </c>
      <c r="L48" s="156" t="n">
        <v>0</v>
      </c>
      <c r="M48" s="156" t="n">
        <v>0</v>
      </c>
      <c r="N48" s="156" t="n">
        <v>0</v>
      </c>
    </row>
    <row r="49" ht="15.6" customHeight="1" s="152">
      <c r="A49" s="167">
        <f>D49&amp;E49</f>
        <v/>
      </c>
      <c r="B49" s="156">
        <f>(G49/MAX(I:I)*HI$1)+(H49/MAX(H:H)*$H$1)+(J49/MAX(J:J)*$J$1)+(K49/MAX(K:K)*$K$1)+(I49/MAX(I:I)*$I$1)++(L49/MAX(L:L)*$L$1)++(M49/MAX(M:M)*$M$1)+(N49/MAX(N:N)*$N$1)</f>
        <v/>
      </c>
      <c r="C49" s="156">
        <f>IFERROR(VLOOKUP(D49,AllPlayers!F:F,1,0),"------------")</f>
        <v/>
      </c>
      <c r="D49" s="156" t="inlineStr">
        <is>
          <t>Tank Bigsby</t>
        </is>
      </c>
      <c r="E49" s="156">
        <f>VLOOKUP(D49,AllPlayers!Q:R,2,0)</f>
        <v/>
      </c>
      <c r="F49" s="156" t="n">
        <v>3</v>
      </c>
      <c r="G49" s="156" t="n">
        <v>6</v>
      </c>
      <c r="H49" s="156" t="n">
        <v>195</v>
      </c>
      <c r="I49" s="156" t="n">
        <v>41</v>
      </c>
      <c r="J49" s="156" t="n">
        <v>0</v>
      </c>
      <c r="K49" s="156" t="n">
        <v>0</v>
      </c>
      <c r="L49" s="156" t="n">
        <v>0</v>
      </c>
      <c r="M49" s="156" t="n">
        <v>0</v>
      </c>
      <c r="N49" s="156" t="n">
        <v>0</v>
      </c>
    </row>
    <row r="50" ht="15.6" customHeight="1" s="152">
      <c r="A50" s="167">
        <f>D50&amp;E50</f>
        <v/>
      </c>
      <c r="B50" s="156">
        <f>(G50/MAX(I:I)*HI$1)+(H50/MAX(H:H)*$H$1)+(J50/MAX(J:J)*$J$1)+(K50/MAX(K:K)*$K$1)+(I50/MAX(I:I)*$I$1)++(L50/MAX(L:L)*$L$1)++(M50/MAX(M:M)*$M$1)+(N50/MAX(N:N)*$N$1)</f>
        <v/>
      </c>
      <c r="C50" s="156">
        <f>IFERROR(VLOOKUP(D50,AllPlayers!F:F,1,0),"------------")</f>
        <v/>
      </c>
      <c r="D50" s="156" t="inlineStr">
        <is>
          <t>Steven Sims</t>
        </is>
      </c>
      <c r="E50" s="156">
        <f>VLOOKUP(D50,AllPlayers!Q:R,2,0)</f>
        <v/>
      </c>
      <c r="F50" s="156" t="n">
        <v>6</v>
      </c>
      <c r="G50" s="156" t="n">
        <v>7</v>
      </c>
      <c r="H50" s="156" t="n">
        <v>195</v>
      </c>
      <c r="I50" s="156" t="n">
        <v>37</v>
      </c>
      <c r="J50" s="156" t="n">
        <v>0</v>
      </c>
      <c r="K50" s="156" t="n">
        <v>16</v>
      </c>
      <c r="L50" s="156" t="n">
        <v>99</v>
      </c>
      <c r="M50" s="156" t="n">
        <v>43</v>
      </c>
      <c r="N50" s="156" t="n">
        <v>0</v>
      </c>
    </row>
    <row r="51" ht="15.6" customHeight="1" s="152">
      <c r="A51" s="167">
        <f>D51&amp;E51</f>
        <v/>
      </c>
      <c r="B51" s="156">
        <f>(G51/MAX(I:I)*HI$1)+(H51/MAX(H:H)*$H$1)+(J51/MAX(J:J)*$J$1)+(K51/MAX(K:K)*$K$1)+(I51/MAX(I:I)*$I$1)++(L51/MAX(L:L)*$L$1)++(M51/MAX(M:M)*$M$1)+(N51/MAX(N:N)*$N$1)</f>
        <v/>
      </c>
      <c r="C51" s="156">
        <f>IFERROR(VLOOKUP(D51,AllPlayers!F:F,1,0),"------------")</f>
        <v/>
      </c>
      <c r="D51" s="156" t="inlineStr">
        <is>
          <t>Marvin Mims</t>
        </is>
      </c>
      <c r="E51" s="156">
        <f>VLOOKUP(D51,AllPlayers!Q:R,2,0)</f>
        <v/>
      </c>
      <c r="F51" s="156" t="n">
        <v>15</v>
      </c>
      <c r="G51" s="156" t="n">
        <v>7</v>
      </c>
      <c r="H51" s="156" t="n">
        <v>194</v>
      </c>
      <c r="I51" s="156" t="n">
        <v>38</v>
      </c>
      <c r="J51" s="156" t="n">
        <v>0</v>
      </c>
      <c r="K51" s="156" t="n">
        <v>26</v>
      </c>
      <c r="L51" s="156" t="n">
        <v>408</v>
      </c>
      <c r="M51" s="156" t="n">
        <v>97</v>
      </c>
      <c r="N51" s="156" t="n">
        <v>0</v>
      </c>
    </row>
    <row r="52" ht="15.6" customHeight="1" s="152">
      <c r="A52" s="167">
        <f>D52&amp;E52</f>
        <v/>
      </c>
      <c r="B52" s="156">
        <f>(G52/MAX(I:I)*HI$1)+(H52/MAX(H:H)*$H$1)+(J52/MAX(J:J)*$J$1)+(K52/MAX(K:K)*$K$1)+(I52/MAX(I:I)*$I$1)++(L52/MAX(L:L)*$L$1)++(M52/MAX(M:M)*$M$1)+(N52/MAX(N:N)*$N$1)</f>
        <v/>
      </c>
      <c r="C52" s="156">
        <f>IFERROR(VLOOKUP(D52,AllPlayers!F:F,1,0),"------------")</f>
        <v/>
      </c>
      <c r="D52" s="156" t="inlineStr">
        <is>
          <t>Jermaine Jackson</t>
        </is>
      </c>
      <c r="E52" s="156">
        <f>VLOOKUP(D52,AllPlayers!Q:R,2,0)</f>
        <v/>
      </c>
      <c r="F52" s="156" t="n">
        <v>4</v>
      </c>
      <c r="G52" s="156" t="n">
        <v>8</v>
      </c>
      <c r="H52" s="156" t="n">
        <v>187</v>
      </c>
      <c r="I52" s="156" t="n">
        <v>32</v>
      </c>
      <c r="J52" s="156" t="n">
        <v>0</v>
      </c>
      <c r="K52" s="156" t="n">
        <v>7</v>
      </c>
      <c r="L52" s="156" t="n">
        <v>68</v>
      </c>
      <c r="M52" s="156" t="n">
        <v>30</v>
      </c>
      <c r="N52" s="156" t="n">
        <v>0</v>
      </c>
    </row>
    <row r="53" ht="15.6" customHeight="1" s="152">
      <c r="A53" s="167">
        <f>D53&amp;E53</f>
        <v/>
      </c>
      <c r="B53" s="156">
        <f>(G53/MAX(I:I)*HI$1)+(H53/MAX(H:H)*$H$1)+(J53/MAX(J:J)*$J$1)+(K53/MAX(K:K)*$K$1)+(I53/MAX(I:I)*$I$1)++(L53/MAX(L:L)*$L$1)++(M53/MAX(M:M)*$M$1)+(N53/MAX(N:N)*$N$1)</f>
        <v/>
      </c>
      <c r="C53" s="156">
        <f>IFERROR(VLOOKUP(D53,AllPlayers!F:F,1,0),"------------")</f>
        <v/>
      </c>
      <c r="D53" s="156" t="inlineStr">
        <is>
          <t>Juanyeh Thomas</t>
        </is>
      </c>
      <c r="E53" s="156">
        <f>VLOOKUP(D53,AllPlayers!Q:R,2,0)</f>
        <v/>
      </c>
      <c r="F53" s="156" t="n">
        <v>3</v>
      </c>
      <c r="G53" s="156" t="n">
        <v>7</v>
      </c>
      <c r="H53" s="156" t="n">
        <v>187</v>
      </c>
      <c r="I53" s="156" t="n">
        <v>43</v>
      </c>
      <c r="J53" s="156" t="n">
        <v>1</v>
      </c>
      <c r="K53" s="156" t="n">
        <v>0</v>
      </c>
      <c r="L53" s="156" t="n">
        <v>0</v>
      </c>
      <c r="M53" s="156" t="n">
        <v>0</v>
      </c>
      <c r="N53" s="156" t="n">
        <v>0</v>
      </c>
    </row>
    <row r="54" ht="15.6" customHeight="1" s="152">
      <c r="A54" s="167">
        <f>D54&amp;E54</f>
        <v/>
      </c>
      <c r="B54" s="156">
        <f>(G54/MAX(I:I)*HI$1)+(H54/MAX(H:H)*$H$1)+(J54/MAX(J:J)*$J$1)+(K54/MAX(K:K)*$K$1)+(I54/MAX(I:I)*$I$1)++(L54/MAX(L:L)*$L$1)++(M54/MAX(M:M)*$M$1)+(N54/MAX(N:N)*$N$1)</f>
        <v/>
      </c>
      <c r="C54" s="156">
        <f>IFERROR(VLOOKUP(D54,AllPlayers!F:F,1,0),"------------")</f>
        <v/>
      </c>
      <c r="D54" s="156" t="inlineStr">
        <is>
          <t>Greg Dortch</t>
        </is>
      </c>
      <c r="E54" s="156">
        <f>VLOOKUP(D54,AllPlayers!Q:R,2,0)</f>
        <v/>
      </c>
      <c r="F54" s="156" t="n">
        <v>14</v>
      </c>
      <c r="G54" s="156" t="n">
        <v>7</v>
      </c>
      <c r="H54" s="156" t="n">
        <v>186</v>
      </c>
      <c r="I54" s="156" t="n">
        <v>31</v>
      </c>
      <c r="J54" s="156" t="n">
        <v>0</v>
      </c>
      <c r="K54" s="156" t="n">
        <v>21</v>
      </c>
      <c r="L54" s="156" t="n">
        <v>202</v>
      </c>
      <c r="M54" s="156" t="n">
        <v>65</v>
      </c>
      <c r="N54" s="156" t="n">
        <v>0</v>
      </c>
    </row>
    <row r="55" ht="15.6" customHeight="1" s="152">
      <c r="A55" s="167">
        <f>D55&amp;E55</f>
        <v/>
      </c>
      <c r="B55" s="156">
        <f>(G55/MAX(I:I)*HI$1)+(H55/MAX(H:H)*$H$1)+(J55/MAX(J:J)*$J$1)+(K55/MAX(K:K)*$K$1)+(I55/MAX(I:I)*$I$1)++(L55/MAX(L:L)*$L$1)++(M55/MAX(M:M)*$M$1)+(N55/MAX(N:N)*$N$1)</f>
        <v/>
      </c>
      <c r="C55" s="156">
        <f>IFERROR(VLOOKUP(D55,AllPlayers!F:F,1,0),"------------")</f>
        <v/>
      </c>
      <c r="D55" s="156" t="inlineStr">
        <is>
          <t>Blake Corum</t>
        </is>
      </c>
      <c r="E55" s="156">
        <f>VLOOKUP(D55,AllPlayers!Q:R,2,0)</f>
        <v/>
      </c>
      <c r="F55" s="156" t="n">
        <v>4</v>
      </c>
      <c r="G55" s="156" t="n">
        <v>7</v>
      </c>
      <c r="H55" s="156" t="n">
        <v>186</v>
      </c>
      <c r="I55" s="156" t="n">
        <v>41</v>
      </c>
      <c r="J55" s="156" t="n">
        <v>0</v>
      </c>
      <c r="K55" s="156" t="n">
        <v>0</v>
      </c>
      <c r="L55" s="156" t="n">
        <v>0</v>
      </c>
      <c r="M55" s="156" t="n">
        <v>0</v>
      </c>
      <c r="N55" s="156" t="n">
        <v>0</v>
      </c>
    </row>
    <row r="56" ht="15.6" customHeight="1" s="152">
      <c r="A56" s="167">
        <f>D56&amp;E56</f>
        <v/>
      </c>
      <c r="B56" s="156">
        <f>(G56/MAX(I:I)*HI$1)+(H56/MAX(H:H)*$H$1)+(J56/MAX(J:J)*$J$1)+(K56/MAX(K:K)*$K$1)+(I56/MAX(I:I)*$I$1)++(L56/MAX(L:L)*$L$1)++(M56/MAX(M:M)*$M$1)+(N56/MAX(N:N)*$N$1)</f>
        <v/>
      </c>
      <c r="C56" s="156">
        <f>IFERROR(VLOOKUP(D56,AllPlayers!F:F,1,0),"------------")</f>
        <v/>
      </c>
      <c r="D56" s="156" t="inlineStr">
        <is>
          <t>Chase Brown</t>
        </is>
      </c>
      <c r="E56" s="156">
        <f>VLOOKUP(D56,AllPlayers!Q:R,2,0)</f>
        <v/>
      </c>
      <c r="F56" s="156" t="n">
        <v>3</v>
      </c>
      <c r="G56" s="156" t="n">
        <v>7</v>
      </c>
      <c r="H56" s="156" t="n">
        <v>186</v>
      </c>
      <c r="I56" s="156" t="n">
        <v>29</v>
      </c>
      <c r="J56" s="156" t="n">
        <v>0</v>
      </c>
      <c r="K56" s="156" t="n">
        <v>0</v>
      </c>
      <c r="L56" s="156" t="n">
        <v>0</v>
      </c>
      <c r="M56" s="156" t="n">
        <v>0</v>
      </c>
      <c r="N56" s="156" t="n">
        <v>0</v>
      </c>
    </row>
    <row r="57" ht="15.6" customHeight="1" s="152">
      <c r="A57" s="167">
        <f>D57&amp;E57</f>
        <v/>
      </c>
      <c r="B57" s="156">
        <f>(G57/MAX(I:I)*HI$1)+(H57/MAX(H:H)*$H$1)+(J57/MAX(J:J)*$J$1)+(K57/MAX(K:K)*$K$1)+(I57/MAX(I:I)*$I$1)++(L57/MAX(L:L)*$L$1)++(M57/MAX(M:M)*$M$1)+(N57/MAX(N:N)*$N$1)</f>
        <v/>
      </c>
      <c r="C57" s="156">
        <f>IFERROR(VLOOKUP(D57,AllPlayers!F:F,1,0),"------------")</f>
        <v/>
      </c>
      <c r="D57" s="156" t="inlineStr">
        <is>
          <t>Justice Hill</t>
        </is>
      </c>
      <c r="E57" s="156">
        <f>VLOOKUP(D57,AllPlayers!Q:R,2,0)</f>
        <v/>
      </c>
      <c r="F57" s="156" t="n">
        <v>4</v>
      </c>
      <c r="G57" s="156" t="n">
        <v>5</v>
      </c>
      <c r="H57" s="156" t="n">
        <v>183</v>
      </c>
      <c r="I57" s="156" t="n">
        <v>59</v>
      </c>
      <c r="J57" s="156" t="n">
        <v>0</v>
      </c>
      <c r="K57" s="156" t="n">
        <v>0</v>
      </c>
      <c r="L57" s="156" t="n">
        <v>0</v>
      </c>
      <c r="M57" s="156" t="n">
        <v>0</v>
      </c>
      <c r="N57" s="156" t="n">
        <v>0</v>
      </c>
    </row>
    <row r="58" ht="15.6" customHeight="1" s="152">
      <c r="A58" s="167">
        <f>D58&amp;E58</f>
        <v/>
      </c>
      <c r="B58" s="156">
        <f>(G58/MAX(I:I)*HI$1)+(H58/MAX(H:H)*$H$1)+(J58/MAX(J:J)*$J$1)+(K58/MAX(K:K)*$K$1)+(I58/MAX(I:I)*$I$1)++(L58/MAX(L:L)*$L$1)++(M58/MAX(M:M)*$M$1)+(N58/MAX(N:N)*$N$1)</f>
        <v/>
      </c>
      <c r="C58" s="156">
        <f>IFERROR(VLOOKUP(D58,AllPlayers!F:F,1,0),"------------")</f>
        <v/>
      </c>
      <c r="D58" s="156" t="inlineStr">
        <is>
          <t>Kendre Miller</t>
        </is>
      </c>
      <c r="E58" s="156">
        <f>VLOOKUP(D58,AllPlayers!Q:R,2,0)</f>
        <v/>
      </c>
      <c r="F58" s="156" t="n">
        <v>4</v>
      </c>
      <c r="G58" s="156" t="n">
        <v>6</v>
      </c>
      <c r="H58" s="156" t="n">
        <v>176</v>
      </c>
      <c r="I58" s="156" t="n">
        <v>41</v>
      </c>
      <c r="J58" s="156" t="n">
        <v>0</v>
      </c>
      <c r="K58" s="156" t="n">
        <v>0</v>
      </c>
      <c r="L58" s="156" t="n">
        <v>0</v>
      </c>
      <c r="M58" s="156" t="n">
        <v>0</v>
      </c>
      <c r="N58" s="156" t="n">
        <v>0</v>
      </c>
    </row>
    <row r="59" ht="15.6" customHeight="1" s="152">
      <c r="A59" s="167">
        <f>D59&amp;E59</f>
        <v/>
      </c>
      <c r="B59" s="156">
        <f>(G59/MAX(I:I)*HI$1)+(H59/MAX(H:H)*$H$1)+(J59/MAX(J:J)*$J$1)+(K59/MAX(K:K)*$K$1)+(I59/MAX(I:I)*$I$1)++(L59/MAX(L:L)*$L$1)++(M59/MAX(M:M)*$M$1)+(N59/MAX(N:N)*$N$1)</f>
        <v/>
      </c>
      <c r="C59" s="156">
        <f>IFERROR(VLOOKUP(D59,AllPlayers!F:F,1,0),"------------")</f>
        <v/>
      </c>
      <c r="D59" s="156" t="inlineStr">
        <is>
          <t>Bucky Irving</t>
        </is>
      </c>
      <c r="E59" s="156">
        <f>VLOOKUP(D59,AllPlayers!Q:R,2,0)</f>
        <v/>
      </c>
      <c r="F59" s="156" t="n">
        <v>5</v>
      </c>
      <c r="G59" s="156" t="n">
        <v>6</v>
      </c>
      <c r="H59" s="156" t="n">
        <v>176</v>
      </c>
      <c r="I59" s="156" t="n">
        <v>46</v>
      </c>
      <c r="J59" s="156" t="n">
        <v>0</v>
      </c>
      <c r="K59" s="156" t="n">
        <v>0</v>
      </c>
      <c r="L59" s="156" t="n">
        <v>0</v>
      </c>
      <c r="M59" s="156" t="n">
        <v>0</v>
      </c>
      <c r="N59" s="156" t="n">
        <v>0</v>
      </c>
    </row>
    <row r="60" ht="15.6" customHeight="1" s="152">
      <c r="A60" s="167">
        <f>D60&amp;E60</f>
        <v/>
      </c>
      <c r="B60" s="156">
        <f>(G60/MAX(I:I)*HI$1)+(H60/MAX(H:H)*$H$1)+(J60/MAX(J:J)*$J$1)+(K60/MAX(K:K)*$K$1)+(I60/MAX(I:I)*$I$1)++(L60/MAX(L:L)*$L$1)++(M60/MAX(M:M)*$M$1)+(N60/MAX(N:N)*$N$1)</f>
        <v/>
      </c>
      <c r="C60" s="156">
        <f>IFERROR(VLOOKUP(D60,AllPlayers!F:F,1,0),"------------")</f>
        <v/>
      </c>
      <c r="D60" s="156" t="inlineStr">
        <is>
          <t>Will Shipley</t>
        </is>
      </c>
      <c r="E60" s="156">
        <f>VLOOKUP(D60,AllPlayers!Q:R,2,0)</f>
        <v/>
      </c>
      <c r="F60" s="156" t="n">
        <v>5</v>
      </c>
      <c r="G60" s="156" t="n">
        <v>6</v>
      </c>
      <c r="H60" s="156" t="n">
        <v>173</v>
      </c>
      <c r="I60" s="156" t="n">
        <v>33</v>
      </c>
      <c r="J60" s="156" t="n">
        <v>0</v>
      </c>
      <c r="K60" s="156" t="n">
        <v>0</v>
      </c>
      <c r="L60" s="156" t="n">
        <v>0</v>
      </c>
      <c r="M60" s="156" t="n">
        <v>0</v>
      </c>
      <c r="N60" s="156" t="n">
        <v>0</v>
      </c>
    </row>
    <row r="61" ht="15.6" customHeight="1" s="152">
      <c r="A61" s="167">
        <f>D61&amp;E61</f>
        <v/>
      </c>
      <c r="B61" s="156">
        <f>(G61/MAX(I:I)*HI$1)+(H61/MAX(H:H)*$H$1)+(J61/MAX(J:J)*$J$1)+(K61/MAX(K:K)*$K$1)+(I61/MAX(I:I)*$I$1)++(L61/MAX(L:L)*$L$1)++(M61/MAX(M:M)*$M$1)+(N61/MAX(N:N)*$N$1)</f>
        <v/>
      </c>
      <c r="C61" s="156">
        <f>IFERROR(VLOOKUP(D61,AllPlayers!F:F,1,0),"------------")</f>
        <v/>
      </c>
      <c r="D61" s="156" t="inlineStr">
        <is>
          <t>Rashid Shaheed</t>
        </is>
      </c>
      <c r="E61" s="156">
        <f>VLOOKUP(D61,AllPlayers!Q:R,2,0)</f>
        <v/>
      </c>
      <c r="F61" s="156" t="n">
        <v>5</v>
      </c>
      <c r="G61" s="156" t="n">
        <v>6</v>
      </c>
      <c r="H61" s="156" t="n">
        <v>171</v>
      </c>
      <c r="I61" s="156" t="n">
        <v>38</v>
      </c>
      <c r="J61" s="156" t="n">
        <v>0</v>
      </c>
      <c r="K61" s="156" t="n">
        <v>9</v>
      </c>
      <c r="L61" s="156" t="n">
        <v>143</v>
      </c>
      <c r="M61" s="156" t="n">
        <v>60</v>
      </c>
      <c r="N61" s="156" t="n">
        <v>1</v>
      </c>
    </row>
    <row r="62" ht="15.6" customHeight="1" s="152">
      <c r="A62" s="167">
        <f>D62&amp;E62</f>
        <v/>
      </c>
      <c r="B62" s="156">
        <f>(G62/MAX(I:I)*HI$1)+(H62/MAX(H:H)*$H$1)+(J62/MAX(J:J)*$J$1)+(K62/MAX(K:K)*$K$1)+(I62/MAX(I:I)*$I$1)++(L62/MAX(L:L)*$L$1)++(M62/MAX(M:M)*$M$1)+(N62/MAX(N:N)*$N$1)</f>
        <v/>
      </c>
      <c r="C62" s="156">
        <f>IFERROR(VLOOKUP(D62,AllPlayers!F:F,1,0),"------------")</f>
        <v/>
      </c>
      <c r="D62" s="156" t="inlineStr">
        <is>
          <t>Tremon Smith</t>
        </is>
      </c>
      <c r="E62" s="156">
        <f>VLOOKUP(D62,AllPlayers!Q:R,2,0)</f>
        <v/>
      </c>
      <c r="F62" s="156" t="n">
        <v>3</v>
      </c>
      <c r="G62" s="156" t="n">
        <v>6</v>
      </c>
      <c r="H62" s="156" t="n">
        <v>170</v>
      </c>
      <c r="I62" s="156" t="n">
        <v>38</v>
      </c>
      <c r="J62" s="156" t="n">
        <v>0</v>
      </c>
      <c r="K62" s="156" t="n">
        <v>0</v>
      </c>
      <c r="L62" s="156" t="n">
        <v>0</v>
      </c>
      <c r="M62" s="156" t="n">
        <v>0</v>
      </c>
      <c r="N62" s="156" t="n">
        <v>0</v>
      </c>
    </row>
    <row r="63" ht="15.6" customHeight="1" s="152">
      <c r="A63" s="167">
        <f>D63&amp;E63</f>
        <v/>
      </c>
      <c r="B63" s="156">
        <f>(G63/MAX(I:I)*HI$1)+(H63/MAX(H:H)*$H$1)+(J63/MAX(J:J)*$J$1)+(K63/MAX(K:K)*$K$1)+(I63/MAX(I:I)*$I$1)++(L63/MAX(L:L)*$L$1)++(M63/MAX(M:M)*$M$1)+(N63/MAX(N:N)*$N$1)</f>
        <v/>
      </c>
      <c r="C63" s="156">
        <f>IFERROR(VLOOKUP(D63,AllPlayers!F:F,1,0),"------------")</f>
        <v/>
      </c>
      <c r="D63" s="156" t="inlineStr">
        <is>
          <t>Tom Kennedy</t>
        </is>
      </c>
      <c r="E63" s="156">
        <f>VLOOKUP(D63,AllPlayers!Q:R,2,0)</f>
        <v/>
      </c>
      <c r="F63" s="156" t="n">
        <v>3</v>
      </c>
      <c r="G63" s="156" t="n">
        <v>6</v>
      </c>
      <c r="H63" s="156" t="n">
        <v>167</v>
      </c>
      <c r="I63" s="156" t="n">
        <v>34</v>
      </c>
      <c r="J63" s="156" t="n">
        <v>0</v>
      </c>
      <c r="K63" s="156" t="n">
        <v>1</v>
      </c>
      <c r="L63" s="156" t="n">
        <v>9</v>
      </c>
      <c r="M63" s="156" t="n">
        <v>9</v>
      </c>
      <c r="N63" s="156" t="n">
        <v>0</v>
      </c>
    </row>
    <row r="64" ht="15.6" customHeight="1" s="152">
      <c r="A64" s="167">
        <f>D64&amp;E64</f>
        <v/>
      </c>
      <c r="B64" s="156">
        <f>(G64/MAX(I:I)*HI$1)+(H64/MAX(H:H)*$H$1)+(J64/MAX(J:J)*$J$1)+(K64/MAX(K:K)*$K$1)+(I64/MAX(I:I)*$I$1)++(L64/MAX(L:L)*$L$1)++(M64/MAX(M:M)*$M$1)+(N64/MAX(N:N)*$N$1)</f>
        <v/>
      </c>
      <c r="C64" s="156">
        <f>IFERROR(VLOOKUP(D64,AllPlayers!F:F,1,0),"------------")</f>
        <v/>
      </c>
      <c r="D64" s="156" t="inlineStr">
        <is>
          <t>Dylan Laube</t>
        </is>
      </c>
      <c r="E64" s="156">
        <f>VLOOKUP(D64,AllPlayers!Q:R,2,0)</f>
        <v/>
      </c>
      <c r="F64" s="156" t="n">
        <v>5</v>
      </c>
      <c r="G64" s="156" t="n">
        <v>6</v>
      </c>
      <c r="H64" s="156" t="n">
        <v>164</v>
      </c>
      <c r="I64" s="156" t="n">
        <v>59</v>
      </c>
      <c r="J64" s="156" t="n">
        <v>0</v>
      </c>
      <c r="K64" s="156" t="n">
        <v>0</v>
      </c>
      <c r="L64" s="156" t="n">
        <v>0</v>
      </c>
      <c r="M64" s="156" t="n">
        <v>0</v>
      </c>
      <c r="N64" s="156" t="n">
        <v>0</v>
      </c>
    </row>
    <row r="65" ht="15.6" customHeight="1" s="152">
      <c r="A65" s="167">
        <f>D65&amp;E65</f>
        <v/>
      </c>
      <c r="B65" s="156">
        <f>(G65/MAX(I:I)*HI$1)+(H65/MAX(H:H)*$H$1)+(J65/MAX(J:J)*$J$1)+(K65/MAX(K:K)*$K$1)+(I65/MAX(I:I)*$I$1)++(L65/MAX(L:L)*$L$1)++(M65/MAX(M:M)*$M$1)+(N65/MAX(N:N)*$N$1)</f>
        <v/>
      </c>
      <c r="C65" s="156">
        <f>IFERROR(VLOOKUP(D65,AllPlayers!F:F,1,0),"------------")</f>
        <v/>
      </c>
      <c r="D65" s="156" t="inlineStr">
        <is>
          <t>Jeremy McNichols</t>
        </is>
      </c>
      <c r="E65" s="156">
        <f>VLOOKUP(D65,AllPlayers!Q:R,2,0)</f>
        <v/>
      </c>
      <c r="F65" s="156" t="n">
        <v>4</v>
      </c>
      <c r="G65" s="156" t="n">
        <v>7</v>
      </c>
      <c r="H65" s="156" t="n">
        <v>164</v>
      </c>
      <c r="I65" s="156" t="n">
        <v>29</v>
      </c>
      <c r="J65" s="156" t="n">
        <v>0</v>
      </c>
      <c r="K65" s="156" t="n">
        <v>0</v>
      </c>
      <c r="L65" s="156" t="n">
        <v>0</v>
      </c>
      <c r="M65" s="156" t="n">
        <v>0</v>
      </c>
      <c r="N65" s="156" t="n">
        <v>0</v>
      </c>
    </row>
    <row r="66" ht="15.6" customHeight="1" s="152">
      <c r="A66" s="167">
        <f>D66&amp;E66</f>
        <v/>
      </c>
      <c r="B66" s="156">
        <f>(G66/MAX(I:I)*HI$1)+(H66/MAX(H:H)*$H$1)+(J66/MAX(J:J)*$J$1)+(K66/MAX(K:K)*$K$1)+(I66/MAX(I:I)*$I$1)++(L66/MAX(L:L)*$L$1)++(M66/MAX(M:M)*$M$1)+(N66/MAX(N:N)*$N$1)</f>
        <v/>
      </c>
      <c r="C66" s="156">
        <f>IFERROR(VLOOKUP(D66,AllPlayers!F:F,1,0),"------------")</f>
        <v/>
      </c>
      <c r="D66" s="156" t="inlineStr">
        <is>
          <t>Isaac Guerendo</t>
        </is>
      </c>
      <c r="E66" s="156">
        <f>VLOOKUP(D66,AllPlayers!Q:R,2,0)</f>
        <v/>
      </c>
      <c r="F66" s="156" t="n">
        <v>5</v>
      </c>
      <c r="G66" s="156" t="n">
        <v>6</v>
      </c>
      <c r="H66" s="156" t="n">
        <v>163</v>
      </c>
      <c r="I66" s="156" t="n">
        <v>35</v>
      </c>
      <c r="J66" s="156" t="n">
        <v>0</v>
      </c>
      <c r="K66" s="156" t="n">
        <v>0</v>
      </c>
      <c r="L66" s="156" t="n">
        <v>0</v>
      </c>
      <c r="M66" s="156" t="n">
        <v>0</v>
      </c>
      <c r="N66" s="156" t="n">
        <v>0</v>
      </c>
    </row>
    <row r="67" ht="15.6" customHeight="1" s="152">
      <c r="A67" s="167">
        <f>D67&amp;E67</f>
        <v/>
      </c>
      <c r="B67" s="156">
        <f>(G67/MAX(I:I)*HI$1)+(H67/MAX(H:H)*$H$1)+(J67/MAX(J:J)*$J$1)+(K67/MAX(K:K)*$K$1)+(I67/MAX(I:I)*$I$1)++(L67/MAX(L:L)*$L$1)++(M67/MAX(M:M)*$M$1)+(N67/MAX(N:N)*$N$1)</f>
        <v/>
      </c>
      <c r="C67" s="156">
        <f>IFERROR(VLOOKUP(D67,AllPlayers!F:F,1,0),"------------")</f>
        <v/>
      </c>
      <c r="D67" s="156" t="inlineStr">
        <is>
          <t>Samaje Perine</t>
        </is>
      </c>
      <c r="E67" s="156">
        <f>VLOOKUP(D67,AllPlayers!Q:R,2,0)</f>
        <v/>
      </c>
      <c r="F67" s="156" t="n">
        <v>3</v>
      </c>
      <c r="G67" s="156" t="n">
        <v>5</v>
      </c>
      <c r="H67" s="156" t="n">
        <v>163</v>
      </c>
      <c r="I67" s="156" t="n">
        <v>56</v>
      </c>
      <c r="J67" s="156" t="n">
        <v>0</v>
      </c>
      <c r="K67" s="156" t="n">
        <v>0</v>
      </c>
      <c r="L67" s="156" t="n">
        <v>0</v>
      </c>
      <c r="M67" s="156" t="n">
        <v>0</v>
      </c>
      <c r="N67" s="156" t="n">
        <v>0</v>
      </c>
    </row>
    <row r="68" ht="15.6" customHeight="1" s="152">
      <c r="A68" s="167">
        <f>D68&amp;E68</f>
        <v/>
      </c>
      <c r="B68" s="156">
        <f>(G68/MAX(I:I)*HI$1)+(H68/MAX(H:H)*$H$1)+(J68/MAX(J:J)*$J$1)+(K68/MAX(K:K)*$K$1)+(I68/MAX(I:I)*$I$1)++(L68/MAX(L:L)*$L$1)++(M68/MAX(M:M)*$M$1)+(N68/MAX(N:N)*$N$1)</f>
        <v/>
      </c>
      <c r="C68" s="156">
        <f>IFERROR(VLOOKUP(D68,AllPlayers!F:F,1,0),"------------")</f>
        <v/>
      </c>
      <c r="D68" s="156" t="inlineStr">
        <is>
          <t>Khalil Dorsey</t>
        </is>
      </c>
      <c r="E68" s="156">
        <f>VLOOKUP(D68,AllPlayers!Q:R,2,0)</f>
        <v/>
      </c>
      <c r="F68" s="156" t="n">
        <v>4</v>
      </c>
      <c r="G68" s="156" t="n">
        <v>4</v>
      </c>
      <c r="H68" s="156" t="n">
        <v>159</v>
      </c>
      <c r="I68" s="156" t="n">
        <v>72</v>
      </c>
      <c r="J68" s="156" t="n">
        <v>0</v>
      </c>
      <c r="K68" s="156" t="n">
        <v>0</v>
      </c>
      <c r="L68" s="156" t="n">
        <v>0</v>
      </c>
      <c r="M68" s="156" t="n">
        <v>0</v>
      </c>
      <c r="N68" s="156" t="n">
        <v>0</v>
      </c>
    </row>
    <row r="69" ht="15.6" customHeight="1" s="152">
      <c r="A69" s="167">
        <f>D69&amp;E69</f>
        <v/>
      </c>
      <c r="B69" s="156">
        <f>(G69/MAX(I:I)*HI$1)+(H69/MAX(H:H)*$H$1)+(J69/MAX(J:J)*$J$1)+(K69/MAX(K:K)*$K$1)+(I69/MAX(I:I)*$I$1)++(L69/MAX(L:L)*$L$1)++(M69/MAX(M:M)*$M$1)+(N69/MAX(N:N)*$N$1)</f>
        <v/>
      </c>
      <c r="C69" s="156">
        <f>IFERROR(VLOOKUP(D69,AllPlayers!F:F,1,0),"------------")</f>
        <v/>
      </c>
      <c r="D69" s="156" t="inlineStr">
        <is>
          <t>Kene Nwangwu</t>
        </is>
      </c>
      <c r="E69" s="156">
        <f>VLOOKUP(D69,AllPlayers!Q:R,2,0)</f>
        <v/>
      </c>
      <c r="F69" s="156" t="n">
        <v>1</v>
      </c>
      <c r="G69" s="156" t="n">
        <v>3</v>
      </c>
      <c r="H69" s="156" t="n">
        <v>157</v>
      </c>
      <c r="I69" s="156" t="n">
        <v>99</v>
      </c>
      <c r="J69" s="156" t="n">
        <v>1</v>
      </c>
      <c r="K69" s="156" t="n">
        <v>0</v>
      </c>
      <c r="L69" s="156" t="n">
        <v>0</v>
      </c>
      <c r="M69" s="156" t="n">
        <v>0</v>
      </c>
      <c r="N69" s="156" t="n">
        <v>0</v>
      </c>
    </row>
    <row r="70" ht="15.6" customHeight="1" s="152">
      <c r="A70" s="167">
        <f>D70&amp;E70</f>
        <v/>
      </c>
      <c r="B70" s="156">
        <f>(G70/MAX(I:I)*HI$1)+(H70/MAX(H:H)*$H$1)+(J70/MAX(J:J)*$J$1)+(K70/MAX(K:K)*$K$1)+(I70/MAX(I:I)*$I$1)++(L70/MAX(L:L)*$L$1)++(M70/MAX(M:M)*$M$1)+(N70/MAX(N:N)*$N$1)</f>
        <v/>
      </c>
      <c r="C70" s="156">
        <f>IFERROR(VLOOKUP(D70,AllPlayers!F:F,1,0),"------------")</f>
        <v/>
      </c>
      <c r="D70" s="156" t="inlineStr">
        <is>
          <t>Keaton Mitchell</t>
        </is>
      </c>
      <c r="E70" s="156">
        <f>VLOOKUP(D70,AllPlayers!Q:R,2,0)</f>
        <v/>
      </c>
      <c r="F70" s="156" t="n">
        <v>3</v>
      </c>
      <c r="G70" s="156" t="n">
        <v>5</v>
      </c>
      <c r="H70" s="156" t="n">
        <v>156</v>
      </c>
      <c r="I70" s="156" t="n">
        <v>47</v>
      </c>
      <c r="J70" s="156" t="n">
        <v>0</v>
      </c>
      <c r="K70" s="156" t="n">
        <v>0</v>
      </c>
      <c r="L70" s="156" t="n">
        <v>0</v>
      </c>
      <c r="M70" s="156" t="n">
        <v>0</v>
      </c>
      <c r="N70" s="156" t="n">
        <v>0</v>
      </c>
    </row>
    <row r="71" ht="15.6" customHeight="1" s="152">
      <c r="A71" s="167">
        <f>D71&amp;E71</f>
        <v/>
      </c>
      <c r="B71" s="156">
        <f>(G71/MAX(I:I)*HI$1)+(H71/MAX(H:H)*$H$1)+(J71/MAX(J:J)*$J$1)+(K71/MAX(K:K)*$K$1)+(I71/MAX(I:I)*$I$1)++(L71/MAX(L:L)*$L$1)++(M71/MAX(M:M)*$M$1)+(N71/MAX(N:N)*$N$1)</f>
        <v/>
      </c>
      <c r="C71" s="156">
        <f>IFERROR(VLOOKUP(D71,AllPlayers!F:F,1,0),"------------")</f>
        <v/>
      </c>
      <c r="D71" s="156" t="inlineStr">
        <is>
          <t>Xavier Smith</t>
        </is>
      </c>
      <c r="E71" s="156">
        <f>VLOOKUP(D71,AllPlayers!Q:R,2,0)</f>
        <v/>
      </c>
      <c r="F71" s="156" t="n">
        <v>14</v>
      </c>
      <c r="G71" s="156" t="n">
        <v>6</v>
      </c>
      <c r="H71" s="156" t="n">
        <v>155</v>
      </c>
      <c r="I71" s="156" t="n">
        <v>34</v>
      </c>
      <c r="J71" s="156" t="n">
        <v>0</v>
      </c>
      <c r="K71" s="156" t="n">
        <v>16</v>
      </c>
      <c r="L71" s="156" t="n">
        <v>149</v>
      </c>
      <c r="M71" s="156" t="n">
        <v>38</v>
      </c>
      <c r="N71" s="156" t="n">
        <v>0</v>
      </c>
    </row>
    <row r="72" ht="15.6" customHeight="1" s="152">
      <c r="A72" s="167">
        <f>D72&amp;E72</f>
        <v/>
      </c>
      <c r="B72" s="156">
        <f>(G72/MAX(I:I)*HI$1)+(H72/MAX(H:H)*$H$1)+(J72/MAX(J:J)*$J$1)+(K72/MAX(K:K)*$K$1)+(I72/MAX(I:I)*$I$1)++(L72/MAX(L:L)*$L$1)++(M72/MAX(M:M)*$M$1)+(N72/MAX(N:N)*$N$1)</f>
        <v/>
      </c>
      <c r="C72" s="156">
        <f>IFERROR(VLOOKUP(D72,AllPlayers!F:F,1,0),"------------")</f>
        <v/>
      </c>
      <c r="D72" s="156" t="inlineStr">
        <is>
          <t>Kenny McIntosh</t>
        </is>
      </c>
      <c r="E72" s="156">
        <f>VLOOKUP(D72,AllPlayers!Q:R,2,0)</f>
        <v/>
      </c>
      <c r="F72" s="156" t="n">
        <v>4</v>
      </c>
      <c r="G72" s="156" t="n">
        <v>6</v>
      </c>
      <c r="H72" s="156" t="n">
        <v>153</v>
      </c>
      <c r="I72" s="156" t="n">
        <v>36</v>
      </c>
      <c r="J72" s="156" t="n">
        <v>0</v>
      </c>
      <c r="K72" s="156" t="n">
        <v>0</v>
      </c>
      <c r="L72" s="156" t="n">
        <v>0</v>
      </c>
      <c r="M72" s="156" t="n">
        <v>0</v>
      </c>
      <c r="N72" s="156" t="n">
        <v>0</v>
      </c>
    </row>
    <row r="73" ht="15.6" customHeight="1" s="152">
      <c r="A73" s="167">
        <f>D73&amp;E73</f>
        <v/>
      </c>
      <c r="B73" s="156">
        <f>(G73/MAX(I:I)*HI$1)+(H73/MAX(H:H)*$H$1)+(J73/MAX(J:J)*$J$1)+(K73/MAX(K:K)*$K$1)+(I73/MAX(I:I)*$I$1)++(L73/MAX(L:L)*$L$1)++(M73/MAX(M:M)*$M$1)+(N73/MAX(N:N)*$N$1)</f>
        <v/>
      </c>
      <c r="C73" s="156">
        <f>IFERROR(VLOOKUP(D73,AllPlayers!F:F,1,0),"------------")</f>
        <v/>
      </c>
      <c r="D73" s="156" t="inlineStr">
        <is>
          <t>Ashton Dulin</t>
        </is>
      </c>
      <c r="E73" s="156">
        <f>VLOOKUP(D73,AllPlayers!Q:R,2,0)</f>
        <v/>
      </c>
      <c r="F73" s="156" t="n">
        <v>4</v>
      </c>
      <c r="G73" s="156" t="n">
        <v>4</v>
      </c>
      <c r="H73" s="156" t="n">
        <v>148</v>
      </c>
      <c r="I73" s="156" t="n">
        <v>55</v>
      </c>
      <c r="J73" s="156" t="n">
        <v>0</v>
      </c>
      <c r="K73" s="156" t="n">
        <v>0</v>
      </c>
      <c r="L73" s="156" t="n">
        <v>0</v>
      </c>
      <c r="M73" s="156" t="n">
        <v>0</v>
      </c>
      <c r="N73" s="156" t="n">
        <v>0</v>
      </c>
    </row>
    <row r="74" ht="15.6" customHeight="1" s="152">
      <c r="A74" s="167">
        <f>D74&amp;E74</f>
        <v/>
      </c>
      <c r="B74" s="156">
        <f>(G74/MAX(I:I)*HI$1)+(H74/MAX(H:H)*$H$1)+(J74/MAX(J:J)*$J$1)+(K74/MAX(K:K)*$K$1)+(I74/MAX(I:I)*$I$1)++(L74/MAX(L:L)*$L$1)++(M74/MAX(M:M)*$M$1)+(N74/MAX(N:N)*$N$1)</f>
        <v/>
      </c>
      <c r="C74" s="156">
        <f>IFERROR(VLOOKUP(D74,AllPlayers!F:F,1,0),"------------")</f>
        <v/>
      </c>
      <c r="D74" s="156" t="inlineStr">
        <is>
          <t>Ray Davis</t>
        </is>
      </c>
      <c r="E74" s="156">
        <f>VLOOKUP(D74,AllPlayers!Q:R,2,0)</f>
        <v/>
      </c>
      <c r="F74" s="156" t="n">
        <v>5</v>
      </c>
      <c r="G74" s="156" t="n">
        <v>7</v>
      </c>
      <c r="H74" s="156" t="n">
        <v>147</v>
      </c>
      <c r="I74" s="156" t="n">
        <v>26</v>
      </c>
      <c r="J74" s="156" t="n">
        <v>0</v>
      </c>
      <c r="K74" s="156" t="n">
        <v>0</v>
      </c>
      <c r="L74" s="156" t="n">
        <v>0</v>
      </c>
      <c r="M74" s="156" t="n">
        <v>0</v>
      </c>
      <c r="N74" s="156" t="n">
        <v>0</v>
      </c>
    </row>
    <row r="75" ht="15.6" customHeight="1" s="152">
      <c r="A75" s="167">
        <f>D75&amp;E75</f>
        <v/>
      </c>
      <c r="B75" s="156">
        <f>(G75/MAX(I:I)*HI$1)+(H75/MAX(H:H)*$H$1)+(J75/MAX(J:J)*$J$1)+(K75/MAX(K:K)*$K$1)+(I75/MAX(I:I)*$I$1)++(L75/MAX(L:L)*$L$1)++(M75/MAX(M:M)*$M$1)+(N75/MAX(N:N)*$N$1)</f>
        <v/>
      </c>
      <c r="C75" s="156">
        <f>IFERROR(VLOOKUP(D75,AllPlayers!F:F,1,0),"------------")</f>
        <v/>
      </c>
      <c r="D75" s="156" t="inlineStr">
        <is>
          <t>Dee Eskridge</t>
        </is>
      </c>
      <c r="E75" s="156">
        <f>VLOOKUP(D75,AllPlayers!Q:R,2,0)</f>
        <v/>
      </c>
      <c r="F75" s="156" t="n">
        <v>4</v>
      </c>
      <c r="G75" s="156" t="n">
        <v>5</v>
      </c>
      <c r="H75" s="156" t="n">
        <v>146</v>
      </c>
      <c r="I75" s="156" t="n">
        <v>35</v>
      </c>
      <c r="J75" s="156" t="n">
        <v>0</v>
      </c>
      <c r="K75" s="156" t="n">
        <v>0</v>
      </c>
      <c r="L75" s="156" t="n">
        <v>0</v>
      </c>
      <c r="M75" s="156" t="n">
        <v>0</v>
      </c>
      <c r="N75" s="156" t="n">
        <v>0</v>
      </c>
    </row>
    <row r="76" ht="15.6" customHeight="1" s="152">
      <c r="A76" s="167">
        <f>D76&amp;E76</f>
        <v/>
      </c>
      <c r="B76" s="156">
        <f>(G76/MAX(I:I)*HI$1)+(H76/MAX(H:H)*$H$1)+(J76/MAX(J:J)*$J$1)+(K76/MAX(K:K)*$K$1)+(I76/MAX(I:I)*$I$1)++(L76/MAX(L:L)*$L$1)++(M76/MAX(M:M)*$M$1)+(N76/MAX(N:N)*$N$1)</f>
        <v/>
      </c>
      <c r="C76" s="156">
        <f>IFERROR(VLOOKUP(D76,AllPlayers!F:F,1,0),"------------")</f>
        <v/>
      </c>
      <c r="D76" s="156" t="inlineStr">
        <is>
          <t>Robert Woods</t>
        </is>
      </c>
      <c r="E76" s="156">
        <f>VLOOKUP(D76,AllPlayers!Q:R,2,0)</f>
        <v/>
      </c>
      <c r="F76" s="156" t="n">
        <v>9</v>
      </c>
      <c r="G76" s="156" t="n">
        <v>5</v>
      </c>
      <c r="H76" s="156" t="n">
        <v>144</v>
      </c>
      <c r="I76" s="156" t="n">
        <v>31</v>
      </c>
      <c r="J76" s="156" t="n">
        <v>0</v>
      </c>
      <c r="K76" s="156" t="n">
        <v>15</v>
      </c>
      <c r="L76" s="156" t="n">
        <v>144</v>
      </c>
      <c r="M76" s="156" t="n">
        <v>66</v>
      </c>
      <c r="N76" s="156" t="n">
        <v>0</v>
      </c>
    </row>
    <row r="77" ht="15.6" customHeight="1" s="152">
      <c r="A77" s="167">
        <f>D77&amp;E77</f>
        <v/>
      </c>
      <c r="B77" s="156">
        <f>(G77/MAX(I:I)*HI$1)+(H77/MAX(H:H)*$H$1)+(J77/MAX(J:J)*$J$1)+(K77/MAX(K:K)*$K$1)+(I77/MAX(I:I)*$I$1)++(L77/MAX(L:L)*$L$1)++(M77/MAX(M:M)*$M$1)+(N77/MAX(N:N)*$N$1)</f>
        <v/>
      </c>
      <c r="C77" s="156">
        <f>IFERROR(VLOOKUP(D77,AllPlayers!F:F,1,0),"------------")</f>
        <v/>
      </c>
      <c r="D77" s="156" t="inlineStr">
        <is>
          <t>Rakim Jarrett</t>
        </is>
      </c>
      <c r="E77" s="156">
        <f>VLOOKUP(D77,AllPlayers!Q:R,2,0)</f>
        <v/>
      </c>
      <c r="F77" s="156" t="n">
        <v>4</v>
      </c>
      <c r="G77" s="156" t="n">
        <v>6</v>
      </c>
      <c r="H77" s="156" t="n">
        <v>141</v>
      </c>
      <c r="I77" s="156" t="n">
        <v>38</v>
      </c>
      <c r="J77" s="156" t="n">
        <v>0</v>
      </c>
      <c r="K77" s="156" t="n">
        <v>0</v>
      </c>
      <c r="L77" s="156" t="n">
        <v>0</v>
      </c>
      <c r="M77" s="156" t="n">
        <v>0</v>
      </c>
      <c r="N77" s="156" t="n">
        <v>0</v>
      </c>
    </row>
    <row r="78" ht="15.6" customHeight="1" s="152">
      <c r="A78" s="167">
        <f>D78&amp;E78</f>
        <v/>
      </c>
      <c r="B78" s="156">
        <f>(G78/MAX(I:I)*HI$1)+(H78/MAX(H:H)*$H$1)+(J78/MAX(J:J)*$J$1)+(K78/MAX(K:K)*$K$1)+(I78/MAX(I:I)*$I$1)++(L78/MAX(L:L)*$L$1)++(M78/MAX(M:M)*$M$1)+(N78/MAX(N:N)*$N$1)</f>
        <v/>
      </c>
      <c r="C78" s="156">
        <f>IFERROR(VLOOKUP(D78,AllPlayers!F:F,1,0),"------------")</f>
        <v/>
      </c>
      <c r="D78" s="156" t="inlineStr">
        <is>
          <t>Carson Steele</t>
        </is>
      </c>
      <c r="E78" s="156">
        <f>VLOOKUP(D78,AllPlayers!Q:R,2,0)</f>
        <v/>
      </c>
      <c r="F78" s="156" t="n">
        <v>4</v>
      </c>
      <c r="G78" s="156" t="n">
        <v>5</v>
      </c>
      <c r="H78" s="156" t="n">
        <v>138</v>
      </c>
      <c r="I78" s="156" t="n">
        <v>31</v>
      </c>
      <c r="J78" s="156" t="n">
        <v>0</v>
      </c>
      <c r="K78" s="156" t="n">
        <v>0</v>
      </c>
      <c r="L78" s="156" t="n">
        <v>0</v>
      </c>
      <c r="M78" s="156" t="n">
        <v>0</v>
      </c>
      <c r="N78" s="156" t="n">
        <v>0</v>
      </c>
    </row>
    <row r="79" ht="15.6" customHeight="1" s="152">
      <c r="A79" s="167">
        <f>D79&amp;E79</f>
        <v/>
      </c>
      <c r="B79" s="156">
        <f>(G79/MAX(I:I)*HI$1)+(H79/MAX(H:H)*$H$1)+(J79/MAX(J:J)*$J$1)+(K79/MAX(K:K)*$K$1)+(I79/MAX(I:I)*$I$1)++(L79/MAX(L:L)*$L$1)++(M79/MAX(M:M)*$M$1)+(N79/MAX(N:N)*$N$1)</f>
        <v/>
      </c>
      <c r="C79" s="156">
        <f>IFERROR(VLOOKUP(D79,AllPlayers!F:F,1,0),"------------")</f>
        <v/>
      </c>
      <c r="D79" s="156" t="inlineStr">
        <is>
          <t>Deven Thompkins</t>
        </is>
      </c>
      <c r="E79" s="156">
        <f>VLOOKUP(D79,AllPlayers!Q:R,2,0)</f>
        <v/>
      </c>
      <c r="F79" s="156" t="n">
        <v>3</v>
      </c>
      <c r="G79" s="156" t="n">
        <v>5</v>
      </c>
      <c r="H79" s="156" t="n">
        <v>134</v>
      </c>
      <c r="I79" s="156" t="n">
        <v>33</v>
      </c>
      <c r="J79" s="156" t="n">
        <v>0</v>
      </c>
      <c r="K79" s="156" t="n">
        <v>5</v>
      </c>
      <c r="L79" s="156" t="n">
        <v>19</v>
      </c>
      <c r="M79" s="156" t="n">
        <v>15</v>
      </c>
      <c r="N79" s="156" t="n">
        <v>0</v>
      </c>
    </row>
    <row r="80" ht="15.6" customHeight="1" s="152">
      <c r="A80" s="167">
        <f>D80&amp;E80</f>
        <v/>
      </c>
      <c r="B80" s="156">
        <f>(G80/MAX(I:I)*HI$1)+(H80/MAX(H:H)*$H$1)+(J80/MAX(J:J)*$J$1)+(K80/MAX(K:K)*$K$1)+(I80/MAX(I:I)*$I$1)++(L80/MAX(L:L)*$L$1)++(M80/MAX(M:M)*$M$1)+(N80/MAX(N:N)*$N$1)</f>
        <v/>
      </c>
      <c r="C80" s="156">
        <f>IFERROR(VLOOKUP(D80,AllPlayers!F:F,1,0),"------------")</f>
        <v/>
      </c>
      <c r="D80" s="156" t="inlineStr">
        <is>
          <t>Isaiah Williams</t>
        </is>
      </c>
      <c r="E80" s="156">
        <f>VLOOKUP(D80,AllPlayers!Q:R,2,0)</f>
        <v/>
      </c>
      <c r="F80" s="156" t="n">
        <v>5</v>
      </c>
      <c r="G80" s="156" t="n">
        <v>4</v>
      </c>
      <c r="H80" s="156" t="n">
        <v>133</v>
      </c>
      <c r="I80" s="156" t="n">
        <v>43</v>
      </c>
      <c r="J80" s="156" t="n">
        <v>0</v>
      </c>
      <c r="K80" s="156" t="n">
        <v>11</v>
      </c>
      <c r="L80" s="156" t="n">
        <v>93</v>
      </c>
      <c r="M80" s="156" t="n">
        <v>25</v>
      </c>
      <c r="N80" s="156" t="n">
        <v>0</v>
      </c>
    </row>
    <row r="81" ht="15.6" customHeight="1" s="152">
      <c r="A81" s="167">
        <f>D81&amp;E81</f>
        <v/>
      </c>
      <c r="B81" s="156">
        <f>(G81/MAX(I:I)*HI$1)+(H81/MAX(H:H)*$H$1)+(J81/MAX(J:J)*$J$1)+(K81/MAX(K:K)*$K$1)+(I81/MAX(I:I)*$I$1)++(L81/MAX(L:L)*$L$1)++(M81/MAX(M:M)*$M$1)+(N81/MAX(N:N)*$N$1)</f>
        <v/>
      </c>
      <c r="C81" s="156">
        <f>IFERROR(VLOOKUP(D81,AllPlayers!F:F,1,0),"------------")</f>
        <v/>
      </c>
      <c r="D81" s="156" t="inlineStr">
        <is>
          <t>Mecole Hardman</t>
        </is>
      </c>
      <c r="E81" s="156">
        <f>VLOOKUP(D81,AllPlayers!Q:R,2,0)</f>
        <v/>
      </c>
      <c r="F81" s="156" t="n">
        <v>12</v>
      </c>
      <c r="G81" s="156" t="n">
        <v>5</v>
      </c>
      <c r="H81" s="156" t="n">
        <v>132</v>
      </c>
      <c r="I81" s="156" t="n">
        <v>32</v>
      </c>
      <c r="J81" s="156" t="n">
        <v>0</v>
      </c>
      <c r="K81" s="156" t="n">
        <v>20</v>
      </c>
      <c r="L81" s="156" t="n">
        <v>203</v>
      </c>
      <c r="M81" s="156" t="n">
        <v>55</v>
      </c>
      <c r="N81" s="156" t="n">
        <v>0</v>
      </c>
    </row>
    <row r="82" ht="15.6" customHeight="1" s="152">
      <c r="A82" s="167">
        <f>D82&amp;E82</f>
        <v/>
      </c>
      <c r="B82" s="156">
        <f>(G82/MAX(I:I)*HI$1)+(H82/MAX(H:H)*$H$1)+(J82/MAX(J:J)*$J$1)+(K82/MAX(K:K)*$K$1)+(I82/MAX(I:I)*$I$1)++(L82/MAX(L:L)*$L$1)++(M82/MAX(M:M)*$M$1)+(N82/MAX(N:N)*$N$1)</f>
        <v/>
      </c>
      <c r="C82" s="156">
        <f>IFERROR(VLOOKUP(D82,AllPlayers!F:F,1,0),"------------")</f>
        <v/>
      </c>
      <c r="D82" s="156" t="inlineStr">
        <is>
          <t>Ty Johnson</t>
        </is>
      </c>
      <c r="E82" s="156">
        <f>VLOOKUP(D82,AllPlayers!Q:R,2,0)</f>
        <v/>
      </c>
      <c r="F82" s="156" t="n">
        <v>3</v>
      </c>
      <c r="G82" s="156" t="n">
        <v>5</v>
      </c>
      <c r="H82" s="156" t="n">
        <v>130</v>
      </c>
      <c r="I82" s="156" t="n">
        <v>45</v>
      </c>
      <c r="J82" s="156" t="n">
        <v>0</v>
      </c>
      <c r="K82" s="156" t="n">
        <v>0</v>
      </c>
      <c r="L82" s="156" t="n">
        <v>0</v>
      </c>
      <c r="M82" s="156" t="n">
        <v>0</v>
      </c>
      <c r="N82" s="156" t="n">
        <v>0</v>
      </c>
    </row>
    <row r="83" ht="15.6" customHeight="1" s="152">
      <c r="A83" s="167">
        <f>D83&amp;E83</f>
        <v/>
      </c>
      <c r="B83" s="156">
        <f>(G83/MAX(I:I)*HI$1)+(H83/MAX(H:H)*$H$1)+(J83/MAX(J:J)*$J$1)+(K83/MAX(K:K)*$K$1)+(I83/MAX(I:I)*$I$1)++(L83/MAX(L:L)*$L$1)++(M83/MAX(M:M)*$M$1)+(N83/MAX(N:N)*$N$1)</f>
        <v/>
      </c>
      <c r="C83" s="156">
        <f>IFERROR(VLOOKUP(D83,AllPlayers!F:F,1,0),"------------")</f>
        <v/>
      </c>
      <c r="D83" s="156" t="inlineStr">
        <is>
          <t>Parker Washington</t>
        </is>
      </c>
      <c r="E83" s="156">
        <f>VLOOKUP(D83,AllPlayers!Q:R,2,0)</f>
        <v/>
      </c>
      <c r="F83" s="156" t="n">
        <v>5</v>
      </c>
      <c r="G83" s="156" t="n">
        <v>5</v>
      </c>
      <c r="H83" s="156" t="n">
        <v>122</v>
      </c>
      <c r="I83" s="156" t="n">
        <v>30</v>
      </c>
      <c r="J83" s="156" t="n">
        <v>0</v>
      </c>
      <c r="K83" s="156" t="n">
        <v>6</v>
      </c>
      <c r="L83" s="156" t="n">
        <v>144</v>
      </c>
      <c r="M83" s="156" t="n">
        <v>96</v>
      </c>
      <c r="N83" s="156" t="n">
        <v>1</v>
      </c>
    </row>
    <row r="84" ht="15.6" customHeight="1" s="152">
      <c r="A84" s="167">
        <f>D84&amp;E84</f>
        <v/>
      </c>
      <c r="B84" s="156">
        <f>(G84/MAX(I:I)*HI$1)+(H84/MAX(H:H)*$H$1)+(J84/MAX(J:J)*$J$1)+(K84/MAX(K:K)*$K$1)+(I84/MAX(I:I)*$I$1)++(L84/MAX(L:L)*$L$1)++(M84/MAX(M:M)*$M$1)+(N84/MAX(N:N)*$N$1)</f>
        <v/>
      </c>
      <c r="C84" s="156">
        <f>IFERROR(VLOOKUP(D84,AllPlayers!F:F,1,0),"------------")</f>
        <v/>
      </c>
      <c r="D84" s="156" t="inlineStr">
        <is>
          <t>D'Onta Foreman</t>
        </is>
      </c>
      <c r="E84" s="156">
        <f>VLOOKUP(D84,AllPlayers!Q:R,2,0)</f>
        <v/>
      </c>
      <c r="F84" s="156" t="n">
        <v>3</v>
      </c>
      <c r="G84" s="156" t="n">
        <v>5</v>
      </c>
      <c r="H84" s="156" t="n">
        <v>116</v>
      </c>
      <c r="I84" s="156" t="n">
        <v>29</v>
      </c>
      <c r="J84" s="156" t="n">
        <v>0</v>
      </c>
      <c r="K84" s="156" t="n">
        <v>0</v>
      </c>
      <c r="L84" s="156" t="n">
        <v>0</v>
      </c>
      <c r="M84" s="156" t="n">
        <v>0</v>
      </c>
      <c r="N84" s="156" t="n">
        <v>0</v>
      </c>
    </row>
    <row r="85" ht="15.6" customHeight="1" s="152">
      <c r="A85" s="167">
        <f>D85&amp;E85</f>
        <v/>
      </c>
      <c r="B85" s="156">
        <f>(G85/MAX(I:I)*HI$1)+(H85/MAX(H:H)*$H$1)+(J85/MAX(J:J)*$J$1)+(K85/MAX(K:K)*$K$1)+(I85/MAX(I:I)*$I$1)++(L85/MAX(L:L)*$L$1)++(M85/MAX(M:M)*$M$1)+(N85/MAX(N:N)*$N$1)</f>
        <v/>
      </c>
      <c r="C85" s="156">
        <f>IFERROR(VLOOKUP(D85,AllPlayers!F:F,1,0),"------------")</f>
        <v/>
      </c>
      <c r="D85" s="156" t="inlineStr">
        <is>
          <t>Bryce Oliver</t>
        </is>
      </c>
      <c r="E85" s="156">
        <f>VLOOKUP(D85,AllPlayers!Q:R,2,0)</f>
        <v/>
      </c>
      <c r="F85" s="156" t="n">
        <v>1</v>
      </c>
      <c r="G85" s="156" t="n">
        <v>3</v>
      </c>
      <c r="H85" s="156" t="n">
        <v>113</v>
      </c>
      <c r="I85" s="156" t="n">
        <v>54</v>
      </c>
      <c r="J85" s="156" t="n">
        <v>0</v>
      </c>
      <c r="K85" s="156" t="n">
        <v>0</v>
      </c>
      <c r="L85" s="156" t="n">
        <v>0</v>
      </c>
      <c r="M85" s="156" t="n">
        <v>0</v>
      </c>
      <c r="N85" s="156" t="n">
        <v>0</v>
      </c>
    </row>
    <row r="86" ht="15.6" customHeight="1" s="152">
      <c r="A86" s="167">
        <f>D86&amp;E86</f>
        <v/>
      </c>
      <c r="B86" s="156">
        <f>(G86/MAX(I:I)*HI$1)+(H86/MAX(H:H)*$H$1)+(J86/MAX(J:J)*$J$1)+(K86/MAX(K:K)*$K$1)+(I86/MAX(I:I)*$I$1)++(L86/MAX(L:L)*$L$1)++(M86/MAX(M:M)*$M$1)+(N86/MAX(N:N)*$N$1)</f>
        <v/>
      </c>
      <c r="C86" s="156">
        <f>IFERROR(VLOOKUP(D86,AllPlayers!F:F,1,0),"------------")</f>
        <v/>
      </c>
      <c r="D86" s="156" t="inlineStr">
        <is>
          <t>Kaden Davis</t>
        </is>
      </c>
      <c r="E86" s="156">
        <f>VLOOKUP(D86,AllPlayers!Q:R,2,0)</f>
        <v/>
      </c>
      <c r="F86" s="156" t="n">
        <v>1</v>
      </c>
      <c r="G86" s="156" t="n">
        <v>3</v>
      </c>
      <c r="H86" s="156" t="n">
        <v>107</v>
      </c>
      <c r="I86" s="156" t="n">
        <v>40</v>
      </c>
      <c r="J86" s="156" t="n">
        <v>0</v>
      </c>
      <c r="K86" s="156" t="n">
        <v>0</v>
      </c>
      <c r="L86" s="156" t="n">
        <v>0</v>
      </c>
      <c r="M86" s="156" t="n">
        <v>0</v>
      </c>
      <c r="N86" s="156" t="n">
        <v>0</v>
      </c>
    </row>
    <row r="87" ht="15.6" customHeight="1" s="152">
      <c r="A87" s="167">
        <f>D87&amp;E87</f>
        <v/>
      </c>
      <c r="B87" s="156">
        <f>(G87/MAX(I:I)*HI$1)+(H87/MAX(H:H)*$H$1)+(J87/MAX(J:J)*$J$1)+(K87/MAX(K:K)*$K$1)+(I87/MAX(I:I)*$I$1)++(L87/MAX(L:L)*$L$1)++(M87/MAX(M:M)*$M$1)+(N87/MAX(N:N)*$N$1)</f>
        <v/>
      </c>
      <c r="C87" s="156">
        <f>IFERROR(VLOOKUP(D87,AllPlayers!F:F,1,0),"------------")</f>
        <v/>
      </c>
      <c r="D87" s="156" t="inlineStr">
        <is>
          <t>Rasheen Ali</t>
        </is>
      </c>
      <c r="E87" s="156">
        <f>VLOOKUP(D87,AllPlayers!Q:R,2,0)</f>
        <v/>
      </c>
      <c r="F87" s="156" t="n">
        <v>3</v>
      </c>
      <c r="G87" s="156" t="n">
        <v>4</v>
      </c>
      <c r="H87" s="156" t="n">
        <v>107</v>
      </c>
      <c r="I87" s="156" t="n">
        <v>38</v>
      </c>
      <c r="J87" s="156" t="n">
        <v>0</v>
      </c>
      <c r="K87" s="156" t="n">
        <v>0</v>
      </c>
      <c r="L87" s="156" t="n">
        <v>0</v>
      </c>
      <c r="M87" s="156" t="n">
        <v>0</v>
      </c>
      <c r="N87" s="156" t="n">
        <v>0</v>
      </c>
    </row>
    <row r="88" ht="15.6" customHeight="1" s="152">
      <c r="A88" s="167">
        <f>D88&amp;E88</f>
        <v/>
      </c>
      <c r="B88" s="156">
        <f>(G88/MAX(I:I)*HI$1)+(H88/MAX(H:H)*$H$1)+(J88/MAX(J:J)*$J$1)+(K88/MAX(K:K)*$K$1)+(I88/MAX(I:I)*$I$1)++(L88/MAX(L:L)*$L$1)++(M88/MAX(M:M)*$M$1)+(N88/MAX(N:N)*$N$1)</f>
        <v/>
      </c>
      <c r="C88" s="156">
        <f>IFERROR(VLOOKUP(D88,AllPlayers!F:F,1,0),"------------")</f>
        <v/>
      </c>
      <c r="D88" s="156" t="inlineStr">
        <is>
          <t>DJ Turner</t>
        </is>
      </c>
      <c r="E88" s="156">
        <f>VLOOKUP(D88,AllPlayers!Q:R,2,0)</f>
        <v/>
      </c>
      <c r="F88" s="156" t="n">
        <v>7</v>
      </c>
      <c r="G88" s="156" t="n">
        <v>4</v>
      </c>
      <c r="H88" s="156" t="n">
        <v>106</v>
      </c>
      <c r="I88" s="156" t="n">
        <v>31</v>
      </c>
      <c r="J88" s="156" t="n">
        <v>0</v>
      </c>
      <c r="K88" s="156" t="n">
        <v>7</v>
      </c>
      <c r="L88" s="156" t="n">
        <v>77</v>
      </c>
      <c r="M88" s="156" t="n">
        <v>30</v>
      </c>
      <c r="N88" s="156" t="n">
        <v>0</v>
      </c>
    </row>
    <row r="89" ht="15.6" customHeight="1" s="152">
      <c r="A89" s="167">
        <f>D89&amp;E89</f>
        <v/>
      </c>
      <c r="B89" s="156">
        <f>(G89/MAX(I:I)*HI$1)+(H89/MAX(H:H)*$H$1)+(J89/MAX(J:J)*$J$1)+(K89/MAX(K:K)*$K$1)+(I89/MAX(I:I)*$I$1)++(L89/MAX(L:L)*$L$1)++(M89/MAX(M:M)*$M$1)+(N89/MAX(N:N)*$N$1)</f>
        <v/>
      </c>
      <c r="C89" s="156">
        <f>IFERROR(VLOOKUP(D89,AllPlayers!F:F,1,0),"------------")</f>
        <v/>
      </c>
      <c r="D89" s="156" t="inlineStr">
        <is>
          <t>Alex Erickson</t>
        </is>
      </c>
      <c r="E89" s="156">
        <f>VLOOKUP(D89,AllPlayers!Q:R,2,0)</f>
        <v/>
      </c>
      <c r="F89" s="156" t="n">
        <v>3</v>
      </c>
      <c r="G89" s="156" t="n">
        <v>4</v>
      </c>
      <c r="H89" s="156" t="n">
        <v>106</v>
      </c>
      <c r="I89" s="156" t="n">
        <v>34</v>
      </c>
      <c r="J89" s="156" t="n">
        <v>0</v>
      </c>
      <c r="K89" s="156" t="n">
        <v>4</v>
      </c>
      <c r="L89" s="156" t="n">
        <v>41</v>
      </c>
      <c r="M89" s="156" t="n">
        <v>26</v>
      </c>
      <c r="N89" s="156" t="n">
        <v>0</v>
      </c>
    </row>
    <row r="90" ht="15.6" customHeight="1" s="152">
      <c r="A90" s="167">
        <f>D90&amp;E90</f>
        <v/>
      </c>
      <c r="B90" s="156">
        <f>(G90/MAX(I:I)*HI$1)+(H90/MAX(H:H)*$H$1)+(J90/MAX(J:J)*$J$1)+(K90/MAX(K:K)*$K$1)+(I90/MAX(I:I)*$I$1)++(L90/MAX(L:L)*$L$1)++(M90/MAX(M:M)*$M$1)+(N90/MAX(N:N)*$N$1)</f>
        <v/>
      </c>
      <c r="C90" s="156">
        <f>IFERROR(VLOOKUP(D90,AllPlayers!F:F,1,0),"------------")</f>
        <v/>
      </c>
      <c r="D90" s="156" t="inlineStr">
        <is>
          <t>Patrick Taylor</t>
        </is>
      </c>
      <c r="E90" s="156">
        <f>VLOOKUP(D90,AllPlayers!Q:R,2,0)</f>
        <v/>
      </c>
      <c r="F90" s="156" t="n">
        <v>2</v>
      </c>
      <c r="G90" s="156" t="n">
        <v>4</v>
      </c>
      <c r="H90" s="156" t="n">
        <v>104</v>
      </c>
      <c r="I90" s="156" t="n">
        <v>30</v>
      </c>
      <c r="J90" s="156" t="n">
        <v>0</v>
      </c>
      <c r="K90" s="156" t="n">
        <v>0</v>
      </c>
      <c r="L90" s="156" t="n">
        <v>0</v>
      </c>
      <c r="M90" s="156" t="n">
        <v>0</v>
      </c>
      <c r="N90" s="156" t="n">
        <v>0</v>
      </c>
    </row>
    <row r="91" ht="15.6" customHeight="1" s="152">
      <c r="A91" s="167">
        <f>D91&amp;E91</f>
        <v/>
      </c>
      <c r="B91" s="156">
        <f>(G91/MAX(I:I)*HI$1)+(H91/MAX(H:H)*$H$1)+(J91/MAX(J:J)*$J$1)+(K91/MAX(K:K)*$K$1)+(I91/MAX(I:I)*$I$1)++(L91/MAX(L:L)*$L$1)++(M91/MAX(M:M)*$M$1)+(N91/MAX(N:N)*$N$1)</f>
        <v/>
      </c>
      <c r="C91" s="156">
        <f>IFERROR(VLOOKUP(D91,AllPlayers!F:F,1,0),"------------")</f>
        <v/>
      </c>
      <c r="D91" s="156" t="inlineStr">
        <is>
          <t>Xavier Legette</t>
        </is>
      </c>
      <c r="E91" s="156">
        <f>VLOOKUP(D91,AllPlayers!Q:R,2,0)</f>
        <v/>
      </c>
      <c r="F91" s="156" t="n">
        <v>4</v>
      </c>
      <c r="G91" s="156" t="n">
        <v>4</v>
      </c>
      <c r="H91" s="156" t="n">
        <v>102</v>
      </c>
      <c r="I91" s="156" t="n">
        <v>30</v>
      </c>
      <c r="J91" s="156" t="n">
        <v>0</v>
      </c>
      <c r="K91" s="156" t="n">
        <v>0</v>
      </c>
      <c r="L91" s="156" t="n">
        <v>0</v>
      </c>
      <c r="M91" s="156" t="n">
        <v>0</v>
      </c>
      <c r="N91" s="156" t="n">
        <v>0</v>
      </c>
    </row>
    <row r="92" ht="15.6" customHeight="1" s="152">
      <c r="A92" s="167">
        <f>D92&amp;E92</f>
        <v/>
      </c>
      <c r="B92" s="156">
        <f>(G92/MAX(I:I)*HI$1)+(H92/MAX(H:H)*$H$1)+(J92/MAX(J:J)*$J$1)+(K92/MAX(K:K)*$K$1)+(I92/MAX(I:I)*$I$1)++(L92/MAX(L:L)*$L$1)++(M92/MAX(M:M)*$M$1)+(N92/MAX(N:N)*$N$1)</f>
        <v/>
      </c>
      <c r="C92" s="156">
        <f>IFERROR(VLOOKUP(D92,AllPlayers!F:F,1,0),"------------")</f>
        <v/>
      </c>
      <c r="D92" s="156" t="inlineStr">
        <is>
          <t>Aaron Shampklin</t>
        </is>
      </c>
      <c r="E92" s="156">
        <f>VLOOKUP(D92,AllPlayers!Q:R,2,0)</f>
        <v/>
      </c>
      <c r="F92" s="156" t="n">
        <v>1</v>
      </c>
      <c r="G92" s="156" t="n">
        <v>4</v>
      </c>
      <c r="H92" s="156" t="n">
        <v>101</v>
      </c>
      <c r="I92" s="156" t="n">
        <v>32</v>
      </c>
      <c r="J92" s="156" t="n">
        <v>0</v>
      </c>
      <c r="K92" s="156" t="n">
        <v>0</v>
      </c>
      <c r="L92" s="156" t="n">
        <v>0</v>
      </c>
      <c r="M92" s="156" t="n">
        <v>0</v>
      </c>
      <c r="N92" s="156" t="n">
        <v>0</v>
      </c>
    </row>
    <row r="93" ht="15.6" customHeight="1" s="152">
      <c r="A93" s="167">
        <f>D93&amp;E93</f>
        <v/>
      </c>
      <c r="B93" s="156">
        <f>(G93/MAX(I:I)*HI$1)+(H93/MAX(H:H)*$H$1)+(J93/MAX(J:J)*$J$1)+(K93/MAX(K:K)*$K$1)+(I93/MAX(I:I)*$I$1)++(L93/MAX(L:L)*$L$1)++(M93/MAX(M:M)*$M$1)+(N93/MAX(N:N)*$N$1)</f>
        <v/>
      </c>
      <c r="C93" s="156">
        <f>IFERROR(VLOOKUP(D93,AllPlayers!F:F,1,0),"------------")</f>
        <v/>
      </c>
      <c r="D93" s="156" t="inlineStr">
        <is>
          <t>Deonte Harty</t>
        </is>
      </c>
      <c r="E93" s="156">
        <f>VLOOKUP(D93,AllPlayers!Q:R,2,0)</f>
        <v/>
      </c>
      <c r="F93" s="156" t="n">
        <v>5</v>
      </c>
      <c r="G93" s="156" t="n">
        <v>4</v>
      </c>
      <c r="H93" s="156" t="n">
        <v>98</v>
      </c>
      <c r="I93" s="156" t="n">
        <v>31</v>
      </c>
      <c r="J93" s="156" t="n">
        <v>0</v>
      </c>
      <c r="K93" s="156" t="n">
        <v>8</v>
      </c>
      <c r="L93" s="156" t="n">
        <v>85</v>
      </c>
      <c r="M93" s="156" t="n">
        <v>34</v>
      </c>
      <c r="N93" s="156" t="n">
        <v>0</v>
      </c>
    </row>
    <row r="94" ht="15.6" customHeight="1" s="152">
      <c r="A94" s="167">
        <f>D94&amp;E94</f>
        <v/>
      </c>
      <c r="B94" s="156">
        <f>(G94/MAX(I:I)*HI$1)+(H94/MAX(H:H)*$H$1)+(J94/MAX(J:J)*$J$1)+(K94/MAX(K:K)*$K$1)+(I94/MAX(I:I)*$I$1)++(L94/MAX(L:L)*$L$1)++(M94/MAX(M:M)*$M$1)+(N94/MAX(N:N)*$N$1)</f>
        <v/>
      </c>
      <c r="C94" s="156">
        <f>IFERROR(VLOOKUP(D94,AllPlayers!F:F,1,0),"------------")</f>
        <v/>
      </c>
      <c r="D94" s="156" t="inlineStr">
        <is>
          <t>Trayveon Williams</t>
        </is>
      </c>
      <c r="E94" s="156">
        <f>VLOOKUP(D94,AllPlayers!Q:R,2,0)</f>
        <v/>
      </c>
      <c r="F94" s="156" t="n">
        <v>3</v>
      </c>
      <c r="G94" s="156" t="n">
        <v>5</v>
      </c>
      <c r="H94" s="156" t="n">
        <v>97</v>
      </c>
      <c r="I94" s="156" t="n">
        <v>23</v>
      </c>
      <c r="J94" s="156" t="n">
        <v>0</v>
      </c>
      <c r="K94" s="156" t="n">
        <v>0</v>
      </c>
      <c r="L94" s="156" t="n">
        <v>0</v>
      </c>
      <c r="M94" s="156" t="n">
        <v>0</v>
      </c>
      <c r="N94" s="156" t="n">
        <v>0</v>
      </c>
    </row>
    <row r="95" ht="15.6" customHeight="1" s="152">
      <c r="A95" s="167">
        <f>D95&amp;E95</f>
        <v/>
      </c>
      <c r="B95" s="156">
        <f>(G95/MAX(I:I)*HI$1)+(H95/MAX(H:H)*$H$1)+(J95/MAX(J:J)*$J$1)+(K95/MAX(K:K)*$K$1)+(I95/MAX(I:I)*$I$1)++(L95/MAX(L:L)*$L$1)++(M95/MAX(M:M)*$M$1)+(N95/MAX(N:N)*$N$1)</f>
        <v/>
      </c>
      <c r="C95" s="156">
        <f>IFERROR(VLOOKUP(D95,AllPlayers!F:F,1,0),"------------")</f>
        <v/>
      </c>
      <c r="D95" s="156" t="inlineStr">
        <is>
          <t>Jaelon Darden</t>
        </is>
      </c>
      <c r="E95" s="156">
        <f>VLOOKUP(D95,AllPlayers!Q:R,2,0)</f>
        <v/>
      </c>
      <c r="F95" s="156" t="n">
        <v>6</v>
      </c>
      <c r="G95" s="156" t="n">
        <v>4</v>
      </c>
      <c r="H95" s="156" t="n">
        <v>97</v>
      </c>
      <c r="I95" s="156" t="n">
        <v>28</v>
      </c>
      <c r="J95" s="156" t="n">
        <v>0</v>
      </c>
      <c r="K95" s="156" t="n">
        <v>22</v>
      </c>
      <c r="L95" s="156" t="n">
        <v>234</v>
      </c>
      <c r="M95" s="156" t="n">
        <v>72</v>
      </c>
      <c r="N95" s="156" t="n">
        <v>0</v>
      </c>
    </row>
    <row r="96" ht="15.6" customHeight="1" s="152">
      <c r="A96" s="167">
        <f>D96&amp;E96</f>
        <v/>
      </c>
      <c r="B96" s="156">
        <f>(G96/MAX(I:I)*HI$1)+(H96/MAX(H:H)*$H$1)+(J96/MAX(J:J)*$J$1)+(K96/MAX(K:K)*$K$1)+(I96/MAX(I:I)*$I$1)++(L96/MAX(L:L)*$L$1)++(M96/MAX(M:M)*$M$1)+(N96/MAX(N:N)*$N$1)</f>
        <v/>
      </c>
      <c r="C96" s="156">
        <f>IFERROR(VLOOKUP(D96,AllPlayers!F:F,1,0),"------------")</f>
        <v/>
      </c>
      <c r="D96" s="156" t="inlineStr">
        <is>
          <t>Dante Pettis</t>
        </is>
      </c>
      <c r="E96" s="156">
        <f>VLOOKUP(D96,AllPlayers!Q:R,2,0)</f>
        <v/>
      </c>
      <c r="F96" s="156" t="n">
        <v>6</v>
      </c>
      <c r="G96" s="156" t="n">
        <v>3</v>
      </c>
      <c r="H96" s="156" t="n">
        <v>96</v>
      </c>
      <c r="I96" s="156" t="n">
        <v>38</v>
      </c>
      <c r="J96" s="156" t="n">
        <v>0</v>
      </c>
      <c r="K96" s="156" t="n">
        <v>7</v>
      </c>
      <c r="L96" s="156" t="n">
        <v>90</v>
      </c>
      <c r="M96" s="156" t="n">
        <v>54</v>
      </c>
      <c r="N96" s="156" t="n">
        <v>0</v>
      </c>
    </row>
    <row r="97" ht="15.6" customHeight="1" s="152">
      <c r="A97" s="167">
        <f>D97&amp;E97</f>
        <v/>
      </c>
      <c r="B97" s="156">
        <f>(G97/MAX(I:I)*HI$1)+(H97/MAX(H:H)*$H$1)+(J97/MAX(J:J)*$J$1)+(K97/MAX(K:K)*$K$1)+(I97/MAX(I:I)*$I$1)++(L97/MAX(L:L)*$L$1)++(M97/MAX(M:M)*$M$1)+(N97/MAX(N:N)*$N$1)</f>
        <v/>
      </c>
      <c r="C97" s="156">
        <f>IFERROR(VLOOKUP(D97,AllPlayers!F:F,1,0),"------------")</f>
        <v/>
      </c>
      <c r="D97" s="156" t="inlineStr">
        <is>
          <t>Khalil Herbert</t>
        </is>
      </c>
      <c r="E97" s="156">
        <f>VLOOKUP(D97,AllPlayers!Q:R,2,0)</f>
        <v/>
      </c>
      <c r="F97" s="156" t="n">
        <v>2</v>
      </c>
      <c r="G97" s="156" t="n">
        <v>3</v>
      </c>
      <c r="H97" s="156" t="n">
        <v>96</v>
      </c>
      <c r="I97" s="156" t="n">
        <v>35</v>
      </c>
      <c r="J97" s="156" t="n">
        <v>0</v>
      </c>
      <c r="K97" s="156" t="n">
        <v>0</v>
      </c>
      <c r="L97" s="156" t="n">
        <v>0</v>
      </c>
      <c r="M97" s="156" t="n">
        <v>0</v>
      </c>
      <c r="N97" s="156" t="n">
        <v>0</v>
      </c>
    </row>
    <row r="98" ht="15.6" customHeight="1" s="152">
      <c r="A98" s="167">
        <f>D98&amp;E98</f>
        <v/>
      </c>
      <c r="B98" s="156">
        <f>(G98/MAX(I:I)*HI$1)+(H98/MAX(H:H)*$H$1)+(J98/MAX(J:J)*$J$1)+(K98/MAX(K:K)*$K$1)+(I98/MAX(I:I)*$I$1)++(L98/MAX(L:L)*$L$1)++(M98/MAX(M:M)*$M$1)+(N98/MAX(N:N)*$N$1)</f>
        <v/>
      </c>
      <c r="C98" s="156">
        <f>IFERROR(VLOOKUP(D98,AllPlayers!F:F,1,0),"------------")</f>
        <v/>
      </c>
      <c r="D98" s="156" t="inlineStr">
        <is>
          <t>Javon Baker</t>
        </is>
      </c>
      <c r="E98" s="156">
        <f>VLOOKUP(D98,AllPlayers!Q:R,2,0)</f>
        <v/>
      </c>
      <c r="F98" s="156" t="n">
        <v>2</v>
      </c>
      <c r="G98" s="156" t="n">
        <v>3</v>
      </c>
      <c r="H98" s="156" t="n">
        <v>79</v>
      </c>
      <c r="I98" s="156" t="n">
        <v>46</v>
      </c>
      <c r="J98" s="156" t="n">
        <v>0</v>
      </c>
      <c r="K98" s="156" t="n">
        <v>0</v>
      </c>
      <c r="L98" s="156" t="n">
        <v>0</v>
      </c>
      <c r="M98" s="156" t="n">
        <v>0</v>
      </c>
      <c r="N98" s="156" t="n">
        <v>0</v>
      </c>
    </row>
    <row r="99" ht="15.6" customHeight="1" s="152">
      <c r="A99" s="167">
        <f>D99&amp;E99</f>
        <v/>
      </c>
      <c r="B99" s="156">
        <f>(G99/MAX(I:I)*HI$1)+(H99/MAX(H:H)*$H$1)+(J99/MAX(J:J)*$J$1)+(K99/MAX(K:K)*$K$1)+(I99/MAX(I:I)*$I$1)++(L99/MAX(L:L)*$L$1)++(M99/MAX(M:M)*$M$1)+(N99/MAX(N:N)*$N$1)</f>
        <v/>
      </c>
      <c r="C99" s="156">
        <f>IFERROR(VLOOKUP(D99,AllPlayers!F:F,1,0),"------------")</f>
        <v/>
      </c>
      <c r="D99" s="156" t="inlineStr">
        <is>
          <t>Cam Akers</t>
        </is>
      </c>
      <c r="E99" s="156">
        <f>VLOOKUP(D99,AllPlayers!Q:R,2,0)</f>
        <v/>
      </c>
      <c r="F99" s="156" t="n">
        <v>2</v>
      </c>
      <c r="G99" s="156" t="n">
        <v>3</v>
      </c>
      <c r="H99" s="156" t="n">
        <v>76</v>
      </c>
      <c r="I99" s="156" t="n">
        <v>27</v>
      </c>
      <c r="J99" s="156" t="n">
        <v>0</v>
      </c>
      <c r="K99" s="156" t="n">
        <v>0</v>
      </c>
      <c r="L99" s="156" t="n">
        <v>0</v>
      </c>
      <c r="M99" s="156" t="n">
        <v>0</v>
      </c>
      <c r="N99" s="156" t="n">
        <v>0</v>
      </c>
    </row>
    <row r="100" ht="15.6" customHeight="1" s="152">
      <c r="A100" s="167">
        <f>D100&amp;E100</f>
        <v/>
      </c>
      <c r="B100" s="156">
        <f>(G100/MAX(I:I)*HI$1)+(H100/MAX(H:H)*$H$1)+(J100/MAX(J:J)*$J$1)+(K100/MAX(K:K)*$K$1)+(I100/MAX(I:I)*$I$1)++(L100/MAX(L:L)*$L$1)++(M100/MAX(M:M)*$M$1)+(N100/MAX(N:N)*$N$1)</f>
        <v/>
      </c>
      <c r="C100" s="156">
        <f>IFERROR(VLOOKUP(D100,AllPlayers!F:F,1,0),"------------")</f>
        <v/>
      </c>
      <c r="D100" s="156" t="inlineStr">
        <is>
          <t>Braxton Berrios</t>
        </is>
      </c>
      <c r="E100" s="156">
        <f>VLOOKUP(D100,AllPlayers!Q:R,2,0)</f>
        <v/>
      </c>
      <c r="F100" s="156" t="n">
        <v>5</v>
      </c>
      <c r="G100" s="156" t="n">
        <v>3</v>
      </c>
      <c r="H100" s="156" t="n">
        <v>76</v>
      </c>
      <c r="I100" s="156" t="n">
        <v>31</v>
      </c>
      <c r="J100" s="156" t="n">
        <v>0</v>
      </c>
      <c r="K100" s="156" t="n">
        <v>7</v>
      </c>
      <c r="L100" s="156" t="n">
        <v>103</v>
      </c>
      <c r="M100" s="156" t="n">
        <v>44</v>
      </c>
      <c r="N100" s="156" t="n">
        <v>0</v>
      </c>
    </row>
    <row r="101" ht="15.6" customHeight="1" s="152">
      <c r="A101" s="167">
        <f>D101&amp;E101</f>
        <v/>
      </c>
      <c r="B101" s="156">
        <f>(G101/MAX(I:I)*HI$1)+(H101/MAX(H:H)*$H$1)+(J101/MAX(J:J)*$J$1)+(K101/MAX(K:K)*$K$1)+(I101/MAX(I:I)*$I$1)++(L101/MAX(L:L)*$L$1)++(M101/MAX(M:M)*$M$1)+(N101/MAX(N:N)*$N$1)</f>
        <v/>
      </c>
      <c r="C101" s="156">
        <f>IFERROR(VLOOKUP(D101,AllPlayers!F:F,1,0),"------------")</f>
        <v/>
      </c>
      <c r="D101" s="156" t="inlineStr">
        <is>
          <t>Chris Collier</t>
        </is>
      </c>
      <c r="E101" s="156">
        <f>VLOOKUP(D101,AllPlayers!Q:R,2,0)</f>
        <v/>
      </c>
      <c r="F101" s="156" t="n">
        <v>2</v>
      </c>
      <c r="G101" s="156" t="n">
        <v>2</v>
      </c>
      <c r="H101" s="156" t="n">
        <v>65</v>
      </c>
      <c r="I101" s="156" t="n">
        <v>39</v>
      </c>
      <c r="J101" s="156" t="n">
        <v>0</v>
      </c>
      <c r="K101" s="156" t="n">
        <v>0</v>
      </c>
      <c r="L101" s="156" t="n">
        <v>0</v>
      </c>
      <c r="M101" s="156" t="n">
        <v>0</v>
      </c>
      <c r="N101" s="156" t="n">
        <v>0</v>
      </c>
    </row>
    <row r="102" ht="15.6" customHeight="1" s="152">
      <c r="A102" s="167">
        <f>D102&amp;E102</f>
        <v/>
      </c>
      <c r="B102" s="156">
        <f>(G102/MAX(I:I)*HI$1)+(H102/MAX(H:H)*$H$1)+(J102/MAX(J:J)*$J$1)+(K102/MAX(K:K)*$K$1)+(I102/MAX(I:I)*$I$1)++(L102/MAX(L:L)*$L$1)++(M102/MAX(M:M)*$M$1)+(N102/MAX(N:N)*$N$1)</f>
        <v/>
      </c>
      <c r="C102" s="156">
        <f>IFERROR(VLOOKUP(D102,AllPlayers!F:F,1,0),"------------")</f>
        <v/>
      </c>
      <c r="D102" s="156" t="inlineStr">
        <is>
          <t>Emari Demercado</t>
        </is>
      </c>
      <c r="E102" s="156">
        <f>VLOOKUP(D102,AllPlayers!Q:R,2,0)</f>
        <v/>
      </c>
      <c r="F102" s="156" t="n">
        <v>2</v>
      </c>
      <c r="G102" s="156" t="n">
        <v>3</v>
      </c>
      <c r="H102" s="156" t="n">
        <v>64</v>
      </c>
      <c r="I102" s="156" t="n">
        <v>26</v>
      </c>
      <c r="J102" s="156" t="n">
        <v>0</v>
      </c>
      <c r="K102" s="156" t="n">
        <v>0</v>
      </c>
      <c r="L102" s="156" t="n">
        <v>0</v>
      </c>
      <c r="M102" s="156" t="n">
        <v>0</v>
      </c>
      <c r="N102" s="156" t="n">
        <v>0</v>
      </c>
    </row>
    <row r="103" ht="15.6" customHeight="1" s="152">
      <c r="A103" s="167">
        <f>D103&amp;E103</f>
        <v/>
      </c>
      <c r="B103" s="156">
        <f>(G103/MAX(I:I)*HI$1)+(H103/MAX(H:H)*$H$1)+(J103/MAX(J:J)*$J$1)+(K103/MAX(K:K)*$K$1)+(I103/MAX(I:I)*$I$1)++(L103/MAX(L:L)*$L$1)++(M103/MAX(M:M)*$M$1)+(N103/MAX(N:N)*$N$1)</f>
        <v/>
      </c>
      <c r="C103" s="156">
        <f>IFERROR(VLOOKUP(D103,AllPlayers!F:F,1,0),"------------")</f>
        <v/>
      </c>
      <c r="D103" s="156" t="inlineStr">
        <is>
          <t>Tyrone Tracy</t>
        </is>
      </c>
      <c r="E103" s="156">
        <f>VLOOKUP(D103,AllPlayers!Q:R,2,0)</f>
        <v/>
      </c>
      <c r="F103" s="156" t="n">
        <v>2</v>
      </c>
      <c r="G103" s="156" t="n">
        <v>3</v>
      </c>
      <c r="H103" s="156" t="n">
        <v>61</v>
      </c>
      <c r="I103" s="156" t="n">
        <v>28</v>
      </c>
      <c r="J103" s="156" t="n">
        <v>0</v>
      </c>
      <c r="K103" s="156" t="n">
        <v>0</v>
      </c>
      <c r="L103" s="156" t="n">
        <v>0</v>
      </c>
      <c r="M103" s="156" t="n">
        <v>0</v>
      </c>
      <c r="N103" s="156" t="n">
        <v>0</v>
      </c>
    </row>
    <row r="104" ht="15.6" customHeight="1" s="152">
      <c r="A104" s="167">
        <f>D104&amp;E104</f>
        <v/>
      </c>
      <c r="B104" s="156">
        <f>(G104/MAX(I:I)*HI$1)+(H104/MAX(H:H)*$H$1)+(J104/MAX(J:J)*$J$1)+(K104/MAX(K:K)*$K$1)+(I104/MAX(I:I)*$I$1)++(L104/MAX(L:L)*$L$1)++(M104/MAX(M:M)*$M$1)+(N104/MAX(N:N)*$N$1)</f>
        <v/>
      </c>
      <c r="C104" s="156">
        <f>IFERROR(VLOOKUP(D104,AllPlayers!F:F,1,0),"------------")</f>
        <v/>
      </c>
      <c r="D104" s="156" t="inlineStr">
        <is>
          <t>Myles Gaskin</t>
        </is>
      </c>
      <c r="E104" s="156">
        <f>VLOOKUP(D104,AllPlayers!Q:R,2,0)</f>
        <v/>
      </c>
      <c r="F104" s="156" t="n">
        <v>2</v>
      </c>
      <c r="G104" s="156" t="n">
        <v>3</v>
      </c>
      <c r="H104" s="156" t="n">
        <v>60</v>
      </c>
      <c r="I104" s="156" t="n">
        <v>26</v>
      </c>
      <c r="J104" s="156" t="n">
        <v>0</v>
      </c>
      <c r="K104" s="156" t="n">
        <v>0</v>
      </c>
      <c r="L104" s="156" t="n">
        <v>0</v>
      </c>
      <c r="M104" s="156" t="n">
        <v>0</v>
      </c>
      <c r="N104" s="156" t="n">
        <v>0</v>
      </c>
    </row>
    <row r="105" ht="15.6" customHeight="1" s="152">
      <c r="A105" s="167">
        <f>D105&amp;E105</f>
        <v/>
      </c>
      <c r="B105" s="156">
        <f>(G105/MAX(I:I)*HI$1)+(H105/MAX(H:H)*$H$1)+(J105/MAX(J:J)*$J$1)+(K105/MAX(K:K)*$K$1)+(I105/MAX(I:I)*$I$1)++(L105/MAX(L:L)*$L$1)++(M105/MAX(M:M)*$M$1)+(N105/MAX(N:N)*$N$1)</f>
        <v/>
      </c>
      <c r="C105" s="156">
        <f>IFERROR(VLOOKUP(D105,AllPlayers!F:F,1,0),"------------")</f>
        <v/>
      </c>
      <c r="D105" s="156" t="inlineStr">
        <is>
          <t>Sione Vaki</t>
        </is>
      </c>
      <c r="E105" s="156">
        <f>VLOOKUP(D105,AllPlayers!Q:R,2,0)</f>
        <v/>
      </c>
      <c r="F105" s="156" t="n">
        <v>1</v>
      </c>
      <c r="G105" s="156" t="n">
        <v>2</v>
      </c>
      <c r="H105" s="156" t="n">
        <v>55</v>
      </c>
      <c r="I105" s="156" t="n">
        <v>36</v>
      </c>
      <c r="J105" s="156" t="n">
        <v>0</v>
      </c>
      <c r="K105" s="156" t="n">
        <v>0</v>
      </c>
      <c r="L105" s="156" t="n">
        <v>0</v>
      </c>
      <c r="M105" s="156" t="n">
        <v>0</v>
      </c>
      <c r="N105" s="156" t="n">
        <v>0</v>
      </c>
    </row>
    <row r="106" ht="15.6" customHeight="1" s="152">
      <c r="A106" s="167">
        <f>D106&amp;E106</f>
        <v/>
      </c>
      <c r="B106" s="156">
        <f>(G106/MAX(I:I)*HI$1)+(H106/MAX(H:H)*$H$1)+(J106/MAX(J:J)*$J$1)+(K106/MAX(K:K)*$K$1)+(I106/MAX(I:I)*$I$1)++(L106/MAX(L:L)*$L$1)++(M106/MAX(M:M)*$M$1)+(N106/MAX(N:N)*$N$1)</f>
        <v/>
      </c>
      <c r="C106" s="156">
        <f>IFERROR(VLOOKUP(D106,AllPlayers!F:F,1,0),"------------")</f>
        <v/>
      </c>
      <c r="D106" s="156" t="inlineStr">
        <is>
          <t>D.J. Williams</t>
        </is>
      </c>
      <c r="E106" s="156">
        <f>VLOOKUP(D106,AllPlayers!Q:R,2,0)</f>
        <v/>
      </c>
      <c r="F106" s="156" t="n">
        <v>1</v>
      </c>
      <c r="G106" s="156" t="n">
        <v>2</v>
      </c>
      <c r="H106" s="156" t="n">
        <v>54</v>
      </c>
      <c r="I106" s="156" t="n">
        <v>30</v>
      </c>
      <c r="J106" s="156" t="n">
        <v>0</v>
      </c>
      <c r="K106" s="156" t="n">
        <v>0</v>
      </c>
      <c r="L106" s="156" t="n">
        <v>0</v>
      </c>
      <c r="M106" s="156" t="n">
        <v>0</v>
      </c>
      <c r="N106" s="156" t="n">
        <v>0</v>
      </c>
    </row>
    <row r="107" ht="15.6" customHeight="1" s="152">
      <c r="A107" s="167">
        <f>D107&amp;E107</f>
        <v/>
      </c>
      <c r="B107" s="156">
        <f>(G107/MAX(I:I)*HI$1)+(H107/MAX(H:H)*$H$1)+(J107/MAX(J:J)*$J$1)+(K107/MAX(K:K)*$K$1)+(I107/MAX(I:I)*$I$1)++(L107/MAX(L:L)*$L$1)++(M107/MAX(M:M)*$M$1)+(N107/MAX(N:N)*$N$1)</f>
        <v/>
      </c>
      <c r="C107" s="156">
        <f>IFERROR(VLOOKUP(D107,AllPlayers!F:F,1,0),"------------")</f>
        <v/>
      </c>
      <c r="D107" s="156" t="inlineStr">
        <is>
          <t>Tyreik McAllister</t>
        </is>
      </c>
      <c r="E107" s="156">
        <f>VLOOKUP(D107,AllPlayers!Q:R,2,0)</f>
        <v/>
      </c>
      <c r="F107" s="156" t="n">
        <v>1</v>
      </c>
      <c r="G107" s="156" t="n">
        <v>2</v>
      </c>
      <c r="H107" s="156" t="n">
        <v>49</v>
      </c>
      <c r="I107" s="156" t="n">
        <v>28</v>
      </c>
      <c r="J107" s="156" t="n">
        <v>0</v>
      </c>
      <c r="K107" s="156" t="n">
        <v>2</v>
      </c>
      <c r="L107" s="156" t="n">
        <v>24</v>
      </c>
      <c r="M107" s="156" t="n">
        <v>24</v>
      </c>
      <c r="N107" s="156" t="n">
        <v>0</v>
      </c>
    </row>
    <row r="108" ht="15.6" customHeight="1" s="152">
      <c r="A108" s="167">
        <f>D108&amp;E108</f>
        <v/>
      </c>
      <c r="B108" s="156">
        <f>(G108/MAX(I:I)*HI$1)+(H108/MAX(H:H)*$H$1)+(J108/MAX(J:J)*$J$1)+(K108/MAX(K:K)*$K$1)+(I108/MAX(I:I)*$I$1)++(L108/MAX(L:L)*$L$1)++(M108/MAX(M:M)*$M$1)+(N108/MAX(N:N)*$N$1)</f>
        <v/>
      </c>
      <c r="C108" s="156">
        <f>IFERROR(VLOOKUP(D108,AllPlayers!F:F,1,0),"------------")</f>
        <v/>
      </c>
      <c r="D108" s="156" t="inlineStr">
        <is>
          <t>John Kelly</t>
        </is>
      </c>
      <c r="E108" s="156">
        <f>VLOOKUP(D108,AllPlayers!Q:R,2,0)</f>
        <v/>
      </c>
      <c r="F108" s="156" t="n">
        <v>1</v>
      </c>
      <c r="G108" s="156" t="n">
        <v>2</v>
      </c>
      <c r="H108" s="156" t="n">
        <v>46</v>
      </c>
      <c r="I108" s="156" t="n">
        <v>24</v>
      </c>
      <c r="J108" s="156" t="n">
        <v>0</v>
      </c>
      <c r="K108" s="156" t="n">
        <v>0</v>
      </c>
      <c r="L108" s="156" t="n">
        <v>0</v>
      </c>
      <c r="M108" s="156" t="n">
        <v>0</v>
      </c>
      <c r="N108" s="156" t="n">
        <v>0</v>
      </c>
    </row>
    <row r="109" ht="15.6" customHeight="1" s="152">
      <c r="A109" s="167">
        <f>D109&amp;E109</f>
        <v/>
      </c>
      <c r="B109" s="156">
        <f>(G109/MAX(I:I)*HI$1)+(H109/MAX(H:H)*$H$1)+(J109/MAX(J:J)*$J$1)+(K109/MAX(K:K)*$K$1)+(I109/MAX(I:I)*$I$1)++(L109/MAX(L:L)*$L$1)++(M109/MAX(M:M)*$M$1)+(N109/MAX(N:N)*$N$1)</f>
        <v/>
      </c>
      <c r="C109" s="156">
        <f>IFERROR(VLOOKUP(D109,AllPlayers!F:F,1,0),"------------")</f>
        <v/>
      </c>
      <c r="D109" s="156" t="inlineStr">
        <is>
          <t>Tim Jones</t>
        </is>
      </c>
      <c r="E109" s="156">
        <f>VLOOKUP(D109,AllPlayers!Q:R,2,0)</f>
        <v/>
      </c>
      <c r="F109" s="156" t="n">
        <v>2</v>
      </c>
      <c r="G109" s="156" t="n">
        <v>2</v>
      </c>
      <c r="H109" s="156" t="n">
        <v>43</v>
      </c>
      <c r="I109" s="156" t="n">
        <v>23</v>
      </c>
      <c r="J109" s="156" t="n">
        <v>0</v>
      </c>
      <c r="K109" s="156" t="n">
        <v>0</v>
      </c>
      <c r="L109" s="156" t="n">
        <v>0</v>
      </c>
      <c r="M109" s="156" t="n">
        <v>0</v>
      </c>
      <c r="N109" s="156" t="n">
        <v>0</v>
      </c>
    </row>
    <row r="110" ht="15.6" customHeight="1" s="152">
      <c r="A110" s="167">
        <f>D110&amp;E110</f>
        <v/>
      </c>
      <c r="B110" s="156">
        <f>(G110/MAX(I:I)*HI$1)+(H110/MAX(H:H)*$H$1)+(J110/MAX(J:J)*$J$1)+(K110/MAX(K:K)*$K$1)+(I110/MAX(I:I)*$I$1)++(L110/MAX(L:L)*$L$1)++(M110/MAX(M:M)*$M$1)+(N110/MAX(N:N)*$N$1)</f>
        <v/>
      </c>
      <c r="C110" s="156">
        <f>IFERROR(VLOOKUP(D110,AllPlayers!F:F,1,0),"------------")</f>
        <v/>
      </c>
      <c r="D110" s="156" t="inlineStr">
        <is>
          <t>Tim Jones</t>
        </is>
      </c>
      <c r="E110" s="156">
        <f>VLOOKUP(D110,AllPlayers!Q:R,2,0)</f>
        <v/>
      </c>
      <c r="F110" s="156" t="n">
        <v>2</v>
      </c>
      <c r="G110" s="156" t="n">
        <v>2</v>
      </c>
      <c r="H110" s="156" t="n">
        <v>43</v>
      </c>
      <c r="I110" s="156" t="n">
        <v>23</v>
      </c>
      <c r="J110" s="156" t="n">
        <v>0</v>
      </c>
      <c r="K110" s="156" t="n">
        <v>0</v>
      </c>
      <c r="L110" s="156" t="n">
        <v>0</v>
      </c>
      <c r="M110" s="156" t="n">
        <v>0</v>
      </c>
      <c r="N110" s="156" t="n">
        <v>0</v>
      </c>
    </row>
    <row r="111" ht="15.6" customHeight="1" s="152">
      <c r="A111" s="167">
        <f>D111&amp;E111</f>
        <v/>
      </c>
      <c r="B111" s="156">
        <f>(G111/MAX(I:I)*HI$1)+(H111/MAX(H:H)*$H$1)+(J111/MAX(J:J)*$J$1)+(K111/MAX(K:K)*$K$1)+(I111/MAX(I:I)*$I$1)++(L111/MAX(L:L)*$L$1)++(M111/MAX(M:M)*$M$1)+(N111/MAX(N:N)*$N$1)</f>
        <v/>
      </c>
      <c r="C111" s="156">
        <f>IFERROR(VLOOKUP(D111,AllPlayers!F:F,1,0),"------------")</f>
        <v/>
      </c>
      <c r="D111" s="156" t="inlineStr">
        <is>
          <t>Skyy Moore</t>
        </is>
      </c>
      <c r="E111" s="156">
        <f>VLOOKUP(D111,AllPlayers!Q:R,2,0)</f>
        <v/>
      </c>
      <c r="F111" s="156" t="n">
        <v>2</v>
      </c>
      <c r="G111" s="156" t="n">
        <v>2</v>
      </c>
      <c r="H111" s="156" t="n">
        <v>43</v>
      </c>
      <c r="I111" s="156" t="n">
        <v>28</v>
      </c>
      <c r="J111" s="156" t="n">
        <v>0</v>
      </c>
      <c r="K111" s="156" t="n">
        <v>0</v>
      </c>
      <c r="L111" s="156" t="n">
        <v>0</v>
      </c>
      <c r="M111" s="156" t="n">
        <v>0</v>
      </c>
      <c r="N111" s="156" t="n">
        <v>0</v>
      </c>
    </row>
    <row r="112" ht="15.6" customHeight="1" s="152">
      <c r="A112" s="167">
        <f>D112&amp;E112</f>
        <v/>
      </c>
      <c r="B112" s="156">
        <f>(G112/MAX(I:I)*HI$1)+(H112/MAX(H:H)*$H$1)+(J112/MAX(J:J)*$J$1)+(K112/MAX(K:K)*$K$1)+(I112/MAX(I:I)*$I$1)++(L112/MAX(L:L)*$L$1)++(M112/MAX(M:M)*$M$1)+(N112/MAX(N:N)*$N$1)</f>
        <v/>
      </c>
      <c r="C112" s="156">
        <f>IFERROR(VLOOKUP(D112,AllPlayers!F:F,1,0),"------------")</f>
        <v/>
      </c>
      <c r="D112" s="156" t="inlineStr">
        <is>
          <t>Kendric Pryor</t>
        </is>
      </c>
      <c r="E112" s="156">
        <f>VLOOKUP(D112,AllPlayers!Q:R,2,0)</f>
        <v/>
      </c>
      <c r="F112" s="156" t="n">
        <v>1</v>
      </c>
      <c r="G112" s="156" t="n">
        <v>2</v>
      </c>
      <c r="H112" s="156" t="n">
        <v>43</v>
      </c>
      <c r="I112" s="156" t="n">
        <v>24</v>
      </c>
      <c r="J112" s="156" t="n">
        <v>0</v>
      </c>
      <c r="K112" s="156" t="n">
        <v>0</v>
      </c>
      <c r="L112" s="156" t="n">
        <v>0</v>
      </c>
      <c r="M112" s="156" t="n">
        <v>0</v>
      </c>
      <c r="N112" s="156" t="n">
        <v>0</v>
      </c>
    </row>
    <row r="113" ht="15.6" customHeight="1" s="152">
      <c r="A113" s="167">
        <f>D113&amp;E113</f>
        <v/>
      </c>
      <c r="B113" s="156">
        <f>(G113/MAX(I:I)*HI$1)+(H113/MAX(H:H)*$H$1)+(J113/MAX(J:J)*$J$1)+(K113/MAX(K:K)*$K$1)+(I113/MAX(I:I)*$I$1)++(L113/MAX(L:L)*$L$1)++(M113/MAX(M:M)*$M$1)+(N113/MAX(N:N)*$N$1)</f>
        <v/>
      </c>
      <c r="C113" s="156">
        <f>IFERROR(VLOOKUP(D113,AllPlayers!F:F,1,0),"------------")</f>
        <v/>
      </c>
      <c r="D113" s="156" t="inlineStr">
        <is>
          <t>Raheem Mostert</t>
        </is>
      </c>
      <c r="E113" s="156">
        <f>VLOOKUP(D113,AllPlayers!Q:R,2,0)</f>
        <v/>
      </c>
      <c r="F113" s="156" t="n">
        <v>2</v>
      </c>
      <c r="G113" s="156" t="n">
        <v>2</v>
      </c>
      <c r="H113" s="156" t="n">
        <v>42</v>
      </c>
      <c r="I113" s="156" t="n">
        <v>23</v>
      </c>
      <c r="J113" s="156" t="n">
        <v>0</v>
      </c>
      <c r="K113" s="156" t="n">
        <v>0</v>
      </c>
      <c r="L113" s="156" t="n">
        <v>0</v>
      </c>
      <c r="M113" s="156" t="n">
        <v>0</v>
      </c>
      <c r="N113" s="156" t="n">
        <v>0</v>
      </c>
    </row>
    <row r="114" ht="15.6" customHeight="1" s="152">
      <c r="A114" s="167">
        <f>D114&amp;E114</f>
        <v/>
      </c>
      <c r="B114" s="156">
        <f>(G114/MAX(I:I)*HI$1)+(H114/MAX(H:H)*$H$1)+(J114/MAX(J:J)*$J$1)+(K114/MAX(K:K)*$K$1)+(I114/MAX(I:I)*$I$1)++(L114/MAX(L:L)*$L$1)++(M114/MAX(M:M)*$M$1)+(N114/MAX(N:N)*$N$1)</f>
        <v/>
      </c>
      <c r="C114" s="156">
        <f>IFERROR(VLOOKUP(D114,AllPlayers!F:F,1,0),"------------")</f>
        <v/>
      </c>
      <c r="D114" s="156" t="inlineStr">
        <is>
          <t>Taysom Hill</t>
        </is>
      </c>
      <c r="E114" s="156">
        <f>VLOOKUP(D114,AllPlayers!Q:R,2,0)</f>
        <v/>
      </c>
      <c r="F114" s="156" t="n">
        <v>1</v>
      </c>
      <c r="G114" s="156" t="n">
        <v>1</v>
      </c>
      <c r="H114" s="156" t="n">
        <v>42</v>
      </c>
      <c r="I114" s="156" t="n">
        <v>42</v>
      </c>
      <c r="J114" s="156" t="n">
        <v>0</v>
      </c>
      <c r="K114" s="156" t="n">
        <v>0</v>
      </c>
      <c r="L114" s="156" t="n">
        <v>0</v>
      </c>
      <c r="M114" s="156" t="n">
        <v>0</v>
      </c>
      <c r="N114" s="156" t="n">
        <v>0</v>
      </c>
    </row>
    <row r="115" ht="15.6" customHeight="1" s="152">
      <c r="A115" s="167">
        <f>D115&amp;E115</f>
        <v/>
      </c>
      <c r="B115" s="156">
        <f>(G115/MAX(I:I)*HI$1)+(H115/MAX(H:H)*$H$1)+(J115/MAX(J:J)*$J$1)+(K115/MAX(K:K)*$K$1)+(I115/MAX(I:I)*$I$1)++(L115/MAX(L:L)*$L$1)++(M115/MAX(M:M)*$M$1)+(N115/MAX(N:N)*$N$1)</f>
        <v/>
      </c>
      <c r="C115" s="156">
        <f>IFERROR(VLOOKUP(D115,AllPlayers!F:F,1,0),"------------")</f>
        <v/>
      </c>
      <c r="D115" s="156" t="inlineStr">
        <is>
          <t>Mack Hollins</t>
        </is>
      </c>
      <c r="E115" s="156">
        <f>VLOOKUP(D115,AllPlayers!Q:R,2,0)</f>
        <v/>
      </c>
      <c r="F115" s="156" t="n">
        <v>1</v>
      </c>
      <c r="G115" s="156" t="n">
        <v>1</v>
      </c>
      <c r="H115" s="156" t="n">
        <v>38</v>
      </c>
      <c r="I115" s="156" t="n">
        <v>38</v>
      </c>
      <c r="J115" s="156" t="n">
        <v>0</v>
      </c>
      <c r="K115" s="156" t="n">
        <v>0</v>
      </c>
      <c r="L115" s="156" t="n">
        <v>0</v>
      </c>
      <c r="M115" s="156" t="n">
        <v>0</v>
      </c>
      <c r="N115" s="156" t="n">
        <v>0</v>
      </c>
    </row>
    <row r="116" ht="15.6" customHeight="1" s="152">
      <c r="A116" s="167">
        <f>D116&amp;E116</f>
        <v/>
      </c>
      <c r="B116" s="156">
        <f>(G116/MAX(I:I)*HI$1)+(H116/MAX(H:H)*$H$1)+(J116/MAX(J:J)*$J$1)+(K116/MAX(K:K)*$K$1)+(I116/MAX(I:I)*$I$1)++(L116/MAX(L:L)*$L$1)++(M116/MAX(M:M)*$M$1)+(N116/MAX(N:N)*$N$1)</f>
        <v/>
      </c>
      <c r="C116" s="156">
        <f>IFERROR(VLOOKUP(D116,AllPlayers!F:F,1,0),"------------")</f>
        <v/>
      </c>
      <c r="D116" s="156" t="inlineStr">
        <is>
          <t>Isaiah Williams</t>
        </is>
      </c>
      <c r="E116" s="156">
        <f>VLOOKUP(D116,AllPlayers!Q:R,2,0)</f>
        <v/>
      </c>
      <c r="F116" s="156" t="n">
        <v>1</v>
      </c>
      <c r="G116" s="156" t="n">
        <v>1</v>
      </c>
      <c r="H116" s="156" t="n">
        <v>36</v>
      </c>
      <c r="I116" s="156" t="n">
        <v>36</v>
      </c>
      <c r="J116" s="156" t="n">
        <v>0</v>
      </c>
      <c r="K116" s="156" t="n">
        <v>0</v>
      </c>
      <c r="L116" s="156" t="n">
        <v>0</v>
      </c>
      <c r="M116" s="156" t="n">
        <v>0</v>
      </c>
      <c r="N116" s="156" t="n">
        <v>0</v>
      </c>
    </row>
    <row r="117" ht="15.6" customHeight="1" s="152">
      <c r="A117" s="167">
        <f>D117&amp;E117</f>
        <v/>
      </c>
      <c r="B117" s="156">
        <f>(G117/MAX(I:I)*HI$1)+(H117/MAX(H:H)*$H$1)+(J117/MAX(J:J)*$J$1)+(K117/MAX(K:K)*$K$1)+(I117/MAX(I:I)*$I$1)++(L117/MAX(L:L)*$L$1)++(M117/MAX(M:M)*$M$1)+(N117/MAX(N:N)*$N$1)</f>
        <v/>
      </c>
      <c r="C117" s="156">
        <f>IFERROR(VLOOKUP(D117,AllPlayers!F:F,1,0),"------------")</f>
        <v/>
      </c>
      <c r="D117" s="156" t="inlineStr">
        <is>
          <t>Gary Brightwell</t>
        </is>
      </c>
      <c r="E117" s="156">
        <f>VLOOKUP(D117,AllPlayers!Q:R,2,0)</f>
        <v/>
      </c>
      <c r="F117" s="156" t="n">
        <v>1</v>
      </c>
      <c r="G117" s="156" t="n">
        <v>2</v>
      </c>
      <c r="H117" s="156" t="n">
        <v>36</v>
      </c>
      <c r="I117" s="156" t="n">
        <v>24</v>
      </c>
      <c r="J117" s="156" t="n">
        <v>0</v>
      </c>
      <c r="K117" s="156" t="n">
        <v>0</v>
      </c>
      <c r="L117" s="156" t="n">
        <v>0</v>
      </c>
      <c r="M117" s="156" t="n">
        <v>0</v>
      </c>
      <c r="N117" s="156" t="n">
        <v>0</v>
      </c>
    </row>
    <row r="118" ht="15.6" customHeight="1" s="152">
      <c r="A118" s="167">
        <f>D118&amp;E118</f>
        <v/>
      </c>
      <c r="B118" s="156">
        <f>(G118/MAX(I:I)*HI$1)+(H118/MAX(H:H)*$H$1)+(J118/MAX(J:J)*$J$1)+(K118/MAX(K:K)*$K$1)+(I118/MAX(I:I)*$I$1)++(L118/MAX(L:L)*$L$1)++(M118/MAX(M:M)*$M$1)+(N118/MAX(N:N)*$N$1)</f>
        <v/>
      </c>
      <c r="C118" s="156">
        <f>IFERROR(VLOOKUP(D118,AllPlayers!F:F,1,0),"------------")</f>
        <v/>
      </c>
      <c r="D118" s="156" t="inlineStr">
        <is>
          <t>Hassan Haskins</t>
        </is>
      </c>
      <c r="E118" s="156">
        <f>VLOOKUP(D118,AllPlayers!Q:R,2,0)</f>
        <v/>
      </c>
      <c r="F118" s="156" t="n">
        <v>1</v>
      </c>
      <c r="G118" s="156" t="n">
        <v>1</v>
      </c>
      <c r="H118" s="156" t="n">
        <v>35</v>
      </c>
      <c r="I118" s="156" t="n">
        <v>35</v>
      </c>
      <c r="J118" s="156" t="n">
        <v>0</v>
      </c>
      <c r="K118" s="156" t="n">
        <v>0</v>
      </c>
      <c r="L118" s="156" t="n">
        <v>0</v>
      </c>
      <c r="M118" s="156" t="n">
        <v>0</v>
      </c>
      <c r="N118" s="156" t="n">
        <v>0</v>
      </c>
    </row>
    <row r="119" ht="15.6" customHeight="1" s="152">
      <c r="A119" s="167">
        <f>D119&amp;E119</f>
        <v/>
      </c>
      <c r="B119" s="156">
        <f>(G119/MAX(I:I)*HI$1)+(H119/MAX(H:H)*$H$1)+(J119/MAX(J:J)*$J$1)+(K119/MAX(K:K)*$K$1)+(I119/MAX(I:I)*$I$1)++(L119/MAX(L:L)*$L$1)++(M119/MAX(M:M)*$M$1)+(N119/MAX(N:N)*$N$1)</f>
        <v/>
      </c>
      <c r="C119" s="156">
        <f>IFERROR(VLOOKUP(D119,AllPlayers!F:F,1,0),"------------")</f>
        <v/>
      </c>
      <c r="D119" s="156" t="inlineStr">
        <is>
          <t>Keilan Robinson</t>
        </is>
      </c>
      <c r="E119" s="156">
        <f>VLOOKUP(D119,AllPlayers!Q:R,2,0)</f>
        <v/>
      </c>
      <c r="F119" s="156" t="n">
        <v>1</v>
      </c>
      <c r="G119" s="156" t="n">
        <v>2</v>
      </c>
      <c r="H119" s="156" t="n">
        <v>34</v>
      </c>
      <c r="I119" s="156" t="n">
        <v>20</v>
      </c>
      <c r="J119" s="156" t="n">
        <v>0</v>
      </c>
      <c r="K119" s="156" t="n">
        <v>0</v>
      </c>
      <c r="L119" s="156" t="n">
        <v>0</v>
      </c>
      <c r="M119" s="156" t="n">
        <v>0</v>
      </c>
      <c r="N119" s="156" t="n">
        <v>0</v>
      </c>
    </row>
    <row r="120" ht="15.6" customHeight="1" s="152">
      <c r="A120" s="167">
        <f>D120&amp;E120</f>
        <v/>
      </c>
      <c r="B120" s="156">
        <f>(G120/MAX(I:I)*HI$1)+(H120/MAX(H:H)*$H$1)+(J120/MAX(J:J)*$J$1)+(K120/MAX(K:K)*$K$1)+(I120/MAX(I:I)*$I$1)++(L120/MAX(L:L)*$L$1)++(M120/MAX(M:M)*$M$1)+(N120/MAX(N:N)*$N$1)</f>
        <v/>
      </c>
      <c r="C120" s="156">
        <f>IFERROR(VLOOKUP(D120,AllPlayers!F:F,1,0),"------------")</f>
        <v/>
      </c>
      <c r="D120" s="156" t="inlineStr">
        <is>
          <t>Jacob Cowing</t>
        </is>
      </c>
      <c r="E120" s="156">
        <f>VLOOKUP(D120,AllPlayers!Q:R,2,0)</f>
        <v/>
      </c>
      <c r="F120" s="156" t="n">
        <v>14</v>
      </c>
      <c r="G120" s="156" t="n">
        <v>1</v>
      </c>
      <c r="H120" s="156" t="n">
        <v>32</v>
      </c>
      <c r="I120" s="156" t="n">
        <v>32</v>
      </c>
      <c r="J120" s="156" t="n">
        <v>0</v>
      </c>
      <c r="K120" s="156" t="n">
        <v>28</v>
      </c>
      <c r="L120" s="156" t="n">
        <v>245</v>
      </c>
      <c r="M120" s="156" t="n">
        <v>51</v>
      </c>
      <c r="N120" s="156" t="n">
        <v>0</v>
      </c>
    </row>
    <row r="121" ht="15.6" customHeight="1" s="152">
      <c r="A121" s="167">
        <f>D121&amp;E121</f>
        <v/>
      </c>
      <c r="B121" s="156">
        <f>(G121/MAX(I:I)*HI$1)+(H121/MAX(H:H)*$H$1)+(J121/MAX(J:J)*$J$1)+(K121/MAX(K:K)*$K$1)+(I121/MAX(I:I)*$I$1)++(L121/MAX(L:L)*$L$1)++(M121/MAX(M:M)*$M$1)+(N121/MAX(N:N)*$N$1)</f>
        <v/>
      </c>
      <c r="C121" s="156">
        <f>IFERROR(VLOOKUP(D121,AllPlayers!F:F,1,0),"------------")</f>
        <v/>
      </c>
      <c r="D121" s="156" t="inlineStr">
        <is>
          <t>De'Von Achane</t>
        </is>
      </c>
      <c r="E121" s="156">
        <f>VLOOKUP(D121,AllPlayers!Q:R,2,0)</f>
        <v/>
      </c>
      <c r="F121" s="156" t="n">
        <v>1</v>
      </c>
      <c r="G121" s="156" t="n">
        <v>1</v>
      </c>
      <c r="H121" s="156" t="n">
        <v>32</v>
      </c>
      <c r="I121" s="156" t="n">
        <v>32</v>
      </c>
      <c r="J121" s="156" t="n">
        <v>0</v>
      </c>
      <c r="K121" s="156" t="n">
        <v>0</v>
      </c>
      <c r="L121" s="156" t="n">
        <v>0</v>
      </c>
      <c r="M121" s="156" t="n">
        <v>0</v>
      </c>
      <c r="N121" s="156" t="n">
        <v>0</v>
      </c>
    </row>
    <row r="122" ht="15.6" customHeight="1" s="152">
      <c r="A122" s="167">
        <f>D122&amp;E122</f>
        <v/>
      </c>
      <c r="B122" s="156">
        <f>(G122/MAX(I:I)*HI$1)+(H122/MAX(H:H)*$H$1)+(J122/MAX(J:J)*$J$1)+(K122/MAX(K:K)*$K$1)+(I122/MAX(I:I)*$I$1)++(L122/MAX(L:L)*$L$1)++(M122/MAX(M:M)*$M$1)+(N122/MAX(N:N)*$N$1)</f>
        <v/>
      </c>
      <c r="C122" s="156">
        <f>IFERROR(VLOOKUP(D122,AllPlayers!F:F,1,0),"------------")</f>
        <v/>
      </c>
      <c r="D122" s="156" t="inlineStr">
        <is>
          <t>Xavier Hutchinson</t>
        </is>
      </c>
      <c r="E122" s="156">
        <f>VLOOKUP(D122,AllPlayers!Q:R,2,0)</f>
        <v/>
      </c>
      <c r="F122" s="156" t="n">
        <v>1</v>
      </c>
      <c r="G122" s="156" t="n">
        <v>1</v>
      </c>
      <c r="H122" s="156" t="n">
        <v>32</v>
      </c>
      <c r="I122" s="156" t="n">
        <v>32</v>
      </c>
      <c r="J122" s="156" t="n">
        <v>0</v>
      </c>
      <c r="K122" s="156" t="n">
        <v>0</v>
      </c>
      <c r="L122" s="156" t="n">
        <v>0</v>
      </c>
      <c r="M122" s="156" t="n">
        <v>0</v>
      </c>
      <c r="N122" s="156" t="n">
        <v>0</v>
      </c>
    </row>
    <row r="123" ht="15.6" customHeight="1" s="152">
      <c r="A123" s="167">
        <f>D123&amp;E123</f>
        <v/>
      </c>
      <c r="B123" s="156">
        <f>(G123/MAX(I:I)*HI$1)+(H123/MAX(H:H)*$H$1)+(J123/MAX(J:J)*$J$1)+(K123/MAX(K:K)*$K$1)+(I123/MAX(I:I)*$I$1)++(L123/MAX(L:L)*$L$1)++(M123/MAX(M:M)*$M$1)+(N123/MAX(N:N)*$N$1)</f>
        <v/>
      </c>
      <c r="C123" s="156">
        <f>IFERROR(VLOOKUP(D123,AllPlayers!F:F,1,0),"------------")</f>
        <v/>
      </c>
      <c r="D123" s="156" t="inlineStr">
        <is>
          <t>Dallis Flowers</t>
        </is>
      </c>
      <c r="E123" s="156">
        <f>VLOOKUP(D123,AllPlayers!Q:R,2,0)</f>
        <v/>
      </c>
      <c r="F123" s="156" t="n">
        <v>1</v>
      </c>
      <c r="G123" s="156" t="n">
        <v>1</v>
      </c>
      <c r="H123" s="156" t="n">
        <v>30</v>
      </c>
      <c r="I123" s="156" t="n">
        <v>30</v>
      </c>
      <c r="J123" s="156" t="n">
        <v>0</v>
      </c>
      <c r="K123" s="156" t="n">
        <v>0</v>
      </c>
      <c r="L123" s="156" t="n">
        <v>0</v>
      </c>
      <c r="M123" s="156" t="n">
        <v>0</v>
      </c>
      <c r="N123" s="156" t="n">
        <v>0</v>
      </c>
    </row>
    <row r="124" ht="15.6" customHeight="1" s="152">
      <c r="A124" s="167">
        <f>D124&amp;E124</f>
        <v/>
      </c>
      <c r="B124" s="156">
        <f>(G124/MAX(I:I)*HI$1)+(H124/MAX(H:H)*$H$1)+(J124/MAX(J:J)*$J$1)+(K124/MAX(K:K)*$K$1)+(I124/MAX(I:I)*$I$1)++(L124/MAX(L:L)*$L$1)++(M124/MAX(M:M)*$M$1)+(N124/MAX(N:N)*$N$1)</f>
        <v/>
      </c>
      <c r="C124" s="156">
        <f>IFERROR(VLOOKUP(D124,AllPlayers!F:F,1,0),"------------")</f>
        <v/>
      </c>
      <c r="D124" s="156" t="inlineStr">
        <is>
          <t>Travis Homer</t>
        </is>
      </c>
      <c r="E124" s="156">
        <f>VLOOKUP(D124,AllPlayers!Q:R,2,0)</f>
        <v/>
      </c>
      <c r="F124" s="156" t="n">
        <v>1</v>
      </c>
      <c r="G124" s="156" t="n">
        <v>1</v>
      </c>
      <c r="H124" s="156" t="n">
        <v>29</v>
      </c>
      <c r="I124" s="156" t="n">
        <v>29</v>
      </c>
      <c r="J124" s="156" t="n">
        <v>0</v>
      </c>
      <c r="K124" s="156" t="n">
        <v>0</v>
      </c>
      <c r="L124" s="156" t="n">
        <v>0</v>
      </c>
      <c r="M124" s="156" t="n">
        <v>0</v>
      </c>
      <c r="N124" s="156" t="n">
        <v>0</v>
      </c>
    </row>
    <row r="125" ht="15.6" customHeight="1" s="152">
      <c r="A125" s="167">
        <f>D125&amp;E125</f>
        <v/>
      </c>
      <c r="B125" s="156">
        <f>(G125/MAX(I:I)*HI$1)+(H125/MAX(H:H)*$H$1)+(J125/MAX(J:J)*$J$1)+(K125/MAX(K:K)*$K$1)+(I125/MAX(I:I)*$I$1)++(L125/MAX(L:L)*$L$1)++(M125/MAX(M:M)*$M$1)+(N125/MAX(N:N)*$N$1)</f>
        <v/>
      </c>
      <c r="C125" s="156">
        <f>IFERROR(VLOOKUP(D125,AllPlayers!F:F,1,0),"------------")</f>
        <v/>
      </c>
      <c r="D125" s="156" t="inlineStr">
        <is>
          <t>Jordan Mason</t>
        </is>
      </c>
      <c r="E125" s="156">
        <f>VLOOKUP(D125,AllPlayers!Q:R,2,0)</f>
        <v/>
      </c>
      <c r="F125" s="156" t="n">
        <v>2</v>
      </c>
      <c r="G125" s="156" t="n">
        <v>2</v>
      </c>
      <c r="H125" s="156" t="n">
        <v>29</v>
      </c>
      <c r="I125" s="156" t="n">
        <v>29</v>
      </c>
      <c r="J125" s="156" t="n">
        <v>0</v>
      </c>
      <c r="K125" s="156" t="n">
        <v>0</v>
      </c>
      <c r="L125" s="156" t="n">
        <v>0</v>
      </c>
      <c r="M125" s="156" t="n">
        <v>0</v>
      </c>
      <c r="N125" s="156" t="n">
        <v>0</v>
      </c>
    </row>
    <row r="126" ht="15.6" customHeight="1" s="152">
      <c r="A126" s="167">
        <f>D126&amp;E126</f>
        <v/>
      </c>
      <c r="B126" s="156">
        <f>(G126/MAX(I:I)*HI$1)+(H126/MAX(H:H)*$H$1)+(J126/MAX(J:J)*$J$1)+(K126/MAX(K:K)*$K$1)+(I126/MAX(I:I)*$I$1)++(L126/MAX(L:L)*$L$1)++(M126/MAX(M:M)*$M$1)+(N126/MAX(N:N)*$N$1)</f>
        <v/>
      </c>
      <c r="C126" s="156">
        <f>IFERROR(VLOOKUP(D126,AllPlayers!F:F,1,0),"------------")</f>
        <v/>
      </c>
      <c r="D126" s="156" t="inlineStr">
        <is>
          <t>Jaylen Wright</t>
        </is>
      </c>
      <c r="E126" s="156">
        <f>VLOOKUP(D126,AllPlayers!Q:R,2,0)</f>
        <v/>
      </c>
      <c r="F126" s="156" t="n">
        <v>1</v>
      </c>
      <c r="G126" s="156" t="n">
        <v>1</v>
      </c>
      <c r="H126" s="156" t="n">
        <v>29</v>
      </c>
      <c r="I126" s="156" t="n">
        <v>29</v>
      </c>
      <c r="J126" s="156" t="n">
        <v>0</v>
      </c>
      <c r="K126" s="156" t="n">
        <v>0</v>
      </c>
      <c r="L126" s="156" t="n">
        <v>0</v>
      </c>
      <c r="M126" s="156" t="n">
        <v>0</v>
      </c>
      <c r="N126" s="156" t="n">
        <v>0</v>
      </c>
    </row>
    <row r="127" ht="15.6" customHeight="1" s="152">
      <c r="A127" s="167">
        <f>D127&amp;E127</f>
        <v/>
      </c>
      <c r="B127" s="156">
        <f>(G127/MAX(I:I)*HI$1)+(H127/MAX(H:H)*$H$1)+(J127/MAX(J:J)*$J$1)+(K127/MAX(K:K)*$K$1)+(I127/MAX(I:I)*$I$1)++(L127/MAX(L:L)*$L$1)++(M127/MAX(M:M)*$M$1)+(N127/MAX(N:N)*$N$1)</f>
        <v/>
      </c>
      <c r="C127" s="156">
        <f>IFERROR(VLOOKUP(D127,AllPlayers!F:F,1,0),"------------")</f>
        <v/>
      </c>
      <c r="D127" s="156" t="inlineStr">
        <is>
          <t>Craig Reynolds</t>
        </is>
      </c>
      <c r="E127" s="156">
        <f>VLOOKUP(D127,AllPlayers!Q:R,2,0)</f>
        <v/>
      </c>
      <c r="F127" s="156" t="n">
        <v>1</v>
      </c>
      <c r="G127" s="156" t="n">
        <v>1</v>
      </c>
      <c r="H127" s="156" t="n">
        <v>28</v>
      </c>
      <c r="I127" s="156" t="n">
        <v>28</v>
      </c>
      <c r="J127" s="156" t="n">
        <v>0</v>
      </c>
      <c r="K127" s="156" t="n">
        <v>0</v>
      </c>
      <c r="L127" s="156" t="n">
        <v>0</v>
      </c>
      <c r="M127" s="156" t="n">
        <v>0</v>
      </c>
      <c r="N127" s="156" t="n">
        <v>0</v>
      </c>
    </row>
    <row r="128" ht="15.6" customHeight="1" s="152">
      <c r="A128" s="167">
        <f>D128&amp;E128</f>
        <v/>
      </c>
      <c r="B128" s="156">
        <f>(G128/MAX(I:I)*HI$1)+(H128/MAX(H:H)*$H$1)+(J128/MAX(J:J)*$J$1)+(K128/MAX(K:K)*$K$1)+(I128/MAX(I:I)*$I$1)++(L128/MAX(L:L)*$L$1)++(M128/MAX(M:M)*$M$1)+(N128/MAX(N:N)*$N$1)</f>
        <v/>
      </c>
      <c r="C128" s="156">
        <f>IFERROR(VLOOKUP(D128,AllPlayers!F:F,1,0),"------------")</f>
        <v/>
      </c>
      <c r="D128" s="156" t="inlineStr">
        <is>
          <t>Khalil Herbert</t>
        </is>
      </c>
      <c r="E128" s="156">
        <f>VLOOKUP(D128,AllPlayers!Q:R,2,0)</f>
        <v/>
      </c>
      <c r="F128" s="156" t="n">
        <v>1</v>
      </c>
      <c r="G128" s="156" t="n">
        <v>1</v>
      </c>
      <c r="H128" s="156" t="n">
        <v>28</v>
      </c>
      <c r="I128" s="156" t="n">
        <v>28</v>
      </c>
      <c r="J128" s="156" t="n">
        <v>0</v>
      </c>
      <c r="K128" s="156" t="n">
        <v>0</v>
      </c>
      <c r="L128" s="156" t="n">
        <v>0</v>
      </c>
      <c r="M128" s="156" t="n">
        <v>0</v>
      </c>
      <c r="N128" s="156" t="n">
        <v>0</v>
      </c>
    </row>
    <row r="129" ht="15.6" customHeight="1" s="152">
      <c r="A129" s="167">
        <f>D129&amp;E129</f>
        <v/>
      </c>
      <c r="B129" s="156">
        <f>(G129/MAX(I:I)*HI$1)+(H129/MAX(H:H)*$H$1)+(J129/MAX(J:J)*$J$1)+(K129/MAX(K:K)*$K$1)+(I129/MAX(I:I)*$I$1)++(L129/MAX(L:L)*$L$1)++(M129/MAX(M:M)*$M$1)+(N129/MAX(N:N)*$N$1)</f>
        <v/>
      </c>
      <c r="C129" s="156">
        <f>IFERROR(VLOOKUP(D129,AllPlayers!F:F,1,0),"------------")</f>
        <v/>
      </c>
      <c r="D129" s="156" t="inlineStr">
        <is>
          <t>Kalif Raymond</t>
        </is>
      </c>
      <c r="E129" s="156">
        <f>VLOOKUP(D129,AllPlayers!Q:R,2,0)</f>
        <v/>
      </c>
      <c r="F129" s="156" t="n">
        <v>11</v>
      </c>
      <c r="G129" s="156" t="n">
        <v>1</v>
      </c>
      <c r="H129" s="156" t="n">
        <v>26</v>
      </c>
      <c r="I129" s="156" t="n">
        <v>26</v>
      </c>
      <c r="J129" s="156" t="n">
        <v>0</v>
      </c>
      <c r="K129" s="156" t="n">
        <v>30</v>
      </c>
      <c r="L129" s="156" t="n">
        <v>413</v>
      </c>
      <c r="M129" s="156" t="n">
        <v>190</v>
      </c>
      <c r="N129" s="156" t="n">
        <v>1</v>
      </c>
    </row>
    <row r="130" ht="15.6" customHeight="1" s="152">
      <c r="A130" s="167">
        <f>D130&amp;E130</f>
        <v/>
      </c>
      <c r="B130" s="156">
        <f>(G130/MAX(I:I)*HI$1)+(H130/MAX(H:H)*$H$1)+(J130/MAX(J:J)*$J$1)+(K130/MAX(K:K)*$K$1)+(I130/MAX(I:I)*$I$1)++(L130/MAX(L:L)*$L$1)++(M130/MAX(M:M)*$M$1)+(N130/MAX(N:N)*$N$1)</f>
        <v/>
      </c>
      <c r="C130" s="156">
        <f>IFERROR(VLOOKUP(D130,AllPlayers!F:F,1,0),"------------")</f>
        <v/>
      </c>
      <c r="D130" s="156" t="inlineStr">
        <is>
          <t>Josh Blackwell</t>
        </is>
      </c>
      <c r="E130" s="156">
        <f>VLOOKUP(D130,AllPlayers!Q:R,2,0)</f>
        <v/>
      </c>
      <c r="F130" s="156" t="n">
        <v>6</v>
      </c>
      <c r="G130" s="156" t="n">
        <v>1</v>
      </c>
      <c r="H130" s="156" t="n">
        <v>25</v>
      </c>
      <c r="I130" s="156" t="n">
        <v>22</v>
      </c>
      <c r="J130" s="156" t="n">
        <v>0</v>
      </c>
      <c r="K130" s="156" t="n">
        <v>7</v>
      </c>
      <c r="L130" s="156" t="n">
        <v>146</v>
      </c>
      <c r="M130" s="156" t="n">
        <v>94</v>
      </c>
      <c r="N130" s="156" t="n">
        <v>1</v>
      </c>
    </row>
    <row r="131" ht="15.6" customHeight="1" s="152">
      <c r="A131" s="167">
        <f>D131&amp;E131</f>
        <v/>
      </c>
      <c r="B131" s="156">
        <f>(G131/MAX(I:I)*HI$1)+(H131/MAX(H:H)*$H$1)+(J131/MAX(J:J)*$J$1)+(K131/MAX(K:K)*$K$1)+(I131/MAX(I:I)*$I$1)++(L131/MAX(L:L)*$L$1)++(M131/MAX(M:M)*$M$1)+(N131/MAX(N:N)*$N$1)</f>
        <v/>
      </c>
      <c r="C131" s="156">
        <f>IFERROR(VLOOKUP(D131,AllPlayers!F:F,1,0),"------------")</f>
        <v/>
      </c>
      <c r="D131" s="156" t="inlineStr">
        <is>
          <t>Noah Igbinoghene</t>
        </is>
      </c>
      <c r="E131" s="156">
        <f>VLOOKUP(D131,AllPlayers!Q:R,2,0)</f>
        <v/>
      </c>
      <c r="F131" s="156" t="n">
        <v>1</v>
      </c>
      <c r="G131" s="156" t="n">
        <v>1</v>
      </c>
      <c r="H131" s="156" t="n">
        <v>25</v>
      </c>
      <c r="I131" s="156" t="n">
        <v>25</v>
      </c>
      <c r="J131" s="156" t="n">
        <v>0</v>
      </c>
      <c r="K131" s="156" t="n">
        <v>0</v>
      </c>
      <c r="L131" s="156" t="n">
        <v>0</v>
      </c>
      <c r="M131" s="156" t="n">
        <v>0</v>
      </c>
      <c r="N131" s="156" t="n">
        <v>0</v>
      </c>
    </row>
    <row r="132" ht="15.6" customHeight="1" s="152">
      <c r="A132" s="167">
        <f>D132&amp;E132</f>
        <v/>
      </c>
      <c r="B132" s="156">
        <f>(G132/MAX(I:I)*HI$1)+(H132/MAX(H:H)*$H$1)+(J132/MAX(J:J)*$J$1)+(K132/MAX(K:K)*$K$1)+(I132/MAX(I:I)*$I$1)++(L132/MAX(L:L)*$L$1)++(M132/MAX(M:M)*$M$1)+(N132/MAX(N:N)*$N$1)</f>
        <v/>
      </c>
      <c r="C132" s="156">
        <f>IFERROR(VLOOKUP(D132,AllPlayers!F:F,1,0),"------------")</f>
        <v/>
      </c>
      <c r="D132" s="156" t="inlineStr">
        <is>
          <t>Dee Williams</t>
        </is>
      </c>
      <c r="E132" s="156">
        <f>VLOOKUP(D132,AllPlayers!Q:R,2,0)</f>
        <v/>
      </c>
      <c r="F132" s="156" t="n">
        <v>1</v>
      </c>
      <c r="G132" s="156" t="n">
        <v>1</v>
      </c>
      <c r="H132" s="156" t="n">
        <v>23</v>
      </c>
      <c r="I132" s="156" t="n">
        <v>23</v>
      </c>
      <c r="J132" s="156" t="n">
        <v>0</v>
      </c>
      <c r="K132" s="156" t="n">
        <v>0</v>
      </c>
      <c r="L132" s="156" t="n">
        <v>0</v>
      </c>
      <c r="M132" s="156" t="n">
        <v>0</v>
      </c>
      <c r="N132" s="156" t="n">
        <v>0</v>
      </c>
    </row>
    <row r="133" ht="15.6" customHeight="1" s="152">
      <c r="A133" s="167">
        <f>D133&amp;E133</f>
        <v/>
      </c>
      <c r="B133" s="156">
        <f>(G133/MAX(I:I)*HI$1)+(H133/MAX(H:H)*$H$1)+(J133/MAX(J:J)*$J$1)+(K133/MAX(K:K)*$K$1)+(I133/MAX(I:I)*$I$1)++(L133/MAX(L:L)*$L$1)++(M133/MAX(M:M)*$M$1)+(N133/MAX(N:N)*$N$1)</f>
        <v/>
      </c>
      <c r="C133" s="156">
        <f>IFERROR(VLOOKUP(D133,AllPlayers!F:F,1,0),"------------")</f>
        <v/>
      </c>
      <c r="D133" s="156" t="inlineStr">
        <is>
          <t>Trey Sermon</t>
        </is>
      </c>
      <c r="E133" s="156">
        <f>VLOOKUP(D133,AllPlayers!Q:R,2,0)</f>
        <v/>
      </c>
      <c r="F133" s="156" t="n">
        <v>1</v>
      </c>
      <c r="G133" s="156" t="n">
        <v>1</v>
      </c>
      <c r="H133" s="156" t="n">
        <v>23</v>
      </c>
      <c r="I133" s="156" t="n">
        <v>23</v>
      </c>
      <c r="J133" s="156" t="n">
        <v>0</v>
      </c>
      <c r="K133" s="156" t="n">
        <v>0</v>
      </c>
      <c r="L133" s="156" t="n">
        <v>0</v>
      </c>
      <c r="M133" s="156" t="n">
        <v>0</v>
      </c>
      <c r="N133" s="156" t="n">
        <v>0</v>
      </c>
    </row>
    <row r="134" ht="15.6" customHeight="1" s="152">
      <c r="A134" s="167">
        <f>D134&amp;E134</f>
        <v/>
      </c>
      <c r="B134" s="156">
        <f>(G134/MAX(I:I)*HI$1)+(H134/MAX(H:H)*$H$1)+(J134/MAX(J:J)*$J$1)+(K134/MAX(K:K)*$K$1)+(I134/MAX(I:I)*$I$1)++(L134/MAX(L:L)*$L$1)++(M134/MAX(M:M)*$M$1)+(N134/MAX(N:N)*$N$1)</f>
        <v/>
      </c>
      <c r="C134" s="156">
        <f>IFERROR(VLOOKUP(D134,AllPlayers!F:F,1,0),"------------")</f>
        <v/>
      </c>
      <c r="D134" s="156" t="inlineStr">
        <is>
          <t>Ronnie Bell</t>
        </is>
      </c>
      <c r="E134" s="156">
        <f>VLOOKUP(D134,AllPlayers!Q:R,2,0)</f>
        <v/>
      </c>
      <c r="F134" s="156" t="n">
        <v>1</v>
      </c>
      <c r="G134" s="156" t="n">
        <v>1</v>
      </c>
      <c r="H134" s="156" t="n">
        <v>23</v>
      </c>
      <c r="I134" s="156" t="n">
        <v>23</v>
      </c>
      <c r="J134" s="156" t="n">
        <v>0</v>
      </c>
      <c r="K134" s="156" t="n">
        <v>0</v>
      </c>
      <c r="L134" s="156" t="n">
        <v>0</v>
      </c>
      <c r="M134" s="156" t="n">
        <v>0</v>
      </c>
      <c r="N134" s="156" t="n">
        <v>0</v>
      </c>
    </row>
    <row r="135" ht="15.6" customHeight="1" s="152">
      <c r="A135" s="167">
        <f>D135&amp;E135</f>
        <v/>
      </c>
      <c r="B135" s="156">
        <f>(G135/MAX(I:I)*HI$1)+(H135/MAX(H:H)*$H$1)+(J135/MAX(J:J)*$J$1)+(K135/MAX(K:K)*$K$1)+(I135/MAX(I:I)*$I$1)++(L135/MAX(L:L)*$L$1)++(M135/MAX(M:M)*$M$1)+(N135/MAX(N:N)*$N$1)</f>
        <v/>
      </c>
      <c r="C135" s="156">
        <f>IFERROR(VLOOKUP(D135,AllPlayers!F:F,1,0),"------------")</f>
        <v/>
      </c>
      <c r="D135" s="156" t="inlineStr">
        <is>
          <t>Natrone Brooks</t>
        </is>
      </c>
      <c r="E135" s="156">
        <f>VLOOKUP(D135,AllPlayers!Q:R,2,0)</f>
        <v/>
      </c>
      <c r="F135" s="156" t="n">
        <v>1</v>
      </c>
      <c r="G135" s="156" t="n">
        <v>1</v>
      </c>
      <c r="H135" s="156" t="n">
        <v>22</v>
      </c>
      <c r="I135" s="156" t="n">
        <v>22</v>
      </c>
      <c r="J135" s="156" t="n">
        <v>0</v>
      </c>
      <c r="K135" s="156" t="n">
        <v>0</v>
      </c>
      <c r="L135" s="156" t="n">
        <v>0</v>
      </c>
      <c r="M135" s="156" t="n">
        <v>0</v>
      </c>
      <c r="N135" s="156" t="n">
        <v>0</v>
      </c>
    </row>
    <row r="136" ht="15.6" customHeight="1" s="152">
      <c r="A136" s="167">
        <f>D136&amp;E136</f>
        <v/>
      </c>
      <c r="B136" s="156">
        <f>(G136/MAX(I:I)*HI$1)+(H136/MAX(H:H)*$H$1)+(J136/MAX(J:J)*$J$1)+(K136/MAX(K:K)*$K$1)+(I136/MAX(I:I)*$I$1)++(L136/MAX(L:L)*$L$1)++(M136/MAX(M:M)*$M$1)+(N136/MAX(N:N)*$N$1)</f>
        <v/>
      </c>
      <c r="C136" s="156">
        <f>IFERROR(VLOOKUP(D136,AllPlayers!F:F,1,0),"------------")</f>
        <v/>
      </c>
      <c r="D136" s="156" t="inlineStr">
        <is>
          <t>Jalen Reagor</t>
        </is>
      </c>
      <c r="E136" s="156">
        <f>VLOOKUP(D136,AllPlayers!Q:R,2,0)</f>
        <v/>
      </c>
      <c r="F136" s="156" t="n">
        <v>1</v>
      </c>
      <c r="G136" s="156" t="n">
        <v>1</v>
      </c>
      <c r="H136" s="156" t="n">
        <v>22</v>
      </c>
      <c r="I136" s="156" t="n">
        <v>22</v>
      </c>
      <c r="J136" s="156" t="n">
        <v>0</v>
      </c>
      <c r="K136" s="156" t="n">
        <v>0</v>
      </c>
      <c r="L136" s="156" t="n">
        <v>0</v>
      </c>
      <c r="M136" s="156" t="n">
        <v>0</v>
      </c>
      <c r="N136" s="156" t="n">
        <v>0</v>
      </c>
    </row>
    <row r="137" ht="15.6" customHeight="1" s="152">
      <c r="A137" s="167">
        <f>D137&amp;E137</f>
        <v/>
      </c>
      <c r="B137" s="156">
        <f>(G137/MAX(I:I)*HI$1)+(H137/MAX(H:H)*$H$1)+(J137/MAX(J:J)*$J$1)+(K137/MAX(K:K)*$K$1)+(I137/MAX(I:I)*$I$1)++(L137/MAX(L:L)*$L$1)++(M137/MAX(M:M)*$M$1)+(N137/MAX(N:N)*$N$1)</f>
        <v/>
      </c>
      <c r="C137" s="156">
        <f>IFERROR(VLOOKUP(D137,AllPlayers!F:F,1,0),"------------")</f>
        <v/>
      </c>
      <c r="D137" s="156" t="inlineStr">
        <is>
          <t>Mason Tipton</t>
        </is>
      </c>
      <c r="E137" s="156">
        <f>VLOOKUP(D137,AllPlayers!Q:R,2,0)</f>
        <v/>
      </c>
      <c r="F137" s="156" t="n">
        <v>1</v>
      </c>
      <c r="G137" s="156" t="n">
        <v>1</v>
      </c>
      <c r="H137" s="156" t="n">
        <v>21</v>
      </c>
      <c r="I137" s="156" t="n">
        <v>21</v>
      </c>
      <c r="J137" s="156" t="n">
        <v>0</v>
      </c>
      <c r="K137" s="156" t="n">
        <v>0</v>
      </c>
      <c r="L137" s="156" t="n">
        <v>0</v>
      </c>
      <c r="M137" s="156" t="n">
        <v>0</v>
      </c>
      <c r="N137" s="156" t="n">
        <v>0</v>
      </c>
    </row>
    <row r="138" ht="15.6" customHeight="1" s="152">
      <c r="A138" s="167">
        <f>D138&amp;E138</f>
        <v/>
      </c>
      <c r="B138" s="156">
        <f>(G138/MAX(I:I)*HI$1)+(H138/MAX(H:H)*$H$1)+(J138/MAX(J:J)*$J$1)+(K138/MAX(K:K)*$K$1)+(I138/MAX(I:I)*$I$1)++(L138/MAX(L:L)*$L$1)++(M138/MAX(M:M)*$M$1)+(N138/MAX(N:N)*$N$1)</f>
        <v/>
      </c>
      <c r="C138" s="156">
        <f>IFERROR(VLOOKUP(D138,AllPlayers!F:F,1,0),"------------")</f>
        <v/>
      </c>
      <c r="D138" s="156" t="inlineStr">
        <is>
          <t>Corey Ballentine</t>
        </is>
      </c>
      <c r="E138" s="156">
        <f>VLOOKUP(D138,AllPlayers!Q:R,2,0)</f>
        <v/>
      </c>
      <c r="F138" s="156" t="n">
        <v>2</v>
      </c>
      <c r="G138" s="156" t="n">
        <v>1</v>
      </c>
      <c r="H138" s="156" t="n">
        <v>21</v>
      </c>
      <c r="I138" s="156" t="n">
        <v>21</v>
      </c>
      <c r="J138" s="156" t="n">
        <v>0</v>
      </c>
      <c r="K138" s="156" t="n">
        <v>1</v>
      </c>
      <c r="L138" s="156" t="n">
        <v>0</v>
      </c>
      <c r="M138" s="156" t="n">
        <v>0</v>
      </c>
      <c r="N138" s="156" t="n">
        <v>0</v>
      </c>
    </row>
    <row r="139" ht="15.6" customHeight="1" s="152">
      <c r="A139" s="167">
        <f>D139&amp;E139</f>
        <v/>
      </c>
      <c r="B139" s="156">
        <f>(G139/MAX(I:I)*HI$1)+(H139/MAX(H:H)*$H$1)+(J139/MAX(J:J)*$J$1)+(K139/MAX(K:K)*$K$1)+(I139/MAX(I:I)*$I$1)++(L139/MAX(L:L)*$L$1)++(M139/MAX(M:M)*$M$1)+(N139/MAX(N:N)*$N$1)</f>
        <v/>
      </c>
      <c r="C139" s="156">
        <f>IFERROR(VLOOKUP(D139,AllPlayers!F:F,1,0),"------------")</f>
        <v/>
      </c>
      <c r="D139" s="156" t="inlineStr">
        <is>
          <t>Cody Thompson</t>
        </is>
      </c>
      <c r="E139" s="156">
        <f>VLOOKUP(D139,AllPlayers!Q:R,2,0)</f>
        <v/>
      </c>
      <c r="F139" s="156" t="n">
        <v>1</v>
      </c>
      <c r="G139" s="156" t="n">
        <v>1</v>
      </c>
      <c r="H139" s="156" t="n">
        <v>21</v>
      </c>
      <c r="I139" s="156" t="n">
        <v>21</v>
      </c>
      <c r="J139" s="156" t="n">
        <v>0</v>
      </c>
      <c r="K139" s="156" t="n">
        <v>0</v>
      </c>
      <c r="L139" s="156" t="n">
        <v>0</v>
      </c>
      <c r="M139" s="156" t="n">
        <v>0</v>
      </c>
      <c r="N139" s="156" t="n">
        <v>0</v>
      </c>
    </row>
    <row r="140" ht="15.6" customHeight="1" s="152">
      <c r="A140" s="167">
        <f>D140&amp;E140</f>
        <v/>
      </c>
      <c r="B140" s="156">
        <f>(G140/MAX(I:I)*HI$1)+(H140/MAX(H:H)*$H$1)+(J140/MAX(J:J)*$J$1)+(K140/MAX(K:K)*$K$1)+(I140/MAX(I:I)*$I$1)++(L140/MAX(L:L)*$L$1)++(M140/MAX(M:M)*$M$1)+(N140/MAX(N:N)*$N$1)</f>
        <v/>
      </c>
      <c r="C140" s="156">
        <f>IFERROR(VLOOKUP(D140,AllPlayers!F:F,1,0),"------------")</f>
        <v/>
      </c>
      <c r="D140" s="156" t="inlineStr">
        <is>
          <t>Treylon Burks</t>
        </is>
      </c>
      <c r="E140" s="156">
        <f>VLOOKUP(D140,AllPlayers!Q:R,2,0)</f>
        <v/>
      </c>
      <c r="F140" s="156" t="n">
        <v>1</v>
      </c>
      <c r="G140" s="156" t="n">
        <v>1</v>
      </c>
      <c r="H140" s="156" t="n">
        <v>21</v>
      </c>
      <c r="I140" s="156" t="n">
        <v>21</v>
      </c>
      <c r="J140" s="156" t="n">
        <v>0</v>
      </c>
      <c r="K140" s="156" t="n">
        <v>0</v>
      </c>
      <c r="L140" s="156" t="n">
        <v>0</v>
      </c>
      <c r="M140" s="156" t="n">
        <v>0</v>
      </c>
      <c r="N140" s="156" t="n">
        <v>0</v>
      </c>
    </row>
    <row r="141" ht="15.6" customHeight="1" s="152">
      <c r="A141" s="167">
        <f>D141&amp;E141</f>
        <v/>
      </c>
      <c r="B141" s="156">
        <f>(G141/MAX(I:I)*HI$1)+(H141/MAX(H:H)*$H$1)+(J141/MAX(J:J)*$J$1)+(K141/MAX(K:K)*$K$1)+(I141/MAX(I:I)*$I$1)++(L141/MAX(L:L)*$L$1)++(M141/MAX(M:M)*$M$1)+(N141/MAX(N:N)*$N$1)</f>
        <v/>
      </c>
      <c r="C141" s="156">
        <f>IFERROR(VLOOKUP(D141,AllPlayers!F:F,1,0),"------------")</f>
        <v/>
      </c>
      <c r="D141" s="156" t="inlineStr">
        <is>
          <t>Jordan Mims</t>
        </is>
      </c>
      <c r="E141" s="156">
        <f>VLOOKUP(D141,AllPlayers!Q:R,2,0)</f>
        <v/>
      </c>
      <c r="F141" s="156" t="n">
        <v>1</v>
      </c>
      <c r="G141" s="156" t="n">
        <v>1</v>
      </c>
      <c r="H141" s="156" t="n">
        <v>19</v>
      </c>
      <c r="I141" s="156" t="n">
        <v>19</v>
      </c>
      <c r="J141" s="156" t="n">
        <v>0</v>
      </c>
      <c r="K141" s="156" t="n">
        <v>0</v>
      </c>
      <c r="L141" s="156" t="n">
        <v>0</v>
      </c>
      <c r="M141" s="156" t="n">
        <v>0</v>
      </c>
      <c r="N141" s="156" t="n">
        <v>0</v>
      </c>
    </row>
    <row r="142" ht="15.6" customHeight="1" s="152">
      <c r="A142" s="167">
        <f>D142&amp;E142</f>
        <v/>
      </c>
      <c r="B142" s="156">
        <f>(G142/MAX(I:I)*HI$1)+(H142/MAX(H:H)*$H$1)+(J142/MAX(J:J)*$J$1)+(K142/MAX(K:K)*$K$1)+(I142/MAX(I:I)*$I$1)++(L142/MAX(L:L)*$L$1)++(M142/MAX(M:M)*$M$1)+(N142/MAX(N:N)*$N$1)</f>
        <v/>
      </c>
      <c r="C142" s="156">
        <f>IFERROR(VLOOKUP(D142,AllPlayers!F:F,1,0),"------------")</f>
        <v/>
      </c>
      <c r="D142" s="156" t="inlineStr">
        <is>
          <t>James Proche</t>
        </is>
      </c>
      <c r="E142" s="156">
        <f>VLOOKUP(D142,AllPlayers!Q:R,2,0)</f>
        <v/>
      </c>
      <c r="F142" s="156" t="n">
        <v>8</v>
      </c>
      <c r="G142" s="156" t="n">
        <v>1</v>
      </c>
      <c r="H142" s="156" t="n">
        <v>19</v>
      </c>
      <c r="I142" s="156" t="n">
        <v>19</v>
      </c>
      <c r="J142" s="156" t="n">
        <v>0</v>
      </c>
      <c r="K142" s="156" t="n">
        <v>19</v>
      </c>
      <c r="L142" s="156" t="n">
        <v>172</v>
      </c>
      <c r="M142" s="156" t="n">
        <v>38</v>
      </c>
      <c r="N142" s="156" t="n">
        <v>0</v>
      </c>
    </row>
    <row r="143" ht="15.6" customHeight="1" s="152">
      <c r="A143" s="167">
        <f>D143&amp;E143</f>
        <v/>
      </c>
      <c r="B143" s="156">
        <f>(G143/MAX(I:I)*HI$1)+(H143/MAX(H:H)*$H$1)+(J143/MAX(J:J)*$J$1)+(K143/MAX(K:K)*$K$1)+(I143/MAX(I:I)*$I$1)++(L143/MAX(L:L)*$L$1)++(M143/MAX(M:M)*$M$1)+(N143/MAX(N:N)*$N$1)</f>
        <v/>
      </c>
      <c r="C143" s="156">
        <f>IFERROR(VLOOKUP(D143,AllPlayers!F:F,1,0),"------------")</f>
        <v/>
      </c>
      <c r="D143" s="156" t="inlineStr">
        <is>
          <t>Velus Jones</t>
        </is>
      </c>
      <c r="E143" s="156">
        <f>VLOOKUP(D143,AllPlayers!Q:R,2,0)</f>
        <v/>
      </c>
      <c r="F143" s="156" t="n">
        <v>1</v>
      </c>
      <c r="G143" s="156" t="n">
        <v>1</v>
      </c>
      <c r="H143" s="156" t="n">
        <v>19</v>
      </c>
      <c r="I143" s="156" t="n">
        <v>19</v>
      </c>
      <c r="J143" s="156" t="n">
        <v>0</v>
      </c>
      <c r="K143" s="156" t="n">
        <v>0</v>
      </c>
      <c r="L143" s="156" t="n">
        <v>0</v>
      </c>
      <c r="M143" s="156" t="n">
        <v>0</v>
      </c>
      <c r="N143" s="156" t="n">
        <v>0</v>
      </c>
    </row>
    <row r="144" ht="15.6" customHeight="1" s="152">
      <c r="A144" s="167">
        <f>D144&amp;E144</f>
        <v/>
      </c>
      <c r="B144" s="156">
        <f>(G144/MAX(I:I)*HI$1)+(H144/MAX(H:H)*$H$1)+(J144/MAX(J:J)*$J$1)+(K144/MAX(K:K)*$K$1)+(I144/MAX(I:I)*$I$1)++(L144/MAX(L:L)*$L$1)++(M144/MAX(M:M)*$M$1)+(N144/MAX(N:N)*$N$1)</f>
        <v/>
      </c>
      <c r="C144" s="156">
        <f>IFERROR(VLOOKUP(D144,AllPlayers!F:F,1,0),"------------")</f>
        <v/>
      </c>
      <c r="D144" s="156" t="inlineStr">
        <is>
          <t>Ainias Smith</t>
        </is>
      </c>
      <c r="E144" s="156">
        <f>VLOOKUP(D144,AllPlayers!Q:R,2,0)</f>
        <v/>
      </c>
      <c r="F144" s="156" t="n">
        <v>1</v>
      </c>
      <c r="G144" s="156" t="n">
        <v>1</v>
      </c>
      <c r="H144" s="156" t="n">
        <v>17</v>
      </c>
      <c r="I144" s="156" t="n">
        <v>17</v>
      </c>
      <c r="J144" s="156" t="n">
        <v>0</v>
      </c>
      <c r="K144" s="156" t="n">
        <v>0</v>
      </c>
      <c r="L144" s="156" t="n">
        <v>0</v>
      </c>
      <c r="M144" s="156" t="n">
        <v>0</v>
      </c>
      <c r="N144" s="156" t="n">
        <v>0</v>
      </c>
    </row>
    <row r="145" ht="15.6" customHeight="1" s="152">
      <c r="A145" s="167">
        <f>D145&amp;E145</f>
        <v/>
      </c>
      <c r="B145" s="156">
        <f>(G145/MAX(I:I)*HI$1)+(H145/MAX(H:H)*$H$1)+(J145/MAX(J:J)*$J$1)+(K145/MAX(K:K)*$K$1)+(I145/MAX(I:I)*$I$1)++(L145/MAX(L:L)*$L$1)++(M145/MAX(M:M)*$M$1)+(N145/MAX(N:N)*$N$1)</f>
        <v/>
      </c>
      <c r="C145" s="156">
        <f>IFERROR(VLOOKUP(D145,AllPlayers!F:F,1,0),"------------")</f>
        <v/>
      </c>
      <c r="D145" s="156" t="inlineStr">
        <is>
          <t>Bo Melton</t>
        </is>
      </c>
      <c r="E145" s="156">
        <f>VLOOKUP(D145,AllPlayers!Q:R,2,0)</f>
        <v/>
      </c>
      <c r="F145" s="156" t="n">
        <v>1</v>
      </c>
      <c r="G145" s="156" t="n">
        <v>1</v>
      </c>
      <c r="H145" s="156" t="n">
        <v>15</v>
      </c>
      <c r="I145" s="156" t="n">
        <v>15</v>
      </c>
      <c r="J145" s="156" t="n">
        <v>0</v>
      </c>
      <c r="K145" s="156" t="n">
        <v>0</v>
      </c>
      <c r="L145" s="156" t="n">
        <v>0</v>
      </c>
      <c r="M145" s="156" t="n">
        <v>0</v>
      </c>
      <c r="N145" s="156" t="n">
        <v>0</v>
      </c>
    </row>
    <row r="146" ht="15.6" customHeight="1" s="152">
      <c r="A146" s="167">
        <f>D146&amp;E146</f>
        <v/>
      </c>
      <c r="B146" s="156">
        <f>(G146/MAX(I:I)*HI$1)+(H146/MAX(H:H)*$H$1)+(J146/MAX(J:J)*$J$1)+(K146/MAX(K:K)*$K$1)+(I146/MAX(I:I)*$I$1)++(L146/MAX(L:L)*$L$1)++(M146/MAX(M:M)*$M$1)+(N146/MAX(N:N)*$N$1)</f>
        <v/>
      </c>
      <c r="C146" s="156">
        <f>IFERROR(VLOOKUP(D146,AllPlayers!F:F,1,0),"------------")</f>
        <v/>
      </c>
      <c r="D146" s="156" t="inlineStr">
        <is>
          <t>Montrell Washington</t>
        </is>
      </c>
      <c r="E146" s="156">
        <f>VLOOKUP(D146,AllPlayers!Q:R,2,0)</f>
        <v/>
      </c>
      <c r="F146" s="156" t="n">
        <v>1</v>
      </c>
      <c r="G146" s="156" t="n">
        <v>1</v>
      </c>
      <c r="H146" s="156" t="n">
        <v>14</v>
      </c>
      <c r="I146" s="156" t="n">
        <v>14</v>
      </c>
      <c r="J146" s="156" t="n">
        <v>0</v>
      </c>
      <c r="K146" s="156" t="n">
        <v>0</v>
      </c>
      <c r="L146" s="156" t="n">
        <v>0</v>
      </c>
      <c r="M146" s="156" t="n">
        <v>0</v>
      </c>
      <c r="N146" s="156" t="n">
        <v>0</v>
      </c>
    </row>
    <row r="147" ht="15.6" customHeight="1" s="152">
      <c r="A147" s="167">
        <f>D147&amp;E147</f>
        <v/>
      </c>
      <c r="B147" s="156">
        <f>(G147/MAX(I:I)*HI$1)+(H147/MAX(H:H)*$H$1)+(J147/MAX(J:J)*$J$1)+(K147/MAX(K:K)*$K$1)+(I147/MAX(I:I)*$I$1)++(L147/MAX(L:L)*$L$1)++(M147/MAX(M:M)*$M$1)+(N147/MAX(N:N)*$N$1)</f>
        <v/>
      </c>
      <c r="C147" s="156">
        <f>IFERROR(VLOOKUP(D147,AllPlayers!F:F,1,0),"------------")</f>
        <v/>
      </c>
      <c r="D147" s="156" t="inlineStr">
        <is>
          <t>Miles Sanders</t>
        </is>
      </c>
      <c r="E147" s="156">
        <f>VLOOKUP(D147,AllPlayers!Q:R,2,0)</f>
        <v/>
      </c>
      <c r="F147" s="156" t="n">
        <v>1</v>
      </c>
      <c r="G147" s="156" t="n">
        <v>1</v>
      </c>
      <c r="H147" s="156" t="n">
        <v>14</v>
      </c>
      <c r="I147" s="156" t="n">
        <v>14</v>
      </c>
      <c r="J147" s="156" t="n">
        <v>0</v>
      </c>
      <c r="K147" s="156" t="n">
        <v>0</v>
      </c>
      <c r="L147" s="156" t="n">
        <v>0</v>
      </c>
      <c r="M147" s="156" t="n">
        <v>0</v>
      </c>
      <c r="N147" s="156" t="n">
        <v>0</v>
      </c>
    </row>
    <row r="148" ht="15.6" customHeight="1" s="152">
      <c r="A148" s="167">
        <f>D148&amp;E148</f>
        <v/>
      </c>
      <c r="B148" s="156">
        <f>(G148/MAX(I:I)*HI$1)+(H148/MAX(H:H)*$H$1)+(J148/MAX(J:J)*$J$1)+(K148/MAX(K:K)*$K$1)+(I148/MAX(I:I)*$I$1)++(L148/MAX(L:L)*$L$1)++(M148/MAX(M:M)*$M$1)+(N148/MAX(N:N)*$N$1)</f>
        <v/>
      </c>
      <c r="C148" s="156">
        <f>IFERROR(VLOOKUP(D148,AllPlayers!F:F,1,0),"------------")</f>
        <v/>
      </c>
      <c r="D148" s="156" t="inlineStr">
        <is>
          <t>Trey Palmer</t>
        </is>
      </c>
      <c r="E148" s="156">
        <f>VLOOKUP(D148,AllPlayers!Q:R,2,0)</f>
        <v/>
      </c>
      <c r="F148" s="156" t="n">
        <v>11</v>
      </c>
      <c r="G148" s="156" t="n">
        <v>1</v>
      </c>
      <c r="H148" s="156" t="n">
        <v>14</v>
      </c>
      <c r="I148" s="156" t="n">
        <v>14</v>
      </c>
      <c r="J148" s="156" t="n">
        <v>0</v>
      </c>
      <c r="K148" s="156" t="n">
        <v>17</v>
      </c>
      <c r="L148" s="156" t="n">
        <v>136</v>
      </c>
      <c r="M148" s="156" t="n">
        <v>31</v>
      </c>
      <c r="N148" s="156" t="n">
        <v>0</v>
      </c>
    </row>
    <row r="149" ht="15.6" customHeight="1" s="152">
      <c r="A149" s="167">
        <f>D149&amp;E149</f>
        <v/>
      </c>
      <c r="B149" s="156">
        <f>(G149/MAX(I:I)*HI$1)+(H149/MAX(H:H)*$H$1)+(J149/MAX(J:J)*$J$1)+(K149/MAX(K:K)*$K$1)+(I149/MAX(I:I)*$I$1)++(L149/MAX(L:L)*$L$1)++(M149/MAX(M:M)*$M$1)+(N149/MAX(N:N)*$N$1)</f>
        <v/>
      </c>
      <c r="C149" s="156">
        <f>IFERROR(VLOOKUP(D149,AllPlayers!F:F,1,0),"------------")</f>
        <v/>
      </c>
      <c r="D149" s="156" t="inlineStr">
        <is>
          <t>Dare Ogunbowale</t>
        </is>
      </c>
      <c r="E149" s="156">
        <f>VLOOKUP(D149,AllPlayers!Q:R,2,0)</f>
        <v/>
      </c>
      <c r="F149" s="156" t="n">
        <v>1</v>
      </c>
      <c r="G149" s="156" t="n">
        <v>1</v>
      </c>
      <c r="H149" s="156" t="n">
        <v>12</v>
      </c>
      <c r="I149" s="156" t="n">
        <v>12</v>
      </c>
      <c r="J149" s="156" t="n">
        <v>0</v>
      </c>
      <c r="K149" s="156" t="n">
        <v>0</v>
      </c>
      <c r="L149" s="156" t="n">
        <v>0</v>
      </c>
      <c r="M149" s="156" t="n">
        <v>0</v>
      </c>
      <c r="N149" s="156" t="n">
        <v>0</v>
      </c>
    </row>
    <row r="150" ht="15.6" customHeight="1" s="152">
      <c r="A150" s="167">
        <f>D150&amp;E150</f>
        <v/>
      </c>
      <c r="B150" s="156">
        <f>(G150/MAX(I:I)*HI$1)+(H150/MAX(H:H)*$H$1)+(J150/MAX(J:J)*$J$1)+(K150/MAX(K:K)*$K$1)+(I150/MAX(I:I)*$I$1)++(L150/MAX(L:L)*$L$1)++(M150/MAX(M:M)*$M$1)+(N150/MAX(N:N)*$N$1)</f>
        <v/>
      </c>
      <c r="C150" s="156">
        <f>IFERROR(VLOOKUP(D150,AllPlayers!F:F,1,0),"------------")</f>
        <v/>
      </c>
      <c r="D150" s="156" t="inlineStr">
        <is>
          <t>Minkah Fitzpatrick</t>
        </is>
      </c>
      <c r="E150" s="156">
        <f>VLOOKUP(D150,AllPlayers!Q:R,2,0)</f>
        <v/>
      </c>
      <c r="F150" s="156" t="n">
        <v>1</v>
      </c>
      <c r="G150" s="156" t="n">
        <v>1</v>
      </c>
      <c r="H150" s="156" t="n">
        <v>7</v>
      </c>
      <c r="I150" s="156" t="n">
        <v>7</v>
      </c>
      <c r="J150" s="156" t="n">
        <v>0</v>
      </c>
      <c r="K150" s="156" t="n">
        <v>0</v>
      </c>
      <c r="L150" s="156" t="n">
        <v>0</v>
      </c>
      <c r="M150" s="156" t="n">
        <v>0</v>
      </c>
      <c r="N150" s="156" t="n">
        <v>0</v>
      </c>
    </row>
    <row r="151" ht="15.6" customHeight="1" s="152">
      <c r="A151" s="167">
        <f>D151&amp;E151</f>
        <v/>
      </c>
      <c r="B151" s="156">
        <f>(G151/MAX(I:I)*HI$1)+(H151/MAX(H:H)*$H$1)+(J151/MAX(J:J)*$J$1)+(K151/MAX(K:K)*$K$1)+(I151/MAX(I:I)*$I$1)++(L151/MAX(L:L)*$L$1)++(M151/MAX(M:M)*$M$1)+(N151/MAX(N:N)*$N$1)</f>
        <v/>
      </c>
      <c r="C151" s="156">
        <f>IFERROR(VLOOKUP(D151,AllPlayers!F:F,1,0),"------------")</f>
        <v/>
      </c>
      <c r="D151" s="156" t="inlineStr">
        <is>
          <t>Jalen McMillan</t>
        </is>
      </c>
      <c r="E151" s="156">
        <f>VLOOKUP(D151,AllPlayers!Q:R,2,0)</f>
        <v/>
      </c>
      <c r="F151" s="156" t="n">
        <v>1</v>
      </c>
      <c r="G151" s="156" t="n">
        <v>0</v>
      </c>
      <c r="H151" s="156" t="n">
        <v>0</v>
      </c>
      <c r="I151" s="156" t="n">
        <v>0</v>
      </c>
      <c r="J151" s="156" t="n">
        <v>0</v>
      </c>
      <c r="K151" s="156" t="n">
        <v>3</v>
      </c>
      <c r="L151" s="156" t="n">
        <v>12</v>
      </c>
      <c r="M151" s="156" t="n">
        <v>12</v>
      </c>
      <c r="N151" s="156" t="n">
        <v>0</v>
      </c>
    </row>
    <row r="152" ht="15.6" customHeight="1" s="152">
      <c r="A152" s="167">
        <f>D152&amp;E152</f>
        <v/>
      </c>
      <c r="B152" s="156">
        <f>(G152/MAX(I:I)*HI$1)+(H152/MAX(H:H)*$H$1)+(J152/MAX(J:J)*$J$1)+(K152/MAX(K:K)*$K$1)+(I152/MAX(I:I)*$I$1)++(L152/MAX(L:L)*$L$1)++(M152/MAX(M:M)*$M$1)+(N152/MAX(N:N)*$N$1)</f>
        <v/>
      </c>
      <c r="C152" s="156">
        <f>IFERROR(VLOOKUP(D152,AllPlayers!F:F,1,0),"------------")</f>
        <v/>
      </c>
      <c r="D152" s="156" t="inlineStr">
        <is>
          <t>Amani Oruwariye</t>
        </is>
      </c>
      <c r="E152" s="156">
        <f>VLOOKUP(D152,AllPlayers!Q:R,2,0)</f>
        <v/>
      </c>
      <c r="F152" s="156" t="n">
        <v>1</v>
      </c>
      <c r="G152" s="156" t="n">
        <v>0</v>
      </c>
      <c r="H152" s="156" t="n">
        <v>0</v>
      </c>
      <c r="I152" s="156" t="n">
        <v>0</v>
      </c>
      <c r="J152" s="156" t="n">
        <v>0</v>
      </c>
      <c r="K152" s="156" t="n">
        <v>1</v>
      </c>
      <c r="L152" s="156" t="n">
        <v>0</v>
      </c>
      <c r="M152" s="156" t="n">
        <v>0</v>
      </c>
      <c r="N152" s="156" t="n">
        <v>0</v>
      </c>
    </row>
    <row r="153" ht="15.6" customHeight="1" s="152">
      <c r="A153" s="167">
        <f>D153&amp;E153</f>
        <v/>
      </c>
      <c r="B153" s="156">
        <f>(G153/MAX(I:I)*HI$1)+(H153/MAX(H:H)*$H$1)+(J153/MAX(J:J)*$J$1)+(K153/MAX(K:K)*$K$1)+(I153/MAX(I:I)*$I$1)++(L153/MAX(L:L)*$L$1)++(M153/MAX(M:M)*$M$1)+(N153/MAX(N:N)*$N$1)</f>
        <v/>
      </c>
      <c r="C153" s="156">
        <f>IFERROR(VLOOKUP(D153,AllPlayers!F:F,1,0),"------------")</f>
        <v/>
      </c>
      <c r="D153" s="156" t="inlineStr">
        <is>
          <t>Jeremiah Trotter</t>
        </is>
      </c>
      <c r="E153" s="156">
        <f>VLOOKUP(D153,AllPlayers!Q:R,2,0)</f>
        <v/>
      </c>
      <c r="F153" s="156" t="n">
        <v>1</v>
      </c>
      <c r="G153" s="156" t="n">
        <v>0</v>
      </c>
      <c r="H153" s="156" t="n">
        <v>0</v>
      </c>
      <c r="I153" s="156" t="n">
        <v>0</v>
      </c>
      <c r="J153" s="156" t="n">
        <v>0</v>
      </c>
      <c r="K153" s="156" t="n">
        <v>1</v>
      </c>
      <c r="L153" s="156" t="n">
        <v>0</v>
      </c>
      <c r="M153" s="156" t="n">
        <v>0</v>
      </c>
      <c r="N153" s="156" t="n">
        <v>0</v>
      </c>
    </row>
    <row r="154" ht="15.6" customHeight="1" s="152">
      <c r="A154" s="167">
        <f>D154&amp;E154</f>
        <v/>
      </c>
      <c r="B154" s="156">
        <f>(G154/MAX(I:I)*HI$1)+(H154/MAX(H:H)*$H$1)+(J154/MAX(J:J)*$J$1)+(K154/MAX(K:K)*$K$1)+(I154/MAX(I:I)*$I$1)++(L154/MAX(L:L)*$L$1)++(M154/MAX(M:M)*$M$1)+(N154/MAX(N:N)*$N$1)</f>
        <v/>
      </c>
      <c r="C154" s="156">
        <f>IFERROR(VLOOKUP(D154,AllPlayers!F:F,1,0),"------------")</f>
        <v/>
      </c>
      <c r="D154" s="156" t="inlineStr">
        <is>
          <t>Brandon Powell</t>
        </is>
      </c>
      <c r="E154" s="156">
        <f>VLOOKUP(D154,AllPlayers!Q:R,2,0)</f>
        <v/>
      </c>
      <c r="F154" s="156" t="n">
        <v>14</v>
      </c>
      <c r="G154" s="156" t="n">
        <v>0</v>
      </c>
      <c r="H154" s="156" t="n">
        <v>0</v>
      </c>
      <c r="I154" s="156" t="n">
        <v>0</v>
      </c>
      <c r="J154" s="156" t="n">
        <v>0</v>
      </c>
      <c r="K154" s="156" t="n">
        <v>23</v>
      </c>
      <c r="L154" s="156" t="n">
        <v>164</v>
      </c>
      <c r="M154" s="156" t="n">
        <v>43</v>
      </c>
      <c r="N154" s="156" t="n">
        <v>0</v>
      </c>
    </row>
    <row r="155" ht="15.6" customHeight="1" s="152">
      <c r="A155" s="167">
        <f>D155&amp;E155</f>
        <v/>
      </c>
      <c r="B155" s="156">
        <f>(G155/MAX(I:I)*HI$1)+(H155/MAX(H:H)*$H$1)+(J155/MAX(J:J)*$J$1)+(K155/MAX(K:K)*$K$1)+(I155/MAX(I:I)*$I$1)++(L155/MAX(L:L)*$L$1)++(M155/MAX(M:M)*$M$1)+(N155/MAX(N:N)*$N$1)</f>
        <v/>
      </c>
      <c r="C155" s="156">
        <f>IFERROR(VLOOKUP(D155,AllPlayers!F:F,1,0),"------------")</f>
        <v/>
      </c>
      <c r="D155" s="156" t="inlineStr">
        <is>
          <t>Maurice Alexander</t>
        </is>
      </c>
      <c r="E155" s="156">
        <f>VLOOKUP(D155,AllPlayers!Q:R,2,0)</f>
        <v/>
      </c>
      <c r="F155" s="156" t="n">
        <v>1</v>
      </c>
      <c r="G155" s="156" t="n">
        <v>0</v>
      </c>
      <c r="H155" s="156" t="n">
        <v>0</v>
      </c>
      <c r="I155" s="156" t="n">
        <v>0</v>
      </c>
      <c r="J155" s="156" t="n">
        <v>0</v>
      </c>
      <c r="K155" s="156" t="n">
        <v>4</v>
      </c>
      <c r="L155" s="156" t="n">
        <v>42</v>
      </c>
      <c r="M155" s="156" t="n">
        <v>42</v>
      </c>
      <c r="N155" s="156" t="n">
        <v>0</v>
      </c>
    </row>
    <row r="156" ht="15.6" customHeight="1" s="152">
      <c r="A156" s="167">
        <f>D156&amp;E156</f>
        <v/>
      </c>
      <c r="B156" s="156">
        <f>(G156/MAX(I:I)*HI$1)+(H156/MAX(H:H)*$H$1)+(J156/MAX(J:J)*$J$1)+(K156/MAX(K:K)*$K$1)+(I156/MAX(I:I)*$I$1)++(L156/MAX(L:L)*$L$1)++(M156/MAX(M:M)*$M$1)+(N156/MAX(N:N)*$N$1)</f>
        <v/>
      </c>
      <c r="C156" s="156">
        <f>IFERROR(VLOOKUP(D156,AllPlayers!F:F,1,0),"------------")</f>
        <v/>
      </c>
      <c r="D156" s="156" t="inlineStr">
        <is>
          <t>Kadarius Toney</t>
        </is>
      </c>
      <c r="E156" s="156">
        <f>VLOOKUP(D156,AllPlayers!Q:R,2,0)</f>
        <v/>
      </c>
      <c r="F156" s="156" t="n">
        <v>1</v>
      </c>
      <c r="G156" s="156" t="n">
        <v>0</v>
      </c>
      <c r="H156" s="156" t="n">
        <v>0</v>
      </c>
      <c r="I156" s="156" t="n">
        <v>0</v>
      </c>
      <c r="J156" s="156" t="n">
        <v>0</v>
      </c>
      <c r="K156" s="156" t="n">
        <v>4</v>
      </c>
      <c r="L156" s="156" t="n">
        <v>44</v>
      </c>
      <c r="M156" s="156" t="n">
        <v>44</v>
      </c>
      <c r="N156" s="156" t="n">
        <v>0</v>
      </c>
    </row>
    <row r="157" ht="15.6" customHeight="1" s="152">
      <c r="A157" s="167">
        <f>D157&amp;E157</f>
        <v/>
      </c>
      <c r="B157" s="156">
        <f>(G157/MAX(I:I)*HI$1)+(H157/MAX(H:H)*$H$1)+(J157/MAX(J:J)*$J$1)+(K157/MAX(K:K)*$K$1)+(I157/MAX(I:I)*$I$1)++(L157/MAX(L:L)*$L$1)++(M157/MAX(M:M)*$M$1)+(N157/MAX(N:N)*$N$1)</f>
        <v/>
      </c>
      <c r="C157" s="156">
        <f>IFERROR(VLOOKUP(D157,AllPlayers!F:F,1,0),"------------")</f>
        <v/>
      </c>
      <c r="D157" s="156" t="inlineStr">
        <is>
          <t>Ricky Pearsall</t>
        </is>
      </c>
      <c r="E157" s="156">
        <f>VLOOKUP(D157,AllPlayers!Q:R,2,0)</f>
        <v/>
      </c>
      <c r="F157" s="156" t="n">
        <v>1</v>
      </c>
      <c r="G157" s="156" t="n">
        <v>0</v>
      </c>
      <c r="H157" s="156" t="n">
        <v>0</v>
      </c>
      <c r="I157" s="156" t="n">
        <v>0</v>
      </c>
      <c r="J157" s="156" t="n">
        <v>0</v>
      </c>
      <c r="K157" s="156" t="n">
        <v>3</v>
      </c>
      <c r="L157" s="156" t="n">
        <v>41</v>
      </c>
      <c r="M157" s="156" t="n">
        <v>41</v>
      </c>
      <c r="N157" s="156" t="n">
        <v>0</v>
      </c>
    </row>
    <row r="158" ht="15.6" customHeight="1" s="152">
      <c r="A158" s="167">
        <f>D158&amp;E158</f>
        <v/>
      </c>
      <c r="B158" s="156">
        <f>(G158/MAX(I:I)*HI$1)+(H158/MAX(H:H)*$H$1)+(J158/MAX(J:J)*$J$1)+(K158/MAX(K:K)*$K$1)+(I158/MAX(I:I)*$I$1)++(L158/MAX(L:L)*$L$1)++(M158/MAX(M:M)*$M$1)+(N158/MAX(N:N)*$N$1)</f>
        <v/>
      </c>
      <c r="C158" s="156">
        <f>IFERROR(VLOOKUP(D158,AllPlayers!F:F,1,0),"------------")</f>
        <v/>
      </c>
      <c r="D158" s="156" t="inlineStr">
        <is>
          <t>Velus Jones</t>
        </is>
      </c>
      <c r="E158" s="156">
        <f>VLOOKUP(D158,AllPlayers!Q:R,2,0)</f>
        <v/>
      </c>
      <c r="F158" s="156" t="n">
        <v>1</v>
      </c>
      <c r="G158" s="156" t="n">
        <v>1</v>
      </c>
      <c r="H158" s="156" t="n">
        <v>0</v>
      </c>
      <c r="I158" s="156" t="n">
        <v>0</v>
      </c>
      <c r="J158" s="156" t="n">
        <v>0</v>
      </c>
      <c r="K158" s="156" t="n">
        <v>0</v>
      </c>
      <c r="L158" s="156" t="n">
        <v>0</v>
      </c>
      <c r="M158" s="156" t="n">
        <v>0</v>
      </c>
      <c r="N158" s="156" t="n">
        <v>0</v>
      </c>
    </row>
    <row r="159" ht="15.6" customHeight="1" s="152">
      <c r="A159" s="167">
        <f>D159&amp;E159</f>
        <v/>
      </c>
      <c r="B159" s="156">
        <f>(G159/MAX(I:I)*HI$1)+(H159/MAX(H:H)*$H$1)+(J159/MAX(J:J)*$J$1)+(K159/MAX(K:K)*$K$1)+(I159/MAX(I:I)*$I$1)++(L159/MAX(L:L)*$L$1)++(M159/MAX(M:M)*$M$1)+(N159/MAX(N:N)*$N$1)</f>
        <v/>
      </c>
      <c r="C159" s="156">
        <f>IFERROR(VLOOKUP(D159,AllPlayers!F:F,1,0),"------------")</f>
        <v/>
      </c>
      <c r="D159" s="156" t="inlineStr">
        <is>
          <t>Trenton Irwin</t>
        </is>
      </c>
      <c r="E159" s="156">
        <f>VLOOKUP(D159,AllPlayers!Q:R,2,0)</f>
        <v/>
      </c>
      <c r="F159" s="156" t="n">
        <v>3</v>
      </c>
      <c r="G159" s="156" t="n">
        <v>0</v>
      </c>
      <c r="H159" s="156" t="n">
        <v>0</v>
      </c>
      <c r="I159" s="156" t="n">
        <v>0</v>
      </c>
      <c r="J159" s="156" t="n">
        <v>0</v>
      </c>
      <c r="K159" s="156" t="n">
        <v>8</v>
      </c>
      <c r="L159" s="156" t="n">
        <v>56</v>
      </c>
      <c r="M159" s="156" t="n">
        <v>34</v>
      </c>
      <c r="N159" s="156" t="n">
        <v>0</v>
      </c>
    </row>
    <row r="160" ht="15.6" customHeight="1" s="152">
      <c r="A160" s="167">
        <f>D160&amp;E160</f>
        <v/>
      </c>
      <c r="B160" s="156">
        <f>(G160/MAX(I:I)*HI$1)+(H160/MAX(H:H)*$H$1)+(J160/MAX(J:J)*$J$1)+(K160/MAX(K:K)*$K$1)+(I160/MAX(I:I)*$I$1)++(L160/MAX(L:L)*$L$1)++(M160/MAX(M:M)*$M$1)+(N160/MAX(N:N)*$N$1)</f>
        <v/>
      </c>
      <c r="C160" s="156">
        <f>IFERROR(VLOOKUP(D160,AllPlayers!F:F,1,0),"------------")</f>
        <v/>
      </c>
      <c r="D160" s="156" t="inlineStr">
        <is>
          <t>DJ Ivey</t>
        </is>
      </c>
      <c r="E160" s="156">
        <f>VLOOKUP(D160,AllPlayers!Q:R,2,0)</f>
        <v/>
      </c>
      <c r="F160" s="156" t="n">
        <v>1</v>
      </c>
      <c r="G160" s="156" t="n">
        <v>0</v>
      </c>
      <c r="H160" s="156" t="n">
        <v>0</v>
      </c>
      <c r="I160" s="156" t="n">
        <v>0</v>
      </c>
      <c r="J160" s="156" t="n">
        <v>0</v>
      </c>
      <c r="K160" s="156" t="n">
        <v>1</v>
      </c>
      <c r="L160" s="156" t="n">
        <v>0</v>
      </c>
      <c r="M160" s="156" t="n">
        <v>0</v>
      </c>
      <c r="N160" s="156" t="n">
        <v>0</v>
      </c>
    </row>
    <row r="161" ht="15.6" customHeight="1" s="152">
      <c r="A161" s="167">
        <f>D161&amp;E161</f>
        <v/>
      </c>
      <c r="B161" s="156">
        <f>(G161/MAX(I:I)*HI$1)+(H161/MAX(H:H)*$H$1)+(J161/MAX(J:J)*$J$1)+(K161/MAX(K:K)*$K$1)+(I161/MAX(I:I)*$I$1)++(L161/MAX(L:L)*$L$1)++(M161/MAX(M:M)*$M$1)+(N161/MAX(N:N)*$N$1)</f>
        <v/>
      </c>
      <c r="C161" s="156">
        <f>IFERROR(VLOOKUP(D161,AllPlayers!F:F,1,0),"------------")</f>
        <v/>
      </c>
      <c r="D161" s="156" t="inlineStr">
        <is>
          <t>Austin Trammell</t>
        </is>
      </c>
      <c r="E161" s="156">
        <f>VLOOKUP(D161,AllPlayers!Q:R,2,0)</f>
        <v/>
      </c>
      <c r="F161" s="156" t="n">
        <v>1</v>
      </c>
      <c r="G161" s="156" t="n">
        <v>0</v>
      </c>
      <c r="H161" s="156" t="n">
        <v>0</v>
      </c>
      <c r="I161" s="156" t="n">
        <v>0</v>
      </c>
      <c r="J161" s="156" t="n">
        <v>0</v>
      </c>
      <c r="K161" s="156" t="n">
        <v>2</v>
      </c>
      <c r="L161" s="156" t="n">
        <v>7</v>
      </c>
      <c r="M161" s="156" t="n">
        <v>7</v>
      </c>
      <c r="N161" s="156" t="n">
        <v>0</v>
      </c>
    </row>
    <row r="162" ht="15.6" customHeight="1" s="152">
      <c r="A162" s="167">
        <f>D162&amp;E162</f>
        <v/>
      </c>
      <c r="B162" s="156">
        <f>(G162/MAX(I:I)*HI$1)+(H162/MAX(H:H)*$H$1)+(J162/MAX(J:J)*$J$1)+(K162/MAX(K:K)*$K$1)+(I162/MAX(I:I)*$I$1)++(L162/MAX(L:L)*$L$1)++(M162/MAX(M:M)*$M$1)+(N162/MAX(N:N)*$N$1)</f>
        <v/>
      </c>
      <c r="C162" s="156">
        <f>IFERROR(VLOOKUP(D162,AllPlayers!F:F,1,0),"------------")</f>
        <v/>
      </c>
      <c r="D162" s="156" t="inlineStr">
        <is>
          <t>Ladd McConkey</t>
        </is>
      </c>
      <c r="E162" s="156">
        <f>VLOOKUP(D162,AllPlayers!Q:R,2,0)</f>
        <v/>
      </c>
      <c r="F162" s="156" t="n">
        <v>1</v>
      </c>
      <c r="G162" s="156" t="n">
        <v>0</v>
      </c>
      <c r="H162" s="156" t="n">
        <v>0</v>
      </c>
      <c r="I162" s="156" t="n">
        <v>0</v>
      </c>
      <c r="J162" s="156" t="n">
        <v>0</v>
      </c>
      <c r="K162" s="156" t="n">
        <v>3</v>
      </c>
      <c r="L162" s="156" t="n">
        <v>28</v>
      </c>
      <c r="M162" s="156" t="n">
        <v>28</v>
      </c>
      <c r="N162" s="156" t="n">
        <v>0</v>
      </c>
    </row>
    <row r="163" ht="15.6" customHeight="1" s="152">
      <c r="A163" s="167">
        <f>D163&amp;E163</f>
        <v/>
      </c>
      <c r="B163" s="156">
        <f>(G163/MAX(I:I)*HI$1)+(H163/MAX(H:H)*$H$1)+(J163/MAX(J:J)*$J$1)+(K163/MAX(K:K)*$K$1)+(I163/MAX(I:I)*$I$1)++(L163/MAX(L:L)*$L$1)++(M163/MAX(M:M)*$M$1)+(N163/MAX(N:N)*$N$1)</f>
        <v/>
      </c>
      <c r="C163" s="156">
        <f>IFERROR(VLOOKUP(D163,AllPlayers!F:F,1,0),"------------")</f>
        <v/>
      </c>
      <c r="D163" s="156" t="inlineStr">
        <is>
          <t>Marcus Jones</t>
        </is>
      </c>
      <c r="E163" s="156">
        <f>VLOOKUP(D163,AllPlayers!Q:R,2,0)</f>
        <v/>
      </c>
      <c r="F163" s="156" t="n">
        <v>13</v>
      </c>
      <c r="G163" s="156" t="n">
        <v>0</v>
      </c>
      <c r="H163" s="156" t="n">
        <v>0</v>
      </c>
      <c r="I163" s="156" t="n">
        <v>0</v>
      </c>
      <c r="J163" s="156" t="n">
        <v>0</v>
      </c>
      <c r="K163" s="156" t="n">
        <v>26</v>
      </c>
      <c r="L163" s="156" t="n">
        <v>386</v>
      </c>
      <c r="M163" s="156" t="n">
        <v>73</v>
      </c>
      <c r="N163" s="156" t="n">
        <v>0</v>
      </c>
    </row>
    <row r="164" ht="15.6" customHeight="1" s="152">
      <c r="A164" s="167">
        <f>D164&amp;E164</f>
        <v/>
      </c>
      <c r="B164" s="156">
        <f>(G164/MAX(I:I)*HI$1)+(H164/MAX(H:H)*$H$1)+(J164/MAX(J:J)*$J$1)+(K164/MAX(K:K)*$K$1)+(I164/MAX(I:I)*$I$1)++(L164/MAX(L:L)*$L$1)++(M164/MAX(M:M)*$M$1)+(N164/MAX(N:N)*$N$1)</f>
        <v/>
      </c>
      <c r="C164" s="156">
        <f>IFERROR(VLOOKUP(D164,AllPlayers!F:F,1,0),"------------")</f>
        <v/>
      </c>
      <c r="D164" s="156" t="inlineStr">
        <is>
          <t>Darius Slayton</t>
        </is>
      </c>
      <c r="E164" s="156">
        <f>VLOOKUP(D164,AllPlayers!Q:R,2,0)</f>
        <v/>
      </c>
      <c r="F164" s="156" t="n">
        <v>1</v>
      </c>
      <c r="G164" s="156" t="n">
        <v>0</v>
      </c>
      <c r="H164" s="156" t="n">
        <v>0</v>
      </c>
      <c r="I164" s="156" t="n">
        <v>0</v>
      </c>
      <c r="J164" s="156" t="n">
        <v>0</v>
      </c>
      <c r="K164" s="156" t="n">
        <v>1</v>
      </c>
      <c r="L164" s="156" t="n">
        <v>0</v>
      </c>
      <c r="M164" s="156" t="n">
        <v>0</v>
      </c>
      <c r="N164" s="156" t="n">
        <v>0</v>
      </c>
    </row>
    <row r="165" ht="15.6" customHeight="1" s="152">
      <c r="A165" s="167">
        <f>D165&amp;E165</f>
        <v/>
      </c>
      <c r="B165" s="156">
        <f>(G165/MAX(I:I)*HI$1)+(H165/MAX(H:H)*$H$1)+(J165/MAX(J:J)*$J$1)+(K165/MAX(K:K)*$K$1)+(I165/MAX(I:I)*$I$1)++(L165/MAX(L:L)*$L$1)++(M165/MAX(M:M)*$M$1)+(N165/MAX(N:N)*$N$1)</f>
        <v/>
      </c>
      <c r="C165" s="156">
        <f>IFERROR(VLOOKUP(D165,AllPlayers!F:F,1,0),"------------")</f>
        <v/>
      </c>
      <c r="D165" s="156" t="inlineStr">
        <is>
          <t>David Moore</t>
        </is>
      </c>
      <c r="E165" s="156">
        <f>VLOOKUP(D165,AllPlayers!Q:R,2,0)</f>
        <v/>
      </c>
      <c r="F165" s="156" t="n">
        <v>2</v>
      </c>
      <c r="G165" s="156" t="n">
        <v>0</v>
      </c>
      <c r="H165" s="156" t="n">
        <v>0</v>
      </c>
      <c r="I165" s="156" t="n">
        <v>0</v>
      </c>
      <c r="J165" s="156" t="n">
        <v>0</v>
      </c>
      <c r="K165" s="156" t="n">
        <v>2</v>
      </c>
      <c r="L165" s="156" t="n">
        <v>13</v>
      </c>
      <c r="M165" s="156" t="n">
        <v>7</v>
      </c>
      <c r="N165" s="156" t="n">
        <v>0</v>
      </c>
    </row>
    <row r="166" ht="15.6" customHeight="1" s="152">
      <c r="A166" s="167">
        <f>D166&amp;E166</f>
        <v/>
      </c>
      <c r="B166" s="156">
        <f>(G166/MAX(I:I)*HI$1)+(H166/MAX(H:H)*$H$1)+(J166/MAX(J:J)*$J$1)+(K166/MAX(K:K)*$K$1)+(I166/MAX(I:I)*$I$1)++(L166/MAX(L:L)*$L$1)++(M166/MAX(M:M)*$M$1)+(N166/MAX(N:N)*$N$1)</f>
        <v/>
      </c>
      <c r="C166" s="156">
        <f>IFERROR(VLOOKUP(D166,AllPlayers!F:F,1,0),"------------")</f>
        <v/>
      </c>
      <c r="D166" s="156" t="inlineStr">
        <is>
          <t>Diontae Johnson</t>
        </is>
      </c>
      <c r="E166" s="156">
        <f>VLOOKUP(D166,AllPlayers!Q:R,2,0)</f>
        <v/>
      </c>
      <c r="F166" s="156" t="n">
        <v>1</v>
      </c>
      <c r="G166" s="156" t="n">
        <v>0</v>
      </c>
      <c r="H166" s="156" t="n">
        <v>0</v>
      </c>
      <c r="I166" s="156" t="n">
        <v>0</v>
      </c>
      <c r="J166" s="156" t="n">
        <v>0</v>
      </c>
      <c r="K166" s="156" t="n">
        <v>1</v>
      </c>
      <c r="L166" s="156" t="n">
        <v>0</v>
      </c>
      <c r="M166" s="156" t="n">
        <v>0</v>
      </c>
      <c r="N166" s="156" t="n">
        <v>0</v>
      </c>
    </row>
    <row r="167" ht="15.6" customHeight="1" s="152">
      <c r="A167" s="167">
        <f>D167&amp;E167</f>
        <v/>
      </c>
      <c r="B167" s="156">
        <f>(G167/MAX(I:I)*HI$1)+(H167/MAX(H:H)*$H$1)+(J167/MAX(J:J)*$J$1)+(K167/MAX(K:K)*$K$1)+(I167/MAX(I:I)*$I$1)++(L167/MAX(L:L)*$L$1)++(M167/MAX(M:M)*$M$1)+(N167/MAX(N:N)*$N$1)</f>
        <v/>
      </c>
      <c r="C167" s="156">
        <f>IFERROR(VLOOKUP(D167,AllPlayers!F:F,1,0),"------------")</f>
        <v/>
      </c>
      <c r="D167" s="156" t="inlineStr">
        <is>
          <t>Kameron Johnson</t>
        </is>
      </c>
      <c r="E167" s="156">
        <f>VLOOKUP(D167,AllPlayers!Q:R,2,0)</f>
        <v/>
      </c>
      <c r="F167" s="156" t="n">
        <v>1</v>
      </c>
      <c r="G167" s="156" t="n">
        <v>0</v>
      </c>
      <c r="H167" s="156" t="n">
        <v>0</v>
      </c>
      <c r="I167" s="156" t="n">
        <v>0</v>
      </c>
      <c r="J167" s="156" t="n">
        <v>0</v>
      </c>
      <c r="K167" s="156" t="n">
        <v>1</v>
      </c>
      <c r="L167" s="156" t="n">
        <v>11</v>
      </c>
      <c r="M167" s="156" t="n">
        <v>11</v>
      </c>
      <c r="N167" s="156" t="n">
        <v>0</v>
      </c>
    </row>
    <row r="168" ht="15.6" customHeight="1" s="152">
      <c r="A168" s="167">
        <f>D168&amp;E168</f>
        <v/>
      </c>
      <c r="B168" s="156">
        <f>(G168/MAX(I:I)*HI$1)+(H168/MAX(H:H)*$H$1)+(J168/MAX(J:J)*$J$1)+(K168/MAX(K:K)*$K$1)+(I168/MAX(I:I)*$I$1)++(L168/MAX(L:L)*$L$1)++(M168/MAX(M:M)*$M$1)+(N168/MAX(N:N)*$N$1)</f>
        <v/>
      </c>
      <c r="C168" s="156">
        <f>IFERROR(VLOOKUP(D168,AllPlayers!F:F,1,0),"------------")</f>
        <v/>
      </c>
      <c r="D168" s="156" t="inlineStr">
        <is>
          <t>Kyle Juszczyk</t>
        </is>
      </c>
      <c r="E168" s="156">
        <f>VLOOKUP(D168,AllPlayers!Q:R,2,0)</f>
        <v/>
      </c>
      <c r="F168" s="156" t="n">
        <v>1</v>
      </c>
      <c r="G168" s="156" t="n">
        <v>0</v>
      </c>
      <c r="H168" s="156" t="n">
        <v>0</v>
      </c>
      <c r="I168" s="156" t="n">
        <v>0</v>
      </c>
      <c r="J168" s="156" t="n">
        <v>0</v>
      </c>
      <c r="K168" s="156" t="n">
        <v>1</v>
      </c>
      <c r="L168" s="156" t="n">
        <v>8</v>
      </c>
      <c r="M168" s="156" t="n">
        <v>8</v>
      </c>
      <c r="N168" s="156" t="n">
        <v>0</v>
      </c>
    </row>
    <row r="169" ht="15.6" customHeight="1" s="152">
      <c r="A169" s="167">
        <f>D169&amp;E169</f>
        <v/>
      </c>
      <c r="B169" s="156">
        <f>(G169/MAX(I:I)*HI$1)+(H169/MAX(H:H)*$H$1)+(J169/MAX(J:J)*$J$1)+(K169/MAX(K:K)*$K$1)+(I169/MAX(I:I)*$I$1)++(L169/MAX(L:L)*$L$1)++(M169/MAX(M:M)*$M$1)+(N169/MAX(N:N)*$N$1)</f>
        <v/>
      </c>
      <c r="C169" s="156">
        <f>IFERROR(VLOOKUP(D169,AllPlayers!F:F,1,0),"------------")</f>
        <v/>
      </c>
      <c r="D169" s="156" t="inlineStr">
        <is>
          <t>Clark Phillips</t>
        </is>
      </c>
      <c r="E169" s="156">
        <f>VLOOKUP(D169,AllPlayers!Q:R,2,0)</f>
        <v/>
      </c>
      <c r="F169" s="156" t="n">
        <v>1</v>
      </c>
      <c r="G169" s="156" t="n">
        <v>0</v>
      </c>
      <c r="H169" s="156" t="n">
        <v>0</v>
      </c>
      <c r="I169" s="156" t="n">
        <v>0</v>
      </c>
      <c r="J169" s="156" t="n">
        <v>0</v>
      </c>
      <c r="K169" s="156" t="n">
        <v>1</v>
      </c>
      <c r="L169" s="156" t="n">
        <v>15</v>
      </c>
      <c r="M169" s="156" t="n">
        <v>15</v>
      </c>
      <c r="N169" s="156" t="n">
        <v>0</v>
      </c>
    </row>
    <row r="170" ht="15.6" customHeight="1" s="152">
      <c r="A170" s="167">
        <f>D170&amp;E170</f>
        <v/>
      </c>
      <c r="B170" s="156">
        <f>(G170/MAX(I:I)*HI$1)+(H170/MAX(H:H)*$H$1)+(J170/MAX(J:J)*$J$1)+(K170/MAX(K:K)*$K$1)+(I170/MAX(I:I)*$I$1)++(L170/MAX(L:L)*$L$1)++(M170/MAX(M:M)*$M$1)+(N170/MAX(N:N)*$N$1)</f>
        <v/>
      </c>
      <c r="C170" s="156">
        <f>IFERROR(VLOOKUP(D170,AllPlayers!F:F,1,0),"------------")</f>
        <v/>
      </c>
      <c r="D170" s="156" t="inlineStr">
        <is>
          <t>Tylan Wallace</t>
        </is>
      </c>
      <c r="E170" s="156">
        <f>VLOOKUP(D170,AllPlayers!Q:R,2,0)</f>
        <v/>
      </c>
      <c r="F170" s="156" t="n">
        <v>5</v>
      </c>
      <c r="G170" s="156" t="n">
        <v>0</v>
      </c>
      <c r="H170" s="156" t="n">
        <v>0</v>
      </c>
      <c r="I170" s="156" t="n">
        <v>0</v>
      </c>
      <c r="J170" s="156" t="n">
        <v>0</v>
      </c>
      <c r="K170" s="156" t="n">
        <v>6</v>
      </c>
      <c r="L170" s="156" t="n">
        <v>67</v>
      </c>
      <c r="M170" s="156" t="n">
        <v>21</v>
      </c>
      <c r="N170" s="156" t="n">
        <v>0</v>
      </c>
    </row>
    <row r="171" ht="15.6" customHeight="1" s="152">
      <c r="A171" s="167">
        <f>D171&amp;E171</f>
        <v/>
      </c>
      <c r="B171" s="156">
        <f>(G171/MAX(I:I)*HI$1)+(H171/MAX(H:H)*$H$1)+(J171/MAX(J:J)*$J$1)+(K171/MAX(K:K)*$K$1)+(I171/MAX(I:I)*$I$1)++(L171/MAX(L:L)*$L$1)++(M171/MAX(M:M)*$M$1)+(N171/MAX(N:N)*$N$1)</f>
        <v/>
      </c>
      <c r="C171" s="156">
        <f>IFERROR(VLOOKUP(D171,AllPlayers!F:F,1,0),"------------")</f>
        <v/>
      </c>
      <c r="D171" s="156" t="inlineStr">
        <is>
          <t>Amon-Ra St. Brown</t>
        </is>
      </c>
      <c r="E171" s="156">
        <f>VLOOKUP(D171,AllPlayers!Q:R,2,0)</f>
        <v/>
      </c>
      <c r="F171" s="156" t="n">
        <v>1</v>
      </c>
      <c r="G171" s="156" t="n">
        <v>0</v>
      </c>
      <c r="H171" s="156" t="n">
        <v>0</v>
      </c>
      <c r="I171" s="156" t="n">
        <v>0</v>
      </c>
      <c r="J171" s="156" t="n">
        <v>0</v>
      </c>
      <c r="K171" s="156" t="n">
        <v>2</v>
      </c>
      <c r="L171" s="156" t="n">
        <v>15</v>
      </c>
      <c r="M171" s="156" t="n">
        <v>15</v>
      </c>
      <c r="N171" s="156" t="n">
        <v>0</v>
      </c>
    </row>
    <row r="172" ht="15.6" customHeight="1" s="152">
      <c r="A172" s="167">
        <f>D172&amp;E172</f>
        <v/>
      </c>
      <c r="B172" s="156">
        <f>(G172/MAX(I:I)*HI$1)+(H172/MAX(H:H)*$H$1)+(J172/MAX(J:J)*$J$1)+(K172/MAX(K:K)*$K$1)+(I172/MAX(I:I)*$I$1)++(L172/MAX(L:L)*$L$1)++(M172/MAX(M:M)*$M$1)+(N172/MAX(N:N)*$N$1)</f>
        <v/>
      </c>
      <c r="C172" s="156">
        <f>IFERROR(VLOOKUP(D172,AllPlayers!F:F,1,0),"------------")</f>
        <v/>
      </c>
      <c r="D172" s="156" t="inlineStr">
        <is>
          <t>Josh Downs</t>
        </is>
      </c>
      <c r="E172" s="156">
        <f>VLOOKUP(D172,AllPlayers!Q:R,2,0)</f>
        <v/>
      </c>
      <c r="F172" s="156" t="n">
        <v>8</v>
      </c>
      <c r="G172" s="156" t="n">
        <v>0</v>
      </c>
      <c r="H172" s="156" t="n">
        <v>0</v>
      </c>
      <c r="I172" s="156" t="n">
        <v>0</v>
      </c>
      <c r="J172" s="156" t="n">
        <v>0</v>
      </c>
      <c r="K172" s="156" t="n">
        <v>16</v>
      </c>
      <c r="L172" s="156" t="n">
        <v>161</v>
      </c>
      <c r="M172" s="156" t="n">
        <v>67</v>
      </c>
      <c r="N172" s="156" t="n">
        <v>0</v>
      </c>
    </row>
    <row r="173" ht="15.6" customHeight="1" s="152">
      <c r="A173" s="167">
        <f>D173&amp;E173</f>
        <v/>
      </c>
      <c r="B173" s="156">
        <f>(G173/MAX(I:I)*HI$1)+(H173/MAX(H:H)*$H$1)+(J173/MAX(J:J)*$J$1)+(K173/MAX(K:K)*$K$1)+(I173/MAX(I:I)*$I$1)++(L173/MAX(L:L)*$L$1)++(M173/MAX(M:M)*$M$1)+(N173/MAX(N:N)*$N$1)</f>
        <v/>
      </c>
      <c r="C173" s="156">
        <f>IFERROR(VLOOKUP(D173,AllPlayers!F:F,1,0),"------------")</f>
        <v/>
      </c>
      <c r="D173" s="156" t="inlineStr">
        <is>
          <t>Cedrick Wilson</t>
        </is>
      </c>
      <c r="E173" s="156">
        <f>VLOOKUP(D173,AllPlayers!Q:R,2,0)</f>
        <v/>
      </c>
      <c r="F173" s="156" t="n">
        <v>1</v>
      </c>
      <c r="G173" s="156" t="n">
        <v>0</v>
      </c>
      <c r="H173" s="156" t="n">
        <v>0</v>
      </c>
      <c r="I173" s="156" t="n">
        <v>0</v>
      </c>
      <c r="J173" s="156" t="n">
        <v>0</v>
      </c>
      <c r="K173" s="156" t="n">
        <v>1</v>
      </c>
      <c r="L173" s="156" t="n">
        <v>0</v>
      </c>
      <c r="M173" s="156" t="n">
        <v>0</v>
      </c>
      <c r="N173" s="156" t="n">
        <v>0</v>
      </c>
    </row>
    <row r="174" ht="15.6" customHeight="1" s="152">
      <c r="A174" s="167">
        <f>D174&amp;E174</f>
        <v/>
      </c>
      <c r="B174" s="156">
        <f>(G174/MAX(I:I)*HI$1)+(H174/MAX(H:H)*$H$1)+(J174/MAX(J:J)*$J$1)+(K174/MAX(K:K)*$K$1)+(I174/MAX(I:I)*$I$1)++(L174/MAX(L:L)*$L$1)++(M174/MAX(M:M)*$M$1)+(N174/MAX(N:N)*$N$1)</f>
        <v/>
      </c>
      <c r="C174" s="156">
        <f>IFERROR(VLOOKUP(D174,AllPlayers!F:F,1,0),"------------")</f>
        <v/>
      </c>
      <c r="D174" s="156" t="inlineStr">
        <is>
          <t>Kyren Williams</t>
        </is>
      </c>
      <c r="E174" s="156">
        <f>VLOOKUP(D174,AllPlayers!Q:R,2,0)</f>
        <v/>
      </c>
      <c r="F174" s="156" t="n">
        <v>2</v>
      </c>
      <c r="G174" s="156" t="n">
        <v>0</v>
      </c>
      <c r="H174" s="156" t="n">
        <v>0</v>
      </c>
      <c r="I174" s="156" t="n">
        <v>0</v>
      </c>
      <c r="J174" s="156" t="n">
        <v>0</v>
      </c>
      <c r="K174" s="156" t="n">
        <v>2</v>
      </c>
      <c r="L174" s="156" t="n">
        <v>12</v>
      </c>
      <c r="M174" s="156" t="n">
        <v>12</v>
      </c>
      <c r="N174" s="156" t="n">
        <v>0</v>
      </c>
    </row>
    <row r="175" ht="15.6" customHeight="1" s="152">
      <c r="A175" s="167">
        <f>D175&amp;E175</f>
        <v/>
      </c>
      <c r="B175" s="156">
        <f>(G175/MAX(I:I)*HI$1)+(H175/MAX(H:H)*$H$1)+(J175/MAX(J:J)*$J$1)+(K175/MAX(K:K)*$K$1)+(I175/MAX(I:I)*$I$1)++(L175/MAX(L:L)*$L$1)++(M175/MAX(M:M)*$M$1)+(N175/MAX(N:N)*$N$1)</f>
        <v/>
      </c>
      <c r="C175" s="156">
        <f>IFERROR(VLOOKUP(D175,AllPlayers!F:F,1,0),"------------")</f>
        <v/>
      </c>
      <c r="D175" s="156" t="inlineStr">
        <is>
          <t>Tyreek Hill</t>
        </is>
      </c>
      <c r="E175" s="156">
        <f>VLOOKUP(D175,AllPlayers!Q:R,2,0)</f>
        <v/>
      </c>
      <c r="F175" s="156" t="n">
        <v>3</v>
      </c>
      <c r="G175" s="156" t="n">
        <v>0</v>
      </c>
      <c r="H175" s="156" t="n">
        <v>0</v>
      </c>
      <c r="I175" s="156" t="n">
        <v>0</v>
      </c>
      <c r="J175" s="156" t="n">
        <v>0</v>
      </c>
      <c r="K175" s="156" t="n">
        <v>3</v>
      </c>
      <c r="L175" s="156" t="n">
        <v>31</v>
      </c>
      <c r="M175" s="156" t="n">
        <v>18</v>
      </c>
      <c r="N175" s="156" t="n">
        <v>0</v>
      </c>
    </row>
    <row r="176" ht="15.6" customHeight="1" s="152">
      <c r="A176" s="167">
        <f>D176&amp;E176</f>
        <v/>
      </c>
      <c r="B176" s="156">
        <f>(G176/MAX(I:I)*HI$1)+(H176/MAX(H:H)*$H$1)+(J176/MAX(J:J)*$J$1)+(K176/MAX(K:K)*$K$1)+(I176/MAX(I:I)*$I$1)++(L176/MAX(L:L)*$L$1)++(M176/MAX(M:M)*$M$1)+(N176/MAX(N:N)*$N$1)</f>
        <v/>
      </c>
      <c r="C176" s="156">
        <f>IFERROR(VLOOKUP(D176,AllPlayers!F:F,1,0),"------------")</f>
        <v/>
      </c>
      <c r="D176" s="156" t="inlineStr">
        <is>
          <t>Cooper DeJean</t>
        </is>
      </c>
      <c r="E176" s="156">
        <f>VLOOKUP(D176,AllPlayers!Q:R,2,0)</f>
        <v/>
      </c>
      <c r="F176" s="156" t="n">
        <v>10</v>
      </c>
      <c r="G176" s="156" t="n">
        <v>0</v>
      </c>
      <c r="H176" s="156" t="n">
        <v>0</v>
      </c>
      <c r="I176" s="156" t="n">
        <v>0</v>
      </c>
      <c r="J176" s="156" t="n">
        <v>0</v>
      </c>
      <c r="K176" s="156" t="n">
        <v>21</v>
      </c>
      <c r="L176" s="156" t="n">
        <v>211</v>
      </c>
      <c r="M176" s="156" t="n">
        <v>51</v>
      </c>
      <c r="N176" s="156" t="n">
        <v>0</v>
      </c>
    </row>
    <row r="177" ht="15.6" customHeight="1" s="152">
      <c r="A177" s="167">
        <f>D177&amp;E177</f>
        <v/>
      </c>
      <c r="B177" s="156">
        <f>(G177/MAX(I:I)*HI$1)+(H177/MAX(H:H)*$H$1)+(J177/MAX(J:J)*$J$1)+(K177/MAX(K:K)*$K$1)+(I177/MAX(I:I)*$I$1)++(L177/MAX(L:L)*$L$1)++(M177/MAX(M:M)*$M$1)+(N177/MAX(N:N)*$N$1)</f>
        <v/>
      </c>
      <c r="C177" s="156">
        <f>IFERROR(VLOOKUP(D177,AllPlayers!F:F,1,0),"------------")</f>
        <v/>
      </c>
      <c r="D177" s="156" t="inlineStr">
        <is>
          <t>Steven Sims</t>
        </is>
      </c>
      <c r="E177" s="156">
        <f>VLOOKUP(D177,AllPlayers!Q:R,2,0)</f>
        <v/>
      </c>
      <c r="F177" s="156" t="n">
        <v>2</v>
      </c>
      <c r="G177" s="156" t="n">
        <v>0</v>
      </c>
      <c r="H177" s="156" t="n">
        <v>0</v>
      </c>
      <c r="I177" s="156" t="n">
        <v>0</v>
      </c>
      <c r="J177" s="156" t="n">
        <v>0</v>
      </c>
      <c r="K177" s="156" t="n">
        <v>5</v>
      </c>
      <c r="L177" s="156" t="n">
        <v>23</v>
      </c>
      <c r="M177" s="156" t="n">
        <v>16</v>
      </c>
      <c r="N177" s="156" t="n">
        <v>0</v>
      </c>
    </row>
    <row r="178" ht="15.6" customHeight="1" s="152">
      <c r="A178" s="167">
        <f>D178&amp;E178</f>
        <v/>
      </c>
      <c r="B178" s="156">
        <f>(G178/MAX(I:I)*HI$1)+(H178/MAX(H:H)*$H$1)+(J178/MAX(J:J)*$J$1)+(K178/MAX(K:K)*$K$1)+(I178/MAX(I:I)*$I$1)++(L178/MAX(L:L)*$L$1)++(M178/MAX(M:M)*$M$1)+(N178/MAX(N:N)*$N$1)</f>
        <v/>
      </c>
      <c r="C178" s="156">
        <f>IFERROR(VLOOKUP(D178,AllPlayers!F:F,1,0),"------------")</f>
        <v/>
      </c>
      <c r="D178" s="156" t="inlineStr">
        <is>
          <t>Britain Covey</t>
        </is>
      </c>
      <c r="E178" s="156">
        <f>VLOOKUP(D178,AllPlayers!Q:R,2,0)</f>
        <v/>
      </c>
      <c r="F178" s="156" t="n">
        <v>3</v>
      </c>
      <c r="G178" s="156" t="n">
        <v>0</v>
      </c>
      <c r="H178" s="156" t="n">
        <v>0</v>
      </c>
      <c r="I178" s="156" t="n">
        <v>0</v>
      </c>
      <c r="J178" s="156" t="n">
        <v>0</v>
      </c>
      <c r="K178" s="156" t="n">
        <v>6</v>
      </c>
      <c r="L178" s="156" t="n">
        <v>46</v>
      </c>
      <c r="M178" s="156" t="n">
        <v>29</v>
      </c>
      <c r="N178" s="156" t="n">
        <v>0</v>
      </c>
    </row>
    <row r="179" ht="15.6" customHeight="1" s="152">
      <c r="A179" s="167">
        <f>D179&amp;E179</f>
        <v/>
      </c>
      <c r="B179" s="156">
        <f>(G179/MAX(I:I)*HI$1)+(H179/MAX(H:H)*$H$1)+(J179/MAX(J:J)*$J$1)+(K179/MAX(K:K)*$K$1)+(I179/MAX(I:I)*$I$1)++(L179/MAX(L:L)*$L$1)++(M179/MAX(M:M)*$M$1)+(N179/MAX(N:N)*$N$1)</f>
        <v/>
      </c>
      <c r="C179" s="156">
        <f>IFERROR(VLOOKUP(D179,AllPlayers!F:F,1,0),"------------")</f>
        <v/>
      </c>
      <c r="D179" s="156" t="inlineStr">
        <is>
          <t>Tre Tucker</t>
        </is>
      </c>
      <c r="E179" s="156">
        <f>VLOOKUP(D179,AllPlayers!Q:R,2,0)</f>
        <v/>
      </c>
      <c r="F179" s="156" t="n">
        <v>4</v>
      </c>
      <c r="G179" s="156" t="n">
        <v>0</v>
      </c>
      <c r="H179" s="156" t="n">
        <v>0</v>
      </c>
      <c r="I179" s="156" t="n">
        <v>0</v>
      </c>
      <c r="J179" s="156" t="n">
        <v>0</v>
      </c>
      <c r="K179" s="156" t="n">
        <v>8</v>
      </c>
      <c r="L179" s="156" t="n">
        <v>72</v>
      </c>
      <c r="M179" s="156" t="n">
        <v>28</v>
      </c>
      <c r="N179" s="156" t="n">
        <v>0</v>
      </c>
    </row>
    <row r="180" ht="15.6" customHeight="1" s="152">
      <c r="A180" s="167">
        <f>D180&amp;E180</f>
        <v/>
      </c>
      <c r="B180" s="156">
        <f>(G180/MAX(I:I)*HI$1)+(H180/MAX(H:H)*$H$1)+(J180/MAX(J:J)*$J$1)+(K180/MAX(K:K)*$K$1)+(I180/MAX(I:I)*$I$1)++(L180/MAX(L:L)*$L$1)++(M180/MAX(M:M)*$M$1)+(N180/MAX(N:N)*$N$1)</f>
        <v/>
      </c>
      <c r="C180" s="156">
        <f>IFERROR(VLOOKUP(D180,AllPlayers!F:F,1,0),"------------")</f>
        <v/>
      </c>
      <c r="D180" s="156" t="inlineStr">
        <is>
          <t>Mason Kinsey</t>
        </is>
      </c>
      <c r="E180" s="156">
        <f>VLOOKUP(D180,AllPlayers!Q:R,2,0)</f>
        <v/>
      </c>
      <c r="F180" s="156" t="n">
        <v>4</v>
      </c>
      <c r="G180" s="156" t="n">
        <v>0</v>
      </c>
      <c r="H180" s="156" t="n">
        <v>0</v>
      </c>
      <c r="I180" s="156" t="n">
        <v>0</v>
      </c>
      <c r="J180" s="156" t="n">
        <v>0</v>
      </c>
      <c r="K180" s="156" t="n">
        <v>6</v>
      </c>
      <c r="L180" s="156" t="n">
        <v>38</v>
      </c>
      <c r="M180" s="156" t="n">
        <v>23</v>
      </c>
      <c r="N180" s="156" t="n">
        <v>0</v>
      </c>
    </row>
    <row r="181" ht="15.6" customHeight="1" s="152">
      <c r="A181" s="167">
        <f>D181&amp;E181</f>
        <v/>
      </c>
      <c r="B181" s="156">
        <f>(G181/MAX(I:I)*HI$1)+(H181/MAX(H:H)*$H$1)+(J181/MAX(J:J)*$J$1)+(K181/MAX(K:K)*$K$1)+(I181/MAX(I:I)*$I$1)++(L181/MAX(L:L)*$L$1)++(M181/MAX(M:M)*$M$1)+(N181/MAX(N:N)*$N$1)</f>
        <v/>
      </c>
      <c r="C181" s="156">
        <f>IFERROR(VLOOKUP(D181,AllPlayers!F:F,1,0),"------------")</f>
        <v/>
      </c>
      <c r="D181" s="156" t="inlineStr">
        <is>
          <t>Calvin Austin</t>
        </is>
      </c>
      <c r="E181" s="156">
        <f>VLOOKUP(D181,AllPlayers!Q:R,2,0)</f>
        <v/>
      </c>
      <c r="F181" s="156" t="n">
        <v>11</v>
      </c>
      <c r="G181" s="156" t="n">
        <v>0</v>
      </c>
      <c r="H181" s="156" t="n">
        <v>0</v>
      </c>
      <c r="I181" s="156" t="n">
        <v>0</v>
      </c>
      <c r="J181" s="156" t="n">
        <v>0</v>
      </c>
      <c r="K181" s="156" t="n">
        <v>28</v>
      </c>
      <c r="L181" s="156" t="n">
        <v>289</v>
      </c>
      <c r="M181" s="156" t="n">
        <v>73</v>
      </c>
      <c r="N181" s="156" t="n">
        <v>1</v>
      </c>
    </row>
    <row r="182" ht="15.6" customHeight="1" s="152">
      <c r="A182" s="167">
        <f>D182&amp;E182</f>
        <v/>
      </c>
      <c r="B182" s="156">
        <f>(G182/MAX(I:I)*HI$1)+(H182/MAX(H:H)*$H$1)+(J182/MAX(J:J)*$J$1)+(K182/MAX(K:K)*$K$1)+(I182/MAX(I:I)*$I$1)++(L182/MAX(L:L)*$L$1)++(M182/MAX(M:M)*$M$1)+(N182/MAX(N:N)*$N$1)</f>
        <v/>
      </c>
      <c r="C182" s="156">
        <f>IFERROR(VLOOKUP(D182,AllPlayers!F:F,1,0),"------------")</f>
        <v/>
      </c>
      <c r="D182" s="156" t="inlineStr">
        <is>
          <t>Olamide Zaccheaus</t>
        </is>
      </c>
      <c r="E182" s="156">
        <f>VLOOKUP(D182,AllPlayers!Q:R,2,0)</f>
        <v/>
      </c>
      <c r="F182" s="156" t="n">
        <v>11</v>
      </c>
      <c r="G182" s="156" t="n">
        <v>0</v>
      </c>
      <c r="H182" s="156" t="n">
        <v>0</v>
      </c>
      <c r="I182" s="156" t="n">
        <v>0</v>
      </c>
      <c r="J182" s="156" t="n">
        <v>0</v>
      </c>
      <c r="K182" s="156" t="n">
        <v>17</v>
      </c>
      <c r="L182" s="156" t="n">
        <v>179</v>
      </c>
      <c r="M182" s="156" t="n">
        <v>33</v>
      </c>
      <c r="N182" s="156" t="n">
        <v>0</v>
      </c>
    </row>
    <row r="183" ht="15.6" customHeight="1" s="152">
      <c r="A183" s="167">
        <f>D183&amp;E183</f>
        <v/>
      </c>
      <c r="B183" s="156">
        <f>(G183/MAX(I:I)*HI$1)+(H183/MAX(H:H)*$H$1)+(J183/MAX(J:J)*$J$1)+(K183/MAX(K:K)*$K$1)+(I183/MAX(I:I)*$I$1)++(L183/MAX(L:L)*$L$1)++(M183/MAX(M:M)*$M$1)+(N183/MAX(N:N)*$N$1)</f>
        <v/>
      </c>
      <c r="C183" s="156">
        <f>IFERROR(VLOOKUP(D183,AllPlayers!F:F,1,0),"------------")</f>
        <v/>
      </c>
      <c r="D183" s="156" t="inlineStr">
        <is>
          <t>Jalen Nailor</t>
        </is>
      </c>
      <c r="E183" s="156">
        <f>VLOOKUP(D183,AllPlayers!Q:R,2,0)</f>
        <v/>
      </c>
      <c r="F183" s="156" t="n">
        <v>1</v>
      </c>
      <c r="G183" s="156" t="n">
        <v>0</v>
      </c>
      <c r="H183" s="156" t="n">
        <v>0</v>
      </c>
      <c r="I183" s="156" t="n">
        <v>0</v>
      </c>
      <c r="J183" s="156" t="n">
        <v>0</v>
      </c>
      <c r="K183" s="156" t="n">
        <v>1</v>
      </c>
      <c r="L183" s="156" t="n">
        <v>0</v>
      </c>
      <c r="M183" s="156" t="n">
        <v>0</v>
      </c>
      <c r="N183" s="156" t="n">
        <v>0</v>
      </c>
    </row>
    <row r="184" ht="15.6" customHeight="1" s="152">
      <c r="A184" s="167">
        <f>D184&amp;E184</f>
        <v/>
      </c>
      <c r="B184" s="156">
        <f>(G184/MAX(I:I)*HI$1)+(H184/MAX(H:H)*$H$1)+(J184/MAX(J:J)*$J$1)+(K184/MAX(K:K)*$K$1)+(I184/MAX(I:I)*$I$1)++(L184/MAX(L:L)*$L$1)++(M184/MAX(M:M)*$M$1)+(N184/MAX(N:N)*$N$1)</f>
        <v/>
      </c>
      <c r="C184" s="156">
        <f>IFERROR(VLOOKUP(D184,AllPlayers!F:F,1,0),"------------")</f>
        <v/>
      </c>
      <c r="D184" s="156" t="inlineStr">
        <is>
          <t>Jayden Reed</t>
        </is>
      </c>
      <c r="E184" s="156">
        <f>VLOOKUP(D184,AllPlayers!Q:R,2,0)</f>
        <v/>
      </c>
      <c r="F184" s="156" t="n">
        <v>10</v>
      </c>
      <c r="G184" s="156" t="n">
        <v>0</v>
      </c>
      <c r="H184" s="156" t="n">
        <v>0</v>
      </c>
      <c r="I184" s="156" t="n">
        <v>0</v>
      </c>
      <c r="J184" s="156" t="n">
        <v>0</v>
      </c>
      <c r="K184" s="156" t="n">
        <v>14</v>
      </c>
      <c r="L184" s="156" t="n">
        <v>110</v>
      </c>
      <c r="M184" s="156" t="n">
        <v>20</v>
      </c>
      <c r="N184" s="156" t="n">
        <v>0</v>
      </c>
    </row>
    <row r="185" ht="15.6" customHeight="1" s="152">
      <c r="A185" s="167">
        <f>D185&amp;E185</f>
        <v/>
      </c>
      <c r="B185" s="156">
        <f>(G185/MAX(I:I)*HI$1)+(H185/MAX(H:H)*$H$1)+(J185/MAX(J:J)*$J$1)+(K185/MAX(K:K)*$K$1)+(I185/MAX(I:I)*$I$1)++(L185/MAX(L:L)*$L$1)++(M185/MAX(M:M)*$M$1)+(N185/MAX(N:N)*$N$1)</f>
        <v/>
      </c>
      <c r="C185" s="156">
        <f>IFERROR(VLOOKUP(D185,AllPlayers!F:F,1,0),"------------")</f>
        <v/>
      </c>
      <c r="D185" s="156" t="inlineStr">
        <is>
          <t>Desmond King</t>
        </is>
      </c>
      <c r="E185" s="156">
        <f>VLOOKUP(D185,AllPlayers!Q:R,2,0)</f>
        <v/>
      </c>
      <c r="F185" s="156" t="n">
        <v>1</v>
      </c>
      <c r="G185" s="156" t="n">
        <v>0</v>
      </c>
      <c r="H185" s="156" t="n">
        <v>0</v>
      </c>
      <c r="I185" s="156" t="n">
        <v>0</v>
      </c>
      <c r="J185" s="156" t="n">
        <v>0</v>
      </c>
      <c r="K185" s="156" t="n">
        <v>2</v>
      </c>
      <c r="L185" s="156" t="n">
        <v>2</v>
      </c>
      <c r="M185" s="156" t="n">
        <v>2</v>
      </c>
      <c r="N185" s="156" t="n">
        <v>0</v>
      </c>
    </row>
    <row r="186" ht="15.6" customHeight="1" s="152">
      <c r="A186" s="167">
        <f>D186&amp;E186</f>
        <v/>
      </c>
      <c r="B186" s="156">
        <f>(G186/MAX(I:I)*HI$1)+(H186/MAX(H:H)*$H$1)+(J186/MAX(J:J)*$J$1)+(K186/MAX(K:K)*$K$1)+(I186/MAX(I:I)*$I$1)++(L186/MAX(L:L)*$L$1)++(M186/MAX(M:M)*$M$1)+(N186/MAX(N:N)*$N$1)</f>
        <v/>
      </c>
      <c r="C186" s="156">
        <f>IFERROR(VLOOKUP(D186,AllPlayers!F:F,1,0),"------------")</f>
        <v/>
      </c>
      <c r="D186" s="156" t="inlineStr">
        <is>
          <t>Desmond King</t>
        </is>
      </c>
      <c r="E186" s="156">
        <f>VLOOKUP(D186,AllPlayers!Q:R,2,0)</f>
        <v/>
      </c>
      <c r="F186" s="156" t="n">
        <v>2</v>
      </c>
      <c r="G186" s="156" t="n">
        <v>0</v>
      </c>
      <c r="H186" s="156" t="n">
        <v>0</v>
      </c>
      <c r="I186" s="156" t="n">
        <v>0</v>
      </c>
      <c r="J186" s="156" t="n">
        <v>0</v>
      </c>
      <c r="K186" s="156" t="n">
        <v>3</v>
      </c>
      <c r="L186" s="156" t="n">
        <v>38</v>
      </c>
      <c r="M186" s="156" t="n">
        <v>22</v>
      </c>
      <c r="N186" s="156" t="n">
        <v>0</v>
      </c>
    </row>
    <row r="187" ht="15.6" customHeight="1" s="152">
      <c r="A187" s="167">
        <f>D187&amp;E187</f>
        <v/>
      </c>
      <c r="B187" s="156">
        <f>(G187/MAX(I:I)*HI$1)+(H187/MAX(H:H)*$H$1)+(J187/MAX(J:J)*$J$1)+(K187/MAX(K:K)*$K$1)+(I187/MAX(I:I)*$I$1)++(L187/MAX(L:L)*$L$1)++(M187/MAX(M:M)*$M$1)+(N187/MAX(N:N)*$N$1)</f>
        <v/>
      </c>
      <c r="C187" s="156">
        <f>IFERROR(VLOOKUP(D187,AllPlayers!F:F,1,0),"------------")</f>
        <v/>
      </c>
      <c r="D187" s="156" t="inlineStr">
        <is>
          <t>Jamison Crowder</t>
        </is>
      </c>
      <c r="E187" s="156">
        <f>VLOOKUP(D187,AllPlayers!Q:R,2,0)</f>
        <v/>
      </c>
      <c r="F187" s="156" t="n">
        <v>4</v>
      </c>
      <c r="G187" s="156" t="n">
        <v>0</v>
      </c>
      <c r="H187" s="156" t="n">
        <v>0</v>
      </c>
      <c r="I187" s="156" t="n">
        <v>0</v>
      </c>
      <c r="J187" s="156" t="n">
        <v>0</v>
      </c>
      <c r="K187" s="156" t="n">
        <v>8</v>
      </c>
      <c r="L187" s="156" t="n">
        <v>81</v>
      </c>
      <c r="M187" s="156" t="n">
        <v>41</v>
      </c>
      <c r="N187" s="156" t="n">
        <v>0</v>
      </c>
    </row>
    <row r="188" ht="15.6" customHeight="1" s="152">
      <c r="A188" s="167">
        <f>D188&amp;E188</f>
        <v/>
      </c>
      <c r="B188" s="156">
        <f>(G188/MAX(I:I)*HI$1)+(H188/MAX(H:H)*$H$1)+(J188/MAX(J:J)*$J$1)+(K188/MAX(K:K)*$K$1)+(I188/MAX(I:I)*$I$1)++(L188/MAX(L:L)*$L$1)++(M188/MAX(M:M)*$M$1)+(N188/MAX(N:N)*$N$1)</f>
        <v/>
      </c>
      <c r="C188" s="156">
        <f>IFERROR(VLOOKUP(D188,AllPlayers!F:F,1,0),"------------")</f>
        <v/>
      </c>
      <c r="D188" s="156" t="inlineStr">
        <is>
          <t>Tank Dell</t>
        </is>
      </c>
      <c r="E188" s="156">
        <f>VLOOKUP(D188,AllPlayers!Q:R,2,0)</f>
        <v/>
      </c>
      <c r="F188" s="156" t="n">
        <v>4</v>
      </c>
      <c r="G188" s="156" t="n">
        <v>0</v>
      </c>
      <c r="H188" s="156" t="n">
        <v>0</v>
      </c>
      <c r="I188" s="156" t="n">
        <v>0</v>
      </c>
      <c r="J188" s="156" t="n">
        <v>0</v>
      </c>
      <c r="K188" s="156" t="n">
        <v>7</v>
      </c>
      <c r="L188" s="156" t="n">
        <v>95</v>
      </c>
      <c r="M188" s="156" t="n">
        <v>45</v>
      </c>
      <c r="N188" s="156" t="n">
        <v>0</v>
      </c>
    </row>
  </sheetData>
  <autoFilter ref="A3:N3">
    <sortState ref="A4:N3">
      <sortCondition descending="1" ref="C4:C3" customList=""/>
    </sortState>
  </autoFilter>
  <conditionalFormatting sqref="B4:B188">
    <cfRule type="dataBar" priority="2">
      <dataBar minLength="10" maxLength="90" showValue="1">
        <cfvo type="min" val="0"/>
        <cfvo type="max" val="0"/>
        <color rgb="FF843C0B"/>
      </dataBar>
    </cfRule>
  </conditionalFormatting>
  <conditionalFormatting sqref="F1:N1">
    <cfRule type="colorScale" priority="3">
      <colorScale>
        <cfvo type="min" val="0"/>
        <cfvo type="percentile" val="50"/>
        <cfvo type="max" val="0"/>
        <color rgb="FFF8696B"/>
        <color rgb="FFFFEB84"/>
        <color rgb="FF63BE7B"/>
      </colorScale>
    </cfRule>
  </conditionalFormatting>
  <hyperlinks>
    <hyperlink xmlns:r="http://schemas.openxmlformats.org/officeDocument/2006/relationships" ref="O1" display="https://www.rotowire.com/football/player-stats.php?view=returns" r:id="rId1"/>
  </hyperlink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Ken Braverman</dc:creator>
  <dc:language>en-CA</dc:language>
  <dcterms:created xsi:type="dcterms:W3CDTF">2014-08-25T18:56:50Z</dcterms:created>
  <dcterms:modified xsi:type="dcterms:W3CDTF">2025-09-18T04:12:47Z</dcterms:modified>
  <cp:revision>19</cp:revision>
  <cp:lastPrinted>2018-09-10T22:23:33Z</cp:lastPrinted>
</cp:coreProperties>
</file>

<file path=docProps/custom.xml><?xml version="1.0" encoding="utf-8"?>
<Properties xmlns:vt="http://schemas.openxmlformats.org/officeDocument/2006/docPropsVTypes" xmlns="http://schemas.openxmlformats.org/officeDocument/2006/custom-properties">
  <property name="AppVersion" fmtid="{D5CDD505-2E9C-101B-9397-08002B2CF9AE}" pid="2">
    <vt:lpwstr>3.1</vt:lpwstr>
  </property>
  <property name="Company" fmtid="{D5CDD505-2E9C-101B-9397-08002B2CF9AE}" pid="3">
    <vt:lpwstr>Microsoft</vt:lpwstr>
  </property>
  <property name="DocSecurity" fmtid="{D5CDD505-2E9C-101B-9397-08002B2CF9AE}" pid="4">
    <vt:i4>0</vt:i4>
  </property>
  <property name="HyperlinksChanged" fmtid="{D5CDD505-2E9C-101B-9397-08002B2CF9AE}" pid="5">
    <vt:bool>0</vt:bool>
  </property>
  <property name="LinksUpToDate" fmtid="{D5CDD505-2E9C-101B-9397-08002B2CF9AE}" pid="6">
    <vt:bool>0</vt:bool>
  </property>
  <property name="ScaleCrop" fmtid="{D5CDD505-2E9C-101B-9397-08002B2CF9AE}" pid="7">
    <vt:bool>0</vt:bool>
  </property>
  <property name="ShareDoc" fmtid="{D5CDD505-2E9C-101B-9397-08002B2CF9AE}" pid="8">
    <vt:bool>0</vt:bool>
  </property>
</Properties>
</file>